
<file path=[Content_Types].xml><?xml version="1.0" encoding="utf-8"?>
<Types xmlns="http://schemas.openxmlformats.org/package/2006/content-types">
  <Override PartName="/xl/worksheets/sheet15.xml" ContentType="application/vnd.openxmlformats-officedocument.spreadsheetml.worksheet+xml"/>
  <Override PartName="/xl/worksheets/sheet16.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Default Extension="bin" ContentType="application/vnd.openxmlformats-officedocument.spreadsheetml.printerSettings"/>
  <Override PartName="/xl/worksheets/sheet9.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worksheets/sheet19.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sharedStrings.xml" ContentType="application/vnd.openxmlformats-officedocument.spreadsheetml.sharedStrings+xml"/>
  <Override PartName="/xl/worksheets/sheet17.xml" ContentType="application/vnd.openxmlformats-officedocument.spreadsheetml.worksheet+xml"/>
  <Override PartName="/xl/worksheets/sheet18.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36.xml" ContentType="application/vnd.openxmlformats-officedocument.spreadsheetml.worksheet+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codeName="ThisWorkbook"/>
  <bookViews>
    <workbookView xWindow="0" yWindow="0" windowWidth="19420" windowHeight="11020" firstSheet="16" activeTab="16"/>
  </bookViews>
  <sheets>
    <sheet name="Ajustes y Comentarios" sheetId="56" state="hidden" r:id="rId1"/>
    <sheet name="Mov_Analizados_Sept25 - Dic25" sheetId="18" r:id="rId2"/>
    <sheet name="Mov_Analizados_Nov_21" sheetId="33" state="hidden" r:id="rId3"/>
    <sheet name="Mov_Analizados_Dic_21" sheetId="44" state="hidden" r:id="rId4"/>
    <sheet name="Mov_Analizados_Ene_Feb 23" sheetId="45" state="hidden" r:id="rId5"/>
    <sheet name="Mov_Analizados_Feb_22" sheetId="46" state="hidden" r:id="rId6"/>
    <sheet name="Mov_Analizados_Mar_23" sheetId="48" state="hidden" r:id="rId7"/>
    <sheet name="Mov_Analizados_Abr_23" sheetId="49" state="hidden" r:id="rId8"/>
    <sheet name="Mov_Analizados_May_23" sheetId="50" state="hidden" r:id="rId9"/>
    <sheet name="Mov_Analizados_Jun_22" sheetId="51" state="hidden" r:id="rId10"/>
    <sheet name="Mov_Analizados_Jul_22" sheetId="53" state="hidden" r:id="rId11"/>
    <sheet name="Mov_Analizados_Ago_22" sheetId="55" state="hidden" r:id="rId12"/>
    <sheet name="Mov_Analizados_Ene 26" sheetId="32" r:id="rId13"/>
    <sheet name="Mov_Analizados_Feb - Mar 26" sheetId="65" r:id="rId14"/>
    <sheet name="Mov_Analizados_Abr 24" sheetId="67" state="hidden" r:id="rId15"/>
    <sheet name="Mov_Analizados_Abr 26" sheetId="66" r:id="rId16"/>
    <sheet name="Mov_Analizados_May 26" sheetId="74" r:id="rId17"/>
    <sheet name="Reversa Provision Gastos 24-25" sheetId="73" r:id="rId18"/>
    <sheet name="Plan Cuentas Link Armado" sheetId="64" r:id="rId19"/>
    <sheet name="Resumen_Base" sheetId="5" r:id="rId20"/>
    <sheet name="Budget Comparativo" sheetId="61" r:id="rId21"/>
    <sheet name="Comparativo x BN" sheetId="63" state="hidden" r:id="rId22"/>
    <sheet name="Stock - Deudas" sheetId="62" r:id="rId23"/>
    <sheet name="CARMELO LODGE" sheetId="72" r:id="rId24"/>
    <sheet name="SAN JUAN LODGE" sheetId="75" r:id="rId25"/>
    <sheet name="Comparativo SJ con BN" sheetId="68" r:id="rId26"/>
    <sheet name="Comparativo UL con BN" sheetId="70" r:id="rId27"/>
    <sheet name="Comparativo CAR con BN" sheetId="69" r:id="rId28"/>
    <sheet name="Budget Comparativo x BN" sheetId="71" r:id="rId29"/>
    <sheet name="Budget_Comparativo_PZ_Acum" sheetId="9" state="hidden" r:id="rId30"/>
    <sheet name="Budget_Comparativo_LD_Acum" sheetId="8" state="hidden" r:id="rId31"/>
    <sheet name="Budget_Comparativo_FL_Acum" sheetId="7" state="hidden" r:id="rId32"/>
    <sheet name="Budget_Comparativo_PZ+LD+FL" sheetId="29" state="hidden" r:id="rId33"/>
    <sheet name="Budget_Comparativo_CL" sheetId="47" state="hidden" r:id="rId34"/>
    <sheet name="Inversiones_Mant_Lodge" sheetId="23" state="hidden" r:id="rId35"/>
    <sheet name="Budget_Temp_2023-2024" sheetId="6" state="hidden" r:id="rId36"/>
  </sheets>
  <definedNames>
    <definedName name="_____Rt12" localSheetId="14">#REF!</definedName>
    <definedName name="_____Rt12" localSheetId="15">#REF!</definedName>
    <definedName name="_____Rt12" localSheetId="13">#REF!</definedName>
    <definedName name="_____Rt12" localSheetId="16">#REF!</definedName>
    <definedName name="____Rt12" localSheetId="14">#REF!</definedName>
    <definedName name="____Rt12" localSheetId="15">#REF!</definedName>
    <definedName name="____Rt12" localSheetId="13">#REF!</definedName>
    <definedName name="____Rt12" localSheetId="16">#REF!</definedName>
    <definedName name="___Rt12" localSheetId="14">#REF!</definedName>
    <definedName name="___Rt12" localSheetId="15">#REF!</definedName>
    <definedName name="___Rt12" localSheetId="13">#REF!</definedName>
    <definedName name="___Rt12" localSheetId="16">#REF!</definedName>
    <definedName name="__Rt12" localSheetId="14">#REF!</definedName>
    <definedName name="__Rt12" localSheetId="15">#REF!</definedName>
    <definedName name="__Rt12" localSheetId="13">#REF!</definedName>
    <definedName name="__Rt12" localSheetId="16">#REF!</definedName>
    <definedName name="_xlnm._FilterDatabase" localSheetId="20" hidden="1">'Budget Comparativo'!$A$7:$AD$62</definedName>
    <definedName name="_xlnm._FilterDatabase" localSheetId="28" hidden="1">'Budget Comparativo x BN'!$A$7:$AD$61</definedName>
    <definedName name="_xlnm._FilterDatabase" localSheetId="27" hidden="1">'Comparativo CAR con BN'!$A$7:$H$61</definedName>
    <definedName name="_xlnm._FilterDatabase" localSheetId="25" hidden="1">'Comparativo SJ con BN'!$A$7:$H$61</definedName>
    <definedName name="_xlnm._FilterDatabase" localSheetId="26" hidden="1">'Comparativo UL con BN'!$A$7:$H$61</definedName>
    <definedName name="_xlnm._FilterDatabase" localSheetId="14" hidden="1">'Mov_Analizados_Abr 24'!$A$10:$AA$20</definedName>
    <definedName name="_xlnm._FilterDatabase" localSheetId="15" hidden="1">'Mov_Analizados_Abr 26'!$A$10:$AO$1992</definedName>
    <definedName name="_xlnm._FilterDatabase" localSheetId="7" hidden="1">Mov_Analizados_Abr_23!$A$11:$AA$20</definedName>
    <definedName name="_xlnm._FilterDatabase" localSheetId="11" hidden="1">Mov_Analizados_Ago_22!$A$10:$AA$16</definedName>
    <definedName name="_xlnm._FilterDatabase" localSheetId="3" hidden="1">Mov_Analizados_Dic_21!$A$10:$AA$22</definedName>
    <definedName name="_xlnm._FilterDatabase" localSheetId="12" hidden="1">'Mov_Analizados_Ene 26'!$A$10:$AA$829</definedName>
    <definedName name="_xlnm._FilterDatabase" localSheetId="4" hidden="1">'Mov_Analizados_Ene_Feb 23'!$A$10:$AA$20</definedName>
    <definedName name="_xlnm._FilterDatabase" localSheetId="13" hidden="1">'Mov_Analizados_Feb - Mar 26'!$A$10:$AN$3520</definedName>
    <definedName name="_xlnm._FilterDatabase" localSheetId="5" hidden="1">Mov_Analizados_Feb_22!$A$10:$AA$19</definedName>
    <definedName name="_xlnm._FilterDatabase" localSheetId="10" hidden="1">Mov_Analizados_Jul_22!$A$10:$AA$16</definedName>
    <definedName name="_xlnm._FilterDatabase" localSheetId="9" hidden="1">Mov_Analizados_Jun_22!$A$10:$AA$17</definedName>
    <definedName name="_xlnm._FilterDatabase" localSheetId="6" hidden="1">Mov_Analizados_Mar_23!$A$10:$AA$20</definedName>
    <definedName name="_xlnm._FilterDatabase" localSheetId="16" hidden="1">'Mov_Analizados_May 26'!$A$10:$AO$2591</definedName>
    <definedName name="_xlnm._FilterDatabase" localSheetId="8" hidden="1">Mov_Analizados_May_23!$A$11:$AA$18</definedName>
    <definedName name="_xlnm._FilterDatabase" localSheetId="2" hidden="1">Mov_Analizados_Nov_21!$A$10:$AA$20</definedName>
    <definedName name="_xlnm._FilterDatabase" localSheetId="1" hidden="1">'Mov_Analizados_Sept25 - Dic25'!$A$10:$AA$3108</definedName>
    <definedName name="_xlnm._FilterDatabase" localSheetId="18" hidden="1">'Plan Cuentas Link Armado'!$A$3:$F$105</definedName>
    <definedName name="_xlnm._FilterDatabase" localSheetId="19" hidden="1">Resumen_Base!$A$5:$Y$287</definedName>
    <definedName name="_xlnm._FilterDatabase" localSheetId="17" hidden="1">'Reversa Provision Gastos 24-25'!$B$2:$J$33</definedName>
    <definedName name="_Regression_X" localSheetId="20" hidden="1">#REF!</definedName>
    <definedName name="_Regression_X" localSheetId="28" hidden="1">#REF!</definedName>
    <definedName name="_Regression_X" localSheetId="27" hidden="1">#REF!</definedName>
    <definedName name="_Regression_X" localSheetId="25" hidden="1">#REF!</definedName>
    <definedName name="_Regression_X" localSheetId="26" hidden="1">#REF!</definedName>
    <definedName name="_Regression_X" localSheetId="21" hidden="1">#REF!</definedName>
    <definedName name="_Regression_X" localSheetId="14" hidden="1">#REF!</definedName>
    <definedName name="_Regression_X" localSheetId="15" hidden="1">#REF!</definedName>
    <definedName name="_Regression_X" localSheetId="13" hidden="1">#REF!</definedName>
    <definedName name="_Regression_X" localSheetId="16" hidden="1">#REF!</definedName>
    <definedName name="_Rt12" localSheetId="14">#REF!</definedName>
    <definedName name="_Rt12" localSheetId="15">#REF!</definedName>
    <definedName name="_Rt12" localSheetId="13">#REF!</definedName>
    <definedName name="_Rt12" localSheetId="16">#REF!</definedName>
    <definedName name="A" localSheetId="16">#REF!</definedName>
    <definedName name="A">#REF!</definedName>
    <definedName name="AJUSTES" localSheetId="20">#REF!</definedName>
    <definedName name="AJUSTES" localSheetId="28">#REF!</definedName>
    <definedName name="AJUSTES" localSheetId="27">#REF!</definedName>
    <definedName name="AJUSTES" localSheetId="25">#REF!</definedName>
    <definedName name="AJUSTES" localSheetId="26">#REF!</definedName>
    <definedName name="AJUSTES" localSheetId="21">#REF!</definedName>
    <definedName name="AJUSTES" localSheetId="14">#REF!</definedName>
    <definedName name="AJUSTES" localSheetId="15">#REF!</definedName>
    <definedName name="AJUSTES" localSheetId="13">#REF!</definedName>
    <definedName name="AJUSTES" localSheetId="16">#REF!</definedName>
    <definedName name="_xlnm.Print_Area" localSheetId="20">'Budget Comparativo'!$D$2:$AC$59</definedName>
    <definedName name="_xlnm.Print_Area" localSheetId="28">'Budget Comparativo x BN'!$D$2:$BB$58</definedName>
    <definedName name="_xlnm.Print_Area" localSheetId="33">Budget_Comparativo_CL!$B$1:$S$39</definedName>
    <definedName name="_xlnm.Print_Area" localSheetId="31">Budget_Comparativo_FL_Acum!$B$1:$S$32</definedName>
    <definedName name="_xlnm.Print_Area" localSheetId="30">Budget_Comparativo_LD_Acum!$B$1:$S$32</definedName>
    <definedName name="_xlnm.Print_Area" localSheetId="29">Budget_Comparativo_PZ_Acum!$B$1:$S$32</definedName>
    <definedName name="_xlnm.Print_Area" localSheetId="32">'Budget_Comparativo_PZ+LD+FL'!$B$1:$W$40</definedName>
    <definedName name="_xlnm.Print_Area" localSheetId="27">'Comparativo CAR con BN'!$A$2:$L$58</definedName>
    <definedName name="_xlnm.Print_Area" localSheetId="25">'Comparativo SJ con BN'!$A$2:$L$58</definedName>
    <definedName name="_xlnm.Print_Area" localSheetId="26">'Comparativo UL con BN'!$A$2:$L$58</definedName>
    <definedName name="_xlnm.Print_Area" localSheetId="21">'Comparativo x BN'!$C$2:$Y$58</definedName>
    <definedName name="Assumptions" localSheetId="14">#REF!</definedName>
    <definedName name="Assumptions" localSheetId="15">#REF!</definedName>
    <definedName name="Assumptions" localSheetId="13">#REF!</definedName>
    <definedName name="Assumptions" localSheetId="16">#REF!</definedName>
    <definedName name="_xlnm.Database" localSheetId="14">#REF!</definedName>
    <definedName name="_xlnm.Database" localSheetId="15">#REF!</definedName>
    <definedName name="_xlnm.Database" localSheetId="13">#REF!</definedName>
    <definedName name="_xlnm.Database" localSheetId="16">#REF!</definedName>
    <definedName name="_xlnm.Database">#REF!</definedName>
    <definedName name="BuiltIn_Print_Area" localSheetId="14">#REF!</definedName>
    <definedName name="BuiltIn_Print_Area" localSheetId="15">#REF!</definedName>
    <definedName name="BuiltIn_Print_Area" localSheetId="13">#REF!</definedName>
    <definedName name="BuiltIn_Print_Area" localSheetId="16">#REF!</definedName>
    <definedName name="BuiltIn_Print_Area___0" localSheetId="14">#REF!</definedName>
    <definedName name="BuiltIn_Print_Area___0" localSheetId="15">#REF!</definedName>
    <definedName name="BuiltIn_Print_Area___0" localSheetId="13">#REF!</definedName>
    <definedName name="BuiltIn_Print_Area___0" localSheetId="16">#REF!</definedName>
    <definedName name="BuiltIn_Print_Titles" localSheetId="14">#REF!</definedName>
    <definedName name="BuiltIn_Print_Titles" localSheetId="15">#REF!</definedName>
    <definedName name="BuiltIn_Print_Titles" localSheetId="13">#REF!</definedName>
    <definedName name="BuiltIn_Print_Titles" localSheetId="16">#REF!</definedName>
    <definedName name="BuiltIn_Print_Titles___0" localSheetId="14">#REF!</definedName>
    <definedName name="BuiltIn_Print_Titles___0" localSheetId="15">#REF!</definedName>
    <definedName name="BuiltIn_Print_Titles___0" localSheetId="13">#REF!</definedName>
    <definedName name="BuiltIn_Print_Titles___0" localSheetId="16">#REF!</definedName>
    <definedName name="CASH_FLOW">#N/A</definedName>
    <definedName name="CodigoLodge" localSheetId="14">#REF!</definedName>
    <definedName name="CodigoLodge" localSheetId="15">#REF!</definedName>
    <definedName name="CodigoLodge" localSheetId="13">#REF!</definedName>
    <definedName name="CodigoLodge" localSheetId="16">#REF!</definedName>
    <definedName name="Costo" localSheetId="14">#REF!</definedName>
    <definedName name="Costo" localSheetId="15">#REF!</definedName>
    <definedName name="Costo" localSheetId="13">#REF!</definedName>
    <definedName name="Costo" localSheetId="16">#REF!</definedName>
    <definedName name="Depreciation_Investment" localSheetId="14">#REF!</definedName>
    <definedName name="Depreciation_Investment" localSheetId="15">#REF!</definedName>
    <definedName name="Depreciation_Investment" localSheetId="13">#REF!</definedName>
    <definedName name="Depreciation_Investment" localSheetId="16">#REF!</definedName>
    <definedName name="EVOLUCION___0">#N/A</definedName>
    <definedName name="Futa" hidden="1">{"Informe de Gastos",#N/A,FALSE,"Informe Gastos"}</definedName>
    <definedName name="IBrutos" localSheetId="20">#REF!</definedName>
    <definedName name="IBrutos" localSheetId="28">#REF!</definedName>
    <definedName name="IBrutos" localSheetId="27">#REF!</definedName>
    <definedName name="IBrutos" localSheetId="25">#REF!</definedName>
    <definedName name="IBrutos" localSheetId="26">#REF!</definedName>
    <definedName name="IBrutos" localSheetId="21">#REF!</definedName>
    <definedName name="IBrutos" localSheetId="14">#REF!</definedName>
    <definedName name="IBrutos" localSheetId="15">#REF!</definedName>
    <definedName name="IBrutos" localSheetId="13">#REF!</definedName>
    <definedName name="IBrutos" localSheetId="16">#REF!</definedName>
    <definedName name="INCOME_STATEMENT" localSheetId="14">#REF!</definedName>
    <definedName name="INCOME_STATEMENT" localSheetId="15">#REF!</definedName>
    <definedName name="INCOME_STATEMENT" localSheetId="13">#REF!</definedName>
    <definedName name="INCOME_STATEMENT" localSheetId="16">#REF!</definedName>
    <definedName name="Intang" localSheetId="14">#REF!</definedName>
    <definedName name="Intang" localSheetId="15">#REF!</definedName>
    <definedName name="Intang" localSheetId="13">#REF!</definedName>
    <definedName name="Intang" localSheetId="16">#REF!</definedName>
    <definedName name="Macro1">#N/A</definedName>
    <definedName name="Monext" localSheetId="14">#REF!</definedName>
    <definedName name="Monext" localSheetId="15">#REF!</definedName>
    <definedName name="Monext" localSheetId="13">#REF!</definedName>
    <definedName name="Monext" localSheetId="16">#REF!</definedName>
    <definedName name="º" hidden="1">{#N/A,#N/A,FALSE,"11) Det. Balance"}</definedName>
    <definedName name="PERSONNEL" localSheetId="14">#REF!</definedName>
    <definedName name="PERSONNEL" localSheetId="15">#REF!</definedName>
    <definedName name="PERSONNEL" localSheetId="13">#REF!</definedName>
    <definedName name="PERSONNEL" localSheetId="16">#REF!</definedName>
    <definedName name="Prorrata" localSheetId="14">#REF!</definedName>
    <definedName name="Prorrata" localSheetId="15">#REF!</definedName>
    <definedName name="Prorrata" localSheetId="13">#REF!</definedName>
    <definedName name="Prorrata" localSheetId="16">#REF!</definedName>
    <definedName name="res" localSheetId="20" hidden="1">{"Informe de Gastos",#N/A,FALSE,"Informe Gastos"}</definedName>
    <definedName name="res" localSheetId="28" hidden="1">{"Informe de Gastos",#N/A,FALSE,"Informe Gastos"}</definedName>
    <definedName name="res" localSheetId="27" hidden="1">{"Informe de Gastos",#N/A,FALSE,"Informe Gastos"}</definedName>
    <definedName name="res" localSheetId="25" hidden="1">{"Informe de Gastos",#N/A,FALSE,"Informe Gastos"}</definedName>
    <definedName name="res" localSheetId="26" hidden="1">{"Informe de Gastos",#N/A,FALSE,"Informe Gastos"}</definedName>
    <definedName name="res" localSheetId="21" hidden="1">{"Informe de Gastos",#N/A,FALSE,"Informe Gastos"}</definedName>
    <definedName name="Revenues_Expenses" localSheetId="14">#REF!</definedName>
    <definedName name="Revenues_Expenses" localSheetId="15">#REF!</definedName>
    <definedName name="Revenues_Expenses" localSheetId="13">#REF!</definedName>
    <definedName name="Revenues_Expenses" localSheetId="16">#REF!</definedName>
    <definedName name="Sociedades" localSheetId="14">#REF!</definedName>
    <definedName name="Sociedades" localSheetId="15">#REF!</definedName>
    <definedName name="Sociedades" localSheetId="13">#REF!</definedName>
    <definedName name="Sociedades" localSheetId="16">#REF!</definedName>
    <definedName name="T_Actividad" localSheetId="16">#REF!</definedName>
    <definedName name="T_Actividad">#REF!</definedName>
    <definedName name="T_ACUMULADO_APP_ALL_PAID" localSheetId="16">#REF!</definedName>
    <definedName name="T_ACUMULADO_APP_ALL_PAID">#REF!</definedName>
    <definedName name="T_ACUMULADO_APP_BN" localSheetId="16">#REF!</definedName>
    <definedName name="T_ACUMULADO_APP_BN">#REF!</definedName>
    <definedName name="T_ACUMULADO_APP_BSAS_OFFICE" localSheetId="16">#REF!</definedName>
    <definedName name="T_ACUMULADO_APP_BSAS_OFFICE">#REF!</definedName>
    <definedName name="T_ACUMULADO_APP_CASH" localSheetId="16">#REF!</definedName>
    <definedName name="T_ACUMULADO_APP_CASH">#REF!</definedName>
    <definedName name="T_ACUMULADO_APP_CASH2" localSheetId="16">#REF!</definedName>
    <definedName name="T_ACUMULADO_APP_CASH2">#REF!</definedName>
    <definedName name="T_ACUMULADO_APP_CASHES" localSheetId="16">#REF!</definedName>
    <definedName name="T_ACUMULADO_APP_CASHES">#REF!</definedName>
    <definedName name="T_ACUMULADO_APP_CHECK" localSheetId="16">#REF!</definedName>
    <definedName name="T_ACUMULADO_APP_CHECK">#REF!</definedName>
    <definedName name="T_ACUMULADO_APP_COMISION_TARJETA_35" localSheetId="16">#REF!</definedName>
    <definedName name="T_ACUMULADO_APP_COMISION_TARJETA_35">#REF!</definedName>
    <definedName name="T_ACUMULADO_APP_CREDIT_CARD" localSheetId="16">#REF!</definedName>
    <definedName name="T_ACUMULADO_APP_CREDIT_CARD">#REF!</definedName>
    <definedName name="T_ACUMULADO_APP_CREDIT_CARD_TAX" localSheetId="16">#REF!</definedName>
    <definedName name="T_ACUMULADO_APP_CREDIT_CARD_TAX">#REF!</definedName>
    <definedName name="T_ACUMULADO_APP_ESTANCIAS" localSheetId="16">#REF!</definedName>
    <definedName name="T_ACUMULADO_APP_ESTANCIAS">#REF!</definedName>
    <definedName name="T_ACUMULADO_APP_EXTRAS" localSheetId="16">#REF!</definedName>
    <definedName name="T_ACUMULADO_APP_EXTRAS">#REF!</definedName>
    <definedName name="T_ACUMULADO_APP_FULL_BY_GROP_CODE" localSheetId="16">#REF!</definedName>
    <definedName name="T_ACUMULADO_APP_FULL_BY_GROP_CODE">#REF!</definedName>
    <definedName name="T_ACUMULADO_APP_FULL_BY_LODGE" localSheetId="16">#REF!</definedName>
    <definedName name="T_ACUMULADO_APP_FULL_BY_LODGE">#REF!</definedName>
    <definedName name="T_ACUMULADO_APP_INDIVIDUAL" localSheetId="16">#REF!</definedName>
    <definedName name="T_ACUMULADO_APP_INDIVIDUAL">#REF!</definedName>
    <definedName name="T_ACUMULADO_APP_ORDER_TO_ALLPAID" localSheetId="16">#REF!</definedName>
    <definedName name="T_ACUMULADO_APP_ORDER_TO_ALLPAID">#REF!</definedName>
    <definedName name="T_ACUMULADO_APP_Q" localSheetId="16">#REF!</definedName>
    <definedName name="T_ACUMULADO_APP_Q">#REF!</definedName>
    <definedName name="T_ACUMULADO_APP_SHEL_BOXES" localSheetId="16">#REF!</definedName>
    <definedName name="T_ACUMULADO_APP_SHEL_BOXES">#REF!</definedName>
    <definedName name="T_ACUMULADO_APP_SHOP" localSheetId="16">#REF!</definedName>
    <definedName name="T_ACUMULADO_APP_SHOP">#REF!</definedName>
    <definedName name="T_ACUMULADO_APP_TC" localSheetId="16">#REF!</definedName>
    <definedName name="T_ACUMULADO_APP_TC">#REF!</definedName>
    <definedName name="T_ACUMULADO_APP_TC_CASH" localSheetId="16">#REF!</definedName>
    <definedName name="T_ACUMULADO_APP_TC_CASH">#REF!</definedName>
    <definedName name="T_ACUMULADO_APP_TIPS" localSheetId="16">#REF!</definedName>
    <definedName name="T_ACUMULADO_APP_TIPS">#REF!</definedName>
    <definedName name="T_ACUMULADO_APP_TOTAL" localSheetId="16">#REF!</definedName>
    <definedName name="T_ACUMULADO_APP_TOTAL">#REF!</definedName>
    <definedName name="T_ACUMULADO_APP_TOTAL_PAID" localSheetId="16">#REF!</definedName>
    <definedName name="T_ACUMULADO_APP_TOTAL_PAID">#REF!</definedName>
    <definedName name="T_ACUMULADO_APP_TOTAL_VAT" localSheetId="16">#REF!</definedName>
    <definedName name="T_ACUMULADO_APP_TOTAL_VAT">#REF!</definedName>
    <definedName name="T_ACUMULADO_APP_TRANSFER" localSheetId="16">#REF!</definedName>
    <definedName name="T_ACUMULADO_APP_TRANSFER">#REF!</definedName>
    <definedName name="T_ACUMULADO_APP_UNITS_SHELLS" localSheetId="16">#REF!</definedName>
    <definedName name="T_ACUMULADO_APP_UNITS_SHELLS">#REF!</definedName>
    <definedName name="T_ACUMULADO_ESTANCIAS_BAR" localSheetId="16">'CARMELO LODGE'!#REF!</definedName>
    <definedName name="T_ACUMULADO_ESTANCIAS_BAR">'CARMELO LODGE'!#REF!</definedName>
    <definedName name="T_ACUMULADO_ESTANCIAS_BED_NIGHTS" localSheetId="16">'CARMELO LODGE'!#REF!</definedName>
    <definedName name="T_ACUMULADO_ESTANCIAS_BED_NIGHTS">'CARMELO LODGE'!#REF!</definedName>
    <definedName name="T_ACUMULADO_ESTANCIAS_BN_LODGE" localSheetId="16">'CARMELO LODGE'!#REF!</definedName>
    <definedName name="T_ACUMULADO_ESTANCIAS_BN_LODGE">'CARMELO LODGE'!#REF!</definedName>
    <definedName name="T_ACUMULADO_ESTANCIAS_BN_VENTAS" localSheetId="16">'CARMELO LODGE'!#REF!</definedName>
    <definedName name="T_ACUMULADO_ESTANCIAS_BN_VENTAS">'CARMELO LODGE'!#REF!</definedName>
    <definedName name="T_ACUMULADO_ESTANCIAS_DATOS">'CARMELO LODGE'!$A$6:$L$6</definedName>
    <definedName name="T_ACUMULADO_ESTANCIAS_DONACION_CORDOBA_HOPE_PROJECT" localSheetId="16">'CARMELO LODGE'!#REF!</definedName>
    <definedName name="T_ACUMULADO_ESTANCIAS_DONACION_CORDOBA_HOPE_PROJECT">'CARMELO LODGE'!#REF!</definedName>
    <definedName name="T_ACUMULADO_ESTANCIAS_DONACION_ELITE_CLUB" localSheetId="16">'CARMELO LODGE'!#REF!</definedName>
    <definedName name="T_ACUMULADO_ESTANCIAS_DONACION_ELITE_CLUB">'CARMELO LODGE'!#REF!</definedName>
    <definedName name="T_ACUMULADO_ESTANCIAS_FECHA_APP">'CARMELO LODGE'!#REF!</definedName>
    <definedName name="T_ACUMULADO_ESTANCIAS_FIELD_STAFF_TIPS" localSheetId="16">'CARMELO LODGE'!#REF!</definedName>
    <definedName name="T_ACUMULADO_ESTANCIAS_FIELD_STAFF_TIPS">'CARMELO LODGE'!#REF!</definedName>
    <definedName name="T_ACUMULADO_ESTANCIAS_LODGE_SELECCIONADO">'CARMELO LODGE'!$A$4</definedName>
    <definedName name="T_ACUMULADO_ESTANCIAS_LODGE_VENTAS_SELECCIONADO">'CARMELO LODGE'!$A$3</definedName>
    <definedName name="T_ACUMULADO_ESTANCIAS_PAX_LODGE" localSheetId="16">'CARMELO LODGE'!#REF!</definedName>
    <definedName name="T_ACUMULADO_ESTANCIAS_PAX_LODGE">'CARMELO LODGE'!#REF!</definedName>
    <definedName name="T_ACUMULADO_ESTANCIAS_PAX_VENTAS" localSheetId="16">'CARMELO LODGE'!#REF!</definedName>
    <definedName name="T_ACUMULADO_ESTANCIAS_PAX_VENTAS">'CARMELO LODGE'!#REF!</definedName>
    <definedName name="T_ACUMULADO_ESTANCIAS_TEMPORADA">'CARMELO LODGE'!$B$4</definedName>
    <definedName name="T_EXTRAS_APP_GROUP_Y_NEW_CATEGORY_TO_SHELL_BOXES_PP" localSheetId="16">#REF!</definedName>
    <definedName name="T_EXTRAS_APP_GROUP_Y_NEW_CATEGORY_TO_SHELL_BOXES_PP">#REF!</definedName>
    <definedName name="T_EXTRAS_APP_IDEM_SALES" localSheetId="16">#REF!</definedName>
    <definedName name="T_EXTRAS_APP_IDEM_SALES">#REF!</definedName>
    <definedName name="T_EXTRAS_APP_LODGE_AND_NEW_CATEGORY_TO_END" localSheetId="16">#REF!</definedName>
    <definedName name="T_EXTRAS_APP_LODGE_AND_NEW_CATEGORY_TO_END">#REF!</definedName>
    <definedName name="T_EXTRAS_APP_SHELL_BOXES_PP" localSheetId="16">#REF!</definedName>
    <definedName name="T_EXTRAS_APP_SHELL_BOXES_PP">#REF!</definedName>
    <definedName name="T_EXTRAS_APP_SHELL_BOXES_Q" localSheetId="16">#REF!</definedName>
    <definedName name="T_EXTRAS_APP_SHELL_BOXES_Q">#REF!</definedName>
    <definedName name="T_LODGE" localSheetId="16">#REF!</definedName>
    <definedName name="T_LODGE">#REF!</definedName>
    <definedName name="T_SINO" localSheetId="16">#REF!</definedName>
    <definedName name="T_SINO">#REF!</definedName>
    <definedName name="T_STATUS_VENTAS" localSheetId="16">#REF!</definedName>
    <definedName name="T_STATUS_VENTAS">#REF!</definedName>
    <definedName name="T_TABLAS_ACUMULADOS_X_LODGE" localSheetId="16">#REF!</definedName>
    <definedName name="T_TABLAS_ACUMULADOS_X_LODGE">#REF!</definedName>
    <definedName name="T_TABLAS_ACUMULADOS_X_LODGE_NOMBRE_VENTAS" localSheetId="16">#REF!</definedName>
    <definedName name="T_TABLAS_ACUMULADOS_X_LODGE_NOMBRE_VENTAS">#REF!</definedName>
    <definedName name="T_TABLAS_CONVERSION_NOMBRE_LOGDE_APP_VENTAS" localSheetId="16">#REF!</definedName>
    <definedName name="T_TABLAS_CONVERSION_NOMBRE_LOGDE_APP_VENTAS">#REF!</definedName>
    <definedName name="T_TABLAS_TEMPORADAS" localSheetId="16">#REF!</definedName>
    <definedName name="T_TABLAS_TEMPORADAS">#REF!</definedName>
    <definedName name="T_VENTAS" localSheetId="16">#REF!</definedName>
    <definedName name="T_VENTAS">#REF!</definedName>
    <definedName name="T_VENTAS_24_25_BN" localSheetId="16">#REF!</definedName>
    <definedName name="T_VENTAS_24_25_BN">#REF!</definedName>
    <definedName name="T_VENTAS_24_25_BN_CERRADAS" localSheetId="16">#REF!</definedName>
    <definedName name="T_VENTAS_24_25_BN_CERRADAS">#REF!</definedName>
    <definedName name="T_VENTAS_24_25_BY_LODGE_TO_BN" localSheetId="16">#REF!</definedName>
    <definedName name="T_VENTAS_24_25_BY_LODGE_TO_BN">#REF!</definedName>
    <definedName name="T_VENTAS_24_25_FULL_BY_GROUP_CODE" localSheetId="16">#REF!</definedName>
    <definedName name="T_VENTAS_24_25_FULL_BY_GROUP_CODE">#REF!</definedName>
    <definedName name="T_VENTAS_24_25_FULL_BY_LODGE" localSheetId="16">#REF!</definedName>
    <definedName name="T_VENTAS_24_25_FULL_BY_LODGE">#REF!</definedName>
    <definedName name="T_VENTAS_24_25_PAX" localSheetId="16">#REF!</definedName>
    <definedName name="T_VENTAS_24_25_PAX">#REF!</definedName>
    <definedName name="T_VENTAS_24_25_PAX_CERRADAS" localSheetId="16">#REF!</definedName>
    <definedName name="T_VENTAS_24_25_PAX_CERRADAS">#REF!</definedName>
    <definedName name="T_VENTAS_25_26_BN" localSheetId="16">#REF!</definedName>
    <definedName name="T_VENTAS_25_26_BN">#REF!</definedName>
    <definedName name="T_VENTAS_25_26_BN_CERRADAS" localSheetId="16">#REF!</definedName>
    <definedName name="T_VENTAS_25_26_BN_CERRADAS">#REF!</definedName>
    <definedName name="T_VENTAS_25_26_BY_LODGE_TO_BN" localSheetId="16">#REF!</definedName>
    <definedName name="T_VENTAS_25_26_BY_LODGE_TO_BN">#REF!</definedName>
    <definedName name="T_VENTAS_25_26_FULL_BY_GROUP_CODE" localSheetId="16">#REF!</definedName>
    <definedName name="T_VENTAS_25_26_FULL_BY_GROUP_CODE">#REF!</definedName>
    <definedName name="T_VENTAS_25_26_FULL_BY_LODGE" localSheetId="16">#REF!</definedName>
    <definedName name="T_VENTAS_25_26_FULL_BY_LODGE">#REF!</definedName>
    <definedName name="T_VENTAS_25_26_PAX" localSheetId="16">#REF!</definedName>
    <definedName name="T_VENTAS_25_26_PAX">#REF!</definedName>
    <definedName name="T_VENTAS_25_26_PAX_CERRADAS" localSheetId="16">#REF!</definedName>
    <definedName name="T_VENTAS_25_26_PAX_CERRADAS">#REF!</definedName>
    <definedName name="TablaLodges" localSheetId="14">#REF!</definedName>
    <definedName name="TablaLodges" localSheetId="15">#REF!</definedName>
    <definedName name="TablaLodges" localSheetId="13">#REF!</definedName>
    <definedName name="TablaLodges" localSheetId="16">#REF!</definedName>
    <definedName name="TablaSociedades" localSheetId="14">#REF!</definedName>
    <definedName name="TablaSociedades" localSheetId="15">#REF!</definedName>
    <definedName name="TablaSociedades" localSheetId="13">#REF!</definedName>
    <definedName name="TablaSociedades" localSheetId="16">#REF!</definedName>
    <definedName name="_xlnm.Print_Titles" localSheetId="20">'Budget Comparativo'!$D:$E,'Budget Comparativo'!$2:$7</definedName>
    <definedName name="_xlnm.Print_Titles" localSheetId="28">'Budget Comparativo x BN'!$D:$E,'Budget Comparativo x BN'!$2:$7</definedName>
    <definedName name="_xlnm.Print_Titles" localSheetId="27">'Comparativo CAR con BN'!$A:$B,'Comparativo CAR con BN'!$2:$7</definedName>
    <definedName name="_xlnm.Print_Titles" localSheetId="25">'Comparativo SJ con BN'!$A:$B,'Comparativo SJ con BN'!$2:$7</definedName>
    <definedName name="_xlnm.Print_Titles" localSheetId="26">'Comparativo UL con BN'!$A:$B,'Comparativo UL con BN'!$2:$7</definedName>
    <definedName name="_xlnm.Print_Titles" localSheetId="21">'Comparativo x BN'!$C:$D,'Comparativo x BN'!$2:$7</definedName>
    <definedName name="Total_Sales__quantity" localSheetId="14">#REF!</definedName>
    <definedName name="Total_Sales__quantity" localSheetId="15">#REF!</definedName>
    <definedName name="Total_Sales__quantity" localSheetId="13">#REF!</definedName>
    <definedName name="Total_Sales__quantity" localSheetId="16">#REF!</definedName>
    <definedName name="Uniona" localSheetId="20">#REF!</definedName>
    <definedName name="Uniona" localSheetId="28">#REF!</definedName>
    <definedName name="Uniona" localSheetId="27">#REF!</definedName>
    <definedName name="Uniona" localSheetId="25">#REF!</definedName>
    <definedName name="Uniona" localSheetId="26">#REF!</definedName>
    <definedName name="Uniona" localSheetId="21">#REF!</definedName>
    <definedName name="Uniona" localSheetId="14">#REF!</definedName>
    <definedName name="Uniona" localSheetId="15">#REF!</definedName>
    <definedName name="Uniona" localSheetId="13">#REF!</definedName>
    <definedName name="Uniona" localSheetId="16">#REF!</definedName>
    <definedName name="VarLodges" localSheetId="14">#REF!</definedName>
    <definedName name="VarLodges" localSheetId="15">#REF!</definedName>
    <definedName name="VarLodges" localSheetId="13">#REF!</definedName>
    <definedName name="VarLodges" localSheetId="16">#REF!</definedName>
    <definedName name="wrn.balance._.detallado." hidden="1">{#N/A,#N/A,FALSE,"11) Det. Balance"}</definedName>
    <definedName name="wrn.Informe._.de._.Caja._.semanal." localSheetId="20" hidden="1">{"Informe de Caja",#N/A,FALSE,"Caja"}</definedName>
    <definedName name="wrn.Informe._.de._.Caja._.semanal." localSheetId="28" hidden="1">{"Informe de Caja",#N/A,FALSE,"Caja"}</definedName>
    <definedName name="wrn.Informe._.de._.Caja._.semanal." localSheetId="27" hidden="1">{"Informe de Caja",#N/A,FALSE,"Caja"}</definedName>
    <definedName name="wrn.Informe._.de._.Caja._.semanal." localSheetId="25" hidden="1">{"Informe de Caja",#N/A,FALSE,"Caja"}</definedName>
    <definedName name="wrn.Informe._.de._.Caja._.semanal." localSheetId="26" hidden="1">{"Informe de Caja",#N/A,FALSE,"Caja"}</definedName>
    <definedName name="wrn.Informe._.de._.Caja._.semanal." localSheetId="21" hidden="1">{"Informe de Caja",#N/A,FALSE,"Caja"}</definedName>
    <definedName name="wrn.Informe._.Presupuesto._.vs._.Real." localSheetId="20" hidden="1">{"Informe Presupuesto",#N/A,FALSE,"Presupuesto"}</definedName>
    <definedName name="wrn.Informe._.Presupuesto._.vs._.Real." localSheetId="28" hidden="1">{"Informe Presupuesto",#N/A,FALSE,"Presupuesto"}</definedName>
    <definedName name="wrn.Informe._.Presupuesto._.vs._.Real." localSheetId="27" hidden="1">{"Informe Presupuesto",#N/A,FALSE,"Presupuesto"}</definedName>
    <definedName name="wrn.Informe._.Presupuesto._.vs._.Real." localSheetId="25" hidden="1">{"Informe Presupuesto",#N/A,FALSE,"Presupuesto"}</definedName>
    <definedName name="wrn.Informe._.Presupuesto._.vs._.Real." localSheetId="26" hidden="1">{"Informe Presupuesto",#N/A,FALSE,"Presupuesto"}</definedName>
    <definedName name="wrn.Informe._.Presupuesto._.vs._.Real." localSheetId="21" hidden="1">{"Informe Presupuesto",#N/A,FALSE,"Presupuesto"}</definedName>
    <definedName name="wrn.Resumen._.de._.Gastos._.por._.semana." localSheetId="20" hidden="1">{"Informe de Gastos",#N/A,FALSE,"Informe Gastos"}</definedName>
    <definedName name="wrn.Resumen._.de._.Gastos._.por._.semana." localSheetId="28" hidden="1">{"Informe de Gastos",#N/A,FALSE,"Informe Gastos"}</definedName>
    <definedName name="wrn.Resumen._.de._.Gastos._.por._.semana." localSheetId="27" hidden="1">{"Informe de Gastos",#N/A,FALSE,"Informe Gastos"}</definedName>
    <definedName name="wrn.Resumen._.de._.Gastos._.por._.semana." localSheetId="25" hidden="1">{"Informe de Gastos",#N/A,FALSE,"Informe Gastos"}</definedName>
    <definedName name="wrn.Resumen._.de._.Gastos._.por._.semana." localSheetId="26" hidden="1">{"Informe de Gastos",#N/A,FALSE,"Informe Gastos"}</definedName>
    <definedName name="wrn.Resumen._.de._.Gastos._.por._.semana." localSheetId="21" hidden="1">{"Informe de Gastos",#N/A,FALSE,"Informe Gastos"}</definedName>
    <definedName name="wrn.Resumen._.de._.Ingresos._.por._.Semana." localSheetId="20" hidden="1">{"Resumen de Ingresos",#N/A,FALSE,"Informe Ingresos"}</definedName>
    <definedName name="wrn.Resumen._.de._.Ingresos._.por._.Semana." localSheetId="28" hidden="1">{"Resumen de Ingresos",#N/A,FALSE,"Informe Ingresos"}</definedName>
    <definedName name="wrn.Resumen._.de._.Ingresos._.por._.Semana." localSheetId="27" hidden="1">{"Resumen de Ingresos",#N/A,FALSE,"Informe Ingresos"}</definedName>
    <definedName name="wrn.Resumen._.de._.Ingresos._.por._.Semana." localSheetId="25" hidden="1">{"Resumen de Ingresos",#N/A,FALSE,"Informe Ingresos"}</definedName>
    <definedName name="wrn.Resumen._.de._.Ingresos._.por._.Semana." localSheetId="26" hidden="1">{"Resumen de Ingresos",#N/A,FALSE,"Informe Ingresos"}</definedName>
    <definedName name="wrn.Resumen._.de._.Ingresos._.por._.Semana." localSheetId="21" hidden="1">{"Resumen de Ingresos",#N/A,FALSE,"Informe Ingresos"}</definedName>
  </definedNames>
  <calcPr calcId="12451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122" i="74"/>
  <c r="F1121"/>
  <c r="F1113"/>
  <c r="F1112"/>
  <c r="F1107"/>
  <c r="F1119"/>
  <c r="F1118"/>
  <c r="F1120"/>
  <c r="F1115"/>
  <c r="F1114"/>
  <c r="F1111"/>
  <c r="F1110"/>
  <c r="F1109"/>
  <c r="F1108"/>
  <c r="F1117"/>
  <c r="F1116"/>
  <c r="F1106"/>
  <c r="F1105"/>
  <c r="F1104"/>
  <c r="I1122"/>
  <c r="I1121"/>
  <c r="I1113"/>
  <c r="I1112"/>
  <c r="I1107"/>
  <c r="I1119"/>
  <c r="I1118"/>
  <c r="I1120"/>
  <c r="I1115"/>
  <c r="I1114"/>
  <c r="I1111"/>
  <c r="I1110"/>
  <c r="I1109"/>
  <c r="I1108"/>
  <c r="I1117"/>
  <c r="I1116"/>
  <c r="I1106"/>
  <c r="I1105"/>
  <c r="I1104"/>
  <c r="W1103"/>
  <c r="W1102"/>
  <c r="W1098"/>
  <c r="W1096"/>
  <c r="W1092"/>
  <c r="W1091"/>
  <c r="W1090"/>
  <c r="W1089"/>
  <c r="W1088"/>
  <c r="W1087"/>
  <c r="W1086"/>
  <c r="W1085"/>
  <c r="W1084"/>
  <c r="W1083"/>
  <c r="W1082"/>
  <c r="W1081"/>
  <c r="W1080"/>
  <c r="W1077"/>
  <c r="W1076"/>
  <c r="W1075"/>
  <c r="W1074"/>
  <c r="W1073"/>
  <c r="W1072"/>
  <c r="W1071"/>
  <c r="W1070"/>
  <c r="W1069"/>
  <c r="W1068"/>
  <c r="W1067"/>
  <c r="W1066"/>
  <c r="W1065"/>
  <c r="W1064"/>
  <c r="W1063"/>
  <c r="W1062"/>
  <c r="W1061"/>
  <c r="W1060"/>
  <c r="W1059"/>
  <c r="W1058"/>
  <c r="W1057"/>
  <c r="W1056"/>
  <c r="W1055"/>
  <c r="W1054"/>
  <c r="W1053"/>
  <c r="W1052"/>
  <c r="W1047"/>
  <c r="W1046"/>
  <c r="W1045"/>
  <c r="W1044"/>
  <c r="W1043"/>
  <c r="W1042"/>
  <c r="W1041"/>
  <c r="W1040"/>
  <c r="W1037"/>
  <c r="W1036"/>
  <c r="W1035"/>
  <c r="W1034"/>
  <c r="W1033"/>
  <c r="W1032"/>
  <c r="W1031"/>
  <c r="W1030"/>
  <c r="W1029"/>
  <c r="W1028"/>
  <c r="W1027"/>
  <c r="W1026"/>
  <c r="W1025"/>
  <c r="W1024"/>
  <c r="W1023"/>
  <c r="W1022"/>
  <c r="W1021"/>
  <c r="W1020"/>
  <c r="W1019"/>
  <c r="W1018"/>
  <c r="W1017"/>
  <c r="W1016"/>
  <c r="W1015"/>
  <c r="W1014"/>
  <c r="W1013"/>
  <c r="W1007"/>
  <c r="W1006"/>
  <c r="W1004"/>
  <c r="W1101"/>
  <c r="W1100"/>
  <c r="W1099"/>
  <c r="W1097"/>
  <c r="W1095"/>
  <c r="W1094"/>
  <c r="W1093"/>
  <c r="W1079"/>
  <c r="W1078"/>
  <c r="W1051"/>
  <c r="W1050"/>
  <c r="W1049"/>
  <c r="W1048"/>
  <c r="W1039"/>
  <c r="W1038"/>
  <c r="W1012"/>
  <c r="W1011"/>
  <c r="W1010"/>
  <c r="W1009"/>
  <c r="W1008"/>
  <c r="W1005"/>
  <c r="W1003"/>
  <c r="W1002"/>
  <c r="W1001"/>
  <c r="G9" i="62"/>
  <c r="I1103" i="74"/>
  <c r="I1102"/>
  <c r="I1101"/>
  <c r="I1100"/>
  <c r="I1099"/>
  <c r="I1098"/>
  <c r="I1097"/>
  <c r="I1096"/>
  <c r="I1095"/>
  <c r="I1094"/>
  <c r="I1093"/>
  <c r="I1092"/>
  <c r="I1091"/>
  <c r="I1090"/>
  <c r="I1089"/>
  <c r="I1088"/>
  <c r="I1087"/>
  <c r="I1086"/>
  <c r="I1085"/>
  <c r="I1084"/>
  <c r="I1083"/>
  <c r="I1082"/>
  <c r="I1081"/>
  <c r="I1080"/>
  <c r="I1079"/>
  <c r="I1078"/>
  <c r="I1077"/>
  <c r="I1076"/>
  <c r="I1075"/>
  <c r="I1074"/>
  <c r="I1073"/>
  <c r="I1072"/>
  <c r="I1071"/>
  <c r="I1070"/>
  <c r="I1069"/>
  <c r="I1068"/>
  <c r="I1067"/>
  <c r="I1066"/>
  <c r="I1065"/>
  <c r="I1064"/>
  <c r="I1063"/>
  <c r="I1062"/>
  <c r="I1061"/>
  <c r="I1060"/>
  <c r="I1059"/>
  <c r="I1058"/>
  <c r="I1057"/>
  <c r="I1056"/>
  <c r="I1055"/>
  <c r="I1054"/>
  <c r="I1053"/>
  <c r="I1052"/>
  <c r="I1051"/>
  <c r="I1050"/>
  <c r="I1049"/>
  <c r="I1048"/>
  <c r="I1047"/>
  <c r="I1046"/>
  <c r="I1045"/>
  <c r="I1044"/>
  <c r="I1043"/>
  <c r="I1042"/>
  <c r="I1041"/>
  <c r="I1040"/>
  <c r="I1039"/>
  <c r="I1038"/>
  <c r="I1037"/>
  <c r="I1036"/>
  <c r="I1035"/>
  <c r="I1034"/>
  <c r="I1033"/>
  <c r="I1032"/>
  <c r="I1031"/>
  <c r="I1030"/>
  <c r="I1029"/>
  <c r="I1028"/>
  <c r="I1027"/>
  <c r="I1026"/>
  <c r="I1025"/>
  <c r="I1024"/>
  <c r="I1023"/>
  <c r="I1022"/>
  <c r="I1021"/>
  <c r="I1020"/>
  <c r="I1019"/>
  <c r="I1018"/>
  <c r="I1017"/>
  <c r="I1016"/>
  <c r="I1015"/>
  <c r="I1014"/>
  <c r="I1013"/>
  <c r="I1012"/>
  <c r="I1011"/>
  <c r="I1010"/>
  <c r="I1009"/>
  <c r="I1008"/>
  <c r="I1007"/>
  <c r="I1006"/>
  <c r="I1005"/>
  <c r="I1004"/>
  <c r="I1003"/>
  <c r="I1002"/>
  <c r="I1001"/>
  <c r="I999"/>
  <c r="I998"/>
  <c r="I997"/>
  <c r="I996"/>
  <c r="I995"/>
  <c r="I993"/>
  <c r="I992"/>
  <c r="I991"/>
  <c r="I990"/>
  <c r="I989"/>
  <c r="I988"/>
  <c r="I987"/>
  <c r="I986"/>
  <c r="I985"/>
  <c r="I984"/>
  <c r="I983"/>
  <c r="I982"/>
  <c r="I981"/>
  <c r="I980"/>
  <c r="I979"/>
  <c r="I978"/>
  <c r="I977"/>
  <c r="I976"/>
  <c r="I975"/>
  <c r="I974"/>
  <c r="I973"/>
  <c r="I972"/>
  <c r="I971"/>
  <c r="I970"/>
  <c r="I969"/>
  <c r="I968"/>
  <c r="I967"/>
  <c r="I966"/>
  <c r="I965"/>
  <c r="I964"/>
  <c r="I963"/>
  <c r="I962"/>
  <c r="I961"/>
  <c r="I960"/>
  <c r="I959"/>
  <c r="I958"/>
  <c r="I957"/>
  <c r="I956"/>
  <c r="I955"/>
  <c r="I954"/>
  <c r="I953"/>
  <c r="I952"/>
  <c r="I951"/>
  <c r="I950"/>
  <c r="I949"/>
  <c r="I948"/>
  <c r="I947"/>
  <c r="I946"/>
  <c r="I945"/>
  <c r="I944"/>
  <c r="I943"/>
  <c r="I942"/>
  <c r="I941"/>
  <c r="I940"/>
  <c r="I939"/>
  <c r="I938"/>
  <c r="I937"/>
  <c r="I936"/>
  <c r="I935"/>
  <c r="I934"/>
  <c r="I933"/>
  <c r="I932"/>
  <c r="I931"/>
  <c r="I930"/>
  <c r="I929"/>
  <c r="I928"/>
  <c r="I927"/>
  <c r="I926"/>
  <c r="I925"/>
  <c r="I924"/>
  <c r="I923"/>
  <c r="I922"/>
  <c r="I921"/>
  <c r="I920"/>
  <c r="I919"/>
  <c r="I918"/>
  <c r="I917"/>
  <c r="I916"/>
  <c r="I915"/>
  <c r="I914"/>
  <c r="I913"/>
  <c r="I912"/>
  <c r="I911"/>
  <c r="I910"/>
  <c r="I909"/>
  <c r="I908"/>
  <c r="I907"/>
  <c r="I906"/>
  <c r="I905"/>
  <c r="I904"/>
  <c r="I903"/>
  <c r="I902"/>
  <c r="I901"/>
  <c r="I900"/>
  <c r="I899"/>
  <c r="I898"/>
  <c r="I897"/>
  <c r="I896"/>
  <c r="I895"/>
  <c r="I894"/>
  <c r="I893"/>
  <c r="I892"/>
  <c r="I891"/>
  <c r="I890"/>
  <c r="I889"/>
  <c r="I888"/>
  <c r="I887"/>
  <c r="I886"/>
  <c r="I885"/>
  <c r="I884"/>
  <c r="I883"/>
  <c r="I882"/>
  <c r="I881"/>
  <c r="I880"/>
  <c r="I879"/>
  <c r="I878"/>
  <c r="I877"/>
  <c r="I876"/>
  <c r="I875"/>
  <c r="I874"/>
  <c r="I873"/>
  <c r="I872"/>
  <c r="I871"/>
  <c r="I870"/>
  <c r="I869"/>
  <c r="I868"/>
  <c r="I867"/>
  <c r="I866"/>
  <c r="I865"/>
  <c r="I864"/>
  <c r="I863"/>
  <c r="I862"/>
  <c r="I861"/>
  <c r="I860"/>
  <c r="I859"/>
  <c r="I858"/>
  <c r="I857"/>
  <c r="I856"/>
  <c r="I855"/>
  <c r="I854"/>
  <c r="I853"/>
  <c r="I852"/>
  <c r="I851"/>
  <c r="I850"/>
  <c r="I849"/>
  <c r="I848"/>
  <c r="I847"/>
  <c r="I846"/>
  <c r="I845"/>
  <c r="I844"/>
  <c r="I843"/>
  <c r="I842"/>
  <c r="I841"/>
  <c r="I840"/>
  <c r="I839"/>
  <c r="I838"/>
  <c r="I837"/>
  <c r="I836"/>
  <c r="I835"/>
  <c r="I834"/>
  <c r="I833"/>
  <c r="I832"/>
  <c r="I831"/>
  <c r="I830"/>
  <c r="I829"/>
  <c r="I828"/>
  <c r="I827"/>
  <c r="I826"/>
  <c r="I825"/>
  <c r="I824"/>
  <c r="I823"/>
  <c r="I822"/>
  <c r="I821"/>
  <c r="I820"/>
  <c r="I819"/>
  <c r="I818"/>
  <c r="I817"/>
  <c r="I816"/>
  <c r="I815"/>
  <c r="I814"/>
  <c r="I813"/>
  <c r="I812"/>
  <c r="I811"/>
  <c r="I810"/>
  <c r="I809"/>
  <c r="I808"/>
  <c r="I807"/>
  <c r="I806"/>
  <c r="I2587"/>
  <c r="L3" i="75"/>
  <c r="K3"/>
  <c r="J3"/>
  <c r="H8" i="61" s="1"/>
  <c r="I3" i="75"/>
  <c r="H3"/>
  <c r="G3"/>
  <c r="H9" i="61" s="1"/>
  <c r="L5" i="72"/>
  <c r="K5"/>
  <c r="U6" i="5"/>
  <c r="R6"/>
  <c r="I129" i="74"/>
  <c r="I128"/>
  <c r="I314"/>
  <c r="I127"/>
  <c r="I313"/>
  <c r="I126"/>
  <c r="I125"/>
  <c r="I312"/>
  <c r="I124"/>
  <c r="I311"/>
  <c r="I123"/>
  <c r="I134"/>
  <c r="I233"/>
  <c r="I122"/>
  <c r="I121"/>
  <c r="I213"/>
  <c r="I310"/>
  <c r="I120"/>
  <c r="I119"/>
  <c r="I232"/>
  <c r="I309"/>
  <c r="I118"/>
  <c r="I117"/>
  <c r="I231"/>
  <c r="I308"/>
  <c r="I116"/>
  <c r="I193"/>
  <c r="I192"/>
  <c r="I191"/>
  <c r="I307"/>
  <c r="I190"/>
  <c r="I189"/>
  <c r="I212"/>
  <c r="I188"/>
  <c r="I187"/>
  <c r="I115"/>
  <c r="I230"/>
  <c r="I114"/>
  <c r="I186"/>
  <c r="I113"/>
  <c r="I306"/>
  <c r="I112"/>
  <c r="I185"/>
  <c r="I184"/>
  <c r="I183"/>
  <c r="I111"/>
  <c r="I182"/>
  <c r="I305"/>
  <c r="I110"/>
  <c r="I181"/>
  <c r="I109"/>
  <c r="I180"/>
  <c r="I179"/>
  <c r="I178"/>
  <c r="I304"/>
  <c r="I108"/>
  <c r="I107"/>
  <c r="I177"/>
  <c r="I176"/>
  <c r="I303"/>
  <c r="I106"/>
  <c r="I133"/>
  <c r="I105"/>
  <c r="I104"/>
  <c r="I302"/>
  <c r="I237"/>
  <c r="I103"/>
  <c r="I102"/>
  <c r="I301"/>
  <c r="I101"/>
  <c r="I100"/>
  <c r="I300"/>
  <c r="I229"/>
  <c r="I132"/>
  <c r="I236"/>
  <c r="I99"/>
  <c r="I299"/>
  <c r="I211"/>
  <c r="I98"/>
  <c r="I97"/>
  <c r="I96"/>
  <c r="I175"/>
  <c r="I228"/>
  <c r="I174"/>
  <c r="I298"/>
  <c r="I173"/>
  <c r="I297"/>
  <c r="I95"/>
  <c r="I227"/>
  <c r="I210"/>
  <c r="I172"/>
  <c r="I94"/>
  <c r="I226"/>
  <c r="I209"/>
  <c r="I93"/>
  <c r="I296"/>
  <c r="I92"/>
  <c r="I91"/>
  <c r="I295"/>
  <c r="I90"/>
  <c r="I294"/>
  <c r="I89"/>
  <c r="I88"/>
  <c r="I293"/>
  <c r="I87"/>
  <c r="I171"/>
  <c r="I170"/>
  <c r="I169"/>
  <c r="I86"/>
  <c r="I168"/>
  <c r="I167"/>
  <c r="I225"/>
  <c r="I224"/>
  <c r="I166"/>
  <c r="I292"/>
  <c r="I85"/>
  <c r="I84"/>
  <c r="I291"/>
  <c r="I83"/>
  <c r="I82"/>
  <c r="I81"/>
  <c r="I223"/>
  <c r="I80"/>
  <c r="I290"/>
  <c r="I208"/>
  <c r="I79"/>
  <c r="I78"/>
  <c r="I165"/>
  <c r="I222"/>
  <c r="I289"/>
  <c r="I164"/>
  <c r="I163"/>
  <c r="I77"/>
  <c r="I76"/>
  <c r="I207"/>
  <c r="I288"/>
  <c r="I287"/>
  <c r="I75"/>
  <c r="I74"/>
  <c r="I206"/>
  <c r="I162"/>
  <c r="I73"/>
  <c r="I286"/>
  <c r="I72"/>
  <c r="I71"/>
  <c r="I285"/>
  <c r="I70"/>
  <c r="I284"/>
  <c r="I69"/>
  <c r="I68"/>
  <c r="I283"/>
  <c r="I131"/>
  <c r="I67"/>
  <c r="I221"/>
  <c r="I66"/>
  <c r="I220"/>
  <c r="I65"/>
  <c r="I282"/>
  <c r="I161"/>
  <c r="I160"/>
  <c r="I64"/>
  <c r="I63"/>
  <c r="I130"/>
  <c r="I159"/>
  <c r="I219"/>
  <c r="I62"/>
  <c r="I218"/>
  <c r="I281"/>
  <c r="I61"/>
  <c r="I280"/>
  <c r="I60"/>
  <c r="I59"/>
  <c r="I205"/>
  <c r="I279"/>
  <c r="I58"/>
  <c r="I217"/>
  <c r="I57"/>
  <c r="I56"/>
  <c r="I216"/>
  <c r="I204"/>
  <c r="I278"/>
  <c r="I55"/>
  <c r="I277"/>
  <c r="I54"/>
  <c r="I53"/>
  <c r="I203"/>
  <c r="I52"/>
  <c r="I51"/>
  <c r="I215"/>
  <c r="I276"/>
  <c r="I759"/>
  <c r="I758"/>
  <c r="I419"/>
  <c r="I364"/>
  <c r="I527"/>
  <c r="I526"/>
  <c r="I525"/>
  <c r="I739"/>
  <c r="I738"/>
  <c r="I631"/>
  <c r="I524"/>
  <c r="I634"/>
  <c r="I568"/>
  <c r="I630"/>
  <c r="I629"/>
  <c r="I791"/>
  <c r="I790"/>
  <c r="I722"/>
  <c r="I523"/>
  <c r="I522"/>
  <c r="I521"/>
  <c r="I520"/>
  <c r="I757"/>
  <c r="I519"/>
  <c r="I518"/>
  <c r="I517"/>
  <c r="I516"/>
  <c r="I769"/>
  <c r="I515"/>
  <c r="I514"/>
  <c r="I513"/>
  <c r="I512"/>
  <c r="I511"/>
  <c r="I510"/>
  <c r="I509"/>
  <c r="I508"/>
  <c r="I507"/>
  <c r="I756"/>
  <c r="I506"/>
  <c r="I505"/>
  <c r="I804"/>
  <c r="I363"/>
  <c r="I504"/>
  <c r="I503"/>
  <c r="I737"/>
  <c r="I362"/>
  <c r="I361"/>
  <c r="I367"/>
  <c r="I366"/>
  <c r="I365"/>
  <c r="I736"/>
  <c r="I397"/>
  <c r="I396"/>
  <c r="I448"/>
  <c r="I447"/>
  <c r="I446"/>
  <c r="I445"/>
  <c r="I502"/>
  <c r="I501"/>
  <c r="I500"/>
  <c r="I499"/>
  <c r="I735"/>
  <c r="I498"/>
  <c r="I497"/>
  <c r="I496"/>
  <c r="I734"/>
  <c r="I733"/>
  <c r="I721"/>
  <c r="I720"/>
  <c r="I732"/>
  <c r="I495"/>
  <c r="I719"/>
  <c r="I718"/>
  <c r="I628"/>
  <c r="I627"/>
  <c r="I626"/>
  <c r="I625"/>
  <c r="I624"/>
  <c r="I623"/>
  <c r="I622"/>
  <c r="I621"/>
  <c r="I494"/>
  <c r="I803"/>
  <c r="I731"/>
  <c r="I802"/>
  <c r="I785"/>
  <c r="I783"/>
  <c r="I782"/>
  <c r="I755"/>
  <c r="I730"/>
  <c r="I754"/>
  <c r="I620"/>
  <c r="I619"/>
  <c r="I618"/>
  <c r="I617"/>
  <c r="I567"/>
  <c r="I566"/>
  <c r="I565"/>
  <c r="I564"/>
  <c r="I551"/>
  <c r="I550"/>
  <c r="I549"/>
  <c r="I548"/>
  <c r="I543"/>
  <c r="I542"/>
  <c r="I541"/>
  <c r="I493"/>
  <c r="I492"/>
  <c r="I491"/>
  <c r="I490"/>
  <c r="I489"/>
  <c r="I488"/>
  <c r="I487"/>
  <c r="I486"/>
  <c r="I485"/>
  <c r="I484"/>
  <c r="I483"/>
  <c r="I482"/>
  <c r="I481"/>
  <c r="I480"/>
  <c r="I479"/>
  <c r="I478"/>
  <c r="I477"/>
  <c r="I476"/>
  <c r="I475"/>
  <c r="I474"/>
  <c r="I473"/>
  <c r="I472"/>
  <c r="I471"/>
  <c r="I768"/>
  <c r="I352"/>
  <c r="I351"/>
  <c r="I753"/>
  <c r="I350"/>
  <c r="I349"/>
  <c r="I348"/>
  <c r="I347"/>
  <c r="I346"/>
  <c r="I423"/>
  <c r="I752"/>
  <c r="I751"/>
  <c r="I750"/>
  <c r="I418"/>
  <c r="I417"/>
  <c r="I537"/>
  <c r="I536"/>
  <c r="I535"/>
  <c r="I534"/>
  <c r="I717"/>
  <c r="I716"/>
  <c r="I715"/>
  <c r="I714"/>
  <c r="I713"/>
  <c r="I712"/>
  <c r="I711"/>
  <c r="I710"/>
  <c r="I709"/>
  <c r="I708"/>
  <c r="I707"/>
  <c r="I706"/>
  <c r="I705"/>
  <c r="I704"/>
  <c r="I616"/>
  <c r="I615"/>
  <c r="I614"/>
  <c r="I613"/>
  <c r="I416"/>
  <c r="I415"/>
  <c r="I360"/>
  <c r="I328"/>
  <c r="I327"/>
  <c r="I326"/>
  <c r="I325"/>
  <c r="I324"/>
  <c r="I323"/>
  <c r="I414"/>
  <c r="I413"/>
  <c r="I779"/>
  <c r="I703"/>
  <c r="I702"/>
  <c r="I701"/>
  <c r="I781"/>
  <c r="I444"/>
  <c r="I395"/>
  <c r="I443"/>
  <c r="I15"/>
  <c r="I700"/>
  <c r="I699"/>
  <c r="I698"/>
  <c r="I697"/>
  <c r="I696"/>
  <c r="I695"/>
  <c r="I694"/>
  <c r="I693"/>
  <c r="I692"/>
  <c r="I691"/>
  <c r="I690"/>
  <c r="I689"/>
  <c r="I688"/>
  <c r="I687"/>
  <c r="I686"/>
  <c r="I685"/>
  <c r="I612"/>
  <c r="I611"/>
  <c r="I610"/>
  <c r="I609"/>
  <c r="I608"/>
  <c r="I607"/>
  <c r="I533"/>
  <c r="I532"/>
  <c r="I470"/>
  <c r="I469"/>
  <c r="I468"/>
  <c r="I442"/>
  <c r="I441"/>
  <c r="I440"/>
  <c r="I439"/>
  <c r="I438"/>
  <c r="I437"/>
  <c r="I436"/>
  <c r="I435"/>
  <c r="I434"/>
  <c r="I433"/>
  <c r="I432"/>
  <c r="I431"/>
  <c r="I430"/>
  <c r="I412"/>
  <c r="I411"/>
  <c r="I410"/>
  <c r="I359"/>
  <c r="I322"/>
  <c r="I321"/>
  <c r="I320"/>
  <c r="I319"/>
  <c r="I318"/>
  <c r="I317"/>
  <c r="I729"/>
  <c r="I606"/>
  <c r="I394"/>
  <c r="I158"/>
  <c r="I275"/>
  <c r="I50"/>
  <c r="I49"/>
  <c r="I48"/>
  <c r="I47"/>
  <c r="I202"/>
  <c r="I46"/>
  <c r="I274"/>
  <c r="I273"/>
  <c r="I272"/>
  <c r="I157"/>
  <c r="I45"/>
  <c r="I156"/>
  <c r="I271"/>
  <c r="I155"/>
  <c r="I44"/>
  <c r="I43"/>
  <c r="I270"/>
  <c r="I154"/>
  <c r="I42"/>
  <c r="I269"/>
  <c r="I153"/>
  <c r="I268"/>
  <c r="I41"/>
  <c r="I40"/>
  <c r="I267"/>
  <c r="I266"/>
  <c r="I39"/>
  <c r="I235"/>
  <c r="I38"/>
  <c r="I265"/>
  <c r="I264"/>
  <c r="I37"/>
  <c r="I263"/>
  <c r="I152"/>
  <c r="I151"/>
  <c r="I262"/>
  <c r="I36"/>
  <c r="I201"/>
  <c r="I261"/>
  <c r="I260"/>
  <c r="I150"/>
  <c r="I214"/>
  <c r="I149"/>
  <c r="I234"/>
  <c r="I259"/>
  <c r="I148"/>
  <c r="I35"/>
  <c r="I258"/>
  <c r="I257"/>
  <c r="I239"/>
  <c r="I200"/>
  <c r="I147"/>
  <c r="I199"/>
  <c r="I256"/>
  <c r="I238"/>
  <c r="I255"/>
  <c r="I146"/>
  <c r="I254"/>
  <c r="I198"/>
  <c r="I34"/>
  <c r="I197"/>
  <c r="I253"/>
  <c r="I145"/>
  <c r="I33"/>
  <c r="I252"/>
  <c r="I32"/>
  <c r="I251"/>
  <c r="I31"/>
  <c r="I144"/>
  <c r="I250"/>
  <c r="I143"/>
  <c r="I142"/>
  <c r="I30"/>
  <c r="I249"/>
  <c r="I248"/>
  <c r="I247"/>
  <c r="I246"/>
  <c r="I29"/>
  <c r="I245"/>
  <c r="I196"/>
  <c r="I141"/>
  <c r="I140"/>
  <c r="I28"/>
  <c r="I244"/>
  <c r="I139"/>
  <c r="I195"/>
  <c r="I243"/>
  <c r="I138"/>
  <c r="I27"/>
  <c r="I137"/>
  <c r="I194"/>
  <c r="I136"/>
  <c r="I242"/>
  <c r="I135"/>
  <c r="I26"/>
  <c r="I241"/>
  <c r="I240"/>
  <c r="I25"/>
  <c r="I24"/>
  <c r="I23"/>
  <c r="I22"/>
  <c r="I21"/>
  <c r="I316"/>
  <c r="I767"/>
  <c r="I315"/>
  <c r="I774"/>
  <c r="I773"/>
  <c r="I772"/>
  <c r="I393"/>
  <c r="I392"/>
  <c r="I784"/>
  <c r="I788"/>
  <c r="I787"/>
  <c r="I358"/>
  <c r="I605"/>
  <c r="I357"/>
  <c r="I604"/>
  <c r="I409"/>
  <c r="I408"/>
  <c r="I684"/>
  <c r="I683"/>
  <c r="I682"/>
  <c r="I603"/>
  <c r="I20"/>
  <c r="I602"/>
  <c r="I601"/>
  <c r="I600"/>
  <c r="I563"/>
  <c r="I540"/>
  <c r="I599"/>
  <c r="I467"/>
  <c r="I466"/>
  <c r="I465"/>
  <c r="I464"/>
  <c r="I598"/>
  <c r="I597"/>
  <c r="I345"/>
  <c r="I19"/>
  <c r="I562"/>
  <c r="I681"/>
  <c r="I538"/>
  <c r="I793"/>
  <c r="I596"/>
  <c r="I680"/>
  <c r="I679"/>
  <c r="I18"/>
  <c r="I17"/>
  <c r="I801"/>
  <c r="I789"/>
  <c r="I778"/>
  <c r="I777"/>
  <c r="I771"/>
  <c r="I766"/>
  <c r="I765"/>
  <c r="I764"/>
  <c r="I763"/>
  <c r="I749"/>
  <c r="I748"/>
  <c r="I747"/>
  <c r="I746"/>
  <c r="I745"/>
  <c r="I678"/>
  <c r="I677"/>
  <c r="I676"/>
  <c r="I675"/>
  <c r="I674"/>
  <c r="I673"/>
  <c r="I672"/>
  <c r="I671"/>
  <c r="I670"/>
  <c r="I669"/>
  <c r="I668"/>
  <c r="I667"/>
  <c r="I666"/>
  <c r="I665"/>
  <c r="I664"/>
  <c r="I663"/>
  <c r="I662"/>
  <c r="I661"/>
  <c r="I660"/>
  <c r="I659"/>
  <c r="I658"/>
  <c r="I657"/>
  <c r="I656"/>
  <c r="I655"/>
  <c r="I654"/>
  <c r="I653"/>
  <c r="I652"/>
  <c r="I633"/>
  <c r="I632"/>
  <c r="I595"/>
  <c r="I594"/>
  <c r="I593"/>
  <c r="I592"/>
  <c r="I591"/>
  <c r="I590"/>
  <c r="I589"/>
  <c r="I588"/>
  <c r="I587"/>
  <c r="I586"/>
  <c r="I585"/>
  <c r="I584"/>
  <c r="I583"/>
  <c r="I582"/>
  <c r="I581"/>
  <c r="I580"/>
  <c r="I579"/>
  <c r="I578"/>
  <c r="I577"/>
  <c r="I561"/>
  <c r="I560"/>
  <c r="I559"/>
  <c r="I558"/>
  <c r="I557"/>
  <c r="I556"/>
  <c r="I555"/>
  <c r="I547"/>
  <c r="I546"/>
  <c r="I545"/>
  <c r="I544"/>
  <c r="I539"/>
  <c r="I531"/>
  <c r="I530"/>
  <c r="I356"/>
  <c r="I463"/>
  <c r="I462"/>
  <c r="I461"/>
  <c r="I460"/>
  <c r="I459"/>
  <c r="I458"/>
  <c r="I457"/>
  <c r="I456"/>
  <c r="I455"/>
  <c r="I454"/>
  <c r="I453"/>
  <c r="I452"/>
  <c r="I451"/>
  <c r="I429"/>
  <c r="I428"/>
  <c r="I427"/>
  <c r="I407"/>
  <c r="I406"/>
  <c r="I405"/>
  <c r="I404"/>
  <c r="I391"/>
  <c r="I390"/>
  <c r="I389"/>
  <c r="I388"/>
  <c r="I387"/>
  <c r="I386"/>
  <c r="I385"/>
  <c r="I384"/>
  <c r="I383"/>
  <c r="I382"/>
  <c r="I381"/>
  <c r="I380"/>
  <c r="I379"/>
  <c r="I378"/>
  <c r="I377"/>
  <c r="I376"/>
  <c r="I355"/>
  <c r="I576"/>
  <c r="I770"/>
  <c r="I422"/>
  <c r="I421"/>
  <c r="I762"/>
  <c r="I371"/>
  <c r="I420"/>
  <c r="I450"/>
  <c r="I529"/>
  <c r="I528"/>
  <c r="I554"/>
  <c r="I553"/>
  <c r="I575"/>
  <c r="I574"/>
  <c r="I651"/>
  <c r="I650"/>
  <c r="I649"/>
  <c r="I648"/>
  <c r="I647"/>
  <c r="I744"/>
  <c r="I743"/>
  <c r="I14"/>
  <c r="I13"/>
  <c r="I403"/>
  <c r="I742"/>
  <c r="I646"/>
  <c r="I645"/>
  <c r="I644"/>
  <c r="I643"/>
  <c r="I642"/>
  <c r="I449"/>
  <c r="I426"/>
  <c r="I402"/>
  <c r="I401"/>
  <c r="I400"/>
  <c r="I375"/>
  <c r="I374"/>
  <c r="I370"/>
  <c r="I344"/>
  <c r="I343"/>
  <c r="I342"/>
  <c r="I341"/>
  <c r="I340"/>
  <c r="I339"/>
  <c r="I338"/>
  <c r="I337"/>
  <c r="I336"/>
  <c r="I335"/>
  <c r="I334"/>
  <c r="I333"/>
  <c r="I332"/>
  <c r="I800"/>
  <c r="I799"/>
  <c r="I796"/>
  <c r="I795"/>
  <c r="I792"/>
  <c r="I776"/>
  <c r="I775"/>
  <c r="I728"/>
  <c r="I727"/>
  <c r="I726"/>
  <c r="I725"/>
  <c r="I724"/>
  <c r="I641"/>
  <c r="I640"/>
  <c r="I780"/>
  <c r="I373"/>
  <c r="I639"/>
  <c r="I638"/>
  <c r="I637"/>
  <c r="I573"/>
  <c r="I552"/>
  <c r="I399"/>
  <c r="I398"/>
  <c r="I369"/>
  <c r="I368"/>
  <c r="I354"/>
  <c r="I353"/>
  <c r="I331"/>
  <c r="I330"/>
  <c r="I329"/>
  <c r="I16"/>
  <c r="I723"/>
  <c r="I741"/>
  <c r="I740"/>
  <c r="I761"/>
  <c r="I760"/>
  <c r="I794"/>
  <c r="I798"/>
  <c r="I797"/>
  <c r="I636"/>
  <c r="I635"/>
  <c r="I425"/>
  <c r="I572"/>
  <c r="I571"/>
  <c r="I570"/>
  <c r="I569"/>
  <c r="I372"/>
  <c r="I786"/>
  <c r="I424"/>
  <c r="F804"/>
  <c r="F803"/>
  <c r="F802"/>
  <c r="F801"/>
  <c r="K9"/>
  <c r="J9"/>
  <c r="F9"/>
  <c r="E9"/>
  <c r="I9" s="1"/>
  <c r="C9"/>
  <c r="K7"/>
  <c r="J7"/>
  <c r="E7"/>
  <c r="I858" i="66"/>
  <c r="I857"/>
  <c r="I856"/>
  <c r="I855"/>
  <c r="I854"/>
  <c r="I853"/>
  <c r="I852"/>
  <c r="I851"/>
  <c r="I850"/>
  <c r="I849"/>
  <c r="I848"/>
  <c r="I847"/>
  <c r="I846"/>
  <c r="I845"/>
  <c r="I842"/>
  <c r="I841"/>
  <c r="I840"/>
  <c r="I839"/>
  <c r="I838"/>
  <c r="I837"/>
  <c r="I836"/>
  <c r="I835"/>
  <c r="I834"/>
  <c r="I833"/>
  <c r="I832"/>
  <c r="I831"/>
  <c r="I830"/>
  <c r="I829"/>
  <c r="I828"/>
  <c r="I827"/>
  <c r="I826"/>
  <c r="I825"/>
  <c r="I824"/>
  <c r="I823"/>
  <c r="I822"/>
  <c r="I821"/>
  <c r="I820"/>
  <c r="I819"/>
  <c r="I818"/>
  <c r="I817"/>
  <c r="I816"/>
  <c r="I815"/>
  <c r="I814"/>
  <c r="I813"/>
  <c r="I812"/>
  <c r="I811"/>
  <c r="I810"/>
  <c r="I809"/>
  <c r="I808"/>
  <c r="I807"/>
  <c r="I806"/>
  <c r="I805"/>
  <c r="I804"/>
  <c r="I803"/>
  <c r="I802"/>
  <c r="I801"/>
  <c r="I800"/>
  <c r="I799"/>
  <c r="I798"/>
  <c r="I797"/>
  <c r="I796"/>
  <c r="I795"/>
  <c r="I794"/>
  <c r="I793"/>
  <c r="I792"/>
  <c r="I791"/>
  <c r="I790"/>
  <c r="I789"/>
  <c r="I788"/>
  <c r="I787"/>
  <c r="I786"/>
  <c r="I785"/>
  <c r="I784"/>
  <c r="I783"/>
  <c r="I782"/>
  <c r="I781"/>
  <c r="I780"/>
  <c r="I779"/>
  <c r="I778"/>
  <c r="I777"/>
  <c r="I776"/>
  <c r="I775"/>
  <c r="I774"/>
  <c r="I773"/>
  <c r="I772"/>
  <c r="I771"/>
  <c r="I770"/>
  <c r="I769"/>
  <c r="I768"/>
  <c r="I767"/>
  <c r="I766"/>
  <c r="I765"/>
  <c r="I764"/>
  <c r="I763"/>
  <c r="I762"/>
  <c r="I761"/>
  <c r="I760"/>
  <c r="I759"/>
  <c r="I758"/>
  <c r="I757"/>
  <c r="I756"/>
  <c r="I755"/>
  <c r="I754"/>
  <c r="I753"/>
  <c r="I752"/>
  <c r="I751"/>
  <c r="I750"/>
  <c r="I749"/>
  <c r="I748"/>
  <c r="I747"/>
  <c r="I746"/>
  <c r="I745"/>
  <c r="I744"/>
  <c r="I743"/>
  <c r="I742"/>
  <c r="I741"/>
  <c r="I740"/>
  <c r="I739"/>
  <c r="I738"/>
  <c r="I737"/>
  <c r="I736"/>
  <c r="I735"/>
  <c r="I734"/>
  <c r="I733"/>
  <c r="I732"/>
  <c r="I731"/>
  <c r="I730"/>
  <c r="I729"/>
  <c r="I864"/>
  <c r="I728"/>
  <c r="I727"/>
  <c r="I726"/>
  <c r="I725"/>
  <c r="I724"/>
  <c r="I723"/>
  <c r="I722"/>
  <c r="I721"/>
  <c r="I720"/>
  <c r="I719"/>
  <c r="I718"/>
  <c r="I717"/>
  <c r="I716"/>
  <c r="I715"/>
  <c r="I714"/>
  <c r="I713"/>
  <c r="I712"/>
  <c r="I711"/>
  <c r="I710"/>
  <c r="I709"/>
  <c r="I708"/>
  <c r="I707"/>
  <c r="I706"/>
  <c r="I705"/>
  <c r="I704"/>
  <c r="I703"/>
  <c r="I702"/>
  <c r="I701"/>
  <c r="I700"/>
  <c r="I699"/>
  <c r="I698"/>
  <c r="I697"/>
  <c r="I696"/>
  <c r="I695"/>
  <c r="I694"/>
  <c r="I693"/>
  <c r="I692"/>
  <c r="I691"/>
  <c r="I690"/>
  <c r="I689"/>
  <c r="I688"/>
  <c r="I687"/>
  <c r="I686"/>
  <c r="I685"/>
  <c r="I684"/>
  <c r="I683"/>
  <c r="I682"/>
  <c r="I681"/>
  <c r="I680"/>
  <c r="I679"/>
  <c r="I678"/>
  <c r="I677"/>
  <c r="I676"/>
  <c r="I675"/>
  <c r="I674"/>
  <c r="I673"/>
  <c r="I672"/>
  <c r="I671"/>
  <c r="I670"/>
  <c r="I669"/>
  <c r="I668"/>
  <c r="I667"/>
  <c r="I666"/>
  <c r="I665"/>
  <c r="I664"/>
  <c r="I663"/>
  <c r="I662"/>
  <c r="I661"/>
  <c r="I660"/>
  <c r="I659"/>
  <c r="I658"/>
  <c r="I657"/>
  <c r="I656"/>
  <c r="I654"/>
  <c r="I653"/>
  <c r="I652"/>
  <c r="I651"/>
  <c r="I650"/>
  <c r="I649"/>
  <c r="I648"/>
  <c r="I647"/>
  <c r="I646"/>
  <c r="I645"/>
  <c r="I644"/>
  <c r="I643"/>
  <c r="I642"/>
  <c r="I641"/>
  <c r="I640"/>
  <c r="I639"/>
  <c r="I638"/>
  <c r="I637"/>
  <c r="I636"/>
  <c r="I635"/>
  <c r="I634"/>
  <c r="I633"/>
  <c r="I632"/>
  <c r="I631"/>
  <c r="I630"/>
  <c r="I629"/>
  <c r="I628"/>
  <c r="I627"/>
  <c r="I626"/>
  <c r="I625"/>
  <c r="I624"/>
  <c r="I623"/>
  <c r="I622"/>
  <c r="I621"/>
  <c r="I620"/>
  <c r="I619"/>
  <c r="I618"/>
  <c r="I617"/>
  <c r="I616"/>
  <c r="I615"/>
  <c r="I614"/>
  <c r="I613"/>
  <c r="I612"/>
  <c r="I611"/>
  <c r="I610"/>
  <c r="I609"/>
  <c r="I608"/>
  <c r="I607"/>
  <c r="I606"/>
  <c r="I605"/>
  <c r="I604"/>
  <c r="I603"/>
  <c r="I602"/>
  <c r="I601"/>
  <c r="I600"/>
  <c r="I599"/>
  <c r="I598"/>
  <c r="I597"/>
  <c r="I596"/>
  <c r="I595"/>
  <c r="I594"/>
  <c r="I593"/>
  <c r="I592"/>
  <c r="I591"/>
  <c r="I590"/>
  <c r="I589"/>
  <c r="I588"/>
  <c r="I587"/>
  <c r="I586"/>
  <c r="I585"/>
  <c r="I584"/>
  <c r="I583"/>
  <c r="I582"/>
  <c r="I581"/>
  <c r="I580"/>
  <c r="I579"/>
  <c r="I578"/>
  <c r="U282" i="5" l="1"/>
  <c r="V10"/>
  <c r="V14"/>
  <c r="V18"/>
  <c r="V22"/>
  <c r="V32"/>
  <c r="V36"/>
  <c r="V40"/>
  <c r="V44"/>
  <c r="V48"/>
  <c r="V52"/>
  <c r="V56"/>
  <c r="V60"/>
  <c r="V64"/>
  <c r="V68"/>
  <c r="V72"/>
  <c r="V76"/>
  <c r="V80"/>
  <c r="V84"/>
  <c r="V88"/>
  <c r="V97"/>
  <c r="V101"/>
  <c r="V105"/>
  <c r="V109"/>
  <c r="V113"/>
  <c r="V117"/>
  <c r="V121"/>
  <c r="V125"/>
  <c r="V129"/>
  <c r="V133"/>
  <c r="V137"/>
  <c r="V141"/>
  <c r="V145"/>
  <c r="V149"/>
  <c r="V153"/>
  <c r="V163"/>
  <c r="V167"/>
  <c r="V171"/>
  <c r="V175"/>
  <c r="V179"/>
  <c r="V183"/>
  <c r="V187"/>
  <c r="V191"/>
  <c r="V195"/>
  <c r="V199"/>
  <c r="V203"/>
  <c r="V207"/>
  <c r="V211"/>
  <c r="V215"/>
  <c r="V225"/>
  <c r="V229"/>
  <c r="V233"/>
  <c r="V237"/>
  <c r="V241"/>
  <c r="V245"/>
  <c r="V249"/>
  <c r="V253"/>
  <c r="V257"/>
  <c r="V261"/>
  <c r="V265"/>
  <c r="V269"/>
  <c r="V273"/>
  <c r="V277"/>
  <c r="V281"/>
  <c r="U10"/>
  <c r="U14"/>
  <c r="U18"/>
  <c r="U22"/>
  <c r="U32"/>
  <c r="U36"/>
  <c r="U40"/>
  <c r="U44"/>
  <c r="U48"/>
  <c r="U52"/>
  <c r="U56"/>
  <c r="U60"/>
  <c r="U64"/>
  <c r="U68"/>
  <c r="U72"/>
  <c r="U76"/>
  <c r="U80"/>
  <c r="U84"/>
  <c r="U88"/>
  <c r="U97"/>
  <c r="U101"/>
  <c r="U105"/>
  <c r="U109"/>
  <c r="U113"/>
  <c r="U117"/>
  <c r="U121"/>
  <c r="U125"/>
  <c r="U129"/>
  <c r="U133"/>
  <c r="U137"/>
  <c r="U141"/>
  <c r="U145"/>
  <c r="U149"/>
  <c r="U153"/>
  <c r="U163"/>
  <c r="U167"/>
  <c r="U171"/>
  <c r="U175"/>
  <c r="U179"/>
  <c r="U183"/>
  <c r="U187"/>
  <c r="U191"/>
  <c r="U195"/>
  <c r="U199"/>
  <c r="U203"/>
  <c r="U207"/>
  <c r="U211"/>
  <c r="U215"/>
  <c r="U225"/>
  <c r="U229"/>
  <c r="U233"/>
  <c r="U237"/>
  <c r="U241"/>
  <c r="U245"/>
  <c r="U249"/>
  <c r="U253"/>
  <c r="U257"/>
  <c r="U261"/>
  <c r="U265"/>
  <c r="U269"/>
  <c r="U273"/>
  <c r="U277"/>
  <c r="U281"/>
  <c r="V9"/>
  <c r="V13"/>
  <c r="V17"/>
  <c r="V21"/>
  <c r="V31"/>
  <c r="V35"/>
  <c r="V39"/>
  <c r="V43"/>
  <c r="V47"/>
  <c r="V51"/>
  <c r="V55"/>
  <c r="V59"/>
  <c r="V63"/>
  <c r="V67"/>
  <c r="V71"/>
  <c r="V75"/>
  <c r="V79"/>
  <c r="V83"/>
  <c r="V87"/>
  <c r="V96"/>
  <c r="V100"/>
  <c r="V104"/>
  <c r="V108"/>
  <c r="V112"/>
  <c r="V116"/>
  <c r="V120"/>
  <c r="V124"/>
  <c r="V128"/>
  <c r="V132"/>
  <c r="V136"/>
  <c r="V140"/>
  <c r="V144"/>
  <c r="V148"/>
  <c r="V152"/>
  <c r="V162"/>
  <c r="V166"/>
  <c r="V170"/>
  <c r="V174"/>
  <c r="V178"/>
  <c r="V182"/>
  <c r="V186"/>
  <c r="V190"/>
  <c r="V194"/>
  <c r="V198"/>
  <c r="V202"/>
  <c r="V206"/>
  <c r="V210"/>
  <c r="V214"/>
  <c r="V224"/>
  <c r="V228"/>
  <c r="V232"/>
  <c r="V236"/>
  <c r="V240"/>
  <c r="V244"/>
  <c r="V248"/>
  <c r="V252"/>
  <c r="V256"/>
  <c r="V260"/>
  <c r="V264"/>
  <c r="V268"/>
  <c r="V272"/>
  <c r="V276"/>
  <c r="V280"/>
  <c r="V284"/>
  <c r="U9"/>
  <c r="U13"/>
  <c r="U17"/>
  <c r="U21"/>
  <c r="U31"/>
  <c r="U35"/>
  <c r="U39"/>
  <c r="U43"/>
  <c r="U47"/>
  <c r="U51"/>
  <c r="U55"/>
  <c r="U59"/>
  <c r="U63"/>
  <c r="U67"/>
  <c r="U71"/>
  <c r="U75"/>
  <c r="U79"/>
  <c r="U83"/>
  <c r="U87"/>
  <c r="U96"/>
  <c r="U100"/>
  <c r="U104"/>
  <c r="U108"/>
  <c r="U112"/>
  <c r="U116"/>
  <c r="U120"/>
  <c r="U124"/>
  <c r="U128"/>
  <c r="U132"/>
  <c r="U136"/>
  <c r="U140"/>
  <c r="U144"/>
  <c r="U148"/>
  <c r="U152"/>
  <c r="U162"/>
  <c r="U166"/>
  <c r="U170"/>
  <c r="U174"/>
  <c r="U178"/>
  <c r="U182"/>
  <c r="U186"/>
  <c r="U190"/>
  <c r="U194"/>
  <c r="U198"/>
  <c r="U202"/>
  <c r="U206"/>
  <c r="U210"/>
  <c r="U214"/>
  <c r="U224"/>
  <c r="U228"/>
  <c r="U232"/>
  <c r="U236"/>
  <c r="U240"/>
  <c r="U244"/>
  <c r="U248"/>
  <c r="U252"/>
  <c r="U256"/>
  <c r="U260"/>
  <c r="U264"/>
  <c r="U268"/>
  <c r="U272"/>
  <c r="U276"/>
  <c r="U280"/>
  <c r="U284"/>
  <c r="V8"/>
  <c r="V12"/>
  <c r="V16"/>
  <c r="V20"/>
  <c r="V30"/>
  <c r="V34"/>
  <c r="V38"/>
  <c r="V42"/>
  <c r="V46"/>
  <c r="V50"/>
  <c r="V54"/>
  <c r="V58"/>
  <c r="V62"/>
  <c r="V66"/>
  <c r="V70"/>
  <c r="V74"/>
  <c r="V78"/>
  <c r="V82"/>
  <c r="V86"/>
  <c r="V95"/>
  <c r="V99"/>
  <c r="V103"/>
  <c r="V107"/>
  <c r="V111"/>
  <c r="V115"/>
  <c r="V119"/>
  <c r="V123"/>
  <c r="V127"/>
  <c r="V131"/>
  <c r="V135"/>
  <c r="V139"/>
  <c r="V143"/>
  <c r="V147"/>
  <c r="V151"/>
  <c r="V161"/>
  <c r="V165"/>
  <c r="V169"/>
  <c r="V173"/>
  <c r="V177"/>
  <c r="V181"/>
  <c r="V185"/>
  <c r="V189"/>
  <c r="V193"/>
  <c r="V197"/>
  <c r="V201"/>
  <c r="V205"/>
  <c r="V209"/>
  <c r="V213"/>
  <c r="V223"/>
  <c r="V227"/>
  <c r="V231"/>
  <c r="V235"/>
  <c r="V239"/>
  <c r="V243"/>
  <c r="V247"/>
  <c r="V251"/>
  <c r="V255"/>
  <c r="V259"/>
  <c r="V263"/>
  <c r="V267"/>
  <c r="V271"/>
  <c r="V275"/>
  <c r="V279"/>
  <c r="V283"/>
  <c r="U8"/>
  <c r="U12"/>
  <c r="U16"/>
  <c r="U20"/>
  <c r="U30"/>
  <c r="U34"/>
  <c r="U38"/>
  <c r="U42"/>
  <c r="U46"/>
  <c r="U50"/>
  <c r="U54"/>
  <c r="U58"/>
  <c r="U62"/>
  <c r="U66"/>
  <c r="U70"/>
  <c r="U74"/>
  <c r="U78"/>
  <c r="U82"/>
  <c r="U86"/>
  <c r="U95"/>
  <c r="U99"/>
  <c r="U103"/>
  <c r="U107"/>
  <c r="U111"/>
  <c r="U115"/>
  <c r="U119"/>
  <c r="U123"/>
  <c r="U127"/>
  <c r="U131"/>
  <c r="U135"/>
  <c r="U139"/>
  <c r="U143"/>
  <c r="U147"/>
  <c r="U151"/>
  <c r="U161"/>
  <c r="U165"/>
  <c r="U169"/>
  <c r="U173"/>
  <c r="U177"/>
  <c r="U181"/>
  <c r="U185"/>
  <c r="U189"/>
  <c r="U193"/>
  <c r="U197"/>
  <c r="U201"/>
  <c r="U205"/>
  <c r="U209"/>
  <c r="U213"/>
  <c r="U223"/>
  <c r="U227"/>
  <c r="U231"/>
  <c r="U235"/>
  <c r="U239"/>
  <c r="U243"/>
  <c r="U247"/>
  <c r="U251"/>
  <c r="U255"/>
  <c r="U259"/>
  <c r="U263"/>
  <c r="U267"/>
  <c r="U271"/>
  <c r="U275"/>
  <c r="U279"/>
  <c r="U283"/>
  <c r="V11"/>
  <c r="V15"/>
  <c r="V19"/>
  <c r="V23"/>
  <c r="V33"/>
  <c r="V37"/>
  <c r="V41"/>
  <c r="V45"/>
  <c r="V49"/>
  <c r="V53"/>
  <c r="V57"/>
  <c r="V61"/>
  <c r="V65"/>
  <c r="V69"/>
  <c r="V73"/>
  <c r="V77"/>
  <c r="V81"/>
  <c r="V85"/>
  <c r="V89"/>
  <c r="V98"/>
  <c r="V102"/>
  <c r="V106"/>
  <c r="V110"/>
  <c r="V114"/>
  <c r="V118"/>
  <c r="V122"/>
  <c r="V126"/>
  <c r="V130"/>
  <c r="V134"/>
  <c r="V138"/>
  <c r="V142"/>
  <c r="V146"/>
  <c r="V150"/>
  <c r="V160"/>
  <c r="V164"/>
  <c r="V168"/>
  <c r="V172"/>
  <c r="V176"/>
  <c r="V180"/>
  <c r="V184"/>
  <c r="V188"/>
  <c r="V192"/>
  <c r="V196"/>
  <c r="V200"/>
  <c r="V204"/>
  <c r="V208"/>
  <c r="V212"/>
  <c r="V222"/>
  <c r="V226"/>
  <c r="V230"/>
  <c r="V234"/>
  <c r="V238"/>
  <c r="V242"/>
  <c r="V246"/>
  <c r="V250"/>
  <c r="V254"/>
  <c r="V258"/>
  <c r="V262"/>
  <c r="V266"/>
  <c r="V270"/>
  <c r="V274"/>
  <c r="V278"/>
  <c r="V282"/>
  <c r="U11"/>
  <c r="U15"/>
  <c r="U19"/>
  <c r="U23"/>
  <c r="U33"/>
  <c r="U37"/>
  <c r="U41"/>
  <c r="U45"/>
  <c r="U49"/>
  <c r="U53"/>
  <c r="U57"/>
  <c r="U61"/>
  <c r="U65"/>
  <c r="U69"/>
  <c r="U73"/>
  <c r="U77"/>
  <c r="U81"/>
  <c r="U85"/>
  <c r="U89"/>
  <c r="U98"/>
  <c r="U102"/>
  <c r="U106"/>
  <c r="U110"/>
  <c r="U114"/>
  <c r="U118"/>
  <c r="U122"/>
  <c r="U126"/>
  <c r="U130"/>
  <c r="U134"/>
  <c r="U138"/>
  <c r="U142"/>
  <c r="U146"/>
  <c r="U150"/>
  <c r="U160"/>
  <c r="U164"/>
  <c r="U168"/>
  <c r="U172"/>
  <c r="U176"/>
  <c r="U180"/>
  <c r="U184"/>
  <c r="U188"/>
  <c r="U192"/>
  <c r="U196"/>
  <c r="U200"/>
  <c r="U204"/>
  <c r="U208"/>
  <c r="U212"/>
  <c r="U222"/>
  <c r="U226"/>
  <c r="U230"/>
  <c r="U234"/>
  <c r="U238"/>
  <c r="U242"/>
  <c r="U246"/>
  <c r="U250"/>
  <c r="U254"/>
  <c r="U258"/>
  <c r="U262"/>
  <c r="U266"/>
  <c r="U270"/>
  <c r="U274"/>
  <c r="U278"/>
  <c r="H7" i="74"/>
  <c r="I576" i="66"/>
  <c r="I575"/>
  <c r="I574"/>
  <c r="I573"/>
  <c r="I572"/>
  <c r="I571"/>
  <c r="I570"/>
  <c r="I569"/>
  <c r="I568"/>
  <c r="I567"/>
  <c r="I566"/>
  <c r="I565"/>
  <c r="I564"/>
  <c r="I563"/>
  <c r="I562"/>
  <c r="I561"/>
  <c r="I560"/>
  <c r="I559"/>
  <c r="I558"/>
  <c r="I557"/>
  <c r="I556"/>
  <c r="I555"/>
  <c r="I554"/>
  <c r="I553"/>
  <c r="I552"/>
  <c r="I551"/>
  <c r="I550"/>
  <c r="I549"/>
  <c r="I548"/>
  <c r="I547"/>
  <c r="I546"/>
  <c r="I545"/>
  <c r="I544"/>
  <c r="I543"/>
  <c r="I542"/>
  <c r="I541"/>
  <c r="I540"/>
  <c r="I539"/>
  <c r="I538"/>
  <c r="I537"/>
  <c r="I536"/>
  <c r="I535"/>
  <c r="I534"/>
  <c r="I533"/>
  <c r="I532"/>
  <c r="I531"/>
  <c r="I530"/>
  <c r="I529"/>
  <c r="I528"/>
  <c r="I527"/>
  <c r="I526"/>
  <c r="I525"/>
  <c r="I524"/>
  <c r="I523"/>
  <c r="I522"/>
  <c r="I521"/>
  <c r="I520"/>
  <c r="I519"/>
  <c r="I518"/>
  <c r="I517"/>
  <c r="I516"/>
  <c r="I515"/>
  <c r="I514"/>
  <c r="I513"/>
  <c r="I512"/>
  <c r="I511"/>
  <c r="I510"/>
  <c r="I509"/>
  <c r="I508"/>
  <c r="I507"/>
  <c r="I506"/>
  <c r="I505"/>
  <c r="I504"/>
  <c r="I503"/>
  <c r="I502"/>
  <c r="I501"/>
  <c r="I500"/>
  <c r="I499"/>
  <c r="I498"/>
  <c r="I497"/>
  <c r="I496"/>
  <c r="I495"/>
  <c r="I494"/>
  <c r="I493"/>
  <c r="I492"/>
  <c r="I491"/>
  <c r="I490"/>
  <c r="I489"/>
  <c r="I488"/>
  <c r="I487"/>
  <c r="I486"/>
  <c r="I485"/>
  <c r="I484"/>
  <c r="I483"/>
  <c r="I482"/>
  <c r="I481"/>
  <c r="I480"/>
  <c r="I479"/>
  <c r="I478"/>
  <c r="I477"/>
  <c r="I476"/>
  <c r="I475"/>
  <c r="I474"/>
  <c r="I473"/>
  <c r="I472"/>
  <c r="I471"/>
  <c r="I470"/>
  <c r="I469"/>
  <c r="I468"/>
  <c r="I467"/>
  <c r="I466"/>
  <c r="I465"/>
  <c r="I464"/>
  <c r="I463"/>
  <c r="I462"/>
  <c r="I461"/>
  <c r="I460"/>
  <c r="I459"/>
  <c r="I458"/>
  <c r="I457"/>
  <c r="I456"/>
  <c r="I455"/>
  <c r="I454"/>
  <c r="I453"/>
  <c r="I452"/>
  <c r="I451"/>
  <c r="I450"/>
  <c r="I449"/>
  <c r="I448"/>
  <c r="I447"/>
  <c r="I446"/>
  <c r="I445"/>
  <c r="I444"/>
  <c r="I443"/>
  <c r="I442"/>
  <c r="I441"/>
  <c r="I440"/>
  <c r="I439"/>
  <c r="I438"/>
  <c r="I437"/>
  <c r="I436"/>
  <c r="I435"/>
  <c r="I434"/>
  <c r="I433"/>
  <c r="I432"/>
  <c r="I431"/>
  <c r="I430"/>
  <c r="I429"/>
  <c r="I428"/>
  <c r="I427"/>
  <c r="I426"/>
  <c r="I425"/>
  <c r="I424"/>
  <c r="I423"/>
  <c r="I422"/>
  <c r="I421"/>
  <c r="I420"/>
  <c r="I419"/>
  <c r="I418"/>
  <c r="I417"/>
  <c r="I416"/>
  <c r="I415"/>
  <c r="I414"/>
  <c r="I413"/>
  <c r="I412"/>
  <c r="I411"/>
  <c r="I410"/>
  <c r="I409"/>
  <c r="I408"/>
  <c r="I407"/>
  <c r="I406"/>
  <c r="I405"/>
  <c r="I404"/>
  <c r="I403"/>
  <c r="I402"/>
  <c r="I401"/>
  <c r="I400"/>
  <c r="I399"/>
  <c r="I398"/>
  <c r="I397"/>
  <c r="I396"/>
  <c r="I395"/>
  <c r="I394"/>
  <c r="I393"/>
  <c r="I392"/>
  <c r="I391"/>
  <c r="I390"/>
  <c r="I389"/>
  <c r="I388"/>
  <c r="I387"/>
  <c r="I386"/>
  <c r="I385"/>
  <c r="I384"/>
  <c r="I383"/>
  <c r="I382"/>
  <c r="I381"/>
  <c r="I380"/>
  <c r="I379"/>
  <c r="I378"/>
  <c r="I377"/>
  <c r="I376"/>
  <c r="I375"/>
  <c r="I374"/>
  <c r="I373"/>
  <c r="I372"/>
  <c r="I371"/>
  <c r="I370"/>
  <c r="I369"/>
  <c r="I368"/>
  <c r="I367"/>
  <c r="I366"/>
  <c r="I365"/>
  <c r="I364"/>
  <c r="I363"/>
  <c r="I362"/>
  <c r="I361"/>
  <c r="I360"/>
  <c r="I359"/>
  <c r="I358"/>
  <c r="I357"/>
  <c r="I356"/>
  <c r="I355"/>
  <c r="I354"/>
  <c r="I353"/>
  <c r="I352"/>
  <c r="I351"/>
  <c r="I350"/>
  <c r="I349"/>
  <c r="I348"/>
  <c r="I347"/>
  <c r="I346"/>
  <c r="I345"/>
  <c r="I344"/>
  <c r="I343"/>
  <c r="I342"/>
  <c r="I341"/>
  <c r="I340"/>
  <c r="I339"/>
  <c r="I338"/>
  <c r="I337"/>
  <c r="I336"/>
  <c r="I335"/>
  <c r="I334"/>
  <c r="I333"/>
  <c r="I332"/>
  <c r="I331"/>
  <c r="I330"/>
  <c r="I329"/>
  <c r="I328"/>
  <c r="I327"/>
  <c r="I326"/>
  <c r="I325"/>
  <c r="I324"/>
  <c r="I323"/>
  <c r="I322"/>
  <c r="I321"/>
  <c r="I320"/>
  <c r="I319"/>
  <c r="I318"/>
  <c r="I317"/>
  <c r="I316"/>
  <c r="I315"/>
  <c r="I314"/>
  <c r="I313"/>
  <c r="I312"/>
  <c r="I311"/>
  <c r="I310"/>
  <c r="I309"/>
  <c r="I308"/>
  <c r="I307"/>
  <c r="I306"/>
  <c r="I305"/>
  <c r="I304"/>
  <c r="I303"/>
  <c r="I302"/>
  <c r="I301"/>
  <c r="I300"/>
  <c r="I299"/>
  <c r="I298"/>
  <c r="I297"/>
  <c r="I296"/>
  <c r="I295"/>
  <c r="I294"/>
  <c r="I293"/>
  <c r="I292"/>
  <c r="I291"/>
  <c r="I290"/>
  <c r="I289"/>
  <c r="I288"/>
  <c r="I287"/>
  <c r="I286"/>
  <c r="I285"/>
  <c r="I284"/>
  <c r="I283"/>
  <c r="I282"/>
  <c r="I281"/>
  <c r="I280"/>
  <c r="I279"/>
  <c r="I278"/>
  <c r="I277"/>
  <c r="I276"/>
  <c r="I275"/>
  <c r="I274"/>
  <c r="I273"/>
  <c r="I272"/>
  <c r="I271"/>
  <c r="I270"/>
  <c r="I269"/>
  <c r="I268"/>
  <c r="I267"/>
  <c r="I266"/>
  <c r="I265"/>
  <c r="I264"/>
  <c r="I263"/>
  <c r="I262"/>
  <c r="I261"/>
  <c r="I260"/>
  <c r="I259"/>
  <c r="I258"/>
  <c r="I257"/>
  <c r="I256"/>
  <c r="I255"/>
  <c r="I254"/>
  <c r="I253"/>
  <c r="I252"/>
  <c r="I251"/>
  <c r="I250"/>
  <c r="I249"/>
  <c r="I248"/>
  <c r="I247"/>
  <c r="I246"/>
  <c r="I245"/>
  <c r="I244"/>
  <c r="I243"/>
  <c r="I242"/>
  <c r="I241"/>
  <c r="I240"/>
  <c r="I239"/>
  <c r="I238"/>
  <c r="I237"/>
  <c r="I236"/>
  <c r="I235"/>
  <c r="I234"/>
  <c r="I233"/>
  <c r="I232"/>
  <c r="I231"/>
  <c r="I230"/>
  <c r="I229"/>
  <c r="I228"/>
  <c r="I227"/>
  <c r="I226"/>
  <c r="I225"/>
  <c r="I224"/>
  <c r="I223"/>
  <c r="I222"/>
  <c r="I221"/>
  <c r="I220"/>
  <c r="I219"/>
  <c r="I218"/>
  <c r="I217"/>
  <c r="I216"/>
  <c r="I215"/>
  <c r="I214"/>
  <c r="I213"/>
  <c r="I212"/>
  <c r="I211"/>
  <c r="I210"/>
  <c r="I209"/>
  <c r="I208"/>
  <c r="I207"/>
  <c r="I206"/>
  <c r="I205"/>
  <c r="I204"/>
  <c r="I203"/>
  <c r="I202"/>
  <c r="I201"/>
  <c r="I200"/>
  <c r="I199"/>
  <c r="I198"/>
  <c r="I197"/>
  <c r="I196"/>
  <c r="I195"/>
  <c r="I194"/>
  <c r="I193"/>
  <c r="I192"/>
  <c r="I191"/>
  <c r="I190"/>
  <c r="I189"/>
  <c r="I188"/>
  <c r="I187"/>
  <c r="I186"/>
  <c r="I185"/>
  <c r="I184"/>
  <c r="I183"/>
  <c r="I182"/>
  <c r="I181"/>
  <c r="I180"/>
  <c r="I179"/>
  <c r="I178"/>
  <c r="I177"/>
  <c r="I176"/>
  <c r="I175"/>
  <c r="I174"/>
  <c r="I173"/>
  <c r="I172"/>
  <c r="I171"/>
  <c r="I170"/>
  <c r="I169"/>
  <c r="I168"/>
  <c r="I167"/>
  <c r="I166"/>
  <c r="I165"/>
  <c r="I164"/>
  <c r="I163"/>
  <c r="I162"/>
  <c r="I161"/>
  <c r="I160"/>
  <c r="I159"/>
  <c r="I158"/>
  <c r="I157"/>
  <c r="I156"/>
  <c r="I155"/>
  <c r="I154"/>
  <c r="I153"/>
  <c r="I152"/>
  <c r="I151"/>
  <c r="I150"/>
  <c r="I149"/>
  <c r="I148"/>
  <c r="I147"/>
  <c r="I146"/>
  <c r="I145"/>
  <c r="I144"/>
  <c r="I143"/>
  <c r="I142"/>
  <c r="I141"/>
  <c r="I140"/>
  <c r="I139"/>
  <c r="I138"/>
  <c r="I137"/>
  <c r="I136"/>
  <c r="I135"/>
  <c r="I134"/>
  <c r="I133"/>
  <c r="I132"/>
  <c r="I131"/>
  <c r="I130"/>
  <c r="I129"/>
  <c r="I128"/>
  <c r="I127"/>
  <c r="I126"/>
  <c r="I125"/>
  <c r="I124"/>
  <c r="I123"/>
  <c r="I122"/>
  <c r="I121"/>
  <c r="I120"/>
  <c r="I119"/>
  <c r="I118"/>
  <c r="I117"/>
  <c r="I116"/>
  <c r="I115"/>
  <c r="I114"/>
  <c r="I113"/>
  <c r="I112"/>
  <c r="I111"/>
  <c r="I110"/>
  <c r="I109"/>
  <c r="I108"/>
  <c r="I107"/>
  <c r="I106"/>
  <c r="I105"/>
  <c r="I104"/>
  <c r="I103"/>
  <c r="I102"/>
  <c r="I101"/>
  <c r="I100"/>
  <c r="I99"/>
  <c r="I98"/>
  <c r="I97"/>
  <c r="I96"/>
  <c r="I95"/>
  <c r="I94"/>
  <c r="I93"/>
  <c r="I92"/>
  <c r="I91"/>
  <c r="I90"/>
  <c r="I89"/>
  <c r="I88"/>
  <c r="I87"/>
  <c r="I86"/>
  <c r="I85"/>
  <c r="I84"/>
  <c r="I83"/>
  <c r="I82"/>
  <c r="I81"/>
  <c r="I80"/>
  <c r="I79"/>
  <c r="I78"/>
  <c r="I77"/>
  <c r="I76"/>
  <c r="I75"/>
  <c r="I74"/>
  <c r="I73"/>
  <c r="I72"/>
  <c r="I71"/>
  <c r="I70"/>
  <c r="I69"/>
  <c r="I68"/>
  <c r="I67"/>
  <c r="I66"/>
  <c r="I65"/>
  <c r="I64"/>
  <c r="I63"/>
  <c r="I62"/>
  <c r="I61"/>
  <c r="I60"/>
  <c r="I59"/>
  <c r="I58"/>
  <c r="I57"/>
  <c r="I56"/>
  <c r="I55"/>
  <c r="I54"/>
  <c r="I53"/>
  <c r="I52"/>
  <c r="I51"/>
  <c r="I50"/>
  <c r="I49"/>
  <c r="I48"/>
  <c r="I47"/>
  <c r="I46"/>
  <c r="I45"/>
  <c r="I44"/>
  <c r="I43"/>
  <c r="I42"/>
  <c r="I41"/>
  <c r="I40"/>
  <c r="I39"/>
  <c r="I38"/>
  <c r="I37"/>
  <c r="I36"/>
  <c r="I35"/>
  <c r="I34"/>
  <c r="I33"/>
  <c r="I32"/>
  <c r="I31"/>
  <c r="I30"/>
  <c r="I29"/>
  <c r="I28"/>
  <c r="I27"/>
  <c r="I26"/>
  <c r="I25"/>
  <c r="I24"/>
  <c r="I23"/>
  <c r="I22"/>
  <c r="I21"/>
  <c r="I20"/>
  <c r="I19"/>
  <c r="I18"/>
  <c r="I17"/>
  <c r="I16"/>
  <c r="I15"/>
  <c r="I14"/>
  <c r="I13"/>
  <c r="I12"/>
  <c r="A74" i="64"/>
  <c r="F383" i="66"/>
  <c r="F79"/>
  <c r="F77"/>
  <c r="E7"/>
  <c r="R41" i="61"/>
  <c r="R32"/>
  <c r="R14"/>
  <c r="R9"/>
  <c r="L9"/>
  <c r="F47"/>
  <c r="F33"/>
  <c r="F32"/>
  <c r="V5" i="5" l="1"/>
  <c r="R8"/>
  <c r="U5"/>
  <c r="U93"/>
  <c r="V93"/>
  <c r="U28"/>
  <c r="V28"/>
  <c r="U220"/>
  <c r="U158" s="1"/>
  <c r="V220"/>
  <c r="V158" s="1"/>
  <c r="S78"/>
  <c r="R78"/>
  <c r="R115"/>
  <c r="S115"/>
  <c r="F9" i="61"/>
  <c r="U2" i="5" l="1"/>
  <c r="U1" s="1"/>
  <c r="V2"/>
  <c r="V1" s="1"/>
  <c r="T56" i="61"/>
  <c r="I721" i="65"/>
  <c r="H721"/>
  <c r="I720"/>
  <c r="H719"/>
  <c r="H1335" l="1"/>
  <c r="H1333"/>
  <c r="H1331"/>
  <c r="H1012"/>
  <c r="H1011"/>
  <c r="H1010"/>
  <c r="H1009"/>
  <c r="H1008"/>
  <c r="H1007"/>
  <c r="H1006"/>
  <c r="H997"/>
  <c r="H995"/>
  <c r="H993"/>
  <c r="L30" i="62" l="1"/>
  <c r="H1339" i="65"/>
  <c r="H1371" l="1"/>
  <c r="A1371"/>
  <c r="H1384"/>
  <c r="A1384"/>
  <c r="A1385"/>
  <c r="H1357"/>
  <c r="H1370"/>
  <c r="H1369"/>
  <c r="H1368"/>
  <c r="H1363"/>
  <c r="H1367"/>
  <c r="H1366"/>
  <c r="H1365"/>
  <c r="H1361"/>
  <c r="H1356"/>
  <c r="H1360"/>
  <c r="H1355"/>
  <c r="H1364"/>
  <c r="H1359"/>
  <c r="H1362"/>
  <c r="H1358"/>
  <c r="A1357"/>
  <c r="A1370"/>
  <c r="A1386"/>
  <c r="A1369"/>
  <c r="A1368"/>
  <c r="A1363"/>
  <c r="A1387"/>
  <c r="A1367"/>
  <c r="A1366"/>
  <c r="A1365"/>
  <c r="A1361"/>
  <c r="A1356"/>
  <c r="A1360"/>
  <c r="A1355"/>
  <c r="A1364"/>
  <c r="A1359"/>
  <c r="A1362"/>
  <c r="A1358"/>
  <c r="A1405"/>
  <c r="A1404"/>
  <c r="A1403"/>
  <c r="A1402"/>
  <c r="A1401"/>
  <c r="A1400"/>
  <c r="A1399"/>
  <c r="A1398"/>
  <c r="A1397"/>
  <c r="A1396"/>
  <c r="A1395"/>
  <c r="A1394"/>
  <c r="A1406"/>
  <c r="A1393"/>
  <c r="A1392"/>
  <c r="A1391"/>
  <c r="A1390"/>
  <c r="A1389"/>
  <c r="A1388"/>
  <c r="H1385"/>
  <c r="H3517"/>
  <c r="H3516"/>
  <c r="H3515"/>
  <c r="H998" l="1"/>
  <c r="H996"/>
  <c r="H994"/>
  <c r="H1035"/>
  <c r="H1034"/>
  <c r="H1027"/>
  <c r="H992"/>
  <c r="H991"/>
  <c r="H990"/>
  <c r="H855"/>
  <c r="H854"/>
  <c r="H853"/>
  <c r="H852"/>
  <c r="H851"/>
  <c r="H850"/>
  <c r="H849"/>
  <c r="H848"/>
  <c r="H847"/>
  <c r="H846"/>
  <c r="H845"/>
  <c r="H844"/>
  <c r="H843"/>
  <c r="H842"/>
  <c r="H841"/>
  <c r="H840"/>
  <c r="H839"/>
  <c r="H838"/>
  <c r="H837"/>
  <c r="H836"/>
  <c r="H795"/>
  <c r="H794"/>
  <c r="H793"/>
  <c r="H792"/>
  <c r="H791"/>
  <c r="H790"/>
  <c r="H789"/>
  <c r="H788"/>
  <c r="H787"/>
  <c r="H786"/>
  <c r="H785"/>
  <c r="H784"/>
  <c r="H760"/>
  <c r="H680"/>
  <c r="H679"/>
  <c r="H678"/>
  <c r="H1353" l="1"/>
  <c r="H1352"/>
  <c r="H1351"/>
  <c r="H1350"/>
  <c r="H1349"/>
  <c r="H1348"/>
  <c r="H1347"/>
  <c r="H1346"/>
  <c r="H1345"/>
  <c r="H1344"/>
  <c r="H1343"/>
  <c r="H1342"/>
  <c r="H1337"/>
  <c r="H1326"/>
  <c r="H1325"/>
  <c r="H1324"/>
  <c r="H1323"/>
  <c r="H1322"/>
  <c r="H1321"/>
  <c r="H1320"/>
  <c r="H1319"/>
  <c r="H1318"/>
  <c r="H1317"/>
  <c r="H1316"/>
  <c r="H1315"/>
  <c r="H1314"/>
  <c r="H1313"/>
  <c r="H1312"/>
  <c r="H1311"/>
  <c r="H1310"/>
  <c r="H1309"/>
  <c r="H1336"/>
  <c r="H1334"/>
  <c r="H1332"/>
  <c r="H1330"/>
  <c r="H1329"/>
  <c r="H1308"/>
  <c r="H1307"/>
  <c r="H1306"/>
  <c r="H1305"/>
  <c r="H1304"/>
  <c r="H1303"/>
  <c r="H1338"/>
  <c r="H1302"/>
  <c r="H1301"/>
  <c r="H1300"/>
  <c r="H1299"/>
  <c r="H1298"/>
  <c r="H1297"/>
  <c r="H1296"/>
  <c r="H1295"/>
  <c r="H1294"/>
  <c r="H1293"/>
  <c r="H1292"/>
  <c r="H1291"/>
  <c r="H1290"/>
  <c r="H1289"/>
  <c r="H1288"/>
  <c r="H1287"/>
  <c r="H1286"/>
  <c r="H1285"/>
  <c r="H1284"/>
  <c r="H1283"/>
  <c r="H1282"/>
  <c r="H1281"/>
  <c r="H1280"/>
  <c r="H1279"/>
  <c r="H1278"/>
  <c r="H1277"/>
  <c r="H1328"/>
  <c r="H1327"/>
  <c r="H1276"/>
  <c r="H1275"/>
  <c r="H759"/>
  <c r="H758"/>
  <c r="H757"/>
  <c r="H756"/>
  <c r="H755"/>
  <c r="H754"/>
  <c r="H753"/>
  <c r="H752"/>
  <c r="H751"/>
  <c r="H750"/>
  <c r="H749"/>
  <c r="H748"/>
  <c r="H747"/>
  <c r="H746"/>
  <c r="H715"/>
  <c r="H714"/>
  <c r="H1234"/>
  <c r="H1233"/>
  <c r="H783"/>
  <c r="H321"/>
  <c r="H320"/>
  <c r="H319"/>
  <c r="H318"/>
  <c r="H317"/>
  <c r="H316"/>
  <c r="H315"/>
  <c r="H314"/>
  <c r="H313"/>
  <c r="H312"/>
  <c r="H311"/>
  <c r="H310"/>
  <c r="H309"/>
  <c r="H308"/>
  <c r="H307"/>
  <c r="H306"/>
  <c r="H305"/>
  <c r="H304"/>
  <c r="H303"/>
  <c r="H302"/>
  <c r="H301"/>
  <c r="H300"/>
  <c r="H299"/>
  <c r="H298"/>
  <c r="H297"/>
  <c r="H296"/>
  <c r="H295"/>
  <c r="H294"/>
  <c r="H293"/>
  <c r="H292"/>
  <c r="H291"/>
  <c r="H290"/>
  <c r="H289"/>
  <c r="H288"/>
  <c r="H287"/>
  <c r="H286"/>
  <c r="H285"/>
  <c r="H284"/>
  <c r="H283"/>
  <c r="H282"/>
  <c r="H281"/>
  <c r="H280"/>
  <c r="H279"/>
  <c r="H278"/>
  <c r="H277"/>
  <c r="H276"/>
  <c r="H275"/>
  <c r="H274"/>
  <c r="H273"/>
  <c r="H272"/>
  <c r="H271"/>
  <c r="H270"/>
  <c r="H269"/>
  <c r="H268"/>
  <c r="H267"/>
  <c r="H266"/>
  <c r="H265"/>
  <c r="H264"/>
  <c r="H263"/>
  <c r="H262"/>
  <c r="H261"/>
  <c r="H260"/>
  <c r="H259"/>
  <c r="H258"/>
  <c r="H257"/>
  <c r="H256"/>
  <c r="H255"/>
  <c r="H254"/>
  <c r="H253"/>
  <c r="H252"/>
  <c r="H251"/>
  <c r="H250"/>
  <c r="H249"/>
  <c r="H248"/>
  <c r="H247"/>
  <c r="H246"/>
  <c r="H245"/>
  <c r="H244"/>
  <c r="H243"/>
  <c r="H242"/>
  <c r="H241"/>
  <c r="H240"/>
  <c r="H239"/>
  <c r="H238"/>
  <c r="H237"/>
  <c r="H236"/>
  <c r="H235"/>
  <c r="H234"/>
  <c r="H233"/>
  <c r="H232"/>
  <c r="H231"/>
  <c r="H230"/>
  <c r="H229"/>
  <c r="H228"/>
  <c r="H227"/>
  <c r="H226"/>
  <c r="H225"/>
  <c r="H224"/>
  <c r="H223"/>
  <c r="H222"/>
  <c r="H221"/>
  <c r="H220"/>
  <c r="H219"/>
  <c r="H218"/>
  <c r="H217"/>
  <c r="H216"/>
  <c r="H215"/>
  <c r="H214"/>
  <c r="H213"/>
  <c r="H212"/>
  <c r="H211"/>
  <c r="H210"/>
  <c r="H209"/>
  <c r="H208"/>
  <c r="H207"/>
  <c r="H206"/>
  <c r="H205"/>
  <c r="H204"/>
  <c r="H203"/>
  <c r="H202"/>
  <c r="H201"/>
  <c r="H200"/>
  <c r="H199"/>
  <c r="H198"/>
  <c r="H197"/>
  <c r="H196"/>
  <c r="H195"/>
  <c r="H194"/>
  <c r="H193"/>
  <c r="H192"/>
  <c r="H191"/>
  <c r="H190"/>
  <c r="H189"/>
  <c r="H188"/>
  <c r="H187"/>
  <c r="H186"/>
  <c r="H185"/>
  <c r="H184"/>
  <c r="H183"/>
  <c r="H182"/>
  <c r="H181"/>
  <c r="H180"/>
  <c r="H179"/>
  <c r="H178"/>
  <c r="H177"/>
  <c r="H176"/>
  <c r="H175"/>
  <c r="H174"/>
  <c r="H173"/>
  <c r="H172"/>
  <c r="H171"/>
  <c r="H170"/>
  <c r="H169"/>
  <c r="H168"/>
  <c r="H167"/>
  <c r="H166"/>
  <c r="H165"/>
  <c r="H164"/>
  <c r="H163"/>
  <c r="H162"/>
  <c r="H161"/>
  <c r="H160"/>
  <c r="H159"/>
  <c r="H158"/>
  <c r="H157"/>
  <c r="H156"/>
  <c r="H155"/>
  <c r="H154"/>
  <c r="H153"/>
  <c r="H152"/>
  <c r="H151"/>
  <c r="H150"/>
  <c r="H149"/>
  <c r="H148"/>
  <c r="H147"/>
  <c r="H146"/>
  <c r="H145"/>
  <c r="H144"/>
  <c r="H143"/>
  <c r="H142"/>
  <c r="H141"/>
  <c r="H140"/>
  <c r="H139"/>
  <c r="H138"/>
  <c r="H137"/>
  <c r="H136"/>
  <c r="H135"/>
  <c r="H134"/>
  <c r="H133"/>
  <c r="H132"/>
  <c r="H131"/>
  <c r="H130"/>
  <c r="H129"/>
  <c r="H128"/>
  <c r="H127"/>
  <c r="H126"/>
  <c r="H125"/>
  <c r="H124"/>
  <c r="H123"/>
  <c r="H122"/>
  <c r="H121"/>
  <c r="H120"/>
  <c r="H119"/>
  <c r="H118"/>
  <c r="H117"/>
  <c r="H116"/>
  <c r="H115"/>
  <c r="H114"/>
  <c r="H113"/>
  <c r="H112"/>
  <c r="H111"/>
  <c r="H110"/>
  <c r="H109"/>
  <c r="H108"/>
  <c r="H107"/>
  <c r="H106"/>
  <c r="H105"/>
  <c r="H104"/>
  <c r="H103"/>
  <c r="H102"/>
  <c r="H101"/>
  <c r="H100"/>
  <c r="H99"/>
  <c r="H98"/>
  <c r="H97"/>
  <c r="H96"/>
  <c r="H95"/>
  <c r="H94"/>
  <c r="H93"/>
  <c r="H92"/>
  <c r="H91"/>
  <c r="H90"/>
  <c r="H89"/>
  <c r="H88"/>
  <c r="H87"/>
  <c r="H86"/>
  <c r="H85"/>
  <c r="H84"/>
  <c r="H83"/>
  <c r="H82"/>
  <c r="H81"/>
  <c r="H80"/>
  <c r="H79"/>
  <c r="H78"/>
  <c r="H77"/>
  <c r="H76"/>
  <c r="H75"/>
  <c r="H74"/>
  <c r="H73"/>
  <c r="H72"/>
  <c r="H71"/>
  <c r="H70"/>
  <c r="H69"/>
  <c r="H68"/>
  <c r="H67"/>
  <c r="H66"/>
  <c r="H65"/>
  <c r="H64"/>
  <c r="H63"/>
  <c r="H62"/>
  <c r="H61"/>
  <c r="H60"/>
  <c r="H59"/>
  <c r="H58"/>
  <c r="H57"/>
  <c r="H56"/>
  <c r="H55"/>
  <c r="H54"/>
  <c r="H1026"/>
  <c r="H1025"/>
  <c r="H1024"/>
  <c r="H1033"/>
  <c r="H1023"/>
  <c r="H1032"/>
  <c r="H442"/>
  <c r="H441"/>
  <c r="H440"/>
  <c r="H439"/>
  <c r="H438"/>
  <c r="H437"/>
  <c r="H436"/>
  <c r="H435"/>
  <c r="H434"/>
  <c r="H433"/>
  <c r="H432"/>
  <c r="H431"/>
  <c r="H430"/>
  <c r="H429"/>
  <c r="H428"/>
  <c r="H427"/>
  <c r="H426"/>
  <c r="H425"/>
  <c r="H424"/>
  <c r="H423"/>
  <c r="H422"/>
  <c r="H421"/>
  <c r="H420"/>
  <c r="H419"/>
  <c r="H418"/>
  <c r="H417"/>
  <c r="H416"/>
  <c r="H415"/>
  <c r="H414"/>
  <c r="H413"/>
  <c r="H412"/>
  <c r="H411"/>
  <c r="H410"/>
  <c r="H409"/>
  <c r="H408"/>
  <c r="H407"/>
  <c r="H406"/>
  <c r="H405"/>
  <c r="H404"/>
  <c r="H403"/>
  <c r="H402"/>
  <c r="H401"/>
  <c r="H400"/>
  <c r="H399"/>
  <c r="H398"/>
  <c r="H397"/>
  <c r="H396"/>
  <c r="H395"/>
  <c r="H394"/>
  <c r="H393"/>
  <c r="H392"/>
  <c r="H391"/>
  <c r="H390"/>
  <c r="H389"/>
  <c r="H388"/>
  <c r="H387"/>
  <c r="H386"/>
  <c r="H385"/>
  <c r="H384"/>
  <c r="H383"/>
  <c r="H382"/>
  <c r="H381"/>
  <c r="H380"/>
  <c r="H379"/>
  <c r="H378"/>
  <c r="H377"/>
  <c r="H376"/>
  <c r="H375"/>
  <c r="H374"/>
  <c r="H373"/>
  <c r="H372"/>
  <c r="H371"/>
  <c r="H370"/>
  <c r="H369"/>
  <c r="H368"/>
  <c r="H367"/>
  <c r="H366"/>
  <c r="H365"/>
  <c r="H364"/>
  <c r="H363"/>
  <c r="H362"/>
  <c r="H361"/>
  <c r="H360"/>
  <c r="H359"/>
  <c r="H358"/>
  <c r="H357"/>
  <c r="H356"/>
  <c r="H355"/>
  <c r="H354"/>
  <c r="H353"/>
  <c r="H352"/>
  <c r="H351"/>
  <c r="H350"/>
  <c r="H349"/>
  <c r="H348"/>
  <c r="H347"/>
  <c r="H346"/>
  <c r="H345"/>
  <c r="H344"/>
  <c r="H835"/>
  <c r="H834"/>
  <c r="H833"/>
  <c r="H832"/>
  <c r="H831"/>
  <c r="H830"/>
  <c r="H829"/>
  <c r="H828"/>
  <c r="H827"/>
  <c r="H826"/>
  <c r="H825"/>
  <c r="H824"/>
  <c r="H823"/>
  <c r="H822"/>
  <c r="H821"/>
  <c r="H820"/>
  <c r="H819"/>
  <c r="H818"/>
  <c r="H817"/>
  <c r="H816"/>
  <c r="H815"/>
  <c r="H814"/>
  <c r="H813"/>
  <c r="H812"/>
  <c r="H811"/>
  <c r="H810"/>
  <c r="H809"/>
  <c r="H808"/>
  <c r="H807"/>
  <c r="H806"/>
  <c r="H805"/>
  <c r="H804"/>
  <c r="H803"/>
  <c r="H802"/>
  <c r="H801"/>
  <c r="H800"/>
  <c r="H799"/>
  <c r="H798"/>
  <c r="H797"/>
  <c r="H796"/>
  <c r="H1055"/>
  <c r="H1054"/>
  <c r="H735"/>
  <c r="H734"/>
  <c r="H733"/>
  <c r="H732"/>
  <c r="H1256"/>
  <c r="H1255"/>
  <c r="H1254"/>
  <c r="H1253"/>
  <c r="H1252"/>
  <c r="H731"/>
  <c r="H730"/>
  <c r="H729"/>
  <c r="H1251"/>
  <c r="H1250"/>
  <c r="H728"/>
  <c r="H1249"/>
  <c r="H1248"/>
  <c r="H1247"/>
  <c r="H727"/>
  <c r="H726"/>
  <c r="H725"/>
  <c r="H724"/>
  <c r="H1273"/>
  <c r="H723"/>
  <c r="H1022"/>
  <c r="H1021"/>
  <c r="H1020"/>
  <c r="H1019"/>
  <c r="H1018"/>
  <c r="H1017"/>
  <c r="H1016"/>
  <c r="H1015"/>
  <c r="H1014"/>
  <c r="H1013"/>
  <c r="H1212"/>
  <c r="H1211"/>
  <c r="H1210"/>
  <c r="H1209"/>
  <c r="H1208"/>
  <c r="H1207"/>
  <c r="H1206"/>
  <c r="H1205"/>
  <c r="H1204"/>
  <c r="H1203"/>
  <c r="H1202"/>
  <c r="H1201"/>
  <c r="H1200"/>
  <c r="H1199"/>
  <c r="H1198"/>
  <c r="H1197"/>
  <c r="H1196"/>
  <c r="H1195"/>
  <c r="H1194"/>
  <c r="H1193"/>
  <c r="H1192"/>
  <c r="H1191"/>
  <c r="H1190"/>
  <c r="H1189"/>
  <c r="H1188"/>
  <c r="H1187"/>
  <c r="H1186"/>
  <c r="H1185"/>
  <c r="H1184"/>
  <c r="H1183"/>
  <c r="H1182"/>
  <c r="H1181"/>
  <c r="H1180"/>
  <c r="H1179"/>
  <c r="H1178"/>
  <c r="H1177"/>
  <c r="H1176"/>
  <c r="H1175"/>
  <c r="H1174"/>
  <c r="H1173"/>
  <c r="H1172"/>
  <c r="H1171"/>
  <c r="H1170"/>
  <c r="H1169"/>
  <c r="H1168"/>
  <c r="H1167"/>
  <c r="H1166"/>
  <c r="H1165"/>
  <c r="H1164"/>
  <c r="H1163"/>
  <c r="H1162"/>
  <c r="H1161"/>
  <c r="H1160"/>
  <c r="H1159"/>
  <c r="H1158"/>
  <c r="H1157"/>
  <c r="H1156"/>
  <c r="H1155"/>
  <c r="H1154"/>
  <c r="H1153"/>
  <c r="H1152"/>
  <c r="H1151"/>
  <c r="H1150"/>
  <c r="H1149"/>
  <c r="H1148"/>
  <c r="H1147"/>
  <c r="H1146"/>
  <c r="H1232"/>
  <c r="H1231"/>
  <c r="H1230"/>
  <c r="H1229"/>
  <c r="H1224"/>
  <c r="H1223"/>
  <c r="H1222"/>
  <c r="H1221"/>
  <c r="H1220"/>
  <c r="H1219"/>
  <c r="H1218"/>
  <c r="H1217"/>
  <c r="H1216"/>
  <c r="H1215"/>
  <c r="H1214"/>
  <c r="H1213"/>
  <c r="H782"/>
  <c r="H781"/>
  <c r="H780"/>
  <c r="H779"/>
  <c r="H778"/>
  <c r="H777"/>
  <c r="H776"/>
  <c r="H775"/>
  <c r="H774"/>
  <c r="H773"/>
  <c r="H772"/>
  <c r="H771"/>
  <c r="H770"/>
  <c r="H769"/>
  <c r="H768"/>
  <c r="H767"/>
  <c r="H766"/>
  <c r="H765"/>
  <c r="H764"/>
  <c r="H763"/>
  <c r="H762"/>
  <c r="H761"/>
  <c r="H713"/>
  <c r="H712"/>
  <c r="H711"/>
  <c r="H710"/>
  <c r="H709"/>
  <c r="H653"/>
  <c r="H652"/>
  <c r="H651"/>
  <c r="H650"/>
  <c r="H649"/>
  <c r="H648"/>
  <c r="H647"/>
  <c r="H646"/>
  <c r="H645"/>
  <c r="H644"/>
  <c r="H643"/>
  <c r="H642"/>
  <c r="H641"/>
  <c r="H640"/>
  <c r="H639"/>
  <c r="H638"/>
  <c r="H637"/>
  <c r="H636"/>
  <c r="H635"/>
  <c r="H634"/>
  <c r="H633"/>
  <c r="H632"/>
  <c r="H631"/>
  <c r="H630"/>
  <c r="H629"/>
  <c r="H628"/>
  <c r="H627"/>
  <c r="H626"/>
  <c r="H625"/>
  <c r="H624"/>
  <c r="H623"/>
  <c r="H622"/>
  <c r="H621"/>
  <c r="H620"/>
  <c r="H619"/>
  <c r="H618"/>
  <c r="H617"/>
  <c r="H616"/>
  <c r="H615"/>
  <c r="H614"/>
  <c r="H613"/>
  <c r="H612"/>
  <c r="H611"/>
  <c r="H610"/>
  <c r="H609"/>
  <c r="H608"/>
  <c r="H607"/>
  <c r="H606"/>
  <c r="H605"/>
  <c r="H604"/>
  <c r="H603"/>
  <c r="H602"/>
  <c r="H601"/>
  <c r="H600"/>
  <c r="H599"/>
  <c r="H598"/>
  <c r="H597"/>
  <c r="H596"/>
  <c r="H595"/>
  <c r="H594"/>
  <c r="H593"/>
  <c r="H592"/>
  <c r="H591"/>
  <c r="H590"/>
  <c r="H589"/>
  <c r="H588"/>
  <c r="H587"/>
  <c r="H586"/>
  <c r="H585"/>
  <c r="H584"/>
  <c r="H583"/>
  <c r="H582"/>
  <c r="H581"/>
  <c r="H580"/>
  <c r="H579"/>
  <c r="H578"/>
  <c r="H577"/>
  <c r="H576"/>
  <c r="H575"/>
  <c r="H574"/>
  <c r="H573"/>
  <c r="H572"/>
  <c r="H571"/>
  <c r="H570"/>
  <c r="H569"/>
  <c r="H568"/>
  <c r="H567"/>
  <c r="H566"/>
  <c r="H565"/>
  <c r="H564"/>
  <c r="H563"/>
  <c r="H562"/>
  <c r="H561"/>
  <c r="H560"/>
  <c r="H559"/>
  <c r="H558"/>
  <c r="H557"/>
  <c r="H556"/>
  <c r="H555"/>
  <c r="H554"/>
  <c r="H553"/>
  <c r="H552"/>
  <c r="H551"/>
  <c r="H550"/>
  <c r="H549"/>
  <c r="H548"/>
  <c r="H547"/>
  <c r="H546"/>
  <c r="H545"/>
  <c r="H544"/>
  <c r="H543"/>
  <c r="H542"/>
  <c r="H541"/>
  <c r="H540"/>
  <c r="H539"/>
  <c r="H538"/>
  <c r="H537"/>
  <c r="H536"/>
  <c r="H535"/>
  <c r="H534"/>
  <c r="H533"/>
  <c r="H532"/>
  <c r="H531"/>
  <c r="H530"/>
  <c r="H529"/>
  <c r="H528"/>
  <c r="H527"/>
  <c r="H526"/>
  <c r="H525"/>
  <c r="H524"/>
  <c r="H523"/>
  <c r="H522"/>
  <c r="H521"/>
  <c r="H520"/>
  <c r="H989"/>
  <c r="H988"/>
  <c r="H987"/>
  <c r="H986"/>
  <c r="H985"/>
  <c r="H984"/>
  <c r="H983"/>
  <c r="H982"/>
  <c r="H981"/>
  <c r="H980"/>
  <c r="H979"/>
  <c r="H978"/>
  <c r="H977"/>
  <c r="H976"/>
  <c r="H975"/>
  <c r="H974"/>
  <c r="H973"/>
  <c r="H972"/>
  <c r="H971"/>
  <c r="H970"/>
  <c r="H969"/>
  <c r="H968"/>
  <c r="H967"/>
  <c r="H966"/>
  <c r="H965"/>
  <c r="H964"/>
  <c r="H963"/>
  <c r="H962"/>
  <c r="H961"/>
  <c r="H960"/>
  <c r="H959"/>
  <c r="H958"/>
  <c r="H957"/>
  <c r="H956"/>
  <c r="H955"/>
  <c r="H954"/>
  <c r="H953"/>
  <c r="H952"/>
  <c r="H951"/>
  <c r="H950"/>
  <c r="H949"/>
  <c r="H948"/>
  <c r="H947"/>
  <c r="H946"/>
  <c r="H945"/>
  <c r="H944"/>
  <c r="H943"/>
  <c r="H942"/>
  <c r="H941"/>
  <c r="H940"/>
  <c r="H939"/>
  <c r="H938"/>
  <c r="H937"/>
  <c r="H936"/>
  <c r="H935"/>
  <c r="H934"/>
  <c r="H933"/>
  <c r="H932"/>
  <c r="H931"/>
  <c r="H930"/>
  <c r="H929"/>
  <c r="H928"/>
  <c r="H927"/>
  <c r="H926"/>
  <c r="H925"/>
  <c r="H924"/>
  <c r="H923"/>
  <c r="H922"/>
  <c r="H921"/>
  <c r="H920"/>
  <c r="H919"/>
  <c r="H918"/>
  <c r="H917"/>
  <c r="H916"/>
  <c r="H915"/>
  <c r="H914"/>
  <c r="H913"/>
  <c r="H912"/>
  <c r="H911"/>
  <c r="H910"/>
  <c r="H909"/>
  <c r="H908"/>
  <c r="H907"/>
  <c r="H906"/>
  <c r="H905"/>
  <c r="H904"/>
  <c r="H903"/>
  <c r="H902"/>
  <c r="H901"/>
  <c r="H900"/>
  <c r="H899"/>
  <c r="H898"/>
  <c r="H897"/>
  <c r="H896"/>
  <c r="H895"/>
  <c r="H894"/>
  <c r="H893"/>
  <c r="H892"/>
  <c r="H891"/>
  <c r="H890"/>
  <c r="H889"/>
  <c r="H888"/>
  <c r="H887"/>
  <c r="H886"/>
  <c r="H885"/>
  <c r="H884"/>
  <c r="H883"/>
  <c r="H882"/>
  <c r="H881"/>
  <c r="H880"/>
  <c r="H879"/>
  <c r="H878"/>
  <c r="H877"/>
  <c r="H876"/>
  <c r="H875"/>
  <c r="H874"/>
  <c r="H873"/>
  <c r="H872"/>
  <c r="H871"/>
  <c r="H870"/>
  <c r="H869"/>
  <c r="H868"/>
  <c r="H867"/>
  <c r="H866"/>
  <c r="H865"/>
  <c r="H864"/>
  <c r="H863"/>
  <c r="H862"/>
  <c r="H861"/>
  <c r="H860"/>
  <c r="H859"/>
  <c r="H858"/>
  <c r="H857"/>
  <c r="H856"/>
  <c r="H1244"/>
  <c r="H706"/>
  <c r="H705"/>
  <c r="H704"/>
  <c r="H1141"/>
  <c r="H1140"/>
  <c r="H1139"/>
  <c r="H1138"/>
  <c r="H1137"/>
  <c r="H1243"/>
  <c r="H1136"/>
  <c r="H1135"/>
  <c r="H1134"/>
  <c r="H1133"/>
  <c r="H1132"/>
  <c r="H1131"/>
  <c r="H1130"/>
  <c r="H1129"/>
  <c r="H1128"/>
  <c r="H1127"/>
  <c r="H1126"/>
  <c r="H1242"/>
  <c r="H1125"/>
  <c r="H1241"/>
  <c r="H1124"/>
  <c r="H1123"/>
  <c r="H1122"/>
  <c r="H1121"/>
  <c r="H1120"/>
  <c r="H703"/>
  <c r="H1119"/>
  <c r="H1118"/>
  <c r="H1117"/>
  <c r="H1116"/>
  <c r="H1115"/>
  <c r="H1114"/>
  <c r="H1113"/>
  <c r="H1112"/>
  <c r="H1111"/>
  <c r="H1110"/>
  <c r="H1109"/>
  <c r="H1108"/>
  <c r="H1107"/>
  <c r="H1106"/>
  <c r="H1105"/>
  <c r="H1104"/>
  <c r="H1103"/>
  <c r="H1102"/>
  <c r="H1240"/>
  <c r="H1101"/>
  <c r="H1100"/>
  <c r="H1099"/>
  <c r="H1098"/>
  <c r="H1097"/>
  <c r="H1239"/>
  <c r="H1238"/>
  <c r="H1144"/>
  <c r="H1096"/>
  <c r="H1095"/>
  <c r="H1094"/>
  <c r="H1093"/>
  <c r="H1092"/>
  <c r="H1091"/>
  <c r="H1090"/>
  <c r="H1089"/>
  <c r="H1088"/>
  <c r="H1087"/>
  <c r="H1086"/>
  <c r="H1085"/>
  <c r="H1084"/>
  <c r="H1083"/>
  <c r="H1082"/>
  <c r="H1237"/>
  <c r="H1081"/>
  <c r="H1143"/>
  <c r="H1080"/>
  <c r="H1079"/>
  <c r="H1078"/>
  <c r="H1077"/>
  <c r="H1076"/>
  <c r="H1075"/>
  <c r="H1074"/>
  <c r="H1073"/>
  <c r="H1072"/>
  <c r="H1071"/>
  <c r="H1070"/>
  <c r="H1069"/>
  <c r="H1068"/>
  <c r="H1067"/>
  <c r="H1066"/>
  <c r="H1065"/>
  <c r="H1064"/>
  <c r="H1063"/>
  <c r="H1062"/>
  <c r="H1061"/>
  <c r="H1060"/>
  <c r="H1059"/>
  <c r="H1142"/>
  <c r="H1236"/>
  <c r="H1058"/>
  <c r="H1235"/>
  <c r="H49"/>
  <c r="H48"/>
  <c r="H47"/>
  <c r="H46"/>
  <c r="H39"/>
  <c r="H52"/>
  <c r="H38"/>
  <c r="H37"/>
  <c r="H36"/>
  <c r="H35"/>
  <c r="H34"/>
  <c r="H33"/>
  <c r="H51"/>
  <c r="H32"/>
  <c r="H31"/>
  <c r="H30"/>
  <c r="H29"/>
  <c r="H28"/>
  <c r="H27"/>
  <c r="H50"/>
  <c r="H26"/>
  <c r="H25"/>
  <c r="H24"/>
  <c r="H23"/>
  <c r="H22"/>
  <c r="H21"/>
  <c r="H45"/>
  <c r="H20"/>
  <c r="H44"/>
  <c r="H19"/>
  <c r="H18"/>
  <c r="H43"/>
  <c r="H17"/>
  <c r="H53"/>
  <c r="H16"/>
  <c r="H690"/>
  <c r="H689"/>
  <c r="H688"/>
  <c r="H687"/>
  <c r="H686"/>
  <c r="H685"/>
  <c r="H684"/>
  <c r="H683"/>
  <c r="H682"/>
  <c r="H681"/>
  <c r="H518"/>
  <c r="H517"/>
  <c r="H516"/>
  <c r="H515"/>
  <c r="H514"/>
  <c r="H513"/>
  <c r="H512"/>
  <c r="H343"/>
  <c r="H511"/>
  <c r="H342"/>
  <c r="H510"/>
  <c r="H341"/>
  <c r="H509"/>
  <c r="H508"/>
  <c r="H340"/>
  <c r="H507"/>
  <c r="H339"/>
  <c r="H506"/>
  <c r="H338"/>
  <c r="H505"/>
  <c r="H504"/>
  <c r="H337"/>
  <c r="H503"/>
  <c r="H502"/>
  <c r="H336"/>
  <c r="H501"/>
  <c r="H335"/>
  <c r="H500"/>
  <c r="H499"/>
  <c r="H334"/>
  <c r="H498"/>
  <c r="H497"/>
  <c r="H496"/>
  <c r="H495"/>
  <c r="H333"/>
  <c r="H332"/>
  <c r="H494"/>
  <c r="H331"/>
  <c r="H457"/>
  <c r="H456"/>
  <c r="H330"/>
  <c r="H493"/>
  <c r="H329"/>
  <c r="H328"/>
  <c r="H492"/>
  <c r="H519"/>
  <c r="H491"/>
  <c r="H490"/>
  <c r="H489"/>
  <c r="H488"/>
  <c r="H487"/>
  <c r="H486"/>
  <c r="H485"/>
  <c r="H484"/>
  <c r="H483"/>
  <c r="H482"/>
  <c r="H481"/>
  <c r="H455"/>
  <c r="H480"/>
  <c r="H479"/>
  <c r="H478"/>
  <c r="H477"/>
  <c r="H476"/>
  <c r="H475"/>
  <c r="H454"/>
  <c r="H327"/>
  <c r="H453"/>
  <c r="H452"/>
  <c r="H474"/>
  <c r="H473"/>
  <c r="H326"/>
  <c r="H451"/>
  <c r="H325"/>
  <c r="H324"/>
  <c r="H472"/>
  <c r="H450"/>
  <c r="H323"/>
  <c r="H471"/>
  <c r="H470"/>
  <c r="H322"/>
  <c r="H449"/>
  <c r="H448"/>
  <c r="H447"/>
  <c r="H469"/>
  <c r="H446"/>
  <c r="H468"/>
  <c r="H445"/>
  <c r="H467"/>
  <c r="H444"/>
  <c r="H443"/>
  <c r="H466"/>
  <c r="H465"/>
  <c r="H464"/>
  <c r="H463"/>
  <c r="H462"/>
  <c r="H461"/>
  <c r="H460"/>
  <c r="H459"/>
  <c r="H458"/>
  <c r="H677"/>
  <c r="H676"/>
  <c r="H675"/>
  <c r="H674"/>
  <c r="H673"/>
  <c r="H672"/>
  <c r="H671"/>
  <c r="H670"/>
  <c r="H669"/>
  <c r="H668"/>
  <c r="H667"/>
  <c r="H666"/>
  <c r="H665"/>
  <c r="H664"/>
  <c r="H663"/>
  <c r="H662"/>
  <c r="H661"/>
  <c r="H660"/>
  <c r="H659"/>
  <c r="H658"/>
  <c r="H657"/>
  <c r="H656"/>
  <c r="H655"/>
  <c r="H654"/>
  <c r="H1053"/>
  <c r="H1052"/>
  <c r="H1051"/>
  <c r="H1050"/>
  <c r="H1042"/>
  <c r="H1041"/>
  <c r="H1040"/>
  <c r="H1039"/>
  <c r="H1246"/>
  <c r="H1038"/>
  <c r="H1037"/>
  <c r="H1036"/>
  <c r="H1245"/>
  <c r="H701"/>
  <c r="H1264"/>
  <c r="H1263"/>
  <c r="H697"/>
  <c r="H696"/>
  <c r="H695"/>
  <c r="H694"/>
  <c r="H693"/>
  <c r="H692"/>
  <c r="H691"/>
  <c r="H745"/>
  <c r="H744"/>
  <c r="H743"/>
  <c r="H742"/>
  <c r="H741"/>
  <c r="H722"/>
  <c r="H42"/>
  <c r="H1049"/>
  <c r="H1262"/>
  <c r="H1261"/>
  <c r="H700"/>
  <c r="H699"/>
  <c r="H1260"/>
  <c r="H740"/>
  <c r="H739"/>
  <c r="H738"/>
  <c r="H737"/>
  <c r="H736"/>
  <c r="H1031"/>
  <c r="H1030"/>
  <c r="H1029"/>
  <c r="H1028"/>
  <c r="H720"/>
  <c r="H718"/>
  <c r="H717"/>
  <c r="H1272"/>
  <c r="H716"/>
  <c r="H1271"/>
  <c r="H1005"/>
  <c r="H1004"/>
  <c r="H1003"/>
  <c r="H1002"/>
  <c r="H1001"/>
  <c r="H1000"/>
  <c r="H999"/>
  <c r="H1268"/>
  <c r="H1267"/>
  <c r="H1145"/>
  <c r="H1266"/>
  <c r="H1265"/>
  <c r="H1270"/>
  <c r="H1269"/>
  <c r="H1228"/>
  <c r="H1227"/>
  <c r="H1226"/>
  <c r="H1225"/>
  <c r="H708"/>
  <c r="H707"/>
  <c r="H702"/>
  <c r="H1057"/>
  <c r="H1056"/>
  <c r="H41"/>
  <c r="H15"/>
  <c r="H14"/>
  <c r="H13"/>
  <c r="H40"/>
  <c r="H1048"/>
  <c r="H1047"/>
  <c r="H1046"/>
  <c r="H1045"/>
  <c r="H1044"/>
  <c r="H1043"/>
  <c r="H1259"/>
  <c r="H1258"/>
  <c r="H698"/>
  <c r="H1257"/>
  <c r="E1273"/>
  <c r="E1272"/>
  <c r="E1271"/>
  <c r="O78" i="5" l="1"/>
  <c r="P78"/>
  <c r="P115"/>
  <c r="O115"/>
  <c r="A56" i="61"/>
  <c r="A55"/>
  <c r="H1035" i="18"/>
  <c r="H1034"/>
  <c r="H1033"/>
  <c r="H1032"/>
  <c r="H1031"/>
  <c r="H1030"/>
  <c r="H1029"/>
  <c r="H1028"/>
  <c r="H1027"/>
  <c r="H1026"/>
  <c r="H1025"/>
  <c r="H1024"/>
  <c r="H1023"/>
  <c r="H1022"/>
  <c r="H1021"/>
  <c r="H1020"/>
  <c r="H1019"/>
  <c r="H1018"/>
  <c r="H1017"/>
  <c r="H1016"/>
  <c r="H1015"/>
  <c r="H1014"/>
  <c r="H1013"/>
  <c r="H1012"/>
  <c r="X61" i="61"/>
  <c r="X56"/>
  <c r="S96" i="5" l="1"/>
  <c r="R96"/>
  <c r="P96"/>
  <c r="O96"/>
  <c r="A80" i="64"/>
  <c r="S224" i="5"/>
  <c r="R224"/>
  <c r="P224"/>
  <c r="O224"/>
  <c r="H1010" i="18" l="1"/>
  <c r="R33" i="61"/>
  <c r="R16"/>
  <c r="R15"/>
  <c r="L41"/>
  <c r="L32"/>
  <c r="L16"/>
  <c r="L14"/>
  <c r="F41"/>
  <c r="F16"/>
  <c r="H324" i="32" l="1"/>
  <c r="H323"/>
  <c r="H322"/>
  <c r="H321"/>
  <c r="H320"/>
  <c r="H319"/>
  <c r="H318"/>
  <c r="H317"/>
  <c r="H316"/>
  <c r="H315"/>
  <c r="H314"/>
  <c r="H313"/>
  <c r="H312"/>
  <c r="H311"/>
  <c r="H310"/>
  <c r="H309"/>
  <c r="H308"/>
  <c r="H307"/>
  <c r="H306"/>
  <c r="H305"/>
  <c r="H304"/>
  <c r="H303"/>
  <c r="H302"/>
  <c r="H301"/>
  <c r="H300"/>
  <c r="H299"/>
  <c r="H298"/>
  <c r="H297"/>
  <c r="H296"/>
  <c r="H295"/>
  <c r="H294"/>
  <c r="H293"/>
  <c r="H292"/>
  <c r="H291"/>
  <c r="H290"/>
  <c r="H289"/>
  <c r="H288"/>
  <c r="H287"/>
  <c r="H286"/>
  <c r="H285"/>
  <c r="H284"/>
  <c r="H283"/>
  <c r="H282"/>
  <c r="H281"/>
  <c r="H280"/>
  <c r="H278"/>
  <c r="H277"/>
  <c r="H276"/>
  <c r="H275"/>
  <c r="H274"/>
  <c r="H273"/>
  <c r="H272"/>
  <c r="J5" i="72" l="1"/>
  <c r="T8" i="61" s="1"/>
  <c r="I5" i="72"/>
  <c r="H5"/>
  <c r="G5"/>
  <c r="T9" i="61" s="1"/>
  <c r="H255" i="32"/>
  <c r="H254"/>
  <c r="H253"/>
  <c r="H252"/>
  <c r="H128"/>
  <c r="H84"/>
  <c r="H83"/>
  <c r="H82"/>
  <c r="H81"/>
  <c r="H80"/>
  <c r="H79"/>
  <c r="H78"/>
  <c r="H77"/>
  <c r="H76"/>
  <c r="H75"/>
  <c r="H74"/>
  <c r="H73"/>
  <c r="H97"/>
  <c r="H96"/>
  <c r="H95"/>
  <c r="H94"/>
  <c r="H93"/>
  <c r="H92"/>
  <c r="H91"/>
  <c r="H90"/>
  <c r="H89"/>
  <c r="H88"/>
  <c r="H87"/>
  <c r="H86"/>
  <c r="H85"/>
  <c r="H251"/>
  <c r="H250"/>
  <c r="H249"/>
  <c r="H248"/>
  <c r="H247"/>
  <c r="H246"/>
  <c r="H245"/>
  <c r="H244"/>
  <c r="H243"/>
  <c r="H242"/>
  <c r="H241"/>
  <c r="H105"/>
  <c r="H37"/>
  <c r="H36"/>
  <c r="H35"/>
  <c r="H34"/>
  <c r="H33"/>
  <c r="H32"/>
  <c r="H31"/>
  <c r="H30"/>
  <c r="H29"/>
  <c r="H28"/>
  <c r="H27"/>
  <c r="H26"/>
  <c r="H25"/>
  <c r="H24"/>
  <c r="H23"/>
  <c r="H22"/>
  <c r="H21"/>
  <c r="H20"/>
  <c r="H129"/>
  <c r="H130"/>
  <c r="H42"/>
  <c r="H41"/>
  <c r="H40"/>
  <c r="H39"/>
  <c r="H38"/>
  <c r="H111"/>
  <c r="H110"/>
  <c r="H109"/>
  <c r="H108"/>
  <c r="H107"/>
  <c r="H106"/>
  <c r="H257"/>
  <c r="H127"/>
  <c r="H126"/>
  <c r="H125"/>
  <c r="H219"/>
  <c r="H218"/>
  <c r="H217"/>
  <c r="H216"/>
  <c r="H215"/>
  <c r="H214"/>
  <c r="H213"/>
  <c r="H212"/>
  <c r="H211"/>
  <c r="H210"/>
  <c r="H209"/>
  <c r="H208"/>
  <c r="H207"/>
  <c r="H265"/>
  <c r="H206"/>
  <c r="H205"/>
  <c r="H204"/>
  <c r="H203"/>
  <c r="H202"/>
  <c r="H201"/>
  <c r="H200"/>
  <c r="H199"/>
  <c r="H198"/>
  <c r="H197"/>
  <c r="H196"/>
  <c r="H195"/>
  <c r="H194"/>
  <c r="H193"/>
  <c r="H192"/>
  <c r="H191"/>
  <c r="H190"/>
  <c r="H189"/>
  <c r="H188"/>
  <c r="H187"/>
  <c r="H186"/>
  <c r="H185"/>
  <c r="H184"/>
  <c r="H183"/>
  <c r="H182"/>
  <c r="H240"/>
  <c r="H239"/>
  <c r="H238"/>
  <c r="H237"/>
  <c r="H236"/>
  <c r="H235"/>
  <c r="H234"/>
  <c r="H233"/>
  <c r="H232"/>
  <c r="H231"/>
  <c r="H230"/>
  <c r="H226"/>
  <c r="H225"/>
  <c r="H224"/>
  <c r="H223"/>
  <c r="H222"/>
  <c r="H221"/>
  <c r="H220"/>
  <c r="H104"/>
  <c r="H103"/>
  <c r="H102"/>
  <c r="H101"/>
  <c r="H100"/>
  <c r="H99"/>
  <c r="H98"/>
  <c r="H72"/>
  <c r="H71"/>
  <c r="H60"/>
  <c r="H59"/>
  <c r="H58"/>
  <c r="H57"/>
  <c r="H56"/>
  <c r="H55"/>
  <c r="H54"/>
  <c r="H53"/>
  <c r="H52"/>
  <c r="H121"/>
  <c r="H120"/>
  <c r="H119"/>
  <c r="H118"/>
  <c r="H117"/>
  <c r="H116"/>
  <c r="H115"/>
  <c r="H114"/>
  <c r="H113"/>
  <c r="H112"/>
  <c r="H176"/>
  <c r="H175"/>
  <c r="H174"/>
  <c r="H173"/>
  <c r="H172"/>
  <c r="H171"/>
  <c r="H181"/>
  <c r="H170"/>
  <c r="H169"/>
  <c r="H168"/>
  <c r="H180"/>
  <c r="H167"/>
  <c r="H166"/>
  <c r="H165"/>
  <c r="H164"/>
  <c r="H69"/>
  <c r="H163"/>
  <c r="H162"/>
  <c r="H161"/>
  <c r="H160"/>
  <c r="H159"/>
  <c r="H158"/>
  <c r="H157"/>
  <c r="H270"/>
  <c r="H269"/>
  <c r="H268"/>
  <c r="H156"/>
  <c r="H155"/>
  <c r="H154"/>
  <c r="H153"/>
  <c r="H179"/>
  <c r="H178"/>
  <c r="H177"/>
  <c r="H152"/>
  <c r="H151"/>
  <c r="H150"/>
  <c r="H149"/>
  <c r="H148"/>
  <c r="H147"/>
  <c r="H146"/>
  <c r="H145"/>
  <c r="H144"/>
  <c r="H143"/>
  <c r="H142"/>
  <c r="H141"/>
  <c r="H140"/>
  <c r="H139"/>
  <c r="H14"/>
  <c r="H13"/>
  <c r="H15"/>
  <c r="H12"/>
  <c r="H16"/>
  <c r="H19"/>
  <c r="H18"/>
  <c r="H17"/>
  <c r="H64"/>
  <c r="H63"/>
  <c r="H51"/>
  <c r="H50"/>
  <c r="H44"/>
  <c r="H49"/>
  <c r="H48"/>
  <c r="H47"/>
  <c r="H46"/>
  <c r="H43"/>
  <c r="H45"/>
  <c r="H62"/>
  <c r="H61"/>
  <c r="H138"/>
  <c r="H137"/>
  <c r="H136"/>
  <c r="H135"/>
  <c r="H134"/>
  <c r="H267"/>
  <c r="H266"/>
  <c r="H133"/>
  <c r="H132"/>
  <c r="H131"/>
  <c r="H256"/>
  <c r="H262"/>
  <c r="H68"/>
  <c r="H67"/>
  <c r="H261"/>
  <c r="H260"/>
  <c r="H124"/>
  <c r="H123"/>
  <c r="H122"/>
  <c r="H264"/>
  <c r="H263"/>
  <c r="H229"/>
  <c r="H228"/>
  <c r="H227"/>
  <c r="H70"/>
  <c r="H259"/>
  <c r="H66"/>
  <c r="H65"/>
  <c r="H258"/>
  <c r="S233" i="5"/>
  <c r="R233"/>
  <c r="P233"/>
  <c r="O233"/>
  <c r="S38"/>
  <c r="R38"/>
  <c r="P38"/>
  <c r="O38"/>
  <c r="S108"/>
  <c r="R108"/>
  <c r="P108"/>
  <c r="O108"/>
  <c r="A36" i="64"/>
  <c r="H1008" i="18"/>
  <c r="H1007"/>
  <c r="H1006"/>
  <c r="H1005"/>
  <c r="H1004"/>
  <c r="H1003"/>
  <c r="H1002"/>
  <c r="H1001"/>
  <c r="H1000"/>
  <c r="A69" i="64"/>
  <c r="S284" i="5"/>
  <c r="R284"/>
  <c r="P284"/>
  <c r="O284"/>
  <c r="S283"/>
  <c r="R283"/>
  <c r="P283"/>
  <c r="O283"/>
  <c r="J3" i="18"/>
  <c r="J2"/>
  <c r="M78" i="5" l="1"/>
  <c r="N78" s="1"/>
  <c r="L78"/>
  <c r="M115"/>
  <c r="N115" s="1"/>
  <c r="L115"/>
  <c r="L224"/>
  <c r="L96"/>
  <c r="M224"/>
  <c r="M96"/>
  <c r="L283"/>
  <c r="L284"/>
  <c r="M283"/>
  <c r="M284"/>
  <c r="M233"/>
  <c r="N233" s="1"/>
  <c r="L38"/>
  <c r="M38"/>
  <c r="N38" s="1"/>
  <c r="L233"/>
  <c r="M108"/>
  <c r="N108" s="1"/>
  <c r="L108"/>
  <c r="E991" i="18"/>
  <c r="E990"/>
  <c r="E989"/>
  <c r="E988"/>
  <c r="E987"/>
  <c r="E985"/>
  <c r="E984"/>
  <c r="E983"/>
  <c r="E982"/>
  <c r="E981"/>
  <c r="E980"/>
  <c r="E979"/>
  <c r="E978"/>
  <c r="E977"/>
  <c r="E976"/>
  <c r="E975"/>
  <c r="E974"/>
  <c r="E973"/>
  <c r="E972"/>
  <c r="E971"/>
  <c r="E970"/>
  <c r="E969"/>
  <c r="E968"/>
  <c r="E967"/>
  <c r="E966"/>
  <c r="E965"/>
  <c r="E964"/>
  <c r="E963"/>
  <c r="E962"/>
  <c r="E961"/>
  <c r="E960"/>
  <c r="E959"/>
  <c r="E958"/>
  <c r="E957"/>
  <c r="E956"/>
  <c r="E955"/>
  <c r="E954"/>
  <c r="E953"/>
  <c r="E952"/>
  <c r="H999"/>
  <c r="H998"/>
  <c r="H997"/>
  <c r="H996"/>
  <c r="H995"/>
  <c r="H994"/>
  <c r="H993"/>
  <c r="J999"/>
  <c r="J4" s="1"/>
  <c r="J1" s="1"/>
  <c r="F14" i="61"/>
  <c r="M37"/>
  <c r="M15"/>
  <c r="G8"/>
  <c r="G9"/>
  <c r="G10"/>
  <c r="N224" i="5" l="1"/>
  <c r="N96"/>
  <c r="S282"/>
  <c r="R282"/>
  <c r="P282"/>
  <c r="O282"/>
  <c r="M282"/>
  <c r="N282" s="1"/>
  <c r="L282"/>
  <c r="S153"/>
  <c r="R153"/>
  <c r="P153"/>
  <c r="O153"/>
  <c r="M153"/>
  <c r="N153" s="1"/>
  <c r="L153"/>
  <c r="S89"/>
  <c r="R89"/>
  <c r="P89"/>
  <c r="O89"/>
  <c r="M89"/>
  <c r="N89" s="1"/>
  <c r="L89"/>
  <c r="H991" i="18" l="1"/>
  <c r="H990"/>
  <c r="H989"/>
  <c r="H988"/>
  <c r="H987"/>
  <c r="H986"/>
  <c r="H985"/>
  <c r="H984"/>
  <c r="H983"/>
  <c r="H982"/>
  <c r="H981"/>
  <c r="H980"/>
  <c r="H979"/>
  <c r="H978"/>
  <c r="H977"/>
  <c r="H976"/>
  <c r="H975"/>
  <c r="H974"/>
  <c r="H973"/>
  <c r="H972"/>
  <c r="H971"/>
  <c r="H970"/>
  <c r="H969"/>
  <c r="H968"/>
  <c r="H967"/>
  <c r="H966"/>
  <c r="H965"/>
  <c r="H964"/>
  <c r="H963"/>
  <c r="H962"/>
  <c r="H961"/>
  <c r="H960"/>
  <c r="H959"/>
  <c r="H958"/>
  <c r="H957"/>
  <c r="H956"/>
  <c r="H955"/>
  <c r="H954"/>
  <c r="H953"/>
  <c r="H952"/>
  <c r="S281" i="5"/>
  <c r="R281"/>
  <c r="P281"/>
  <c r="O281"/>
  <c r="M281"/>
  <c r="N281" s="1"/>
  <c r="L281"/>
  <c r="S280"/>
  <c r="R280"/>
  <c r="P280"/>
  <c r="O280"/>
  <c r="M280"/>
  <c r="N280" s="1"/>
  <c r="L280"/>
  <c r="S279"/>
  <c r="R279"/>
  <c r="P279"/>
  <c r="O279"/>
  <c r="M279"/>
  <c r="N279" s="1"/>
  <c r="L279"/>
  <c r="S88"/>
  <c r="R88"/>
  <c r="P88"/>
  <c r="O88"/>
  <c r="M88"/>
  <c r="N88" s="1"/>
  <c r="L88"/>
  <c r="H950" i="18"/>
  <c r="H949"/>
  <c r="H948"/>
  <c r="H947"/>
  <c r="H946"/>
  <c r="H945"/>
  <c r="H944"/>
  <c r="H926"/>
  <c r="H916"/>
  <c r="H915"/>
  <c r="H914"/>
  <c r="H913"/>
  <c r="H912"/>
  <c r="H911"/>
  <c r="H910"/>
  <c r="H909"/>
  <c r="H908"/>
  <c r="H907"/>
  <c r="H904"/>
  <c r="H903"/>
  <c r="H902"/>
  <c r="H901"/>
  <c r="H900"/>
  <c r="H899"/>
  <c r="H898"/>
  <c r="H897"/>
  <c r="H896"/>
  <c r="H895"/>
  <c r="H894"/>
  <c r="H893"/>
  <c r="H892"/>
  <c r="H891"/>
  <c r="H890"/>
  <c r="H889"/>
  <c r="H870"/>
  <c r="H869"/>
  <c r="H868"/>
  <c r="H867"/>
  <c r="H866"/>
  <c r="H865"/>
  <c r="H864"/>
  <c r="H863"/>
  <c r="H862"/>
  <c r="H861"/>
  <c r="H860"/>
  <c r="H859"/>
  <c r="H858"/>
  <c r="H857"/>
  <c r="H856"/>
  <c r="H849"/>
  <c r="H848"/>
  <c r="H847"/>
  <c r="H846"/>
  <c r="H845"/>
  <c r="H844"/>
  <c r="H843"/>
  <c r="H842"/>
  <c r="H841"/>
  <c r="H840"/>
  <c r="H839"/>
  <c r="H838"/>
  <c r="H837"/>
  <c r="H836"/>
  <c r="H835"/>
  <c r="H834"/>
  <c r="H833"/>
  <c r="H832"/>
  <c r="H831"/>
  <c r="H830"/>
  <c r="H829"/>
  <c r="H828"/>
  <c r="H827"/>
  <c r="H826"/>
  <c r="H825"/>
  <c r="H824"/>
  <c r="H823"/>
  <c r="H822"/>
  <c r="H821"/>
  <c r="H820"/>
  <c r="H819"/>
  <c r="H818"/>
  <c r="H817"/>
  <c r="H814"/>
  <c r="H813"/>
  <c r="H812"/>
  <c r="H811"/>
  <c r="H810"/>
  <c r="H809"/>
  <c r="H806"/>
  <c r="H805"/>
  <c r="H804"/>
  <c r="H803"/>
  <c r="H802"/>
  <c r="H801"/>
  <c r="H800"/>
  <c r="H799"/>
  <c r="H798"/>
  <c r="H797"/>
  <c r="H796"/>
  <c r="H795"/>
  <c r="H794"/>
  <c r="H793"/>
  <c r="H792"/>
  <c r="H791"/>
  <c r="H790"/>
  <c r="H789"/>
  <c r="H788"/>
  <c r="H787"/>
  <c r="H786"/>
  <c r="H785"/>
  <c r="H784"/>
  <c r="H783"/>
  <c r="H782"/>
  <c r="H781"/>
  <c r="H780"/>
  <c r="H779"/>
  <c r="H778"/>
  <c r="H777"/>
  <c r="H776"/>
  <c r="H775"/>
  <c r="H774"/>
  <c r="H773"/>
  <c r="H772"/>
  <c r="H771"/>
  <c r="H770"/>
  <c r="H769"/>
  <c r="H768"/>
  <c r="H767"/>
  <c r="H766"/>
  <c r="H765"/>
  <c r="H764"/>
  <c r="H763"/>
  <c r="H762"/>
  <c r="H761"/>
  <c r="H760"/>
  <c r="H759"/>
  <c r="H758"/>
  <c r="H757"/>
  <c r="H756"/>
  <c r="H755"/>
  <c r="H754"/>
  <c r="H753"/>
  <c r="H752"/>
  <c r="H751"/>
  <c r="H750"/>
  <c r="H749"/>
  <c r="H748"/>
  <c r="H747"/>
  <c r="H746"/>
  <c r="H745"/>
  <c r="H744"/>
  <c r="H743"/>
  <c r="H742"/>
  <c r="H741"/>
  <c r="H740"/>
  <c r="H739"/>
  <c r="H738"/>
  <c r="H737"/>
  <c r="H736"/>
  <c r="H735"/>
  <c r="H734"/>
  <c r="H733"/>
  <c r="H732"/>
  <c r="H731"/>
  <c r="H730"/>
  <c r="H729"/>
  <c r="H728"/>
  <c r="H727"/>
  <c r="H718"/>
  <c r="H717"/>
  <c r="H716"/>
  <c r="H715"/>
  <c r="H714"/>
  <c r="H713"/>
  <c r="H712"/>
  <c r="H711"/>
  <c r="H710"/>
  <c r="H709"/>
  <c r="H708"/>
  <c r="H707"/>
  <c r="H706"/>
  <c r="H705"/>
  <c r="H704"/>
  <c r="H703"/>
  <c r="H702"/>
  <c r="H701"/>
  <c r="H700"/>
  <c r="H699"/>
  <c r="H698"/>
  <c r="H697"/>
  <c r="H696"/>
  <c r="H695"/>
  <c r="H694"/>
  <c r="H693"/>
  <c r="H692"/>
  <c r="H691"/>
  <c r="H690"/>
  <c r="H689"/>
  <c r="H671"/>
  <c r="H670"/>
  <c r="H669"/>
  <c r="H668"/>
  <c r="H667"/>
  <c r="H666"/>
  <c r="H665"/>
  <c r="H664"/>
  <c r="H663"/>
  <c r="H662"/>
  <c r="H661"/>
  <c r="H660"/>
  <c r="H659"/>
  <c r="H658"/>
  <c r="H657"/>
  <c r="H656"/>
  <c r="H655"/>
  <c r="H651"/>
  <c r="H650"/>
  <c r="H649"/>
  <c r="H644"/>
  <c r="H643"/>
  <c r="H642"/>
  <c r="H641"/>
  <c r="H640"/>
  <c r="H639"/>
  <c r="H638"/>
  <c r="H637"/>
  <c r="H634"/>
  <c r="H633"/>
  <c r="H632"/>
  <c r="H631"/>
  <c r="H630"/>
  <c r="H629"/>
  <c r="H628"/>
  <c r="H626"/>
  <c r="H625"/>
  <c r="H624"/>
  <c r="H623"/>
  <c r="H622"/>
  <c r="H621"/>
  <c r="H620"/>
  <c r="H619"/>
  <c r="H618"/>
  <c r="H617"/>
  <c r="H616"/>
  <c r="H615"/>
  <c r="H614"/>
  <c r="H613"/>
  <c r="H612"/>
  <c r="H611"/>
  <c r="H610"/>
  <c r="H609"/>
  <c r="H599"/>
  <c r="H598"/>
  <c r="H597"/>
  <c r="H596"/>
  <c r="H595"/>
  <c r="H594"/>
  <c r="H593"/>
  <c r="H592"/>
  <c r="H591"/>
  <c r="H590"/>
  <c r="H589"/>
  <c r="H588"/>
  <c r="H587"/>
  <c r="H586"/>
  <c r="H585"/>
  <c r="H584"/>
  <c r="H583"/>
  <c r="H582"/>
  <c r="H581"/>
  <c r="H580"/>
  <c r="H579"/>
  <c r="H578"/>
  <c r="H577"/>
  <c r="H576"/>
  <c r="H575"/>
  <c r="H574"/>
  <c r="H573"/>
  <c r="H572"/>
  <c r="H571"/>
  <c r="H570"/>
  <c r="H569"/>
  <c r="H568"/>
  <c r="H567"/>
  <c r="H566"/>
  <c r="H565"/>
  <c r="H564"/>
  <c r="H563"/>
  <c r="H562"/>
  <c r="H561"/>
  <c r="H560"/>
  <c r="H559"/>
  <c r="H558"/>
  <c r="H557"/>
  <c r="H556"/>
  <c r="H555"/>
  <c r="H554"/>
  <c r="H553"/>
  <c r="H552"/>
  <c r="H551"/>
  <c r="H550"/>
  <c r="H549"/>
  <c r="H548"/>
  <c r="H547"/>
  <c r="H546"/>
  <c r="H545"/>
  <c r="H544"/>
  <c r="H543"/>
  <c r="H542"/>
  <c r="H541"/>
  <c r="H540"/>
  <c r="H539"/>
  <c r="H538"/>
  <c r="H537"/>
  <c r="H536"/>
  <c r="H535"/>
  <c r="H534"/>
  <c r="H533"/>
  <c r="H532"/>
  <c r="H531"/>
  <c r="H530"/>
  <c r="H529"/>
  <c r="H528"/>
  <c r="H527"/>
  <c r="H526"/>
  <c r="H525"/>
  <c r="H524"/>
  <c r="H523"/>
  <c r="H522"/>
  <c r="H521"/>
  <c r="H520"/>
  <c r="H519"/>
  <c r="H518"/>
  <c r="H517"/>
  <c r="H516"/>
  <c r="H515"/>
  <c r="H514"/>
  <c r="H513"/>
  <c r="H512"/>
  <c r="H511"/>
  <c r="H510"/>
  <c r="H509"/>
  <c r="H508"/>
  <c r="H507"/>
  <c r="H506"/>
  <c r="H505"/>
  <c r="H504"/>
  <c r="H503"/>
  <c r="H502"/>
  <c r="H501"/>
  <c r="H500"/>
  <c r="H499"/>
  <c r="H498"/>
  <c r="H497"/>
  <c r="H496"/>
  <c r="H495"/>
  <c r="H494"/>
  <c r="H493"/>
  <c r="H492"/>
  <c r="H491"/>
  <c r="H490"/>
  <c r="H489"/>
  <c r="H488"/>
  <c r="H487"/>
  <c r="H486"/>
  <c r="H485"/>
  <c r="H484"/>
  <c r="H483"/>
  <c r="H482"/>
  <c r="H481"/>
  <c r="H480"/>
  <c r="H479"/>
  <c r="H478"/>
  <c r="H477"/>
  <c r="H476"/>
  <c r="H475"/>
  <c r="H474"/>
  <c r="H473"/>
  <c r="H472"/>
  <c r="H471"/>
  <c r="H470"/>
  <c r="H469"/>
  <c r="H468"/>
  <c r="H467"/>
  <c r="H466"/>
  <c r="H465"/>
  <c r="H464"/>
  <c r="H463"/>
  <c r="H462"/>
  <c r="H461"/>
  <c r="H460"/>
  <c r="H459"/>
  <c r="H458"/>
  <c r="H457"/>
  <c r="H456"/>
  <c r="H455"/>
  <c r="H454"/>
  <c r="H453"/>
  <c r="H452"/>
  <c r="H451"/>
  <c r="H450"/>
  <c r="H443"/>
  <c r="H442"/>
  <c r="H441"/>
  <c r="H440"/>
  <c r="H439"/>
  <c r="H438"/>
  <c r="H437"/>
  <c r="H436"/>
  <c r="H435"/>
  <c r="H434"/>
  <c r="H433"/>
  <c r="H432"/>
  <c r="H431"/>
  <c r="H430"/>
  <c r="H429"/>
  <c r="H428"/>
  <c r="H427"/>
  <c r="H426"/>
  <c r="H425"/>
  <c r="H424"/>
  <c r="H423"/>
  <c r="H422"/>
  <c r="H421"/>
  <c r="H420"/>
  <c r="H419"/>
  <c r="H418"/>
  <c r="H417"/>
  <c r="H416"/>
  <c r="H415"/>
  <c r="H414"/>
  <c r="H413"/>
  <c r="H412"/>
  <c r="H411"/>
  <c r="H410"/>
  <c r="H409"/>
  <c r="H408"/>
  <c r="H407"/>
  <c r="H406"/>
  <c r="H405"/>
  <c r="H404"/>
  <c r="H403"/>
  <c r="H402"/>
  <c r="H401"/>
  <c r="H400"/>
  <c r="H399"/>
  <c r="H398"/>
  <c r="H397"/>
  <c r="H396"/>
  <c r="H395"/>
  <c r="H394"/>
  <c r="H393"/>
  <c r="H392"/>
  <c r="H391"/>
  <c r="H390"/>
  <c r="H389"/>
  <c r="H388"/>
  <c r="H387"/>
  <c r="H386"/>
  <c r="H385"/>
  <c r="H384"/>
  <c r="H383"/>
  <c r="H382"/>
  <c r="H381"/>
  <c r="H380"/>
  <c r="H379"/>
  <c r="H378"/>
  <c r="H377"/>
  <c r="H376"/>
  <c r="H375"/>
  <c r="H374"/>
  <c r="H373"/>
  <c r="H372"/>
  <c r="H370"/>
  <c r="H368"/>
  <c r="H367"/>
  <c r="H366"/>
  <c r="H365"/>
  <c r="H364"/>
  <c r="H363"/>
  <c r="H362"/>
  <c r="H361"/>
  <c r="H360"/>
  <c r="H359"/>
  <c r="H358"/>
  <c r="H357"/>
  <c r="H356"/>
  <c r="H355"/>
  <c r="H354"/>
  <c r="H353"/>
  <c r="H351"/>
  <c r="H350"/>
  <c r="H349"/>
  <c r="H348"/>
  <c r="H347"/>
  <c r="H346"/>
  <c r="H345"/>
  <c r="H344"/>
  <c r="H343"/>
  <c r="H342"/>
  <c r="H341"/>
  <c r="H340"/>
  <c r="H339"/>
  <c r="H338"/>
  <c r="H337"/>
  <c r="H336"/>
  <c r="H335"/>
  <c r="H334"/>
  <c r="H333"/>
  <c r="H332"/>
  <c r="H331"/>
  <c r="H330"/>
  <c r="H329"/>
  <c r="H328"/>
  <c r="H327"/>
  <c r="H326"/>
  <c r="H309"/>
  <c r="H308"/>
  <c r="H307"/>
  <c r="H306"/>
  <c r="H305"/>
  <c r="H304"/>
  <c r="H303"/>
  <c r="H302"/>
  <c r="H301"/>
  <c r="H300"/>
  <c r="H299"/>
  <c r="H298"/>
  <c r="H297"/>
  <c r="H296"/>
  <c r="H295"/>
  <c r="H294"/>
  <c r="H293"/>
  <c r="H292"/>
  <c r="H291"/>
  <c r="H290"/>
  <c r="H289"/>
  <c r="H288"/>
  <c r="H287"/>
  <c r="H286"/>
  <c r="H285"/>
  <c r="H277"/>
  <c r="H276"/>
  <c r="H275"/>
  <c r="H274"/>
  <c r="H273"/>
  <c r="H265"/>
  <c r="H249"/>
  <c r="H248"/>
  <c r="H247"/>
  <c r="H246"/>
  <c r="H245"/>
  <c r="H244"/>
  <c r="H243"/>
  <c r="H242"/>
  <c r="H241"/>
  <c r="H240"/>
  <c r="H239"/>
  <c r="H238"/>
  <c r="H237"/>
  <c r="H236"/>
  <c r="H235"/>
  <c r="H234"/>
  <c r="H233"/>
  <c r="H232"/>
  <c r="H231"/>
  <c r="H230"/>
  <c r="H229"/>
  <c r="H228"/>
  <c r="H217"/>
  <c r="H216"/>
  <c r="H215"/>
  <c r="H214"/>
  <c r="H213"/>
  <c r="H212"/>
  <c r="H211"/>
  <c r="H210"/>
  <c r="H209"/>
  <c r="H208"/>
  <c r="H207"/>
  <c r="H206"/>
  <c r="H205"/>
  <c r="H204"/>
  <c r="H203"/>
  <c r="H202"/>
  <c r="H201"/>
  <c r="H200"/>
  <c r="H199"/>
  <c r="H198"/>
  <c r="H197"/>
  <c r="H196"/>
  <c r="H195"/>
  <c r="H194"/>
  <c r="H193"/>
  <c r="H192"/>
  <c r="H191"/>
  <c r="H190"/>
  <c r="H189"/>
  <c r="H188"/>
  <c r="H186"/>
  <c r="H185"/>
  <c r="H184"/>
  <c r="H183"/>
  <c r="H182"/>
  <c r="H181"/>
  <c r="H180"/>
  <c r="H179"/>
  <c r="H178"/>
  <c r="H177"/>
  <c r="H176"/>
  <c r="H175"/>
  <c r="H174"/>
  <c r="H173"/>
  <c r="H172"/>
  <c r="H171"/>
  <c r="H170"/>
  <c r="H169"/>
  <c r="H168"/>
  <c r="H167"/>
  <c r="H166"/>
  <c r="H165"/>
  <c r="H164"/>
  <c r="H163"/>
  <c r="H162"/>
  <c r="H161"/>
  <c r="H160"/>
  <c r="H159"/>
  <c r="H158"/>
  <c r="H157"/>
  <c r="H156"/>
  <c r="H155"/>
  <c r="H154"/>
  <c r="H153"/>
  <c r="H152"/>
  <c r="H151"/>
  <c r="H150"/>
  <c r="H149"/>
  <c r="H148"/>
  <c r="H147"/>
  <c r="H146"/>
  <c r="H145"/>
  <c r="H144"/>
  <c r="H143"/>
  <c r="H142"/>
  <c r="H141"/>
  <c r="H140"/>
  <c r="H139"/>
  <c r="H138"/>
  <c r="H137"/>
  <c r="H136"/>
  <c r="H135"/>
  <c r="H134"/>
  <c r="H133"/>
  <c r="H132"/>
  <c r="H131"/>
  <c r="H130"/>
  <c r="H129"/>
  <c r="H128"/>
  <c r="H127"/>
  <c r="H126"/>
  <c r="H125"/>
  <c r="H124"/>
  <c r="H123"/>
  <c r="H122"/>
  <c r="H121"/>
  <c r="H120"/>
  <c r="H119"/>
  <c r="H118"/>
  <c r="H117"/>
  <c r="H116"/>
  <c r="H115"/>
  <c r="H114"/>
  <c r="H113"/>
  <c r="H112"/>
  <c r="H111"/>
  <c r="H110"/>
  <c r="H109"/>
  <c r="H108"/>
  <c r="H107"/>
  <c r="H106"/>
  <c r="H105"/>
  <c r="H104"/>
  <c r="H103"/>
  <c r="H102"/>
  <c r="H101"/>
  <c r="H100"/>
  <c r="H99"/>
  <c r="H98"/>
  <c r="H97"/>
  <c r="H96"/>
  <c r="H95"/>
  <c r="H94"/>
  <c r="H93"/>
  <c r="H92"/>
  <c r="H91"/>
  <c r="H90"/>
  <c r="H89"/>
  <c r="H88"/>
  <c r="H87"/>
  <c r="H86"/>
  <c r="H85"/>
  <c r="H84"/>
  <c r="H83"/>
  <c r="H82"/>
  <c r="H81"/>
  <c r="H80"/>
  <c r="H79"/>
  <c r="H78"/>
  <c r="H77"/>
  <c r="H76"/>
  <c r="H75"/>
  <c r="H74"/>
  <c r="H73"/>
  <c r="H72"/>
  <c r="H71"/>
  <c r="H70"/>
  <c r="H69"/>
  <c r="H68"/>
  <c r="H67"/>
  <c r="H66"/>
  <c r="H65"/>
  <c r="H64"/>
  <c r="H63"/>
  <c r="H62"/>
  <c r="H61"/>
  <c r="H60"/>
  <c r="H59"/>
  <c r="H58"/>
  <c r="H57"/>
  <c r="H56"/>
  <c r="H55"/>
  <c r="H54"/>
  <c r="H53"/>
  <c r="H52"/>
  <c r="H51"/>
  <c r="H50"/>
  <c r="H49"/>
  <c r="H48"/>
  <c r="H47"/>
  <c r="H46"/>
  <c r="H45"/>
  <c r="H44"/>
  <c r="H43"/>
  <c r="H42"/>
  <c r="H41"/>
  <c r="H40"/>
  <c r="H39"/>
  <c r="H38"/>
  <c r="H37"/>
  <c r="H925"/>
  <c r="H924"/>
  <c r="H923"/>
  <c r="H922"/>
  <c r="H816"/>
  <c r="H264"/>
  <c r="H263"/>
  <c r="H262"/>
  <c r="H261"/>
  <c r="H260"/>
  <c r="H259"/>
  <c r="H258"/>
  <c r="H257"/>
  <c r="H256"/>
  <c r="H255"/>
  <c r="H36"/>
  <c r="H35"/>
  <c r="H34"/>
  <c r="H33"/>
  <c r="H32"/>
  <c r="H31"/>
  <c r="H30"/>
  <c r="H29"/>
  <c r="H951"/>
  <c r="H943"/>
  <c r="H942"/>
  <c r="H941"/>
  <c r="H940"/>
  <c r="H939"/>
  <c r="H938"/>
  <c r="H937"/>
  <c r="H936"/>
  <c r="H935"/>
  <c r="H934"/>
  <c r="H933"/>
  <c r="H932"/>
  <c r="H931"/>
  <c r="H930"/>
  <c r="H929"/>
  <c r="H928"/>
  <c r="H927"/>
  <c r="H921"/>
  <c r="H920"/>
  <c r="H919"/>
  <c r="H918"/>
  <c r="H917"/>
  <c r="H906"/>
  <c r="H905"/>
  <c r="H888"/>
  <c r="H887"/>
  <c r="H886"/>
  <c r="H885"/>
  <c r="H884"/>
  <c r="H883"/>
  <c r="H882"/>
  <c r="H881"/>
  <c r="H880"/>
  <c r="H879"/>
  <c r="H878"/>
  <c r="H877"/>
  <c r="H876"/>
  <c r="H875"/>
  <c r="H874"/>
  <c r="H873"/>
  <c r="H872"/>
  <c r="H871"/>
  <c r="H855"/>
  <c r="H854"/>
  <c r="H853"/>
  <c r="H852"/>
  <c r="H851"/>
  <c r="H850"/>
  <c r="H815"/>
  <c r="H808"/>
  <c r="H807"/>
  <c r="H726"/>
  <c r="H725"/>
  <c r="H724"/>
  <c r="H723"/>
  <c r="H722"/>
  <c r="H721"/>
  <c r="H720"/>
  <c r="H719"/>
  <c r="H688"/>
  <c r="H687"/>
  <c r="H686"/>
  <c r="H685"/>
  <c r="H684"/>
  <c r="H683"/>
  <c r="H682"/>
  <c r="H681"/>
  <c r="H680"/>
  <c r="H679"/>
  <c r="H678"/>
  <c r="H677"/>
  <c r="H676"/>
  <c r="H675"/>
  <c r="H674"/>
  <c r="H673"/>
  <c r="H672"/>
  <c r="H654"/>
  <c r="H653"/>
  <c r="H652"/>
  <c r="H648"/>
  <c r="H647"/>
  <c r="H646"/>
  <c r="H645"/>
  <c r="H636"/>
  <c r="H635"/>
  <c r="H627"/>
  <c r="H608"/>
  <c r="H607"/>
  <c r="H606"/>
  <c r="H605"/>
  <c r="H604"/>
  <c r="H603"/>
  <c r="H602"/>
  <c r="H601"/>
  <c r="H600"/>
  <c r="H449"/>
  <c r="H448"/>
  <c r="H447"/>
  <c r="H446"/>
  <c r="H445"/>
  <c r="H444"/>
  <c r="H371"/>
  <c r="H369"/>
  <c r="H352"/>
  <c r="H325"/>
  <c r="H324"/>
  <c r="H323"/>
  <c r="H322"/>
  <c r="H321"/>
  <c r="H320"/>
  <c r="H319"/>
  <c r="H318"/>
  <c r="H317"/>
  <c r="H316"/>
  <c r="H315"/>
  <c r="H314"/>
  <c r="H313"/>
  <c r="H312"/>
  <c r="H311"/>
  <c r="H310"/>
  <c r="H284"/>
  <c r="H283"/>
  <c r="H282"/>
  <c r="H281"/>
  <c r="H280"/>
  <c r="H279"/>
  <c r="H278"/>
  <c r="H272"/>
  <c r="H271"/>
  <c r="H270"/>
  <c r="H269"/>
  <c r="H268"/>
  <c r="H267"/>
  <c r="H266"/>
  <c r="H254"/>
  <c r="H253"/>
  <c r="H252"/>
  <c r="H251"/>
  <c r="H250"/>
  <c r="H227"/>
  <c r="H226"/>
  <c r="H225"/>
  <c r="H224"/>
  <c r="H223"/>
  <c r="H222"/>
  <c r="H221"/>
  <c r="H220"/>
  <c r="H219"/>
  <c r="H218"/>
  <c r="H187"/>
  <c r="H28"/>
  <c r="H27"/>
  <c r="H26"/>
  <c r="H25"/>
  <c r="H24"/>
  <c r="H23"/>
  <c r="H22"/>
  <c r="H21"/>
  <c r="H20"/>
  <c r="H19"/>
  <c r="H18"/>
  <c r="H17"/>
  <c r="H16"/>
  <c r="H15"/>
  <c r="H14"/>
  <c r="H13"/>
  <c r="H12"/>
  <c r="J78" i="5" l="1"/>
  <c r="Y78" s="1"/>
  <c r="I78"/>
  <c r="X78" s="1"/>
  <c r="I115"/>
  <c r="X115" s="1"/>
  <c r="J115"/>
  <c r="Y115" s="1"/>
  <c r="J96"/>
  <c r="I96"/>
  <c r="X96" s="1"/>
  <c r="J224"/>
  <c r="Y224" s="1"/>
  <c r="I224"/>
  <c r="X224" s="1"/>
  <c r="I38"/>
  <c r="X38" s="1"/>
  <c r="J38"/>
  <c r="Y38" s="1"/>
  <c r="I233"/>
  <c r="X233" s="1"/>
  <c r="I108"/>
  <c r="X108" s="1"/>
  <c r="J233"/>
  <c r="Y233" s="1"/>
  <c r="J108"/>
  <c r="Y108" s="1"/>
  <c r="I284"/>
  <c r="X284" s="1"/>
  <c r="J284"/>
  <c r="Y284" s="1"/>
  <c r="I283"/>
  <c r="X283" s="1"/>
  <c r="J283"/>
  <c r="Y283" s="1"/>
  <c r="I282"/>
  <c r="X282" s="1"/>
  <c r="J282"/>
  <c r="Y282" s="1"/>
  <c r="I280"/>
  <c r="X280" s="1"/>
  <c r="I153"/>
  <c r="X153" s="1"/>
  <c r="J153"/>
  <c r="Y153" s="1"/>
  <c r="I89"/>
  <c r="X89" s="1"/>
  <c r="J89"/>
  <c r="Y89" s="1"/>
  <c r="J281"/>
  <c r="Y281" s="1"/>
  <c r="I281"/>
  <c r="X281" s="1"/>
  <c r="J279"/>
  <c r="Y279" s="1"/>
  <c r="I279"/>
  <c r="X279" s="1"/>
  <c r="J280"/>
  <c r="Y280" s="1"/>
  <c r="I88"/>
  <c r="X88" s="1"/>
  <c r="J88"/>
  <c r="Y88" s="1"/>
  <c r="M10" i="61"/>
  <c r="L10"/>
  <c r="Y96" i="5" l="1"/>
  <c r="B96" s="1"/>
  <c r="B224"/>
  <c r="S278"/>
  <c r="R278"/>
  <c r="S87" l="1"/>
  <c r="R87"/>
  <c r="O278" l="1"/>
  <c r="P278"/>
  <c r="O87"/>
  <c r="P87"/>
  <c r="S277"/>
  <c r="R277"/>
  <c r="P277"/>
  <c r="O277"/>
  <c r="S152"/>
  <c r="R152"/>
  <c r="P152"/>
  <c r="O152"/>
  <c r="S151"/>
  <c r="R151"/>
  <c r="P151"/>
  <c r="O151"/>
  <c r="S150"/>
  <c r="R150"/>
  <c r="P150"/>
  <c r="O150"/>
  <c r="L278" l="1"/>
  <c r="M278"/>
  <c r="N278" s="1"/>
  <c r="M87"/>
  <c r="N87" s="1"/>
  <c r="L87"/>
  <c r="M145"/>
  <c r="N145" s="1"/>
  <c r="M53"/>
  <c r="N53" s="1"/>
  <c r="M148"/>
  <c r="N148" s="1"/>
  <c r="M69"/>
  <c r="N69" s="1"/>
  <c r="M56"/>
  <c r="N56" s="1"/>
  <c r="M132"/>
  <c r="N132" s="1"/>
  <c r="M151"/>
  <c r="N151" s="1"/>
  <c r="M277"/>
  <c r="N277" s="1"/>
  <c r="M129"/>
  <c r="N129" s="1"/>
  <c r="L151"/>
  <c r="L277"/>
  <c r="M40"/>
  <c r="N40" s="1"/>
  <c r="M116"/>
  <c r="N116" s="1"/>
  <c r="M37"/>
  <c r="N37" s="1"/>
  <c r="M112"/>
  <c r="N112" s="1"/>
  <c r="L31"/>
  <c r="M98"/>
  <c r="N98" s="1"/>
  <c r="M254"/>
  <c r="N254" s="1"/>
  <c r="M150"/>
  <c r="N150" s="1"/>
  <c r="M152"/>
  <c r="N152" s="1"/>
  <c r="M86"/>
  <c r="N86" s="1"/>
  <c r="M250"/>
  <c r="N250" s="1"/>
  <c r="L150"/>
  <c r="L152"/>
  <c r="M72"/>
  <c r="N72" s="1"/>
  <c r="M36"/>
  <c r="M52"/>
  <c r="M68"/>
  <c r="M85"/>
  <c r="N85" s="1"/>
  <c r="M111"/>
  <c r="M128"/>
  <c r="N128" s="1"/>
  <c r="M144"/>
  <c r="N144" s="1"/>
  <c r="M246"/>
  <c r="N246" s="1"/>
  <c r="M35"/>
  <c r="M49"/>
  <c r="M65"/>
  <c r="N65" s="1"/>
  <c r="M82"/>
  <c r="N82" s="1"/>
  <c r="M107"/>
  <c r="M125"/>
  <c r="M141"/>
  <c r="M242"/>
  <c r="N242" s="1"/>
  <c r="M274"/>
  <c r="M33"/>
  <c r="M48"/>
  <c r="N48" s="1"/>
  <c r="M64"/>
  <c r="N64" s="1"/>
  <c r="M81"/>
  <c r="N81" s="1"/>
  <c r="M106"/>
  <c r="M124"/>
  <c r="M140"/>
  <c r="M238"/>
  <c r="M270"/>
  <c r="M32"/>
  <c r="N32" s="1"/>
  <c r="M45"/>
  <c r="N45" s="1"/>
  <c r="M61"/>
  <c r="M77"/>
  <c r="M103"/>
  <c r="N103" s="1"/>
  <c r="M121"/>
  <c r="M137"/>
  <c r="N137" s="1"/>
  <c r="M234"/>
  <c r="N234" s="1"/>
  <c r="M266"/>
  <c r="N266" s="1"/>
  <c r="L32"/>
  <c r="M44"/>
  <c r="N44" s="1"/>
  <c r="M60"/>
  <c r="N60" s="1"/>
  <c r="M76"/>
  <c r="M102"/>
  <c r="M120"/>
  <c r="N120" s="1"/>
  <c r="M136"/>
  <c r="M229"/>
  <c r="N229" s="1"/>
  <c r="M262"/>
  <c r="N262" s="1"/>
  <c r="M31"/>
  <c r="N31" s="1"/>
  <c r="M41"/>
  <c r="M57"/>
  <c r="N57" s="1"/>
  <c r="M73"/>
  <c r="M99"/>
  <c r="N99" s="1"/>
  <c r="M117"/>
  <c r="N117" s="1"/>
  <c r="M133"/>
  <c r="N133" s="1"/>
  <c r="M225"/>
  <c r="N225" s="1"/>
  <c r="M258"/>
  <c r="L275"/>
  <c r="N154"/>
  <c r="L35"/>
  <c r="L40"/>
  <c r="L44"/>
  <c r="L48"/>
  <c r="L52"/>
  <c r="L56"/>
  <c r="L60"/>
  <c r="L64"/>
  <c r="L68"/>
  <c r="L72"/>
  <c r="L76"/>
  <c r="L81"/>
  <c r="L85"/>
  <c r="L98"/>
  <c r="L102"/>
  <c r="L106"/>
  <c r="L111"/>
  <c r="L116"/>
  <c r="L120"/>
  <c r="L124"/>
  <c r="L128"/>
  <c r="L132"/>
  <c r="L136"/>
  <c r="L140"/>
  <c r="L144"/>
  <c r="L148"/>
  <c r="L225"/>
  <c r="L229"/>
  <c r="L234"/>
  <c r="L238"/>
  <c r="L242"/>
  <c r="L246"/>
  <c r="L250"/>
  <c r="L254"/>
  <c r="L258"/>
  <c r="L262"/>
  <c r="L266"/>
  <c r="L270"/>
  <c r="L274"/>
  <c r="M34"/>
  <c r="N34" s="1"/>
  <c r="M39"/>
  <c r="N39" s="1"/>
  <c r="M43"/>
  <c r="N43" s="1"/>
  <c r="M47"/>
  <c r="M51"/>
  <c r="N51" s="1"/>
  <c r="M55"/>
  <c r="M59"/>
  <c r="M63"/>
  <c r="N63" s="1"/>
  <c r="M67"/>
  <c r="M71"/>
  <c r="N71" s="1"/>
  <c r="M75"/>
  <c r="M80"/>
  <c r="M84"/>
  <c r="N84" s="1"/>
  <c r="M97"/>
  <c r="N97" s="1"/>
  <c r="M101"/>
  <c r="N101" s="1"/>
  <c r="M105"/>
  <c r="N105" s="1"/>
  <c r="M110"/>
  <c r="N110" s="1"/>
  <c r="M114"/>
  <c r="M119"/>
  <c r="N119" s="1"/>
  <c r="M123"/>
  <c r="M127"/>
  <c r="M131"/>
  <c r="M135"/>
  <c r="M139"/>
  <c r="N139" s="1"/>
  <c r="M143"/>
  <c r="M147"/>
  <c r="N147" s="1"/>
  <c r="M223"/>
  <c r="N223" s="1"/>
  <c r="M228"/>
  <c r="N228" s="1"/>
  <c r="M232"/>
  <c r="M237"/>
  <c r="M241"/>
  <c r="N241" s="1"/>
  <c r="M245"/>
  <c r="M249"/>
  <c r="M253"/>
  <c r="N253" s="1"/>
  <c r="M257"/>
  <c r="M261"/>
  <c r="N261" s="1"/>
  <c r="M265"/>
  <c r="M269"/>
  <c r="M273"/>
  <c r="L34"/>
  <c r="L39"/>
  <c r="L43"/>
  <c r="L47"/>
  <c r="L51"/>
  <c r="L55"/>
  <c r="L59"/>
  <c r="L63"/>
  <c r="L67"/>
  <c r="L71"/>
  <c r="L75"/>
  <c r="L80"/>
  <c r="L84"/>
  <c r="L97"/>
  <c r="L101"/>
  <c r="L105"/>
  <c r="L110"/>
  <c r="L114"/>
  <c r="L119"/>
  <c r="L123"/>
  <c r="L127"/>
  <c r="L131"/>
  <c r="L135"/>
  <c r="L139"/>
  <c r="L143"/>
  <c r="L147"/>
  <c r="L223"/>
  <c r="L228"/>
  <c r="L232"/>
  <c r="L237"/>
  <c r="L241"/>
  <c r="L245"/>
  <c r="L249"/>
  <c r="L253"/>
  <c r="L257"/>
  <c r="L261"/>
  <c r="L265"/>
  <c r="L269"/>
  <c r="L273"/>
  <c r="M42"/>
  <c r="M46"/>
  <c r="M50"/>
  <c r="N50" s="1"/>
  <c r="M54"/>
  <c r="N54" s="1"/>
  <c r="M58"/>
  <c r="M62"/>
  <c r="N62" s="1"/>
  <c r="M66"/>
  <c r="N66" s="1"/>
  <c r="M70"/>
  <c r="M74"/>
  <c r="M79"/>
  <c r="N79" s="1"/>
  <c r="M83"/>
  <c r="N83" s="1"/>
  <c r="M95"/>
  <c r="N95" s="1"/>
  <c r="M100"/>
  <c r="M104"/>
  <c r="N104" s="1"/>
  <c r="M109"/>
  <c r="N109" s="1"/>
  <c r="M113"/>
  <c r="N113" s="1"/>
  <c r="M118"/>
  <c r="M122"/>
  <c r="N122" s="1"/>
  <c r="M126"/>
  <c r="N126" s="1"/>
  <c r="M130"/>
  <c r="M134"/>
  <c r="M138"/>
  <c r="N138" s="1"/>
  <c r="M142"/>
  <c r="M146"/>
  <c r="N146" s="1"/>
  <c r="M222"/>
  <c r="N222" s="1"/>
  <c r="M227"/>
  <c r="N227" s="1"/>
  <c r="M231"/>
  <c r="N231" s="1"/>
  <c r="M236"/>
  <c r="M240"/>
  <c r="M244"/>
  <c r="N244" s="1"/>
  <c r="M248"/>
  <c r="N248" s="1"/>
  <c r="M252"/>
  <c r="M256"/>
  <c r="M260"/>
  <c r="N260" s="1"/>
  <c r="M264"/>
  <c r="M268"/>
  <c r="M272"/>
  <c r="M276"/>
  <c r="L33"/>
  <c r="L37"/>
  <c r="L42"/>
  <c r="L46"/>
  <c r="L50"/>
  <c r="L54"/>
  <c r="L58"/>
  <c r="L62"/>
  <c r="L66"/>
  <c r="L70"/>
  <c r="L74"/>
  <c r="L79"/>
  <c r="L83"/>
  <c r="L95"/>
  <c r="L100"/>
  <c r="L104"/>
  <c r="L109"/>
  <c r="L113"/>
  <c r="L118"/>
  <c r="L122"/>
  <c r="L126"/>
  <c r="L130"/>
  <c r="L134"/>
  <c r="L138"/>
  <c r="L142"/>
  <c r="L146"/>
  <c r="L222"/>
  <c r="L227"/>
  <c r="L231"/>
  <c r="L236"/>
  <c r="L240"/>
  <c r="L244"/>
  <c r="L248"/>
  <c r="L252"/>
  <c r="L256"/>
  <c r="L260"/>
  <c r="L264"/>
  <c r="L268"/>
  <c r="L272"/>
  <c r="L276"/>
  <c r="M149"/>
  <c r="M226"/>
  <c r="M230"/>
  <c r="N230" s="1"/>
  <c r="M235"/>
  <c r="M239"/>
  <c r="M243"/>
  <c r="M247"/>
  <c r="M251"/>
  <c r="M255"/>
  <c r="N255" s="1"/>
  <c r="M259"/>
  <c r="N259" s="1"/>
  <c r="M263"/>
  <c r="M267"/>
  <c r="N267" s="1"/>
  <c r="M271"/>
  <c r="M275"/>
  <c r="N275" s="1"/>
  <c r="L36"/>
  <c r="L41"/>
  <c r="L45"/>
  <c r="L49"/>
  <c r="L53"/>
  <c r="L57"/>
  <c r="L61"/>
  <c r="L65"/>
  <c r="L69"/>
  <c r="L73"/>
  <c r="L77"/>
  <c r="L82"/>
  <c r="L86"/>
  <c r="L99"/>
  <c r="L103"/>
  <c r="L107"/>
  <c r="L112"/>
  <c r="L117"/>
  <c r="L121"/>
  <c r="L125"/>
  <c r="L129"/>
  <c r="L133"/>
  <c r="L137"/>
  <c r="L141"/>
  <c r="L145"/>
  <c r="L149"/>
  <c r="L226"/>
  <c r="L230"/>
  <c r="L235"/>
  <c r="L239"/>
  <c r="L243"/>
  <c r="L247"/>
  <c r="L251"/>
  <c r="L255"/>
  <c r="L259"/>
  <c r="L263"/>
  <c r="L267"/>
  <c r="L271"/>
  <c r="C56" i="69"/>
  <c r="C53"/>
  <c r="C49"/>
  <c r="C48"/>
  <c r="C47"/>
  <c r="C46"/>
  <c r="C45"/>
  <c r="C44"/>
  <c r="C43"/>
  <c r="C40"/>
  <c r="C39"/>
  <c r="C38"/>
  <c r="C37"/>
  <c r="C35"/>
  <c r="C31"/>
  <c r="C30"/>
  <c r="C29"/>
  <c r="C28"/>
  <c r="C26"/>
  <c r="C24"/>
  <c r="C10"/>
  <c r="J10" s="1"/>
  <c r="E9"/>
  <c r="K9" s="1"/>
  <c r="E8"/>
  <c r="K8" s="1"/>
  <c r="C8"/>
  <c r="C56" i="70"/>
  <c r="C55"/>
  <c r="C54"/>
  <c r="C53"/>
  <c r="C49"/>
  <c r="C48"/>
  <c r="C47"/>
  <c r="C46"/>
  <c r="C45"/>
  <c r="C44"/>
  <c r="C43"/>
  <c r="C40"/>
  <c r="C39"/>
  <c r="C38"/>
  <c r="C37"/>
  <c r="C35"/>
  <c r="C31"/>
  <c r="C30"/>
  <c r="C29"/>
  <c r="C28"/>
  <c r="C24"/>
  <c r="C15"/>
  <c r="C10"/>
  <c r="J10" s="1"/>
  <c r="E9"/>
  <c r="K9" s="1"/>
  <c r="E8"/>
  <c r="K8" s="1"/>
  <c r="C8"/>
  <c r="C56" i="68"/>
  <c r="C55"/>
  <c r="C54"/>
  <c r="C53"/>
  <c r="C49"/>
  <c r="C48"/>
  <c r="C47"/>
  <c r="C46"/>
  <c r="C45"/>
  <c r="C44"/>
  <c r="C43"/>
  <c r="C40"/>
  <c r="C39"/>
  <c r="C38"/>
  <c r="C37"/>
  <c r="C31"/>
  <c r="C30"/>
  <c r="C29"/>
  <c r="C28"/>
  <c r="C24"/>
  <c r="C15"/>
  <c r="E10"/>
  <c r="C10"/>
  <c r="J10" s="1"/>
  <c r="E9"/>
  <c r="E8"/>
  <c r="C8"/>
  <c r="J8" s="1"/>
  <c r="R57" i="71"/>
  <c r="L57"/>
  <c r="F57"/>
  <c r="X56"/>
  <c r="X55"/>
  <c r="X54"/>
  <c r="X53"/>
  <c r="P53"/>
  <c r="X49"/>
  <c r="X48"/>
  <c r="X47"/>
  <c r="X46"/>
  <c r="X45"/>
  <c r="X44"/>
  <c r="X43"/>
  <c r="R42"/>
  <c r="L42"/>
  <c r="F42"/>
  <c r="R41"/>
  <c r="L41"/>
  <c r="F41"/>
  <c r="X40"/>
  <c r="X39"/>
  <c r="X38"/>
  <c r="X37"/>
  <c r="R36"/>
  <c r="L36"/>
  <c r="L34" s="1"/>
  <c r="F36"/>
  <c r="F35"/>
  <c r="X35" s="1"/>
  <c r="R33"/>
  <c r="L33"/>
  <c r="F33"/>
  <c r="R32"/>
  <c r="L32"/>
  <c r="F32"/>
  <c r="X31"/>
  <c r="X30"/>
  <c r="X29"/>
  <c r="X28"/>
  <c r="R27"/>
  <c r="L27"/>
  <c r="F27"/>
  <c r="L26"/>
  <c r="F26"/>
  <c r="R25"/>
  <c r="L25"/>
  <c r="F25"/>
  <c r="AY24"/>
  <c r="X24"/>
  <c r="R16"/>
  <c r="AY16" s="1"/>
  <c r="L16"/>
  <c r="F16"/>
  <c r="R15"/>
  <c r="X15" s="1"/>
  <c r="R14"/>
  <c r="AY14" s="1"/>
  <c r="L14"/>
  <c r="F14"/>
  <c r="AY10"/>
  <c r="AU10"/>
  <c r="AQ10"/>
  <c r="Z10"/>
  <c r="X10"/>
  <c r="N10"/>
  <c r="Q10" s="1"/>
  <c r="K10"/>
  <c r="G10"/>
  <c r="AR10" s="1"/>
  <c r="AZ9"/>
  <c r="AV9"/>
  <c r="Z9"/>
  <c r="S9"/>
  <c r="R9"/>
  <c r="M9"/>
  <c r="L9"/>
  <c r="AU9" s="1"/>
  <c r="G9"/>
  <c r="AR9" s="1"/>
  <c r="F9"/>
  <c r="AQ9" s="1"/>
  <c r="AZ8"/>
  <c r="AY8"/>
  <c r="AV8"/>
  <c r="AU8"/>
  <c r="AQ8"/>
  <c r="AQ15" s="1"/>
  <c r="Z8"/>
  <c r="X8"/>
  <c r="S8"/>
  <c r="M8"/>
  <c r="M15" s="1"/>
  <c r="G8"/>
  <c r="AR8" s="1"/>
  <c r="X26" l="1"/>
  <c r="M10"/>
  <c r="AV10"/>
  <c r="AW10" s="1"/>
  <c r="X41"/>
  <c r="AU26"/>
  <c r="AS10"/>
  <c r="X36"/>
  <c r="T10"/>
  <c r="AZ10" s="1"/>
  <c r="BA10" s="1"/>
  <c r="F23"/>
  <c r="F34"/>
  <c r="AW9"/>
  <c r="X57"/>
  <c r="Y9"/>
  <c r="X14"/>
  <c r="AC10"/>
  <c r="M16"/>
  <c r="X42"/>
  <c r="AQ16"/>
  <c r="X9"/>
  <c r="X27"/>
  <c r="X33"/>
  <c r="AW8"/>
  <c r="Y10"/>
  <c r="AU14"/>
  <c r="X16"/>
  <c r="AY25"/>
  <c r="AY36"/>
  <c r="M14"/>
  <c r="S32"/>
  <c r="R23"/>
  <c r="AQ14"/>
  <c r="R34"/>
  <c r="AS9"/>
  <c r="AU24"/>
  <c r="J24" i="69"/>
  <c r="J8"/>
  <c r="C27" i="68"/>
  <c r="C57"/>
  <c r="C42" i="70"/>
  <c r="C27" i="69"/>
  <c r="C57" i="70"/>
  <c r="C27"/>
  <c r="N68" i="5"/>
  <c r="N36"/>
  <c r="N269"/>
  <c r="N77"/>
  <c r="N107"/>
  <c r="N237"/>
  <c r="N59"/>
  <c r="N76"/>
  <c r="N106"/>
  <c r="N125"/>
  <c r="N74"/>
  <c r="N235"/>
  <c r="N46"/>
  <c r="N245"/>
  <c r="N102"/>
  <c r="N121"/>
  <c r="N124"/>
  <c r="N141"/>
  <c r="N52"/>
  <c r="N263"/>
  <c r="N42"/>
  <c r="N271"/>
  <c r="N239"/>
  <c r="N264"/>
  <c r="N249"/>
  <c r="N143"/>
  <c r="N67"/>
  <c r="N140"/>
  <c r="N70"/>
  <c r="N73"/>
  <c r="N270"/>
  <c r="N243"/>
  <c r="N268"/>
  <c r="N236"/>
  <c r="N130"/>
  <c r="N114"/>
  <c r="N136"/>
  <c r="N238"/>
  <c r="N274"/>
  <c r="N35"/>
  <c r="N55"/>
  <c r="N226"/>
  <c r="N252"/>
  <c r="N256"/>
  <c r="N247"/>
  <c r="N272"/>
  <c r="N240"/>
  <c r="N134"/>
  <c r="N100"/>
  <c r="N58"/>
  <c r="N257"/>
  <c r="N75"/>
  <c r="N33"/>
  <c r="N49"/>
  <c r="N111"/>
  <c r="N135"/>
  <c r="N251"/>
  <c r="N276"/>
  <c r="N123"/>
  <c r="N80"/>
  <c r="N47"/>
  <c r="N258"/>
  <c r="N131"/>
  <c r="N118"/>
  <c r="N273"/>
  <c r="N149"/>
  <c r="N142"/>
  <c r="N265"/>
  <c r="N232"/>
  <c r="N127"/>
  <c r="N41"/>
  <c r="N61"/>
  <c r="C42" i="68"/>
  <c r="C42" i="69"/>
  <c r="H10" i="68"/>
  <c r="X34" i="71"/>
  <c r="J8" i="70"/>
  <c r="J49" s="1"/>
  <c r="AS8" i="71"/>
  <c r="R18"/>
  <c r="AU25"/>
  <c r="L23"/>
  <c r="L51" s="1"/>
  <c r="Y8"/>
  <c r="AY47"/>
  <c r="AY30"/>
  <c r="AY56"/>
  <c r="AY49"/>
  <c r="AY55"/>
  <c r="AY45"/>
  <c r="AY43"/>
  <c r="AY46"/>
  <c r="AY37"/>
  <c r="AY31"/>
  <c r="AY53"/>
  <c r="AY35"/>
  <c r="AY48"/>
  <c r="AY44"/>
  <c r="AY32"/>
  <c r="AY54"/>
  <c r="AY39"/>
  <c r="AY38"/>
  <c r="AY28"/>
  <c r="G16"/>
  <c r="AQ56"/>
  <c r="AQ49"/>
  <c r="AQ29"/>
  <c r="AQ53"/>
  <c r="AQ48"/>
  <c r="AQ55"/>
  <c r="AQ54"/>
  <c r="AQ40"/>
  <c r="AQ43"/>
  <c r="AQ36"/>
  <c r="AQ47"/>
  <c r="AQ33"/>
  <c r="AQ41"/>
  <c r="AQ39"/>
  <c r="AQ38"/>
  <c r="AQ46"/>
  <c r="AQ45"/>
  <c r="AQ44"/>
  <c r="AQ35"/>
  <c r="AY9"/>
  <c r="BA9" s="1"/>
  <c r="S14"/>
  <c r="F18"/>
  <c r="AQ31"/>
  <c r="G14"/>
  <c r="S15"/>
  <c r="AU15"/>
  <c r="AQ25"/>
  <c r="X25"/>
  <c r="AY33"/>
  <c r="G37"/>
  <c r="G35"/>
  <c r="AQ30"/>
  <c r="AQ32"/>
  <c r="X32"/>
  <c r="G33"/>
  <c r="BA8"/>
  <c r="M35"/>
  <c r="M32"/>
  <c r="M36"/>
  <c r="M37"/>
  <c r="AU55"/>
  <c r="AU45"/>
  <c r="AU43"/>
  <c r="AU37"/>
  <c r="AU54"/>
  <c r="AU40"/>
  <c r="AU56"/>
  <c r="AU49"/>
  <c r="AU47"/>
  <c r="AU41"/>
  <c r="AU39"/>
  <c r="AU38"/>
  <c r="AU29"/>
  <c r="AU46"/>
  <c r="AU30"/>
  <c r="AU28"/>
  <c r="AU53"/>
  <c r="AU31"/>
  <c r="AU48"/>
  <c r="AU44"/>
  <c r="AU35"/>
  <c r="AU36"/>
  <c r="AY15"/>
  <c r="AY18" s="1"/>
  <c r="L18"/>
  <c r="AQ24"/>
  <c r="AQ26"/>
  <c r="AY26"/>
  <c r="AQ28"/>
  <c r="G32"/>
  <c r="S37"/>
  <c r="S35"/>
  <c r="S16"/>
  <c r="G15"/>
  <c r="AU16"/>
  <c r="AY29"/>
  <c r="AU33"/>
  <c r="M33"/>
  <c r="S33"/>
  <c r="AQ37"/>
  <c r="AY40"/>
  <c r="G36"/>
  <c r="AU32"/>
  <c r="AY41"/>
  <c r="S36"/>
  <c r="J47" i="68"/>
  <c r="J56"/>
  <c r="J49"/>
  <c r="J29"/>
  <c r="J53"/>
  <c r="J46"/>
  <c r="J38"/>
  <c r="J48"/>
  <c r="J55"/>
  <c r="J45"/>
  <c r="J40"/>
  <c r="J54"/>
  <c r="J15"/>
  <c r="J30"/>
  <c r="J28"/>
  <c r="J44"/>
  <c r="J39"/>
  <c r="J37"/>
  <c r="J24"/>
  <c r="J31"/>
  <c r="J43"/>
  <c r="S230" i="5"/>
  <c r="R230"/>
  <c r="P230"/>
  <c r="O230"/>
  <c r="S133"/>
  <c r="R133"/>
  <c r="P133"/>
  <c r="O133"/>
  <c r="X23" i="71" l="1"/>
  <c r="X51" s="1"/>
  <c r="AQ18"/>
  <c r="AU23"/>
  <c r="F51"/>
  <c r="F61" s="1"/>
  <c r="F3" s="1"/>
  <c r="S10"/>
  <c r="W10"/>
  <c r="X18"/>
  <c r="M18"/>
  <c r="R51"/>
  <c r="R61" s="1"/>
  <c r="R3" s="1"/>
  <c r="L61"/>
  <c r="L3" s="1"/>
  <c r="AU18"/>
  <c r="J56" i="69"/>
  <c r="J26"/>
  <c r="J40"/>
  <c r="J47"/>
  <c r="J46"/>
  <c r="J30"/>
  <c r="J37"/>
  <c r="J48"/>
  <c r="J38"/>
  <c r="J39"/>
  <c r="J43"/>
  <c r="J49"/>
  <c r="J44"/>
  <c r="J35"/>
  <c r="J45"/>
  <c r="J28"/>
  <c r="J29"/>
  <c r="J31"/>
  <c r="L8"/>
  <c r="J53"/>
  <c r="Y16" i="71"/>
  <c r="S18"/>
  <c r="Y15"/>
  <c r="J48" i="70"/>
  <c r="J54"/>
  <c r="J29"/>
  <c r="J37"/>
  <c r="J38"/>
  <c r="J43"/>
  <c r="J47"/>
  <c r="J15"/>
  <c r="J44"/>
  <c r="L8"/>
  <c r="J24"/>
  <c r="J40"/>
  <c r="J45"/>
  <c r="J35"/>
  <c r="J56"/>
  <c r="J31"/>
  <c r="J55"/>
  <c r="J30"/>
  <c r="J46"/>
  <c r="J39"/>
  <c r="J53"/>
  <c r="J28"/>
  <c r="AY57" i="71"/>
  <c r="AY60" s="1"/>
  <c r="AQ23"/>
  <c r="AU57"/>
  <c r="AU60" s="1"/>
  <c r="Y33"/>
  <c r="AQ57"/>
  <c r="AQ60" s="1"/>
  <c r="AU27"/>
  <c r="AY23"/>
  <c r="Y36"/>
  <c r="S34"/>
  <c r="Y32"/>
  <c r="AU34"/>
  <c r="M34"/>
  <c r="AQ34"/>
  <c r="AY42"/>
  <c r="AQ27"/>
  <c r="G34"/>
  <c r="Y35"/>
  <c r="G18"/>
  <c r="Y14"/>
  <c r="AQ42"/>
  <c r="AU42"/>
  <c r="Y37"/>
  <c r="AY34"/>
  <c r="AY27"/>
  <c r="J57" i="68"/>
  <c r="J60" s="1"/>
  <c r="J42"/>
  <c r="J27"/>
  <c r="E9" i="18"/>
  <c r="S259" i="5"/>
  <c r="R259"/>
  <c r="P259"/>
  <c r="O259"/>
  <c r="S126"/>
  <c r="R126"/>
  <c r="P126"/>
  <c r="O126"/>
  <c r="S60"/>
  <c r="R60"/>
  <c r="P60"/>
  <c r="O60"/>
  <c r="X61" i="71" l="1"/>
  <c r="X3" s="1"/>
  <c r="AU51"/>
  <c r="AU59" s="1"/>
  <c r="J42" i="69"/>
  <c r="AQ51" i="71"/>
  <c r="J27" i="69"/>
  <c r="Y18" i="71"/>
  <c r="J27" i="70"/>
  <c r="J42"/>
  <c r="J57"/>
  <c r="J60" s="1"/>
  <c r="AY51" i="71"/>
  <c r="AY59" s="1"/>
  <c r="Y34"/>
  <c r="S276" i="5"/>
  <c r="R276"/>
  <c r="P276"/>
  <c r="O276"/>
  <c r="S275"/>
  <c r="R275"/>
  <c r="P275"/>
  <c r="O275"/>
  <c r="S149"/>
  <c r="R149"/>
  <c r="P149"/>
  <c r="O149"/>
  <c r="S148"/>
  <c r="R148"/>
  <c r="P148"/>
  <c r="O148"/>
  <c r="S86"/>
  <c r="R86"/>
  <c r="P86"/>
  <c r="O86"/>
  <c r="S85"/>
  <c r="R85"/>
  <c r="P85"/>
  <c r="O85"/>
  <c r="A34" i="64"/>
  <c r="X57" i="61"/>
  <c r="X53"/>
  <c r="C41" i="69"/>
  <c r="J41" s="1"/>
  <c r="C41" i="70"/>
  <c r="J41" s="1"/>
  <c r="C41" i="68"/>
  <c r="J41" s="1"/>
  <c r="C36" i="69"/>
  <c r="C36" i="68"/>
  <c r="J36" s="1"/>
  <c r="C35"/>
  <c r="C33" i="69"/>
  <c r="J33" s="1"/>
  <c r="L33" i="61"/>
  <c r="C33" i="68"/>
  <c r="J33" s="1"/>
  <c r="C32" i="69"/>
  <c r="J32" s="1"/>
  <c r="C32" i="68"/>
  <c r="J32" s="1"/>
  <c r="C26" i="70"/>
  <c r="J26" s="1"/>
  <c r="C26" i="68"/>
  <c r="J26" s="1"/>
  <c r="C25" i="69"/>
  <c r="C25" i="70"/>
  <c r="C25" i="68"/>
  <c r="C33" i="70" l="1"/>
  <c r="J33" s="1"/>
  <c r="C36"/>
  <c r="J36" s="1"/>
  <c r="J34" s="1"/>
  <c r="C32"/>
  <c r="J32" s="1"/>
  <c r="C34" i="69"/>
  <c r="J36"/>
  <c r="J34" s="1"/>
  <c r="C23"/>
  <c r="J25"/>
  <c r="J23" s="1"/>
  <c r="C23" i="70"/>
  <c r="J25"/>
  <c r="J23" s="1"/>
  <c r="C23" i="68"/>
  <c r="J25"/>
  <c r="J23" s="1"/>
  <c r="J35"/>
  <c r="J34" s="1"/>
  <c r="C34"/>
  <c r="C16" i="69"/>
  <c r="J16" s="1"/>
  <c r="C16" i="68"/>
  <c r="J16" s="1"/>
  <c r="C15" i="69"/>
  <c r="J15" s="1"/>
  <c r="C14"/>
  <c r="C9"/>
  <c r="J9" s="1"/>
  <c r="L9" s="1"/>
  <c r="C9" i="70"/>
  <c r="J9" s="1"/>
  <c r="L9" s="1"/>
  <c r="C14" i="68"/>
  <c r="C9"/>
  <c r="J9" s="1"/>
  <c r="J51" i="70" l="1"/>
  <c r="C34"/>
  <c r="C51" s="1"/>
  <c r="C51" i="68"/>
  <c r="J51" i="69"/>
  <c r="C16" i="70"/>
  <c r="J16" s="1"/>
  <c r="C14"/>
  <c r="J14" s="1"/>
  <c r="J51" i="68"/>
  <c r="J14" i="69"/>
  <c r="J18" s="1"/>
  <c r="C18"/>
  <c r="C51"/>
  <c r="C18" i="68"/>
  <c r="J14"/>
  <c r="J18" s="1"/>
  <c r="B9" i="18"/>
  <c r="J59" i="70" l="1"/>
  <c r="J59" i="69"/>
  <c r="J18" i="70"/>
  <c r="C61" i="68"/>
  <c r="C3" s="1"/>
  <c r="C18" i="70"/>
  <c r="C61" s="1"/>
  <c r="C3" s="1"/>
  <c r="S254" i="5"/>
  <c r="R254"/>
  <c r="P254"/>
  <c r="O254"/>
  <c r="D8" i="68" l="1"/>
  <c r="K8" s="1"/>
  <c r="L8" s="1"/>
  <c r="D9"/>
  <c r="K9" s="1"/>
  <c r="L9" s="1"/>
  <c r="D10"/>
  <c r="K10" s="1"/>
  <c r="L10" s="1"/>
  <c r="S131" i="5"/>
  <c r="R131"/>
  <c r="P131"/>
  <c r="O131"/>
  <c r="S274"/>
  <c r="R274"/>
  <c r="P274"/>
  <c r="O274"/>
  <c r="S273"/>
  <c r="R273"/>
  <c r="P273"/>
  <c r="O273"/>
  <c r="S272"/>
  <c r="R272"/>
  <c r="P272"/>
  <c r="O272"/>
  <c r="S271"/>
  <c r="R271"/>
  <c r="P271"/>
  <c r="O271"/>
  <c r="S270"/>
  <c r="R270"/>
  <c r="P270"/>
  <c r="O270"/>
  <c r="S269"/>
  <c r="R269"/>
  <c r="P269"/>
  <c r="O269"/>
  <c r="S268"/>
  <c r="R268"/>
  <c r="P268"/>
  <c r="O268"/>
  <c r="S147"/>
  <c r="R147"/>
  <c r="P147"/>
  <c r="O147"/>
  <c r="S146"/>
  <c r="R146"/>
  <c r="P146"/>
  <c r="O146"/>
  <c r="S145"/>
  <c r="R145"/>
  <c r="P145"/>
  <c r="O145"/>
  <c r="S144"/>
  <c r="R144"/>
  <c r="P144"/>
  <c r="O144"/>
  <c r="S143"/>
  <c r="R143"/>
  <c r="P143"/>
  <c r="O143"/>
  <c r="S142"/>
  <c r="R142"/>
  <c r="P142"/>
  <c r="O142"/>
  <c r="S141"/>
  <c r="R141"/>
  <c r="P141"/>
  <c r="O141"/>
  <c r="S140"/>
  <c r="R140"/>
  <c r="P140"/>
  <c r="O140"/>
  <c r="A13" i="64"/>
  <c r="S84" i="5"/>
  <c r="R84"/>
  <c r="P84"/>
  <c r="O84"/>
  <c r="S83"/>
  <c r="R83"/>
  <c r="P83"/>
  <c r="O83"/>
  <c r="S82"/>
  <c r="R82"/>
  <c r="P82"/>
  <c r="O82"/>
  <c r="S81"/>
  <c r="R81"/>
  <c r="P81"/>
  <c r="O81"/>
  <c r="S80"/>
  <c r="R80"/>
  <c r="P80"/>
  <c r="O80"/>
  <c r="S79"/>
  <c r="R79"/>
  <c r="P79"/>
  <c r="O79"/>
  <c r="S77"/>
  <c r="R77"/>
  <c r="P77"/>
  <c r="O77"/>
  <c r="S76"/>
  <c r="R76"/>
  <c r="P76"/>
  <c r="O76"/>
  <c r="S75"/>
  <c r="R75"/>
  <c r="P75"/>
  <c r="O75"/>
  <c r="S74"/>
  <c r="R74"/>
  <c r="P74"/>
  <c r="O74"/>
  <c r="S73"/>
  <c r="R73"/>
  <c r="P73"/>
  <c r="O73"/>
  <c r="S65"/>
  <c r="R65"/>
  <c r="P65"/>
  <c r="O65"/>
  <c r="J278" l="1"/>
  <c r="Y278" s="1"/>
  <c r="I278"/>
  <c r="X278" s="1"/>
  <c r="J87"/>
  <c r="Y87" s="1"/>
  <c r="I87"/>
  <c r="X87" s="1"/>
  <c r="J151"/>
  <c r="Y151" s="1"/>
  <c r="I152"/>
  <c r="X152" s="1"/>
  <c r="I150"/>
  <c r="X150" s="1"/>
  <c r="I277"/>
  <c r="X277" s="1"/>
  <c r="J277"/>
  <c r="Y277" s="1"/>
  <c r="J150"/>
  <c r="Y150" s="1"/>
  <c r="I151"/>
  <c r="X151" s="1"/>
  <c r="J152"/>
  <c r="Y152" s="1"/>
  <c r="I230"/>
  <c r="X230" s="1"/>
  <c r="J230"/>
  <c r="Y230" s="1"/>
  <c r="I133"/>
  <c r="X133" s="1"/>
  <c r="J133"/>
  <c r="Y133" s="1"/>
  <c r="I259"/>
  <c r="X259" s="1"/>
  <c r="J259"/>
  <c r="J126"/>
  <c r="I126"/>
  <c r="X126" s="1"/>
  <c r="I60"/>
  <c r="X60" s="1"/>
  <c r="J60"/>
  <c r="J86"/>
  <c r="I276"/>
  <c r="X276" s="1"/>
  <c r="J276"/>
  <c r="Y276" s="1"/>
  <c r="I86"/>
  <c r="X86" s="1"/>
  <c r="J275"/>
  <c r="Y275" s="1"/>
  <c r="J148"/>
  <c r="Y148" s="1"/>
  <c r="I85"/>
  <c r="X85" s="1"/>
  <c r="J149"/>
  <c r="J85"/>
  <c r="Y85" s="1"/>
  <c r="I149"/>
  <c r="X149" s="1"/>
  <c r="I148"/>
  <c r="X148" s="1"/>
  <c r="I275"/>
  <c r="X275" s="1"/>
  <c r="J274"/>
  <c r="Y274" s="1"/>
  <c r="J270"/>
  <c r="Y270" s="1"/>
  <c r="J267"/>
  <c r="J263"/>
  <c r="J258"/>
  <c r="J254"/>
  <c r="J250"/>
  <c r="J246"/>
  <c r="J242"/>
  <c r="J238"/>
  <c r="J234"/>
  <c r="J228"/>
  <c r="J223"/>
  <c r="J145"/>
  <c r="Y145" s="1"/>
  <c r="J141"/>
  <c r="Y141" s="1"/>
  <c r="J138"/>
  <c r="J134"/>
  <c r="J129"/>
  <c r="J124"/>
  <c r="J120"/>
  <c r="J116"/>
  <c r="J111"/>
  <c r="J106"/>
  <c r="J102"/>
  <c r="J98"/>
  <c r="J83"/>
  <c r="Y83" s="1"/>
  <c r="J79"/>
  <c r="Y79" s="1"/>
  <c r="J74"/>
  <c r="Y74" s="1"/>
  <c r="J71"/>
  <c r="J67"/>
  <c r="J63"/>
  <c r="J58"/>
  <c r="J54"/>
  <c r="J50"/>
  <c r="J46"/>
  <c r="J42"/>
  <c r="J37"/>
  <c r="J33"/>
  <c r="I265"/>
  <c r="I244"/>
  <c r="I231"/>
  <c r="I122"/>
  <c r="I100"/>
  <c r="I65"/>
  <c r="X65" s="1"/>
  <c r="I44"/>
  <c r="J264"/>
  <c r="J239"/>
  <c r="J135"/>
  <c r="J103"/>
  <c r="J64"/>
  <c r="J34"/>
  <c r="I274"/>
  <c r="X274" s="1"/>
  <c r="I270"/>
  <c r="X270" s="1"/>
  <c r="I267"/>
  <c r="I263"/>
  <c r="I258"/>
  <c r="I254"/>
  <c r="X254" s="1"/>
  <c r="I250"/>
  <c r="I246"/>
  <c r="I242"/>
  <c r="I238"/>
  <c r="I234"/>
  <c r="I228"/>
  <c r="I223"/>
  <c r="I145"/>
  <c r="X145" s="1"/>
  <c r="I141"/>
  <c r="X141" s="1"/>
  <c r="I138"/>
  <c r="I134"/>
  <c r="I129"/>
  <c r="I124"/>
  <c r="I120"/>
  <c r="I116"/>
  <c r="I111"/>
  <c r="I106"/>
  <c r="I102"/>
  <c r="I98"/>
  <c r="I83"/>
  <c r="X83" s="1"/>
  <c r="I79"/>
  <c r="X79" s="1"/>
  <c r="I74"/>
  <c r="X74" s="1"/>
  <c r="I71"/>
  <c r="I67"/>
  <c r="I63"/>
  <c r="I58"/>
  <c r="I54"/>
  <c r="I50"/>
  <c r="I46"/>
  <c r="I42"/>
  <c r="I37"/>
  <c r="I33"/>
  <c r="I272"/>
  <c r="X272" s="1"/>
  <c r="I240"/>
  <c r="I143"/>
  <c r="X143" s="1"/>
  <c r="I136"/>
  <c r="I113"/>
  <c r="I81"/>
  <c r="X81" s="1"/>
  <c r="I61"/>
  <c r="I35"/>
  <c r="J271"/>
  <c r="Y271" s="1"/>
  <c r="J243"/>
  <c r="J139"/>
  <c r="J112"/>
  <c r="J72"/>
  <c r="J39"/>
  <c r="J273"/>
  <c r="Y273" s="1"/>
  <c r="J269"/>
  <c r="Y269" s="1"/>
  <c r="J266"/>
  <c r="J262"/>
  <c r="J257"/>
  <c r="J253"/>
  <c r="J249"/>
  <c r="J245"/>
  <c r="J241"/>
  <c r="J237"/>
  <c r="J232"/>
  <c r="J227"/>
  <c r="J222"/>
  <c r="J144"/>
  <c r="Y144" s="1"/>
  <c r="J137"/>
  <c r="J132"/>
  <c r="J128"/>
  <c r="J123"/>
  <c r="J119"/>
  <c r="J114"/>
  <c r="J110"/>
  <c r="J105"/>
  <c r="J101"/>
  <c r="J97"/>
  <c r="J82"/>
  <c r="Y82" s="1"/>
  <c r="J77"/>
  <c r="Y77" s="1"/>
  <c r="J70"/>
  <c r="J66"/>
  <c r="J62"/>
  <c r="J57"/>
  <c r="J53"/>
  <c r="J49"/>
  <c r="J45"/>
  <c r="J41"/>
  <c r="J36"/>
  <c r="J32"/>
  <c r="I256"/>
  <c r="I226"/>
  <c r="I127"/>
  <c r="I104"/>
  <c r="I73"/>
  <c r="X73" s="1"/>
  <c r="I52"/>
  <c r="J255"/>
  <c r="J229"/>
  <c r="J130"/>
  <c r="J107"/>
  <c r="J68"/>
  <c r="J47"/>
  <c r="I273"/>
  <c r="X273" s="1"/>
  <c r="I269"/>
  <c r="X269" s="1"/>
  <c r="I266"/>
  <c r="I262"/>
  <c r="I257"/>
  <c r="I253"/>
  <c r="I249"/>
  <c r="I245"/>
  <c r="I241"/>
  <c r="I237"/>
  <c r="I232"/>
  <c r="I227"/>
  <c r="I222"/>
  <c r="I144"/>
  <c r="X144" s="1"/>
  <c r="I137"/>
  <c r="I132"/>
  <c r="I128"/>
  <c r="I123"/>
  <c r="I119"/>
  <c r="I114"/>
  <c r="I110"/>
  <c r="I105"/>
  <c r="I101"/>
  <c r="I97"/>
  <c r="I82"/>
  <c r="X82" s="1"/>
  <c r="I77"/>
  <c r="X77" s="1"/>
  <c r="I70"/>
  <c r="I66"/>
  <c r="I62"/>
  <c r="I57"/>
  <c r="I53"/>
  <c r="I49"/>
  <c r="I45"/>
  <c r="I41"/>
  <c r="I36"/>
  <c r="I32"/>
  <c r="I261"/>
  <c r="I252"/>
  <c r="I147"/>
  <c r="X147" s="1"/>
  <c r="I131"/>
  <c r="X131" s="1"/>
  <c r="I109"/>
  <c r="I76"/>
  <c r="X76" s="1"/>
  <c r="I56"/>
  <c r="I31"/>
  <c r="J251"/>
  <c r="J146"/>
  <c r="Y146" s="1"/>
  <c r="J121"/>
  <c r="J80"/>
  <c r="Y80" s="1"/>
  <c r="J51"/>
  <c r="J272"/>
  <c r="Y272" s="1"/>
  <c r="J265"/>
  <c r="J261"/>
  <c r="J256"/>
  <c r="J252"/>
  <c r="J248"/>
  <c r="J244"/>
  <c r="J240"/>
  <c r="J236"/>
  <c r="J231"/>
  <c r="J226"/>
  <c r="J147"/>
  <c r="Y147" s="1"/>
  <c r="J143"/>
  <c r="Y143" s="1"/>
  <c r="J140"/>
  <c r="Y140" s="1"/>
  <c r="J136"/>
  <c r="J131"/>
  <c r="Y131" s="1"/>
  <c r="J127"/>
  <c r="J122"/>
  <c r="J118"/>
  <c r="J113"/>
  <c r="J109"/>
  <c r="J104"/>
  <c r="J100"/>
  <c r="J95"/>
  <c r="J81"/>
  <c r="Y81" s="1"/>
  <c r="J76"/>
  <c r="Y76" s="1"/>
  <c r="J73"/>
  <c r="Y73" s="1"/>
  <c r="J69"/>
  <c r="J65"/>
  <c r="Y65" s="1"/>
  <c r="J61"/>
  <c r="J56"/>
  <c r="J52"/>
  <c r="J48"/>
  <c r="J44"/>
  <c r="J40"/>
  <c r="J35"/>
  <c r="J31"/>
  <c r="I248"/>
  <c r="I236"/>
  <c r="I140"/>
  <c r="X140" s="1"/>
  <c r="I118"/>
  <c r="I95"/>
  <c r="I69"/>
  <c r="I48"/>
  <c r="J247"/>
  <c r="J142"/>
  <c r="Y142" s="1"/>
  <c r="J84"/>
  <c r="Y84" s="1"/>
  <c r="J55"/>
  <c r="J268"/>
  <c r="Y268" s="1"/>
  <c r="J225"/>
  <c r="J117"/>
  <c r="J75"/>
  <c r="Y75" s="1"/>
  <c r="J43"/>
  <c r="I271"/>
  <c r="X271" s="1"/>
  <c r="I268"/>
  <c r="X268" s="1"/>
  <c r="I264"/>
  <c r="I260"/>
  <c r="I255"/>
  <c r="I251"/>
  <c r="I247"/>
  <c r="I243"/>
  <c r="I239"/>
  <c r="I235"/>
  <c r="I229"/>
  <c r="I225"/>
  <c r="I146"/>
  <c r="X146" s="1"/>
  <c r="I142"/>
  <c r="X142" s="1"/>
  <c r="I139"/>
  <c r="I135"/>
  <c r="I130"/>
  <c r="I125"/>
  <c r="I121"/>
  <c r="I117"/>
  <c r="I112"/>
  <c r="I107"/>
  <c r="I103"/>
  <c r="I99"/>
  <c r="I84"/>
  <c r="X84" s="1"/>
  <c r="I80"/>
  <c r="X80" s="1"/>
  <c r="I75"/>
  <c r="X75" s="1"/>
  <c r="I72"/>
  <c r="I68"/>
  <c r="I64"/>
  <c r="I59"/>
  <c r="I55"/>
  <c r="I51"/>
  <c r="I47"/>
  <c r="I43"/>
  <c r="I39"/>
  <c r="I34"/>
  <c r="I30"/>
  <c r="I40"/>
  <c r="J260"/>
  <c r="J235"/>
  <c r="J125"/>
  <c r="J99"/>
  <c r="J59"/>
  <c r="J30"/>
  <c r="Y259" l="1"/>
  <c r="B259" s="1"/>
  <c r="Y254"/>
  <c r="B254" s="1"/>
  <c r="Y126"/>
  <c r="B126" s="1"/>
  <c r="Y149"/>
  <c r="B149" s="1"/>
  <c r="Y60"/>
  <c r="B60" s="1"/>
  <c r="Y86"/>
  <c r="B86" s="1"/>
  <c r="B276"/>
  <c r="B275"/>
  <c r="B85"/>
  <c r="B148"/>
  <c r="I220"/>
  <c r="J220"/>
  <c r="B131"/>
  <c r="B65"/>
  <c r="K21" i="62"/>
  <c r="K2" i="18" l="1"/>
  <c r="A30" i="62"/>
  <c r="B30"/>
  <c r="F16" l="1"/>
  <c r="L16" s="1"/>
  <c r="S8" i="61" l="1"/>
  <c r="D8" i="69" s="1"/>
  <c r="M8" i="61" l="1"/>
  <c r="M35" l="1"/>
  <c r="M33"/>
  <c r="M36"/>
  <c r="M32"/>
  <c r="D32" i="70" s="1"/>
  <c r="M16" i="61"/>
  <c r="M14"/>
  <c r="D8" i="70"/>
  <c r="J9" i="67"/>
  <c r="I9"/>
  <c r="E9"/>
  <c r="D9"/>
  <c r="H9" s="1"/>
  <c r="B9"/>
  <c r="J7"/>
  <c r="I7"/>
  <c r="G7" l="1"/>
  <c r="M9" i="61" l="1"/>
  <c r="D9" i="70" s="1"/>
  <c r="K9" i="66" l="1"/>
  <c r="J9"/>
  <c r="F9"/>
  <c r="E9"/>
  <c r="I9" s="1"/>
  <c r="C9"/>
  <c r="J7"/>
  <c r="AY16" i="61"/>
  <c r="AY15"/>
  <c r="AY14"/>
  <c r="AY24"/>
  <c r="AZ9"/>
  <c r="AZ8"/>
  <c r="AY10"/>
  <c r="AY9"/>
  <c r="AY8"/>
  <c r="AY49" s="1"/>
  <c r="AY37" l="1"/>
  <c r="AY39"/>
  <c r="AY45"/>
  <c r="AY25"/>
  <c r="AY48"/>
  <c r="AY18"/>
  <c r="AY28"/>
  <c r="AY57"/>
  <c r="AY30"/>
  <c r="AY46"/>
  <c r="BA9"/>
  <c r="AY36"/>
  <c r="S8" i="5"/>
  <c r="AY32" i="61"/>
  <c r="AY41"/>
  <c r="AY53"/>
  <c r="AY33"/>
  <c r="M25" i="62" s="1"/>
  <c r="AY43" i="61"/>
  <c r="AY35"/>
  <c r="AY44"/>
  <c r="AY29"/>
  <c r="AY38"/>
  <c r="AY47"/>
  <c r="AY26"/>
  <c r="AY31"/>
  <c r="AY40"/>
  <c r="S267" i="5"/>
  <c r="R11"/>
  <c r="R13"/>
  <c r="R15"/>
  <c r="R17"/>
  <c r="R19"/>
  <c r="R21"/>
  <c r="R23"/>
  <c r="R97"/>
  <c r="R99"/>
  <c r="R101"/>
  <c r="R103"/>
  <c r="R105"/>
  <c r="R107"/>
  <c r="R110"/>
  <c r="R112"/>
  <c r="R114"/>
  <c r="R117"/>
  <c r="R119"/>
  <c r="R121"/>
  <c r="R123"/>
  <c r="R125"/>
  <c r="R128"/>
  <c r="R130"/>
  <c r="R134"/>
  <c r="R136"/>
  <c r="R138"/>
  <c r="R30"/>
  <c r="R32"/>
  <c r="R34"/>
  <c r="R36"/>
  <c r="R39"/>
  <c r="R41"/>
  <c r="R43"/>
  <c r="R45"/>
  <c r="R47"/>
  <c r="R49"/>
  <c r="R51"/>
  <c r="R53"/>
  <c r="R55"/>
  <c r="R57"/>
  <c r="R59"/>
  <c r="R62"/>
  <c r="R64"/>
  <c r="R67"/>
  <c r="R69"/>
  <c r="R71"/>
  <c r="R160"/>
  <c r="R162"/>
  <c r="R164"/>
  <c r="R166"/>
  <c r="R168"/>
  <c r="R170"/>
  <c r="R172"/>
  <c r="R174"/>
  <c r="R176"/>
  <c r="R178"/>
  <c r="R180"/>
  <c r="R182"/>
  <c r="R184"/>
  <c r="R186"/>
  <c r="R188"/>
  <c r="R190"/>
  <c r="R192"/>
  <c r="R194"/>
  <c r="R196"/>
  <c r="R198"/>
  <c r="R200"/>
  <c r="R202"/>
  <c r="R204"/>
  <c r="R206"/>
  <c r="R208"/>
  <c r="R210"/>
  <c r="R212"/>
  <c r="R214"/>
  <c r="R222"/>
  <c r="R225"/>
  <c r="R227"/>
  <c r="R229"/>
  <c r="R232"/>
  <c r="R235"/>
  <c r="R237"/>
  <c r="R239"/>
  <c r="R241"/>
  <c r="R243"/>
  <c r="R245"/>
  <c r="R247"/>
  <c r="R249"/>
  <c r="R251"/>
  <c r="R253"/>
  <c r="R256"/>
  <c r="R258"/>
  <c r="R261"/>
  <c r="R263"/>
  <c r="R265"/>
  <c r="R267"/>
  <c r="S9"/>
  <c r="S10"/>
  <c r="S12"/>
  <c r="S14"/>
  <c r="S16"/>
  <c r="S18"/>
  <c r="S20"/>
  <c r="S22"/>
  <c r="S95"/>
  <c r="S98"/>
  <c r="S100"/>
  <c r="S102"/>
  <c r="S104"/>
  <c r="S106"/>
  <c r="S109"/>
  <c r="S111"/>
  <c r="S113"/>
  <c r="S116"/>
  <c r="S118"/>
  <c r="S120"/>
  <c r="S122"/>
  <c r="S124"/>
  <c r="S127"/>
  <c r="S129"/>
  <c r="S132"/>
  <c r="S135"/>
  <c r="S137"/>
  <c r="S139"/>
  <c r="S31"/>
  <c r="S33"/>
  <c r="S35"/>
  <c r="S37"/>
  <c r="S40"/>
  <c r="S42"/>
  <c r="S44"/>
  <c r="S46"/>
  <c r="S48"/>
  <c r="S50"/>
  <c r="S52"/>
  <c r="S54"/>
  <c r="S56"/>
  <c r="S58"/>
  <c r="S61"/>
  <c r="S63"/>
  <c r="S66"/>
  <c r="S68"/>
  <c r="S70"/>
  <c r="S72"/>
  <c r="S161"/>
  <c r="S163"/>
  <c r="S165"/>
  <c r="S167"/>
  <c r="S169"/>
  <c r="S171"/>
  <c r="S173"/>
  <c r="S175"/>
  <c r="S177"/>
  <c r="S179"/>
  <c r="S181"/>
  <c r="S183"/>
  <c r="S185"/>
  <c r="S187"/>
  <c r="S189"/>
  <c r="S191"/>
  <c r="S193"/>
  <c r="S195"/>
  <c r="S197"/>
  <c r="S199"/>
  <c r="S201"/>
  <c r="S203"/>
  <c r="S205"/>
  <c r="S207"/>
  <c r="S209"/>
  <c r="S211"/>
  <c r="S213"/>
  <c r="S215"/>
  <c r="S223"/>
  <c r="S226"/>
  <c r="S228"/>
  <c r="S231"/>
  <c r="S234"/>
  <c r="S236"/>
  <c r="S238"/>
  <c r="S240"/>
  <c r="S242"/>
  <c r="S244"/>
  <c r="S246"/>
  <c r="S248"/>
  <c r="S250"/>
  <c r="S252"/>
  <c r="S255"/>
  <c r="S257"/>
  <c r="S260"/>
  <c r="S262"/>
  <c r="S264"/>
  <c r="S266"/>
  <c r="R9"/>
  <c r="R10"/>
  <c r="R12"/>
  <c r="R14"/>
  <c r="R16"/>
  <c r="R18"/>
  <c r="R20"/>
  <c r="R22"/>
  <c r="R95"/>
  <c r="R98"/>
  <c r="R100"/>
  <c r="R102"/>
  <c r="R104"/>
  <c r="R106"/>
  <c r="R109"/>
  <c r="R111"/>
  <c r="R113"/>
  <c r="R116"/>
  <c r="R118"/>
  <c r="R120"/>
  <c r="R122"/>
  <c r="R124"/>
  <c r="R127"/>
  <c r="R129"/>
  <c r="R132"/>
  <c r="R135"/>
  <c r="R137"/>
  <c r="R139"/>
  <c r="R31"/>
  <c r="R33"/>
  <c r="R35"/>
  <c r="R37"/>
  <c r="R40"/>
  <c r="R42"/>
  <c r="R44"/>
  <c r="R46"/>
  <c r="R48"/>
  <c r="R50"/>
  <c r="R52"/>
  <c r="R54"/>
  <c r="R56"/>
  <c r="R58"/>
  <c r="R61"/>
  <c r="R63"/>
  <c r="R66"/>
  <c r="R68"/>
  <c r="R70"/>
  <c r="R72"/>
  <c r="R161"/>
  <c r="R163"/>
  <c r="R165"/>
  <c r="R167"/>
  <c r="R169"/>
  <c r="R171"/>
  <c r="R173"/>
  <c r="R175"/>
  <c r="R177"/>
  <c r="R179"/>
  <c r="R181"/>
  <c r="R183"/>
  <c r="R185"/>
  <c r="R187"/>
  <c r="R189"/>
  <c r="R191"/>
  <c r="R193"/>
  <c r="R195"/>
  <c r="R197"/>
  <c r="R199"/>
  <c r="R201"/>
  <c r="R203"/>
  <c r="R205"/>
  <c r="R207"/>
  <c r="R209"/>
  <c r="R211"/>
  <c r="R213"/>
  <c r="R215"/>
  <c r="R223"/>
  <c r="R226"/>
  <c r="R228"/>
  <c r="R231"/>
  <c r="R234"/>
  <c r="R236"/>
  <c r="R238"/>
  <c r="R240"/>
  <c r="R242"/>
  <c r="R244"/>
  <c r="R246"/>
  <c r="R248"/>
  <c r="R250"/>
  <c r="R252"/>
  <c r="R255"/>
  <c r="R257"/>
  <c r="R260"/>
  <c r="R262"/>
  <c r="R264"/>
  <c r="R266"/>
  <c r="S11"/>
  <c r="S13"/>
  <c r="S15"/>
  <c r="S17"/>
  <c r="S19"/>
  <c r="S21"/>
  <c r="S23"/>
  <c r="S97"/>
  <c r="S99"/>
  <c r="S101"/>
  <c r="S103"/>
  <c r="S105"/>
  <c r="S107"/>
  <c r="S110"/>
  <c r="S112"/>
  <c r="S114"/>
  <c r="S117"/>
  <c r="S119"/>
  <c r="S121"/>
  <c r="S123"/>
  <c r="S125"/>
  <c r="S128"/>
  <c r="S130"/>
  <c r="S134"/>
  <c r="S136"/>
  <c r="S138"/>
  <c r="S30"/>
  <c r="S32"/>
  <c r="S34"/>
  <c r="S36"/>
  <c r="S39"/>
  <c r="S41"/>
  <c r="S43"/>
  <c r="S45"/>
  <c r="S47"/>
  <c r="S49"/>
  <c r="S51"/>
  <c r="S53"/>
  <c r="S55"/>
  <c r="S57"/>
  <c r="S59"/>
  <c r="S62"/>
  <c r="S64"/>
  <c r="S67"/>
  <c r="S69"/>
  <c r="S71"/>
  <c r="S160"/>
  <c r="S162"/>
  <c r="S164"/>
  <c r="S166"/>
  <c r="S168"/>
  <c r="S170"/>
  <c r="S172"/>
  <c r="S174"/>
  <c r="S176"/>
  <c r="S178"/>
  <c r="S180"/>
  <c r="S182"/>
  <c r="S184"/>
  <c r="S186"/>
  <c r="S188"/>
  <c r="S190"/>
  <c r="S192"/>
  <c r="S194"/>
  <c r="S196"/>
  <c r="S198"/>
  <c r="S200"/>
  <c r="S202"/>
  <c r="S204"/>
  <c r="S206"/>
  <c r="S208"/>
  <c r="S210"/>
  <c r="S212"/>
  <c r="S214"/>
  <c r="S222"/>
  <c r="S225"/>
  <c r="S227"/>
  <c r="S229"/>
  <c r="S232"/>
  <c r="S235"/>
  <c r="S237"/>
  <c r="S239"/>
  <c r="S241"/>
  <c r="S243"/>
  <c r="S245"/>
  <c r="S247"/>
  <c r="S249"/>
  <c r="S251"/>
  <c r="S253"/>
  <c r="S256"/>
  <c r="S258"/>
  <c r="S261"/>
  <c r="S263"/>
  <c r="S265"/>
  <c r="K7" i="66"/>
  <c r="H7" s="1"/>
  <c r="BA8" i="61"/>
  <c r="AV9"/>
  <c r="AV8"/>
  <c r="AU10"/>
  <c r="AU9"/>
  <c r="AU8"/>
  <c r="AU53" s="1"/>
  <c r="AQ10"/>
  <c r="AQ9"/>
  <c r="AQ8"/>
  <c r="AQ55" s="1"/>
  <c r="AU47" l="1"/>
  <c r="AU40"/>
  <c r="AU16"/>
  <c r="AU48"/>
  <c r="AU14"/>
  <c r="AU15"/>
  <c r="AY34"/>
  <c r="AU38"/>
  <c r="AU31"/>
  <c r="AY23"/>
  <c r="AU29"/>
  <c r="AU49"/>
  <c r="AU30"/>
  <c r="AU39"/>
  <c r="AY27"/>
  <c r="AW9"/>
  <c r="AQ15"/>
  <c r="AQ29"/>
  <c r="AQ37"/>
  <c r="AQ46"/>
  <c r="AU25"/>
  <c r="AU35"/>
  <c r="AU44"/>
  <c r="AU55"/>
  <c r="AQ16"/>
  <c r="AQ30"/>
  <c r="AQ38"/>
  <c r="AQ47"/>
  <c r="AU26"/>
  <c r="AU36"/>
  <c r="AU45"/>
  <c r="AU57"/>
  <c r="AQ31"/>
  <c r="AQ39"/>
  <c r="AQ48"/>
  <c r="AU28"/>
  <c r="AU37"/>
  <c r="AU46"/>
  <c r="AQ24"/>
  <c r="AQ32"/>
  <c r="AQ40"/>
  <c r="AQ49"/>
  <c r="AQ26"/>
  <c r="AQ43"/>
  <c r="AQ54"/>
  <c r="AQ25"/>
  <c r="AQ33"/>
  <c r="AQ41"/>
  <c r="AQ53"/>
  <c r="AQ14"/>
  <c r="AQ28"/>
  <c r="AQ36"/>
  <c r="AQ45"/>
  <c r="AQ57"/>
  <c r="AU24"/>
  <c r="AU33"/>
  <c r="AU43"/>
  <c r="AU54"/>
  <c r="AQ35"/>
  <c r="AQ44"/>
  <c r="AU32"/>
  <c r="AU41"/>
  <c r="AY42"/>
  <c r="AW8"/>
  <c r="AY51" l="1"/>
  <c r="AU18"/>
  <c r="AU27"/>
  <c r="AQ34"/>
  <c r="AQ27"/>
  <c r="AU58"/>
  <c r="AQ18"/>
  <c r="AU23"/>
  <c r="AQ42"/>
  <c r="AU34"/>
  <c r="AU42"/>
  <c r="AQ58"/>
  <c r="AQ23"/>
  <c r="P53"/>
  <c r="AQ51" l="1"/>
  <c r="AU51"/>
  <c r="I9" i="65"/>
  <c r="J9"/>
  <c r="E9"/>
  <c r="D9"/>
  <c r="H9" s="1"/>
  <c r="B9"/>
  <c r="J7"/>
  <c r="I7"/>
  <c r="O8" i="5" l="1"/>
  <c r="P8"/>
  <c r="O23"/>
  <c r="G7" i="65"/>
  <c r="O98" i="5"/>
  <c r="X98" s="1"/>
  <c r="O100"/>
  <c r="X100" s="1"/>
  <c r="O102"/>
  <c r="X102" s="1"/>
  <c r="O104"/>
  <c r="X104" s="1"/>
  <c r="O106"/>
  <c r="X106" s="1"/>
  <c r="O109"/>
  <c r="X109" s="1"/>
  <c r="O111"/>
  <c r="X111" s="1"/>
  <c r="O113"/>
  <c r="X113" s="1"/>
  <c r="O116"/>
  <c r="X116" s="1"/>
  <c r="O118"/>
  <c r="X118" s="1"/>
  <c r="O120"/>
  <c r="X120" s="1"/>
  <c r="O124"/>
  <c r="X124" s="1"/>
  <c r="O122"/>
  <c r="X122" s="1"/>
  <c r="O129"/>
  <c r="X129" s="1"/>
  <c r="O130"/>
  <c r="X130" s="1"/>
  <c r="O132"/>
  <c r="X132" s="1"/>
  <c r="O135"/>
  <c r="X135" s="1"/>
  <c r="O137"/>
  <c r="X137" s="1"/>
  <c r="O139"/>
  <c r="X139" s="1"/>
  <c r="O31"/>
  <c r="X31" s="1"/>
  <c r="O33"/>
  <c r="X33" s="1"/>
  <c r="O35"/>
  <c r="X35" s="1"/>
  <c r="O37"/>
  <c r="X37" s="1"/>
  <c r="O40"/>
  <c r="X40" s="1"/>
  <c r="O42"/>
  <c r="X42" s="1"/>
  <c r="O44"/>
  <c r="X44" s="1"/>
  <c r="O46"/>
  <c r="X46" s="1"/>
  <c r="O48"/>
  <c r="X48" s="1"/>
  <c r="O50"/>
  <c r="X50" s="1"/>
  <c r="O52"/>
  <c r="X52" s="1"/>
  <c r="O54"/>
  <c r="X54" s="1"/>
  <c r="O58"/>
  <c r="X58" s="1"/>
  <c r="O56"/>
  <c r="X56" s="1"/>
  <c r="O63"/>
  <c r="X63" s="1"/>
  <c r="O64"/>
  <c r="X64" s="1"/>
  <c r="O66"/>
  <c r="X66" s="1"/>
  <c r="O68"/>
  <c r="X68" s="1"/>
  <c r="O70"/>
  <c r="X70" s="1"/>
  <c r="O72"/>
  <c r="X72" s="1"/>
  <c r="O161"/>
  <c r="O163"/>
  <c r="O165"/>
  <c r="O167"/>
  <c r="O169"/>
  <c r="O171"/>
  <c r="O173"/>
  <c r="O175"/>
  <c r="O177"/>
  <c r="O179"/>
  <c r="O181"/>
  <c r="O183"/>
  <c r="O185"/>
  <c r="O187"/>
  <c r="O189"/>
  <c r="O191"/>
  <c r="O193"/>
  <c r="O195"/>
  <c r="O197"/>
  <c r="O200"/>
  <c r="O198"/>
  <c r="O204"/>
  <c r="O201"/>
  <c r="O208"/>
  <c r="O209"/>
  <c r="O211"/>
  <c r="O213"/>
  <c r="O215"/>
  <c r="O223"/>
  <c r="X223" s="1"/>
  <c r="O226"/>
  <c r="X226" s="1"/>
  <c r="O228"/>
  <c r="X228" s="1"/>
  <c r="O231"/>
  <c r="X231" s="1"/>
  <c r="O234"/>
  <c r="X234" s="1"/>
  <c r="O236"/>
  <c r="X236" s="1"/>
  <c r="O238"/>
  <c r="X238" s="1"/>
  <c r="O240"/>
  <c r="X240" s="1"/>
  <c r="O242"/>
  <c r="X242" s="1"/>
  <c r="O244"/>
  <c r="X244" s="1"/>
  <c r="O246"/>
  <c r="X246" s="1"/>
  <c r="O248"/>
  <c r="X248" s="1"/>
  <c r="O250"/>
  <c r="X250" s="1"/>
  <c r="O252"/>
  <c r="X252" s="1"/>
  <c r="O255"/>
  <c r="X255" s="1"/>
  <c r="O257"/>
  <c r="X257" s="1"/>
  <c r="O260"/>
  <c r="X260" s="1"/>
  <c r="O262"/>
  <c r="X262" s="1"/>
  <c r="O264"/>
  <c r="X264" s="1"/>
  <c r="O266"/>
  <c r="X266" s="1"/>
  <c r="P9"/>
  <c r="P10"/>
  <c r="P12"/>
  <c r="P14"/>
  <c r="P16"/>
  <c r="P18"/>
  <c r="P20"/>
  <c r="P22"/>
  <c r="O95"/>
  <c r="X95" s="1"/>
  <c r="P97"/>
  <c r="Y97" s="1"/>
  <c r="P99"/>
  <c r="Y99" s="1"/>
  <c r="P101"/>
  <c r="Y101" s="1"/>
  <c r="P103"/>
  <c r="Y103" s="1"/>
  <c r="P105"/>
  <c r="Y105" s="1"/>
  <c r="P107"/>
  <c r="Y107" s="1"/>
  <c r="P110"/>
  <c r="Y110" s="1"/>
  <c r="P112"/>
  <c r="Y112" s="1"/>
  <c r="P114"/>
  <c r="Y114" s="1"/>
  <c r="P117"/>
  <c r="Y117" s="1"/>
  <c r="P119"/>
  <c r="Y119" s="1"/>
  <c r="P121"/>
  <c r="Y121" s="1"/>
  <c r="P123"/>
  <c r="Y123" s="1"/>
  <c r="P128"/>
  <c r="Y128" s="1"/>
  <c r="P127"/>
  <c r="Y127" s="1"/>
  <c r="P125"/>
  <c r="Y125" s="1"/>
  <c r="P134"/>
  <c r="Y134" s="1"/>
  <c r="P136"/>
  <c r="Y136" s="1"/>
  <c r="P138"/>
  <c r="Y138" s="1"/>
  <c r="P30"/>
  <c r="P32"/>
  <c r="Y32" s="1"/>
  <c r="P34"/>
  <c r="Y34" s="1"/>
  <c r="P36"/>
  <c r="Y36" s="1"/>
  <c r="P39"/>
  <c r="Y39" s="1"/>
  <c r="P41"/>
  <c r="Y41" s="1"/>
  <c r="P43"/>
  <c r="Y43" s="1"/>
  <c r="P45"/>
  <c r="Y45" s="1"/>
  <c r="P47"/>
  <c r="Y47" s="1"/>
  <c r="P49"/>
  <c r="Y49" s="1"/>
  <c r="P51"/>
  <c r="Y51" s="1"/>
  <c r="P53"/>
  <c r="Y53" s="1"/>
  <c r="P55"/>
  <c r="Y55" s="1"/>
  <c r="P57"/>
  <c r="Y57" s="1"/>
  <c r="P62"/>
  <c r="Y62" s="1"/>
  <c r="P61"/>
  <c r="Y61" s="1"/>
  <c r="P59"/>
  <c r="Y59" s="1"/>
  <c r="P67"/>
  <c r="Y67" s="1"/>
  <c r="P69"/>
  <c r="Y69" s="1"/>
  <c r="P71"/>
  <c r="Y71" s="1"/>
  <c r="P160"/>
  <c r="P162"/>
  <c r="P164"/>
  <c r="P166"/>
  <c r="P168"/>
  <c r="P170"/>
  <c r="P172"/>
  <c r="P174"/>
  <c r="P176"/>
  <c r="P178"/>
  <c r="P180"/>
  <c r="P182"/>
  <c r="P184"/>
  <c r="P186"/>
  <c r="P188"/>
  <c r="P190"/>
  <c r="P192"/>
  <c r="P194"/>
  <c r="P196"/>
  <c r="P202"/>
  <c r="P199"/>
  <c r="P203"/>
  <c r="P205"/>
  <c r="P207"/>
  <c r="P206"/>
  <c r="P210"/>
  <c r="P212"/>
  <c r="P214"/>
  <c r="P222"/>
  <c r="Y222" s="1"/>
  <c r="P225"/>
  <c r="Y225" s="1"/>
  <c r="P227"/>
  <c r="Y227" s="1"/>
  <c r="P229"/>
  <c r="Y229" s="1"/>
  <c r="P232"/>
  <c r="Y232" s="1"/>
  <c r="P235"/>
  <c r="Y235" s="1"/>
  <c r="P237"/>
  <c r="Y237" s="1"/>
  <c r="P239"/>
  <c r="Y239" s="1"/>
  <c r="P241"/>
  <c r="Y241" s="1"/>
  <c r="P243"/>
  <c r="Y243" s="1"/>
  <c r="P245"/>
  <c r="Y245" s="1"/>
  <c r="P247"/>
  <c r="Y247" s="1"/>
  <c r="P249"/>
  <c r="Y249" s="1"/>
  <c r="P251"/>
  <c r="Y251" s="1"/>
  <c r="P253"/>
  <c r="Y253" s="1"/>
  <c r="P256"/>
  <c r="Y256" s="1"/>
  <c r="P258"/>
  <c r="Y258" s="1"/>
  <c r="P261"/>
  <c r="Y261" s="1"/>
  <c r="P263"/>
  <c r="Y263" s="1"/>
  <c r="P265"/>
  <c r="Y265" s="1"/>
  <c r="P267"/>
  <c r="Y267" s="1"/>
  <c r="O9"/>
  <c r="O10"/>
  <c r="O12"/>
  <c r="O14"/>
  <c r="O16"/>
  <c r="O18"/>
  <c r="O20"/>
  <c r="O22"/>
  <c r="O97"/>
  <c r="X97" s="1"/>
  <c r="O99"/>
  <c r="X99" s="1"/>
  <c r="O101"/>
  <c r="X101" s="1"/>
  <c r="O103"/>
  <c r="X103" s="1"/>
  <c r="O105"/>
  <c r="X105" s="1"/>
  <c r="O107"/>
  <c r="X107" s="1"/>
  <c r="O110"/>
  <c r="X110" s="1"/>
  <c r="O112"/>
  <c r="X112" s="1"/>
  <c r="O114"/>
  <c r="X114" s="1"/>
  <c r="O117"/>
  <c r="X117" s="1"/>
  <c r="O119"/>
  <c r="X119" s="1"/>
  <c r="O121"/>
  <c r="X121" s="1"/>
  <c r="O123"/>
  <c r="X123" s="1"/>
  <c r="O128"/>
  <c r="X128" s="1"/>
  <c r="O127"/>
  <c r="X127" s="1"/>
  <c r="O125"/>
  <c r="X125" s="1"/>
  <c r="O134"/>
  <c r="X134" s="1"/>
  <c r="O136"/>
  <c r="X136" s="1"/>
  <c r="O138"/>
  <c r="X138" s="1"/>
  <c r="O30"/>
  <c r="O32"/>
  <c r="X32" s="1"/>
  <c r="O34"/>
  <c r="X34" s="1"/>
  <c r="O36"/>
  <c r="X36" s="1"/>
  <c r="O39"/>
  <c r="X39" s="1"/>
  <c r="O41"/>
  <c r="X41" s="1"/>
  <c r="O43"/>
  <c r="X43" s="1"/>
  <c r="O45"/>
  <c r="X45" s="1"/>
  <c r="O47"/>
  <c r="X47" s="1"/>
  <c r="O49"/>
  <c r="X49" s="1"/>
  <c r="O51"/>
  <c r="X51" s="1"/>
  <c r="O53"/>
  <c r="X53" s="1"/>
  <c r="O55"/>
  <c r="X55" s="1"/>
  <c r="O57"/>
  <c r="X57" s="1"/>
  <c r="O62"/>
  <c r="X62" s="1"/>
  <c r="O61"/>
  <c r="X61" s="1"/>
  <c r="O59"/>
  <c r="X59" s="1"/>
  <c r="O67"/>
  <c r="X67" s="1"/>
  <c r="O69"/>
  <c r="X69" s="1"/>
  <c r="O71"/>
  <c r="X71" s="1"/>
  <c r="O160"/>
  <c r="O162"/>
  <c r="O164"/>
  <c r="O166"/>
  <c r="O168"/>
  <c r="O170"/>
  <c r="O172"/>
  <c r="O174"/>
  <c r="O176"/>
  <c r="O178"/>
  <c r="O180"/>
  <c r="O182"/>
  <c r="O184"/>
  <c r="O186"/>
  <c r="O188"/>
  <c r="O190"/>
  <c r="O192"/>
  <c r="O194"/>
  <c r="O196"/>
  <c r="O202"/>
  <c r="O199"/>
  <c r="O203"/>
  <c r="O205"/>
  <c r="O207"/>
  <c r="O206"/>
  <c r="O210"/>
  <c r="O212"/>
  <c r="O214"/>
  <c r="O222"/>
  <c r="X222" s="1"/>
  <c r="O225"/>
  <c r="X225" s="1"/>
  <c r="O227"/>
  <c r="X227" s="1"/>
  <c r="O229"/>
  <c r="X229" s="1"/>
  <c r="O232"/>
  <c r="X232" s="1"/>
  <c r="O235"/>
  <c r="X235" s="1"/>
  <c r="O237"/>
  <c r="X237" s="1"/>
  <c r="O239"/>
  <c r="X239" s="1"/>
  <c r="O241"/>
  <c r="X241" s="1"/>
  <c r="O243"/>
  <c r="X243" s="1"/>
  <c r="O245"/>
  <c r="X245" s="1"/>
  <c r="O247"/>
  <c r="X247" s="1"/>
  <c r="O249"/>
  <c r="X249" s="1"/>
  <c r="O251"/>
  <c r="X251" s="1"/>
  <c r="O253"/>
  <c r="X253" s="1"/>
  <c r="O256"/>
  <c r="X256" s="1"/>
  <c r="O258"/>
  <c r="X258" s="1"/>
  <c r="O261"/>
  <c r="X261" s="1"/>
  <c r="O263"/>
  <c r="X263" s="1"/>
  <c r="O265"/>
  <c r="X265" s="1"/>
  <c r="O267"/>
  <c r="X267" s="1"/>
  <c r="P11"/>
  <c r="P13"/>
  <c r="P15"/>
  <c r="P17"/>
  <c r="P19"/>
  <c r="P21"/>
  <c r="P23"/>
  <c r="P95"/>
  <c r="Y95" s="1"/>
  <c r="P98"/>
  <c r="Y98" s="1"/>
  <c r="P100"/>
  <c r="Y100" s="1"/>
  <c r="P102"/>
  <c r="Y102" s="1"/>
  <c r="P104"/>
  <c r="Y104" s="1"/>
  <c r="P106"/>
  <c r="Y106" s="1"/>
  <c r="P109"/>
  <c r="Y109" s="1"/>
  <c r="P111"/>
  <c r="Y111" s="1"/>
  <c r="P113"/>
  <c r="Y113" s="1"/>
  <c r="P116"/>
  <c r="Y116" s="1"/>
  <c r="P118"/>
  <c r="Y118" s="1"/>
  <c r="P120"/>
  <c r="Y120" s="1"/>
  <c r="P124"/>
  <c r="Y124" s="1"/>
  <c r="P122"/>
  <c r="Y122" s="1"/>
  <c r="P129"/>
  <c r="Y129" s="1"/>
  <c r="P130"/>
  <c r="Y130" s="1"/>
  <c r="P132"/>
  <c r="Y132" s="1"/>
  <c r="P135"/>
  <c r="Y135" s="1"/>
  <c r="P137"/>
  <c r="Y137" s="1"/>
  <c r="P139"/>
  <c r="Y139" s="1"/>
  <c r="P31"/>
  <c r="Y31" s="1"/>
  <c r="P33"/>
  <c r="Y33" s="1"/>
  <c r="P35"/>
  <c r="Y35" s="1"/>
  <c r="P37"/>
  <c r="Y37" s="1"/>
  <c r="P40"/>
  <c r="Y40" s="1"/>
  <c r="P42"/>
  <c r="Y42" s="1"/>
  <c r="P44"/>
  <c r="Y44" s="1"/>
  <c r="P46"/>
  <c r="Y46" s="1"/>
  <c r="P48"/>
  <c r="Y48" s="1"/>
  <c r="P50"/>
  <c r="Y50" s="1"/>
  <c r="P52"/>
  <c r="Y52" s="1"/>
  <c r="P54"/>
  <c r="Y54" s="1"/>
  <c r="P58"/>
  <c r="Y58" s="1"/>
  <c r="P56"/>
  <c r="Y56" s="1"/>
  <c r="P63"/>
  <c r="Y63" s="1"/>
  <c r="P64"/>
  <c r="Y64" s="1"/>
  <c r="P66"/>
  <c r="Y66" s="1"/>
  <c r="P68"/>
  <c r="Y68" s="1"/>
  <c r="P70"/>
  <c r="Y70" s="1"/>
  <c r="P72"/>
  <c r="Y72" s="1"/>
  <c r="P161"/>
  <c r="P163"/>
  <c r="P165"/>
  <c r="P167"/>
  <c r="P169"/>
  <c r="P171"/>
  <c r="P173"/>
  <c r="P175"/>
  <c r="P177"/>
  <c r="P179"/>
  <c r="P181"/>
  <c r="P183"/>
  <c r="P185"/>
  <c r="P187"/>
  <c r="P189"/>
  <c r="P191"/>
  <c r="P193"/>
  <c r="P195"/>
  <c r="P197"/>
  <c r="P200"/>
  <c r="P198"/>
  <c r="P204"/>
  <c r="P201"/>
  <c r="P208"/>
  <c r="P209"/>
  <c r="P211"/>
  <c r="P213"/>
  <c r="P215"/>
  <c r="P223"/>
  <c r="Y223" s="1"/>
  <c r="P226"/>
  <c r="Y226" s="1"/>
  <c r="P228"/>
  <c r="Y228" s="1"/>
  <c r="P231"/>
  <c r="Y231" s="1"/>
  <c r="P234"/>
  <c r="Y234" s="1"/>
  <c r="P236"/>
  <c r="Y236" s="1"/>
  <c r="P238"/>
  <c r="Y238" s="1"/>
  <c r="P240"/>
  <c r="Y240" s="1"/>
  <c r="P242"/>
  <c r="Y242" s="1"/>
  <c r="P244"/>
  <c r="Y244" s="1"/>
  <c r="P246"/>
  <c r="Y246" s="1"/>
  <c r="P248"/>
  <c r="Y248" s="1"/>
  <c r="P250"/>
  <c r="Y250" s="1"/>
  <c r="P252"/>
  <c r="Y252" s="1"/>
  <c r="P255"/>
  <c r="Y255" s="1"/>
  <c r="P257"/>
  <c r="Y257" s="1"/>
  <c r="P260"/>
  <c r="Y260" s="1"/>
  <c r="P262"/>
  <c r="Y262" s="1"/>
  <c r="P264"/>
  <c r="Y264" s="1"/>
  <c r="P266"/>
  <c r="Y266" s="1"/>
  <c r="O11"/>
  <c r="O13"/>
  <c r="O15"/>
  <c r="O17"/>
  <c r="O19"/>
  <c r="O21"/>
  <c r="F10" i="62" l="1"/>
  <c r="F8"/>
  <c r="J9" i="32" l="1"/>
  <c r="M13" i="5" l="1"/>
  <c r="M17"/>
  <c r="M21"/>
  <c r="M160"/>
  <c r="M164"/>
  <c r="M168"/>
  <c r="M172"/>
  <c r="M176"/>
  <c r="M180"/>
  <c r="M184"/>
  <c r="M188"/>
  <c r="M192"/>
  <c r="M196"/>
  <c r="M199"/>
  <c r="M204"/>
  <c r="M205"/>
  <c r="M212"/>
  <c r="M9"/>
  <c r="M12"/>
  <c r="M16"/>
  <c r="M20"/>
  <c r="M163"/>
  <c r="M167"/>
  <c r="M171"/>
  <c r="M175"/>
  <c r="M179"/>
  <c r="M183"/>
  <c r="M187"/>
  <c r="M191"/>
  <c r="M195"/>
  <c r="M200"/>
  <c r="M203"/>
  <c r="M206"/>
  <c r="M211"/>
  <c r="M215"/>
  <c r="M11"/>
  <c r="M15"/>
  <c r="M19"/>
  <c r="M23"/>
  <c r="M162"/>
  <c r="M166"/>
  <c r="M170"/>
  <c r="M174"/>
  <c r="M178"/>
  <c r="M182"/>
  <c r="M186"/>
  <c r="M190"/>
  <c r="M194"/>
  <c r="M197"/>
  <c r="M201"/>
  <c r="M208"/>
  <c r="M210"/>
  <c r="M214"/>
  <c r="M10"/>
  <c r="M14"/>
  <c r="M18"/>
  <c r="M22"/>
  <c r="M30"/>
  <c r="M161"/>
  <c r="M165"/>
  <c r="M169"/>
  <c r="M173"/>
  <c r="M177"/>
  <c r="M181"/>
  <c r="M185"/>
  <c r="M189"/>
  <c r="M193"/>
  <c r="M202"/>
  <c r="M198"/>
  <c r="M207"/>
  <c r="M209"/>
  <c r="M213"/>
  <c r="X50" i="63"/>
  <c r="S50"/>
  <c r="O50"/>
  <c r="K50"/>
  <c r="N30" i="5" l="1"/>
  <c r="Y30"/>
  <c r="K10" i="61"/>
  <c r="V10" i="63" l="1"/>
  <c r="V9"/>
  <c r="M10"/>
  <c r="M9"/>
  <c r="I10"/>
  <c r="I9"/>
  <c r="E10"/>
  <c r="E9"/>
  <c r="L215" i="5"/>
  <c r="L23"/>
  <c r="L22"/>
  <c r="L214"/>
  <c r="L58" i="61" l="1"/>
  <c r="AU61" s="1"/>
  <c r="K5" i="62"/>
  <c r="F5"/>
  <c r="V8" i="63" l="1"/>
  <c r="M8"/>
  <c r="I8"/>
  <c r="E8"/>
  <c r="I56" l="1"/>
  <c r="I54"/>
  <c r="I55"/>
  <c r="V56"/>
  <c r="V54"/>
  <c r="V55"/>
  <c r="E55"/>
  <c r="E56"/>
  <c r="E54"/>
  <c r="I14"/>
  <c r="I48"/>
  <c r="I44"/>
  <c r="I40"/>
  <c r="I36"/>
  <c r="I32"/>
  <c r="I28"/>
  <c r="I24"/>
  <c r="I49"/>
  <c r="I45"/>
  <c r="I41"/>
  <c r="I37"/>
  <c r="I33"/>
  <c r="I29"/>
  <c r="I25"/>
  <c r="I15"/>
  <c r="I53"/>
  <c r="I46"/>
  <c r="I38"/>
  <c r="I30"/>
  <c r="I26"/>
  <c r="I16"/>
  <c r="I47"/>
  <c r="I43"/>
  <c r="I39"/>
  <c r="I35"/>
  <c r="I31"/>
  <c r="E41"/>
  <c r="E49"/>
  <c r="E45"/>
  <c r="E40"/>
  <c r="E36"/>
  <c r="E32"/>
  <c r="E28"/>
  <c r="E24"/>
  <c r="E53"/>
  <c r="E46"/>
  <c r="E37"/>
  <c r="E33"/>
  <c r="E29"/>
  <c r="E25"/>
  <c r="E47"/>
  <c r="E43"/>
  <c r="E38"/>
  <c r="E30"/>
  <c r="E26"/>
  <c r="E16"/>
  <c r="E48"/>
  <c r="E44"/>
  <c r="E39"/>
  <c r="E35"/>
  <c r="E31"/>
  <c r="E15"/>
  <c r="V14"/>
  <c r="V49"/>
  <c r="V45"/>
  <c r="V41"/>
  <c r="V37"/>
  <c r="V33"/>
  <c r="V29"/>
  <c r="V25"/>
  <c r="V15"/>
  <c r="V53"/>
  <c r="V46"/>
  <c r="V38"/>
  <c r="V30"/>
  <c r="V26"/>
  <c r="V16"/>
  <c r="V47"/>
  <c r="V43"/>
  <c r="V39"/>
  <c r="V35"/>
  <c r="V31"/>
  <c r="V48"/>
  <c r="V44"/>
  <c r="V40"/>
  <c r="V36"/>
  <c r="V32"/>
  <c r="V28"/>
  <c r="V24"/>
  <c r="M14" i="62"/>
  <c r="E14" i="63"/>
  <c r="W9"/>
  <c r="X9" s="1"/>
  <c r="W8"/>
  <c r="N9"/>
  <c r="O9" s="1"/>
  <c r="N8"/>
  <c r="I57" l="1"/>
  <c r="V57"/>
  <c r="E57"/>
  <c r="M56"/>
  <c r="M14"/>
  <c r="W32"/>
  <c r="X32" s="1"/>
  <c r="X8"/>
  <c r="I18"/>
  <c r="M48"/>
  <c r="M44"/>
  <c r="M40"/>
  <c r="M36"/>
  <c r="M32"/>
  <c r="M28"/>
  <c r="M24"/>
  <c r="M49"/>
  <c r="M45"/>
  <c r="M41"/>
  <c r="M37"/>
  <c r="M33"/>
  <c r="M29"/>
  <c r="M25"/>
  <c r="M15"/>
  <c r="O8"/>
  <c r="M53"/>
  <c r="M46"/>
  <c r="M38"/>
  <c r="M30"/>
  <c r="M26"/>
  <c r="M16"/>
  <c r="M47"/>
  <c r="M43"/>
  <c r="M39"/>
  <c r="M35"/>
  <c r="M31"/>
  <c r="L211" i="5"/>
  <c r="L210"/>
  <c r="J9" i="63"/>
  <c r="K9" s="1"/>
  <c r="J8"/>
  <c r="K8" s="1"/>
  <c r="V42"/>
  <c r="V34"/>
  <c r="V27"/>
  <c r="V23"/>
  <c r="R18" i="61" l="1"/>
  <c r="R42"/>
  <c r="M42" i="63" s="1"/>
  <c r="L42" i="61"/>
  <c r="I42" i="63" s="1"/>
  <c r="R34" i="61"/>
  <c r="M34" i="63" s="1"/>
  <c r="L213" i="5"/>
  <c r="L207"/>
  <c r="P220" l="1"/>
  <c r="L220"/>
  <c r="R220"/>
  <c r="O220"/>
  <c r="M220"/>
  <c r="S220"/>
  <c r="A54" i="64"/>
  <c r="S9" i="61" l="1"/>
  <c r="D9" i="69" s="1"/>
  <c r="N10" i="61"/>
  <c r="L212" i="5"/>
  <c r="L209"/>
  <c r="L205"/>
  <c r="L206"/>
  <c r="L208"/>
  <c r="L204"/>
  <c r="L203"/>
  <c r="L201"/>
  <c r="L198"/>
  <c r="L199"/>
  <c r="L200"/>
  <c r="L197"/>
  <c r="L202"/>
  <c r="L32" i="62"/>
  <c r="L26"/>
  <c r="L24"/>
  <c r="L18"/>
  <c r="L10"/>
  <c r="L8"/>
  <c r="F18"/>
  <c r="A88" i="64"/>
  <c r="A87"/>
  <c r="A86"/>
  <c r="A85"/>
  <c r="A84"/>
  <c r="A83"/>
  <c r="A82"/>
  <c r="A81"/>
  <c r="A79"/>
  <c r="A78"/>
  <c r="A77"/>
  <c r="A76"/>
  <c r="A73"/>
  <c r="A72"/>
  <c r="A71"/>
  <c r="A70"/>
  <c r="A68"/>
  <c r="A67"/>
  <c r="A66"/>
  <c r="A65"/>
  <c r="A64"/>
  <c r="A63"/>
  <c r="A62"/>
  <c r="A61"/>
  <c r="A60"/>
  <c r="A59"/>
  <c r="A58"/>
  <c r="A57"/>
  <c r="A56"/>
  <c r="A53"/>
  <c r="A52"/>
  <c r="A51"/>
  <c r="A50"/>
  <c r="A49"/>
  <c r="A48"/>
  <c r="A47"/>
  <c r="A46"/>
  <c r="A45"/>
  <c r="A44"/>
  <c r="A43"/>
  <c r="A42"/>
  <c r="A41"/>
  <c r="A40"/>
  <c r="A39"/>
  <c r="A38"/>
  <c r="A37"/>
  <c r="A35"/>
  <c r="A33"/>
  <c r="A32"/>
  <c r="A31"/>
  <c r="A30"/>
  <c r="A29"/>
  <c r="A28"/>
  <c r="A27"/>
  <c r="A26"/>
  <c r="A25"/>
  <c r="A24"/>
  <c r="A23"/>
  <c r="A55"/>
  <c r="A22"/>
  <c r="A21"/>
  <c r="A19"/>
  <c r="A18"/>
  <c r="A17"/>
  <c r="A16"/>
  <c r="A15"/>
  <c r="A14"/>
  <c r="A12"/>
  <c r="A11"/>
  <c r="A10"/>
  <c r="A9"/>
  <c r="A8"/>
  <c r="A7"/>
  <c r="A6"/>
  <c r="A5"/>
  <c r="G78" i="5" l="1"/>
  <c r="A78"/>
  <c r="G115"/>
  <c r="A115"/>
  <c r="G224"/>
  <c r="G96"/>
  <c r="A283"/>
  <c r="G233"/>
  <c r="A233"/>
  <c r="G38"/>
  <c r="G284"/>
  <c r="A38"/>
  <c r="A284"/>
  <c r="G108"/>
  <c r="A108"/>
  <c r="G283"/>
  <c r="A281"/>
  <c r="A279"/>
  <c r="G281"/>
  <c r="G279"/>
  <c r="A280"/>
  <c r="A88"/>
  <c r="G280"/>
  <c r="G88"/>
  <c r="G278"/>
  <c r="A278"/>
  <c r="A87"/>
  <c r="G87"/>
  <c r="G151"/>
  <c r="A151"/>
  <c r="A150"/>
  <c r="G150"/>
  <c r="G277"/>
  <c r="A277"/>
  <c r="G152"/>
  <c r="A152"/>
  <c r="A230"/>
  <c r="A133"/>
  <c r="G230"/>
  <c r="G133"/>
  <c r="E10" i="70"/>
  <c r="K10" s="1"/>
  <c r="L10" s="1"/>
  <c r="T10" i="61"/>
  <c r="E10" i="69" s="1"/>
  <c r="A126" i="5"/>
  <c r="G259"/>
  <c r="A259"/>
  <c r="A60"/>
  <c r="G60"/>
  <c r="G126"/>
  <c r="G276"/>
  <c r="G149"/>
  <c r="G86"/>
  <c r="A276"/>
  <c r="A149"/>
  <c r="G85"/>
  <c r="G275"/>
  <c r="G148"/>
  <c r="A86"/>
  <c r="A85"/>
  <c r="A275"/>
  <c r="A148"/>
  <c r="G254"/>
  <c r="A254"/>
  <c r="A272"/>
  <c r="G274"/>
  <c r="A145"/>
  <c r="G142"/>
  <c r="G79"/>
  <c r="A65"/>
  <c r="A271"/>
  <c r="G271"/>
  <c r="A144"/>
  <c r="G147"/>
  <c r="G140"/>
  <c r="G77"/>
  <c r="A270"/>
  <c r="A143"/>
  <c r="G144"/>
  <c r="G65"/>
  <c r="G76"/>
  <c r="A269"/>
  <c r="G273"/>
  <c r="A142"/>
  <c r="G141"/>
  <c r="G84"/>
  <c r="G75"/>
  <c r="G270"/>
  <c r="A141"/>
  <c r="G146"/>
  <c r="G83"/>
  <c r="G74"/>
  <c r="A268"/>
  <c r="G268"/>
  <c r="G143"/>
  <c r="G82"/>
  <c r="G131"/>
  <c r="A274"/>
  <c r="G272"/>
  <c r="A147"/>
  <c r="A140"/>
  <c r="G81"/>
  <c r="G73"/>
  <c r="A131"/>
  <c r="A273"/>
  <c r="G269"/>
  <c r="A146"/>
  <c r="G145"/>
  <c r="G80"/>
  <c r="A82"/>
  <c r="A77"/>
  <c r="A83"/>
  <c r="A79"/>
  <c r="A74"/>
  <c r="A84"/>
  <c r="A80"/>
  <c r="A75"/>
  <c r="A81"/>
  <c r="A76"/>
  <c r="A73"/>
  <c r="Q10" i="61"/>
  <c r="AV10"/>
  <c r="AW10" s="1"/>
  <c r="A64" i="5"/>
  <c r="G130"/>
  <c r="G64"/>
  <c r="A130"/>
  <c r="L33" i="62"/>
  <c r="G215" i="5"/>
  <c r="G23"/>
  <c r="G22"/>
  <c r="E1370" i="65" s="1"/>
  <c r="A215" i="5"/>
  <c r="A23"/>
  <c r="A22"/>
  <c r="G214"/>
  <c r="A214"/>
  <c r="L19" i="62"/>
  <c r="G17" i="5"/>
  <c r="G138"/>
  <c r="G128"/>
  <c r="G119"/>
  <c r="G110"/>
  <c r="G101"/>
  <c r="G71"/>
  <c r="G62"/>
  <c r="F160" i="66" s="1"/>
  <c r="G53" i="5"/>
  <c r="G47"/>
  <c r="G39"/>
  <c r="G30"/>
  <c r="F16" i="74" s="1"/>
  <c r="G207" i="5"/>
  <c r="G202"/>
  <c r="G189"/>
  <c r="G181"/>
  <c r="G174"/>
  <c r="G166"/>
  <c r="G246"/>
  <c r="G240"/>
  <c r="G231"/>
  <c r="G222"/>
  <c r="G261"/>
  <c r="G249"/>
  <c r="G16"/>
  <c r="G137"/>
  <c r="G125"/>
  <c r="G118"/>
  <c r="G109"/>
  <c r="G100"/>
  <c r="G70"/>
  <c r="F538" i="74" s="1"/>
  <c r="G59" i="5"/>
  <c r="G52"/>
  <c r="G46"/>
  <c r="G37"/>
  <c r="G212"/>
  <c r="G204"/>
  <c r="G196"/>
  <c r="G188"/>
  <c r="G180"/>
  <c r="G173"/>
  <c r="G165"/>
  <c r="G245"/>
  <c r="G239"/>
  <c r="G229"/>
  <c r="G267"/>
  <c r="G260"/>
  <c r="G250"/>
  <c r="A267"/>
  <c r="G15"/>
  <c r="F1101" i="74" s="1"/>
  <c r="G9" i="5"/>
  <c r="G136"/>
  <c r="G122"/>
  <c r="G117"/>
  <c r="G107"/>
  <c r="G99"/>
  <c r="G69"/>
  <c r="G56"/>
  <c r="G51"/>
  <c r="F1098" i="74" s="1"/>
  <c r="G45" i="5"/>
  <c r="F401" i="66" s="1"/>
  <c r="G36" i="5"/>
  <c r="G211"/>
  <c r="G203"/>
  <c r="G195"/>
  <c r="G187"/>
  <c r="G179"/>
  <c r="G172"/>
  <c r="G164"/>
  <c r="G238"/>
  <c r="G228"/>
  <c r="G266"/>
  <c r="G256"/>
  <c r="G14"/>
  <c r="G135"/>
  <c r="G123"/>
  <c r="G116"/>
  <c r="G106"/>
  <c r="G98"/>
  <c r="G68"/>
  <c r="G57"/>
  <c r="G44"/>
  <c r="G35"/>
  <c r="G210"/>
  <c r="G201"/>
  <c r="G194"/>
  <c r="G186"/>
  <c r="G178"/>
  <c r="G171"/>
  <c r="G163"/>
  <c r="G244"/>
  <c r="G237"/>
  <c r="G227"/>
  <c r="G265"/>
  <c r="G255"/>
  <c r="G248"/>
  <c r="G21"/>
  <c r="G13"/>
  <c r="G134"/>
  <c r="G124"/>
  <c r="G114"/>
  <c r="G105"/>
  <c r="G97"/>
  <c r="G67"/>
  <c r="G58"/>
  <c r="G50"/>
  <c r="G43"/>
  <c r="G34"/>
  <c r="E53" i="65" s="1"/>
  <c r="G209" i="5"/>
  <c r="G198"/>
  <c r="G193"/>
  <c r="G185"/>
  <c r="G170"/>
  <c r="G162"/>
  <c r="G243"/>
  <c r="G236"/>
  <c r="G226"/>
  <c r="G264"/>
  <c r="G258"/>
  <c r="G20"/>
  <c r="G12"/>
  <c r="F1010" i="74" s="1"/>
  <c r="G8" i="5"/>
  <c r="F1003" i="74" s="1"/>
  <c r="G121" i="5"/>
  <c r="G113"/>
  <c r="G104"/>
  <c r="G95"/>
  <c r="G55"/>
  <c r="G49"/>
  <c r="G42"/>
  <c r="F95" i="66" s="1"/>
  <c r="G33" i="5"/>
  <c r="G205"/>
  <c r="G199"/>
  <c r="G192"/>
  <c r="G184"/>
  <c r="G177"/>
  <c r="G169"/>
  <c r="G161"/>
  <c r="G242"/>
  <c r="G235"/>
  <c r="G263"/>
  <c r="G253"/>
  <c r="G19"/>
  <c r="F789" i="74" s="1"/>
  <c r="G11" i="5"/>
  <c r="G127"/>
  <c r="G132"/>
  <c r="G112"/>
  <c r="G103"/>
  <c r="G61"/>
  <c r="G66"/>
  <c r="G54"/>
  <c r="G48"/>
  <c r="G41"/>
  <c r="G32"/>
  <c r="G206"/>
  <c r="E128" i="32" s="1"/>
  <c r="G200" i="5"/>
  <c r="G191"/>
  <c r="G183"/>
  <c r="G176"/>
  <c r="G168"/>
  <c r="G160"/>
  <c r="G213"/>
  <c r="G234"/>
  <c r="G225"/>
  <c r="G257"/>
  <c r="G252"/>
  <c r="A211"/>
  <c r="A265"/>
  <c r="A264"/>
  <c r="G18"/>
  <c r="G10"/>
  <c r="G139"/>
  <c r="G129"/>
  <c r="G120"/>
  <c r="G111"/>
  <c r="G102"/>
  <c r="G72"/>
  <c r="G63"/>
  <c r="G40"/>
  <c r="G31"/>
  <c r="G208"/>
  <c r="G197"/>
  <c r="G190"/>
  <c r="G182"/>
  <c r="G175"/>
  <c r="G167"/>
  <c r="G247"/>
  <c r="G241"/>
  <c r="G232"/>
  <c r="G223"/>
  <c r="G262"/>
  <c r="G251"/>
  <c r="A210"/>
  <c r="A247"/>
  <c r="A260"/>
  <c r="A250"/>
  <c r="A238"/>
  <c r="A228"/>
  <c r="A241"/>
  <c r="A207"/>
  <c r="A261"/>
  <c r="A262"/>
  <c r="A251"/>
  <c r="A246"/>
  <c r="A240"/>
  <c r="A231"/>
  <c r="A222"/>
  <c r="A257"/>
  <c r="A252"/>
  <c r="A263"/>
  <c r="A253"/>
  <c r="A213"/>
  <c r="A234"/>
  <c r="A225"/>
  <c r="A244"/>
  <c r="A237"/>
  <c r="A249"/>
  <c r="A239"/>
  <c r="A232"/>
  <c r="A266"/>
  <c r="A258"/>
  <c r="A242"/>
  <c r="A235"/>
  <c r="A227"/>
  <c r="A255"/>
  <c r="A248"/>
  <c r="A243"/>
  <c r="A236"/>
  <c r="A226"/>
  <c r="A256"/>
  <c r="A245"/>
  <c r="A229"/>
  <c r="A223"/>
  <c r="D10" i="70"/>
  <c r="J10" i="63"/>
  <c r="K10" s="1"/>
  <c r="S33" i="61"/>
  <c r="D33" i="69" s="1"/>
  <c r="S15" i="61"/>
  <c r="D15" i="69" s="1"/>
  <c r="S35" i="61"/>
  <c r="D35" i="69" s="1"/>
  <c r="S16" i="61"/>
  <c r="D16" i="69" s="1"/>
  <c r="S36" i="61"/>
  <c r="D36" i="69" s="1"/>
  <c r="S32" i="61"/>
  <c r="D32" i="69" s="1"/>
  <c r="S37" i="61"/>
  <c r="D37" i="69" s="1"/>
  <c r="S14" i="61"/>
  <c r="D14" i="69" s="1"/>
  <c r="D37" i="70"/>
  <c r="D33"/>
  <c r="D35"/>
  <c r="D36"/>
  <c r="D15"/>
  <c r="D16"/>
  <c r="D14"/>
  <c r="A71" i="5"/>
  <c r="A205"/>
  <c r="A128"/>
  <c r="A138"/>
  <c r="A62"/>
  <c r="A167"/>
  <c r="A175"/>
  <c r="A182"/>
  <c r="A190"/>
  <c r="A197"/>
  <c r="A206"/>
  <c r="A129"/>
  <c r="A139"/>
  <c r="A63"/>
  <c r="A72"/>
  <c r="A160"/>
  <c r="A168"/>
  <c r="A176"/>
  <c r="A183"/>
  <c r="A191"/>
  <c r="A200"/>
  <c r="A132"/>
  <c r="A127"/>
  <c r="A66"/>
  <c r="A61"/>
  <c r="A161"/>
  <c r="A169"/>
  <c r="A177"/>
  <c r="A184"/>
  <c r="A192"/>
  <c r="A199"/>
  <c r="A209"/>
  <c r="A121"/>
  <c r="A55"/>
  <c r="A162"/>
  <c r="A170"/>
  <c r="A185"/>
  <c r="A193"/>
  <c r="A198"/>
  <c r="A212"/>
  <c r="A124"/>
  <c r="A134"/>
  <c r="A58"/>
  <c r="A67"/>
  <c r="A163"/>
  <c r="A171"/>
  <c r="A178"/>
  <c r="A186"/>
  <c r="A194"/>
  <c r="A201"/>
  <c r="A123"/>
  <c r="A135"/>
  <c r="A57"/>
  <c r="A68"/>
  <c r="A164"/>
  <c r="A172"/>
  <c r="A179"/>
  <c r="A187"/>
  <c r="A195"/>
  <c r="A203"/>
  <c r="A122"/>
  <c r="A136"/>
  <c r="A56"/>
  <c r="A69"/>
  <c r="A165"/>
  <c r="A173"/>
  <c r="A180"/>
  <c r="A188"/>
  <c r="A196"/>
  <c r="A204"/>
  <c r="A125"/>
  <c r="A137"/>
  <c r="A59"/>
  <c r="A70"/>
  <c r="A166"/>
  <c r="A174"/>
  <c r="A181"/>
  <c r="A189"/>
  <c r="A202"/>
  <c r="A208"/>
  <c r="A10"/>
  <c r="A14"/>
  <c r="A18"/>
  <c r="A95"/>
  <c r="A100"/>
  <c r="A104"/>
  <c r="A109"/>
  <c r="A113"/>
  <c r="A118"/>
  <c r="A30"/>
  <c r="A34"/>
  <c r="A39"/>
  <c r="A43"/>
  <c r="A47"/>
  <c r="A50"/>
  <c r="A53"/>
  <c r="A13"/>
  <c r="A17"/>
  <c r="A21"/>
  <c r="A99"/>
  <c r="A103"/>
  <c r="A107"/>
  <c r="A112"/>
  <c r="A117"/>
  <c r="A33"/>
  <c r="A37"/>
  <c r="A42"/>
  <c r="A46"/>
  <c r="A49"/>
  <c r="A52"/>
  <c r="A8"/>
  <c r="A12"/>
  <c r="A16"/>
  <c r="A20"/>
  <c r="A98"/>
  <c r="A102"/>
  <c r="A106"/>
  <c r="A111"/>
  <c r="A116"/>
  <c r="A120"/>
  <c r="A32"/>
  <c r="A36"/>
  <c r="A41"/>
  <c r="A45"/>
  <c r="A48"/>
  <c r="A51"/>
  <c r="A54"/>
  <c r="A9"/>
  <c r="A11"/>
  <c r="A15"/>
  <c r="A19"/>
  <c r="A97"/>
  <c r="A101"/>
  <c r="A105"/>
  <c r="A110"/>
  <c r="A114"/>
  <c r="A119"/>
  <c r="A31"/>
  <c r="A35"/>
  <c r="A40"/>
  <c r="A44"/>
  <c r="F58" i="61"/>
  <c r="AQ61" s="1"/>
  <c r="Z10"/>
  <c r="Z9"/>
  <c r="Z8"/>
  <c r="X49"/>
  <c r="X48"/>
  <c r="X47"/>
  <c r="X46"/>
  <c r="X45"/>
  <c r="X44"/>
  <c r="X43"/>
  <c r="X41"/>
  <c r="X40"/>
  <c r="X39"/>
  <c r="X38"/>
  <c r="X37"/>
  <c r="X36"/>
  <c r="X35"/>
  <c r="X33"/>
  <c r="X32"/>
  <c r="X31"/>
  <c r="X30"/>
  <c r="X29"/>
  <c r="X28"/>
  <c r="X26"/>
  <c r="X25"/>
  <c r="X24"/>
  <c r="X16"/>
  <c r="X15"/>
  <c r="X14"/>
  <c r="X10"/>
  <c r="X9"/>
  <c r="X8"/>
  <c r="F10" i="63"/>
  <c r="G10" s="1"/>
  <c r="F9"/>
  <c r="F8"/>
  <c r="V18"/>
  <c r="AR10" i="61"/>
  <c r="AS10" s="1"/>
  <c r="F19" i="62"/>
  <c r="F42" i="61"/>
  <c r="E42" i="63" s="1"/>
  <c r="Q42" s="1"/>
  <c r="L34" i="61"/>
  <c r="I34" i="63" s="1"/>
  <c r="F34" i="61"/>
  <c r="E34" i="63" s="1"/>
  <c r="R27" i="61"/>
  <c r="M27" i="63" s="1"/>
  <c r="L27" i="61"/>
  <c r="I27" i="63" s="1"/>
  <c r="F27" i="61"/>
  <c r="E27" i="63" s="1"/>
  <c r="R23" i="61"/>
  <c r="M23" i="63" s="1"/>
  <c r="L23" i="61"/>
  <c r="I23" i="63" s="1"/>
  <c r="F23" i="61"/>
  <c r="E23" i="63" s="1"/>
  <c r="L18" i="61"/>
  <c r="F18"/>
  <c r="F1102" i="74" l="1"/>
  <c r="F1103"/>
  <c r="F1099"/>
  <c r="F1100"/>
  <c r="F1097"/>
  <c r="F1095"/>
  <c r="F1096"/>
  <c r="F1093"/>
  <c r="F1094"/>
  <c r="F1091"/>
  <c r="F1092"/>
  <c r="F1088"/>
  <c r="F1089"/>
  <c r="F1090"/>
  <c r="F1085"/>
  <c r="F1086"/>
  <c r="F1087"/>
  <c r="F1080"/>
  <c r="F1081"/>
  <c r="F1078"/>
  <c r="F1082"/>
  <c r="F1079"/>
  <c r="F1083"/>
  <c r="F1084"/>
  <c r="F1077"/>
  <c r="F1076"/>
  <c r="F1073"/>
  <c r="F1074"/>
  <c r="F1075"/>
  <c r="F1066"/>
  <c r="F1064"/>
  <c r="F1067"/>
  <c r="F1065"/>
  <c r="F1068"/>
  <c r="F1069"/>
  <c r="F1070"/>
  <c r="F1071"/>
  <c r="F1061"/>
  <c r="F1072"/>
  <c r="F1062"/>
  <c r="F1063"/>
  <c r="F1056"/>
  <c r="F1057"/>
  <c r="F1058"/>
  <c r="F1059"/>
  <c r="F1060"/>
  <c r="F1055"/>
  <c r="F1054"/>
  <c r="F1049"/>
  <c r="F1050"/>
  <c r="F1052"/>
  <c r="F1051"/>
  <c r="F1053"/>
  <c r="F1048"/>
  <c r="F1043"/>
  <c r="F1045"/>
  <c r="F1046"/>
  <c r="F1047"/>
  <c r="F1044"/>
  <c r="F1041"/>
  <c r="F1042"/>
  <c r="F1039"/>
  <c r="F1040"/>
  <c r="F1037"/>
  <c r="F1038"/>
  <c r="F1035"/>
  <c r="F1036"/>
  <c r="F1033"/>
  <c r="F1034"/>
  <c r="F1031"/>
  <c r="F1032"/>
  <c r="F1029"/>
  <c r="F1030"/>
  <c r="F1027"/>
  <c r="F1028"/>
  <c r="F1025"/>
  <c r="F1026"/>
  <c r="F1023"/>
  <c r="F1024"/>
  <c r="F1021"/>
  <c r="F1022"/>
  <c r="F1018"/>
  <c r="F1016"/>
  <c r="F1019"/>
  <c r="F1020"/>
  <c r="F1013"/>
  <c r="F1014"/>
  <c r="F1017"/>
  <c r="F1015"/>
  <c r="F1011"/>
  <c r="F1012"/>
  <c r="F1008"/>
  <c r="F1009"/>
  <c r="F1006"/>
  <c r="F1007"/>
  <c r="F1004"/>
  <c r="F1005"/>
  <c r="F1001"/>
  <c r="F1002"/>
  <c r="F130"/>
  <c r="F132"/>
  <c r="F131"/>
  <c r="F133"/>
  <c r="F134"/>
  <c r="F782"/>
  <c r="F780"/>
  <c r="F781"/>
  <c r="F783"/>
  <c r="F604"/>
  <c r="F581"/>
  <c r="F603"/>
  <c r="F591"/>
  <c r="F572"/>
  <c r="F584"/>
  <c r="F631"/>
  <c r="F628"/>
  <c r="F577"/>
  <c r="F586"/>
  <c r="F625"/>
  <c r="F619"/>
  <c r="F614"/>
  <c r="F610"/>
  <c r="F590"/>
  <c r="F582"/>
  <c r="F573"/>
  <c r="F571"/>
  <c r="F626"/>
  <c r="F620"/>
  <c r="F627"/>
  <c r="F592"/>
  <c r="F585"/>
  <c r="F578"/>
  <c r="F593"/>
  <c r="F597"/>
  <c r="F621"/>
  <c r="F594"/>
  <c r="F622"/>
  <c r="F607"/>
  <c r="F600"/>
  <c r="F598"/>
  <c r="F596"/>
  <c r="F595"/>
  <c r="F587"/>
  <c r="F579"/>
  <c r="F630"/>
  <c r="F618"/>
  <c r="F613"/>
  <c r="F602"/>
  <c r="F616"/>
  <c r="F629"/>
  <c r="F623"/>
  <c r="F617"/>
  <c r="F608"/>
  <c r="F601"/>
  <c r="F588"/>
  <c r="F580"/>
  <c r="F576"/>
  <c r="F569"/>
  <c r="F624"/>
  <c r="F609"/>
  <c r="F606"/>
  <c r="F589"/>
  <c r="F570"/>
  <c r="F615"/>
  <c r="F611"/>
  <c r="F605"/>
  <c r="F583"/>
  <c r="F574"/>
  <c r="F612"/>
  <c r="F599"/>
  <c r="F575"/>
  <c r="F772"/>
  <c r="F773"/>
  <c r="F774"/>
  <c r="F771"/>
  <c r="F770"/>
  <c r="F358"/>
  <c r="F357"/>
  <c r="F364"/>
  <c r="F363"/>
  <c r="F356"/>
  <c r="F360"/>
  <c r="F362"/>
  <c r="F359"/>
  <c r="F354"/>
  <c r="F361"/>
  <c r="F355"/>
  <c r="F353"/>
  <c r="F792"/>
  <c r="F793"/>
  <c r="F38"/>
  <c r="F42"/>
  <c r="F129"/>
  <c r="F87"/>
  <c r="F53"/>
  <c r="F49"/>
  <c r="F104"/>
  <c r="F95"/>
  <c r="F123"/>
  <c r="F119"/>
  <c r="F109"/>
  <c r="F103"/>
  <c r="F80"/>
  <c r="F74"/>
  <c r="F70"/>
  <c r="F66"/>
  <c r="F60"/>
  <c r="F52"/>
  <c r="F47"/>
  <c r="F34"/>
  <c r="F31"/>
  <c r="F23"/>
  <c r="F128"/>
  <c r="F120"/>
  <c r="F116"/>
  <c r="F112"/>
  <c r="F91"/>
  <c r="F75"/>
  <c r="F63"/>
  <c r="F56"/>
  <c r="F39"/>
  <c r="F28"/>
  <c r="F124"/>
  <c r="F67"/>
  <c r="F57"/>
  <c r="F25"/>
  <c r="F54"/>
  <c r="F30"/>
  <c r="F27"/>
  <c r="F37"/>
  <c r="F125"/>
  <c r="F121"/>
  <c r="F117"/>
  <c r="F105"/>
  <c r="F100"/>
  <c r="F98"/>
  <c r="F93"/>
  <c r="F88"/>
  <c r="F83"/>
  <c r="F78"/>
  <c r="F58"/>
  <c r="F43"/>
  <c r="F126"/>
  <c r="F122"/>
  <c r="F118"/>
  <c r="F114"/>
  <c r="F111"/>
  <c r="F101"/>
  <c r="F89"/>
  <c r="F79"/>
  <c r="F76"/>
  <c r="F73"/>
  <c r="F68"/>
  <c r="F62"/>
  <c r="F55"/>
  <c r="F44"/>
  <c r="F41"/>
  <c r="F35"/>
  <c r="F26"/>
  <c r="F90"/>
  <c r="F85"/>
  <c r="F24"/>
  <c r="F110"/>
  <c r="F96"/>
  <c r="F92"/>
  <c r="F64"/>
  <c r="F113"/>
  <c r="F108"/>
  <c r="F97"/>
  <c r="F82"/>
  <c r="F72"/>
  <c r="F50"/>
  <c r="F40"/>
  <c r="F33"/>
  <c r="F106"/>
  <c r="F86"/>
  <c r="F84"/>
  <c r="F77"/>
  <c r="F69"/>
  <c r="F65"/>
  <c r="F46"/>
  <c r="F29"/>
  <c r="F21"/>
  <c r="F127"/>
  <c r="F115"/>
  <c r="F102"/>
  <c r="F99"/>
  <c r="F94"/>
  <c r="F59"/>
  <c r="F51"/>
  <c r="F36"/>
  <c r="F22"/>
  <c r="F48"/>
  <c r="F45"/>
  <c r="F107"/>
  <c r="F81"/>
  <c r="F71"/>
  <c r="F61"/>
  <c r="F32"/>
  <c r="F560"/>
  <c r="F553"/>
  <c r="F568"/>
  <c r="F559"/>
  <c r="F562"/>
  <c r="F564"/>
  <c r="F565"/>
  <c r="F554"/>
  <c r="F563"/>
  <c r="F566"/>
  <c r="F567"/>
  <c r="F556"/>
  <c r="F558"/>
  <c r="F561"/>
  <c r="F555"/>
  <c r="F557"/>
  <c r="F552"/>
  <c r="F139"/>
  <c r="F157"/>
  <c r="F189"/>
  <c r="F146"/>
  <c r="F141"/>
  <c r="F193"/>
  <c r="F187"/>
  <c r="F185"/>
  <c r="F176"/>
  <c r="F172"/>
  <c r="F170"/>
  <c r="F164"/>
  <c r="F156"/>
  <c r="F147"/>
  <c r="F136"/>
  <c r="F188"/>
  <c r="F181"/>
  <c r="F177"/>
  <c r="F175"/>
  <c r="F171"/>
  <c r="F166"/>
  <c r="F165"/>
  <c r="F142"/>
  <c r="F138"/>
  <c r="F190"/>
  <c r="F186"/>
  <c r="F182"/>
  <c r="F167"/>
  <c r="F161"/>
  <c r="F178"/>
  <c r="F173"/>
  <c r="F168"/>
  <c r="F158"/>
  <c r="F145"/>
  <c r="F143"/>
  <c r="F163"/>
  <c r="F159"/>
  <c r="F153"/>
  <c r="F144"/>
  <c r="F151"/>
  <c r="F154"/>
  <c r="F140"/>
  <c r="F160"/>
  <c r="F150"/>
  <c r="F191"/>
  <c r="F183"/>
  <c r="F179"/>
  <c r="F162"/>
  <c r="F155"/>
  <c r="F148"/>
  <c r="F135"/>
  <c r="F192"/>
  <c r="F184"/>
  <c r="F180"/>
  <c r="F174"/>
  <c r="F169"/>
  <c r="F149"/>
  <c r="F152"/>
  <c r="F137"/>
  <c r="F365"/>
  <c r="F366"/>
  <c r="F367"/>
  <c r="F544"/>
  <c r="F545"/>
  <c r="F634"/>
  <c r="F633"/>
  <c r="F632"/>
  <c r="F370"/>
  <c r="F369"/>
  <c r="F368"/>
  <c r="F371"/>
  <c r="F430"/>
  <c r="F427"/>
  <c r="F435"/>
  <c r="F436"/>
  <c r="F437"/>
  <c r="F425"/>
  <c r="F445"/>
  <c r="F443"/>
  <c r="F439"/>
  <c r="F431"/>
  <c r="F446"/>
  <c r="F440"/>
  <c r="F432"/>
  <c r="F428"/>
  <c r="F448"/>
  <c r="F442"/>
  <c r="F438"/>
  <c r="F424"/>
  <c r="F447"/>
  <c r="F444"/>
  <c r="F441"/>
  <c r="F433"/>
  <c r="F429"/>
  <c r="F434"/>
  <c r="F426"/>
  <c r="F535"/>
  <c r="F536"/>
  <c r="F532"/>
  <c r="F537"/>
  <c r="F533"/>
  <c r="F530"/>
  <c r="F528"/>
  <c r="F534"/>
  <c r="F531"/>
  <c r="F529"/>
  <c r="F540"/>
  <c r="F542"/>
  <c r="F543"/>
  <c r="F539"/>
  <c r="F541"/>
  <c r="F326"/>
  <c r="F325"/>
  <c r="F328"/>
  <c r="F319"/>
  <c r="F315"/>
  <c r="F320"/>
  <c r="F321"/>
  <c r="F316"/>
  <c r="F317"/>
  <c r="F323"/>
  <c r="F322"/>
  <c r="F324"/>
  <c r="F327"/>
  <c r="F318"/>
  <c r="F412"/>
  <c r="F407"/>
  <c r="F410"/>
  <c r="F404"/>
  <c r="F400"/>
  <c r="F413"/>
  <c r="F417"/>
  <c r="F415"/>
  <c r="F414"/>
  <c r="F408"/>
  <c r="F401"/>
  <c r="F398"/>
  <c r="F411"/>
  <c r="F405"/>
  <c r="F418"/>
  <c r="F416"/>
  <c r="F409"/>
  <c r="F402"/>
  <c r="F399"/>
  <c r="F403"/>
  <c r="F419"/>
  <c r="F406"/>
  <c r="F197"/>
  <c r="F200"/>
  <c r="F194"/>
  <c r="F210"/>
  <c r="F203"/>
  <c r="F198"/>
  <c r="F212"/>
  <c r="F207"/>
  <c r="F211"/>
  <c r="F209"/>
  <c r="F204"/>
  <c r="F202"/>
  <c r="F213"/>
  <c r="F196"/>
  <c r="F208"/>
  <c r="F205"/>
  <c r="F201"/>
  <c r="F195"/>
  <c r="F206"/>
  <c r="F199"/>
  <c r="F790"/>
  <c r="F791"/>
  <c r="F229"/>
  <c r="F214"/>
  <c r="F225"/>
  <c r="F228"/>
  <c r="F216"/>
  <c r="F223"/>
  <c r="F221"/>
  <c r="F224"/>
  <c r="F231"/>
  <c r="F218"/>
  <c r="F222"/>
  <c r="F217"/>
  <c r="F233"/>
  <c r="F230"/>
  <c r="F226"/>
  <c r="F219"/>
  <c r="F215"/>
  <c r="F232"/>
  <c r="F220"/>
  <c r="F227"/>
  <c r="F306"/>
  <c r="F287"/>
  <c r="F249"/>
  <c r="F312"/>
  <c r="F288"/>
  <c r="F281"/>
  <c r="F272"/>
  <c r="F263"/>
  <c r="F273"/>
  <c r="F258"/>
  <c r="F241"/>
  <c r="F314"/>
  <c r="F295"/>
  <c r="F292"/>
  <c r="F269"/>
  <c r="F262"/>
  <c r="F247"/>
  <c r="F244"/>
  <c r="F311"/>
  <c r="F289"/>
  <c r="F285"/>
  <c r="F280"/>
  <c r="F302"/>
  <c r="F266"/>
  <c r="F254"/>
  <c r="F305"/>
  <c r="F300"/>
  <c r="F293"/>
  <c r="F267"/>
  <c r="F257"/>
  <c r="F275"/>
  <c r="F260"/>
  <c r="F304"/>
  <c r="F297"/>
  <c r="F286"/>
  <c r="F283"/>
  <c r="F277"/>
  <c r="F255"/>
  <c r="F307"/>
  <c r="F291"/>
  <c r="F282"/>
  <c r="F279"/>
  <c r="F276"/>
  <c r="F274"/>
  <c r="F264"/>
  <c r="F261"/>
  <c r="F245"/>
  <c r="F243"/>
  <c r="F284"/>
  <c r="F259"/>
  <c r="F242"/>
  <c r="F251"/>
  <c r="F310"/>
  <c r="F296"/>
  <c r="F270"/>
  <c r="F252"/>
  <c r="F240"/>
  <c r="F313"/>
  <c r="F309"/>
  <c r="F301"/>
  <c r="F299"/>
  <c r="F298"/>
  <c r="F294"/>
  <c r="F278"/>
  <c r="F268"/>
  <c r="F265"/>
  <c r="F256"/>
  <c r="F253"/>
  <c r="F250"/>
  <c r="F303"/>
  <c r="F290"/>
  <c r="F271"/>
  <c r="F246"/>
  <c r="F248"/>
  <c r="F308"/>
  <c r="E187" i="18"/>
  <c r="F236" i="74"/>
  <c r="F235"/>
  <c r="F234"/>
  <c r="F237"/>
  <c r="F797"/>
  <c r="F800"/>
  <c r="F798"/>
  <c r="F799"/>
  <c r="F423"/>
  <c r="F420"/>
  <c r="F422"/>
  <c r="F421"/>
  <c r="F838" i="66"/>
  <c r="F19" i="74"/>
  <c r="F20"/>
  <c r="F18"/>
  <c r="F17"/>
  <c r="F343"/>
  <c r="F335"/>
  <c r="F352"/>
  <c r="F344"/>
  <c r="F336"/>
  <c r="F331"/>
  <c r="F346"/>
  <c r="F345"/>
  <c r="F340"/>
  <c r="F332"/>
  <c r="F347"/>
  <c r="F348"/>
  <c r="F341"/>
  <c r="F333"/>
  <c r="F350"/>
  <c r="F351"/>
  <c r="F337"/>
  <c r="F339"/>
  <c r="F349"/>
  <c r="F342"/>
  <c r="F334"/>
  <c r="F329"/>
  <c r="F330"/>
  <c r="F338"/>
  <c r="F733"/>
  <c r="F734"/>
  <c r="F737"/>
  <c r="F729"/>
  <c r="F724"/>
  <c r="F731"/>
  <c r="F727"/>
  <c r="F728"/>
  <c r="F723"/>
  <c r="F738"/>
  <c r="F739"/>
  <c r="F726"/>
  <c r="F730"/>
  <c r="F735"/>
  <c r="F732"/>
  <c r="F725"/>
  <c r="F736"/>
  <c r="F550"/>
  <c r="F549"/>
  <c r="F551"/>
  <c r="F546"/>
  <c r="F547"/>
  <c r="F548"/>
  <c r="F758"/>
  <c r="F741"/>
  <c r="F753"/>
  <c r="F751"/>
  <c r="F754"/>
  <c r="F745"/>
  <c r="F746"/>
  <c r="F759"/>
  <c r="F755"/>
  <c r="F747"/>
  <c r="F756"/>
  <c r="F750"/>
  <c r="F749"/>
  <c r="F752"/>
  <c r="F744"/>
  <c r="F757"/>
  <c r="F748"/>
  <c r="F742"/>
  <c r="F743"/>
  <c r="F740"/>
  <c r="F451"/>
  <c r="F492"/>
  <c r="F469"/>
  <c r="F461"/>
  <c r="F509"/>
  <c r="F462"/>
  <c r="F510"/>
  <c r="F494"/>
  <c r="F478"/>
  <c r="F527"/>
  <c r="F521"/>
  <c r="F515"/>
  <c r="F507"/>
  <c r="F499"/>
  <c r="F491"/>
  <c r="F483"/>
  <c r="F475"/>
  <c r="F468"/>
  <c r="F466"/>
  <c r="F460"/>
  <c r="F452"/>
  <c r="F449"/>
  <c r="F522"/>
  <c r="F508"/>
  <c r="F503"/>
  <c r="F500"/>
  <c r="F476"/>
  <c r="F453"/>
  <c r="F516"/>
  <c r="F493"/>
  <c r="F454"/>
  <c r="F486"/>
  <c r="F455"/>
  <c r="F463"/>
  <c r="F518"/>
  <c r="F511"/>
  <c r="F496"/>
  <c r="F487"/>
  <c r="F479"/>
  <c r="F471"/>
  <c r="F456"/>
  <c r="F519"/>
  <c r="F512"/>
  <c r="F505"/>
  <c r="F497"/>
  <c r="F488"/>
  <c r="F480"/>
  <c r="F472"/>
  <c r="F457"/>
  <c r="F520"/>
  <c r="F482"/>
  <c r="F450"/>
  <c r="F467"/>
  <c r="F524"/>
  <c r="F504"/>
  <c r="F485"/>
  <c r="F470"/>
  <c r="F517"/>
  <c r="F502"/>
  <c r="F525"/>
  <c r="F513"/>
  <c r="F506"/>
  <c r="F498"/>
  <c r="F495"/>
  <c r="F489"/>
  <c r="F481"/>
  <c r="F473"/>
  <c r="F464"/>
  <c r="F458"/>
  <c r="F526"/>
  <c r="F514"/>
  <c r="F490"/>
  <c r="F474"/>
  <c r="F465"/>
  <c r="F459"/>
  <c r="F484"/>
  <c r="F523"/>
  <c r="F501"/>
  <c r="F477"/>
  <c r="F779"/>
  <c r="F777"/>
  <c r="F775"/>
  <c r="F778"/>
  <c r="F776"/>
  <c r="F393"/>
  <c r="F374"/>
  <c r="F387"/>
  <c r="F379"/>
  <c r="F396"/>
  <c r="F384"/>
  <c r="F376"/>
  <c r="F397"/>
  <c r="F373"/>
  <c r="F395"/>
  <c r="F389"/>
  <c r="F381"/>
  <c r="F372"/>
  <c r="F383"/>
  <c r="F385"/>
  <c r="F377"/>
  <c r="F386"/>
  <c r="F375"/>
  <c r="F388"/>
  <c r="F380"/>
  <c r="F394"/>
  <c r="F392"/>
  <c r="F390"/>
  <c r="F382"/>
  <c r="F391"/>
  <c r="F378"/>
  <c r="F763"/>
  <c r="F760"/>
  <c r="F769"/>
  <c r="F764"/>
  <c r="F761"/>
  <c r="F767"/>
  <c r="F762"/>
  <c r="F768"/>
  <c r="F766"/>
  <c r="F765"/>
  <c r="F795"/>
  <c r="F794"/>
  <c r="F796"/>
  <c r="F14"/>
  <c r="F13"/>
  <c r="F15"/>
  <c r="F784"/>
  <c r="F785"/>
  <c r="E519" i="65"/>
  <c r="F238" i="74"/>
  <c r="F239"/>
  <c r="F659"/>
  <c r="F650"/>
  <c r="F677"/>
  <c r="F692"/>
  <c r="F670"/>
  <c r="F638"/>
  <c r="F712"/>
  <c r="F685"/>
  <c r="F663"/>
  <c r="F644"/>
  <c r="F635"/>
  <c r="F680"/>
  <c r="F720"/>
  <c r="F717"/>
  <c r="F709"/>
  <c r="F701"/>
  <c r="F698"/>
  <c r="F690"/>
  <c r="F681"/>
  <c r="F676"/>
  <c r="F668"/>
  <c r="F660"/>
  <c r="F652"/>
  <c r="F651"/>
  <c r="F721"/>
  <c r="F710"/>
  <c r="F699"/>
  <c r="F661"/>
  <c r="F642"/>
  <c r="F711"/>
  <c r="F700"/>
  <c r="F662"/>
  <c r="F643"/>
  <c r="F722"/>
  <c r="F679"/>
  <c r="F671"/>
  <c r="F672"/>
  <c r="F639"/>
  <c r="F656"/>
  <c r="F645"/>
  <c r="F718"/>
  <c r="F713"/>
  <c r="F705"/>
  <c r="F694"/>
  <c r="F686"/>
  <c r="F636"/>
  <c r="F719"/>
  <c r="F714"/>
  <c r="F706"/>
  <c r="F695"/>
  <c r="F687"/>
  <c r="F673"/>
  <c r="F665"/>
  <c r="F657"/>
  <c r="F648"/>
  <c r="F646"/>
  <c r="F716"/>
  <c r="F689"/>
  <c r="F675"/>
  <c r="F641"/>
  <c r="F691"/>
  <c r="F653"/>
  <c r="F637"/>
  <c r="F703"/>
  <c r="F682"/>
  <c r="F678"/>
  <c r="F704"/>
  <c r="F693"/>
  <c r="F683"/>
  <c r="F655"/>
  <c r="F684"/>
  <c r="F664"/>
  <c r="F647"/>
  <c r="F715"/>
  <c r="F707"/>
  <c r="F696"/>
  <c r="F688"/>
  <c r="F674"/>
  <c r="F666"/>
  <c r="F658"/>
  <c r="F649"/>
  <c r="F640"/>
  <c r="F708"/>
  <c r="F697"/>
  <c r="F667"/>
  <c r="F702"/>
  <c r="F669"/>
  <c r="F654"/>
  <c r="F787"/>
  <c r="F788"/>
  <c r="F786"/>
  <c r="F712" i="66"/>
  <c r="F711"/>
  <c r="F399"/>
  <c r="F397"/>
  <c r="F400"/>
  <c r="F398"/>
  <c r="F396"/>
  <c r="F840"/>
  <c r="F839"/>
  <c r="F813"/>
  <c r="F805"/>
  <c r="F701"/>
  <c r="F791"/>
  <c r="F812"/>
  <c r="F804"/>
  <c r="F700"/>
  <c r="F790"/>
  <c r="F811"/>
  <c r="F803"/>
  <c r="F797"/>
  <c r="F789"/>
  <c r="F810"/>
  <c r="F802"/>
  <c r="F796"/>
  <c r="F788"/>
  <c r="F809"/>
  <c r="F801"/>
  <c r="F795"/>
  <c r="F787"/>
  <c r="F808"/>
  <c r="F800"/>
  <c r="F794"/>
  <c r="F786"/>
  <c r="F815"/>
  <c r="F807"/>
  <c r="F799"/>
  <c r="F793"/>
  <c r="F814"/>
  <c r="F806"/>
  <c r="F798"/>
  <c r="F792"/>
  <c r="F731"/>
  <c r="F730"/>
  <c r="F729"/>
  <c r="F662"/>
  <c r="F842"/>
  <c r="F841"/>
  <c r="F857"/>
  <c r="F856"/>
  <c r="F848"/>
  <c r="F659"/>
  <c r="F847"/>
  <c r="F658"/>
  <c r="F854"/>
  <c r="F657"/>
  <c r="F853"/>
  <c r="F845"/>
  <c r="F656"/>
  <c r="F851"/>
  <c r="F858"/>
  <c r="F816"/>
  <c r="F705"/>
  <c r="F704"/>
  <c r="F852"/>
  <c r="F703"/>
  <c r="F702"/>
  <c r="F754"/>
  <c r="F753"/>
  <c r="F821"/>
  <c r="F706"/>
  <c r="F820"/>
  <c r="F846"/>
  <c r="F819"/>
  <c r="F826"/>
  <c r="F818"/>
  <c r="F825"/>
  <c r="F817"/>
  <c r="F824"/>
  <c r="F709"/>
  <c r="F823"/>
  <c r="F708"/>
  <c r="F822"/>
  <c r="F707"/>
  <c r="F681"/>
  <c r="F673"/>
  <c r="F744"/>
  <c r="F736"/>
  <c r="F688"/>
  <c r="F680"/>
  <c r="F672"/>
  <c r="F743"/>
  <c r="F735"/>
  <c r="F687"/>
  <c r="F679"/>
  <c r="F671"/>
  <c r="F742"/>
  <c r="F686"/>
  <c r="F678"/>
  <c r="F670"/>
  <c r="F741"/>
  <c r="F685"/>
  <c r="F677"/>
  <c r="F669"/>
  <c r="F740"/>
  <c r="F684"/>
  <c r="F676"/>
  <c r="F668"/>
  <c r="F739"/>
  <c r="F683"/>
  <c r="F675"/>
  <c r="F667"/>
  <c r="F738"/>
  <c r="F682"/>
  <c r="F674"/>
  <c r="F745"/>
  <c r="F737"/>
  <c r="F836"/>
  <c r="F837"/>
  <c r="F727"/>
  <c r="F719"/>
  <c r="F726"/>
  <c r="F718"/>
  <c r="F725"/>
  <c r="F660"/>
  <c r="F724"/>
  <c r="F717"/>
  <c r="F723"/>
  <c r="F716"/>
  <c r="F722"/>
  <c r="F715"/>
  <c r="F721"/>
  <c r="F720"/>
  <c r="F828"/>
  <c r="F827"/>
  <c r="F710"/>
  <c r="F833"/>
  <c r="F832"/>
  <c r="F831"/>
  <c r="F830"/>
  <c r="F829"/>
  <c r="F855"/>
  <c r="F864"/>
  <c r="F728"/>
  <c r="F661"/>
  <c r="F752"/>
  <c r="F751"/>
  <c r="F785"/>
  <c r="F784"/>
  <c r="F714"/>
  <c r="F713"/>
  <c r="F732"/>
  <c r="F666"/>
  <c r="F665"/>
  <c r="F664"/>
  <c r="F663"/>
  <c r="F734"/>
  <c r="F733"/>
  <c r="F746"/>
  <c r="F749"/>
  <c r="F748"/>
  <c r="F747"/>
  <c r="F690"/>
  <c r="F689"/>
  <c r="F750"/>
  <c r="F691"/>
  <c r="F759"/>
  <c r="F762"/>
  <c r="F758"/>
  <c r="F761"/>
  <c r="F757"/>
  <c r="F694"/>
  <c r="F756"/>
  <c r="F693"/>
  <c r="F755"/>
  <c r="F760"/>
  <c r="F849"/>
  <c r="F692"/>
  <c r="F835"/>
  <c r="F834"/>
  <c r="F783"/>
  <c r="F699"/>
  <c r="F772"/>
  <c r="F764"/>
  <c r="F782"/>
  <c r="F698"/>
  <c r="F771"/>
  <c r="F763"/>
  <c r="F781"/>
  <c r="F697"/>
  <c r="F770"/>
  <c r="F780"/>
  <c r="F696"/>
  <c r="F769"/>
  <c r="F779"/>
  <c r="F695"/>
  <c r="F768"/>
  <c r="F778"/>
  <c r="F775"/>
  <c r="F767"/>
  <c r="F850"/>
  <c r="F777"/>
  <c r="F774"/>
  <c r="F766"/>
  <c r="F776"/>
  <c r="F773"/>
  <c r="F765"/>
  <c r="F81"/>
  <c r="E1021" i="18"/>
  <c r="F561" i="66"/>
  <c r="F24"/>
  <c r="F112"/>
  <c r="F98"/>
  <c r="F57"/>
  <c r="F333"/>
  <c r="F45"/>
  <c r="F189"/>
  <c r="F386"/>
  <c r="F391"/>
  <c r="F382"/>
  <c r="F390"/>
  <c r="F387"/>
  <c r="F388"/>
  <c r="F385"/>
  <c r="F384"/>
  <c r="F78"/>
  <c r="F389"/>
  <c r="F80"/>
  <c r="F404"/>
  <c r="F409"/>
  <c r="F405"/>
  <c r="F402"/>
  <c r="F410"/>
  <c r="F407"/>
  <c r="F406"/>
  <c r="F403"/>
  <c r="F411"/>
  <c r="F408"/>
  <c r="F412"/>
  <c r="F73"/>
  <c r="F76"/>
  <c r="F75"/>
  <c r="F74"/>
  <c r="F380"/>
  <c r="F72"/>
  <c r="F460"/>
  <c r="F461"/>
  <c r="F459"/>
  <c r="F458"/>
  <c r="F137"/>
  <c r="F129"/>
  <c r="F158"/>
  <c r="F120"/>
  <c r="F162"/>
  <c r="F161"/>
  <c r="F159"/>
  <c r="F138"/>
  <c r="F139"/>
  <c r="F121"/>
  <c r="F156"/>
  <c r="F157"/>
  <c r="F339"/>
  <c r="F336"/>
  <c r="F334"/>
  <c r="F50"/>
  <c r="F341"/>
  <c r="F340"/>
  <c r="F338"/>
  <c r="F337"/>
  <c r="F342"/>
  <c r="F335"/>
  <c r="F131"/>
  <c r="F167"/>
  <c r="F134"/>
  <c r="F164"/>
  <c r="F146"/>
  <c r="F140"/>
  <c r="F133"/>
  <c r="F147"/>
  <c r="F152"/>
  <c r="F124"/>
  <c r="F123"/>
  <c r="F106"/>
  <c r="F107"/>
  <c r="F105"/>
  <c r="F104"/>
  <c r="F171"/>
  <c r="F170"/>
  <c r="F172"/>
  <c r="F168"/>
  <c r="F163"/>
  <c r="F142"/>
  <c r="F143"/>
  <c r="F135"/>
  <c r="F126"/>
  <c r="F122"/>
  <c r="F169"/>
  <c r="F165"/>
  <c r="F144"/>
  <c r="F166"/>
  <c r="F136"/>
  <c r="F128"/>
  <c r="F150"/>
  <c r="F132"/>
  <c r="F127"/>
  <c r="F125"/>
  <c r="F173"/>
  <c r="F130"/>
  <c r="F311"/>
  <c r="F297"/>
  <c r="F324"/>
  <c r="F317"/>
  <c r="F300"/>
  <c r="F293"/>
  <c r="F292"/>
  <c r="F285"/>
  <c r="F331"/>
  <c r="F327"/>
  <c r="F325"/>
  <c r="F321"/>
  <c r="F312"/>
  <c r="F306"/>
  <c r="F304"/>
  <c r="F295"/>
  <c r="F328"/>
  <c r="F322"/>
  <c r="F316"/>
  <c r="F313"/>
  <c r="F308"/>
  <c r="F305"/>
  <c r="F296"/>
  <c r="F294"/>
  <c r="F289"/>
  <c r="F288"/>
  <c r="F329"/>
  <c r="F309"/>
  <c r="F291"/>
  <c r="F290"/>
  <c r="F287"/>
  <c r="F323"/>
  <c r="F319"/>
  <c r="F315"/>
  <c r="F303"/>
  <c r="F302"/>
  <c r="F301"/>
  <c r="F299"/>
  <c r="F330"/>
  <c r="F310"/>
  <c r="F307"/>
  <c r="F284"/>
  <c r="F332"/>
  <c r="F326"/>
  <c r="F320"/>
  <c r="F318"/>
  <c r="F314"/>
  <c r="F298"/>
  <c r="F286"/>
  <c r="F182"/>
  <c r="F177"/>
  <c r="F32"/>
  <c r="F30"/>
  <c r="F33"/>
  <c r="F28"/>
  <c r="F100"/>
  <c r="F34"/>
  <c r="F25"/>
  <c r="F27"/>
  <c r="F99"/>
  <c r="F31"/>
  <c r="F26"/>
  <c r="F347"/>
  <c r="F350"/>
  <c r="F346"/>
  <c r="F345"/>
  <c r="F51"/>
  <c r="F343"/>
  <c r="F349"/>
  <c r="F348"/>
  <c r="F344"/>
  <c r="F114"/>
  <c r="F115"/>
  <c r="F113"/>
  <c r="F18"/>
  <c r="F116"/>
  <c r="F352"/>
  <c r="F52"/>
  <c r="F354"/>
  <c r="F103"/>
  <c r="F353"/>
  <c r="F351"/>
  <c r="E1339" i="65"/>
  <c r="F283" i="66"/>
  <c r="F280"/>
  <c r="F274"/>
  <c r="F263"/>
  <c r="F247"/>
  <c r="F239"/>
  <c r="F230"/>
  <c r="F226"/>
  <c r="F222"/>
  <c r="F275"/>
  <c r="F267"/>
  <c r="F256"/>
  <c r="F249"/>
  <c r="F248"/>
  <c r="F240"/>
  <c r="F234"/>
  <c r="F268"/>
  <c r="F257"/>
  <c r="F253"/>
  <c r="F250"/>
  <c r="F241"/>
  <c r="F223"/>
  <c r="F220"/>
  <c r="F276"/>
  <c r="F264"/>
  <c r="F251"/>
  <c r="F242"/>
  <c r="F231"/>
  <c r="F227"/>
  <c r="F281"/>
  <c r="F277"/>
  <c r="F269"/>
  <c r="F265"/>
  <c r="F258"/>
  <c r="F252"/>
  <c r="F243"/>
  <c r="F237"/>
  <c r="F232"/>
  <c r="F221"/>
  <c r="F278"/>
  <c r="F260"/>
  <c r="F254"/>
  <c r="F244"/>
  <c r="F235"/>
  <c r="F228"/>
  <c r="F224"/>
  <c r="F282"/>
  <c r="F273"/>
  <c r="F271"/>
  <c r="F270"/>
  <c r="F266"/>
  <c r="F259"/>
  <c r="F255"/>
  <c r="F245"/>
  <c r="F233"/>
  <c r="F225"/>
  <c r="F279"/>
  <c r="F272"/>
  <c r="F262"/>
  <c r="F261"/>
  <c r="F246"/>
  <c r="F238"/>
  <c r="F236"/>
  <c r="F229"/>
  <c r="F573"/>
  <c r="F92"/>
  <c r="F576"/>
  <c r="F575"/>
  <c r="F574"/>
  <c r="F93"/>
  <c r="F94"/>
  <c r="F572"/>
  <c r="F563"/>
  <c r="F91"/>
  <c r="F87"/>
  <c r="F85"/>
  <c r="F82"/>
  <c r="F568"/>
  <c r="F567"/>
  <c r="F564"/>
  <c r="F88"/>
  <c r="F565"/>
  <c r="F570"/>
  <c r="F89"/>
  <c r="F83"/>
  <c r="F569"/>
  <c r="F571"/>
  <c r="F566"/>
  <c r="F562"/>
  <c r="F90"/>
  <c r="F86"/>
  <c r="F84"/>
  <c r="F186"/>
  <c r="F185"/>
  <c r="F181"/>
  <c r="F180"/>
  <c r="F175"/>
  <c r="F178"/>
  <c r="F183"/>
  <c r="F179"/>
  <c r="F176"/>
  <c r="F174"/>
  <c r="F184"/>
  <c r="F29"/>
  <c r="F16"/>
  <c r="F96"/>
  <c r="F17"/>
  <c r="F111"/>
  <c r="F58"/>
  <c r="F378"/>
  <c r="F377"/>
  <c r="F375"/>
  <c r="F366"/>
  <c r="F363"/>
  <c r="F357"/>
  <c r="F356"/>
  <c r="F355"/>
  <c r="F69"/>
  <c r="F62"/>
  <c r="F59"/>
  <c r="F359"/>
  <c r="F374"/>
  <c r="F373"/>
  <c r="F370"/>
  <c r="F368"/>
  <c r="F362"/>
  <c r="F360"/>
  <c r="F66"/>
  <c r="F56"/>
  <c r="F60"/>
  <c r="F379"/>
  <c r="F371"/>
  <c r="F369"/>
  <c r="F358"/>
  <c r="F70"/>
  <c r="F67"/>
  <c r="F64"/>
  <c r="F63"/>
  <c r="F55"/>
  <c r="F376"/>
  <c r="F372"/>
  <c r="F367"/>
  <c r="F365"/>
  <c r="F364"/>
  <c r="F361"/>
  <c r="F71"/>
  <c r="F68"/>
  <c r="F65"/>
  <c r="F61"/>
  <c r="F54"/>
  <c r="F53"/>
  <c r="F155"/>
  <c r="F154"/>
  <c r="F149"/>
  <c r="F145"/>
  <c r="F141"/>
  <c r="F153"/>
  <c r="F151"/>
  <c r="F148"/>
  <c r="F392"/>
  <c r="F393"/>
  <c r="F381"/>
  <c r="F394"/>
  <c r="F395"/>
  <c r="F218"/>
  <c r="F215"/>
  <c r="F214"/>
  <c r="F211"/>
  <c r="F210"/>
  <c r="F207"/>
  <c r="F44"/>
  <c r="F38"/>
  <c r="F216"/>
  <c r="F195"/>
  <c r="F101"/>
  <c r="F40"/>
  <c r="F217"/>
  <c r="F208"/>
  <c r="F202"/>
  <c r="F200"/>
  <c r="F197"/>
  <c r="F192"/>
  <c r="F46"/>
  <c r="F41"/>
  <c r="F37"/>
  <c r="F203"/>
  <c r="F196"/>
  <c r="F190"/>
  <c r="F102"/>
  <c r="F47"/>
  <c r="F36"/>
  <c r="F219"/>
  <c r="F213"/>
  <c r="F204"/>
  <c r="F201"/>
  <c r="F198"/>
  <c r="F188"/>
  <c r="F48"/>
  <c r="F42"/>
  <c r="F39"/>
  <c r="F35"/>
  <c r="F205"/>
  <c r="F193"/>
  <c r="F212"/>
  <c r="F209"/>
  <c r="F206"/>
  <c r="F199"/>
  <c r="F191"/>
  <c r="F49"/>
  <c r="F43"/>
  <c r="F109"/>
  <c r="F110"/>
  <c r="F14"/>
  <c r="F13"/>
  <c r="F12"/>
  <c r="F108"/>
  <c r="F15"/>
  <c r="F187"/>
  <c r="F194"/>
  <c r="F548"/>
  <c r="F543"/>
  <c r="F538"/>
  <c r="F531"/>
  <c r="F511"/>
  <c r="F506"/>
  <c r="F499"/>
  <c r="F491"/>
  <c r="F489"/>
  <c r="F488"/>
  <c r="F481"/>
  <c r="F476"/>
  <c r="F470"/>
  <c r="F465"/>
  <c r="F463"/>
  <c r="F559"/>
  <c r="F557"/>
  <c r="F552"/>
  <c r="F532"/>
  <c r="F519"/>
  <c r="F516"/>
  <c r="F513"/>
  <c r="F504"/>
  <c r="F500"/>
  <c r="F486"/>
  <c r="F471"/>
  <c r="F466"/>
  <c r="F539"/>
  <c r="F536"/>
  <c r="F525"/>
  <c r="F520"/>
  <c r="F512"/>
  <c r="F492"/>
  <c r="F484"/>
  <c r="F479"/>
  <c r="F477"/>
  <c r="F468"/>
  <c r="F560"/>
  <c r="F558"/>
  <c r="F554"/>
  <c r="F540"/>
  <c r="F533"/>
  <c r="F529"/>
  <c r="F514"/>
  <c r="F509"/>
  <c r="F497"/>
  <c r="F482"/>
  <c r="F474"/>
  <c r="F556"/>
  <c r="F549"/>
  <c r="F547"/>
  <c r="F545"/>
  <c r="F526"/>
  <c r="F523"/>
  <c r="F521"/>
  <c r="F498"/>
  <c r="F495"/>
  <c r="F493"/>
  <c r="F483"/>
  <c r="F469"/>
  <c r="F553"/>
  <c r="F550"/>
  <c r="F546"/>
  <c r="F541"/>
  <c r="F534"/>
  <c r="F527"/>
  <c r="F518"/>
  <c r="F517"/>
  <c r="F507"/>
  <c r="F503"/>
  <c r="F487"/>
  <c r="F472"/>
  <c r="F544"/>
  <c r="F530"/>
  <c r="F528"/>
  <c r="F522"/>
  <c r="F515"/>
  <c r="F510"/>
  <c r="F501"/>
  <c r="F494"/>
  <c r="F490"/>
  <c r="F480"/>
  <c r="F475"/>
  <c r="F467"/>
  <c r="F464"/>
  <c r="F555"/>
  <c r="F551"/>
  <c r="F542"/>
  <c r="F537"/>
  <c r="F535"/>
  <c r="F524"/>
  <c r="F508"/>
  <c r="F505"/>
  <c r="F502"/>
  <c r="F496"/>
  <c r="F485"/>
  <c r="F478"/>
  <c r="F473"/>
  <c r="F462"/>
  <c r="E1367" i="65"/>
  <c r="F118" i="66"/>
  <c r="F119"/>
  <c r="F97"/>
  <c r="F20"/>
  <c r="F21"/>
  <c r="F117"/>
  <c r="F23"/>
  <c r="F22"/>
  <c r="F19"/>
  <c r="F453"/>
  <c r="F444"/>
  <c r="F441"/>
  <c r="F431"/>
  <c r="F426"/>
  <c r="F454"/>
  <c r="F445"/>
  <c r="F442"/>
  <c r="F436"/>
  <c r="F435"/>
  <c r="F434"/>
  <c r="F432"/>
  <c r="F420"/>
  <c r="F451"/>
  <c r="F448"/>
  <c r="F443"/>
  <c r="F421"/>
  <c r="F455"/>
  <c r="F450"/>
  <c r="F449"/>
  <c r="F427"/>
  <c r="F422"/>
  <c r="F446"/>
  <c r="F437"/>
  <c r="F428"/>
  <c r="F423"/>
  <c r="F418"/>
  <c r="F457"/>
  <c r="F433"/>
  <c r="F429"/>
  <c r="F424"/>
  <c r="F415"/>
  <c r="F414"/>
  <c r="F456"/>
  <c r="F452"/>
  <c r="F439"/>
  <c r="F430"/>
  <c r="F419"/>
  <c r="F417"/>
  <c r="F416"/>
  <c r="F413"/>
  <c r="F447"/>
  <c r="F440"/>
  <c r="F438"/>
  <c r="F425"/>
  <c r="E719" i="65"/>
  <c r="E721"/>
  <c r="E1361"/>
  <c r="E1315"/>
  <c r="E1314"/>
  <c r="E1313"/>
  <c r="E1011"/>
  <c r="E993"/>
  <c r="E1335"/>
  <c r="E1007"/>
  <c r="E1010"/>
  <c r="E997"/>
  <c r="E1333"/>
  <c r="E1006"/>
  <c r="E995"/>
  <c r="E1009"/>
  <c r="E1331"/>
  <c r="E1008"/>
  <c r="E1012"/>
  <c r="E783"/>
  <c r="E1369"/>
  <c r="E1355"/>
  <c r="E1356"/>
  <c r="E1357"/>
  <c r="E1362"/>
  <c r="E1363"/>
  <c r="E1364"/>
  <c r="E1366"/>
  <c r="E1365"/>
  <c r="E1360"/>
  <c r="E1371"/>
  <c r="E1359"/>
  <c r="E1358"/>
  <c r="E1023"/>
  <c r="E1368"/>
  <c r="E732"/>
  <c r="E726"/>
  <c r="E730"/>
  <c r="E722"/>
  <c r="E733"/>
  <c r="E727"/>
  <c r="E720"/>
  <c r="E734"/>
  <c r="E728"/>
  <c r="E724"/>
  <c r="E735"/>
  <c r="E718"/>
  <c r="E716"/>
  <c r="E1310"/>
  <c r="E725"/>
  <c r="E1311"/>
  <c r="E731"/>
  <c r="E729"/>
  <c r="E723"/>
  <c r="E717"/>
  <c r="E1312"/>
  <c r="E669"/>
  <c r="E662"/>
  <c r="E670"/>
  <c r="E663"/>
  <c r="E654"/>
  <c r="E656"/>
  <c r="E668"/>
  <c r="E672"/>
  <c r="E671"/>
  <c r="E664"/>
  <c r="E655"/>
  <c r="E673"/>
  <c r="E665"/>
  <c r="E657"/>
  <c r="E676"/>
  <c r="E661"/>
  <c r="E674"/>
  <c r="E666"/>
  <c r="E658"/>
  <c r="E675"/>
  <c r="E667"/>
  <c r="E659"/>
  <c r="E660"/>
  <c r="E677"/>
  <c r="E701"/>
  <c r="E698"/>
  <c r="E699"/>
  <c r="E700"/>
  <c r="E760"/>
  <c r="E779"/>
  <c r="E776"/>
  <c r="E767"/>
  <c r="E777"/>
  <c r="E768"/>
  <c r="E772"/>
  <c r="E763"/>
  <c r="E778"/>
  <c r="E769"/>
  <c r="E781"/>
  <c r="E764"/>
  <c r="E775"/>
  <c r="E770"/>
  <c r="E774"/>
  <c r="E771"/>
  <c r="E761"/>
  <c r="E782"/>
  <c r="E765"/>
  <c r="E762"/>
  <c r="E780"/>
  <c r="E773"/>
  <c r="E766"/>
  <c r="E456"/>
  <c r="E443"/>
  <c r="E455"/>
  <c r="E451"/>
  <c r="E447"/>
  <c r="E457"/>
  <c r="E448"/>
  <c r="E444"/>
  <c r="E452"/>
  <c r="E450"/>
  <c r="E449"/>
  <c r="E453"/>
  <c r="E446"/>
  <c r="E445"/>
  <c r="E454"/>
  <c r="E510"/>
  <c r="E507"/>
  <c r="E470"/>
  <c r="E469"/>
  <c r="E466"/>
  <c r="E460"/>
  <c r="E513"/>
  <c r="E503"/>
  <c r="E501"/>
  <c r="E488"/>
  <c r="E483"/>
  <c r="E479"/>
  <c r="E473"/>
  <c r="E467"/>
  <c r="E461"/>
  <c r="E476"/>
  <c r="E496"/>
  <c r="E484"/>
  <c r="E481"/>
  <c r="E468"/>
  <c r="E462"/>
  <c r="E505"/>
  <c r="E487"/>
  <c r="E512"/>
  <c r="E491"/>
  <c r="E485"/>
  <c r="E517"/>
  <c r="E515"/>
  <c r="E499"/>
  <c r="E493"/>
  <c r="E492"/>
  <c r="E489"/>
  <c r="E480"/>
  <c r="E477"/>
  <c r="E475"/>
  <c r="E474"/>
  <c r="E471"/>
  <c r="E463"/>
  <c r="E502"/>
  <c r="E518"/>
  <c r="E514"/>
  <c r="E509"/>
  <c r="E508"/>
  <c r="E498"/>
  <c r="E490"/>
  <c r="E464"/>
  <c r="E511"/>
  <c r="E494"/>
  <c r="E506"/>
  <c r="E482"/>
  <c r="E459"/>
  <c r="E504"/>
  <c r="E500"/>
  <c r="E497"/>
  <c r="E495"/>
  <c r="E486"/>
  <c r="E478"/>
  <c r="E472"/>
  <c r="E465"/>
  <c r="E458"/>
  <c r="E516"/>
  <c r="E646"/>
  <c r="E608"/>
  <c r="E597"/>
  <c r="E590"/>
  <c r="E588"/>
  <c r="E584"/>
  <c r="E554"/>
  <c r="E548"/>
  <c r="E540"/>
  <c r="E537"/>
  <c r="E527"/>
  <c r="E639"/>
  <c r="E637"/>
  <c r="E622"/>
  <c r="E620"/>
  <c r="E617"/>
  <c r="E611"/>
  <c r="E592"/>
  <c r="E582"/>
  <c r="E577"/>
  <c r="E575"/>
  <c r="E569"/>
  <c r="E563"/>
  <c r="E616"/>
  <c r="E605"/>
  <c r="E593"/>
  <c r="E559"/>
  <c r="E653"/>
  <c r="E649"/>
  <c r="E647"/>
  <c r="E644"/>
  <c r="E642"/>
  <c r="E633"/>
  <c r="E615"/>
  <c r="E604"/>
  <c r="E586"/>
  <c r="E580"/>
  <c r="E572"/>
  <c r="E567"/>
  <c r="E565"/>
  <c r="E550"/>
  <c r="E549"/>
  <c r="E546"/>
  <c r="E544"/>
  <c r="E536"/>
  <c r="E533"/>
  <c r="E532"/>
  <c r="E525"/>
  <c r="E631"/>
  <c r="E619"/>
  <c r="E594"/>
  <c r="E589"/>
  <c r="E579"/>
  <c r="E557"/>
  <c r="E539"/>
  <c r="E603"/>
  <c r="E651"/>
  <c r="E640"/>
  <c r="E628"/>
  <c r="E625"/>
  <c r="E623"/>
  <c r="E600"/>
  <c r="E598"/>
  <c r="E596"/>
  <c r="E560"/>
  <c r="E556"/>
  <c r="E553"/>
  <c r="E542"/>
  <c r="E541"/>
  <c r="E529"/>
  <c r="E638"/>
  <c r="E626"/>
  <c r="E610"/>
  <c r="E652"/>
  <c r="E641"/>
  <c r="E629"/>
  <c r="E607"/>
  <c r="E562"/>
  <c r="E522"/>
  <c r="E634"/>
  <c r="E618"/>
  <c r="E613"/>
  <c r="E609"/>
  <c r="E606"/>
  <c r="E602"/>
  <c r="E599"/>
  <c r="E566"/>
  <c r="E564"/>
  <c r="E558"/>
  <c r="E555"/>
  <c r="E538"/>
  <c r="E531"/>
  <c r="E524"/>
  <c r="E523"/>
  <c r="E636"/>
  <c r="E614"/>
  <c r="E576"/>
  <c r="E535"/>
  <c r="E643"/>
  <c r="E595"/>
  <c r="E574"/>
  <c r="E552"/>
  <c r="E648"/>
  <c r="E645"/>
  <c r="E630"/>
  <c r="E627"/>
  <c r="E621"/>
  <c r="E591"/>
  <c r="E587"/>
  <c r="E585"/>
  <c r="E583"/>
  <c r="E581"/>
  <c r="E578"/>
  <c r="E573"/>
  <c r="E570"/>
  <c r="E568"/>
  <c r="E561"/>
  <c r="E551"/>
  <c r="E547"/>
  <c r="E545"/>
  <c r="E543"/>
  <c r="E534"/>
  <c r="E530"/>
  <c r="E528"/>
  <c r="E526"/>
  <c r="E521"/>
  <c r="E650"/>
  <c r="E635"/>
  <c r="E624"/>
  <c r="E612"/>
  <c r="E571"/>
  <c r="E632"/>
  <c r="E601"/>
  <c r="E520"/>
  <c r="E848"/>
  <c r="E840"/>
  <c r="E852"/>
  <c r="E844"/>
  <c r="E836"/>
  <c r="E839"/>
  <c r="E853"/>
  <c r="E845"/>
  <c r="E837"/>
  <c r="E843"/>
  <c r="E849"/>
  <c r="E841"/>
  <c r="E850"/>
  <c r="E842"/>
  <c r="E854"/>
  <c r="E846"/>
  <c r="E838"/>
  <c r="E855"/>
  <c r="E851"/>
  <c r="E847"/>
  <c r="E1298"/>
  <c r="E1290"/>
  <c r="E1282"/>
  <c r="E974"/>
  <c r="E960"/>
  <c r="E952"/>
  <c r="E949"/>
  <c r="E941"/>
  <c r="E926"/>
  <c r="E918"/>
  <c r="E879"/>
  <c r="E1299"/>
  <c r="E1291"/>
  <c r="E1283"/>
  <c r="E975"/>
  <c r="E967"/>
  <c r="E961"/>
  <c r="E953"/>
  <c r="E950"/>
  <c r="E942"/>
  <c r="E935"/>
  <c r="E927"/>
  <c r="E919"/>
  <c r="E916"/>
  <c r="E912"/>
  <c r="E904"/>
  <c r="E896"/>
  <c r="E888"/>
  <c r="E880"/>
  <c r="E872"/>
  <c r="E864"/>
  <c r="E986"/>
  <c r="E958"/>
  <c r="E924"/>
  <c r="E909"/>
  <c r="E987"/>
  <c r="E948"/>
  <c r="E910"/>
  <c r="E870"/>
  <c r="E856"/>
  <c r="E887"/>
  <c r="E1300"/>
  <c r="E1292"/>
  <c r="E1284"/>
  <c r="E982"/>
  <c r="E979"/>
  <c r="E976"/>
  <c r="E968"/>
  <c r="E963"/>
  <c r="E962"/>
  <c r="E954"/>
  <c r="E943"/>
  <c r="E928"/>
  <c r="E920"/>
  <c r="E913"/>
  <c r="E905"/>
  <c r="E897"/>
  <c r="E889"/>
  <c r="E881"/>
  <c r="E873"/>
  <c r="E865"/>
  <c r="E857"/>
  <c r="E978"/>
  <c r="E947"/>
  <c r="E901"/>
  <c r="E877"/>
  <c r="E1289"/>
  <c r="E925"/>
  <c r="E878"/>
  <c r="E903"/>
  <c r="E871"/>
  <c r="E1301"/>
  <c r="E1293"/>
  <c r="E1285"/>
  <c r="E988"/>
  <c r="E983"/>
  <c r="E980"/>
  <c r="E969"/>
  <c r="E964"/>
  <c r="E955"/>
  <c r="E951"/>
  <c r="E944"/>
  <c r="E936"/>
  <c r="E929"/>
  <c r="E921"/>
  <c r="E914"/>
  <c r="E906"/>
  <c r="E898"/>
  <c r="E890"/>
  <c r="E882"/>
  <c r="E874"/>
  <c r="E866"/>
  <c r="E858"/>
  <c r="E915"/>
  <c r="E899"/>
  <c r="E883"/>
  <c r="E867"/>
  <c r="E939"/>
  <c r="E893"/>
  <c r="E1297"/>
  <c r="E973"/>
  <c r="E933"/>
  <c r="E917"/>
  <c r="E902"/>
  <c r="E862"/>
  <c r="E895"/>
  <c r="E1302"/>
  <c r="E1294"/>
  <c r="E1286"/>
  <c r="E989"/>
  <c r="E984"/>
  <c r="E981"/>
  <c r="E970"/>
  <c r="E965"/>
  <c r="E956"/>
  <c r="E945"/>
  <c r="E937"/>
  <c r="E930"/>
  <c r="E922"/>
  <c r="E907"/>
  <c r="E891"/>
  <c r="E875"/>
  <c r="E859"/>
  <c r="E972"/>
  <c r="E932"/>
  <c r="E869"/>
  <c r="E1304"/>
  <c r="E940"/>
  <c r="E886"/>
  <c r="E1338"/>
  <c r="E1295"/>
  <c r="E1287"/>
  <c r="E985"/>
  <c r="E977"/>
  <c r="E971"/>
  <c r="E966"/>
  <c r="E957"/>
  <c r="E946"/>
  <c r="E938"/>
  <c r="E931"/>
  <c r="E923"/>
  <c r="E908"/>
  <c r="E900"/>
  <c r="E892"/>
  <c r="E884"/>
  <c r="E876"/>
  <c r="E868"/>
  <c r="E860"/>
  <c r="E1303"/>
  <c r="E1296"/>
  <c r="E1288"/>
  <c r="E934"/>
  <c r="E885"/>
  <c r="E861"/>
  <c r="E959"/>
  <c r="E894"/>
  <c r="E911"/>
  <c r="E863"/>
  <c r="E1246"/>
  <c r="E1245"/>
  <c r="E754"/>
  <c r="E755"/>
  <c r="E752"/>
  <c r="E751"/>
  <c r="E743"/>
  <c r="E756"/>
  <c r="E750"/>
  <c r="E744"/>
  <c r="E736"/>
  <c r="E746"/>
  <c r="E753"/>
  <c r="E739"/>
  <c r="E757"/>
  <c r="E749"/>
  <c r="E748"/>
  <c r="E747"/>
  <c r="E745"/>
  <c r="E741"/>
  <c r="E740"/>
  <c r="E758"/>
  <c r="E738"/>
  <c r="E759"/>
  <c r="E737"/>
  <c r="E742"/>
  <c r="E1234"/>
  <c r="E1233"/>
  <c r="E1027"/>
  <c r="E1033"/>
  <c r="E1028"/>
  <c r="E1031"/>
  <c r="E1029"/>
  <c r="E1030"/>
  <c r="E1032"/>
  <c r="E1337"/>
  <c r="E990"/>
  <c r="E998"/>
  <c r="E991"/>
  <c r="E994"/>
  <c r="E992"/>
  <c r="E996"/>
  <c r="E1332"/>
  <c r="E1020"/>
  <c r="E1334"/>
  <c r="E1021"/>
  <c r="E1002"/>
  <c r="E1336"/>
  <c r="E1013"/>
  <c r="E1003"/>
  <c r="E1000"/>
  <c r="E1016"/>
  <c r="E1014"/>
  <c r="E1309"/>
  <c r="E1022"/>
  <c r="E1017"/>
  <c r="E1004"/>
  <c r="E999"/>
  <c r="E1018"/>
  <c r="E1015"/>
  <c r="E1005"/>
  <c r="E1001"/>
  <c r="E1019"/>
  <c r="E46"/>
  <c r="E41"/>
  <c r="E47"/>
  <c r="E42"/>
  <c r="E44"/>
  <c r="E43"/>
  <c r="E40"/>
  <c r="E45"/>
  <c r="E49"/>
  <c r="E48"/>
  <c r="E1232"/>
  <c r="E1228"/>
  <c r="E1225"/>
  <c r="E1229"/>
  <c r="E1353"/>
  <c r="E1230"/>
  <c r="E1227"/>
  <c r="E1307"/>
  <c r="E1231"/>
  <c r="E1226"/>
  <c r="E31"/>
  <c r="E19"/>
  <c r="E16"/>
  <c r="E33"/>
  <c r="E20"/>
  <c r="E17"/>
  <c r="E38"/>
  <c r="E34"/>
  <c r="E27"/>
  <c r="E35"/>
  <c r="E26"/>
  <c r="E21"/>
  <c r="E13"/>
  <c r="E14"/>
  <c r="E39"/>
  <c r="E24"/>
  <c r="E36"/>
  <c r="E28"/>
  <c r="E25"/>
  <c r="E22"/>
  <c r="E18"/>
  <c r="E32"/>
  <c r="E30"/>
  <c r="E37"/>
  <c r="E29"/>
  <c r="E23"/>
  <c r="E15"/>
  <c r="E1263"/>
  <c r="E1264"/>
  <c r="E1260"/>
  <c r="E1258"/>
  <c r="E1261"/>
  <c r="E1262"/>
  <c r="E1259"/>
  <c r="E1257"/>
  <c r="E15" i="32"/>
  <c r="E51" i="65"/>
  <c r="E50"/>
  <c r="E52"/>
  <c r="E1206"/>
  <c r="E1194"/>
  <c r="E1184"/>
  <c r="E1176"/>
  <c r="E1170"/>
  <c r="E1166"/>
  <c r="E1308"/>
  <c r="E1209"/>
  <c r="E1207"/>
  <c r="E1204"/>
  <c r="E1199"/>
  <c r="E1198"/>
  <c r="E1195"/>
  <c r="E1182"/>
  <c r="E1177"/>
  <c r="E1171"/>
  <c r="E1167"/>
  <c r="E1163"/>
  <c r="E1157"/>
  <c r="E1148"/>
  <c r="E1150"/>
  <c r="E1185"/>
  <c r="E1175"/>
  <c r="E1162"/>
  <c r="E1210"/>
  <c r="E1190"/>
  <c r="E1186"/>
  <c r="E1178"/>
  <c r="E1168"/>
  <c r="E1164"/>
  <c r="E1159"/>
  <c r="E1154"/>
  <c r="E1151"/>
  <c r="E1193"/>
  <c r="E1145"/>
  <c r="E1201"/>
  <c r="E1191"/>
  <c r="E1172"/>
  <c r="E1165"/>
  <c r="E1149"/>
  <c r="E1208"/>
  <c r="E1169"/>
  <c r="E1146"/>
  <c r="E1202"/>
  <c r="E1200"/>
  <c r="E1187"/>
  <c r="E1181"/>
  <c r="E1179"/>
  <c r="E1160"/>
  <c r="E1156"/>
  <c r="E1152"/>
  <c r="E1192"/>
  <c r="E1197"/>
  <c r="E1212"/>
  <c r="E1211"/>
  <c r="E1203"/>
  <c r="E1196"/>
  <c r="E1188"/>
  <c r="E1180"/>
  <c r="E1173"/>
  <c r="E1161"/>
  <c r="E1158"/>
  <c r="E1155"/>
  <c r="E1153"/>
  <c r="E1147"/>
  <c r="E1183"/>
  <c r="E1174"/>
  <c r="E1205"/>
  <c r="E1189"/>
  <c r="E1265"/>
  <c r="E1266"/>
  <c r="E1267"/>
  <c r="E1329"/>
  <c r="E1330"/>
  <c r="E1268"/>
  <c r="E714"/>
  <c r="E715"/>
  <c r="E1144"/>
  <c r="E1142"/>
  <c r="E1143"/>
  <c r="E678"/>
  <c r="E679"/>
  <c r="E680"/>
  <c r="E1349"/>
  <c r="E690"/>
  <c r="E1350"/>
  <c r="E1348"/>
  <c r="E689"/>
  <c r="E1343"/>
  <c r="E1344"/>
  <c r="E681"/>
  <c r="E1345"/>
  <c r="E686"/>
  <c r="E684"/>
  <c r="E682"/>
  <c r="E688"/>
  <c r="E1346"/>
  <c r="E687"/>
  <c r="E685"/>
  <c r="E683"/>
  <c r="E1347"/>
  <c r="E1034"/>
  <c r="E1035"/>
  <c r="E1039"/>
  <c r="E1038"/>
  <c r="E1036"/>
  <c r="E1040"/>
  <c r="E1037"/>
  <c r="E1041"/>
  <c r="E1042"/>
  <c r="E335"/>
  <c r="E326"/>
  <c r="E325"/>
  <c r="E332"/>
  <c r="E342"/>
  <c r="E340"/>
  <c r="E339"/>
  <c r="E338"/>
  <c r="E337"/>
  <c r="E334"/>
  <c r="E327"/>
  <c r="E323"/>
  <c r="E336"/>
  <c r="E330"/>
  <c r="E324"/>
  <c r="E343"/>
  <c r="E329"/>
  <c r="E328"/>
  <c r="E341"/>
  <c r="E333"/>
  <c r="E331"/>
  <c r="E322"/>
  <c r="E1255"/>
  <c r="E1250"/>
  <c r="E1249"/>
  <c r="E1247"/>
  <c r="E1256"/>
  <c r="E1252"/>
  <c r="E1253"/>
  <c r="E1251"/>
  <c r="E1248"/>
  <c r="E1254"/>
  <c r="E1281"/>
  <c r="E1141"/>
  <c r="E1135"/>
  <c r="E1128"/>
  <c r="E1118"/>
  <c r="E1100"/>
  <c r="E1094"/>
  <c r="E1086"/>
  <c r="E1129"/>
  <c r="E1120"/>
  <c r="E1104"/>
  <c r="E1087"/>
  <c r="E1081"/>
  <c r="E1073"/>
  <c r="E1065"/>
  <c r="E1058"/>
  <c r="E1126"/>
  <c r="E1119"/>
  <c r="E1140"/>
  <c r="E1064"/>
  <c r="E1130"/>
  <c r="E1125"/>
  <c r="E1121"/>
  <c r="E1111"/>
  <c r="E1105"/>
  <c r="E1101"/>
  <c r="E1095"/>
  <c r="E1088"/>
  <c r="E1074"/>
  <c r="E1066"/>
  <c r="E1077"/>
  <c r="E1068"/>
  <c r="E1059"/>
  <c r="E1109"/>
  <c r="E1060"/>
  <c r="E1115"/>
  <c r="E1103"/>
  <c r="E1061"/>
  <c r="E1136"/>
  <c r="E1134"/>
  <c r="E1131"/>
  <c r="E1122"/>
  <c r="E1116"/>
  <c r="E1106"/>
  <c r="E1096"/>
  <c r="E1089"/>
  <c r="E1075"/>
  <c r="E1067"/>
  <c r="E1062"/>
  <c r="E1139"/>
  <c r="E1102"/>
  <c r="E1085"/>
  <c r="E1079"/>
  <c r="E1070"/>
  <c r="E1084"/>
  <c r="E1277"/>
  <c r="E1132"/>
  <c r="E1123"/>
  <c r="E1112"/>
  <c r="E1107"/>
  <c r="E1090"/>
  <c r="E1137"/>
  <c r="E1098"/>
  <c r="E1138"/>
  <c r="E1127"/>
  <c r="E1117"/>
  <c r="E1071"/>
  <c r="E1072"/>
  <c r="E1351"/>
  <c r="E1278"/>
  <c r="E1133"/>
  <c r="E1124"/>
  <c r="E1113"/>
  <c r="E1108"/>
  <c r="E1097"/>
  <c r="E1091"/>
  <c r="E1078"/>
  <c r="E1076"/>
  <c r="E1069"/>
  <c r="E1056"/>
  <c r="E1279"/>
  <c r="E1114"/>
  <c r="E1092"/>
  <c r="E1082"/>
  <c r="E1280"/>
  <c r="E1110"/>
  <c r="E1099"/>
  <c r="E1093"/>
  <c r="E1083"/>
  <c r="E1080"/>
  <c r="E1063"/>
  <c r="E1057"/>
  <c r="E792"/>
  <c r="E784"/>
  <c r="E795"/>
  <c r="E788"/>
  <c r="E789"/>
  <c r="E793"/>
  <c r="E785"/>
  <c r="E794"/>
  <c r="E786"/>
  <c r="E787"/>
  <c r="E790"/>
  <c r="E791"/>
  <c r="E1317"/>
  <c r="E824"/>
  <c r="E815"/>
  <c r="E813"/>
  <c r="E808"/>
  <c r="E806"/>
  <c r="E802"/>
  <c r="E1318"/>
  <c r="E825"/>
  <c r="E816"/>
  <c r="E814"/>
  <c r="E809"/>
  <c r="E803"/>
  <c r="E798"/>
  <c r="E796"/>
  <c r="E807"/>
  <c r="E1319"/>
  <c r="E835"/>
  <c r="E826"/>
  <c r="E817"/>
  <c r="E799"/>
  <c r="E797"/>
  <c r="E1316"/>
  <c r="E812"/>
  <c r="E1320"/>
  <c r="E827"/>
  <c r="E818"/>
  <c r="E804"/>
  <c r="E811"/>
  <c r="E834"/>
  <c r="E1321"/>
  <c r="E832"/>
  <c r="E828"/>
  <c r="E819"/>
  <c r="E805"/>
  <c r="E800"/>
  <c r="E830"/>
  <c r="E823"/>
  <c r="E1322"/>
  <c r="E829"/>
  <c r="E822"/>
  <c r="E820"/>
  <c r="E810"/>
  <c r="E801"/>
  <c r="E1323"/>
  <c r="E833"/>
  <c r="E821"/>
  <c r="E1324"/>
  <c r="E831"/>
  <c r="E1222"/>
  <c r="E1305"/>
  <c r="E1223"/>
  <c r="E1217"/>
  <c r="E1215"/>
  <c r="E1216"/>
  <c r="E1306"/>
  <c r="E1224"/>
  <c r="E1220"/>
  <c r="E1219"/>
  <c r="E1218"/>
  <c r="E1213"/>
  <c r="E1352"/>
  <c r="E1221"/>
  <c r="E1214"/>
  <c r="E696"/>
  <c r="E695"/>
  <c r="E694"/>
  <c r="E691"/>
  <c r="E692"/>
  <c r="E693"/>
  <c r="E697"/>
  <c r="E1055"/>
  <c r="E1054"/>
  <c r="E1238"/>
  <c r="E1241"/>
  <c r="E1239"/>
  <c r="E1236"/>
  <c r="E1242"/>
  <c r="E1244"/>
  <c r="E1243"/>
  <c r="E1240"/>
  <c r="E1237"/>
  <c r="E1235"/>
  <c r="E1026"/>
  <c r="E1025"/>
  <c r="E1325"/>
  <c r="E1024"/>
  <c r="E1326"/>
  <c r="E1269"/>
  <c r="E1270"/>
  <c r="E702"/>
  <c r="E704"/>
  <c r="E705"/>
  <c r="E703"/>
  <c r="E706"/>
  <c r="E319"/>
  <c r="E313"/>
  <c r="E302"/>
  <c r="E297"/>
  <c r="E293"/>
  <c r="E289"/>
  <c r="E284"/>
  <c r="E280"/>
  <c r="E276"/>
  <c r="E272"/>
  <c r="E266"/>
  <c r="E263"/>
  <c r="E259"/>
  <c r="E253"/>
  <c r="E248"/>
  <c r="E243"/>
  <c r="E235"/>
  <c r="E228"/>
  <c r="E226"/>
  <c r="E218"/>
  <c r="E214"/>
  <c r="E210"/>
  <c r="E204"/>
  <c r="E200"/>
  <c r="E193"/>
  <c r="E178"/>
  <c r="E173"/>
  <c r="E168"/>
  <c r="E163"/>
  <c r="E152"/>
  <c r="E149"/>
  <c r="E133"/>
  <c r="E118"/>
  <c r="E106"/>
  <c r="E102"/>
  <c r="E98"/>
  <c r="E85"/>
  <c r="E72"/>
  <c r="E59"/>
  <c r="E320"/>
  <c r="E316"/>
  <c r="E308"/>
  <c r="E303"/>
  <c r="E298"/>
  <c r="E281"/>
  <c r="E277"/>
  <c r="E273"/>
  <c r="E267"/>
  <c r="E264"/>
  <c r="E244"/>
  <c r="E239"/>
  <c r="E232"/>
  <c r="E221"/>
  <c r="E219"/>
  <c r="E211"/>
  <c r="E205"/>
  <c r="E190"/>
  <c r="E185"/>
  <c r="E182"/>
  <c r="E174"/>
  <c r="E159"/>
  <c r="E147"/>
  <c r="E144"/>
  <c r="E134"/>
  <c r="E129"/>
  <c r="E119"/>
  <c r="E111"/>
  <c r="E107"/>
  <c r="E103"/>
  <c r="E99"/>
  <c r="E95"/>
  <c r="E81"/>
  <c r="E78"/>
  <c r="E288"/>
  <c r="E158"/>
  <c r="E80"/>
  <c r="E65"/>
  <c r="E317"/>
  <c r="E294"/>
  <c r="E285"/>
  <c r="E274"/>
  <c r="E265"/>
  <c r="E260"/>
  <c r="E254"/>
  <c r="E249"/>
  <c r="E227"/>
  <c r="E215"/>
  <c r="E206"/>
  <c r="E201"/>
  <c r="E198"/>
  <c r="E191"/>
  <c r="E179"/>
  <c r="E169"/>
  <c r="E164"/>
  <c r="E156"/>
  <c r="E153"/>
  <c r="E140"/>
  <c r="E135"/>
  <c r="E126"/>
  <c r="E124"/>
  <c r="E93"/>
  <c r="E75"/>
  <c r="E73"/>
  <c r="E55"/>
  <c r="E217"/>
  <c r="E105"/>
  <c r="E67"/>
  <c r="E58"/>
  <c r="E54"/>
  <c r="E307"/>
  <c r="E252"/>
  <c r="E231"/>
  <c r="E209"/>
  <c r="E195"/>
  <c r="E189"/>
  <c r="E128"/>
  <c r="E115"/>
  <c r="E84"/>
  <c r="E68"/>
  <c r="E321"/>
  <c r="E309"/>
  <c r="E304"/>
  <c r="E286"/>
  <c r="E282"/>
  <c r="E278"/>
  <c r="E275"/>
  <c r="E255"/>
  <c r="E250"/>
  <c r="E245"/>
  <c r="E240"/>
  <c r="E236"/>
  <c r="E233"/>
  <c r="E229"/>
  <c r="E222"/>
  <c r="E202"/>
  <c r="E186"/>
  <c r="E183"/>
  <c r="E180"/>
  <c r="E175"/>
  <c r="E170"/>
  <c r="E165"/>
  <c r="E160"/>
  <c r="E148"/>
  <c r="E145"/>
  <c r="E141"/>
  <c r="E130"/>
  <c r="E112"/>
  <c r="E90"/>
  <c r="E86"/>
  <c r="E82"/>
  <c r="E79"/>
  <c r="E69"/>
  <c r="E62"/>
  <c r="E60"/>
  <c r="E279"/>
  <c r="E247"/>
  <c r="E208"/>
  <c r="E109"/>
  <c r="E258"/>
  <c r="E242"/>
  <c r="E123"/>
  <c r="E110"/>
  <c r="E74"/>
  <c r="E314"/>
  <c r="E310"/>
  <c r="E305"/>
  <c r="E299"/>
  <c r="E295"/>
  <c r="E290"/>
  <c r="E270"/>
  <c r="E268"/>
  <c r="E256"/>
  <c r="E237"/>
  <c r="E230"/>
  <c r="E223"/>
  <c r="E203"/>
  <c r="E199"/>
  <c r="E196"/>
  <c r="E187"/>
  <c r="E184"/>
  <c r="E181"/>
  <c r="E176"/>
  <c r="E171"/>
  <c r="E166"/>
  <c r="E161"/>
  <c r="E154"/>
  <c r="E150"/>
  <c r="E136"/>
  <c r="E127"/>
  <c r="E120"/>
  <c r="E116"/>
  <c r="E113"/>
  <c r="E108"/>
  <c r="E104"/>
  <c r="E100"/>
  <c r="E96"/>
  <c r="E87"/>
  <c r="E83"/>
  <c r="E70"/>
  <c r="E66"/>
  <c r="E56"/>
  <c r="E257"/>
  <c r="E225"/>
  <c r="E212"/>
  <c r="E188"/>
  <c r="E177"/>
  <c r="E151"/>
  <c r="E139"/>
  <c r="E132"/>
  <c r="E117"/>
  <c r="E71"/>
  <c r="E213"/>
  <c r="E92"/>
  <c r="E77"/>
  <c r="E315"/>
  <c r="E300"/>
  <c r="E296"/>
  <c r="E291"/>
  <c r="E287"/>
  <c r="E283"/>
  <c r="E271"/>
  <c r="E261"/>
  <c r="E251"/>
  <c r="E246"/>
  <c r="E241"/>
  <c r="E238"/>
  <c r="E234"/>
  <c r="E224"/>
  <c r="E216"/>
  <c r="E207"/>
  <c r="E194"/>
  <c r="E192"/>
  <c r="E167"/>
  <c r="E157"/>
  <c r="E146"/>
  <c r="E142"/>
  <c r="E138"/>
  <c r="E131"/>
  <c r="E125"/>
  <c r="E121"/>
  <c r="E97"/>
  <c r="E94"/>
  <c r="E91"/>
  <c r="E76"/>
  <c r="E63"/>
  <c r="E61"/>
  <c r="E318"/>
  <c r="E311"/>
  <c r="E306"/>
  <c r="E301"/>
  <c r="E269"/>
  <c r="E220"/>
  <c r="E162"/>
  <c r="E143"/>
  <c r="E137"/>
  <c r="E122"/>
  <c r="E114"/>
  <c r="E88"/>
  <c r="E64"/>
  <c r="E57"/>
  <c r="E312"/>
  <c r="E292"/>
  <c r="E262"/>
  <c r="E197"/>
  <c r="E172"/>
  <c r="E155"/>
  <c r="E101"/>
  <c r="E89"/>
  <c r="E1276"/>
  <c r="E1327"/>
  <c r="E1053"/>
  <c r="E1342"/>
  <c r="E1052"/>
  <c r="E1046"/>
  <c r="E1044"/>
  <c r="E1048"/>
  <c r="E1328"/>
  <c r="E1043"/>
  <c r="E1275"/>
  <c r="E1051"/>
  <c r="E1050"/>
  <c r="E1049"/>
  <c r="E1047"/>
  <c r="E1045"/>
  <c r="E440"/>
  <c r="E402"/>
  <c r="E401"/>
  <c r="E392"/>
  <c r="E389"/>
  <c r="E388"/>
  <c r="E385"/>
  <c r="E384"/>
  <c r="E381"/>
  <c r="E376"/>
  <c r="E368"/>
  <c r="E361"/>
  <c r="E354"/>
  <c r="E349"/>
  <c r="E437"/>
  <c r="E431"/>
  <c r="E423"/>
  <c r="E417"/>
  <c r="E414"/>
  <c r="E410"/>
  <c r="E396"/>
  <c r="E382"/>
  <c r="E377"/>
  <c r="E371"/>
  <c r="E369"/>
  <c r="E367"/>
  <c r="E366"/>
  <c r="E363"/>
  <c r="E362"/>
  <c r="E360"/>
  <c r="E358"/>
  <c r="E350"/>
  <c r="E347"/>
  <c r="E432"/>
  <c r="E405"/>
  <c r="E395"/>
  <c r="E348"/>
  <c r="E436"/>
  <c r="E433"/>
  <c r="E429"/>
  <c r="E418"/>
  <c r="E415"/>
  <c r="E411"/>
  <c r="E406"/>
  <c r="E397"/>
  <c r="E374"/>
  <c r="E364"/>
  <c r="E355"/>
  <c r="E351"/>
  <c r="E407"/>
  <c r="E390"/>
  <c r="E428"/>
  <c r="E375"/>
  <c r="E353"/>
  <c r="E438"/>
  <c r="E430"/>
  <c r="E419"/>
  <c r="E412"/>
  <c r="E400"/>
  <c r="E398"/>
  <c r="E386"/>
  <c r="E378"/>
  <c r="E356"/>
  <c r="E352"/>
  <c r="E394"/>
  <c r="E379"/>
  <c r="E372"/>
  <c r="E422"/>
  <c r="E409"/>
  <c r="E403"/>
  <c r="E399"/>
  <c r="E373"/>
  <c r="E441"/>
  <c r="E434"/>
  <c r="E426"/>
  <c r="E420"/>
  <c r="E416"/>
  <c r="E393"/>
  <c r="E387"/>
  <c r="E357"/>
  <c r="E345"/>
  <c r="E344"/>
  <c r="E439"/>
  <c r="E408"/>
  <c r="E359"/>
  <c r="E442"/>
  <c r="E435"/>
  <c r="E427"/>
  <c r="E424"/>
  <c r="E383"/>
  <c r="E370"/>
  <c r="E346"/>
  <c r="E421"/>
  <c r="E413"/>
  <c r="E404"/>
  <c r="E425"/>
  <c r="E391"/>
  <c r="E380"/>
  <c r="E365"/>
  <c r="E710"/>
  <c r="E707"/>
  <c r="E711"/>
  <c r="E708"/>
  <c r="E709"/>
  <c r="E712"/>
  <c r="E713"/>
  <c r="E1032" i="18"/>
  <c r="E1020"/>
  <c r="E1029"/>
  <c r="E1028"/>
  <c r="E1034"/>
  <c r="E1017"/>
  <c r="E256" i="32"/>
  <c r="E1035" i="18"/>
  <c r="E307"/>
  <c r="E16" i="32"/>
  <c r="E257"/>
  <c r="E265"/>
  <c r="E1026" i="18"/>
  <c r="E1031"/>
  <c r="E1033"/>
  <c r="E276" i="32"/>
  <c r="E1015" i="18"/>
  <c r="E1014"/>
  <c r="E1019"/>
  <c r="E1023"/>
  <c r="E129" i="32"/>
  <c r="E1030" i="18"/>
  <c r="E69" i="32"/>
  <c r="E1018" i="18"/>
  <c r="E1022"/>
  <c r="E1012"/>
  <c r="E1013"/>
  <c r="E1024"/>
  <c r="E1025"/>
  <c r="E283" i="32"/>
  <c r="E1027" i="18"/>
  <c r="E215"/>
  <c r="E1016"/>
  <c r="N56" i="61"/>
  <c r="S56"/>
  <c r="U56" s="1"/>
  <c r="H56"/>
  <c r="G56" s="1"/>
  <c r="I56" s="1"/>
  <c r="C2" i="62"/>
  <c r="E951" i="18"/>
  <c r="E130" i="32"/>
  <c r="E319"/>
  <c r="E275"/>
  <c r="E288"/>
  <c r="E295"/>
  <c r="E287"/>
  <c r="E294"/>
  <c r="E286"/>
  <c r="E285"/>
  <c r="E293"/>
  <c r="E292"/>
  <c r="E284"/>
  <c r="E291"/>
  <c r="E290"/>
  <c r="E289"/>
  <c r="E318"/>
  <c r="E317"/>
  <c r="E324"/>
  <c r="E316"/>
  <c r="E323"/>
  <c r="E274"/>
  <c r="E322"/>
  <c r="E1008" i="18"/>
  <c r="E1000"/>
  <c r="E1007"/>
  <c r="E1006"/>
  <c r="E255" i="32"/>
  <c r="E1005" i="18"/>
  <c r="E254" i="32"/>
  <c r="E1004" i="18"/>
  <c r="E253" i="32"/>
  <c r="E1003" i="18"/>
  <c r="E252" i="32"/>
  <c r="E1002" i="18"/>
  <c r="E1001"/>
  <c r="E278" i="32"/>
  <c r="E277"/>
  <c r="E105"/>
  <c r="E272"/>
  <c r="E280"/>
  <c r="E281"/>
  <c r="E282"/>
  <c r="E320"/>
  <c r="E321"/>
  <c r="E312"/>
  <c r="E304"/>
  <c r="E296"/>
  <c r="E311"/>
  <c r="E303"/>
  <c r="E310"/>
  <c r="E302"/>
  <c r="E273"/>
  <c r="E309"/>
  <c r="E301"/>
  <c r="E308"/>
  <c r="E300"/>
  <c r="E315"/>
  <c r="E307"/>
  <c r="E299"/>
  <c r="E314"/>
  <c r="E306"/>
  <c r="E298"/>
  <c r="E313"/>
  <c r="E305"/>
  <c r="E297"/>
  <c r="E12"/>
  <c r="E13"/>
  <c r="E14"/>
  <c r="E131"/>
  <c r="E132"/>
  <c r="E260"/>
  <c r="E261"/>
  <c r="E262"/>
  <c r="E258"/>
  <c r="E259"/>
  <c r="E17"/>
  <c r="E18"/>
  <c r="E19"/>
  <c r="E213"/>
  <c r="E206"/>
  <c r="E198"/>
  <c r="E190"/>
  <c r="E182"/>
  <c r="E214"/>
  <c r="E199"/>
  <c r="E191"/>
  <c r="E183"/>
  <c r="E215"/>
  <c r="E207"/>
  <c r="E200"/>
  <c r="E192"/>
  <c r="E184"/>
  <c r="E216"/>
  <c r="E208"/>
  <c r="E201"/>
  <c r="E193"/>
  <c r="E185"/>
  <c r="E217"/>
  <c r="E209"/>
  <c r="E202"/>
  <c r="E194"/>
  <c r="E186"/>
  <c r="E218"/>
  <c r="E210"/>
  <c r="E203"/>
  <c r="E195"/>
  <c r="E187"/>
  <c r="E219"/>
  <c r="E211"/>
  <c r="E204"/>
  <c r="E196"/>
  <c r="E188"/>
  <c r="E212"/>
  <c r="E205"/>
  <c r="E197"/>
  <c r="E189"/>
  <c r="E263"/>
  <c r="E264"/>
  <c r="E63"/>
  <c r="E64"/>
  <c r="E235"/>
  <c r="E227"/>
  <c r="E236"/>
  <c r="E228"/>
  <c r="E237"/>
  <c r="E229"/>
  <c r="E238"/>
  <c r="E230"/>
  <c r="E239"/>
  <c r="E231"/>
  <c r="E240"/>
  <c r="E232"/>
  <c r="E233"/>
  <c r="E234"/>
  <c r="E173"/>
  <c r="E167"/>
  <c r="E160"/>
  <c r="E155"/>
  <c r="E150"/>
  <c r="E142"/>
  <c r="E174"/>
  <c r="E161"/>
  <c r="E156"/>
  <c r="E151"/>
  <c r="E143"/>
  <c r="E175"/>
  <c r="E168"/>
  <c r="E162"/>
  <c r="E152"/>
  <c r="E144"/>
  <c r="E176"/>
  <c r="E169"/>
  <c r="E163"/>
  <c r="E145"/>
  <c r="E170"/>
  <c r="E146"/>
  <c r="E164"/>
  <c r="E157"/>
  <c r="E147"/>
  <c r="E139"/>
  <c r="E171"/>
  <c r="E165"/>
  <c r="E158"/>
  <c r="E153"/>
  <c r="E148"/>
  <c r="E140"/>
  <c r="E172"/>
  <c r="E166"/>
  <c r="E159"/>
  <c r="E154"/>
  <c r="E149"/>
  <c r="E141"/>
  <c r="E268"/>
  <c r="E269"/>
  <c r="E270"/>
  <c r="E33"/>
  <c r="E25"/>
  <c r="E34"/>
  <c r="E26"/>
  <c r="E35"/>
  <c r="E27"/>
  <c r="E36"/>
  <c r="E28"/>
  <c r="E20"/>
  <c r="E37"/>
  <c r="E29"/>
  <c r="E21"/>
  <c r="E30"/>
  <c r="E22"/>
  <c r="E31"/>
  <c r="E23"/>
  <c r="E32"/>
  <c r="E24"/>
  <c r="E220"/>
  <c r="E221"/>
  <c r="E222"/>
  <c r="E223"/>
  <c r="E224"/>
  <c r="E225"/>
  <c r="E226"/>
  <c r="E71"/>
  <c r="E72"/>
  <c r="E70"/>
  <c r="E133"/>
  <c r="E134"/>
  <c r="E135"/>
  <c r="E136"/>
  <c r="E137"/>
  <c r="E138"/>
  <c r="E42"/>
  <c r="E38"/>
  <c r="E39"/>
  <c r="E40"/>
  <c r="E41"/>
  <c r="E180"/>
  <c r="E177"/>
  <c r="E178"/>
  <c r="E181"/>
  <c r="E179"/>
  <c r="E83"/>
  <c r="E75"/>
  <c r="E84"/>
  <c r="E76"/>
  <c r="E77"/>
  <c r="E78"/>
  <c r="E79"/>
  <c r="E80"/>
  <c r="E81"/>
  <c r="E73"/>
  <c r="E82"/>
  <c r="E74"/>
  <c r="E108"/>
  <c r="E109"/>
  <c r="E110"/>
  <c r="E111"/>
  <c r="E106"/>
  <c r="E107"/>
  <c r="E123"/>
  <c r="E124"/>
  <c r="E125"/>
  <c r="E126"/>
  <c r="E127"/>
  <c r="E122"/>
  <c r="E61"/>
  <c r="E62"/>
  <c r="E67"/>
  <c r="E68"/>
  <c r="E65"/>
  <c r="E66"/>
  <c r="E104"/>
  <c r="E98"/>
  <c r="E99"/>
  <c r="E100"/>
  <c r="E101"/>
  <c r="E102"/>
  <c r="E103"/>
  <c r="E44"/>
  <c r="E43"/>
  <c r="E50"/>
  <c r="E51"/>
  <c r="E45"/>
  <c r="E46"/>
  <c r="E47"/>
  <c r="E48"/>
  <c r="E49"/>
  <c r="E54"/>
  <c r="E55"/>
  <c r="E56"/>
  <c r="E57"/>
  <c r="E58"/>
  <c r="E59"/>
  <c r="E60"/>
  <c r="E52"/>
  <c r="E53"/>
  <c r="E266"/>
  <c r="E267"/>
  <c r="E116"/>
  <c r="E117"/>
  <c r="E118"/>
  <c r="E119"/>
  <c r="E120"/>
  <c r="E112"/>
  <c r="E121"/>
  <c r="E113"/>
  <c r="E114"/>
  <c r="E115"/>
  <c r="E92"/>
  <c r="E93"/>
  <c r="E85"/>
  <c r="E94"/>
  <c r="E86"/>
  <c r="E95"/>
  <c r="E87"/>
  <c r="E96"/>
  <c r="E88"/>
  <c r="E97"/>
  <c r="E89"/>
  <c r="E90"/>
  <c r="E91"/>
  <c r="E251"/>
  <c r="E243"/>
  <c r="E244"/>
  <c r="E245"/>
  <c r="E246"/>
  <c r="E247"/>
  <c r="E248"/>
  <c r="E249"/>
  <c r="E241"/>
  <c r="E250"/>
  <c r="E242"/>
  <c r="E67" i="18"/>
  <c r="E986"/>
  <c r="E66"/>
  <c r="E993"/>
  <c r="E370"/>
  <c r="E369"/>
  <c r="E65"/>
  <c r="E63"/>
  <c r="E64"/>
  <c r="E249"/>
  <c r="E241"/>
  <c r="E233"/>
  <c r="E225"/>
  <c r="E248"/>
  <c r="E240"/>
  <c r="E232"/>
  <c r="E224"/>
  <c r="E247"/>
  <c r="E239"/>
  <c r="E231"/>
  <c r="E223"/>
  <c r="E246"/>
  <c r="E238"/>
  <c r="E230"/>
  <c r="E222"/>
  <c r="E245"/>
  <c r="E237"/>
  <c r="E229"/>
  <c r="E221"/>
  <c r="E244"/>
  <c r="E236"/>
  <c r="E228"/>
  <c r="E220"/>
  <c r="E243"/>
  <c r="E235"/>
  <c r="E227"/>
  <c r="E219"/>
  <c r="E242"/>
  <c r="E234"/>
  <c r="E226"/>
  <c r="E218"/>
  <c r="E846"/>
  <c r="E845"/>
  <c r="E844"/>
  <c r="E849"/>
  <c r="E848"/>
  <c r="E847"/>
  <c r="E670"/>
  <c r="E662"/>
  <c r="E654"/>
  <c r="E669"/>
  <c r="E661"/>
  <c r="E653"/>
  <c r="E668"/>
  <c r="E660"/>
  <c r="E652"/>
  <c r="E667"/>
  <c r="E659"/>
  <c r="E666"/>
  <c r="E658"/>
  <c r="E665"/>
  <c r="E657"/>
  <c r="E664"/>
  <c r="E656"/>
  <c r="E671"/>
  <c r="E663"/>
  <c r="E655"/>
  <c r="E870"/>
  <c r="E862"/>
  <c r="E854"/>
  <c r="E869"/>
  <c r="E861"/>
  <c r="E853"/>
  <c r="E868"/>
  <c r="E860"/>
  <c r="E852"/>
  <c r="E867"/>
  <c r="E859"/>
  <c r="E851"/>
  <c r="E866"/>
  <c r="E858"/>
  <c r="E850"/>
  <c r="E865"/>
  <c r="E857"/>
  <c r="E864"/>
  <c r="E856"/>
  <c r="E863"/>
  <c r="E855"/>
  <c r="E598"/>
  <c r="E590"/>
  <c r="E582"/>
  <c r="E574"/>
  <c r="E566"/>
  <c r="E558"/>
  <c r="E550"/>
  <c r="E542"/>
  <c r="E534"/>
  <c r="E526"/>
  <c r="E518"/>
  <c r="E510"/>
  <c r="E502"/>
  <c r="E494"/>
  <c r="E486"/>
  <c r="E478"/>
  <c r="E470"/>
  <c r="E462"/>
  <c r="E454"/>
  <c r="E446"/>
  <c r="E597"/>
  <c r="E589"/>
  <c r="E581"/>
  <c r="E573"/>
  <c r="E565"/>
  <c r="E557"/>
  <c r="E549"/>
  <c r="E541"/>
  <c r="E533"/>
  <c r="E525"/>
  <c r="E517"/>
  <c r="E509"/>
  <c r="E501"/>
  <c r="E493"/>
  <c r="E485"/>
  <c r="E596"/>
  <c r="E588"/>
  <c r="E580"/>
  <c r="E572"/>
  <c r="E564"/>
  <c r="E556"/>
  <c r="E548"/>
  <c r="E540"/>
  <c r="E532"/>
  <c r="E524"/>
  <c r="E516"/>
  <c r="E508"/>
  <c r="E500"/>
  <c r="E492"/>
  <c r="E484"/>
  <c r="E476"/>
  <c r="E468"/>
  <c r="E460"/>
  <c r="E452"/>
  <c r="E444"/>
  <c r="E595"/>
  <c r="E587"/>
  <c r="E579"/>
  <c r="E571"/>
  <c r="E563"/>
  <c r="E555"/>
  <c r="E547"/>
  <c r="E539"/>
  <c r="E531"/>
  <c r="E523"/>
  <c r="E515"/>
  <c r="E507"/>
  <c r="E499"/>
  <c r="E491"/>
  <c r="E483"/>
  <c r="E475"/>
  <c r="E467"/>
  <c r="E594"/>
  <c r="E586"/>
  <c r="E578"/>
  <c r="E570"/>
  <c r="E562"/>
  <c r="E554"/>
  <c r="E546"/>
  <c r="E538"/>
  <c r="E530"/>
  <c r="E522"/>
  <c r="E514"/>
  <c r="E506"/>
  <c r="E498"/>
  <c r="E490"/>
  <c r="E482"/>
  <c r="E474"/>
  <c r="E466"/>
  <c r="E458"/>
  <c r="E450"/>
  <c r="E994"/>
  <c r="E593"/>
  <c r="E585"/>
  <c r="E577"/>
  <c r="E569"/>
  <c r="E561"/>
  <c r="E553"/>
  <c r="E545"/>
  <c r="E537"/>
  <c r="E529"/>
  <c r="E521"/>
  <c r="E513"/>
  <c r="E505"/>
  <c r="E497"/>
  <c r="E489"/>
  <c r="E481"/>
  <c r="E473"/>
  <c r="E465"/>
  <c r="E457"/>
  <c r="E449"/>
  <c r="E592"/>
  <c r="E584"/>
  <c r="E576"/>
  <c r="E568"/>
  <c r="E560"/>
  <c r="E552"/>
  <c r="E544"/>
  <c r="E536"/>
  <c r="E528"/>
  <c r="E520"/>
  <c r="E512"/>
  <c r="E504"/>
  <c r="E496"/>
  <c r="E488"/>
  <c r="E480"/>
  <c r="E472"/>
  <c r="E464"/>
  <c r="E456"/>
  <c r="E448"/>
  <c r="E599"/>
  <c r="E591"/>
  <c r="E583"/>
  <c r="E575"/>
  <c r="E567"/>
  <c r="E559"/>
  <c r="E551"/>
  <c r="E543"/>
  <c r="E535"/>
  <c r="E527"/>
  <c r="E519"/>
  <c r="E511"/>
  <c r="E503"/>
  <c r="E495"/>
  <c r="E459"/>
  <c r="E487"/>
  <c r="E455"/>
  <c r="E479"/>
  <c r="E453"/>
  <c r="E477"/>
  <c r="E451"/>
  <c r="E471"/>
  <c r="E447"/>
  <c r="E469"/>
  <c r="E445"/>
  <c r="E463"/>
  <c r="E461"/>
  <c r="E909"/>
  <c r="E908"/>
  <c r="E907"/>
  <c r="E350"/>
  <c r="E344"/>
  <c r="E346"/>
  <c r="E345"/>
  <c r="E343"/>
  <c r="E351"/>
  <c r="E349"/>
  <c r="E348"/>
  <c r="E347"/>
  <c r="E902"/>
  <c r="E894"/>
  <c r="E886"/>
  <c r="E878"/>
  <c r="E901"/>
  <c r="E893"/>
  <c r="E885"/>
  <c r="E877"/>
  <c r="E900"/>
  <c r="E892"/>
  <c r="E884"/>
  <c r="E876"/>
  <c r="E899"/>
  <c r="E891"/>
  <c r="E883"/>
  <c r="E875"/>
  <c r="E898"/>
  <c r="E890"/>
  <c r="E882"/>
  <c r="E874"/>
  <c r="E897"/>
  <c r="E889"/>
  <c r="E881"/>
  <c r="E873"/>
  <c r="E904"/>
  <c r="E896"/>
  <c r="E888"/>
  <c r="E880"/>
  <c r="E872"/>
  <c r="E903"/>
  <c r="E895"/>
  <c r="E887"/>
  <c r="E879"/>
  <c r="E871"/>
  <c r="E217"/>
  <c r="E216"/>
  <c r="E265"/>
  <c r="E257"/>
  <c r="E264"/>
  <c r="E256"/>
  <c r="E263"/>
  <c r="E255"/>
  <c r="E262"/>
  <c r="E254"/>
  <c r="E261"/>
  <c r="E253"/>
  <c r="E260"/>
  <c r="E252"/>
  <c r="E259"/>
  <c r="E251"/>
  <c r="E258"/>
  <c r="E250"/>
  <c r="E366"/>
  <c r="E358"/>
  <c r="E368"/>
  <c r="E360"/>
  <c r="E352"/>
  <c r="E367"/>
  <c r="E356"/>
  <c r="E365"/>
  <c r="E355"/>
  <c r="E364"/>
  <c r="E354"/>
  <c r="E363"/>
  <c r="E353"/>
  <c r="E362"/>
  <c r="E361"/>
  <c r="E359"/>
  <c r="E357"/>
  <c r="E174"/>
  <c r="E173"/>
  <c r="E172"/>
  <c r="E171"/>
  <c r="E170"/>
  <c r="E942"/>
  <c r="E943"/>
  <c r="E185"/>
  <c r="E184"/>
  <c r="E176"/>
  <c r="E183"/>
  <c r="E175"/>
  <c r="E182"/>
  <c r="E181"/>
  <c r="E180"/>
  <c r="E179"/>
  <c r="E186"/>
  <c r="E178"/>
  <c r="E177"/>
  <c r="E209"/>
  <c r="E201"/>
  <c r="E193"/>
  <c r="E208"/>
  <c r="E200"/>
  <c r="E192"/>
  <c r="E207"/>
  <c r="E199"/>
  <c r="E191"/>
  <c r="E214"/>
  <c r="E206"/>
  <c r="E198"/>
  <c r="E190"/>
  <c r="E213"/>
  <c r="E205"/>
  <c r="E197"/>
  <c r="E189"/>
  <c r="E212"/>
  <c r="E204"/>
  <c r="E196"/>
  <c r="E188"/>
  <c r="E211"/>
  <c r="E203"/>
  <c r="E195"/>
  <c r="E210"/>
  <c r="E202"/>
  <c r="E194"/>
  <c r="E945"/>
  <c r="E944"/>
  <c r="E910"/>
  <c r="E914"/>
  <c r="E913"/>
  <c r="E912"/>
  <c r="E911"/>
  <c r="E646"/>
  <c r="E645"/>
  <c r="E996"/>
  <c r="E651"/>
  <c r="E650"/>
  <c r="E649"/>
  <c r="E648"/>
  <c r="E647"/>
  <c r="E814"/>
  <c r="E813"/>
  <c r="E812"/>
  <c r="E811"/>
  <c r="E810"/>
  <c r="E809"/>
  <c r="E808"/>
  <c r="E807"/>
  <c r="E342"/>
  <c r="E334"/>
  <c r="E326"/>
  <c r="E318"/>
  <c r="E310"/>
  <c r="E336"/>
  <c r="E328"/>
  <c r="E320"/>
  <c r="E312"/>
  <c r="E335"/>
  <c r="E324"/>
  <c r="E314"/>
  <c r="E333"/>
  <c r="E323"/>
  <c r="E313"/>
  <c r="E332"/>
  <c r="E322"/>
  <c r="E311"/>
  <c r="E341"/>
  <c r="E331"/>
  <c r="E321"/>
  <c r="E340"/>
  <c r="E330"/>
  <c r="E319"/>
  <c r="E339"/>
  <c r="E329"/>
  <c r="E317"/>
  <c r="E338"/>
  <c r="E327"/>
  <c r="E316"/>
  <c r="E337"/>
  <c r="E325"/>
  <c r="E315"/>
  <c r="E906"/>
  <c r="E905"/>
  <c r="E438"/>
  <c r="E430"/>
  <c r="E422"/>
  <c r="E414"/>
  <c r="E406"/>
  <c r="E398"/>
  <c r="E390"/>
  <c r="E382"/>
  <c r="E374"/>
  <c r="E436"/>
  <c r="E428"/>
  <c r="E420"/>
  <c r="E412"/>
  <c r="E404"/>
  <c r="E396"/>
  <c r="E388"/>
  <c r="E380"/>
  <c r="E442"/>
  <c r="E434"/>
  <c r="E426"/>
  <c r="E418"/>
  <c r="E410"/>
  <c r="E441"/>
  <c r="E433"/>
  <c r="E440"/>
  <c r="E432"/>
  <c r="E424"/>
  <c r="E416"/>
  <c r="E408"/>
  <c r="E400"/>
  <c r="E392"/>
  <c r="E384"/>
  <c r="E376"/>
  <c r="E437"/>
  <c r="E419"/>
  <c r="E403"/>
  <c r="E391"/>
  <c r="E378"/>
  <c r="E435"/>
  <c r="E417"/>
  <c r="E402"/>
  <c r="E389"/>
  <c r="E377"/>
  <c r="E431"/>
  <c r="E415"/>
  <c r="E401"/>
  <c r="E387"/>
  <c r="E375"/>
  <c r="E429"/>
  <c r="E413"/>
  <c r="E399"/>
  <c r="E386"/>
  <c r="E373"/>
  <c r="E427"/>
  <c r="E411"/>
  <c r="E397"/>
  <c r="E385"/>
  <c r="E372"/>
  <c r="E425"/>
  <c r="E409"/>
  <c r="E395"/>
  <c r="E383"/>
  <c r="E371"/>
  <c r="E443"/>
  <c r="E423"/>
  <c r="E407"/>
  <c r="E394"/>
  <c r="E381"/>
  <c r="E439"/>
  <c r="E421"/>
  <c r="E405"/>
  <c r="E393"/>
  <c r="E379"/>
  <c r="E622"/>
  <c r="E614"/>
  <c r="E606"/>
  <c r="E621"/>
  <c r="E613"/>
  <c r="E605"/>
  <c r="E620"/>
  <c r="E612"/>
  <c r="E604"/>
  <c r="E619"/>
  <c r="E611"/>
  <c r="E603"/>
  <c r="E995"/>
  <c r="E626"/>
  <c r="E618"/>
  <c r="E610"/>
  <c r="E602"/>
  <c r="E625"/>
  <c r="E617"/>
  <c r="E609"/>
  <c r="E601"/>
  <c r="E624"/>
  <c r="E616"/>
  <c r="E608"/>
  <c r="E600"/>
  <c r="E623"/>
  <c r="E615"/>
  <c r="E607"/>
  <c r="E630"/>
  <c r="E629"/>
  <c r="E628"/>
  <c r="E627"/>
  <c r="E634"/>
  <c r="E633"/>
  <c r="E632"/>
  <c r="E631"/>
  <c r="E638"/>
  <c r="E637"/>
  <c r="E644"/>
  <c r="E636"/>
  <c r="E643"/>
  <c r="E635"/>
  <c r="E642"/>
  <c r="E641"/>
  <c r="E640"/>
  <c r="E639"/>
  <c r="E309"/>
  <c r="E308"/>
  <c r="E710"/>
  <c r="E702"/>
  <c r="E694"/>
  <c r="E686"/>
  <c r="E678"/>
  <c r="E709"/>
  <c r="E701"/>
  <c r="E693"/>
  <c r="E685"/>
  <c r="E677"/>
  <c r="E997"/>
  <c r="E716"/>
  <c r="E708"/>
  <c r="E700"/>
  <c r="E692"/>
  <c r="E684"/>
  <c r="E676"/>
  <c r="E715"/>
  <c r="E707"/>
  <c r="E699"/>
  <c r="E691"/>
  <c r="E683"/>
  <c r="E675"/>
  <c r="E714"/>
  <c r="E706"/>
  <c r="E698"/>
  <c r="E690"/>
  <c r="E682"/>
  <c r="E674"/>
  <c r="E713"/>
  <c r="E705"/>
  <c r="E697"/>
  <c r="E689"/>
  <c r="E681"/>
  <c r="E673"/>
  <c r="E712"/>
  <c r="E704"/>
  <c r="E696"/>
  <c r="E688"/>
  <c r="E680"/>
  <c r="E672"/>
  <c r="E711"/>
  <c r="E703"/>
  <c r="E695"/>
  <c r="E687"/>
  <c r="E679"/>
  <c r="E169"/>
  <c r="E153"/>
  <c r="E168"/>
  <c r="E160"/>
  <c r="E152"/>
  <c r="E167"/>
  <c r="E159"/>
  <c r="E151"/>
  <c r="E166"/>
  <c r="E158"/>
  <c r="E150"/>
  <c r="E142"/>
  <c r="E140"/>
  <c r="E165"/>
  <c r="E157"/>
  <c r="E149"/>
  <c r="E141"/>
  <c r="E164"/>
  <c r="E148"/>
  <c r="E156"/>
  <c r="E163"/>
  <c r="E155"/>
  <c r="E147"/>
  <c r="E139"/>
  <c r="E161"/>
  <c r="E145"/>
  <c r="E143"/>
  <c r="E162"/>
  <c r="E154"/>
  <c r="E146"/>
  <c r="E138"/>
  <c r="E137"/>
  <c r="E144"/>
  <c r="E934"/>
  <c r="E941"/>
  <c r="E940"/>
  <c r="E939"/>
  <c r="E938"/>
  <c r="E937"/>
  <c r="E936"/>
  <c r="E935"/>
  <c r="E273"/>
  <c r="E272"/>
  <c r="E271"/>
  <c r="E270"/>
  <c r="E277"/>
  <c r="E269"/>
  <c r="E276"/>
  <c r="E268"/>
  <c r="E275"/>
  <c r="E267"/>
  <c r="E274"/>
  <c r="E266"/>
  <c r="E302"/>
  <c r="E294"/>
  <c r="E286"/>
  <c r="E304"/>
  <c r="E296"/>
  <c r="E288"/>
  <c r="E280"/>
  <c r="E303"/>
  <c r="E292"/>
  <c r="E282"/>
  <c r="E301"/>
  <c r="E291"/>
  <c r="E281"/>
  <c r="E300"/>
  <c r="E290"/>
  <c r="E279"/>
  <c r="E299"/>
  <c r="E289"/>
  <c r="E278"/>
  <c r="E298"/>
  <c r="E287"/>
  <c r="E297"/>
  <c r="E285"/>
  <c r="E306"/>
  <c r="E295"/>
  <c r="E284"/>
  <c r="E305"/>
  <c r="E293"/>
  <c r="E283"/>
  <c r="E718"/>
  <c r="E717"/>
  <c r="E129"/>
  <c r="E105"/>
  <c r="E81"/>
  <c r="E103"/>
  <c r="E88"/>
  <c r="E127"/>
  <c r="E87"/>
  <c r="E126"/>
  <c r="E118"/>
  <c r="E110"/>
  <c r="E102"/>
  <c r="E94"/>
  <c r="E86"/>
  <c r="E78"/>
  <c r="E70"/>
  <c r="E100"/>
  <c r="E76"/>
  <c r="E104"/>
  <c r="E72"/>
  <c r="E119"/>
  <c r="E71"/>
  <c r="E133"/>
  <c r="E125"/>
  <c r="E117"/>
  <c r="E109"/>
  <c r="E101"/>
  <c r="E93"/>
  <c r="E85"/>
  <c r="E77"/>
  <c r="E132"/>
  <c r="E116"/>
  <c r="E92"/>
  <c r="E112"/>
  <c r="E80"/>
  <c r="E124"/>
  <c r="E108"/>
  <c r="E84"/>
  <c r="E120"/>
  <c r="E111"/>
  <c r="E79"/>
  <c r="E131"/>
  <c r="E123"/>
  <c r="E115"/>
  <c r="E107"/>
  <c r="E99"/>
  <c r="E91"/>
  <c r="E83"/>
  <c r="E75"/>
  <c r="E121"/>
  <c r="E113"/>
  <c r="E89"/>
  <c r="E128"/>
  <c r="E96"/>
  <c r="E130"/>
  <c r="E122"/>
  <c r="E114"/>
  <c r="E106"/>
  <c r="E98"/>
  <c r="E90"/>
  <c r="E82"/>
  <c r="E74"/>
  <c r="E97"/>
  <c r="E73"/>
  <c r="E95"/>
  <c r="E136"/>
  <c r="E134"/>
  <c r="E135"/>
  <c r="E916"/>
  <c r="E915"/>
  <c r="E806"/>
  <c r="E798"/>
  <c r="E790"/>
  <c r="E782"/>
  <c r="E774"/>
  <c r="E766"/>
  <c r="E758"/>
  <c r="E750"/>
  <c r="E742"/>
  <c r="E734"/>
  <c r="E726"/>
  <c r="E805"/>
  <c r="E797"/>
  <c r="E789"/>
  <c r="E781"/>
  <c r="E773"/>
  <c r="E765"/>
  <c r="E757"/>
  <c r="E749"/>
  <c r="E741"/>
  <c r="E733"/>
  <c r="E725"/>
  <c r="E804"/>
  <c r="E796"/>
  <c r="E788"/>
  <c r="E780"/>
  <c r="E772"/>
  <c r="E764"/>
  <c r="E756"/>
  <c r="E748"/>
  <c r="E740"/>
  <c r="E732"/>
  <c r="E724"/>
  <c r="E803"/>
  <c r="E795"/>
  <c r="E787"/>
  <c r="E779"/>
  <c r="E771"/>
  <c r="E763"/>
  <c r="E755"/>
  <c r="E747"/>
  <c r="E739"/>
  <c r="E731"/>
  <c r="E723"/>
  <c r="E802"/>
  <c r="E794"/>
  <c r="E786"/>
  <c r="E778"/>
  <c r="E770"/>
  <c r="E762"/>
  <c r="E754"/>
  <c r="E746"/>
  <c r="E738"/>
  <c r="E730"/>
  <c r="E722"/>
  <c r="E801"/>
  <c r="E793"/>
  <c r="E785"/>
  <c r="E777"/>
  <c r="E769"/>
  <c r="E761"/>
  <c r="E753"/>
  <c r="E745"/>
  <c r="E737"/>
  <c r="E729"/>
  <c r="E721"/>
  <c r="E800"/>
  <c r="E792"/>
  <c r="E784"/>
  <c r="E776"/>
  <c r="E768"/>
  <c r="E760"/>
  <c r="E752"/>
  <c r="E744"/>
  <c r="E736"/>
  <c r="E728"/>
  <c r="E720"/>
  <c r="E799"/>
  <c r="E791"/>
  <c r="E783"/>
  <c r="E775"/>
  <c r="E767"/>
  <c r="E759"/>
  <c r="E751"/>
  <c r="E743"/>
  <c r="E735"/>
  <c r="E727"/>
  <c r="E719"/>
  <c r="E950"/>
  <c r="E949"/>
  <c r="E948"/>
  <c r="E947"/>
  <c r="E946"/>
  <c r="E33"/>
  <c r="E17"/>
  <c r="E23"/>
  <c r="E47"/>
  <c r="E55"/>
  <c r="E39"/>
  <c r="E15"/>
  <c r="E62"/>
  <c r="E54"/>
  <c r="E46"/>
  <c r="E38"/>
  <c r="E30"/>
  <c r="E22"/>
  <c r="E14"/>
  <c r="E12"/>
  <c r="E61"/>
  <c r="E53"/>
  <c r="E45"/>
  <c r="E37"/>
  <c r="E29"/>
  <c r="E21"/>
  <c r="E13"/>
  <c r="E60"/>
  <c r="E44"/>
  <c r="E20"/>
  <c r="E52"/>
  <c r="E36"/>
  <c r="E28"/>
  <c r="E40"/>
  <c r="E32"/>
  <c r="E16"/>
  <c r="E59"/>
  <c r="E51"/>
  <c r="E43"/>
  <c r="E35"/>
  <c r="E27"/>
  <c r="E19"/>
  <c r="E57"/>
  <c r="E49"/>
  <c r="E25"/>
  <c r="E56"/>
  <c r="E48"/>
  <c r="E24"/>
  <c r="E58"/>
  <c r="E50"/>
  <c r="E42"/>
  <c r="E34"/>
  <c r="E26"/>
  <c r="E18"/>
  <c r="E41"/>
  <c r="E31"/>
  <c r="E999"/>
  <c r="E926"/>
  <c r="E918"/>
  <c r="E998"/>
  <c r="E925"/>
  <c r="E917"/>
  <c r="E924"/>
  <c r="E923"/>
  <c r="E922"/>
  <c r="E921"/>
  <c r="E920"/>
  <c r="E919"/>
  <c r="E69"/>
  <c r="E68"/>
  <c r="E838"/>
  <c r="E830"/>
  <c r="E822"/>
  <c r="E837"/>
  <c r="E829"/>
  <c r="E821"/>
  <c r="E836"/>
  <c r="E828"/>
  <c r="E820"/>
  <c r="E843"/>
  <c r="E835"/>
  <c r="E827"/>
  <c r="E819"/>
  <c r="E842"/>
  <c r="E834"/>
  <c r="E826"/>
  <c r="E818"/>
  <c r="E841"/>
  <c r="E833"/>
  <c r="E825"/>
  <c r="E817"/>
  <c r="E840"/>
  <c r="E832"/>
  <c r="E824"/>
  <c r="E816"/>
  <c r="E839"/>
  <c r="E831"/>
  <c r="E823"/>
  <c r="E815"/>
  <c r="E933"/>
  <c r="E932"/>
  <c r="E931"/>
  <c r="E930"/>
  <c r="E929"/>
  <c r="E928"/>
  <c r="E927"/>
  <c r="H41" i="61"/>
  <c r="N41"/>
  <c r="T41"/>
  <c r="H10" i="70"/>
  <c r="D34" i="69"/>
  <c r="D34" i="70"/>
  <c r="H10" i="69"/>
  <c r="K10"/>
  <c r="L10" s="1"/>
  <c r="D18" i="70"/>
  <c r="D18" i="69"/>
  <c r="N48" i="71"/>
  <c r="N56"/>
  <c r="N47"/>
  <c r="N44"/>
  <c r="N53"/>
  <c r="N45"/>
  <c r="N54"/>
  <c r="N36"/>
  <c r="N38"/>
  <c r="N26"/>
  <c r="N32"/>
  <c r="N25"/>
  <c r="N40"/>
  <c r="T48"/>
  <c r="T56"/>
  <c r="T26"/>
  <c r="T54"/>
  <c r="T45"/>
  <c r="T40"/>
  <c r="T36"/>
  <c r="T25"/>
  <c r="T38"/>
  <c r="T32"/>
  <c r="T44"/>
  <c r="H47"/>
  <c r="H48"/>
  <c r="H32"/>
  <c r="H40"/>
  <c r="H36"/>
  <c r="H26"/>
  <c r="H44"/>
  <c r="H54"/>
  <c r="H38"/>
  <c r="H56"/>
  <c r="H25"/>
  <c r="H45"/>
  <c r="N36" i="61"/>
  <c r="E36" i="70" s="1"/>
  <c r="N32" i="61"/>
  <c r="E32" i="70" s="1"/>
  <c r="T32" i="61"/>
  <c r="H32"/>
  <c r="E32" i="68" s="1"/>
  <c r="H36" i="61"/>
  <c r="E36" i="68" s="1"/>
  <c r="T36" i="61"/>
  <c r="N38"/>
  <c r="E38" i="70" s="1"/>
  <c r="T54" i="61"/>
  <c r="R54" s="1"/>
  <c r="R55" s="1"/>
  <c r="T57"/>
  <c r="T26"/>
  <c r="T48"/>
  <c r="T45"/>
  <c r="T40"/>
  <c r="T44"/>
  <c r="T25"/>
  <c r="N57"/>
  <c r="E56" i="70" s="1"/>
  <c r="N44" i="61"/>
  <c r="E44" i="70" s="1"/>
  <c r="N47" i="61"/>
  <c r="E47" i="70" s="1"/>
  <c r="N48" i="61"/>
  <c r="E48" i="70" s="1"/>
  <c r="N40" i="61"/>
  <c r="E40" i="70" s="1"/>
  <c r="N53" i="61"/>
  <c r="E53" i="70" s="1"/>
  <c r="N54" i="61"/>
  <c r="E54" i="70" s="1"/>
  <c r="N25" i="61"/>
  <c r="E25" i="70" s="1"/>
  <c r="N26" i="61"/>
  <c r="E26" i="70" s="1"/>
  <c r="N45" i="61"/>
  <c r="E45" i="70" s="1"/>
  <c r="H47" i="61"/>
  <c r="E47" i="68" s="1"/>
  <c r="H48" i="61"/>
  <c r="E48" i="68" s="1"/>
  <c r="H44" i="61"/>
  <c r="E44" i="68" s="1"/>
  <c r="H57" i="61"/>
  <c r="E56" i="68" s="1"/>
  <c r="H54" i="61"/>
  <c r="E54" i="68" s="1"/>
  <c r="H45" i="61"/>
  <c r="E45" i="68" s="1"/>
  <c r="H25" i="61"/>
  <c r="E25" i="68" s="1"/>
  <c r="H38" i="61"/>
  <c r="E38" i="68" s="1"/>
  <c r="H40" i="61"/>
  <c r="E40" i="68" s="1"/>
  <c r="H26" i="61"/>
  <c r="E26" i="68" s="1"/>
  <c r="W10" i="63"/>
  <c r="X10" s="1"/>
  <c r="G14" i="61"/>
  <c r="D14" i="68" s="1"/>
  <c r="AR8" i="61"/>
  <c r="AS8" s="1"/>
  <c r="Y9"/>
  <c r="AR9"/>
  <c r="AS9" s="1"/>
  <c r="W10"/>
  <c r="AZ10"/>
  <c r="BA10" s="1"/>
  <c r="R9" i="63"/>
  <c r="G9"/>
  <c r="R8"/>
  <c r="G8"/>
  <c r="AC10" i="61"/>
  <c r="M18" i="63"/>
  <c r="S10" i="61"/>
  <c r="N10" i="63"/>
  <c r="O10" s="1"/>
  <c r="S18" i="61"/>
  <c r="F50" i="63"/>
  <c r="G50" s="1"/>
  <c r="X18" i="61"/>
  <c r="S34"/>
  <c r="R51"/>
  <c r="L51"/>
  <c r="M34"/>
  <c r="M18"/>
  <c r="G35"/>
  <c r="D35" i="68" s="1"/>
  <c r="G15" i="61"/>
  <c r="D15" i="68" s="1"/>
  <c r="G36" i="61"/>
  <c r="D36" i="68" s="1"/>
  <c r="G16" i="61"/>
  <c r="D16" i="68" s="1"/>
  <c r="G37" i="61"/>
  <c r="G32"/>
  <c r="D32" i="68" s="1"/>
  <c r="G33" i="61"/>
  <c r="Y8"/>
  <c r="Y10"/>
  <c r="X23"/>
  <c r="X34"/>
  <c r="X42"/>
  <c r="X27"/>
  <c r="Q8" i="63"/>
  <c r="F51" i="61"/>
  <c r="F62" s="1"/>
  <c r="C55" i="69" l="1"/>
  <c r="J55" s="1"/>
  <c r="X55" i="61"/>
  <c r="Q55" i="63" s="1"/>
  <c r="AY55" i="61"/>
  <c r="M55" i="63"/>
  <c r="C54" i="69"/>
  <c r="X54" i="61"/>
  <c r="Q54" i="63" s="1"/>
  <c r="AY54" i="61"/>
  <c r="R58"/>
  <c r="M54" i="63"/>
  <c r="M56" i="61"/>
  <c r="Z56"/>
  <c r="Q10" i="63"/>
  <c r="D10" i="69"/>
  <c r="H56" i="70"/>
  <c r="K56"/>
  <c r="L56" s="1"/>
  <c r="AR56" i="71"/>
  <c r="AS56" s="1"/>
  <c r="K56"/>
  <c r="Z56"/>
  <c r="AC56" s="1"/>
  <c r="G56"/>
  <c r="K48"/>
  <c r="G48"/>
  <c r="AR48"/>
  <c r="AS48" s="1"/>
  <c r="Z48"/>
  <c r="AZ38"/>
  <c r="BA38" s="1"/>
  <c r="W38"/>
  <c r="S38"/>
  <c r="U38" s="1"/>
  <c r="W48"/>
  <c r="S48"/>
  <c r="U48" s="1"/>
  <c r="AZ48"/>
  <c r="BA48" s="1"/>
  <c r="AV45"/>
  <c r="AW45" s="1"/>
  <c r="Q45"/>
  <c r="M45"/>
  <c r="O45" s="1"/>
  <c r="Y37" i="61"/>
  <c r="D37" i="68"/>
  <c r="D34" s="1"/>
  <c r="H44" i="70"/>
  <c r="K44"/>
  <c r="L44" s="1"/>
  <c r="AR25" i="71"/>
  <c r="AS25" s="1"/>
  <c r="Z25"/>
  <c r="AC25" s="1"/>
  <c r="G25"/>
  <c r="K25"/>
  <c r="AR32"/>
  <c r="AS32" s="1"/>
  <c r="Z32"/>
  <c r="AA32" s="1"/>
  <c r="I32"/>
  <c r="U32"/>
  <c r="AZ32"/>
  <c r="BA32" s="1"/>
  <c r="S56"/>
  <c r="U56" s="1"/>
  <c r="AZ56"/>
  <c r="BA56" s="1"/>
  <c r="W56"/>
  <c r="Q54"/>
  <c r="M54"/>
  <c r="O54" s="1"/>
  <c r="AV54"/>
  <c r="AW54" s="1"/>
  <c r="H47" i="68"/>
  <c r="K47"/>
  <c r="L47" s="1"/>
  <c r="N26" i="63"/>
  <c r="O26" s="1"/>
  <c r="E26" i="69"/>
  <c r="K45" i="71"/>
  <c r="AR45"/>
  <c r="AS45" s="1"/>
  <c r="Z45"/>
  <c r="AC45" s="1"/>
  <c r="G45"/>
  <c r="G40"/>
  <c r="AR40"/>
  <c r="AS40" s="1"/>
  <c r="Z40"/>
  <c r="AC40" s="1"/>
  <c r="K40"/>
  <c r="S44"/>
  <c r="U44" s="1"/>
  <c r="W44"/>
  <c r="AZ44"/>
  <c r="BA44" s="1"/>
  <c r="W26"/>
  <c r="S26"/>
  <c r="U26" s="1"/>
  <c r="AZ26"/>
  <c r="BA26" s="1"/>
  <c r="O36"/>
  <c r="AV36"/>
  <c r="AW36" s="1"/>
  <c r="N56" i="63"/>
  <c r="O56" s="1"/>
  <c r="E56" i="69"/>
  <c r="H47" i="70"/>
  <c r="K47"/>
  <c r="L47" s="1"/>
  <c r="H48" i="68"/>
  <c r="K48"/>
  <c r="L48" s="1"/>
  <c r="H48" i="70"/>
  <c r="K48"/>
  <c r="L48" s="1"/>
  <c r="N48" i="63"/>
  <c r="O48" s="1"/>
  <c r="E48" i="69"/>
  <c r="Z36" i="71"/>
  <c r="AA36" s="1"/>
  <c r="AR36"/>
  <c r="AS36" s="1"/>
  <c r="I36"/>
  <c r="AZ54"/>
  <c r="BA54" s="1"/>
  <c r="S54"/>
  <c r="U54" s="1"/>
  <c r="W54"/>
  <c r="M38"/>
  <c r="O38" s="1"/>
  <c r="Q38"/>
  <c r="AV38"/>
  <c r="AW38" s="1"/>
  <c r="AV48"/>
  <c r="AW48" s="1"/>
  <c r="M48"/>
  <c r="O48" s="1"/>
  <c r="Q48"/>
  <c r="Y33" i="61"/>
  <c r="D33" i="68"/>
  <c r="G26" i="71"/>
  <c r="Z26"/>
  <c r="AC26" s="1"/>
  <c r="K26"/>
  <c r="AR26"/>
  <c r="AS26" s="1"/>
  <c r="S45"/>
  <c r="U45" s="1"/>
  <c r="W45"/>
  <c r="AZ45"/>
  <c r="BA45" s="1"/>
  <c r="M26"/>
  <c r="O26" s="1"/>
  <c r="Q26"/>
  <c r="AV26"/>
  <c r="AW26" s="1"/>
  <c r="Q56"/>
  <c r="AV56"/>
  <c r="AW56" s="1"/>
  <c r="M56"/>
  <c r="O56" s="1"/>
  <c r="K44"/>
  <c r="Z44"/>
  <c r="AC44" s="1"/>
  <c r="G44"/>
  <c r="AR44"/>
  <c r="AS44" s="1"/>
  <c r="S40"/>
  <c r="U40" s="1"/>
  <c r="W40"/>
  <c r="AZ40"/>
  <c r="BA40" s="1"/>
  <c r="O32"/>
  <c r="AV32"/>
  <c r="AW32" s="1"/>
  <c r="Q47"/>
  <c r="M47"/>
  <c r="O47" s="1"/>
  <c r="AV47"/>
  <c r="AW47" s="1"/>
  <c r="D18" i="68"/>
  <c r="K54" i="71"/>
  <c r="G54"/>
  <c r="Z54"/>
  <c r="AC54" s="1"/>
  <c r="AR54"/>
  <c r="AS54" s="1"/>
  <c r="U36"/>
  <c r="AZ36"/>
  <c r="BA36" s="1"/>
  <c r="AV25"/>
  <c r="AW25" s="1"/>
  <c r="Q25"/>
  <c r="M25"/>
  <c r="O25" s="1"/>
  <c r="AV44"/>
  <c r="AW44" s="1"/>
  <c r="M44"/>
  <c r="O44" s="1"/>
  <c r="Q44"/>
  <c r="K38"/>
  <c r="AR38"/>
  <c r="AS38" s="1"/>
  <c r="G38"/>
  <c r="Z38"/>
  <c r="AC38" s="1"/>
  <c r="G47"/>
  <c r="I47" s="1"/>
  <c r="K47"/>
  <c r="AR47"/>
  <c r="AS47" s="1"/>
  <c r="S25"/>
  <c r="U25" s="1"/>
  <c r="AZ25"/>
  <c r="BA25" s="1"/>
  <c r="W25"/>
  <c r="M40"/>
  <c r="O40" s="1"/>
  <c r="Q40"/>
  <c r="AV40"/>
  <c r="AW40" s="1"/>
  <c r="Q53"/>
  <c r="M53"/>
  <c r="O53" s="1"/>
  <c r="AV53"/>
  <c r="AW53" s="1"/>
  <c r="N54" i="63"/>
  <c r="E54" i="69"/>
  <c r="N44" i="63"/>
  <c r="O44" s="1"/>
  <c r="E44" i="69"/>
  <c r="N45" i="63"/>
  <c r="O45" s="1"/>
  <c r="E45" i="69"/>
  <c r="N40" i="63"/>
  <c r="O40" s="1"/>
  <c r="E40" i="69"/>
  <c r="N36" i="63"/>
  <c r="O36" s="1"/>
  <c r="E36" i="69"/>
  <c r="N32" i="63"/>
  <c r="O32" s="1"/>
  <c r="E32" i="69"/>
  <c r="N25" i="63"/>
  <c r="O25" s="1"/>
  <c r="E25" i="69"/>
  <c r="K54" i="70"/>
  <c r="L54" s="1"/>
  <c r="H54"/>
  <c r="H53"/>
  <c r="K53"/>
  <c r="L53" s="1"/>
  <c r="K45"/>
  <c r="L45" s="1"/>
  <c r="H45"/>
  <c r="H38"/>
  <c r="K38"/>
  <c r="L38" s="1"/>
  <c r="F36"/>
  <c r="K36"/>
  <c r="L36" s="1"/>
  <c r="K40"/>
  <c r="L40" s="1"/>
  <c r="H40"/>
  <c r="F32"/>
  <c r="K32"/>
  <c r="L32" s="1"/>
  <c r="K26"/>
  <c r="L26" s="1"/>
  <c r="H26"/>
  <c r="K25"/>
  <c r="L25" s="1"/>
  <c r="H25"/>
  <c r="H56" i="68"/>
  <c r="K56"/>
  <c r="L56" s="1"/>
  <c r="K54"/>
  <c r="L54" s="1"/>
  <c r="H54"/>
  <c r="H44"/>
  <c r="K44"/>
  <c r="L44" s="1"/>
  <c r="H45"/>
  <c r="K45"/>
  <c r="L45" s="1"/>
  <c r="H40"/>
  <c r="K40"/>
  <c r="L40" s="1"/>
  <c r="H38"/>
  <c r="K38"/>
  <c r="L38" s="1"/>
  <c r="F36"/>
  <c r="K36"/>
  <c r="L36" s="1"/>
  <c r="F32"/>
  <c r="K32"/>
  <c r="L32" s="1"/>
  <c r="K25"/>
  <c r="L25" s="1"/>
  <c r="H25"/>
  <c r="H26"/>
  <c r="K26"/>
  <c r="L26" s="1"/>
  <c r="AR47" i="61"/>
  <c r="AS47" s="1"/>
  <c r="AR32"/>
  <c r="AS32" s="1"/>
  <c r="F32" i="63"/>
  <c r="L62" i="61"/>
  <c r="L3" s="1"/>
  <c r="AU60"/>
  <c r="AY60"/>
  <c r="O32"/>
  <c r="AV32"/>
  <c r="AW32" s="1"/>
  <c r="U36"/>
  <c r="AZ36"/>
  <c r="BA36" s="1"/>
  <c r="Q47"/>
  <c r="AV47"/>
  <c r="AW47" s="1"/>
  <c r="U32"/>
  <c r="AZ32"/>
  <c r="BA32" s="1"/>
  <c r="Q48" i="63"/>
  <c r="Q44"/>
  <c r="Q40"/>
  <c r="Q36"/>
  <c r="Q32"/>
  <c r="Q28"/>
  <c r="Q16"/>
  <c r="Q49"/>
  <c r="Q45"/>
  <c r="Q41"/>
  <c r="Q37"/>
  <c r="Q29"/>
  <c r="Q24"/>
  <c r="Q53"/>
  <c r="Q46"/>
  <c r="Q38"/>
  <c r="Q33"/>
  <c r="Q30"/>
  <c r="Q25"/>
  <c r="Q14"/>
  <c r="Q56"/>
  <c r="Q47"/>
  <c r="Q43"/>
  <c r="Q39"/>
  <c r="Q35"/>
  <c r="Q31"/>
  <c r="Q26"/>
  <c r="Q15"/>
  <c r="G47" i="61"/>
  <c r="D47" i="68" s="1"/>
  <c r="F47" s="1"/>
  <c r="K47" i="61"/>
  <c r="S8" i="63"/>
  <c r="Q9"/>
  <c r="S9" s="1"/>
  <c r="R10"/>
  <c r="M47" i="61"/>
  <c r="J47" i="63"/>
  <c r="K47" s="1"/>
  <c r="F47"/>
  <c r="Z32" i="61"/>
  <c r="R32" i="63" s="1"/>
  <c r="J32"/>
  <c r="K32" s="1"/>
  <c r="I32" i="61"/>
  <c r="Y32"/>
  <c r="Y36"/>
  <c r="Y35"/>
  <c r="G34"/>
  <c r="Q34" i="63" s="1"/>
  <c r="F3" i="61"/>
  <c r="X51"/>
  <c r="M57" i="63" l="1"/>
  <c r="X58" i="61"/>
  <c r="X62" s="1"/>
  <c r="X3" s="1"/>
  <c r="AY58"/>
  <c r="AY61" s="1"/>
  <c r="R62"/>
  <c r="R3" s="1"/>
  <c r="O54" i="63"/>
  <c r="C57" i="69"/>
  <c r="C61" s="1"/>
  <c r="C3" s="1"/>
  <c r="J54"/>
  <c r="J57" s="1"/>
  <c r="O56" i="61"/>
  <c r="Y56"/>
  <c r="AA56" s="1"/>
  <c r="S10" i="63"/>
  <c r="H26" i="69"/>
  <c r="K26"/>
  <c r="L26" s="1"/>
  <c r="I25" i="71"/>
  <c r="Y25"/>
  <c r="AA25" s="1"/>
  <c r="AC48"/>
  <c r="Y38"/>
  <c r="AA38" s="1"/>
  <c r="I38"/>
  <c r="Y26"/>
  <c r="AA26" s="1"/>
  <c r="I26"/>
  <c r="K48" i="69"/>
  <c r="L48" s="1"/>
  <c r="H48"/>
  <c r="H56"/>
  <c r="K56"/>
  <c r="L56" s="1"/>
  <c r="I45" i="71"/>
  <c r="Y45"/>
  <c r="AA45" s="1"/>
  <c r="I56"/>
  <c r="Y56"/>
  <c r="AA56" s="1"/>
  <c r="I54"/>
  <c r="Y54"/>
  <c r="AA54" s="1"/>
  <c r="I40"/>
  <c r="Y40"/>
  <c r="AA40" s="1"/>
  <c r="Y44"/>
  <c r="AA44" s="1"/>
  <c r="I44"/>
  <c r="O47" i="61"/>
  <c r="D47" i="70"/>
  <c r="F47" s="1"/>
  <c r="Y48" i="71"/>
  <c r="AA48" s="1"/>
  <c r="I48"/>
  <c r="K54" i="69"/>
  <c r="H54"/>
  <c r="H45"/>
  <c r="K45"/>
  <c r="L45" s="1"/>
  <c r="K44"/>
  <c r="L44" s="1"/>
  <c r="H44"/>
  <c r="K36"/>
  <c r="L36" s="1"/>
  <c r="F36"/>
  <c r="K40"/>
  <c r="L40" s="1"/>
  <c r="H40"/>
  <c r="K32"/>
  <c r="L32" s="1"/>
  <c r="F32"/>
  <c r="H25"/>
  <c r="K25"/>
  <c r="L25" s="1"/>
  <c r="S32" i="63"/>
  <c r="AA32" i="61"/>
  <c r="Q57" i="63"/>
  <c r="G32"/>
  <c r="I47" i="61"/>
  <c r="Y34"/>
  <c r="L54" i="69" l="1"/>
  <c r="J60"/>
  <c r="G47" i="63"/>
  <c r="J43" i="29" l="1"/>
  <c r="J41"/>
  <c r="O6" i="5"/>
  <c r="L6"/>
  <c r="I6"/>
  <c r="I215" l="1"/>
  <c r="X215" s="1"/>
  <c r="J215"/>
  <c r="Y215" s="1"/>
  <c r="I23"/>
  <c r="X23" s="1"/>
  <c r="J23"/>
  <c r="Y23" s="1"/>
  <c r="J22"/>
  <c r="Y22" s="1"/>
  <c r="I22"/>
  <c r="X22" s="1"/>
  <c r="I214"/>
  <c r="X214" s="1"/>
  <c r="J214"/>
  <c r="Y214" s="1"/>
  <c r="J210"/>
  <c r="Y210" s="1"/>
  <c r="I210"/>
  <c r="X210" s="1"/>
  <c r="I211"/>
  <c r="X211" s="1"/>
  <c r="J211"/>
  <c r="Y211" s="1"/>
  <c r="J213"/>
  <c r="Y213" s="1"/>
  <c r="B228"/>
  <c r="B225"/>
  <c r="B255"/>
  <c r="I207"/>
  <c r="X207" s="1"/>
  <c r="I213"/>
  <c r="X213" s="1"/>
  <c r="J207"/>
  <c r="Y207" s="1"/>
  <c r="I212"/>
  <c r="X212" s="1"/>
  <c r="I209"/>
  <c r="X209" s="1"/>
  <c r="I205"/>
  <c r="X205" s="1"/>
  <c r="I206"/>
  <c r="X206" s="1"/>
  <c r="I208"/>
  <c r="X208" s="1"/>
  <c r="I204"/>
  <c r="X204" s="1"/>
  <c r="I203"/>
  <c r="X203" s="1"/>
  <c r="I201"/>
  <c r="X201" s="1"/>
  <c r="I198"/>
  <c r="X198" s="1"/>
  <c r="I199"/>
  <c r="X199" s="1"/>
  <c r="I200"/>
  <c r="X200" s="1"/>
  <c r="I197"/>
  <c r="X197" s="1"/>
  <c r="I202"/>
  <c r="X202" s="1"/>
  <c r="J212"/>
  <c r="Y212" s="1"/>
  <c r="J209"/>
  <c r="Y209" s="1"/>
  <c r="J205"/>
  <c r="Y205" s="1"/>
  <c r="J206"/>
  <c r="Y206" s="1"/>
  <c r="J208"/>
  <c r="Y208" s="1"/>
  <c r="J204"/>
  <c r="Y204" s="1"/>
  <c r="J203"/>
  <c r="Y203" s="1"/>
  <c r="J201"/>
  <c r="Y201" s="1"/>
  <c r="J198"/>
  <c r="Y198" s="1"/>
  <c r="J199"/>
  <c r="Y199" s="1"/>
  <c r="J200"/>
  <c r="Y200" s="1"/>
  <c r="J197"/>
  <c r="Y197" s="1"/>
  <c r="J202"/>
  <c r="Y202" s="1"/>
  <c r="S19" i="47"/>
  <c r="N31" i="71" l="1"/>
  <c r="B223" i="5"/>
  <c r="T39" i="61"/>
  <c r="B256" i="5"/>
  <c r="B229"/>
  <c r="B227"/>
  <c r="B252"/>
  <c r="B257"/>
  <c r="T53" i="71"/>
  <c r="B251" i="5"/>
  <c r="B253"/>
  <c r="B124"/>
  <c r="B123"/>
  <c r="B129"/>
  <c r="N28" i="71"/>
  <c r="N29"/>
  <c r="N14"/>
  <c r="N16"/>
  <c r="N30"/>
  <c r="B127" i="5"/>
  <c r="B201"/>
  <c r="B202"/>
  <c r="B198"/>
  <c r="B199"/>
  <c r="B204"/>
  <c r="B200"/>
  <c r="B203"/>
  <c r="H14" i="71"/>
  <c r="H16"/>
  <c r="B64" i="5"/>
  <c r="B57"/>
  <c r="B63"/>
  <c r="H29" i="71"/>
  <c r="B61" i="5"/>
  <c r="B58"/>
  <c r="B62"/>
  <c r="B130"/>
  <c r="B197"/>
  <c r="AZ48" i="61"/>
  <c r="BA48" s="1"/>
  <c r="T38"/>
  <c r="B128" i="5"/>
  <c r="B122"/>
  <c r="T37" i="47"/>
  <c r="T29"/>
  <c r="T29" i="8"/>
  <c r="T23" i="9"/>
  <c r="G34" i="7"/>
  <c r="G29" s="1"/>
  <c r="G49" i="29"/>
  <c r="G48"/>
  <c r="G47"/>
  <c r="G46"/>
  <c r="G45"/>
  <c r="G44"/>
  <c r="T29" i="7"/>
  <c r="T55" i="61" l="1"/>
  <c r="E55" i="69" s="1"/>
  <c r="T31" i="71"/>
  <c r="S31" s="1"/>
  <c r="U31" s="1"/>
  <c r="T24"/>
  <c r="T23" s="1"/>
  <c r="T29"/>
  <c r="S29" s="1"/>
  <c r="U29" s="1"/>
  <c r="T14"/>
  <c r="Z14" s="1"/>
  <c r="T43"/>
  <c r="T42" s="1"/>
  <c r="T39"/>
  <c r="W39" s="1"/>
  <c r="T47"/>
  <c r="Z47" s="1"/>
  <c r="T30"/>
  <c r="W30" s="1"/>
  <c r="T28"/>
  <c r="S28" s="1"/>
  <c r="T16"/>
  <c r="W16" s="1"/>
  <c r="N24"/>
  <c r="AV24" s="1"/>
  <c r="N24" i="61"/>
  <c r="N38" i="63"/>
  <c r="O38" s="1"/>
  <c r="E38" i="69"/>
  <c r="T55" i="71"/>
  <c r="AZ55" s="1"/>
  <c r="BA55" s="1"/>
  <c r="Q16"/>
  <c r="O16"/>
  <c r="AV16"/>
  <c r="AW16" s="1"/>
  <c r="AV29"/>
  <c r="AW29" s="1"/>
  <c r="M29"/>
  <c r="O29" s="1"/>
  <c r="Q29"/>
  <c r="T33"/>
  <c r="K29"/>
  <c r="AR29"/>
  <c r="AS29" s="1"/>
  <c r="G29"/>
  <c r="AV14"/>
  <c r="O14"/>
  <c r="AZ53"/>
  <c r="S53"/>
  <c r="W53"/>
  <c r="H24"/>
  <c r="AV28"/>
  <c r="M28"/>
  <c r="N27"/>
  <c r="Q27" s="1"/>
  <c r="Q28"/>
  <c r="H31"/>
  <c r="H28"/>
  <c r="H15"/>
  <c r="H18" s="1"/>
  <c r="T37"/>
  <c r="N15"/>
  <c r="N18" s="1"/>
  <c r="I16"/>
  <c r="AR16"/>
  <c r="AS16" s="1"/>
  <c r="K16"/>
  <c r="H30"/>
  <c r="Q30"/>
  <c r="M30"/>
  <c r="O30" s="1"/>
  <c r="AV30"/>
  <c r="AW30" s="1"/>
  <c r="T15"/>
  <c r="T35"/>
  <c r="T46"/>
  <c r="T49"/>
  <c r="I14"/>
  <c r="AR14"/>
  <c r="AV31"/>
  <c r="AW31" s="1"/>
  <c r="M31"/>
  <c r="O31" s="1"/>
  <c r="Q31"/>
  <c r="B56" i="5"/>
  <c r="N30" i="61"/>
  <c r="B59" i="5"/>
  <c r="T47" i="61"/>
  <c r="B125" i="5"/>
  <c r="T30" i="61"/>
  <c r="H29"/>
  <c r="B55" i="5"/>
  <c r="B249"/>
  <c r="B121"/>
  <c r="T43" i="61"/>
  <c r="B258" i="5"/>
  <c r="T28" i="61"/>
  <c r="B250" i="5"/>
  <c r="T24" i="61"/>
  <c r="N29"/>
  <c r="T29"/>
  <c r="N28"/>
  <c r="T53"/>
  <c r="T31"/>
  <c r="T33"/>
  <c r="E33" i="69" s="1"/>
  <c r="T37" i="61"/>
  <c r="T16"/>
  <c r="B222" i="5"/>
  <c r="H28" i="61"/>
  <c r="H31"/>
  <c r="H30"/>
  <c r="H24"/>
  <c r="B226" i="5"/>
  <c r="T46" i="61"/>
  <c r="E46" i="69" s="1"/>
  <c r="H46" s="1"/>
  <c r="T15" i="61"/>
  <c r="E15" i="69" s="1"/>
  <c r="T35" i="61"/>
  <c r="E35" i="69" s="1"/>
  <c r="T49" i="61"/>
  <c r="E49" i="69" s="1"/>
  <c r="H49" s="1"/>
  <c r="Z231" i="5"/>
  <c r="H16" i="61"/>
  <c r="T14"/>
  <c r="E14" i="69" s="1"/>
  <c r="K14" s="1"/>
  <c r="W24" i="63"/>
  <c r="X24" s="1"/>
  <c r="H14" i="61"/>
  <c r="E14" i="68" s="1"/>
  <c r="H15" i="61"/>
  <c r="W28" i="63"/>
  <c r="W30"/>
  <c r="W31"/>
  <c r="W29"/>
  <c r="W38" i="61"/>
  <c r="AZ38"/>
  <c r="BA38" s="1"/>
  <c r="Q48"/>
  <c r="AV48"/>
  <c r="AW48" s="1"/>
  <c r="K48"/>
  <c r="AR48"/>
  <c r="AS48" s="1"/>
  <c r="B206" i="5"/>
  <c r="B205"/>
  <c r="W14" i="63"/>
  <c r="X14" s="1"/>
  <c r="S48" i="61"/>
  <c r="W48"/>
  <c r="J48" i="63"/>
  <c r="K48" s="1"/>
  <c r="M48" i="61"/>
  <c r="G48"/>
  <c r="D48" i="68" s="1"/>
  <c r="F48" s="1"/>
  <c r="F48" i="63"/>
  <c r="Z48" i="61"/>
  <c r="R48" i="63" s="1"/>
  <c r="S48" s="1"/>
  <c r="N31" i="61"/>
  <c r="N15"/>
  <c r="E15" i="70" s="1"/>
  <c r="X220" i="5"/>
  <c r="Y220"/>
  <c r="AA220" s="1"/>
  <c r="N16" i="61"/>
  <c r="E16" i="70" s="1"/>
  <c r="N14" i="61"/>
  <c r="G43" i="29"/>
  <c r="G37" s="1"/>
  <c r="T29" i="9"/>
  <c r="U14" i="71" l="1"/>
  <c r="AZ30"/>
  <c r="BA30" s="1"/>
  <c r="S39"/>
  <c r="U39" s="1"/>
  <c r="AZ39"/>
  <c r="BA39" s="1"/>
  <c r="S30"/>
  <c r="U30" s="1"/>
  <c r="AZ14"/>
  <c r="BA14" s="1"/>
  <c r="W43"/>
  <c r="AZ29"/>
  <c r="BA29" s="1"/>
  <c r="S47"/>
  <c r="Y47" s="1"/>
  <c r="AA47" s="1"/>
  <c r="AZ43"/>
  <c r="BA43" s="1"/>
  <c r="BA42" s="1"/>
  <c r="Z16"/>
  <c r="AA16" s="1"/>
  <c r="AZ47"/>
  <c r="BA47" s="1"/>
  <c r="AZ24"/>
  <c r="BA24" s="1"/>
  <c r="BA23" s="1"/>
  <c r="S24"/>
  <c r="S23" s="1"/>
  <c r="AZ16"/>
  <c r="BA16" s="1"/>
  <c r="W47"/>
  <c r="T27"/>
  <c r="W27" s="1"/>
  <c r="AZ28"/>
  <c r="AZ31"/>
  <c r="BA31" s="1"/>
  <c r="Z29"/>
  <c r="AC29" s="1"/>
  <c r="W31"/>
  <c r="W29"/>
  <c r="S43"/>
  <c r="U43" s="1"/>
  <c r="U42" s="1"/>
  <c r="W24"/>
  <c r="U16"/>
  <c r="W28"/>
  <c r="Q24"/>
  <c r="N23"/>
  <c r="M24"/>
  <c r="M23" s="1"/>
  <c r="O48" i="61"/>
  <c r="D48" i="70"/>
  <c r="F48" s="1"/>
  <c r="U48" i="61"/>
  <c r="D48" i="69"/>
  <c r="F48" s="1"/>
  <c r="N53" i="63"/>
  <c r="O53" s="1"/>
  <c r="E53" i="69"/>
  <c r="K53" s="1"/>
  <c r="L53" s="1"/>
  <c r="N47" i="63"/>
  <c r="O47" s="1"/>
  <c r="E47" i="69"/>
  <c r="K47" s="1"/>
  <c r="L47" s="1"/>
  <c r="N43" i="63"/>
  <c r="O43" s="1"/>
  <c r="E43" i="69"/>
  <c r="E42" s="1"/>
  <c r="W39" i="61"/>
  <c r="E39" i="69"/>
  <c r="H39" s="1"/>
  <c r="N37" i="63"/>
  <c r="O37" s="1"/>
  <c r="E37" i="69"/>
  <c r="K37" s="1"/>
  <c r="L37" s="1"/>
  <c r="H38"/>
  <c r="K38"/>
  <c r="L38" s="1"/>
  <c r="N28" i="63"/>
  <c r="O28" s="1"/>
  <c r="E28" i="69"/>
  <c r="K28" s="1"/>
  <c r="L28" s="1"/>
  <c r="W30" i="61"/>
  <c r="E30" i="69"/>
  <c r="H30" s="1"/>
  <c r="AZ31" i="61"/>
  <c r="BA31" s="1"/>
  <c r="E31" i="69"/>
  <c r="H31" s="1"/>
  <c r="S29" i="61"/>
  <c r="E29" i="69"/>
  <c r="K29" s="1"/>
  <c r="L29" s="1"/>
  <c r="N24" i="63"/>
  <c r="O24" s="1"/>
  <c r="E24" i="69"/>
  <c r="K24" s="1"/>
  <c r="L24" s="1"/>
  <c r="L23" s="1"/>
  <c r="W16" i="61"/>
  <c r="E16" i="69"/>
  <c r="F16" s="1"/>
  <c r="AV31" i="61"/>
  <c r="AW31" s="1"/>
  <c r="E31" i="70"/>
  <c r="AV29" i="61"/>
  <c r="AW29" s="1"/>
  <c r="E29" i="70"/>
  <c r="H29" s="1"/>
  <c r="AV28" i="61"/>
  <c r="AW28" s="1"/>
  <c r="E28" i="70"/>
  <c r="K28" s="1"/>
  <c r="AV30" i="61"/>
  <c r="AW30" s="1"/>
  <c r="E30" i="70"/>
  <c r="H30" s="1"/>
  <c r="AV24" i="61"/>
  <c r="AW24" s="1"/>
  <c r="E24" i="70"/>
  <c r="H24" s="1"/>
  <c r="AV14" i="61"/>
  <c r="AW14" s="1"/>
  <c r="E14" i="70"/>
  <c r="E18" s="1"/>
  <c r="F14" i="69"/>
  <c r="F30" i="63"/>
  <c r="G30" s="1"/>
  <c r="E30" i="68"/>
  <c r="K30" s="1"/>
  <c r="L30" s="1"/>
  <c r="AR31" i="61"/>
  <c r="AS31" s="1"/>
  <c r="E31" i="68"/>
  <c r="K31" s="1"/>
  <c r="L31" s="1"/>
  <c r="F28" i="63"/>
  <c r="G28" s="1"/>
  <c r="E28" i="68"/>
  <c r="K28" s="1"/>
  <c r="L28" s="1"/>
  <c r="AR29" i="61"/>
  <c r="AS29" s="1"/>
  <c r="E29" i="68"/>
  <c r="AR24" i="61"/>
  <c r="AS24" s="1"/>
  <c r="E24" i="68"/>
  <c r="H24" s="1"/>
  <c r="I15" i="61"/>
  <c r="E15" i="68"/>
  <c r="K15" s="1"/>
  <c r="L15" s="1"/>
  <c r="K16" i="61"/>
  <c r="E16" i="68"/>
  <c r="K16" s="1"/>
  <c r="L16" s="1"/>
  <c r="W55" i="71"/>
  <c r="N30" i="63"/>
  <c r="O30" s="1"/>
  <c r="AZ30" i="61"/>
  <c r="BA30" s="1"/>
  <c r="J24" i="63"/>
  <c r="K24" s="1"/>
  <c r="Q24" i="61"/>
  <c r="S30"/>
  <c r="J30" i="63"/>
  <c r="S28" i="61"/>
  <c r="AZ28"/>
  <c r="BA28" s="1"/>
  <c r="S55" i="71"/>
  <c r="U55" s="1"/>
  <c r="T57"/>
  <c r="W47" i="61"/>
  <c r="AZ37" i="71"/>
  <c r="BA37" s="1"/>
  <c r="U37"/>
  <c r="Z31"/>
  <c r="AC31" s="1"/>
  <c r="K31"/>
  <c r="G31"/>
  <c r="AR31"/>
  <c r="AS31" s="1"/>
  <c r="O28"/>
  <c r="O27" s="1"/>
  <c r="M27"/>
  <c r="AW14"/>
  <c r="W49"/>
  <c r="AZ49"/>
  <c r="BA49" s="1"/>
  <c r="S49"/>
  <c r="U49" s="1"/>
  <c r="U28"/>
  <c r="AV27"/>
  <c r="AW28"/>
  <c r="AW27" s="1"/>
  <c r="AR24"/>
  <c r="Z24"/>
  <c r="K24"/>
  <c r="H23"/>
  <c r="G24"/>
  <c r="AZ33"/>
  <c r="BA33" s="1"/>
  <c r="U33"/>
  <c r="AA14"/>
  <c r="AZ46"/>
  <c r="BA46" s="1"/>
  <c r="S46"/>
  <c r="U46" s="1"/>
  <c r="W46"/>
  <c r="I15"/>
  <c r="I18" s="1"/>
  <c r="Z15"/>
  <c r="AA15" s="1"/>
  <c r="AR15"/>
  <c r="AS15" s="1"/>
  <c r="AV23"/>
  <c r="AW24"/>
  <c r="AW23" s="1"/>
  <c r="B47"/>
  <c r="AC47"/>
  <c r="AZ35"/>
  <c r="T34"/>
  <c r="U35"/>
  <c r="Z28"/>
  <c r="AR28"/>
  <c r="K28"/>
  <c r="G28"/>
  <c r="H27"/>
  <c r="K27" s="1"/>
  <c r="I29"/>
  <c r="Y29"/>
  <c r="AZ15"/>
  <c r="BA15" s="1"/>
  <c r="U15"/>
  <c r="K30"/>
  <c r="AR30"/>
  <c r="AS30" s="1"/>
  <c r="G30"/>
  <c r="Z30"/>
  <c r="AC30" s="1"/>
  <c r="U53"/>
  <c r="O15"/>
  <c r="O18" s="1"/>
  <c r="AV15"/>
  <c r="AW15" s="1"/>
  <c r="AZ57"/>
  <c r="BA53"/>
  <c r="BA57" s="1"/>
  <c r="K46" i="69"/>
  <c r="L46" s="1"/>
  <c r="AS14" i="71"/>
  <c r="T18"/>
  <c r="H16" i="70"/>
  <c r="K16"/>
  <c r="L16" s="1"/>
  <c r="F16"/>
  <c r="K15"/>
  <c r="L15" s="1"/>
  <c r="F15"/>
  <c r="W28" i="61"/>
  <c r="N39" i="63"/>
  <c r="O39" s="1"/>
  <c r="K49" i="69"/>
  <c r="L49" s="1"/>
  <c r="S39" i="61"/>
  <c r="AZ47"/>
  <c r="BA47" s="1"/>
  <c r="AZ39"/>
  <c r="BA39" s="1"/>
  <c r="S47"/>
  <c r="Z47"/>
  <c r="R47" i="63" s="1"/>
  <c r="S47" s="1"/>
  <c r="N29"/>
  <c r="O29" s="1"/>
  <c r="AZ43" i="61"/>
  <c r="BA43" s="1"/>
  <c r="AZ29"/>
  <c r="BA29" s="1"/>
  <c r="W43"/>
  <c r="K35" i="69"/>
  <c r="F35"/>
  <c r="W29" i="61"/>
  <c r="K15" i="69"/>
  <c r="L15" s="1"/>
  <c r="F15"/>
  <c r="L14"/>
  <c r="W31" i="61"/>
  <c r="Q29"/>
  <c r="K33" i="69"/>
  <c r="L33" s="1"/>
  <c r="F33"/>
  <c r="H55"/>
  <c r="K55"/>
  <c r="L55" s="1"/>
  <c r="J29" i="63"/>
  <c r="M30" i="61"/>
  <c r="Q30"/>
  <c r="M28"/>
  <c r="S24"/>
  <c r="J28" i="63"/>
  <c r="S31" i="61"/>
  <c r="T27"/>
  <c r="W27" s="1"/>
  <c r="Q28"/>
  <c r="N31" i="63"/>
  <c r="O31" s="1"/>
  <c r="M29" i="61"/>
  <c r="W24"/>
  <c r="K14" i="68"/>
  <c r="F14"/>
  <c r="AZ24" i="61"/>
  <c r="BA24" s="1"/>
  <c r="AZ37"/>
  <c r="BA37" s="1"/>
  <c r="U37"/>
  <c r="Z28"/>
  <c r="AC28" s="1"/>
  <c r="AR28"/>
  <c r="AS28" s="1"/>
  <c r="AZ16"/>
  <c r="BA16" s="1"/>
  <c r="U16"/>
  <c r="N16" i="63"/>
  <c r="O16" s="1"/>
  <c r="G30" i="61"/>
  <c r="K30"/>
  <c r="Z30"/>
  <c r="AC30" s="1"/>
  <c r="AR30"/>
  <c r="AS30" s="1"/>
  <c r="G28"/>
  <c r="K24"/>
  <c r="K28"/>
  <c r="AZ46"/>
  <c r="BA46" s="1"/>
  <c r="N46" i="63"/>
  <c r="O46" s="1"/>
  <c r="U33" i="61"/>
  <c r="N33" i="63"/>
  <c r="O33" s="1"/>
  <c r="AZ15" i="61"/>
  <c r="BA15" s="1"/>
  <c r="N15" i="63"/>
  <c r="O15" s="1"/>
  <c r="AZ14" i="61"/>
  <c r="BA14" s="1"/>
  <c r="N14" i="63"/>
  <c r="AZ55" i="61"/>
  <c r="BA55" s="1"/>
  <c r="N55" i="63"/>
  <c r="O55" s="1"/>
  <c r="U35" i="61"/>
  <c r="N35" i="63"/>
  <c r="O35" s="1"/>
  <c r="AZ49" i="61"/>
  <c r="BA49" s="1"/>
  <c r="N49" i="63"/>
  <c r="O49" s="1"/>
  <c r="S49" i="61"/>
  <c r="AZ35"/>
  <c r="BA35" s="1"/>
  <c r="S46"/>
  <c r="W46"/>
  <c r="U15"/>
  <c r="W49"/>
  <c r="W55"/>
  <c r="K31"/>
  <c r="G31"/>
  <c r="F31" i="63"/>
  <c r="G31" s="1"/>
  <c r="AZ33" i="61"/>
  <c r="F29" i="63"/>
  <c r="G29" s="1"/>
  <c r="Z29" i="61"/>
  <c r="AC29" s="1"/>
  <c r="G29"/>
  <c r="K29"/>
  <c r="H27"/>
  <c r="K27" s="1"/>
  <c r="I16"/>
  <c r="AR16"/>
  <c r="AS16" s="1"/>
  <c r="F16" i="63"/>
  <c r="G16" s="1"/>
  <c r="W27"/>
  <c r="X27" s="1"/>
  <c r="U14" i="61"/>
  <c r="T18"/>
  <c r="F15" i="63"/>
  <c r="H18" i="61"/>
  <c r="I14"/>
  <c r="F14" i="63"/>
  <c r="AR14" i="61"/>
  <c r="AS14" s="1"/>
  <c r="AR15"/>
  <c r="AS15" s="1"/>
  <c r="Q31"/>
  <c r="O15"/>
  <c r="AV15"/>
  <c r="AW15" s="1"/>
  <c r="Q16"/>
  <c r="AV16"/>
  <c r="AW16" s="1"/>
  <c r="W16" i="63"/>
  <c r="X16" s="1"/>
  <c r="W15"/>
  <c r="X15" s="1"/>
  <c r="J14"/>
  <c r="K14" s="1"/>
  <c r="O14" i="61"/>
  <c r="O16"/>
  <c r="N27"/>
  <c r="Q27" s="1"/>
  <c r="I48"/>
  <c r="Y48"/>
  <c r="AA48" s="1"/>
  <c r="AC48"/>
  <c r="J16" i="63"/>
  <c r="K16" s="1"/>
  <c r="W47"/>
  <c r="X47" s="1"/>
  <c r="Z31" i="61"/>
  <c r="J31" i="63"/>
  <c r="M31" i="61"/>
  <c r="M24"/>
  <c r="J15" i="63"/>
  <c r="K15" s="1"/>
  <c r="G24" i="61"/>
  <c r="F24" i="63"/>
  <c r="Y14" i="61"/>
  <c r="Z16"/>
  <c r="AC16" s="1"/>
  <c r="N18"/>
  <c r="Z14"/>
  <c r="Z15"/>
  <c r="Z24"/>
  <c r="G18"/>
  <c r="B10" i="49"/>
  <c r="S27" i="71" l="1"/>
  <c r="U27"/>
  <c r="AC16"/>
  <c r="S42"/>
  <c r="U24"/>
  <c r="U23" s="1"/>
  <c r="U47"/>
  <c r="AZ42"/>
  <c r="AZ23"/>
  <c r="AZ27"/>
  <c r="BA28"/>
  <c r="BA27" s="1"/>
  <c r="AA29"/>
  <c r="U18"/>
  <c r="O24"/>
  <c r="O23" s="1"/>
  <c r="E18" i="69"/>
  <c r="K16"/>
  <c r="L16" s="1"/>
  <c r="L18" s="1"/>
  <c r="K31"/>
  <c r="L31" s="1"/>
  <c r="H29"/>
  <c r="H28"/>
  <c r="K30"/>
  <c r="L30" s="1"/>
  <c r="H16"/>
  <c r="K39"/>
  <c r="L39" s="1"/>
  <c r="H47"/>
  <c r="K43"/>
  <c r="K42" s="1"/>
  <c r="E57"/>
  <c r="H53"/>
  <c r="F37"/>
  <c r="F34" s="1"/>
  <c r="E34"/>
  <c r="H43"/>
  <c r="U46" i="61"/>
  <c r="D46" i="69"/>
  <c r="F46" s="1"/>
  <c r="U47" i="61"/>
  <c r="D47" i="69"/>
  <c r="F47" s="1"/>
  <c r="U49" i="61"/>
  <c r="D49" i="69"/>
  <c r="F49" s="1"/>
  <c r="E27"/>
  <c r="H27" s="1"/>
  <c r="U39" i="61"/>
  <c r="D39" i="69"/>
  <c r="F39" s="1"/>
  <c r="U29" i="61"/>
  <c r="D29" i="69"/>
  <c r="F29" s="1"/>
  <c r="U28" i="61"/>
  <c r="D28" i="69"/>
  <c r="F28" s="1"/>
  <c r="U31" i="61"/>
  <c r="D31" i="69"/>
  <c r="F31" s="1"/>
  <c r="U30" i="61"/>
  <c r="D30" i="69"/>
  <c r="F30" s="1"/>
  <c r="K23"/>
  <c r="U24" i="61"/>
  <c r="D24" i="69"/>
  <c r="F24" s="1"/>
  <c r="H24"/>
  <c r="E23"/>
  <c r="F14" i="70"/>
  <c r="F18" s="1"/>
  <c r="K29"/>
  <c r="L29" s="1"/>
  <c r="H28"/>
  <c r="K14"/>
  <c r="K18" s="1"/>
  <c r="E23"/>
  <c r="K24"/>
  <c r="L24" s="1"/>
  <c r="L23" s="1"/>
  <c r="E27"/>
  <c r="H27" s="1"/>
  <c r="K30"/>
  <c r="L30" s="1"/>
  <c r="O28" i="61"/>
  <c r="D28" i="70"/>
  <c r="F28" s="1"/>
  <c r="O29" i="61"/>
  <c r="D29" i="70"/>
  <c r="F29" s="1"/>
  <c r="O30" i="61"/>
  <c r="D30" i="70"/>
  <c r="F30" s="1"/>
  <c r="O31" i="61"/>
  <c r="D31" i="70"/>
  <c r="F31" s="1"/>
  <c r="K31"/>
  <c r="L31" s="1"/>
  <c r="H31"/>
  <c r="O24" i="61"/>
  <c r="D24" i="70"/>
  <c r="F24" s="1"/>
  <c r="F18" i="69"/>
  <c r="H16" i="68"/>
  <c r="F16"/>
  <c r="F15"/>
  <c r="H31"/>
  <c r="H28"/>
  <c r="H30"/>
  <c r="E27"/>
  <c r="H27" s="1"/>
  <c r="E18"/>
  <c r="K24"/>
  <c r="K23" s="1"/>
  <c r="H29"/>
  <c r="K29"/>
  <c r="L29" s="1"/>
  <c r="L27" s="1"/>
  <c r="I31" i="61"/>
  <c r="D31" i="68"/>
  <c r="I30" i="61"/>
  <c r="D30" i="68"/>
  <c r="F30" s="1"/>
  <c r="I28" i="61"/>
  <c r="D28" i="68"/>
  <c r="F28" s="1"/>
  <c r="I29" i="61"/>
  <c r="D29" i="68"/>
  <c r="F29" s="1"/>
  <c r="I24" i="61"/>
  <c r="D24" i="68"/>
  <c r="F24" s="1"/>
  <c r="E23"/>
  <c r="AS18" i="71"/>
  <c r="AR18"/>
  <c r="AZ60"/>
  <c r="N27" i="63"/>
  <c r="O27" s="1"/>
  <c r="S57" i="71"/>
  <c r="BA27" i="61"/>
  <c r="U57" i="71"/>
  <c r="Y47" i="61"/>
  <c r="AA47" s="1"/>
  <c r="U34" i="71"/>
  <c r="Y30"/>
  <c r="AA30" s="1"/>
  <c r="I30"/>
  <c r="I24"/>
  <c r="I23" s="1"/>
  <c r="G23"/>
  <c r="Y24"/>
  <c r="AV18"/>
  <c r="AA18"/>
  <c r="AW18"/>
  <c r="Y28"/>
  <c r="G27"/>
  <c r="I28"/>
  <c r="Z18"/>
  <c r="AZ18"/>
  <c r="AC24"/>
  <c r="Z23"/>
  <c r="BA18"/>
  <c r="AR27"/>
  <c r="AS28"/>
  <c r="AS27" s="1"/>
  <c r="AZ34"/>
  <c r="BA35"/>
  <c r="BA34" s="1"/>
  <c r="AR23"/>
  <c r="AS24"/>
  <c r="AS23" s="1"/>
  <c r="Z27"/>
  <c r="AC27" s="1"/>
  <c r="AC28"/>
  <c r="Y31"/>
  <c r="AA31" s="1"/>
  <c r="I31"/>
  <c r="AC47" i="61"/>
  <c r="L28" i="70"/>
  <c r="B47" i="61"/>
  <c r="S27"/>
  <c r="AZ27"/>
  <c r="K34" i="69"/>
  <c r="L35"/>
  <c r="L34" s="1"/>
  <c r="L57"/>
  <c r="K57"/>
  <c r="K18" i="68"/>
  <c r="L14"/>
  <c r="L18" s="1"/>
  <c r="BA33" i="61"/>
  <c r="M24" i="62"/>
  <c r="BA34" i="61"/>
  <c r="U34"/>
  <c r="AS27"/>
  <c r="R28" i="63"/>
  <c r="Y30" i="61"/>
  <c r="AA30" s="1"/>
  <c r="BA18"/>
  <c r="R30" i="63"/>
  <c r="AZ18" i="61"/>
  <c r="AR27"/>
  <c r="Y28"/>
  <c r="AA28" s="1"/>
  <c r="N57" i="63"/>
  <c r="O14"/>
  <c r="O18" s="1"/>
  <c r="N18"/>
  <c r="O57"/>
  <c r="AZ34" i="61"/>
  <c r="Z27"/>
  <c r="AC27" s="1"/>
  <c r="R29" i="63"/>
  <c r="F27"/>
  <c r="G27" s="1"/>
  <c r="G27" i="61"/>
  <c r="Y29"/>
  <c r="AA29" s="1"/>
  <c r="AS18"/>
  <c r="F18" i="63"/>
  <c r="G14"/>
  <c r="AR18" i="61"/>
  <c r="AV27"/>
  <c r="AW27"/>
  <c r="AW18"/>
  <c r="AV18"/>
  <c r="X18" i="63"/>
  <c r="W18"/>
  <c r="R15"/>
  <c r="S15" s="1"/>
  <c r="R14"/>
  <c r="S14" s="1"/>
  <c r="AA14" i="61"/>
  <c r="AC31"/>
  <c r="R31" i="63"/>
  <c r="AC24" i="61"/>
  <c r="R24" i="63"/>
  <c r="S24" s="1"/>
  <c r="R16"/>
  <c r="S16" s="1"/>
  <c r="J27"/>
  <c r="K27" s="1"/>
  <c r="Y31" i="61"/>
  <c r="AA31" s="1"/>
  <c r="G48" i="63"/>
  <c r="M27" i="61"/>
  <c r="O18"/>
  <c r="J18" i="63"/>
  <c r="Z18" i="61"/>
  <c r="Z19" s="1"/>
  <c r="U18"/>
  <c r="Y16"/>
  <c r="AA16" s="1"/>
  <c r="Y24"/>
  <c r="AA24" s="1"/>
  <c r="I18"/>
  <c r="Y15"/>
  <c r="AA15" s="1"/>
  <c r="G15" i="63"/>
  <c r="E18"/>
  <c r="L27" i="69" l="1"/>
  <c r="K18"/>
  <c r="K27"/>
  <c r="L43"/>
  <c r="L42" s="1"/>
  <c r="F27"/>
  <c r="K60"/>
  <c r="U27" i="61"/>
  <c r="D27" i="69"/>
  <c r="L14" i="70"/>
  <c r="L18" s="1"/>
  <c r="K23"/>
  <c r="D27"/>
  <c r="K27"/>
  <c r="F27"/>
  <c r="O27" i="61"/>
  <c r="L27" i="70"/>
  <c r="F18" i="68"/>
  <c r="L24"/>
  <c r="L23" s="1"/>
  <c r="K27"/>
  <c r="D27"/>
  <c r="I27" i="61"/>
  <c r="F31" i="68"/>
  <c r="F27" s="1"/>
  <c r="AA28" i="71"/>
  <c r="AA27" s="1"/>
  <c r="Y27"/>
  <c r="AA24"/>
  <c r="AA23" s="1"/>
  <c r="Y23"/>
  <c r="Z19"/>
  <c r="I27"/>
  <c r="Y27" i="61"/>
  <c r="AA27"/>
  <c r="G18" i="63"/>
  <c r="R27"/>
  <c r="G24"/>
  <c r="Q27"/>
  <c r="R18"/>
  <c r="S18"/>
  <c r="K18"/>
  <c r="Q18"/>
  <c r="Y18" i="61"/>
  <c r="AA18"/>
  <c r="W15" i="47"/>
  <c r="S27" i="63" l="1"/>
  <c r="X15" i="47"/>
  <c r="W13" i="9" l="1"/>
  <c r="X13" l="1"/>
  <c r="X13" i="8"/>
  <c r="N7" i="6" l="1"/>
  <c r="O20"/>
  <c r="O18"/>
  <c r="O12"/>
  <c r="L20" i="5" l="1"/>
  <c r="L186"/>
  <c r="D48" i="47" l="1"/>
  <c r="L194" i="5"/>
  <c r="I186" l="1"/>
  <c r="X186" s="1"/>
  <c r="J20"/>
  <c r="Y20" s="1"/>
  <c r="I20"/>
  <c r="X20" s="1"/>
  <c r="J186"/>
  <c r="Y186" s="1"/>
  <c r="J194"/>
  <c r="Y194" s="1"/>
  <c r="I194"/>
  <c r="X194" s="1"/>
  <c r="F48" i="47" l="1"/>
  <c r="J42" i="29"/>
  <c r="W56" i="63" l="1"/>
  <c r="X56" s="1"/>
  <c r="G20" i="47"/>
  <c r="S13" l="1"/>
  <c r="I9" i="44" l="1"/>
  <c r="O25" i="6" l="1"/>
  <c r="P25" s="1"/>
  <c r="O14"/>
  <c r="E14"/>
  <c r="D14"/>
  <c r="E8"/>
  <c r="L177" i="5" l="1"/>
  <c r="L196"/>
  <c r="J177" l="1"/>
  <c r="Y177" s="1"/>
  <c r="I177"/>
  <c r="X177" s="1"/>
  <c r="J196"/>
  <c r="Y196" s="1"/>
  <c r="I196"/>
  <c r="X196" s="1"/>
  <c r="I7" i="50"/>
  <c r="J7"/>
  <c r="W26" i="63" l="1"/>
  <c r="X26" s="1"/>
  <c r="E38" i="9"/>
  <c r="D36"/>
  <c r="D40"/>
  <c r="G13" i="8"/>
  <c r="G13" i="9"/>
  <c r="E38" i="7"/>
  <c r="E38" i="8"/>
  <c r="F9" i="47"/>
  <c r="O9" s="1"/>
  <c r="Q9" s="1"/>
  <c r="Q10"/>
  <c r="F10"/>
  <c r="H10" s="1"/>
  <c r="F9" i="7"/>
  <c r="L9" s="1"/>
  <c r="F9" i="8"/>
  <c r="H9" s="1"/>
  <c r="Q10"/>
  <c r="F10"/>
  <c r="H10" s="1"/>
  <c r="Q10" i="9"/>
  <c r="F10"/>
  <c r="H10" s="1"/>
  <c r="D8" i="6"/>
  <c r="D8" i="9" s="1"/>
  <c r="N8" s="1"/>
  <c r="J3" i="29"/>
  <c r="K9" i="51"/>
  <c r="G25" i="7"/>
  <c r="G31" i="29" s="1"/>
  <c r="Q8" i="7"/>
  <c r="Q8" i="29" s="1"/>
  <c r="Q7" i="7"/>
  <c r="Q10" s="1"/>
  <c r="D13" i="9"/>
  <c r="D7"/>
  <c r="L7" s="1"/>
  <c r="E7"/>
  <c r="G16"/>
  <c r="D16"/>
  <c r="G17"/>
  <c r="D17"/>
  <c r="E9"/>
  <c r="D19"/>
  <c r="D20"/>
  <c r="D23"/>
  <c r="N23" s="1"/>
  <c r="D24"/>
  <c r="D25"/>
  <c r="F40"/>
  <c r="E40" s="1"/>
  <c r="K14" i="6"/>
  <c r="D7" i="8"/>
  <c r="E7"/>
  <c r="G16"/>
  <c r="K17" i="6"/>
  <c r="G17" i="8"/>
  <c r="D17"/>
  <c r="D19"/>
  <c r="D20"/>
  <c r="D23"/>
  <c r="C6" i="23" s="1"/>
  <c r="D24" i="8"/>
  <c r="D25"/>
  <c r="E41" i="6"/>
  <c r="E36" s="1"/>
  <c r="F36" i="8"/>
  <c r="E36" s="1"/>
  <c r="D36"/>
  <c r="F40"/>
  <c r="E40" s="1"/>
  <c r="D40"/>
  <c r="F7" i="7"/>
  <c r="O7" s="1"/>
  <c r="F7" i="6"/>
  <c r="G16" i="7"/>
  <c r="G19" i="29" s="1"/>
  <c r="D19" i="7"/>
  <c r="G21"/>
  <c r="F8"/>
  <c r="H8" s="1"/>
  <c r="D24"/>
  <c r="D25"/>
  <c r="F37"/>
  <c r="E37" s="1"/>
  <c r="F39"/>
  <c r="E39" s="1"/>
  <c r="D35"/>
  <c r="D36"/>
  <c r="D37"/>
  <c r="D39"/>
  <c r="G13" i="29"/>
  <c r="F47"/>
  <c r="F41" i="6"/>
  <c r="F36" s="1"/>
  <c r="L36" s="1"/>
  <c r="G42"/>
  <c r="G43"/>
  <c r="G45"/>
  <c r="G46"/>
  <c r="G19"/>
  <c r="D20" i="29" s="1"/>
  <c r="G22" i="6"/>
  <c r="D22" i="29" s="1"/>
  <c r="G23" i="6"/>
  <c r="D24" i="29" s="1"/>
  <c r="G28" i="6"/>
  <c r="D29" i="29" s="1"/>
  <c r="G29" i="6"/>
  <c r="D30" i="29" s="1"/>
  <c r="G30" i="6"/>
  <c r="D31" i="29" s="1"/>
  <c r="G31" i="6"/>
  <c r="D32" i="29" s="1"/>
  <c r="G32" i="6"/>
  <c r="D33" i="29" s="1"/>
  <c r="E9" i="44"/>
  <c r="D9"/>
  <c r="H9" s="1"/>
  <c r="H7" i="9"/>
  <c r="P20" i="6"/>
  <c r="B26" i="23"/>
  <c r="D20" i="47"/>
  <c r="G13"/>
  <c r="H8" i="9"/>
  <c r="Q11" i="47"/>
  <c r="Q11" i="9"/>
  <c r="Q11" i="8"/>
  <c r="Q11" i="7"/>
  <c r="Q11" i="29"/>
  <c r="H7" i="8"/>
  <c r="J7" i="29" s="1"/>
  <c r="J9" i="51"/>
  <c r="D18" i="47"/>
  <c r="D19"/>
  <c r="O8" i="6"/>
  <c r="N8" s="1"/>
  <c r="G15" i="47"/>
  <c r="G18"/>
  <c r="J7" i="48"/>
  <c r="B9" i="44"/>
  <c r="I7"/>
  <c r="K7" i="9"/>
  <c r="I7" s="1"/>
  <c r="L37" i="6"/>
  <c r="B9" i="32"/>
  <c r="D23" i="47"/>
  <c r="D24"/>
  <c r="D7"/>
  <c r="N7" s="1"/>
  <c r="E7"/>
  <c r="F30" i="8"/>
  <c r="G9" i="23" s="1"/>
  <c r="J9" i="55"/>
  <c r="I9"/>
  <c r="E9"/>
  <c r="D9"/>
  <c r="H9" s="1"/>
  <c r="B9"/>
  <c r="J7"/>
  <c r="I7"/>
  <c r="I7" i="53"/>
  <c r="J9"/>
  <c r="I9"/>
  <c r="E9"/>
  <c r="D9"/>
  <c r="H9" s="1"/>
  <c r="B9"/>
  <c r="J7"/>
  <c r="I7" i="51"/>
  <c r="J7"/>
  <c r="E8" i="9"/>
  <c r="K7" i="8"/>
  <c r="I7" s="1"/>
  <c r="O14" i="23"/>
  <c r="N14"/>
  <c r="P8"/>
  <c r="O8"/>
  <c r="P6"/>
  <c r="F8"/>
  <c r="I8" s="1"/>
  <c r="K8"/>
  <c r="L8"/>
  <c r="E8"/>
  <c r="I9" i="48"/>
  <c r="D47" i="47"/>
  <c r="B21" i="23"/>
  <c r="E21" s="1"/>
  <c r="D30" i="8"/>
  <c r="L30" s="1"/>
  <c r="H8" i="47"/>
  <c r="H7"/>
  <c r="Z14" i="9"/>
  <c r="Y14"/>
  <c r="H8" i="8"/>
  <c r="J8" i="29" s="1"/>
  <c r="H9" i="9"/>
  <c r="U20" i="29"/>
  <c r="U3" i="8"/>
  <c r="T34" i="7"/>
  <c r="T41" i="47"/>
  <c r="P19" i="9"/>
  <c r="K9" i="46"/>
  <c r="D32" i="47"/>
  <c r="C21" i="23"/>
  <c r="D30" i="9"/>
  <c r="B9" i="23" s="1"/>
  <c r="G7" i="6"/>
  <c r="D7" i="29" s="1"/>
  <c r="W38"/>
  <c r="K37" i="6"/>
  <c r="J37"/>
  <c r="G37"/>
  <c r="J7" i="7"/>
  <c r="J7" i="18"/>
  <c r="W37" i="29"/>
  <c r="U37"/>
  <c r="S37"/>
  <c r="U33"/>
  <c r="S33"/>
  <c r="U32"/>
  <c r="S32"/>
  <c r="W31"/>
  <c r="W30"/>
  <c r="U29"/>
  <c r="S29"/>
  <c r="W26"/>
  <c r="W24"/>
  <c r="U24"/>
  <c r="S24"/>
  <c r="U22"/>
  <c r="S22"/>
  <c r="W21"/>
  <c r="S20"/>
  <c r="W19"/>
  <c r="U18"/>
  <c r="S18"/>
  <c r="U15"/>
  <c r="S15"/>
  <c r="W13"/>
  <c r="B2" i="6"/>
  <c r="J7"/>
  <c r="K7"/>
  <c r="P7"/>
  <c r="D10"/>
  <c r="E10"/>
  <c r="J10"/>
  <c r="K10"/>
  <c r="O10"/>
  <c r="P10"/>
  <c r="J19"/>
  <c r="K19"/>
  <c r="P19"/>
  <c r="J22"/>
  <c r="K22"/>
  <c r="P22"/>
  <c r="J23"/>
  <c r="K23"/>
  <c r="L23"/>
  <c r="P23"/>
  <c r="J28"/>
  <c r="K28"/>
  <c r="L29"/>
  <c r="P29"/>
  <c r="L30"/>
  <c r="M30" s="1"/>
  <c r="J31"/>
  <c r="K31"/>
  <c r="P31"/>
  <c r="J32"/>
  <c r="K32"/>
  <c r="P32"/>
  <c r="L6" i="23"/>
  <c r="J14"/>
  <c r="K14"/>
  <c r="B24"/>
  <c r="B2" i="47"/>
  <c r="N6"/>
  <c r="D33"/>
  <c r="K7"/>
  <c r="I7" s="1"/>
  <c r="O7"/>
  <c r="O8"/>
  <c r="E8"/>
  <c r="K8"/>
  <c r="N9"/>
  <c r="D11"/>
  <c r="N11" s="1"/>
  <c r="E11"/>
  <c r="F11"/>
  <c r="D30"/>
  <c r="B2" i="29"/>
  <c r="N6"/>
  <c r="N9"/>
  <c r="D11"/>
  <c r="N11" s="1"/>
  <c r="E11"/>
  <c r="F11"/>
  <c r="B2" i="7"/>
  <c r="N6"/>
  <c r="N9"/>
  <c r="D11"/>
  <c r="N11" s="1"/>
  <c r="E11"/>
  <c r="F11"/>
  <c r="B2" i="8"/>
  <c r="N6"/>
  <c r="O7"/>
  <c r="O8"/>
  <c r="E8"/>
  <c r="N9"/>
  <c r="D11"/>
  <c r="N11" s="1"/>
  <c r="E11"/>
  <c r="F11"/>
  <c r="N6" i="9"/>
  <c r="O7"/>
  <c r="K8"/>
  <c r="O8"/>
  <c r="L9"/>
  <c r="N9"/>
  <c r="O9"/>
  <c r="Q9" s="1"/>
  <c r="D11"/>
  <c r="N11" s="1"/>
  <c r="E11"/>
  <c r="F11"/>
  <c r="P20"/>
  <c r="B9" i="51"/>
  <c r="D9"/>
  <c r="H9" s="1"/>
  <c r="E9"/>
  <c r="D9" i="50"/>
  <c r="H9" s="1"/>
  <c r="E9"/>
  <c r="I9"/>
  <c r="J9"/>
  <c r="D9" i="49"/>
  <c r="H9" s="1"/>
  <c r="E9"/>
  <c r="I9"/>
  <c r="J9"/>
  <c r="I7"/>
  <c r="J7"/>
  <c r="D9" i="48"/>
  <c r="H9" s="1"/>
  <c r="E9"/>
  <c r="J9"/>
  <c r="B9" i="46"/>
  <c r="D9"/>
  <c r="H9" s="1"/>
  <c r="E9"/>
  <c r="I9"/>
  <c r="J9"/>
  <c r="B9" i="45"/>
  <c r="D9"/>
  <c r="H9" s="1"/>
  <c r="E9"/>
  <c r="B9" i="33"/>
  <c r="D9"/>
  <c r="H9" s="1"/>
  <c r="E9"/>
  <c r="D9" i="32"/>
  <c r="H9" s="1"/>
  <c r="E9"/>
  <c r="D9" i="18"/>
  <c r="H9" s="1"/>
  <c r="J9"/>
  <c r="K1" s="1"/>
  <c r="I9" i="33"/>
  <c r="I7" i="46"/>
  <c r="J7" i="32"/>
  <c r="I9" i="51"/>
  <c r="J7" i="46"/>
  <c r="I7" i="32"/>
  <c r="I9" i="18"/>
  <c r="D34" i="6"/>
  <c r="I9" i="32"/>
  <c r="I7" i="48"/>
  <c r="T34" i="8"/>
  <c r="O41" i="6"/>
  <c r="O36" s="1"/>
  <c r="B20" i="23" s="1"/>
  <c r="D41" i="6"/>
  <c r="D36" s="1"/>
  <c r="J36" s="1"/>
  <c r="G44"/>
  <c r="J17"/>
  <c r="I7" i="33"/>
  <c r="P18" i="6"/>
  <c r="D21" i="47"/>
  <c r="D13"/>
  <c r="J7" i="33"/>
  <c r="J9"/>
  <c r="D16" i="8"/>
  <c r="N16" s="1"/>
  <c r="G17" i="6"/>
  <c r="D18" i="29" s="1"/>
  <c r="J9" i="44"/>
  <c r="J7"/>
  <c r="J14" i="6"/>
  <c r="P14"/>
  <c r="D15" i="47"/>
  <c r="G14" i="6"/>
  <c r="D13" i="8"/>
  <c r="E34" i="6"/>
  <c r="L19" i="5"/>
  <c r="J8" i="6" l="1"/>
  <c r="G8"/>
  <c r="D8" i="29" s="1"/>
  <c r="N8" s="1"/>
  <c r="F8" i="6"/>
  <c r="N13" i="8"/>
  <c r="N23"/>
  <c r="N7" i="9"/>
  <c r="N10" s="1"/>
  <c r="D7" i="7"/>
  <c r="L7" s="1"/>
  <c r="N24" i="9"/>
  <c r="N15" i="47"/>
  <c r="L30" i="9"/>
  <c r="F18" i="6"/>
  <c r="F12"/>
  <c r="D13" i="7" s="1"/>
  <c r="D14" i="23" s="1"/>
  <c r="E14" s="1"/>
  <c r="F20" i="6"/>
  <c r="K8" i="8"/>
  <c r="J8" i="7"/>
  <c r="K8" s="1"/>
  <c r="M22" i="6"/>
  <c r="D45" i="29"/>
  <c r="P8" i="9"/>
  <c r="O10" i="47"/>
  <c r="N24" i="8"/>
  <c r="N33" i="47"/>
  <c r="E10" i="9"/>
  <c r="O10"/>
  <c r="E10" i="47"/>
  <c r="D10" i="9"/>
  <c r="L9" i="47"/>
  <c r="H9"/>
  <c r="N20" i="29"/>
  <c r="N33"/>
  <c r="N32"/>
  <c r="N13" i="9"/>
  <c r="N20" i="47"/>
  <c r="F25" i="6"/>
  <c r="L25" s="1"/>
  <c r="N17" i="8"/>
  <c r="N17" i="9"/>
  <c r="N18" i="29"/>
  <c r="D26" i="47"/>
  <c r="N2" i="6"/>
  <c r="N25" i="9"/>
  <c r="N16"/>
  <c r="M32" i="6"/>
  <c r="N25" i="8"/>
  <c r="E47" i="29"/>
  <c r="M31" i="6"/>
  <c r="P12"/>
  <c r="N19" i="47"/>
  <c r="N18"/>
  <c r="P8" i="6"/>
  <c r="P9" s="1"/>
  <c r="G41"/>
  <c r="G36" s="1"/>
  <c r="H36" s="1"/>
  <c r="D8" i="47"/>
  <c r="N8" s="1"/>
  <c r="P8" s="1"/>
  <c r="F8" i="29"/>
  <c r="O8" s="1"/>
  <c r="O8" i="7"/>
  <c r="O10" s="1"/>
  <c r="O10" i="8"/>
  <c r="E10"/>
  <c r="M14" i="6"/>
  <c r="E7" i="7"/>
  <c r="F10"/>
  <c r="H10" s="1"/>
  <c r="H7"/>
  <c r="E8"/>
  <c r="G7" i="33"/>
  <c r="M29" i="6"/>
  <c r="G7" i="53"/>
  <c r="M7" i="6"/>
  <c r="I7" s="1"/>
  <c r="L189" i="5"/>
  <c r="D38" i="8"/>
  <c r="D47" i="29" s="1"/>
  <c r="D27" i="8"/>
  <c r="L27" s="1"/>
  <c r="E9" i="47"/>
  <c r="M37" i="6"/>
  <c r="N23" i="47"/>
  <c r="N31" i="29"/>
  <c r="L8" i="9"/>
  <c r="M28" i="6"/>
  <c r="N30" i="29"/>
  <c r="N25" i="7"/>
  <c r="N24"/>
  <c r="C12" i="23"/>
  <c r="B6"/>
  <c r="E6" s="1"/>
  <c r="N29" i="29"/>
  <c r="D39" i="6"/>
  <c r="N30" i="47"/>
  <c r="D12" i="23"/>
  <c r="B12"/>
  <c r="D15" i="29"/>
  <c r="N15" s="1"/>
  <c r="K7" i="7"/>
  <c r="I7" s="1"/>
  <c r="D21" i="23"/>
  <c r="G7" i="51"/>
  <c r="N32" i="47"/>
  <c r="L7"/>
  <c r="N21"/>
  <c r="N13"/>
  <c r="L171" i="5"/>
  <c r="L18"/>
  <c r="L9"/>
  <c r="L8"/>
  <c r="L182"/>
  <c r="L190"/>
  <c r="L161"/>
  <c r="L179"/>
  <c r="G7" i="44"/>
  <c r="L165" i="5"/>
  <c r="L162"/>
  <c r="L14"/>
  <c r="L191"/>
  <c r="L193"/>
  <c r="H30" i="8"/>
  <c r="C9" i="23"/>
  <c r="P17" i="6"/>
  <c r="G7" i="55"/>
  <c r="L175" i="5"/>
  <c r="L185"/>
  <c r="L15"/>
  <c r="N7" i="29"/>
  <c r="L169" i="5"/>
  <c r="L160"/>
  <c r="L10"/>
  <c r="L180"/>
  <c r="L166"/>
  <c r="L163"/>
  <c r="L176"/>
  <c r="M17" i="6"/>
  <c r="N8" i="23"/>
  <c r="M19" i="6"/>
  <c r="Q7" i="29"/>
  <c r="Q10" s="1"/>
  <c r="L11" i="5"/>
  <c r="L7" i="6"/>
  <c r="L17" i="5"/>
  <c r="L170"/>
  <c r="L188"/>
  <c r="L172"/>
  <c r="L167"/>
  <c r="J8" i="23"/>
  <c r="M8" s="1"/>
  <c r="G7" i="49"/>
  <c r="L9" i="8"/>
  <c r="O9"/>
  <c r="P9" s="1"/>
  <c r="P9" i="9"/>
  <c r="G7" i="48"/>
  <c r="E39" i="6"/>
  <c r="K36"/>
  <c r="M36" s="1"/>
  <c r="I173" i="5"/>
  <c r="I167"/>
  <c r="I15"/>
  <c r="X15" s="1"/>
  <c r="J173"/>
  <c r="Y173" s="1"/>
  <c r="J18"/>
  <c r="Y18" s="1"/>
  <c r="B100"/>
  <c r="J166"/>
  <c r="I10"/>
  <c r="J9"/>
  <c r="Y9" s="1"/>
  <c r="J195"/>
  <c r="Y195" s="1"/>
  <c r="I195"/>
  <c r="I189"/>
  <c r="X189" s="1"/>
  <c r="J170"/>
  <c r="Y170" s="1"/>
  <c r="I192"/>
  <c r="J16"/>
  <c r="Y16" s="1"/>
  <c r="I18"/>
  <c r="X18" s="1"/>
  <c r="I180"/>
  <c r="X180" s="1"/>
  <c r="J192"/>
  <c r="Y192" s="1"/>
  <c r="J11"/>
  <c r="Y11" s="1"/>
  <c r="I165"/>
  <c r="X165" s="1"/>
  <c r="J167"/>
  <c r="I181"/>
  <c r="I179"/>
  <c r="X179" s="1"/>
  <c r="J185"/>
  <c r="Y185" s="1"/>
  <c r="I172"/>
  <c r="J183"/>
  <c r="Y183" s="1"/>
  <c r="J17"/>
  <c r="Y17" s="1"/>
  <c r="I174"/>
  <c r="I175"/>
  <c r="X175" s="1"/>
  <c r="J169"/>
  <c r="Y169" s="1"/>
  <c r="J15"/>
  <c r="Y15" s="1"/>
  <c r="I160"/>
  <c r="X160" s="1"/>
  <c r="I193"/>
  <c r="X193" s="1"/>
  <c r="I161"/>
  <c r="I168"/>
  <c r="J161"/>
  <c r="I8"/>
  <c r="X8" s="1"/>
  <c r="I190"/>
  <c r="X190" s="1"/>
  <c r="I16"/>
  <c r="J176"/>
  <c r="Y176" s="1"/>
  <c r="J178"/>
  <c r="Y178" s="1"/>
  <c r="I170"/>
  <c r="I21"/>
  <c r="I183"/>
  <c r="I171"/>
  <c r="I185"/>
  <c r="X185" s="1"/>
  <c r="I166"/>
  <c r="X166" s="1"/>
  <c r="I19"/>
  <c r="X19" s="1"/>
  <c r="J188"/>
  <c r="Y188" s="1"/>
  <c r="I187"/>
  <c r="J14"/>
  <c r="Y14" s="1"/>
  <c r="I163"/>
  <c r="X163" s="1"/>
  <c r="J181"/>
  <c r="J187"/>
  <c r="Y187" s="1"/>
  <c r="I176"/>
  <c r="X176" s="1"/>
  <c r="I188"/>
  <c r="X188" s="1"/>
  <c r="J174"/>
  <c r="Y174" s="1"/>
  <c r="J175"/>
  <c r="Y175" s="1"/>
  <c r="I184"/>
  <c r="G27" i="9"/>
  <c r="G32" s="1"/>
  <c r="G7" i="50"/>
  <c r="G35" i="47"/>
  <c r="G39" s="1"/>
  <c r="G27" i="7"/>
  <c r="G32" s="1"/>
  <c r="I17" i="5"/>
  <c r="X17" s="1"/>
  <c r="F7" i="29"/>
  <c r="L7" s="1"/>
  <c r="M8" i="5"/>
  <c r="G7" i="32"/>
  <c r="M23" i="6"/>
  <c r="G15" i="29"/>
  <c r="E9" i="8"/>
  <c r="E30" s="1"/>
  <c r="J163" i="5"/>
  <c r="L168"/>
  <c r="J189"/>
  <c r="Y189" s="1"/>
  <c r="J182"/>
  <c r="Y182" s="1"/>
  <c r="I182"/>
  <c r="X182" s="1"/>
  <c r="J172"/>
  <c r="Y172" s="1"/>
  <c r="L13"/>
  <c r="L164"/>
  <c r="L183"/>
  <c r="L174"/>
  <c r="L12"/>
  <c r="L184"/>
  <c r="L173"/>
  <c r="L30"/>
  <c r="X30" s="1"/>
  <c r="L192"/>
  <c r="I14"/>
  <c r="X14" s="1"/>
  <c r="J165"/>
  <c r="I169"/>
  <c r="J190"/>
  <c r="Y190" s="1"/>
  <c r="B97"/>
  <c r="I11"/>
  <c r="X11" s="1"/>
  <c r="I162"/>
  <c r="X162" s="1"/>
  <c r="I191"/>
  <c r="X191" s="1"/>
  <c r="J13"/>
  <c r="Y13" s="1"/>
  <c r="I9"/>
  <c r="X9" s="1"/>
  <c r="J179"/>
  <c r="Y179" s="1"/>
  <c r="J21"/>
  <c r="Y21" s="1"/>
  <c r="J164"/>
  <c r="J180"/>
  <c r="Y180" s="1"/>
  <c r="J19"/>
  <c r="Y19" s="1"/>
  <c r="I12"/>
  <c r="I178"/>
  <c r="J10"/>
  <c r="Y10" s="1"/>
  <c r="J184"/>
  <c r="Y184" s="1"/>
  <c r="J193"/>
  <c r="Y193" s="1"/>
  <c r="L181"/>
  <c r="L195"/>
  <c r="L21"/>
  <c r="J168"/>
  <c r="Y168" s="1"/>
  <c r="L16"/>
  <c r="J8"/>
  <c r="I13"/>
  <c r="L178"/>
  <c r="J12"/>
  <c r="Y12" s="1"/>
  <c r="J160"/>
  <c r="J162"/>
  <c r="J171"/>
  <c r="Y171" s="1"/>
  <c r="I164"/>
  <c r="X164" s="1"/>
  <c r="B98"/>
  <c r="L187"/>
  <c r="J191"/>
  <c r="Y191" s="1"/>
  <c r="D27" i="9"/>
  <c r="L27" s="1"/>
  <c r="Q8" i="23"/>
  <c r="N7" i="8"/>
  <c r="L7"/>
  <c r="P9" i="47"/>
  <c r="H7" i="6"/>
  <c r="N7" i="7"/>
  <c r="D8" i="8"/>
  <c r="D10" s="1"/>
  <c r="K8" i="6"/>
  <c r="G20" i="29"/>
  <c r="G18"/>
  <c r="I9" i="45"/>
  <c r="I7"/>
  <c r="G7" i="46"/>
  <c r="S93" i="5"/>
  <c r="S28"/>
  <c r="S5"/>
  <c r="S158"/>
  <c r="R28"/>
  <c r="R5"/>
  <c r="R158"/>
  <c r="R93"/>
  <c r="F9" i="29"/>
  <c r="E9" i="7"/>
  <c r="O9"/>
  <c r="H9"/>
  <c r="X10" i="5" l="1"/>
  <c r="X13"/>
  <c r="X170"/>
  <c r="Y8"/>
  <c r="X171"/>
  <c r="X169"/>
  <c r="X172"/>
  <c r="X161"/>
  <c r="X167"/>
  <c r="X12"/>
  <c r="X16"/>
  <c r="X173"/>
  <c r="X187"/>
  <c r="X184"/>
  <c r="X21"/>
  <c r="X168"/>
  <c r="X195"/>
  <c r="X183"/>
  <c r="X174"/>
  <c r="X178"/>
  <c r="X181"/>
  <c r="X192"/>
  <c r="Y164"/>
  <c r="B164" s="1"/>
  <c r="Y162"/>
  <c r="B162" s="1"/>
  <c r="Y161"/>
  <c r="B161" s="1"/>
  <c r="Y160"/>
  <c r="B160" s="1"/>
  <c r="Y181"/>
  <c r="B48" i="71" s="1"/>
  <c r="A48" s="1"/>
  <c r="Y167" i="5"/>
  <c r="B167" s="1"/>
  <c r="Y165"/>
  <c r="B165" s="1"/>
  <c r="Y163"/>
  <c r="B163" s="1"/>
  <c r="Y166"/>
  <c r="B166" s="1"/>
  <c r="S2"/>
  <c r="S1" s="1"/>
  <c r="R2"/>
  <c r="R1" s="1"/>
  <c r="L20" i="6"/>
  <c r="D10" i="29"/>
  <c r="P8"/>
  <c r="N10"/>
  <c r="N37" i="71"/>
  <c r="T41"/>
  <c r="N41"/>
  <c r="H41"/>
  <c r="B45"/>
  <c r="A45" s="1"/>
  <c r="B44"/>
  <c r="A44" s="1"/>
  <c r="B56"/>
  <c r="A56" s="1"/>
  <c r="N35"/>
  <c r="B26"/>
  <c r="A26" s="1"/>
  <c r="M41" i="61"/>
  <c r="E41" i="68"/>
  <c r="N46" i="71"/>
  <c r="N39"/>
  <c r="B99" i="5"/>
  <c r="N43" i="71"/>
  <c r="B34" i="5"/>
  <c r="H43" i="71"/>
  <c r="B35" i="5"/>
  <c r="B31"/>
  <c r="H37" i="71"/>
  <c r="B33" i="5"/>
  <c r="H39" i="71"/>
  <c r="G20" i="6"/>
  <c r="D17" i="7"/>
  <c r="N17" s="1"/>
  <c r="D16"/>
  <c r="N16" s="1"/>
  <c r="G18" i="6"/>
  <c r="L18"/>
  <c r="D21" i="7"/>
  <c r="G25" i="6"/>
  <c r="D26" i="29" s="1"/>
  <c r="E10" i="7"/>
  <c r="I30" i="8"/>
  <c r="K30" s="1"/>
  <c r="G12" i="6"/>
  <c r="D13" i="29" s="1"/>
  <c r="N13" s="1"/>
  <c r="F34" i="6"/>
  <c r="F39" s="1"/>
  <c r="L12"/>
  <c r="N26" i="47"/>
  <c r="D10"/>
  <c r="Q7" i="6"/>
  <c r="N10" i="47"/>
  <c r="L8" i="29"/>
  <c r="E8"/>
  <c r="E12" i="23"/>
  <c r="H8" i="29"/>
  <c r="L8" i="47"/>
  <c r="K8" i="29"/>
  <c r="N13" i="7"/>
  <c r="Q9" i="8"/>
  <c r="F37" i="9"/>
  <c r="E37" s="1"/>
  <c r="M5" i="5"/>
  <c r="O9" i="23"/>
  <c r="K9"/>
  <c r="F45" i="47"/>
  <c r="N37" i="61"/>
  <c r="E37" i="70" s="1"/>
  <c r="F37" s="1"/>
  <c r="L93" i="5"/>
  <c r="L158"/>
  <c r="H7" i="29"/>
  <c r="F10"/>
  <c r="H10" s="1"/>
  <c r="E7"/>
  <c r="K7"/>
  <c r="I7" s="1"/>
  <c r="O7"/>
  <c r="O10" s="1"/>
  <c r="S43" i="61"/>
  <c r="I158" i="5"/>
  <c r="I5"/>
  <c r="I28"/>
  <c r="J28"/>
  <c r="J93"/>
  <c r="I93"/>
  <c r="J5"/>
  <c r="F36" i="9"/>
  <c r="E36" s="1"/>
  <c r="J158" i="5"/>
  <c r="AZ25" i="61"/>
  <c r="L28" i="5"/>
  <c r="L5"/>
  <c r="M28"/>
  <c r="N8" i="8"/>
  <c r="P8" s="1"/>
  <c r="L8"/>
  <c r="D8" i="7"/>
  <c r="D10" s="1"/>
  <c r="M8" i="6"/>
  <c r="I8" s="1"/>
  <c r="L8"/>
  <c r="M93" i="5"/>
  <c r="M158"/>
  <c r="P93"/>
  <c r="P28"/>
  <c r="O93"/>
  <c r="O28"/>
  <c r="P158"/>
  <c r="O158"/>
  <c r="O5"/>
  <c r="Q9" i="7"/>
  <c r="Q9" i="29" s="1"/>
  <c r="P9" i="7"/>
  <c r="E9" i="29"/>
  <c r="H9"/>
  <c r="O9"/>
  <c r="P9" s="1"/>
  <c r="L9"/>
  <c r="B48" i="61" l="1"/>
  <c r="A48" s="1"/>
  <c r="B54" i="71"/>
  <c r="A54" s="1"/>
  <c r="K3" i="18"/>
  <c r="K4"/>
  <c r="N55" i="61"/>
  <c r="M25" i="6"/>
  <c r="U43" i="61"/>
  <c r="D43" i="69"/>
  <c r="N41" i="63"/>
  <c r="O41" s="1"/>
  <c r="E41" i="69"/>
  <c r="E51" s="1"/>
  <c r="Q41" i="61"/>
  <c r="E41" i="70"/>
  <c r="H41" s="1"/>
  <c r="K37"/>
  <c r="L37" s="1"/>
  <c r="H49" i="71"/>
  <c r="G49" s="1"/>
  <c r="H33"/>
  <c r="Z37"/>
  <c r="AA37" s="1"/>
  <c r="AR37"/>
  <c r="AS37" s="1"/>
  <c r="I37"/>
  <c r="H35"/>
  <c r="N33"/>
  <c r="H53"/>
  <c r="N55"/>
  <c r="AV46"/>
  <c r="AW46" s="1"/>
  <c r="Q46"/>
  <c r="M46"/>
  <c r="O46" s="1"/>
  <c r="AR41"/>
  <c r="AS41" s="1"/>
  <c r="G41"/>
  <c r="Z41"/>
  <c r="K41"/>
  <c r="H55"/>
  <c r="H46"/>
  <c r="N49"/>
  <c r="B25"/>
  <c r="A25" s="1"/>
  <c r="AV41"/>
  <c r="AW41" s="1"/>
  <c r="Q41"/>
  <c r="M41"/>
  <c r="O41" s="1"/>
  <c r="AV39"/>
  <c r="AW39" s="1"/>
  <c r="Q39"/>
  <c r="M39"/>
  <c r="O39" s="1"/>
  <c r="G39"/>
  <c r="Z39"/>
  <c r="AC39" s="1"/>
  <c r="K39"/>
  <c r="AR39"/>
  <c r="AS39" s="1"/>
  <c r="AR43"/>
  <c r="Z43"/>
  <c r="K43"/>
  <c r="H42"/>
  <c r="G43"/>
  <c r="M43"/>
  <c r="Q43"/>
  <c r="N42"/>
  <c r="AV43"/>
  <c r="S41"/>
  <c r="AZ41"/>
  <c r="W41"/>
  <c r="T51"/>
  <c r="AV35"/>
  <c r="N34"/>
  <c r="O35"/>
  <c r="AV37"/>
  <c r="AW37" s="1"/>
  <c r="O37"/>
  <c r="N39" i="61"/>
  <c r="H37"/>
  <c r="E37" i="68" s="1"/>
  <c r="H41"/>
  <c r="K41"/>
  <c r="L41" s="1"/>
  <c r="N46" i="61"/>
  <c r="E46" i="70" s="1"/>
  <c r="H35" i="61"/>
  <c r="H39"/>
  <c r="E39" i="68" s="1"/>
  <c r="H43" i="61"/>
  <c r="N43"/>
  <c r="N33"/>
  <c r="H33"/>
  <c r="J2" i="5"/>
  <c r="J1" s="1"/>
  <c r="I2"/>
  <c r="I1" s="1"/>
  <c r="H46" i="61"/>
  <c r="E46" i="68" s="1"/>
  <c r="K46" s="1"/>
  <c r="L46" s="1"/>
  <c r="N49" i="61"/>
  <c r="E49" i="70" s="1"/>
  <c r="K49" s="1"/>
  <c r="L49" s="1"/>
  <c r="H49" i="61"/>
  <c r="E49" i="68" s="1"/>
  <c r="B95" i="5"/>
  <c r="B32"/>
  <c r="H53" i="61"/>
  <c r="E53" i="68" s="1"/>
  <c r="B30" i="5"/>
  <c r="H55" i="61"/>
  <c r="BA25"/>
  <c r="W57"/>
  <c r="AZ57"/>
  <c r="BA57" s="1"/>
  <c r="W54"/>
  <c r="AZ54"/>
  <c r="BA54" s="1"/>
  <c r="O37"/>
  <c r="AV37"/>
  <c r="AW37" s="1"/>
  <c r="O2" i="5"/>
  <c r="O1" s="1"/>
  <c r="L2"/>
  <c r="L1" s="1"/>
  <c r="M2"/>
  <c r="M1" s="1"/>
  <c r="W37" i="63"/>
  <c r="X37" s="1"/>
  <c r="J37"/>
  <c r="K37" s="1"/>
  <c r="W54"/>
  <c r="X54" s="1"/>
  <c r="E10" i="29"/>
  <c r="S25" i="61"/>
  <c r="W25"/>
  <c r="AZ40"/>
  <c r="BA40" s="1"/>
  <c r="AZ45"/>
  <c r="BA45" s="1"/>
  <c r="AZ44"/>
  <c r="AZ41"/>
  <c r="BA41" s="1"/>
  <c r="AZ26"/>
  <c r="BA26" s="1"/>
  <c r="AR57"/>
  <c r="AS57" s="1"/>
  <c r="S54"/>
  <c r="AR54"/>
  <c r="AS54" s="1"/>
  <c r="W45" i="63"/>
  <c r="X45" s="1"/>
  <c r="W44"/>
  <c r="X44" s="1"/>
  <c r="W43"/>
  <c r="X43" s="1"/>
  <c r="W41"/>
  <c r="X41" s="1"/>
  <c r="W40"/>
  <c r="X40" s="1"/>
  <c r="W39"/>
  <c r="X39" s="1"/>
  <c r="W25"/>
  <c r="X25" s="1"/>
  <c r="W53"/>
  <c r="X53" s="1"/>
  <c r="Y158" i="5"/>
  <c r="AA158" s="1"/>
  <c r="N35" i="61"/>
  <c r="E35" i="70" s="1"/>
  <c r="E34" s="1"/>
  <c r="S57" i="61"/>
  <c r="F47" i="47"/>
  <c r="E47" s="1"/>
  <c r="F31"/>
  <c r="H31" s="1"/>
  <c r="F24"/>
  <c r="H24" s="1"/>
  <c r="F30"/>
  <c r="H30" s="1"/>
  <c r="E30" s="1"/>
  <c r="I30" s="1"/>
  <c r="K30" s="1"/>
  <c r="F26"/>
  <c r="O26" s="1"/>
  <c r="P26" s="1"/>
  <c r="F46"/>
  <c r="E46" s="1"/>
  <c r="F23"/>
  <c r="H23" s="1"/>
  <c r="E23" s="1"/>
  <c r="I23" s="1"/>
  <c r="K23" s="1"/>
  <c r="F44"/>
  <c r="E44" s="1"/>
  <c r="F13"/>
  <c r="H13" s="1"/>
  <c r="F29"/>
  <c r="C19" i="23" s="1"/>
  <c r="F37" i="8"/>
  <c r="F46" i="29" s="1"/>
  <c r="F23" i="8"/>
  <c r="O23" s="1"/>
  <c r="P23" s="1"/>
  <c r="F20"/>
  <c r="L20" s="1"/>
  <c r="F19"/>
  <c r="L19" s="1"/>
  <c r="S38" i="61"/>
  <c r="S55"/>
  <c r="F17" i="8"/>
  <c r="H17" s="1"/>
  <c r="E17" s="1"/>
  <c r="I17" s="1"/>
  <c r="K17" s="1"/>
  <c r="F19" i="7"/>
  <c r="L19" s="1"/>
  <c r="F30"/>
  <c r="H30" s="1"/>
  <c r="H9" i="23" s="1"/>
  <c r="M12" i="6"/>
  <c r="F30" i="9"/>
  <c r="E30" s="1"/>
  <c r="F23"/>
  <c r="L23" s="1"/>
  <c r="F20"/>
  <c r="L20" s="1"/>
  <c r="F19"/>
  <c r="L19" s="1"/>
  <c r="F17"/>
  <c r="H17" s="1"/>
  <c r="E17" s="1"/>
  <c r="I17" s="1"/>
  <c r="K17" s="1"/>
  <c r="F40" i="7"/>
  <c r="F49" i="29" s="1"/>
  <c r="F25" i="7"/>
  <c r="H25" s="1"/>
  <c r="F24"/>
  <c r="L24" s="1"/>
  <c r="F21"/>
  <c r="O21" s="1"/>
  <c r="D27"/>
  <c r="L27" s="1"/>
  <c r="D19" i="29"/>
  <c r="N19" s="1"/>
  <c r="M18" i="6"/>
  <c r="D21" i="29"/>
  <c r="M20" i="6"/>
  <c r="E45" i="47"/>
  <c r="D45"/>
  <c r="G34" i="6"/>
  <c r="G39" s="1"/>
  <c r="H39" s="1"/>
  <c r="F20" i="47"/>
  <c r="H20" s="1"/>
  <c r="E20" s="1"/>
  <c r="I20" s="1"/>
  <c r="K20" s="1"/>
  <c r="M9" i="6"/>
  <c r="I2"/>
  <c r="N10" i="8"/>
  <c r="N21" i="7"/>
  <c r="F39" i="8"/>
  <c r="D39" s="1"/>
  <c r="F21" i="47"/>
  <c r="N26" i="29"/>
  <c r="Z36" i="5"/>
  <c r="F19" i="47"/>
  <c r="H19" s="1"/>
  <c r="F18"/>
  <c r="H18" s="1"/>
  <c r="Z106" i="5"/>
  <c r="F24" i="9"/>
  <c r="F16" i="7"/>
  <c r="F35" i="8"/>
  <c r="E35" s="1"/>
  <c r="F32" i="47"/>
  <c r="L32" s="1"/>
  <c r="F24" i="8"/>
  <c r="F16" i="9"/>
  <c r="H16" s="1"/>
  <c r="F13"/>
  <c r="H13" s="1"/>
  <c r="F16" i="8"/>
  <c r="H16" s="1"/>
  <c r="F17" i="7"/>
  <c r="L17" s="1"/>
  <c r="F39" i="9"/>
  <c r="D39" s="1"/>
  <c r="F43" i="47"/>
  <c r="F25" i="9"/>
  <c r="F35" i="7"/>
  <c r="E35" s="1"/>
  <c r="F13"/>
  <c r="L13" s="1"/>
  <c r="F13" i="8"/>
  <c r="H13" s="1"/>
  <c r="F33" i="47"/>
  <c r="F35" i="9"/>
  <c r="E35" s="1"/>
  <c r="X158" i="5"/>
  <c r="Z168"/>
  <c r="F15" i="47"/>
  <c r="H15" s="1"/>
  <c r="O15" s="1"/>
  <c r="X5" i="5"/>
  <c r="X28"/>
  <c r="F25" i="8"/>
  <c r="X93" i="5"/>
  <c r="Q8" i="6"/>
  <c r="N8" i="7"/>
  <c r="L8"/>
  <c r="H8" i="6"/>
  <c r="H2" s="1"/>
  <c r="Y93" i="5"/>
  <c r="AA93" s="1"/>
  <c r="Y28"/>
  <c r="AA28" s="1"/>
  <c r="Z93" l="1"/>
  <c r="Z28"/>
  <c r="E55" i="70"/>
  <c r="E57" s="1"/>
  <c r="H41" i="69"/>
  <c r="U57" i="61"/>
  <c r="D56" i="69"/>
  <c r="F56" s="1"/>
  <c r="K41"/>
  <c r="L41" s="1"/>
  <c r="L51" s="1"/>
  <c r="U54" i="61"/>
  <c r="D54" i="69"/>
  <c r="F54" s="1"/>
  <c r="U55" i="61"/>
  <c r="D55" i="69"/>
  <c r="F55" s="1"/>
  <c r="F43"/>
  <c r="U38" i="61"/>
  <c r="D38" i="69"/>
  <c r="F38" s="1"/>
  <c r="U25" i="61"/>
  <c r="D25" i="69"/>
  <c r="K41" i="70"/>
  <c r="L41" s="1"/>
  <c r="AV43" i="61"/>
  <c r="AW43" s="1"/>
  <c r="E43" i="70"/>
  <c r="K43" s="1"/>
  <c r="Q39" i="61"/>
  <c r="E39" i="70"/>
  <c r="K39" s="1"/>
  <c r="L39" s="1"/>
  <c r="F35"/>
  <c r="F34" s="1"/>
  <c r="K35"/>
  <c r="K34" s="1"/>
  <c r="AV33" i="61"/>
  <c r="AW33" s="1"/>
  <c r="E33" i="70"/>
  <c r="K33" s="1"/>
  <c r="L33" s="1"/>
  <c r="AR55" i="61"/>
  <c r="AS55" s="1"/>
  <c r="E55" i="68"/>
  <c r="E57" s="1"/>
  <c r="H42" i="61"/>
  <c r="F42" i="63" s="1"/>
  <c r="E43" i="68"/>
  <c r="H43" s="1"/>
  <c r="AR35" i="61"/>
  <c r="AS35" s="1"/>
  <c r="E35" i="68"/>
  <c r="E34" s="1"/>
  <c r="AR33" i="61"/>
  <c r="AS33" s="1"/>
  <c r="E33" i="68"/>
  <c r="F33" s="1"/>
  <c r="H49" i="70"/>
  <c r="Z49" i="71"/>
  <c r="AC49" s="1"/>
  <c r="AV39" i="61"/>
  <c r="AW39" s="1"/>
  <c r="K49" i="71"/>
  <c r="AR49"/>
  <c r="AS49" s="1"/>
  <c r="N51"/>
  <c r="H46" i="68"/>
  <c r="BA41" i="71"/>
  <c r="BA51" s="1"/>
  <c r="AZ51"/>
  <c r="AZ59" s="1"/>
  <c r="AV42"/>
  <c r="AW43"/>
  <c r="AW42" s="1"/>
  <c r="AR42"/>
  <c r="AS43"/>
  <c r="AS42" s="1"/>
  <c r="B41"/>
  <c r="A41" s="1"/>
  <c r="AC41"/>
  <c r="O34"/>
  <c r="Q49"/>
  <c r="AV49"/>
  <c r="AW49" s="1"/>
  <c r="M49"/>
  <c r="O49" s="1"/>
  <c r="Y41"/>
  <c r="AA41" s="1"/>
  <c r="I41"/>
  <c r="AV33"/>
  <c r="AW33" s="1"/>
  <c r="O33"/>
  <c r="J39" i="63"/>
  <c r="K39" s="1"/>
  <c r="AV34" i="71"/>
  <c r="AW35"/>
  <c r="AW34" s="1"/>
  <c r="M42"/>
  <c r="O43"/>
  <c r="O42" s="1"/>
  <c r="AR46"/>
  <c r="AS46" s="1"/>
  <c r="G46"/>
  <c r="K46"/>
  <c r="Z46"/>
  <c r="AC46" s="1"/>
  <c r="Z35"/>
  <c r="H34"/>
  <c r="H51" s="1"/>
  <c r="AR35"/>
  <c r="I35"/>
  <c r="I34" s="1"/>
  <c r="M55"/>
  <c r="Q55"/>
  <c r="AV55"/>
  <c r="N57"/>
  <c r="T60"/>
  <c r="T61" s="1"/>
  <c r="I43"/>
  <c r="I42" s="1"/>
  <c r="Y43"/>
  <c r="G42"/>
  <c r="I39"/>
  <c r="Y39"/>
  <c r="AA39" s="1"/>
  <c r="K55"/>
  <c r="AR55"/>
  <c r="AS55" s="1"/>
  <c r="G55"/>
  <c r="Z55"/>
  <c r="AC55" s="1"/>
  <c r="U41"/>
  <c r="S51"/>
  <c r="U51" s="1"/>
  <c r="AC43"/>
  <c r="Z42"/>
  <c r="I49"/>
  <c r="AR53"/>
  <c r="K53"/>
  <c r="H57"/>
  <c r="Z53"/>
  <c r="G53"/>
  <c r="AR33"/>
  <c r="AS33" s="1"/>
  <c r="Z33"/>
  <c r="AA33" s="1"/>
  <c r="I33"/>
  <c r="K46" i="70"/>
  <c r="L46" s="1"/>
  <c r="H46"/>
  <c r="Q43" i="61"/>
  <c r="J43" i="63"/>
  <c r="K43" s="1"/>
  <c r="H53" i="68"/>
  <c r="K53"/>
  <c r="L53" s="1"/>
  <c r="E60" i="69"/>
  <c r="K39" i="68"/>
  <c r="L39" s="1"/>
  <c r="H39"/>
  <c r="H49"/>
  <c r="K49"/>
  <c r="L49" s="1"/>
  <c r="K37"/>
  <c r="L37" s="1"/>
  <c r="F37"/>
  <c r="BA23" i="61"/>
  <c r="AZ23"/>
  <c r="BA44"/>
  <c r="BA42" s="1"/>
  <c r="AZ42"/>
  <c r="X2" i="5"/>
  <c r="X1" s="1"/>
  <c r="Q54" i="61"/>
  <c r="AV54"/>
  <c r="AW54" s="1"/>
  <c r="Q57"/>
  <c r="AV57"/>
  <c r="AW57" s="1"/>
  <c r="Q55"/>
  <c r="AV55"/>
  <c r="AW55" s="1"/>
  <c r="Q49"/>
  <c r="AV49"/>
  <c r="AW49" s="1"/>
  <c r="Q45"/>
  <c r="AV45"/>
  <c r="AW45" s="1"/>
  <c r="Q44"/>
  <c r="AV44"/>
  <c r="AW44" s="1"/>
  <c r="Q46"/>
  <c r="AV46"/>
  <c r="AW46" s="1"/>
  <c r="Q38"/>
  <c r="AV38"/>
  <c r="AW38" s="1"/>
  <c r="Q40"/>
  <c r="AV40"/>
  <c r="AW40" s="1"/>
  <c r="AV41"/>
  <c r="AW41" s="1"/>
  <c r="O35"/>
  <c r="AV35"/>
  <c r="O36"/>
  <c r="AV36"/>
  <c r="AW36" s="1"/>
  <c r="O33"/>
  <c r="Q26"/>
  <c r="AV26"/>
  <c r="AW26" s="1"/>
  <c r="Q25"/>
  <c r="AV25"/>
  <c r="K46"/>
  <c r="AR46"/>
  <c r="AS46" s="1"/>
  <c r="K44"/>
  <c r="AR44"/>
  <c r="AS44" s="1"/>
  <c r="K49"/>
  <c r="AR49"/>
  <c r="AS49" s="1"/>
  <c r="K43"/>
  <c r="AR43"/>
  <c r="AS43" s="1"/>
  <c r="K45"/>
  <c r="AR45"/>
  <c r="AS45" s="1"/>
  <c r="F37" i="63"/>
  <c r="G37" s="1"/>
  <c r="AR37" i="61"/>
  <c r="AS37" s="1"/>
  <c r="K39"/>
  <c r="AR39"/>
  <c r="AS39" s="1"/>
  <c r="K41"/>
  <c r="AR41"/>
  <c r="AS41" s="1"/>
  <c r="F38" i="63"/>
  <c r="G38" s="1"/>
  <c r="AR38" i="61"/>
  <c r="AS38" s="1"/>
  <c r="K40"/>
  <c r="AR40"/>
  <c r="AS40" s="1"/>
  <c r="F36" i="63"/>
  <c r="G36" s="1"/>
  <c r="AR36" i="61"/>
  <c r="AS36" s="1"/>
  <c r="K25"/>
  <c r="AR25"/>
  <c r="AS25" s="1"/>
  <c r="K26"/>
  <c r="AR26"/>
  <c r="AS26" s="1"/>
  <c r="W35" i="63"/>
  <c r="X35" s="1"/>
  <c r="J33"/>
  <c r="J35"/>
  <c r="K35" s="1"/>
  <c r="J54"/>
  <c r="K54" s="1"/>
  <c r="J56"/>
  <c r="K56" s="1"/>
  <c r="M38" i="61"/>
  <c r="K57"/>
  <c r="F56" i="63"/>
  <c r="G56" s="1"/>
  <c r="J55"/>
  <c r="K55" s="1"/>
  <c r="K55" i="61"/>
  <c r="F55" i="63"/>
  <c r="G55" s="1"/>
  <c r="K54" i="61"/>
  <c r="F54" i="63"/>
  <c r="G54" s="1"/>
  <c r="W55"/>
  <c r="X55" s="1"/>
  <c r="X57" s="1"/>
  <c r="M55" i="61"/>
  <c r="O55" s="1"/>
  <c r="J46" i="63"/>
  <c r="K46" s="1"/>
  <c r="J40"/>
  <c r="K40" s="1"/>
  <c r="J38"/>
  <c r="K38" s="1"/>
  <c r="G38" i="61"/>
  <c r="K38"/>
  <c r="J26" i="63"/>
  <c r="K26" s="1"/>
  <c r="J44"/>
  <c r="K44" s="1"/>
  <c r="F40"/>
  <c r="W36"/>
  <c r="X36" s="1"/>
  <c r="H19" i="8"/>
  <c r="E19" s="1"/>
  <c r="I19" s="1"/>
  <c r="K19" s="1"/>
  <c r="J41" i="63"/>
  <c r="K41" s="1"/>
  <c r="F39"/>
  <c r="F43"/>
  <c r="J45"/>
  <c r="K45" s="1"/>
  <c r="M57" i="61"/>
  <c r="J25" i="63"/>
  <c r="K25" s="1"/>
  <c r="J49"/>
  <c r="K49" s="1"/>
  <c r="S41" i="61"/>
  <c r="W41"/>
  <c r="S45"/>
  <c r="W45"/>
  <c r="S26"/>
  <c r="W26"/>
  <c r="S44"/>
  <c r="W44"/>
  <c r="S40"/>
  <c r="W40"/>
  <c r="T23"/>
  <c r="N23" i="63" s="1"/>
  <c r="O31" i="47"/>
  <c r="L23" i="8"/>
  <c r="G12" i="23"/>
  <c r="K12" s="1"/>
  <c r="O12" s="1"/>
  <c r="C24"/>
  <c r="D24" s="1"/>
  <c r="E24" s="1"/>
  <c r="C26"/>
  <c r="D26" s="1"/>
  <c r="E26" s="1"/>
  <c r="L13" i="47"/>
  <c r="L24"/>
  <c r="H20" i="8"/>
  <c r="E20" s="1"/>
  <c r="I20" s="1"/>
  <c r="K20" s="1"/>
  <c r="J36" i="63"/>
  <c r="K36" s="1"/>
  <c r="T34" i="61"/>
  <c r="N34" i="63" s="1"/>
  <c r="O34" s="1"/>
  <c r="O29" i="47"/>
  <c r="H29"/>
  <c r="U29" s="1"/>
  <c r="V29" s="1"/>
  <c r="R29" s="1"/>
  <c r="O23"/>
  <c r="P23" s="1"/>
  <c r="L23"/>
  <c r="H26"/>
  <c r="G6" i="23"/>
  <c r="K6" s="1"/>
  <c r="O6" s="1"/>
  <c r="O30" i="47"/>
  <c r="P30" s="1"/>
  <c r="D44"/>
  <c r="O17" i="8"/>
  <c r="P17" s="1"/>
  <c r="D46" i="47"/>
  <c r="L30"/>
  <c r="A24" i="7"/>
  <c r="I2" s="1"/>
  <c r="W33" i="63"/>
  <c r="W46"/>
  <c r="X46" s="1"/>
  <c r="W49"/>
  <c r="X49" s="1"/>
  <c r="W38"/>
  <c r="X38" s="1"/>
  <c r="W48"/>
  <c r="X48" s="1"/>
  <c r="F22" i="29"/>
  <c r="L22" s="1"/>
  <c r="M54" i="61"/>
  <c r="M39"/>
  <c r="M43"/>
  <c r="M25"/>
  <c r="M26"/>
  <c r="M45"/>
  <c r="M49"/>
  <c r="M44"/>
  <c r="M40"/>
  <c r="M46"/>
  <c r="G49"/>
  <c r="D49" i="68" s="1"/>
  <c r="F49" i="63"/>
  <c r="I33" i="61"/>
  <c r="F33" i="63"/>
  <c r="G8" i="62" s="1"/>
  <c r="G26" i="61"/>
  <c r="F26" i="63"/>
  <c r="G25" i="61"/>
  <c r="D25" i="68" s="1"/>
  <c r="F25" i="63"/>
  <c r="G41" i="61"/>
  <c r="F41" i="63"/>
  <c r="G45" i="61"/>
  <c r="F45" i="63"/>
  <c r="G44" i="61"/>
  <c r="F44" i="63"/>
  <c r="I35" i="61"/>
  <c r="F35" i="63"/>
  <c r="G46" i="61"/>
  <c r="D46" i="68" s="1"/>
  <c r="F46" s="1"/>
  <c r="F46" i="63"/>
  <c r="H12" i="23"/>
  <c r="L12" s="1"/>
  <c r="P12" s="1"/>
  <c r="H19" i="7"/>
  <c r="E19" s="1"/>
  <c r="I19" s="1"/>
  <c r="K19" s="1"/>
  <c r="F24" i="29"/>
  <c r="L24" s="1"/>
  <c r="Z54" i="61"/>
  <c r="G55"/>
  <c r="D55" i="68" s="1"/>
  <c r="Z55" i="61"/>
  <c r="W34" i="63"/>
  <c r="X34" s="1"/>
  <c r="W42"/>
  <c r="X42" s="1"/>
  <c r="W23"/>
  <c r="X23" s="1"/>
  <c r="T42" i="61"/>
  <c r="N42" i="63" s="1"/>
  <c r="O42" s="1"/>
  <c r="N42" i="61"/>
  <c r="J42" i="63" s="1"/>
  <c r="K42" s="1"/>
  <c r="I37" i="61"/>
  <c r="Z37"/>
  <c r="AA37" s="1"/>
  <c r="I36"/>
  <c r="Z36"/>
  <c r="AA36" s="1"/>
  <c r="Z38"/>
  <c r="N34"/>
  <c r="J34" i="63" s="1"/>
  <c r="K34" s="1"/>
  <c r="Z26" i="61"/>
  <c r="B26" s="1"/>
  <c r="N23"/>
  <c r="J23" i="63" s="1"/>
  <c r="K23" s="1"/>
  <c r="G54" i="61"/>
  <c r="D54" i="68" s="1"/>
  <c r="F54" s="1"/>
  <c r="G57" i="61"/>
  <c r="G43"/>
  <c r="G40"/>
  <c r="G39"/>
  <c r="O23" i="9"/>
  <c r="P23" s="1"/>
  <c r="H23"/>
  <c r="U23" s="1"/>
  <c r="V23" s="1"/>
  <c r="R23" s="1"/>
  <c r="H19"/>
  <c r="E19" s="1"/>
  <c r="I19" s="1"/>
  <c r="K19" s="1"/>
  <c r="D30" i="7"/>
  <c r="E30" s="1"/>
  <c r="E38" i="29" s="1"/>
  <c r="I38" s="1"/>
  <c r="O17" i="9"/>
  <c r="P17" s="1"/>
  <c r="F29" i="29"/>
  <c r="L29" s="1"/>
  <c r="H30" i="9"/>
  <c r="I30" s="1"/>
  <c r="K30" s="1"/>
  <c r="F38" i="29"/>
  <c r="H38" s="1"/>
  <c r="F9" i="23"/>
  <c r="J9" s="1"/>
  <c r="F6"/>
  <c r="J6" s="1"/>
  <c r="N6" s="1"/>
  <c r="Z49" i="61"/>
  <c r="A30" i="47"/>
  <c r="I2" s="1"/>
  <c r="O25" i="7"/>
  <c r="P25" s="1"/>
  <c r="Z33" i="61"/>
  <c r="AA33" s="1"/>
  <c r="F20" i="29"/>
  <c r="H20" s="1"/>
  <c r="O20" s="1"/>
  <c r="P20" s="1"/>
  <c r="H20" i="9"/>
  <c r="E20" s="1"/>
  <c r="I20" s="1"/>
  <c r="K20" s="1"/>
  <c r="F12" i="23"/>
  <c r="Z57" i="61"/>
  <c r="B57" s="1"/>
  <c r="Z46"/>
  <c r="Z43"/>
  <c r="Z40"/>
  <c r="Z39"/>
  <c r="H23"/>
  <c r="Z35"/>
  <c r="AA35" s="1"/>
  <c r="H34"/>
  <c r="F34" i="63" s="1"/>
  <c r="F31" i="29"/>
  <c r="O31" s="1"/>
  <c r="P31" s="1"/>
  <c r="H21" i="7"/>
  <c r="L25"/>
  <c r="F26" i="29"/>
  <c r="O26" s="1"/>
  <c r="P26" s="1"/>
  <c r="F30"/>
  <c r="H30" s="1"/>
  <c r="I30" s="1"/>
  <c r="K30" s="1"/>
  <c r="O24" i="7"/>
  <c r="P24" s="1"/>
  <c r="H24"/>
  <c r="E24" s="1"/>
  <c r="E30" i="29" s="1"/>
  <c r="Z45" i="61"/>
  <c r="B45" s="1"/>
  <c r="Z44"/>
  <c r="B44" s="1"/>
  <c r="Z41"/>
  <c r="B41" s="1"/>
  <c r="Z25"/>
  <c r="B25" s="1"/>
  <c r="D35" i="29"/>
  <c r="L35" s="1"/>
  <c r="D2" i="50"/>
  <c r="D3"/>
  <c r="D3" i="49"/>
  <c r="D3" i="48"/>
  <c r="D2" i="49"/>
  <c r="D2" i="48"/>
  <c r="H34" i="6"/>
  <c r="P15" i="47"/>
  <c r="O20"/>
  <c r="P20" s="1"/>
  <c r="O30" i="6"/>
  <c r="D29" i="47" s="1"/>
  <c r="E18"/>
  <c r="I18" s="1"/>
  <c r="K18" s="1"/>
  <c r="O18"/>
  <c r="P18" s="1"/>
  <c r="O19"/>
  <c r="P19" s="1"/>
  <c r="O13"/>
  <c r="P13" s="1"/>
  <c r="E15"/>
  <c r="I15" s="1"/>
  <c r="O13" i="9"/>
  <c r="P13" s="1"/>
  <c r="E16"/>
  <c r="I16" s="1"/>
  <c r="K16" s="1"/>
  <c r="O16"/>
  <c r="P16" s="1"/>
  <c r="E24" i="47"/>
  <c r="I24" s="1"/>
  <c r="K24" s="1"/>
  <c r="H24" i="9"/>
  <c r="L24"/>
  <c r="H24" i="8"/>
  <c r="O24" s="1"/>
  <c r="P24" s="1"/>
  <c r="L24"/>
  <c r="H33" i="47"/>
  <c r="E33" s="1"/>
  <c r="I33" s="1"/>
  <c r="L33"/>
  <c r="H25" i="9"/>
  <c r="O25" s="1"/>
  <c r="P25" s="1"/>
  <c r="L25"/>
  <c r="H25" i="8"/>
  <c r="E25" s="1"/>
  <c r="I25" s="1"/>
  <c r="K25" s="1"/>
  <c r="L25"/>
  <c r="E13" i="47"/>
  <c r="I13" s="1"/>
  <c r="K13" s="1"/>
  <c r="E25" i="7"/>
  <c r="E31" i="29" s="1"/>
  <c r="H16" i="7"/>
  <c r="O16" s="1"/>
  <c r="P16" s="1"/>
  <c r="L16"/>
  <c r="H21" i="47"/>
  <c r="E21" s="1"/>
  <c r="L21"/>
  <c r="E21" i="7"/>
  <c r="E26" i="29" s="1"/>
  <c r="P21" i="7"/>
  <c r="P8"/>
  <c r="N10"/>
  <c r="Q9" i="6"/>
  <c r="O13" i="8"/>
  <c r="P13" s="1"/>
  <c r="E16"/>
  <c r="I16" s="1"/>
  <c r="K16" s="1"/>
  <c r="O16"/>
  <c r="P16" s="1"/>
  <c r="I30" i="7"/>
  <c r="K30" s="1"/>
  <c r="K38" i="29" s="1"/>
  <c r="E39" i="8"/>
  <c r="F21" i="29"/>
  <c r="E19" i="47"/>
  <c r="I19" s="1"/>
  <c r="K19" s="1"/>
  <c r="F19" i="29"/>
  <c r="H19" s="1"/>
  <c r="D35" i="8"/>
  <c r="D37" s="1"/>
  <c r="D34" s="1"/>
  <c r="F34"/>
  <c r="F29" s="1"/>
  <c r="H29" s="1"/>
  <c r="U29" s="1"/>
  <c r="V29" s="1"/>
  <c r="O32" i="47"/>
  <c r="P32" s="1"/>
  <c r="H32"/>
  <c r="E32" s="1"/>
  <c r="I32" s="1"/>
  <c r="K32" s="1"/>
  <c r="F32" i="29"/>
  <c r="H32" s="1"/>
  <c r="O32" s="1"/>
  <c r="E13" i="9"/>
  <c r="I13" s="1"/>
  <c r="E20" i="29"/>
  <c r="H17" i="7"/>
  <c r="E17" s="1"/>
  <c r="E21" i="29" s="1"/>
  <c r="F18"/>
  <c r="H18" s="1"/>
  <c r="E39" i="9"/>
  <c r="E34" s="1"/>
  <c r="E29" s="1"/>
  <c r="F48" i="29"/>
  <c r="D48"/>
  <c r="F27" i="9"/>
  <c r="E44" i="29"/>
  <c r="F42" i="47"/>
  <c r="F37" s="1"/>
  <c r="H37" s="1"/>
  <c r="F27" i="7"/>
  <c r="F13" i="29"/>
  <c r="H14" i="23"/>
  <c r="L14" s="1"/>
  <c r="M14" s="1"/>
  <c r="H13" i="7"/>
  <c r="F15" i="29"/>
  <c r="H15" s="1"/>
  <c r="E13" i="8"/>
  <c r="I13" s="1"/>
  <c r="K13" s="1"/>
  <c r="E26" i="47"/>
  <c r="D35" i="9"/>
  <c r="F34"/>
  <c r="F29" s="1"/>
  <c r="F7" i="23" s="1"/>
  <c r="F44" i="29"/>
  <c r="F35" i="47"/>
  <c r="F33" i="29"/>
  <c r="H33" s="1"/>
  <c r="F27" i="8"/>
  <c r="K55" i="70" l="1"/>
  <c r="L55" s="1"/>
  <c r="L57" s="1"/>
  <c r="H55"/>
  <c r="U26" i="61"/>
  <c r="U23" s="1"/>
  <c r="D26" i="69"/>
  <c r="F26" s="1"/>
  <c r="O57" i="61"/>
  <c r="D56" i="70"/>
  <c r="F56" s="1"/>
  <c r="O44" i="61"/>
  <c r="D44" i="70"/>
  <c r="F44" s="1"/>
  <c r="K51" i="69"/>
  <c r="K59" s="1"/>
  <c r="U45" i="61"/>
  <c r="D45" i="69"/>
  <c r="F45" s="1"/>
  <c r="U44" i="61"/>
  <c r="D44" i="69"/>
  <c r="U40" i="61"/>
  <c r="D40" i="69"/>
  <c r="F40" s="1"/>
  <c r="U41" i="61"/>
  <c r="D41" i="69"/>
  <c r="F41" s="1"/>
  <c r="F25"/>
  <c r="L35" i="70"/>
  <c r="L34" s="1"/>
  <c r="E42"/>
  <c r="E51" s="1"/>
  <c r="E60" s="1"/>
  <c r="H43"/>
  <c r="H39"/>
  <c r="O54" i="61"/>
  <c r="D54" i="70"/>
  <c r="F54" s="1"/>
  <c r="D55"/>
  <c r="F55" s="1"/>
  <c r="O45" i="61"/>
  <c r="D45" i="70"/>
  <c r="F45" s="1"/>
  <c r="O43" i="61"/>
  <c r="D43" i="70"/>
  <c r="F43" s="1"/>
  <c r="O46" i="61"/>
  <c r="D46" i="70"/>
  <c r="F46" s="1"/>
  <c r="O49" i="61"/>
  <c r="D49" i="70"/>
  <c r="F49" s="1"/>
  <c r="F33"/>
  <c r="O38" i="61"/>
  <c r="D38" i="70"/>
  <c r="F38" s="1"/>
  <c r="O39" i="61"/>
  <c r="D39" i="70"/>
  <c r="F39" s="1"/>
  <c r="O40" i="61"/>
  <c r="D40" i="70"/>
  <c r="F40" s="1"/>
  <c r="O41" i="61"/>
  <c r="D41" i="70"/>
  <c r="F41" s="1"/>
  <c r="O26" i="61"/>
  <c r="D26" i="70"/>
  <c r="F26" s="1"/>
  <c r="O25" i="61"/>
  <c r="D25" i="70"/>
  <c r="K35" i="68"/>
  <c r="K34" s="1"/>
  <c r="F35"/>
  <c r="F34" s="1"/>
  <c r="K55"/>
  <c r="L55" s="1"/>
  <c r="L57" s="1"/>
  <c r="H55"/>
  <c r="K33"/>
  <c r="L33" s="1"/>
  <c r="I57" i="61"/>
  <c r="D56" i="68"/>
  <c r="F56" s="1"/>
  <c r="K43"/>
  <c r="L43" s="1"/>
  <c r="L42" s="1"/>
  <c r="I45" i="61"/>
  <c r="D45" i="68"/>
  <c r="F45" s="1"/>
  <c r="E42"/>
  <c r="E51" s="1"/>
  <c r="E60" s="1"/>
  <c r="I44" i="61"/>
  <c r="D44" i="68"/>
  <c r="F44" s="1"/>
  <c r="I43" i="61"/>
  <c r="D43" i="68"/>
  <c r="F43" s="1"/>
  <c r="I39" i="61"/>
  <c r="D39" i="68"/>
  <c r="F39" s="1"/>
  <c r="I40" i="61"/>
  <c r="D40" i="68"/>
  <c r="F40" s="1"/>
  <c r="I41" i="61"/>
  <c r="D41" i="68"/>
  <c r="F41" s="1"/>
  <c r="I38" i="61"/>
  <c r="D38" i="68"/>
  <c r="F38" s="1"/>
  <c r="Y49" i="71"/>
  <c r="AA49" s="1"/>
  <c r="I26" i="61"/>
  <c r="D26" i="68"/>
  <c r="F26" s="1"/>
  <c r="F25"/>
  <c r="G51" i="71"/>
  <c r="I51" s="1"/>
  <c r="M51"/>
  <c r="O51" s="1"/>
  <c r="H60"/>
  <c r="H61" s="1"/>
  <c r="AR34"/>
  <c r="AR51" s="1"/>
  <c r="AS35"/>
  <c r="AS34" s="1"/>
  <c r="AS51" s="1"/>
  <c r="AW51"/>
  <c r="AR57"/>
  <c r="AR60" s="1"/>
  <c r="AS53"/>
  <c r="AS57" s="1"/>
  <c r="Z34"/>
  <c r="Z51" s="1"/>
  <c r="AA35"/>
  <c r="AA34" s="1"/>
  <c r="AV51"/>
  <c r="AV59" s="1"/>
  <c r="I55"/>
  <c r="Y55"/>
  <c r="AA55" s="1"/>
  <c r="Y42"/>
  <c r="AA43"/>
  <c r="AA42" s="1"/>
  <c r="N60"/>
  <c r="N61" s="1"/>
  <c r="AW55"/>
  <c r="AW57" s="1"/>
  <c r="AV57"/>
  <c r="AV60" s="1"/>
  <c r="I46"/>
  <c r="Y46"/>
  <c r="AA46" s="1"/>
  <c r="G57"/>
  <c r="Y53"/>
  <c r="I53"/>
  <c r="O55"/>
  <c r="O57" s="1"/>
  <c r="M57"/>
  <c r="Z57"/>
  <c r="AC53"/>
  <c r="B53"/>
  <c r="A53" s="1"/>
  <c r="A8" s="1"/>
  <c r="A3" s="1"/>
  <c r="K57" i="70"/>
  <c r="K60" s="1"/>
  <c r="K42"/>
  <c r="K51" s="1"/>
  <c r="L43"/>
  <c r="L42" s="1"/>
  <c r="F49" i="68"/>
  <c r="F55"/>
  <c r="R54" i="63"/>
  <c r="S54" s="1"/>
  <c r="B54" i="61"/>
  <c r="A54" s="1"/>
  <c r="BA51"/>
  <c r="AZ51"/>
  <c r="O23" i="63"/>
  <c r="O51" s="1"/>
  <c r="N51"/>
  <c r="O34" i="61"/>
  <c r="AV42"/>
  <c r="AW42"/>
  <c r="AV34"/>
  <c r="AW35"/>
  <c r="AW34" s="1"/>
  <c r="AW25"/>
  <c r="AW23" s="1"/>
  <c r="AV23"/>
  <c r="AS34"/>
  <c r="AR34"/>
  <c r="AS42"/>
  <c r="AR42"/>
  <c r="AS23"/>
  <c r="AR23"/>
  <c r="X33" i="63"/>
  <c r="X51" s="1"/>
  <c r="K33"/>
  <c r="K51" s="1"/>
  <c r="M8" i="62"/>
  <c r="AA34" i="61"/>
  <c r="R36" i="63"/>
  <c r="S36" s="1"/>
  <c r="W57"/>
  <c r="R42"/>
  <c r="S42" s="1"/>
  <c r="AC57" i="61"/>
  <c r="R56" i="63"/>
  <c r="S56" s="1"/>
  <c r="AC55" i="61"/>
  <c r="R55" i="63"/>
  <c r="S55" s="1"/>
  <c r="AC54" i="61"/>
  <c r="AC46"/>
  <c r="R46" i="63"/>
  <c r="S46" s="1"/>
  <c r="AC49" i="61"/>
  <c r="R49" i="63"/>
  <c r="S49" s="1"/>
  <c r="AC44" i="61"/>
  <c r="R44" i="63"/>
  <c r="S44" s="1"/>
  <c r="AC45" i="61"/>
  <c r="R45" i="63"/>
  <c r="S45" s="1"/>
  <c r="AC43" i="61"/>
  <c r="R43" i="63"/>
  <c r="S43" s="1"/>
  <c r="AC41" i="61"/>
  <c r="R41" i="63"/>
  <c r="S41" s="1"/>
  <c r="AC39" i="61"/>
  <c r="R39" i="63"/>
  <c r="S39" s="1"/>
  <c r="AC40" i="61"/>
  <c r="R40" i="63"/>
  <c r="S40" s="1"/>
  <c r="AC38" i="61"/>
  <c r="R38" i="63"/>
  <c r="S38" s="1"/>
  <c r="R37"/>
  <c r="S37" s="1"/>
  <c r="R35"/>
  <c r="S35" s="1"/>
  <c r="R33"/>
  <c r="S33" s="1"/>
  <c r="AC26" i="61"/>
  <c r="R26" i="63"/>
  <c r="S26" s="1"/>
  <c r="AC25" i="61"/>
  <c r="R25" i="63"/>
  <c r="S25" s="1"/>
  <c r="Y55" i="61"/>
  <c r="AA55" s="1"/>
  <c r="S42"/>
  <c r="S23"/>
  <c r="T51"/>
  <c r="I26" i="47"/>
  <c r="K26" s="1"/>
  <c r="I9" i="23"/>
  <c r="D43" i="47"/>
  <c r="E43" s="1"/>
  <c r="E42" s="1"/>
  <c r="E37" s="1"/>
  <c r="I37" s="1"/>
  <c r="K37" s="1"/>
  <c r="A57" i="61"/>
  <c r="A45"/>
  <c r="A44"/>
  <c r="A26"/>
  <c r="M51" i="63"/>
  <c r="A41" i="61"/>
  <c r="W51" i="63"/>
  <c r="G34"/>
  <c r="R34"/>
  <c r="S34" s="1"/>
  <c r="H22" i="29"/>
  <c r="I22" s="1"/>
  <c r="K22" s="1"/>
  <c r="M23" i="61"/>
  <c r="I51" i="63" s="1"/>
  <c r="J51"/>
  <c r="I49" i="61"/>
  <c r="M42"/>
  <c r="Y26"/>
  <c r="AA26" s="1"/>
  <c r="Y49"/>
  <c r="AA49" s="1"/>
  <c r="G49" i="63"/>
  <c r="G35"/>
  <c r="G33"/>
  <c r="H24" i="29"/>
  <c r="I24" s="1"/>
  <c r="K24" s="1"/>
  <c r="I12" i="23"/>
  <c r="I55" i="61"/>
  <c r="I54"/>
  <c r="Y54"/>
  <c r="AA54" s="1"/>
  <c r="N51"/>
  <c r="D40" i="7"/>
  <c r="D49" i="29" s="1"/>
  <c r="Y38" i="61"/>
  <c r="AA38" s="1"/>
  <c r="Y57"/>
  <c r="AA57" s="1"/>
  <c r="Y43"/>
  <c r="AA43" s="1"/>
  <c r="Y40"/>
  <c r="AA40" s="1"/>
  <c r="Y39"/>
  <c r="AA39" s="1"/>
  <c r="E22" i="29"/>
  <c r="O29"/>
  <c r="P29" s="1"/>
  <c r="E23" i="9"/>
  <c r="I23" s="1"/>
  <c r="K23" s="1"/>
  <c r="N9" i="23"/>
  <c r="L30" i="7"/>
  <c r="L38" i="29" s="1"/>
  <c r="D38"/>
  <c r="D9" i="23"/>
  <c r="E9" s="1"/>
  <c r="M6"/>
  <c r="Q6" s="1"/>
  <c r="F10"/>
  <c r="I6"/>
  <c r="Y46" i="61"/>
  <c r="AA46" s="1"/>
  <c r="I46"/>
  <c r="I25"/>
  <c r="I34"/>
  <c r="Y25"/>
  <c r="AA25" s="1"/>
  <c r="J12" i="23"/>
  <c r="N12" s="1"/>
  <c r="I20" i="29"/>
  <c r="K20" s="1"/>
  <c r="E24"/>
  <c r="H51" i="61"/>
  <c r="G23"/>
  <c r="Z34"/>
  <c r="L31" i="29"/>
  <c r="H31"/>
  <c r="I31" s="1"/>
  <c r="K31" s="1"/>
  <c r="L30"/>
  <c r="I24" i="7"/>
  <c r="K24" s="1"/>
  <c r="O30" i="29"/>
  <c r="P30" s="1"/>
  <c r="H26"/>
  <c r="Z23" i="61"/>
  <c r="A25"/>
  <c r="Z42"/>
  <c r="Y45"/>
  <c r="AA45" s="1"/>
  <c r="G42"/>
  <c r="Y44"/>
  <c r="AA44" s="1"/>
  <c r="Y41"/>
  <c r="AA41" s="1"/>
  <c r="F23" i="63"/>
  <c r="D29" i="8"/>
  <c r="L31" s="1"/>
  <c r="B4" s="1"/>
  <c r="E37"/>
  <c r="E46" i="29" s="1"/>
  <c r="K13" i="9"/>
  <c r="R29" i="8"/>
  <c r="E24"/>
  <c r="I24" s="1"/>
  <c r="K24" s="1"/>
  <c r="E16" i="7"/>
  <c r="E19" i="29" s="1"/>
  <c r="I19" s="1"/>
  <c r="K19" s="1"/>
  <c r="K15" i="47"/>
  <c r="U37"/>
  <c r="V37" s="1"/>
  <c r="R37" s="1"/>
  <c r="B19" i="23"/>
  <c r="P28" i="6"/>
  <c r="D31" i="47"/>
  <c r="P30" i="6"/>
  <c r="O34"/>
  <c r="O39" s="1"/>
  <c r="P39" s="1"/>
  <c r="I21" i="47"/>
  <c r="K21" s="1"/>
  <c r="O21"/>
  <c r="P21" s="1"/>
  <c r="K33"/>
  <c r="O33"/>
  <c r="P33" s="1"/>
  <c r="O24" i="9"/>
  <c r="P24" s="1"/>
  <c r="I21" i="7"/>
  <c r="K21" s="1"/>
  <c r="I25"/>
  <c r="K25" s="1"/>
  <c r="E24" i="9"/>
  <c r="I24" s="1"/>
  <c r="K24" s="1"/>
  <c r="H27"/>
  <c r="E25"/>
  <c r="I25" s="1"/>
  <c r="K25" s="1"/>
  <c r="O25" i="8"/>
  <c r="P25" s="1"/>
  <c r="H21" i="29"/>
  <c r="I21" s="1"/>
  <c r="K21" s="1"/>
  <c r="L21"/>
  <c r="H13"/>
  <c r="O13" s="1"/>
  <c r="P13" s="1"/>
  <c r="L13"/>
  <c r="E13" i="7"/>
  <c r="E13" i="29" s="1"/>
  <c r="O13" i="7"/>
  <c r="P13" s="1"/>
  <c r="O18" i="29"/>
  <c r="P18" s="1"/>
  <c r="O15"/>
  <c r="P15" s="1"/>
  <c r="E18"/>
  <c r="I18" s="1"/>
  <c r="O33"/>
  <c r="P33" s="1"/>
  <c r="O19"/>
  <c r="P19" s="1"/>
  <c r="P32"/>
  <c r="D44"/>
  <c r="G7" i="23"/>
  <c r="G10" s="1"/>
  <c r="F32" i="8"/>
  <c r="H35" i="47"/>
  <c r="H39" s="1"/>
  <c r="O17" i="7"/>
  <c r="P17" s="1"/>
  <c r="I17"/>
  <c r="K17" s="1"/>
  <c r="E48" i="29"/>
  <c r="C20" i="23"/>
  <c r="D20" s="1"/>
  <c r="E20" s="1"/>
  <c r="H27" i="7"/>
  <c r="F39" i="47"/>
  <c r="I14" i="23"/>
  <c r="Q14" s="1"/>
  <c r="P14"/>
  <c r="E15" i="29"/>
  <c r="I15" s="1"/>
  <c r="K15" s="1"/>
  <c r="D37" i="9"/>
  <c r="D34" s="1"/>
  <c r="D29" s="1"/>
  <c r="L31" s="1"/>
  <c r="F32"/>
  <c r="F33" s="1"/>
  <c r="F3" s="1"/>
  <c r="H29"/>
  <c r="F35" i="29"/>
  <c r="D23" i="69" l="1"/>
  <c r="F23"/>
  <c r="U42" i="61"/>
  <c r="F44" i="69"/>
  <c r="F42" s="1"/>
  <c r="D42"/>
  <c r="L51" i="70"/>
  <c r="O42" i="61"/>
  <c r="F42" i="70"/>
  <c r="D42"/>
  <c r="O23" i="61"/>
  <c r="K59" i="70"/>
  <c r="F25"/>
  <c r="F23" s="1"/>
  <c r="D23"/>
  <c r="L35" i="68"/>
  <c r="L34" s="1"/>
  <c r="L51" s="1"/>
  <c r="K57"/>
  <c r="K60" s="1"/>
  <c r="K42"/>
  <c r="K51" s="1"/>
  <c r="I42" i="61"/>
  <c r="D42" i="68"/>
  <c r="F42"/>
  <c r="D23"/>
  <c r="F23"/>
  <c r="I23" i="61"/>
  <c r="I57" i="71"/>
  <c r="Y51"/>
  <c r="AA51" s="1"/>
  <c r="Z60"/>
  <c r="Z58"/>
  <c r="Z52"/>
  <c r="Z63"/>
  <c r="Y57"/>
  <c r="AA53"/>
  <c r="AA57" s="1"/>
  <c r="AZ60" i="61"/>
  <c r="AV51"/>
  <c r="AV60" s="1"/>
  <c r="AW51"/>
  <c r="AS51"/>
  <c r="AR51"/>
  <c r="AA23"/>
  <c r="AA42"/>
  <c r="S51"/>
  <c r="U51" s="1"/>
  <c r="D34" i="7"/>
  <c r="D29" s="1"/>
  <c r="D32" s="1"/>
  <c r="L32" s="1"/>
  <c r="D42" i="47"/>
  <c r="D37" s="1"/>
  <c r="L38" s="1"/>
  <c r="Z51" i="61"/>
  <c r="Z52" s="1"/>
  <c r="V51" i="63"/>
  <c r="F51"/>
  <c r="R23"/>
  <c r="G42"/>
  <c r="G26"/>
  <c r="M51" i="61"/>
  <c r="O51" s="1"/>
  <c r="G40" i="63"/>
  <c r="G39"/>
  <c r="G44"/>
  <c r="G45"/>
  <c r="G25"/>
  <c r="G43"/>
  <c r="G41"/>
  <c r="G46"/>
  <c r="Y23" i="61"/>
  <c r="L9" i="23"/>
  <c r="M9" s="1"/>
  <c r="Q9" s="1"/>
  <c r="M12"/>
  <c r="Q12" s="1"/>
  <c r="I26" i="29"/>
  <c r="K26" s="1"/>
  <c r="G51" i="61"/>
  <c r="I51" s="1"/>
  <c r="Y42"/>
  <c r="H41" i="47"/>
  <c r="H40" s="1"/>
  <c r="H3" s="1"/>
  <c r="D32" i="8"/>
  <c r="L32" s="1"/>
  <c r="L29"/>
  <c r="E34"/>
  <c r="E29" s="1"/>
  <c r="I29" s="1"/>
  <c r="K29" s="1"/>
  <c r="C7" i="23"/>
  <c r="C10" s="1"/>
  <c r="F41" i="47"/>
  <c r="B4" i="6"/>
  <c r="I16" i="7"/>
  <c r="K16" s="1"/>
  <c r="F40" i="47"/>
  <c r="F3" s="1"/>
  <c r="B22" i="23"/>
  <c r="D19"/>
  <c r="E19" s="1"/>
  <c r="N31" i="47"/>
  <c r="P31" s="1"/>
  <c r="L31"/>
  <c r="E31"/>
  <c r="I31" s="1"/>
  <c r="K31" s="1"/>
  <c r="P9" i="23"/>
  <c r="E33" i="29"/>
  <c r="I33" s="1"/>
  <c r="K33" s="1"/>
  <c r="K27" i="9"/>
  <c r="I27"/>
  <c r="E27"/>
  <c r="E32" s="1"/>
  <c r="H32"/>
  <c r="H34" s="1"/>
  <c r="H33" s="1"/>
  <c r="H3" s="1"/>
  <c r="E32" i="29"/>
  <c r="I32" s="1"/>
  <c r="K32" s="1"/>
  <c r="I13" i="7"/>
  <c r="K13" s="1"/>
  <c r="E27"/>
  <c r="I13" i="29"/>
  <c r="K13" s="1"/>
  <c r="D32" i="9"/>
  <c r="L32" s="1"/>
  <c r="L29"/>
  <c r="F53" i="29"/>
  <c r="F33" i="8"/>
  <c r="F3" s="1"/>
  <c r="C22" i="23"/>
  <c r="B4" i="9"/>
  <c r="D46" i="29"/>
  <c r="D43" s="1"/>
  <c r="D37" s="1"/>
  <c r="L39" s="1"/>
  <c r="B7" i="23"/>
  <c r="F52" i="29"/>
  <c r="U29" i="9"/>
  <c r="V29" s="1"/>
  <c r="R29" s="1"/>
  <c r="I29"/>
  <c r="K29" s="1"/>
  <c r="K18" i="29"/>
  <c r="D51" i="69" l="1"/>
  <c r="F51" s="1"/>
  <c r="D51" i="70"/>
  <c r="F51" s="1"/>
  <c r="D51" i="68"/>
  <c r="F51" s="1"/>
  <c r="R51" i="63"/>
  <c r="L37" i="47"/>
  <c r="E51" i="63"/>
  <c r="Q23"/>
  <c r="Q51" s="1"/>
  <c r="Y51" i="61"/>
  <c r="AA51" s="1"/>
  <c r="G23" i="63"/>
  <c r="G51" s="1"/>
  <c r="K7" i="23"/>
  <c r="K10" s="1"/>
  <c r="O10" s="1"/>
  <c r="L31" i="7"/>
  <c r="B4" s="1"/>
  <c r="D7" i="23"/>
  <c r="D10" s="1"/>
  <c r="K27" i="7"/>
  <c r="D22" i="23"/>
  <c r="E22" s="1"/>
  <c r="N29" i="47"/>
  <c r="P29" s="1"/>
  <c r="D35"/>
  <c r="L29"/>
  <c r="E29"/>
  <c r="K32" i="9"/>
  <c r="I27" i="7"/>
  <c r="B4" i="29"/>
  <c r="J7" i="23"/>
  <c r="J10" s="1"/>
  <c r="B10"/>
  <c r="D40" i="29"/>
  <c r="L40" s="1"/>
  <c r="I32" i="9"/>
  <c r="A16" i="7" l="1"/>
  <c r="G2" s="1"/>
  <c r="S23" i="63"/>
  <c r="S51" s="1"/>
  <c r="O7" i="23"/>
  <c r="E7"/>
  <c r="E10" s="1"/>
  <c r="I29" i="47"/>
  <c r="E35"/>
  <c r="E39" s="1"/>
  <c r="L35"/>
  <c r="B4" s="1"/>
  <c r="D39"/>
  <c r="L39" s="1"/>
  <c r="N7" i="23"/>
  <c r="N10"/>
  <c r="B8" i="49" l="1"/>
  <c r="B9" i="50"/>
  <c r="B8"/>
  <c r="B9" i="48"/>
  <c r="B9" i="49"/>
  <c r="B8" i="48"/>
  <c r="B6" i="50"/>
  <c r="B5"/>
  <c r="B5" i="48"/>
  <c r="B5" i="49"/>
  <c r="B6" i="48"/>
  <c r="B6" i="49"/>
  <c r="K29" i="47"/>
  <c r="K35" s="1"/>
  <c r="K39" s="1"/>
  <c r="I35"/>
  <c r="I39" s="1"/>
  <c r="A26" l="1"/>
  <c r="H2" s="1"/>
  <c r="A19"/>
  <c r="G2" s="1"/>
  <c r="A21" i="7"/>
  <c r="H2" s="1"/>
  <c r="G27" i="8"/>
  <c r="G32" s="1"/>
  <c r="G29" i="29"/>
  <c r="H29" s="1"/>
  <c r="H23" i="8"/>
  <c r="H27" s="1"/>
  <c r="H32" s="1"/>
  <c r="B2" i="50" l="1"/>
  <c r="B2" i="49"/>
  <c r="B2" i="48"/>
  <c r="H34" i="8"/>
  <c r="H33" s="1"/>
  <c r="H3" s="1"/>
  <c r="B3" i="50"/>
  <c r="B3" i="48"/>
  <c r="B3" i="49"/>
  <c r="E23" i="8"/>
  <c r="I23" s="1"/>
  <c r="K23" s="1"/>
  <c r="K27" s="1"/>
  <c r="K32" s="1"/>
  <c r="U23"/>
  <c r="H35" i="29"/>
  <c r="G35"/>
  <c r="G40" s="1"/>
  <c r="A13" i="7" l="1"/>
  <c r="F2" s="1"/>
  <c r="A13" i="47"/>
  <c r="F2" s="1"/>
  <c r="V23" i="8"/>
  <c r="R23" s="1"/>
  <c r="E27"/>
  <c r="E32" s="1"/>
  <c r="E29" i="29"/>
  <c r="E35" s="1"/>
  <c r="I27" i="8"/>
  <c r="I32" s="1"/>
  <c r="I29" i="29" l="1"/>
  <c r="I35" l="1"/>
  <c r="I41" s="1"/>
  <c r="K29"/>
  <c r="K35" s="1"/>
  <c r="J9" i="45" l="1"/>
  <c r="Y5" i="5" l="1"/>
  <c r="F36" i="7"/>
  <c r="P5" i="5"/>
  <c r="J7" i="45"/>
  <c r="G7" s="1"/>
  <c r="Y2" i="5" l="1"/>
  <c r="Z5"/>
  <c r="W53" i="61"/>
  <c r="AZ53"/>
  <c r="Q53"/>
  <c r="AV53"/>
  <c r="K53"/>
  <c r="AR53"/>
  <c r="AS53" s="1"/>
  <c r="P2" i="5"/>
  <c r="P1" s="1"/>
  <c r="N58" i="61"/>
  <c r="N61" s="1"/>
  <c r="J53" i="63"/>
  <c r="K53" s="1"/>
  <c r="K57" s="1"/>
  <c r="S53" i="61"/>
  <c r="T58"/>
  <c r="T61" s="1"/>
  <c r="F53" i="63"/>
  <c r="F57" s="1"/>
  <c r="H58" i="61"/>
  <c r="H61" s="1"/>
  <c r="AA5" i="5"/>
  <c r="AA2" s="1"/>
  <c r="M53" i="61"/>
  <c r="Z53"/>
  <c r="B53" s="1"/>
  <c r="G53"/>
  <c r="F34" i="7"/>
  <c r="F29" s="1"/>
  <c r="E36"/>
  <c r="E40" s="1"/>
  <c r="E49" i="29" s="1"/>
  <c r="F45"/>
  <c r="Z61" i="71" l="1"/>
  <c r="Z3" s="1"/>
  <c r="C3" s="1"/>
  <c r="Y1" i="5"/>
  <c r="D1" s="1"/>
  <c r="H8" i="74" s="1"/>
  <c r="T62" i="61"/>
  <c r="E61" i="69"/>
  <c r="E3" s="1"/>
  <c r="U53" i="61"/>
  <c r="U58" s="1"/>
  <c r="D53" i="69"/>
  <c r="N62" i="61"/>
  <c r="E61" i="70"/>
  <c r="E3" s="1"/>
  <c r="O53" i="61"/>
  <c r="O58" s="1"/>
  <c r="D53" i="70"/>
  <c r="H62" i="61"/>
  <c r="E61" i="68"/>
  <c r="E3" s="1"/>
  <c r="G58" i="61"/>
  <c r="D53" i="68"/>
  <c r="AZ58" i="61"/>
  <c r="AZ61" s="1"/>
  <c r="BA53"/>
  <c r="BA58" s="1"/>
  <c r="AV58"/>
  <c r="AV61" s="1"/>
  <c r="AW53"/>
  <c r="AW58" s="1"/>
  <c r="AS58"/>
  <c r="AR58"/>
  <c r="AR61" s="1"/>
  <c r="J57" i="63"/>
  <c r="Z58" i="61"/>
  <c r="Z61" s="1"/>
  <c r="R53" i="63"/>
  <c r="S53" s="1"/>
  <c r="S57" s="1"/>
  <c r="M58" i="61"/>
  <c r="S58"/>
  <c r="Z2" i="5"/>
  <c r="AC53" i="61"/>
  <c r="A53"/>
  <c r="Y53"/>
  <c r="AA53" s="1"/>
  <c r="AA58" s="1"/>
  <c r="I53"/>
  <c r="I58" s="1"/>
  <c r="F43" i="29"/>
  <c r="F37" s="1"/>
  <c r="E34" i="7"/>
  <c r="E29" s="1"/>
  <c r="E32" s="1"/>
  <c r="E45" i="29"/>
  <c r="E43" s="1"/>
  <c r="E37" s="1"/>
  <c r="E40" s="1"/>
  <c r="L29" i="7"/>
  <c r="F32"/>
  <c r="H29"/>
  <c r="H7" i="23" s="1"/>
  <c r="F53" i="69" l="1"/>
  <c r="F57" s="1"/>
  <c r="D57"/>
  <c r="F53" i="70"/>
  <c r="F57" s="1"/>
  <c r="D57"/>
  <c r="F53" i="68"/>
  <c r="F57" s="1"/>
  <c r="D57"/>
  <c r="Z59" i="61"/>
  <c r="Z62"/>
  <c r="Z3" s="1"/>
  <c r="C3" s="1"/>
  <c r="H8" i="66"/>
  <c r="G8" i="67"/>
  <c r="G8" i="49"/>
  <c r="G8" i="65"/>
  <c r="Y58" i="61"/>
  <c r="R57" i="63"/>
  <c r="Z64" i="61"/>
  <c r="G8" i="18"/>
  <c r="G8" i="48"/>
  <c r="G8" i="50"/>
  <c r="G8" i="55"/>
  <c r="G8" i="45"/>
  <c r="G8" i="33"/>
  <c r="G8" i="53"/>
  <c r="G8" i="51"/>
  <c r="G8" i="32"/>
  <c r="G8" i="46"/>
  <c r="A8" i="61"/>
  <c r="A3" s="1"/>
  <c r="G53" i="63"/>
  <c r="G57" s="1"/>
  <c r="F40" i="29"/>
  <c r="F42" s="1"/>
  <c r="H37"/>
  <c r="H40" s="1"/>
  <c r="L37"/>
  <c r="F54"/>
  <c r="F55" s="1"/>
  <c r="F33" i="7"/>
  <c r="F3" s="1"/>
  <c r="H32"/>
  <c r="H34" s="1"/>
  <c r="H33" s="1"/>
  <c r="H3" s="1"/>
  <c r="I29"/>
  <c r="U29"/>
  <c r="V29" s="1"/>
  <c r="L7" i="23"/>
  <c r="I7"/>
  <c r="I10" s="1"/>
  <c r="H10"/>
  <c r="H42" i="29" l="1"/>
  <c r="H41" s="1"/>
  <c r="H3" s="1"/>
  <c r="F41"/>
  <c r="F3" s="1"/>
  <c r="I37"/>
  <c r="I40" s="1"/>
  <c r="R29" i="7"/>
  <c r="I32"/>
  <c r="K29"/>
  <c r="K32" s="1"/>
  <c r="M7" i="23"/>
  <c r="P7"/>
  <c r="L10"/>
  <c r="P10" s="1"/>
  <c r="I43" i="29" l="1"/>
  <c r="I42" s="1"/>
  <c r="I3" s="1"/>
  <c r="K37"/>
  <c r="K40" s="1"/>
  <c r="Q7" i="23"/>
  <c r="M10"/>
  <c r="Q10" s="1"/>
  <c r="I7" i="18"/>
  <c r="G7" s="1"/>
</calcChain>
</file>

<file path=xl/sharedStrings.xml><?xml version="1.0" encoding="utf-8"?>
<sst xmlns="http://schemas.openxmlformats.org/spreadsheetml/2006/main" count="141732" uniqueCount="8550">
  <si>
    <t>12020401</t>
  </si>
  <si>
    <t>Rodados</t>
  </si>
  <si>
    <t>FL12020401</t>
  </si>
  <si>
    <t>Escopetas</t>
  </si>
  <si>
    <t>120211</t>
  </si>
  <si>
    <t>Muebles y útiles</t>
  </si>
  <si>
    <t>12020301</t>
  </si>
  <si>
    <t>Asiento</t>
  </si>
  <si>
    <t>Comentario renglón asiento</t>
  </si>
  <si>
    <t>Observación del 
comprobante</t>
  </si>
  <si>
    <t>Origen del comprobante</t>
  </si>
  <si>
    <t>Clase de Asiento</t>
  </si>
  <si>
    <t>Observación asiento</t>
  </si>
  <si>
    <t>CUIT</t>
  </si>
  <si>
    <t>Sujeto</t>
  </si>
  <si>
    <t>Datos del comprobante</t>
  </si>
  <si>
    <t>Div</t>
  </si>
  <si>
    <t>Subdiario</t>
  </si>
  <si>
    <t>Fecha</t>
  </si>
  <si>
    <t>tc</t>
  </si>
  <si>
    <t>monto USD</t>
  </si>
  <si>
    <t>Control</t>
  </si>
  <si>
    <t>monto $</t>
  </si>
  <si>
    <t>Nombre</t>
  </si>
  <si>
    <t>Cuenta</t>
  </si>
  <si>
    <t>Venta de Bienes de Uso</t>
  </si>
  <si>
    <t>7102</t>
  </si>
  <si>
    <t>Servicios - Otros</t>
  </si>
  <si>
    <t>5263</t>
  </si>
  <si>
    <t>5260</t>
  </si>
  <si>
    <t>Mantenimiento Rep-Equipos</t>
  </si>
  <si>
    <t>5254</t>
  </si>
  <si>
    <t>Mantenimiento Rep-Lodge</t>
  </si>
  <si>
    <t>5252</t>
  </si>
  <si>
    <t>Artículos de Limpieza</t>
  </si>
  <si>
    <t>5251</t>
  </si>
  <si>
    <t>Comidas y Refrigerios</t>
  </si>
  <si>
    <t>5250</t>
  </si>
  <si>
    <t>Combustible y Lub- Gas</t>
  </si>
  <si>
    <t>5249</t>
  </si>
  <si>
    <t>Combustible y Lub- Elect-Gener</t>
  </si>
  <si>
    <t>5247</t>
  </si>
  <si>
    <t>Fletes y Aéreos</t>
  </si>
  <si>
    <t>5218</t>
  </si>
  <si>
    <t>Vinos</t>
  </si>
  <si>
    <t>5213</t>
  </si>
  <si>
    <t>Traslado Aerop. Lodge</t>
  </si>
  <si>
    <t>5210</t>
  </si>
  <si>
    <t>LD</t>
  </si>
  <si>
    <t>PZ</t>
  </si>
  <si>
    <t>12020103</t>
  </si>
  <si>
    <t>Mejoras de Inmueb y Terrenos</t>
  </si>
  <si>
    <t>12020201</t>
  </si>
  <si>
    <t>Instalaciones</t>
  </si>
  <si>
    <t>12020501</t>
  </si>
  <si>
    <t>Equipos Computación/Software</t>
  </si>
  <si>
    <t>5209</t>
  </si>
  <si>
    <t>Comunicaciones</t>
  </si>
  <si>
    <t>5219</t>
  </si>
  <si>
    <t>Gastos Varios</t>
  </si>
  <si>
    <t>5220</t>
  </si>
  <si>
    <t>Uniformes</t>
  </si>
  <si>
    <t>5221</t>
  </si>
  <si>
    <t>Permisos</t>
  </si>
  <si>
    <t>5248</t>
  </si>
  <si>
    <t>Combustible y Lub-Vehiculo Bot</t>
  </si>
  <si>
    <t>5253</t>
  </si>
  <si>
    <t>Mantenimiento Rep-Vehic-Botes</t>
  </si>
  <si>
    <t>5255</t>
  </si>
  <si>
    <t>Movilidad y Viaticos-Locales</t>
  </si>
  <si>
    <t>5259</t>
  </si>
  <si>
    <t>Combustible y Lub - Leña</t>
  </si>
  <si>
    <t>5266</t>
  </si>
  <si>
    <t>Comunicaciones Internet</t>
  </si>
  <si>
    <t>TC</t>
  </si>
  <si>
    <t>Lodge</t>
  </si>
  <si>
    <t>Concepto</t>
  </si>
  <si>
    <t>FL</t>
  </si>
  <si>
    <t>FL5248</t>
  </si>
  <si>
    <t>FL5253</t>
  </si>
  <si>
    <t>FL5254</t>
  </si>
  <si>
    <t>FIELD</t>
  </si>
  <si>
    <t>Codigo</t>
  </si>
  <si>
    <t>Total</t>
  </si>
  <si>
    <t>INSERT</t>
  </si>
  <si>
    <t>Otros Impuestos y Multas</t>
  </si>
  <si>
    <t>TEMPORADA</t>
  </si>
  <si>
    <t xml:space="preserve"> </t>
  </si>
  <si>
    <t>CORITOS</t>
  </si>
  <si>
    <t>BUDGET</t>
  </si>
  <si>
    <t>MONTOS</t>
  </si>
  <si>
    <t>VARIABLES</t>
  </si>
  <si>
    <t>LODGES</t>
  </si>
  <si>
    <t>Field</t>
  </si>
  <si>
    <t>TOTAL 
CORITOS</t>
  </si>
  <si>
    <t>Total BN</t>
  </si>
  <si>
    <t>Total pax</t>
  </si>
  <si>
    <t>Gastos Operativos</t>
  </si>
  <si>
    <t>BN</t>
  </si>
  <si>
    <t>Comida / Vinos</t>
  </si>
  <si>
    <t>Combustibles:</t>
  </si>
  <si>
    <t>electricidad</t>
  </si>
  <si>
    <t>Vehiculos/Botes</t>
  </si>
  <si>
    <t xml:space="preserve">Gas </t>
  </si>
  <si>
    <t>Traslado Aerop/Lodge/Alq Vehiculos</t>
  </si>
  <si>
    <t>Pax</t>
  </si>
  <si>
    <t>Viaticos Personal</t>
  </si>
  <si>
    <t>Mes</t>
  </si>
  <si>
    <t>Mantenimiento/Reposiciones:</t>
  </si>
  <si>
    <t>Lodge-pre season-aperturas</t>
  </si>
  <si>
    <t>Vehiculos</t>
  </si>
  <si>
    <t>Varios, incluye papeleria ldoges</t>
  </si>
  <si>
    <t>Total Gastos Operativos</t>
  </si>
  <si>
    <t>INVERSIONES</t>
  </si>
  <si>
    <t>Total Gastos + Inversiones</t>
  </si>
  <si>
    <t>FIELD CORDOBA</t>
  </si>
  <si>
    <t>BUDGET
TOTAL</t>
  </si>
  <si>
    <t>BUDGET
AJUSTADO</t>
  </si>
  <si>
    <t>REAL</t>
  </si>
  <si>
    <t>codigo Budget</t>
  </si>
  <si>
    <t>Desvío</t>
  </si>
  <si>
    <t>OBSERVACIONES</t>
  </si>
  <si>
    <t>FL5221</t>
  </si>
  <si>
    <t>FL120211</t>
  </si>
  <si>
    <t>Temp</t>
  </si>
  <si>
    <t>ok</t>
  </si>
  <si>
    <t>Cuenta Anterior</t>
  </si>
  <si>
    <t>Desvio
Acum</t>
  </si>
  <si>
    <t>Desvio
Acum
Anterior</t>
  </si>
  <si>
    <t>12020901</t>
  </si>
  <si>
    <t>Vajillas</t>
  </si>
  <si>
    <t>12020601</t>
  </si>
  <si>
    <t>Ropa Blanca</t>
  </si>
  <si>
    <t>5207</t>
  </si>
  <si>
    <t>Alquileres Campos</t>
  </si>
  <si>
    <t>FL5207</t>
  </si>
  <si>
    <t>FL5220</t>
  </si>
  <si>
    <t>Average Stadía x BN</t>
  </si>
  <si>
    <t>5225</t>
  </si>
  <si>
    <t>Alquiler Camionetas</t>
  </si>
  <si>
    <t>Ver Telefonos</t>
  </si>
  <si>
    <t>FL5225</t>
  </si>
  <si>
    <t>Rubro</t>
  </si>
  <si>
    <t>Average Estadía x BN</t>
  </si>
  <si>
    <t>Budget Total</t>
  </si>
  <si>
    <t>Real Acumulado</t>
  </si>
  <si>
    <t>Resta del Budget</t>
  </si>
  <si>
    <t>Inversiones</t>
  </si>
  <si>
    <t>Totales</t>
  </si>
  <si>
    <t>Mant. Lodge</t>
  </si>
  <si>
    <t>Análisis Inversiones y Mantenimiento Lodge</t>
  </si>
  <si>
    <t>Canon Campos</t>
  </si>
  <si>
    <t>Ver Gastos devengados</t>
  </si>
  <si>
    <t>Resta del Budget %</t>
  </si>
  <si>
    <t>Campos</t>
  </si>
  <si>
    <t>Ver Luz Devengada</t>
  </si>
  <si>
    <t>Resta
Budget</t>
  </si>
  <si>
    <t>CONSOLIDADO CORDOBA</t>
  </si>
  <si>
    <t>Shop</t>
  </si>
  <si>
    <t>Gun Rental</t>
  </si>
  <si>
    <t>Armas / Field</t>
  </si>
  <si>
    <t>Ver REVERSAS</t>
  </si>
  <si>
    <t>Ver REVERSAS VINOS</t>
  </si>
  <si>
    <t>5288</t>
  </si>
  <si>
    <t>Combustible Camionetas</t>
  </si>
  <si>
    <t>FL5288</t>
  </si>
  <si>
    <t>Permisos de Caza</t>
  </si>
  <si>
    <t>LA DORMIDA (LD) CORDOBA</t>
  </si>
  <si>
    <t>PICA ZURO (PZ) CORDOBA</t>
  </si>
  <si>
    <t>CL</t>
  </si>
  <si>
    <t>CORDOBA</t>
  </si>
  <si>
    <t>CL12020201</t>
  </si>
  <si>
    <t>CL12020103</t>
  </si>
  <si>
    <t>CL12020401</t>
  </si>
  <si>
    <t>CL12020301</t>
  </si>
  <si>
    <t>CL12020901</t>
  </si>
  <si>
    <t>CL12020601</t>
  </si>
  <si>
    <t>CL5213</t>
  </si>
  <si>
    <t>CL5250</t>
  </si>
  <si>
    <t>CL5251</t>
  </si>
  <si>
    <t>CL5209</t>
  </si>
  <si>
    <t>CL5266</t>
  </si>
  <si>
    <t>CL5247</t>
  </si>
  <si>
    <t>CL5249</t>
  </si>
  <si>
    <t>CL5252</t>
  </si>
  <si>
    <t>CL5218</t>
  </si>
  <si>
    <t>CL5219</t>
  </si>
  <si>
    <t>CL5260</t>
  </si>
  <si>
    <t>CL5263</t>
  </si>
  <si>
    <t>CL5259</t>
  </si>
  <si>
    <t>CL5255</t>
  </si>
  <si>
    <t>CL12020501</t>
  </si>
  <si>
    <t>CL120211</t>
  </si>
  <si>
    <t>CL5207</t>
  </si>
  <si>
    <t>CL5210</t>
  </si>
  <si>
    <t>CL5221</t>
  </si>
  <si>
    <t>CL5248</t>
  </si>
  <si>
    <t>CL5253</t>
  </si>
  <si>
    <t>CL5254</t>
  </si>
  <si>
    <t>Monto</t>
  </si>
  <si>
    <t>Variable</t>
  </si>
  <si>
    <t>CORDOBA LODGE</t>
  </si>
  <si>
    <t>Alquiler Camionetas/Lanchas</t>
  </si>
  <si>
    <t>CL5225</t>
  </si>
  <si>
    <t>Meses Transcurridos</t>
  </si>
  <si>
    <t>ACUM MES
ANTERIOR</t>
  </si>
  <si>
    <t>DIF</t>
  </si>
  <si>
    <t>OBSERVACIONES PZ</t>
  </si>
  <si>
    <t>OBSERVACIONES LD</t>
  </si>
  <si>
    <t>OBSERVACIONES FL</t>
  </si>
  <si>
    <t>Cobro Venta Bs Uso</t>
  </si>
  <si>
    <t>FL7102</t>
  </si>
  <si>
    <t>Cobro Vta Bs Uso</t>
  </si>
  <si>
    <t>Stock -Deudas</t>
  </si>
  <si>
    <t xml:space="preserve">Stock final </t>
  </si>
  <si>
    <t>Deudas</t>
  </si>
  <si>
    <t>Stock inicio
NO BORRAR!!!</t>
  </si>
  <si>
    <t/>
  </si>
  <si>
    <t xml:space="preserve">                                                                                                                                                                                                                                                                                                                                                                                                                    </t>
  </si>
  <si>
    <t>REAL
FINAL</t>
  </si>
  <si>
    <t>Real + Stocks + Deudas</t>
  </si>
  <si>
    <t>Comida y Limpieza + Bebidas</t>
  </si>
  <si>
    <t>Apertura Inversiones</t>
  </si>
  <si>
    <t>Equipamiento Lodge (muy, Vajilla, Blanquería)</t>
  </si>
  <si>
    <t>Mejoras - Obras</t>
  </si>
  <si>
    <t>Insert</t>
  </si>
  <si>
    <t>Escopetas - Armas</t>
  </si>
  <si>
    <t>INVERSIONES (Detalle x Rubro Abajo)</t>
  </si>
  <si>
    <t>Recupero Mejoras Obra Techo Cima</t>
  </si>
  <si>
    <t>Recupero Mejoras</t>
  </si>
  <si>
    <t>Recupero Inversiones</t>
  </si>
  <si>
    <t>5291</t>
  </si>
  <si>
    <t>Comida / Fletes</t>
  </si>
  <si>
    <t>Combustible</t>
  </si>
  <si>
    <t>Mant. Vehiculo Scouting</t>
  </si>
  <si>
    <t>Diferencia</t>
  </si>
  <si>
    <t>5283</t>
  </si>
  <si>
    <t>Mantenimiento Comida Perros</t>
  </si>
  <si>
    <t>5284</t>
  </si>
  <si>
    <t>Mantenimiento Maíz y Cebada</t>
  </si>
  <si>
    <t>FL5283</t>
  </si>
  <si>
    <t>FL5284</t>
  </si>
  <si>
    <t>Ok</t>
  </si>
  <si>
    <t>REAL 
Mes 
Anterior</t>
  </si>
  <si>
    <t>5337</t>
  </si>
  <si>
    <t>Gastos Varios Operaciones</t>
  </si>
  <si>
    <t>CL5288</t>
  </si>
  <si>
    <t>% Dif BN 
respecto mes 
Anterior</t>
  </si>
  <si>
    <t>5289</t>
  </si>
  <si>
    <t>Comidas Fuera Temp / Empleados</t>
  </si>
  <si>
    <t>CL5289</t>
  </si>
  <si>
    <t>CL5337</t>
  </si>
  <si>
    <t>CL5291</t>
  </si>
  <si>
    <t>Diferencia Desvío 
Actual vs Desvío 
Acum Anterior</t>
  </si>
  <si>
    <t>TC PROM</t>
  </si>
  <si>
    <t>-</t>
  </si>
  <si>
    <t>TOTAL ACUMULADO</t>
  </si>
  <si>
    <t>Desvío
Acum</t>
  </si>
  <si>
    <t>Desvío
Acum
Anterior</t>
  </si>
  <si>
    <t>CL5284</t>
  </si>
  <si>
    <t>Total 
CO+CL</t>
  </si>
  <si>
    <t>5282</t>
  </si>
  <si>
    <t>Mantenimiento Veterinaria</t>
  </si>
  <si>
    <t>CL5282</t>
  </si>
  <si>
    <t>CL7102</t>
  </si>
  <si>
    <t>5258</t>
  </si>
  <si>
    <t>Gastos para Cebo</t>
  </si>
  <si>
    <t>CL5258</t>
  </si>
  <si>
    <t>FL5258</t>
  </si>
  <si>
    <t>Pasados real</t>
  </si>
  <si>
    <t>Real Pasados</t>
  </si>
  <si>
    <r>
      <t xml:space="preserve">Stock inicio al 01/09:  5,7k  (4,6k Bebidas y 1,1k Comida)
</t>
    </r>
    <r>
      <rPr>
        <b/>
        <u/>
        <sz val="10"/>
        <rFont val="Arial"/>
        <family val="2"/>
      </rPr>
      <t>Stock Actual usd:</t>
    </r>
    <r>
      <rPr>
        <b/>
        <sz val="10"/>
        <rFont val="Arial"/>
        <family val="2"/>
      </rPr>
      <t xml:space="preserve">
- Vinos y Bebidas 6,5k
-Comarca vs no perecederos 2,5k
- 0,4k Limpieza</t>
    </r>
  </si>
  <si>
    <r>
      <t>Stock inicio al 01/09:  14,6k  (8,8k Bebidas y 5,8k Comida)</t>
    </r>
    <r>
      <rPr>
        <b/>
        <u/>
        <sz val="10"/>
        <rFont val="Arial"/>
        <family val="2"/>
      </rPr>
      <t xml:space="preserve">
Stock Actual usd:</t>
    </r>
    <r>
      <rPr>
        <b/>
        <sz val="10"/>
        <rFont val="Arial"/>
        <family val="2"/>
      </rPr>
      <t xml:space="preserve">
- Vinos y Bebidas  5,4k
-Comarca vs no perecederos 3,1k
- 0,5k Limpieza</t>
    </r>
  </si>
  <si>
    <t>Stock inicio al 01/09:  10,2k  (7,9k Bebidas y 2,3k Comida)
Stock Actual usd: (8,6k)
- Vinos y Bebidas 7,1k
-No perecederos y Resto 1,3k
- 0,2k Limpieza</t>
  </si>
  <si>
    <t>1,3k Horno + 0,7k Conservadoras y Cuchillos +0,9k Aire Acondicionado + 0,2k Vaporizador + 1,1k Compu Horacio + 1,4k Caldera + 0,6k equipo osmosis + 1,1k Utencillos, Cajas, etc + 0,7k Telas + 0,7kToallas y Toallones + 0,5 Computadora + 0,7 Carpetas Cueros + 0,4k Humidor Habanos + 0,4k Botellas + 0,2 Parlante + 0,2k Mantas</t>
  </si>
  <si>
    <t>64k Vehículo Sprinter Joaquín + 0,4k AlaRmas y Otros Polvorines + 0,4k Vajilla y equipamiento Field + 170k x cpra 63 Escopetas Modestini falta costo inscripción en el Renar por ende vamos a terminar pasados en  30k aprox.</t>
  </si>
  <si>
    <t>0,6k Mant Pileta + 0,2k recarga Matafuegos + 1,2k Arreglo Secadora, Lavarropas, Caldera, Bomba, etc + 0,5k arreglo kitchen aid + 1,2k Fundas y arreglo sillones y cortinas + 0,3k arreglo Wifi + 0,6k Arreglos vs chiquitaje + 0,3k Arreglo Generador + 0,2k Arreglo Secarropas + 0,3k Cloro Pileta + 0,5k Pintura</t>
  </si>
  <si>
    <t>16,3k Obras Cocina y Baños +2,3k Cocina +0,5k Vajilla + 1,7k Microondas+Secarropas+Minipimer etc + 0,7k Estanterías + 0,9k Freezer + 0,8k Equipamiento Cocina, Cristalería, etc + 1,1k Tanque Australiano + 0,6 Secarropas + 0,5k Humidor + 0,6k Ropa Blanca Toallas/Toallones  +1,2k Carpetas Cuero Cuartos y Menus + 0,8k Almohadones + 0,4 Estanterías</t>
  </si>
  <si>
    <t>4,4k Lavanderia General + 0,7k Arreglo Pisos Comedor + 0,5k Filtros y Recarga Matafuegos + 0,5k Arreglo Hot Tub +  1 Vs Arreglo Bomba, Pintura, etc + 0,8k Plomería + 1,5k arreglo caldera, forrado conservadoras y vs + 0,7k Piuntura + 0,3k Mangueras + 1,7k Electricista + 0,7k arreglo Bomba, Grupo Electrogeno</t>
  </si>
  <si>
    <t>1,5k Pintura, Ferreteria, etc + 1k Vs Chiquitaje, equipamiento General + 1,6k mucho chiquitaje + 0,4k Lavado Ropa y Servicio Limpieza Externo + 0,3 Bomba + 0,4 Arreglos en General</t>
  </si>
  <si>
    <t>10,8k Vta Fiat Ducato + 3k Colchones +1,3k Sabanas + 1k Máquina Helado + 0,5k Ipad + 0,6k Chiquitaje + 12k Cpra Toyota + 12,6k Obras Sala Masajes camillas etc + 5,3k Ropa Blanca (Almohadones, Almohadas, Fundas, sábanas, edredon, etc) + 1,1k Heladeras y Freezer + 0,2K Termos + 0,8k Botellas FIeld + 0,4k Guarado Habanos + 0,5k Termotanque + 0,8 Toallas Toallones y ropa blanca en General</t>
  </si>
  <si>
    <t>Venimos bien, seguramente terminemos con Ahorro</t>
  </si>
  <si>
    <t>Venimos muy bien ahorro importante habrá</t>
  </si>
  <si>
    <t>Desvío real se paga mas con FC que antes se pagaba casi todo en cash por eso el desvío</t>
  </si>
  <si>
    <t>Pasado Real no significativo</t>
  </si>
  <si>
    <t>Pasados Real</t>
  </si>
  <si>
    <t>2023/2024</t>
  </si>
  <si>
    <t>Mínimo Pasado - Stock Gas  ??%</t>
  </si>
  <si>
    <t>Stock GAS al día de hoy 30/11/2023:  45%</t>
  </si>
  <si>
    <t>4101</t>
  </si>
  <si>
    <t>Ventas Directas de Servicios</t>
  </si>
  <si>
    <t>4103</t>
  </si>
  <si>
    <t>Ventas de Extras</t>
  </si>
  <si>
    <t>4104</t>
  </si>
  <si>
    <t>Ventas Shop</t>
  </si>
  <si>
    <t>4107</t>
  </si>
  <si>
    <t>Ventas de Cartuchos</t>
  </si>
  <si>
    <t>4110</t>
  </si>
  <si>
    <t>Ventas Extras - Lavandería</t>
  </si>
  <si>
    <t>4112</t>
  </si>
  <si>
    <t>Ventas Extras - Masajes</t>
  </si>
  <si>
    <t>4118</t>
  </si>
  <si>
    <t>Ventas Shop Consignación</t>
  </si>
  <si>
    <t>4120</t>
  </si>
  <si>
    <t>Ingreso Alquiler Armas</t>
  </si>
  <si>
    <t>4125</t>
  </si>
  <si>
    <t>Impuesto IIBB Operativos</t>
  </si>
  <si>
    <t>5103</t>
  </si>
  <si>
    <t>CMV Art Shop Consignación</t>
  </si>
  <si>
    <t>Caja U$S Lodge</t>
  </si>
  <si>
    <t>5104</t>
  </si>
  <si>
    <t>Costo Masajes</t>
  </si>
  <si>
    <t>Acceso/Alquiler Campos</t>
  </si>
  <si>
    <t>5208</t>
  </si>
  <si>
    <t>Alquileres y Canon</t>
  </si>
  <si>
    <t>Comunicaciones e Internet</t>
  </si>
  <si>
    <t>5215</t>
  </si>
  <si>
    <t>Seguros</t>
  </si>
  <si>
    <t>5217</t>
  </si>
  <si>
    <t>Patentes</t>
  </si>
  <si>
    <t>Caja $ Administración</t>
  </si>
  <si>
    <t>5226</t>
  </si>
  <si>
    <t>Remuneraciones Servicios</t>
  </si>
  <si>
    <t>5227</t>
  </si>
  <si>
    <t>Remuneraciones Guías</t>
  </si>
  <si>
    <t>5228</t>
  </si>
  <si>
    <t>Remuneraciones Managers</t>
  </si>
  <si>
    <t>5229</t>
  </si>
  <si>
    <t>Alquiler Escopetas</t>
  </si>
  <si>
    <t>5235</t>
  </si>
  <si>
    <t>Cargas Sociales Servicios</t>
  </si>
  <si>
    <t>5236</t>
  </si>
  <si>
    <t>Cargas Sociales Guías</t>
  </si>
  <si>
    <t>5237</t>
  </si>
  <si>
    <t>Cargas Sociales Managers</t>
  </si>
  <si>
    <t>Mantenimiento Rep-Equipos/Arma</t>
  </si>
  <si>
    <t>Servicios - Otros Operativos</t>
  </si>
  <si>
    <t>5285</t>
  </si>
  <si>
    <t>Costos Ventas Extras</t>
  </si>
  <si>
    <t>5312</t>
  </si>
  <si>
    <t>Gastos Varios de Oficina</t>
  </si>
  <si>
    <t>5313</t>
  </si>
  <si>
    <t>Gastos y Comisiones Bancarias</t>
  </si>
  <si>
    <t>5319</t>
  </si>
  <si>
    <t>Servicios-Honorario Contadores</t>
  </si>
  <si>
    <t>5324</t>
  </si>
  <si>
    <t>Comunicaciones - Internet</t>
  </si>
  <si>
    <t>5330</t>
  </si>
  <si>
    <t>Marketing - Otros</t>
  </si>
  <si>
    <t>5333</t>
  </si>
  <si>
    <t>Certificaciones y Legalizacion</t>
  </si>
  <si>
    <t>5403</t>
  </si>
  <si>
    <t>Comisiones por ventas</t>
  </si>
  <si>
    <t>Caja U$S Administración</t>
  </si>
  <si>
    <t>5406</t>
  </si>
  <si>
    <t>Comisiones Tarjetas Crédito</t>
  </si>
  <si>
    <t>6103</t>
  </si>
  <si>
    <t>Diferencia de Cambio</t>
  </si>
  <si>
    <t>8101</t>
  </si>
  <si>
    <t>Transferencias entre Lodges</t>
  </si>
  <si>
    <t>110305</t>
  </si>
  <si>
    <t>Cartuchos</t>
  </si>
  <si>
    <t>110306</t>
  </si>
  <si>
    <t>Artículos Shop</t>
  </si>
  <si>
    <t>210103</t>
  </si>
  <si>
    <t>Anticipos de clientes</t>
  </si>
  <si>
    <t>210609</t>
  </si>
  <si>
    <t>Propinas a pagar</t>
  </si>
  <si>
    <t>210702</t>
  </si>
  <si>
    <t>Provisión para gastos</t>
  </si>
  <si>
    <t>11010101</t>
  </si>
  <si>
    <t>11010102</t>
  </si>
  <si>
    <t>11010104</t>
  </si>
  <si>
    <t>11020101</t>
  </si>
  <si>
    <t>Deudores por ventas</t>
  </si>
  <si>
    <t>11020105</t>
  </si>
  <si>
    <t>Prestamos</t>
  </si>
  <si>
    <t>12020105</t>
  </si>
  <si>
    <t>Amort.Acum.Inmueb</t>
  </si>
  <si>
    <t>12021001</t>
  </si>
  <si>
    <t>Maquinarias y Herramientas</t>
  </si>
  <si>
    <t>TEMPORADA 2023-2024</t>
  </si>
  <si>
    <t>OK</t>
  </si>
  <si>
    <t>CORDOBA
LODGE</t>
  </si>
  <si>
    <t>Wing Shooting</t>
  </si>
  <si>
    <t>Wing 
Shooting</t>
  </si>
  <si>
    <t>Ítem /LODGES</t>
  </si>
  <si>
    <t>INCOMES</t>
  </si>
  <si>
    <t>Other Income</t>
  </si>
  <si>
    <t>Extras</t>
  </si>
  <si>
    <t>Total Other Income</t>
  </si>
  <si>
    <t>EXPENSES</t>
  </si>
  <si>
    <t>Operative Expenses</t>
  </si>
  <si>
    <t>Canon &amp; Labour Permits + Filed - Baiting/Maize</t>
  </si>
  <si>
    <t>Canon Lodge/Labor Permits:</t>
  </si>
  <si>
    <t>Field:</t>
  </si>
  <si>
    <t>Baiting/Maize:</t>
  </si>
  <si>
    <t>Salaries</t>
  </si>
  <si>
    <t>Manager</t>
  </si>
  <si>
    <t>Guides</t>
  </si>
  <si>
    <t>Services/House</t>
  </si>
  <si>
    <t>Social Security Contributions</t>
  </si>
  <si>
    <t>Tips</t>
  </si>
  <si>
    <t>Food &amp; Wine</t>
  </si>
  <si>
    <t>Electricity - Gas for Boats &amp; Vehicles - Propane</t>
  </si>
  <si>
    <t>Electricity</t>
  </si>
  <si>
    <t>Electricity - Gas for Boats &amp; Vehicles</t>
  </si>
  <si>
    <t>Propane</t>
  </si>
  <si>
    <t>Transfer to and from the airport (local taxi) - Vehicle Rental</t>
  </si>
  <si>
    <t>Travel for personnel (employees)</t>
  </si>
  <si>
    <t>Work uniforms for personnel (employees)</t>
  </si>
  <si>
    <t>Licenses / Permits (Fishing and Shooting)</t>
  </si>
  <si>
    <t>Maintenance (Lodge / Boats / Vehicles / Equipment)</t>
  </si>
  <si>
    <t>Maintenance Lodge</t>
  </si>
  <si>
    <t>Maintenance  Boats / Vehicles</t>
  </si>
  <si>
    <t>Maintenance  Equipment</t>
  </si>
  <si>
    <t>Communications - Phone, internet and satellite TV</t>
  </si>
  <si>
    <t>Insurance for lodge and boats</t>
  </si>
  <si>
    <t xml:space="preserve">Vehicles Taxes </t>
  </si>
  <si>
    <t>Miscellaneous &amp; Shipping</t>
  </si>
  <si>
    <t>Total Operative Expenses</t>
  </si>
  <si>
    <t>Ctas</t>
  </si>
  <si>
    <t>PZ
REAL</t>
  </si>
  <si>
    <t>Criterio</t>
  </si>
  <si>
    <t>PZ
BUDGET
TOTAL</t>
  </si>
  <si>
    <t>Acumulado</t>
  </si>
  <si>
    <t>Valor Fijo para control</t>
  </si>
  <si>
    <t>LD
BUDGET
TOTAL</t>
  </si>
  <si>
    <t>LD
REAL</t>
  </si>
  <si>
    <t>LT
BUDGET
TOTAL</t>
  </si>
  <si>
    <t>LT
REAL</t>
  </si>
  <si>
    <t>Control
Field</t>
  </si>
  <si>
    <t>Fixed Asset's Payments (Investments) Armas</t>
  </si>
  <si>
    <t>Fixed Asset's Payments (Investments) Mejoras/equipamiento Lodge</t>
  </si>
  <si>
    <t>Fixed Asset's Sales</t>
  </si>
  <si>
    <t>Total Fixed Asset's (Investments)</t>
  </si>
  <si>
    <t>Control BUDGET</t>
  </si>
  <si>
    <t>Rubro Principal</t>
  </si>
  <si>
    <t>Rubro secundario</t>
  </si>
  <si>
    <t>Rubro Final</t>
  </si>
  <si>
    <t>N° Cuenta</t>
  </si>
  <si>
    <t>Descripción Cuenta</t>
  </si>
  <si>
    <t>Fixed Asset's</t>
  </si>
  <si>
    <t>Fixed Asset's Payments (Investments) Rodados/Lanchas</t>
  </si>
  <si>
    <t>Ventas Extras Lavandería</t>
  </si>
  <si>
    <t>Ventas Extras Masajes</t>
  </si>
  <si>
    <t>Ventas Extras Telefonía e Internet</t>
  </si>
  <si>
    <t>Costo Ventas Extras</t>
  </si>
  <si>
    <t>Costos Ventas Catena Zapata</t>
  </si>
  <si>
    <t>CMV Artículos de Shop Consignación</t>
  </si>
  <si>
    <t>Costos Alquiler Armas</t>
  </si>
  <si>
    <t>Alquiler Campos</t>
  </si>
  <si>
    <t>Remuneraciones  Managers</t>
  </si>
  <si>
    <t>Remuneraciones  Guías</t>
  </si>
  <si>
    <t>Bonus Guías</t>
  </si>
  <si>
    <t>Remuneraciones  Servicios</t>
  </si>
  <si>
    <t>Bonus Servicios</t>
  </si>
  <si>
    <t>Comidas y refrigerios</t>
  </si>
  <si>
    <t>Articulos de Limpieza</t>
  </si>
  <si>
    <t>Combustibles y Lub. - Generador Electricidad</t>
  </si>
  <si>
    <t>Combustibles y Lub. - Leña</t>
  </si>
  <si>
    <t>Combustibles y Lub. - Vehiculos y Botes</t>
  </si>
  <si>
    <t>Combustibles y Lub. - Camionetas</t>
  </si>
  <si>
    <t>Combustibles y Lub. - Gas</t>
  </si>
  <si>
    <t>Movilidad y Viáticos - Locales</t>
  </si>
  <si>
    <t>Viáticos, Viajes y Movilidad</t>
  </si>
  <si>
    <t>Permiso Laboral - VISA - Work Permit</t>
  </si>
  <si>
    <t>Movilidad y Viáticos  - Internacionales</t>
  </si>
  <si>
    <t>Mantenimiento y reposiciones - Lodge</t>
  </si>
  <si>
    <t>Mantenimiento y reposiciones-Vehiculos/Lanchas</t>
  </si>
  <si>
    <t>Mantenimiento y reposiciones - Equipos/Armas</t>
  </si>
  <si>
    <t>Comunicaciones - Telefonía Fija</t>
  </si>
  <si>
    <t>Comunicaciones - Telefonía Movil</t>
  </si>
  <si>
    <t>Seguros Caucion y Otros</t>
  </si>
  <si>
    <t>Otros Impuestos, tasas y Multas</t>
  </si>
  <si>
    <t>Servicios – Otros – Operativos Lodge</t>
  </si>
  <si>
    <t>Gastos Capacitaciones</t>
  </si>
  <si>
    <t>Lanchas y Botes</t>
  </si>
  <si>
    <t>Armas - Escopetas</t>
  </si>
  <si>
    <t xml:space="preserve">Instalaciones </t>
  </si>
  <si>
    <t>Equipos de Computación / Software</t>
  </si>
  <si>
    <t>Ventas Catena Zapata</t>
  </si>
  <si>
    <t>Plan Cuentas Link Armado</t>
  </si>
  <si>
    <t>4114</t>
  </si>
  <si>
    <t>4129</t>
  </si>
  <si>
    <t>5290</t>
  </si>
  <si>
    <t>5286</t>
  </si>
  <si>
    <t>5280</t>
  </si>
  <si>
    <t>5281</t>
  </si>
  <si>
    <t>5310</t>
  </si>
  <si>
    <t>5222</t>
  </si>
  <si>
    <t>5256</t>
  </si>
  <si>
    <t>5325</t>
  </si>
  <si>
    <t>5326</t>
  </si>
  <si>
    <t>5321</t>
  </si>
  <si>
    <t>5314</t>
  </si>
  <si>
    <t>12020701</t>
  </si>
  <si>
    <t>,</t>
  </si>
  <si>
    <t>CL4103</t>
  </si>
  <si>
    <t>CL4104</t>
  </si>
  <si>
    <t>CL4110</t>
  </si>
  <si>
    <t>CL4112</t>
  </si>
  <si>
    <t>CL4118</t>
  </si>
  <si>
    <t>CL4120</t>
  </si>
  <si>
    <t>CL5103</t>
  </si>
  <si>
    <t>CL5104</t>
  </si>
  <si>
    <t>CL5215</t>
  </si>
  <si>
    <t>CL5229</t>
  </si>
  <si>
    <t>CL5285</t>
  </si>
  <si>
    <t>CL5226</t>
  </si>
  <si>
    <t>CL5235</t>
  </si>
  <si>
    <t>CL5208</t>
  </si>
  <si>
    <t>CORITOS
REAL</t>
  </si>
  <si>
    <t>CL5227</t>
  </si>
  <si>
    <t>CL5228</t>
  </si>
  <si>
    <t>CORDOBA
BUDGET
Comparable</t>
  </si>
  <si>
    <t>CORDOBA
REAL</t>
  </si>
  <si>
    <t>No Borrar</t>
  </si>
  <si>
    <t>CORITOS
BUDGET
TOTAL</t>
  </si>
  <si>
    <t>Deuda Libros Shop Consignación/Sergio</t>
  </si>
  <si>
    <t>% de Noches que se alquilaron Armas:</t>
  </si>
  <si>
    <t>Stock Cierre
Al momento Análisis
(deuda a pagar del mes)</t>
  </si>
  <si>
    <t>Vehicles Taxes</t>
  </si>
  <si>
    <t>CL5220</t>
  </si>
  <si>
    <t>CL5283</t>
  </si>
  <si>
    <t>FL5217</t>
  </si>
  <si>
    <t>FL5260</t>
  </si>
  <si>
    <t>CL5217</t>
  </si>
  <si>
    <t>CORITOS
%</t>
  </si>
  <si>
    <t>LT
%</t>
  </si>
  <si>
    <t>LD
%</t>
  </si>
  <si>
    <t>PZ
%</t>
  </si>
  <si>
    <t>CORDOBA
%</t>
  </si>
  <si>
    <t>Incluye Costos Extras</t>
  </si>
  <si>
    <t>ABRIL</t>
  </si>
  <si>
    <t>Recupero Sueldos Guías TU/SDE/CL</t>
  </si>
  <si>
    <t>x Mes</t>
  </si>
  <si>
    <t>Stock Inicio
Temporada</t>
  </si>
  <si>
    <t>SJ12020201</t>
  </si>
  <si>
    <t>SJ12020103</t>
  </si>
  <si>
    <t>SJ12020401</t>
  </si>
  <si>
    <t>SJ12020301</t>
  </si>
  <si>
    <t>SJ12020901</t>
  </si>
  <si>
    <t>SJ12020601</t>
  </si>
  <si>
    <t>SJ5213</t>
  </si>
  <si>
    <t>SJ5250</t>
  </si>
  <si>
    <t>SJ5289</t>
  </si>
  <si>
    <t>SJ5291</t>
  </si>
  <si>
    <t>SJ5251</t>
  </si>
  <si>
    <t>SJ5209</t>
  </si>
  <si>
    <t>SJ5266</t>
  </si>
  <si>
    <t>SJ5247</t>
  </si>
  <si>
    <t>SJ5249</t>
  </si>
  <si>
    <t>SJ5252</t>
  </si>
  <si>
    <t>SJ5282</t>
  </si>
  <si>
    <t>SJ5218</t>
  </si>
  <si>
    <t>SJ5219</t>
  </si>
  <si>
    <t>SJ5337</t>
  </si>
  <si>
    <t>SJ5263</t>
  </si>
  <si>
    <t>SJ5259</t>
  </si>
  <si>
    <t>SJ5255</t>
  </si>
  <si>
    <t>SJ12020501</t>
  </si>
  <si>
    <t>SJ4104</t>
  </si>
  <si>
    <t>SJ4118</t>
  </si>
  <si>
    <t>SJ4112</t>
  </si>
  <si>
    <t>SJ4110</t>
  </si>
  <si>
    <t>SJ4120</t>
  </si>
  <si>
    <t>SJ4103</t>
  </si>
  <si>
    <t>SJ5103</t>
  </si>
  <si>
    <t>SJ5104</t>
  </si>
  <si>
    <t>SJ5285</t>
  </si>
  <si>
    <t>SJ5208</t>
  </si>
  <si>
    <t>SJ5226</t>
  </si>
  <si>
    <t>SJ5228</t>
  </si>
  <si>
    <t>SJ5227</t>
  </si>
  <si>
    <t>SJ5235</t>
  </si>
  <si>
    <t>SJ5236</t>
  </si>
  <si>
    <t>SJ5237</t>
  </si>
  <si>
    <t>UL12020103</t>
  </si>
  <si>
    <t>UL12020201</t>
  </si>
  <si>
    <t>UL12020901</t>
  </si>
  <si>
    <t>UL12020301</t>
  </si>
  <si>
    <t>UL12020601</t>
  </si>
  <si>
    <t>UL12020501</t>
  </si>
  <si>
    <t>UL5209</t>
  </si>
  <si>
    <t>UL5266</t>
  </si>
  <si>
    <t>UL5247</t>
  </si>
  <si>
    <t>UL5249</t>
  </si>
  <si>
    <t>UL5213</t>
  </si>
  <si>
    <t>UL5250</t>
  </si>
  <si>
    <t>UL5289</t>
  </si>
  <si>
    <t>UL5291</t>
  </si>
  <si>
    <t>UL5251</t>
  </si>
  <si>
    <t>UL5252</t>
  </si>
  <si>
    <t>UL5282</t>
  </si>
  <si>
    <t>UL5259</t>
  </si>
  <si>
    <t>UL5263</t>
  </si>
  <si>
    <t>UL5218</t>
  </si>
  <si>
    <t>UL5219</t>
  </si>
  <si>
    <t>UL5337</t>
  </si>
  <si>
    <t>UL5255</t>
  </si>
  <si>
    <t>UL4104</t>
  </si>
  <si>
    <t>UL4118</t>
  </si>
  <si>
    <t>UL4112</t>
  </si>
  <si>
    <t>UL4110</t>
  </si>
  <si>
    <t>UL4120</t>
  </si>
  <si>
    <t>UL4103</t>
  </si>
  <si>
    <t>UL5103</t>
  </si>
  <si>
    <t>UL5104</t>
  </si>
  <si>
    <t>UL5285</t>
  </si>
  <si>
    <t>UL5208</t>
  </si>
  <si>
    <t>UL5226</t>
  </si>
  <si>
    <t>UL5227</t>
  </si>
  <si>
    <t>UL5228</t>
  </si>
  <si>
    <t>UL5235</t>
  </si>
  <si>
    <t>UL5236</t>
  </si>
  <si>
    <t>UL5237</t>
  </si>
  <si>
    <t>CAR12020201</t>
  </si>
  <si>
    <t>CAR12020103</t>
  </si>
  <si>
    <t>CAR12020501</t>
  </si>
  <si>
    <t>CAR12020401</t>
  </si>
  <si>
    <t>CAR12020301</t>
  </si>
  <si>
    <t>CAR12020901</t>
  </si>
  <si>
    <t>CAR12020601</t>
  </si>
  <si>
    <t>CAR5213</t>
  </si>
  <si>
    <t>CAR5250</t>
  </si>
  <si>
    <t>CAR5289</t>
  </si>
  <si>
    <t>CAR5251</t>
  </si>
  <si>
    <t>CAR5209</t>
  </si>
  <si>
    <t>CAR5266</t>
  </si>
  <si>
    <t>CAR5247</t>
  </si>
  <si>
    <t>CAR5249</t>
  </si>
  <si>
    <t>CAR5252</t>
  </si>
  <si>
    <t>CAR5282</t>
  </si>
  <si>
    <t>CAR5218</t>
  </si>
  <si>
    <t>CAR5219</t>
  </si>
  <si>
    <t>CAR5337</t>
  </si>
  <si>
    <t>CAR5263</t>
  </si>
  <si>
    <t>CAR5259</t>
  </si>
  <si>
    <t>CAR5255</t>
  </si>
  <si>
    <t>CAR5291</t>
  </si>
  <si>
    <t>CAR4104</t>
  </si>
  <si>
    <t>CAR4103</t>
  </si>
  <si>
    <t>CAR4110</t>
  </si>
  <si>
    <t>CAR4112</t>
  </si>
  <si>
    <t>CAR4118</t>
  </si>
  <si>
    <t>CAR5103</t>
  </si>
  <si>
    <t>CAR5104</t>
  </si>
  <si>
    <t>CAR5285</t>
  </si>
  <si>
    <t>CAR4120</t>
  </si>
  <si>
    <t>CAR5208</t>
  </si>
  <si>
    <t>CAR5215</t>
  </si>
  <si>
    <t>CAR5229</t>
  </si>
  <si>
    <t>CAR5226</t>
  </si>
  <si>
    <t>CAR5227</t>
  </si>
  <si>
    <t>CAR5228</t>
  </si>
  <si>
    <t>CAR5235</t>
  </si>
  <si>
    <t>CAR5237</t>
  </si>
  <si>
    <t>11010469</t>
  </si>
  <si>
    <t>Itau Carmelo Lodge $</t>
  </si>
  <si>
    <t>11010470</t>
  </si>
  <si>
    <t>Itau Carmelo Lodge U$S</t>
  </si>
  <si>
    <t>11010426</t>
  </si>
  <si>
    <t>Itau Uruguay Lodge USD</t>
  </si>
  <si>
    <t>4117</t>
  </si>
  <si>
    <t>Ingreso Traslado Aero - Lodge</t>
  </si>
  <si>
    <t>11010425</t>
  </si>
  <si>
    <t>Itau Uruguay Lodge $</t>
  </si>
  <si>
    <t>4116</t>
  </si>
  <si>
    <t>Ingresos por Tips</t>
  </si>
  <si>
    <t>SJ</t>
  </si>
  <si>
    <t>11010415</t>
  </si>
  <si>
    <t>Itau San Juan Lodge $</t>
  </si>
  <si>
    <t>11010416</t>
  </si>
  <si>
    <t>Itaú San Juan Lodge USD</t>
  </si>
  <si>
    <t>UL</t>
  </si>
  <si>
    <t>CAR</t>
  </si>
  <si>
    <t>SJ4117</t>
  </si>
  <si>
    <t>SJ5207</t>
  </si>
  <si>
    <t>SJ5220</t>
  </si>
  <si>
    <t>SJ5221</t>
  </si>
  <si>
    <t>SJ5225</t>
  </si>
  <si>
    <t>SJ5248</t>
  </si>
  <si>
    <t>SJ5253</t>
  </si>
  <si>
    <t>SJ5254</t>
  </si>
  <si>
    <t>SJ5283</t>
  </si>
  <si>
    <t>SJ5284</t>
  </si>
  <si>
    <t>SJ7102</t>
  </si>
  <si>
    <t>SJ120211</t>
  </si>
  <si>
    <t>UL5207</t>
  </si>
  <si>
    <t>UL5220</t>
  </si>
  <si>
    <t>UL5221</t>
  </si>
  <si>
    <t>UL5248</t>
  </si>
  <si>
    <t>UL5254</t>
  </si>
  <si>
    <t>UL5284</t>
  </si>
  <si>
    <t>UL120211</t>
  </si>
  <si>
    <t>UL12020401</t>
  </si>
  <si>
    <t>CAR5207</t>
  </si>
  <si>
    <t>CAR5220</t>
  </si>
  <si>
    <t>CAR5221</t>
  </si>
  <si>
    <t>CAR5225</t>
  </si>
  <si>
    <t>CAR5248</t>
  </si>
  <si>
    <t>CAR5253</t>
  </si>
  <si>
    <t>CAR5254</t>
  </si>
  <si>
    <t>UL4117</t>
  </si>
  <si>
    <t>SJ
BUDGET
TOTAL</t>
  </si>
  <si>
    <t>SJ
BUDGET
Comparable</t>
  </si>
  <si>
    <t>SJ
REAL</t>
  </si>
  <si>
    <t>SJ
Diferencia
Desvío</t>
  </si>
  <si>
    <t>SJ
Observación</t>
  </si>
  <si>
    <t>UL
BUDGET
TOTAL</t>
  </si>
  <si>
    <t>UL
BUDGET
Comparable</t>
  </si>
  <si>
    <t>UL
REAL</t>
  </si>
  <si>
    <t>UL
Diferencia
Desvío</t>
  </si>
  <si>
    <t>UL
Observación</t>
  </si>
  <si>
    <t>CAR
BUDGET
TOTAL</t>
  </si>
  <si>
    <t>CAR
BUDGET
Comparable</t>
  </si>
  <si>
    <t>CAR
REAL</t>
  </si>
  <si>
    <t>CAR
Diferencia
Desvío</t>
  </si>
  <si>
    <t>CAR
Observación</t>
  </si>
  <si>
    <t>URUGUAY</t>
  </si>
  <si>
    <t>TOTAL URUGUAY
BUDGET
TOTAL</t>
  </si>
  <si>
    <t>TOTAL URUGUAY
BUDGET
Comparable</t>
  </si>
  <si>
    <t>TOTAL 
URUGUAY
REAL</t>
  </si>
  <si>
    <t>TOTAL URUGUAY
Diferencia
Desvío</t>
  </si>
  <si>
    <t>TOTAL URUGUAY
Observación</t>
  </si>
  <si>
    <t>SJ LODGE
x BN</t>
  </si>
  <si>
    <t>SJ
%</t>
  </si>
  <si>
    <t>UL LODGE
x BN</t>
  </si>
  <si>
    <t>UL
%</t>
  </si>
  <si>
    <t>CAR LODGE
x BN</t>
  </si>
  <si>
    <t>CAR
%</t>
  </si>
  <si>
    <t>CAR4117</t>
  </si>
  <si>
    <t>Ajustes</t>
  </si>
  <si>
    <t>SJ4116</t>
  </si>
  <si>
    <t>SJ210609</t>
  </si>
  <si>
    <t>UL4116</t>
  </si>
  <si>
    <t>UL210609</t>
  </si>
  <si>
    <t>CAR4116</t>
  </si>
  <si>
    <t>CAR210609</t>
  </si>
  <si>
    <t>Combustible Vehículos</t>
  </si>
  <si>
    <t>SJ5286</t>
  </si>
  <si>
    <t>UL5286</t>
  </si>
  <si>
    <t>CAR5286</t>
  </si>
  <si>
    <t>UL5225</t>
  </si>
  <si>
    <t>CAR120211</t>
  </si>
  <si>
    <t xml:space="preserve">Aca en teoria ibamos a ahorrar porque no estan metidos los tips en las cargas y porque hay gente que nos factura y no entra en bPS. Sofi revisar. De lo contrario si este nro. Esta ok vamos a PASARNOS </t>
  </si>
  <si>
    <t>Comida muy pasados. Sofi por favor revisar stocks fin de Junio a ver si había un error y para proximo mes se ajusta. Esta por encima de UY y muyyy por encima de Carmelo.</t>
  </si>
  <si>
    <t>Esta dif debería achicarse en Junio, suele suceder por el mes de arranque sin gente.</t>
  </si>
  <si>
    <t xml:space="preserve">Vamos a ver como da Junio, algo parecería que vamos a pasarnos. </t>
  </si>
  <si>
    <t>YA PASADOS. Falta pasajes de regreso.</t>
  </si>
  <si>
    <t>JUSTISIMOS en Mantenimiento.  Deberíamos ahorrar en vehículos.</t>
  </si>
  <si>
    <t xml:space="preserve">Muy justos en VARIOS en ambos lodges. Vamos a pasarnos. </t>
  </si>
  <si>
    <t>Sofi por favor revisar que no haya mejoras de UY metidas en SJ.</t>
  </si>
  <si>
    <t>Parecería haber sueldos de UY en SJ, no tiene logica el nro que da. Por favor SOFI VERIFICAR e informar si hay ajustes que hacer.</t>
  </si>
  <si>
    <t>Mismo caso que SJ ya pasados en BPS</t>
  </si>
  <si>
    <t>Menos pasados que en SJ pero igualmente desvío importante. Sofi revisar stocks a fin de Junio para analisis proximo mes.</t>
  </si>
  <si>
    <t>Probablemente mejore en Junio porque tiene la carga del mes de apertura.</t>
  </si>
  <si>
    <t>Muy justos en varios. Vamos a pasarnos</t>
  </si>
  <si>
    <t>OK Inversiones. Sofi revisar que no haya cosas de mejores UY en SJ</t>
  </si>
  <si>
    <t>Servicios vamos a pasarnos. Resto venimos OK</t>
  </si>
  <si>
    <t>Parecería que vamos a pasarnos en Servicio</t>
  </si>
  <si>
    <t>Estamos 9 usd arriba por BN. Es desvío Real.</t>
  </si>
  <si>
    <t>Seguramente haya ahorro</t>
  </si>
  <si>
    <t>Aca REAL pasados. Ver de ajustar budget</t>
  </si>
  <si>
    <t>Real pasados</t>
  </si>
  <si>
    <t>SAN JUAN LODGE</t>
  </si>
  <si>
    <t>URUGUAY LODGE</t>
  </si>
  <si>
    <t>CARMELO LODGE</t>
  </si>
  <si>
    <t>UL5215</t>
  </si>
  <si>
    <t>UL5253</t>
  </si>
  <si>
    <t>UL5283</t>
  </si>
  <si>
    <t>CAR5284</t>
  </si>
  <si>
    <t>SJ5215</t>
  </si>
  <si>
    <t>AJUSTES</t>
  </si>
  <si>
    <t>CAR5260</t>
  </si>
  <si>
    <t>CAR - Leña</t>
  </si>
  <si>
    <t>5292</t>
  </si>
  <si>
    <t>PERMISOS CONTROL AMBIENTAL</t>
  </si>
  <si>
    <t>15/09/2025</t>
  </si>
  <si>
    <t>CAJA</t>
  </si>
  <si>
    <t>0121</t>
  </si>
  <si>
    <t>TA001400000022</t>
  </si>
  <si>
    <t>Asientos de Cajas</t>
  </si>
  <si>
    <t>Canje de Valores 001400000022 Obs: TRaspaso de USD a $</t>
  </si>
  <si>
    <t>000000000003</t>
  </si>
  <si>
    <t>Ejercicio 2025/2026</t>
  </si>
  <si>
    <t>21/09/2025</t>
  </si>
  <si>
    <t>TA001400000026</t>
  </si>
  <si>
    <t>Canje de Valores 001400000026 Obs: Traspaso a SJ $</t>
  </si>
  <si>
    <t>000000000007</t>
  </si>
  <si>
    <t>TA001400000027</t>
  </si>
  <si>
    <t>Canje de Valores 001400000027 Obs: Traspaso USD a $</t>
  </si>
  <si>
    <t>000000000008</t>
  </si>
  <si>
    <t>TA001400000029</t>
  </si>
  <si>
    <t>Canje de Valores 001400000029 Obs: Traspaso de Usd a SJ $</t>
  </si>
  <si>
    <t>000000000010</t>
  </si>
  <si>
    <t>TA001400000031</t>
  </si>
  <si>
    <t>Canje de Valores 001400000031 Obs: Traspaso a SJ $</t>
  </si>
  <si>
    <t>000000000012</t>
  </si>
  <si>
    <t>TD001400000020</t>
  </si>
  <si>
    <t>Depósito a Banco 001400000020 Obs: 21-09-2025  Mov Lodge</t>
  </si>
  <si>
    <t>SJ - red iva printing</t>
  </si>
  <si>
    <t>000000000018</t>
  </si>
  <si>
    <t>TD001400000021</t>
  </si>
  <si>
    <t>Depósito a Banco 001400000021 Obs: 21-09-2025  Mov Lodge</t>
  </si>
  <si>
    <t>SJ - Ingreso de Oficina</t>
  </si>
  <si>
    <t>000000000019</t>
  </si>
  <si>
    <t>SJ - Ingreso de Oficina a itau USD</t>
  </si>
  <si>
    <t>SJ - TRaspaso de USD</t>
  </si>
  <si>
    <t>SJ - TRaspaso de Carmelo USD</t>
  </si>
  <si>
    <t>05/09/2025</t>
  </si>
  <si>
    <t>TE001400000002</t>
  </si>
  <si>
    <t>Extracción de Caja 001400000002 Obs: Movimiento_Cajas_Bancos_Semana 25-26 al 05-09-2025</t>
  </si>
  <si>
    <t>SJ1- 24/25- Tony Com x Vtas - ValleySW- TONY CAGGIANO LLC - (Sales Commission and Shows June)-</t>
  </si>
  <si>
    <t>000000000020</t>
  </si>
  <si>
    <t>SJ14- 24/25- Tony Com x Vtas - ValleySW- TONY CAGGIANO LLC - (Sales Commission and Shows June)-</t>
  </si>
  <si>
    <t>12/09/2025</t>
  </si>
  <si>
    <t>TE001400000005</t>
  </si>
  <si>
    <t>Extracción de Caja 001400000005 Obs: Movimiento_Cajas_Bancos_Semana 25-26 al 12-09-2025</t>
  </si>
  <si>
    <t>SJ- ValleySW- La Cazadora Oriental Limitada - (San Juan Operating Needs - August)-</t>
  </si>
  <si>
    <t>000000000021</t>
  </si>
  <si>
    <t>SJ-Pasajes Prana-24/25- Servicios SJ--LEON/NICOLAS REYNALDO-BQB MONT. BSAS</t>
  </si>
  <si>
    <t xml:space="preserve">SJ- 24/25- ValleySW- Celmu SA - (Carmelo y San Juan Lodge- Multicar - Rent Vehicules - August)- Car </t>
  </si>
  <si>
    <t>SJ-Pasajes Prana-24/25- Servicios SJ--PEDROZO ROSALIA GISEL-BQB MONT. BSAS</t>
  </si>
  <si>
    <t>19/09/2025</t>
  </si>
  <si>
    <t>TE001400000009</t>
  </si>
  <si>
    <t>Extracción de Caja 001400000009 Obs: Movimiento_Cajas_Bancos_Semana 25-26 al 19-09-2025</t>
  </si>
  <si>
    <t>SJ- ValleyFF- La Cazadora Oriental Limitada - (San Juan Operating Needs - September)-</t>
  </si>
  <si>
    <t>000000000023</t>
  </si>
  <si>
    <t>TH001400000015</t>
  </si>
  <si>
    <t>Extracción de Banco 001400000015 Obs: 21-09-2025  Mov Lodge</t>
  </si>
  <si>
    <t>SJ - deb comi banco</t>
  </si>
  <si>
    <t>000000000026</t>
  </si>
  <si>
    <t>SJ - nafta ida y vuelta Carmelo tramite juzgado</t>
  </si>
  <si>
    <t>SJ - timbres juzgado dos juegos escrito juicio</t>
  </si>
  <si>
    <t>SJ - timbres juzgado por escrtos reembolso a Caro</t>
  </si>
  <si>
    <t>SJ - cargas sociales BPS y Fonasa Caro Horta</t>
  </si>
  <si>
    <t>SJ - pago alquiler Juieta Lestido</t>
  </si>
  <si>
    <t>SJ - tip agosto Julieta Lestido</t>
  </si>
  <si>
    <t>SJ - Traspaso de Usd a Uruguay Lodge en $</t>
  </si>
  <si>
    <t>SJ - peajes temporada Mercedes</t>
  </si>
  <si>
    <t>SJ - peajes tramite Juicio ida y vuelta Carmelo</t>
  </si>
  <si>
    <t>SJ - Agriveterinaria las parderas MAIZ parte agosto</t>
  </si>
  <si>
    <t>SJ - deb cambio comi</t>
  </si>
  <si>
    <t>SJ - encomienda dac cortinas sj</t>
  </si>
  <si>
    <t>SJ - sueldo agosto SJ Santi Carrato</t>
  </si>
  <si>
    <t>SJ - Tip Juan Ponce agosto</t>
  </si>
  <si>
    <t>SJ - completa honorarios agosto sofi Barran</t>
  </si>
  <si>
    <t>SJ - servicios personales agosto Caro horta</t>
  </si>
  <si>
    <t>SJ - sueldo agosto liquidacon Julieta Lestido</t>
  </si>
  <si>
    <t>SJ - banking card</t>
  </si>
  <si>
    <t>SJ - deb comi ingreso oficina</t>
  </si>
  <si>
    <t>SJ - bateria compu</t>
  </si>
  <si>
    <t>SJ - seguros multiresgo lco</t>
  </si>
  <si>
    <t>TH001400000016</t>
  </si>
  <si>
    <t>Extracción de Banco 001400000016 Obs: 21-09-2025  Mov Lodge</t>
  </si>
  <si>
    <t>000000000027</t>
  </si>
  <si>
    <t>SJ - Contadores agostos PKF LCO</t>
  </si>
  <si>
    <t>SJ - cargas sociales iva y bps Felipe Olivera</t>
  </si>
  <si>
    <t>SJ - bebidas y refrigerios Reletra agosto</t>
  </si>
  <si>
    <t>SJ - combustible agosto Alero azul</t>
  </si>
  <si>
    <t>SJ - UTE electricidad San Juan Lodge</t>
  </si>
  <si>
    <t>SJ - almacen Estefan saldo agosto</t>
  </si>
  <si>
    <t>SJ - pasajes ida y vuelta montevideo y comida felipe Olivera</t>
  </si>
  <si>
    <t>SJ - frutas y verduras saldo agosto Todo natural</t>
  </si>
  <si>
    <t>SJ - Prolimpio saldo agosto</t>
  </si>
  <si>
    <t>SJ - sueldo agosto dias Felipe Olivera SJ</t>
  </si>
  <si>
    <t>SJ - saldo agosto trabajo gente en campo AMF horacio arregui</t>
  </si>
  <si>
    <t>SJ - deb comi banco cuidador perros</t>
  </si>
  <si>
    <t>SJ - cuidador perros setiembre</t>
  </si>
  <si>
    <t>SJ - compra en Printing</t>
  </si>
  <si>
    <t>SJ - sueldo agosto Juan Ponce</t>
  </si>
  <si>
    <t>SJ - Combustible agosto Estacion Lafluf</t>
  </si>
  <si>
    <t>SJ - almuerzo carmelo ida tramite juzgado</t>
  </si>
  <si>
    <t>SJ - vinos Moldes Ruibal saldo agosto</t>
  </si>
  <si>
    <t>SJ - BPS LCO</t>
  </si>
  <si>
    <t>TI001400000001</t>
  </si>
  <si>
    <t>Ingreso a Caja 001400000001 Obs: Movimiento_Cajas_Bancos_Semana 25-26 al 05-09-2025</t>
  </si>
  <si>
    <t>SJ5- 25/26- Gregory Parrott - ValleySW-  13 Checks $ 68.487,50 -02-09-2025</t>
  </si>
  <si>
    <t>000000000030</t>
  </si>
  <si>
    <t>TI001400000006</t>
  </si>
  <si>
    <t>Ingreso a Caja 001400000006 Obs: Movimiento_Cajas_Bancos_Semana 25-26 al 12-09-2025</t>
  </si>
  <si>
    <t>SJ5- 25/26- Gregory Lathrop - #2302 - ValleySW-  16 Checks $ 101.175,25 -08-09-2025</t>
  </si>
  <si>
    <t>000000000031</t>
  </si>
  <si>
    <t>SJ18- 25/26- Paul Amos - ValleySW- WIRE IN GFT 202509040016609 PAUL S AMOS  II</t>
  </si>
  <si>
    <t>TI001400000010</t>
  </si>
  <si>
    <t>Ingreso a Caja 001400000010 Obs: Movimiento_Cajas_Bancos_Semana 25-26 al 19-09-2025</t>
  </si>
  <si>
    <t>SJ17- 25/26- John Dwyer - ValleySW- 17 Checks $ 82.877,00 - ValleySW- 17 Checks $ 82.877,00 -17-09-2</t>
  </si>
  <si>
    <t>000000000032</t>
  </si>
  <si>
    <t>12/10/2025</t>
  </si>
  <si>
    <t>TA001400000062</t>
  </si>
  <si>
    <t>Asiento de CAJA (01/09/2025 - 31/08/2026)</t>
  </si>
  <si>
    <t>Canje de Valores 001400000062 Obs: SJ - Traspaso a $</t>
  </si>
  <si>
    <t>000000000055</t>
  </si>
  <si>
    <t>07/10/2025</t>
  </si>
  <si>
    <t>TA001400000063</t>
  </si>
  <si>
    <t>Canje de Valores 001400000063 Obs: SJ - TRaspaso de $</t>
  </si>
  <si>
    <t>000000000056</t>
  </si>
  <si>
    <t>30/09/2025</t>
  </si>
  <si>
    <t>TD001400000046</t>
  </si>
  <si>
    <t>Depósito a Banco 001400000046 Obs: 30-09-2025  Mov Lodge</t>
  </si>
  <si>
    <t>SJ - red iva antel telefonia</t>
  </si>
  <si>
    <t>000000000059</t>
  </si>
  <si>
    <t>TD001400000060</t>
  </si>
  <si>
    <t>Depósito a Banco 001400000060 Obs: 12-10-2025  Mov Lodge</t>
  </si>
  <si>
    <t>SJ - iva uber</t>
  </si>
  <si>
    <t>000000000062</t>
  </si>
  <si>
    <t>Permisos Control Ambiental/Patos</t>
  </si>
  <si>
    <t>TD001400000061</t>
  </si>
  <si>
    <t>Depósito a Banco 001400000061 Obs: 12-10-2025  Mov Lodge</t>
  </si>
  <si>
    <t>SJ - rebota pago biologa argentina Lucia Bernard</t>
  </si>
  <si>
    <t>000000000063</t>
  </si>
  <si>
    <t>26/09/2025</t>
  </si>
  <si>
    <t>TE001400000035</t>
  </si>
  <si>
    <t>Extracción de Caja 001400000035 Obs: Movimiento_Cajas_Bancos_Semana 25-26 al 26-09-2025</t>
  </si>
  <si>
    <t>SJ6- 25/26-Contrato DU 25/26 viene de la SJ4- 24/25 - Reversa</t>
  </si>
  <si>
    <t>000000000064</t>
  </si>
  <si>
    <t>SJ7- 25/26-Contrato DU 25/26 viene de la SJ5- 24/25 - Reversa</t>
  </si>
  <si>
    <t>03/10/2025</t>
  </si>
  <si>
    <t>TE001400000047</t>
  </si>
  <si>
    <t>Extracción de Caja 001400000047 Obs: Movimiento_Cajas_Bancos_Semana 25-26 al 03-10-2025</t>
  </si>
  <si>
    <t>SJ- Traspaso Art Shop SJ a Carmelo Vs Artículos email Mari Cappi 3-10-25</t>
  </si>
  <si>
    <t>000000000066</t>
  </si>
  <si>
    <t>SJ-TriSW Fee CC 09-2025</t>
  </si>
  <si>
    <t>SJ- ValleySW- La Cazadora Oriental Limitada - (San Juan Operating Needs - September)-</t>
  </si>
  <si>
    <t>SJ17 -25/26-Harold Hefke -CMSW 09-2025- Pago via MTP-CC</t>
  </si>
  <si>
    <t>10/10/2025</t>
  </si>
  <si>
    <t>TE001400000052</t>
  </si>
  <si>
    <t>Extracción de Caja 001400000052 Obs: Movimiento_Cajas_Bancos_Semana 25-26 al 10-10-2025</t>
  </si>
  <si>
    <t>SJ-Pasajes Prana-Guias SJ--BARRIOS CARLOS MARTIN-COLONIA EXPRESS</t>
  </si>
  <si>
    <t>000000000068</t>
  </si>
  <si>
    <t>SJ-Pasajes Prana-Guias SJ--BARRIOS CARLOS MARTIN-BUS RET-POS</t>
  </si>
  <si>
    <t>TH001400000042</t>
  </si>
  <si>
    <t>Extracción de Banco 001400000042 Obs: 30-09-2025  Mov Lodge</t>
  </si>
  <si>
    <t>000000000071</t>
  </si>
  <si>
    <t>SJ - Traspaso a UL $</t>
  </si>
  <si>
    <t>SJ - dgi</t>
  </si>
  <si>
    <t>SJ - combustible monitoreo patos biologo Adrian Syagi en SJ</t>
  </si>
  <si>
    <t>SJ - gastos viaticos biologo Martin Buschiazzo en SJ</t>
  </si>
  <si>
    <t>SJ - telefonia antel SJ</t>
  </si>
  <si>
    <t>SJ - dgi LCO</t>
  </si>
  <si>
    <t>SJ - debi comi</t>
  </si>
  <si>
    <t>TH001400000043</t>
  </si>
  <si>
    <t>Extracción de Banco 001400000043 Obs: 30-09-2025  Mov Lodge</t>
  </si>
  <si>
    <t>SJ - deb comi banci</t>
  </si>
  <si>
    <t>000000000072</t>
  </si>
  <si>
    <t>SJ - pago por san juan biologo Martin Buschiazzo</t>
  </si>
  <si>
    <t>SJ - inversion inmuebles SJ</t>
  </si>
  <si>
    <t>SJ - oago biologo adrian stagi San Juan</t>
  </si>
  <si>
    <t>SJ - combustible Sofi</t>
  </si>
  <si>
    <t>TH001400000057</t>
  </si>
  <si>
    <t>Extracción de Banco 001400000057 Obs: 12-10-2025  Mov Lodge</t>
  </si>
  <si>
    <t>SJ - deb comi</t>
  </si>
  <si>
    <t>000000000076</t>
  </si>
  <si>
    <t>SJ - cocina dias monitoreo San Juan Maria Rossano</t>
  </si>
  <si>
    <t>SJ - monitoreo patos guia juan ponce</t>
  </si>
  <si>
    <t>SJ - monitoreo patos guia SJ Felipe Olivera</t>
  </si>
  <si>
    <t>SJ - monitoreo patos San Juan Guia Pablo Segovia</t>
  </si>
  <si>
    <t>SJ - Uber traslado</t>
  </si>
  <si>
    <t>SJ - combustible setiembre Caro Horta</t>
  </si>
  <si>
    <t>SJ - bps e iva set Caro Horta</t>
  </si>
  <si>
    <t>SJ - bps e iva Felipe Olivera guia</t>
  </si>
  <si>
    <t>SJ - sueldo setiembre Caro Horta</t>
  </si>
  <si>
    <t>SJ - ida a compras y logistica San Juan Monitoreo patos Ignacio Mendez</t>
  </si>
  <si>
    <t>SJ - combustible setiembre Monitoreo patos Alero azul</t>
  </si>
  <si>
    <t>SJ - sueldo dias setiembre SJ Felipe Olivera</t>
  </si>
  <si>
    <t>TH001400000058</t>
  </si>
  <si>
    <t>Extracción de Banco 001400000058 Obs: 12-10-2025  Mov Lodge</t>
  </si>
  <si>
    <t>SJ - traslados quique vila Julio San Juan</t>
  </si>
  <si>
    <t>000000000077</t>
  </si>
  <si>
    <t>SJ - alquiler camioneta monitoreo patso San Juan Pablo Segovia</t>
  </si>
  <si>
    <t>SJ - pago a biologa BA Lucia Bernard</t>
  </si>
  <si>
    <t>SJ - Impuestos contribucion Inmobiliaria</t>
  </si>
  <si>
    <t>SJ - deb comi bancaria Ingreso OFICINA</t>
  </si>
  <si>
    <t>Otros Impuestos,tasas y Multas</t>
  </si>
  <si>
    <t>SJ - alquiler camioneta compras monitoreo patos San Juan Nacho Mendez</t>
  </si>
  <si>
    <t>TI001400000036</t>
  </si>
  <si>
    <t>Ingreso a Caja 001400000036 Obs: Movimiento_Cajas_Bancos_Semana 25-26 al 26-09-2025</t>
  </si>
  <si>
    <t>SJ17- 25/26- Tim Deruyscher - #429 - ValleySW- 12 Checks $ 79.622,00 -25-09-2025</t>
  </si>
  <si>
    <t>000000000078</t>
  </si>
  <si>
    <t>SJ17- 25/26- thomas Edwards - #2450 -ValleySW- 7 Checks $ 23.590,00 -19-09-2025</t>
  </si>
  <si>
    <t>SJ17- 25/26- gregry Frank - #5130 - ValleySS- 1 Checks $ 6.500,00 -25-09-2025</t>
  </si>
  <si>
    <t>TI001400000049</t>
  </si>
  <si>
    <t>Ingreso a Caja 001400000049 Obs: Movimiento_Cajas_Bancos_Semana 25-26 al 03-10-2025</t>
  </si>
  <si>
    <t>SJ17 -25/26-Harold Hefke -CMSW 09-2025- Pago via MTP</t>
  </si>
  <si>
    <t>000000000080</t>
  </si>
  <si>
    <t>SJ17- 25/26- Jeff Ford - ValleySW- 11 Checks $ 41.126,50 -27-09-2025</t>
  </si>
  <si>
    <t>SJ1- 25/26- Sammuerl Hamacher - ValleySW- WIRE IN GFT 202509260000979 JILL ANNE HAMACHER  TRUST /OTH</t>
  </si>
  <si>
    <t>13/10/2025</t>
  </si>
  <si>
    <t>TD001400000069</t>
  </si>
  <si>
    <t>Depósito a Banco 001400000069 Obs: 19-10-2025  Mov Lodge</t>
  </si>
  <si>
    <t>SJ - credito uber</t>
  </si>
  <si>
    <t>000000000107</t>
  </si>
  <si>
    <t>19/10/2025</t>
  </si>
  <si>
    <t>TD001400000072</t>
  </si>
  <si>
    <t>Depósito a Banco 001400000072 Obs: Reversión de documento</t>
  </si>
  <si>
    <t>000000000108</t>
  </si>
  <si>
    <t>TH001400000068</t>
  </si>
  <si>
    <t>Extracción de Banco 001400000068 Obs: 19-10-2025  Mov Lodge</t>
  </si>
  <si>
    <t>000000000111</t>
  </si>
  <si>
    <t>TH001400000070</t>
  </si>
  <si>
    <t>Extracción de Banco 001400000070 Obs: 19-10-2025  Mov Lodge</t>
  </si>
  <si>
    <t>SJ - cuidador perros</t>
  </si>
  <si>
    <t>000000000112</t>
  </si>
  <si>
    <t>SJ - veterinaria perros a favor octubre</t>
  </si>
  <si>
    <t>SJ - veterinaria mirenxu setiembre</t>
  </si>
  <si>
    <t>17/10/2025</t>
  </si>
  <si>
    <t>TI001400000066</t>
  </si>
  <si>
    <t>Ingreso a Caja 001400000066 Obs: Movimiento_Cajas_Bancos_Semana 25-26 al 17-10-2025</t>
  </si>
  <si>
    <t>S17- 25/26- John Wayman - #1933 - ValleySW- 31 Checks $ 180.738,50 -04-10-2025</t>
  </si>
  <si>
    <t>000000000114</t>
  </si>
  <si>
    <t>24/10/2025</t>
  </si>
  <si>
    <t>TE001400000073</t>
  </si>
  <si>
    <t>Extracción de Caja 001400000073 Obs: Movimiento_Cajas_Bancos_Semana 25-26 al 24-10-2025</t>
  </si>
  <si>
    <t>SJ- ValleySS- La Zenaida SRL - (Canon San Juan 24/25)-</t>
  </si>
  <si>
    <t>000000000118</t>
  </si>
  <si>
    <t>26/10/2025</t>
  </si>
  <si>
    <t>TH001400000078</t>
  </si>
  <si>
    <t>Extracción de Banco 001400000078 Obs: 26-10-2025  Mov Lodge</t>
  </si>
  <si>
    <t>SJ - traspaso a UL usd por banking card</t>
  </si>
  <si>
    <t>000000000121</t>
  </si>
  <si>
    <t>TH001400000082</t>
  </si>
  <si>
    <t>Extracción de Banco 001400000082 Obs: 26-10-2025  Mov Lodge</t>
  </si>
  <si>
    <t>000000000125</t>
  </si>
  <si>
    <t>SJ - mitad pago vinos pedido para temporara 2026 SJ</t>
  </si>
  <si>
    <t>SJ - flete a trinidad flores vinos</t>
  </si>
  <si>
    <t>TI001400000074</t>
  </si>
  <si>
    <t>Ingreso a Caja 001400000074 Obs: Movimiento_Cajas_Bancos_Semana 25-26 al 24-10-2025</t>
  </si>
  <si>
    <t>SJ19- 25/26- Hunter Schenk - ValleySW- 21 Checks $ 91.169,00 -16-10-2025</t>
  </si>
  <si>
    <t>000000000126</t>
  </si>
  <si>
    <t xml:space="preserve">SJ19- Todd Sheriddan - ValleySW- WIRE IN GFT 202510210001227 TODD M SHERIDAN  /OTHR/FURTHER CRED IT </t>
  </si>
  <si>
    <t>AJUSTE GASTOS VARIOS A GESTION AMBIENTAL PATOS</t>
  </si>
  <si>
    <t>gastos viaticos biologo Martin Buschiazzo en SJ</t>
  </si>
  <si>
    <t>000000000148</t>
  </si>
  <si>
    <t>deb comi banco</t>
  </si>
  <si>
    <t>debi comi</t>
  </si>
  <si>
    <t>combustible monitoreo patos biologo Adrian Syagi en SJ</t>
  </si>
  <si>
    <t>pago por san juan biologo Martin Buschiazzo</t>
  </si>
  <si>
    <t>deb comi banci</t>
  </si>
  <si>
    <t>oago biologo adrian stagi San Juan</t>
  </si>
  <si>
    <t>07/11/2025</t>
  </si>
  <si>
    <t>TA001400000113</t>
  </si>
  <si>
    <t>Canje de Valores 001400000113 Obs: SJ - traspaso a $ para fondear</t>
  </si>
  <si>
    <t>000000000156</t>
  </si>
  <si>
    <t>31/10/2025</t>
  </si>
  <si>
    <t>TD001400000090</t>
  </si>
  <si>
    <t>Depósito a Banco 001400000090 Obs: SJ - red iva antel telefonia</t>
  </si>
  <si>
    <t>000000000157</t>
  </si>
  <si>
    <t>09/11/2025</t>
  </si>
  <si>
    <t>TD001400000105</t>
  </si>
  <si>
    <t>Depósito a Banco 001400000105 Obs: 09-11-2025  Mov Lodge</t>
  </si>
  <si>
    <t>000000000163</t>
  </si>
  <si>
    <t>SJ - cuidador de perros octubre</t>
  </si>
  <si>
    <t>SJ - contadores PKF LCO</t>
  </si>
  <si>
    <t>SJ - mantenimiento polvorin</t>
  </si>
  <si>
    <t>SJ - combustible off season vueltas SJ alero azul</t>
  </si>
  <si>
    <t>TD001400000123</t>
  </si>
  <si>
    <t>Depósito a Banco 001400000123 Obs: 09-11-2025  Mov Lodge</t>
  </si>
  <si>
    <t>SJ - ingreso devolucion Imp La Zenaida</t>
  </si>
  <si>
    <t>000000000165</t>
  </si>
  <si>
    <t>SJ - prestamo de Sofi Para Obra Valle de  despues se le reembolsa</t>
  </si>
  <si>
    <t>TH001400000093</t>
  </si>
  <si>
    <t>Extracción de Banco 001400000093 Obs: 31-10-2025  Mov Lodge</t>
  </si>
  <si>
    <t>000000000173</t>
  </si>
  <si>
    <t>SJ - antel telefonia</t>
  </si>
  <si>
    <t>TH001400000099</t>
  </si>
  <si>
    <t>Extracción de Banco 001400000099 Obs: 09-11-2025  Mov Lodge</t>
  </si>
  <si>
    <t>SJ - cuota 5 multiresgos LCO</t>
  </si>
  <si>
    <t>000000000175</t>
  </si>
  <si>
    <t>SJ - traspaso a UL para fondear</t>
  </si>
  <si>
    <t>SJ - cuota 6 multiriesgos LCO</t>
  </si>
  <si>
    <t>SJ - Traslados Quique Vila SJ</t>
  </si>
  <si>
    <t>SJ - transferencia de sj usd a ul para obra</t>
  </si>
  <si>
    <t>SJ - agrovet las praderas saldo set</t>
  </si>
  <si>
    <t>TH001400000114</t>
  </si>
  <si>
    <t>Extracción de Banco 001400000114 Obs: Reversión de documento</t>
  </si>
  <si>
    <t>000000000177</t>
  </si>
  <si>
    <t>TH001400000115</t>
  </si>
  <si>
    <t>Extracción de Banco 001400000115 Obs: 09-11-2025  Mov Lodge</t>
  </si>
  <si>
    <t>000000000178</t>
  </si>
  <si>
    <t>16/11/2025</t>
  </si>
  <si>
    <t>TD001400000130</t>
  </si>
  <si>
    <t>Depósito a Banco 001400000130 Obs: 16-11-2025  Mov Lodge</t>
  </si>
  <si>
    <t>000000000202</t>
  </si>
  <si>
    <t>TD001400000131</t>
  </si>
  <si>
    <t>Depósito a Banco 001400000131 Obs: 16-11-2025  Mov Lodge</t>
  </si>
  <si>
    <t>000000000203</t>
  </si>
  <si>
    <t>21/11/2025</t>
  </si>
  <si>
    <t>TD001400000149</t>
  </si>
  <si>
    <t>Depósito a Banco 001400000149 Obs: SJ - ingreso rediva almuerzo marina y Sofi</t>
  </si>
  <si>
    <t>SJ - ingreso rediva almuerzo marina y Sofi</t>
  </si>
  <si>
    <t>000000000209</t>
  </si>
  <si>
    <t>30/11/2025</t>
  </si>
  <si>
    <t>TD001400000160</t>
  </si>
  <si>
    <t>Depósito a Banco 001400000160 Obs: SJ - Reembolso por minitoreo de patos 2025 Operador Gonzalez</t>
  </si>
  <si>
    <t>SJ - Reembolso por minitoreo de patos 2025 Operador Gonzalez</t>
  </si>
  <si>
    <t>000000000212</t>
  </si>
  <si>
    <t>07/12/2025</t>
  </si>
  <si>
    <t>TD001400000163</t>
  </si>
  <si>
    <t>Depósito a Banco 001400000163 Obs: SJ - Ingreso de Oficina</t>
  </si>
  <si>
    <t>000000000213</t>
  </si>
  <si>
    <t>TD001400000165</t>
  </si>
  <si>
    <t>Depósito a Banco 001400000165 Obs: 07-12-2025  Mov Lodge</t>
  </si>
  <si>
    <t>SJ - uber iva a favor</t>
  </si>
  <si>
    <t>000000000215</t>
  </si>
  <si>
    <t>SJ - ingreso iva antel comunicaciones</t>
  </si>
  <si>
    <t>SJ - TRaspaso a $</t>
  </si>
  <si>
    <t>SJ - ingreso iva uber</t>
  </si>
  <si>
    <t>14/11/2025</t>
  </si>
  <si>
    <t>TE001400000139</t>
  </si>
  <si>
    <t>Extracción de Caja 001400000139 Obs: SJ- ValleySW- La Cazadora Oriental Limitada - (San Juan Operating Needs)-</t>
  </si>
  <si>
    <t>000000000219</t>
  </si>
  <si>
    <t>23/11/2025</t>
  </si>
  <si>
    <t>TE001400000144</t>
  </si>
  <si>
    <t>Extracción de Caja 001400000144 Obs: 23-11-2025  Mov Lodge</t>
  </si>
  <si>
    <t>SJ - Bps Carmelo</t>
  </si>
  <si>
    <t>000000000222</t>
  </si>
  <si>
    <t>SJ - fachada valle de soba constructor</t>
  </si>
  <si>
    <t>TE001400000155</t>
  </si>
  <si>
    <t>Extracción de Caja 001400000155 Obs: Movimiento_Cajas_Bancos_Semana 25-26 al 28-11-2025</t>
  </si>
  <si>
    <t>SJ- Manag Fee 24/25</t>
  </si>
  <si>
    <t>000000000223</t>
  </si>
  <si>
    <t>28/11/2025</t>
  </si>
  <si>
    <t>TE001400000156</t>
  </si>
  <si>
    <t>Extracción de Caja 001400000156 Obs: Movimiento_Cajas_Bancos_Semana 25-26 al 28-11-2025</t>
  </si>
  <si>
    <t>SJ7- 25/26- Rick Ackman Cobrado por Contrato DU 2024-25  - pasa a la UL2- 25/26</t>
  </si>
  <si>
    <t>000000000224</t>
  </si>
  <si>
    <t>SJ7- 25/26- Rick Ackman ValleySW-  26 Checks $ 132.538,75 -#3324  - pasa a la UL2- 25/26</t>
  </si>
  <si>
    <t>TE001400000157</t>
  </si>
  <si>
    <t>Extracción de Caja 001400000157 Obs: 30-11-2025  Mov Lodge</t>
  </si>
  <si>
    <t>SJ - Antel telefonia e internet Octubre Carmelo</t>
  </si>
  <si>
    <t>000000000225</t>
  </si>
  <si>
    <t>SJ - antel telefonia e internet noviembre Carmelo</t>
  </si>
  <si>
    <t>SJ - ute electricidad</t>
  </si>
  <si>
    <t>05/12/2025</t>
  </si>
  <si>
    <t>TE001400000175</t>
  </si>
  <si>
    <t>Extracción de Caja 001400000175 Obs: Movimiento_Cajas_Bancos_Semana 25-26 al 05-12-2025</t>
  </si>
  <si>
    <t>SJ- ValleySW- Fresno - (Carmelo Lodge - Guns Maintenance)- 5089 carmelo y 1969 Sj temporada pasada</t>
  </si>
  <si>
    <t>000000000227</t>
  </si>
  <si>
    <t>SJ- ValleySW- La Cazadora Oriental Limitada - (San Juan Operating Needs - November)- 13k Car + 7k SJ</t>
  </si>
  <si>
    <t>TH001400000125</t>
  </si>
  <si>
    <t>Extracción de Banco 001400000125 Obs: 16-11-2025  Mov Lodge</t>
  </si>
  <si>
    <t>SJ - traspaso a Carmelo USD</t>
  </si>
  <si>
    <t>000000000230</t>
  </si>
  <si>
    <t>SJ - vinos las amas juanas SJ</t>
  </si>
  <si>
    <t>SJ - traspaso a UL USD</t>
  </si>
  <si>
    <t>SJ - deb comision banco ingreso oficina</t>
  </si>
  <si>
    <t>SJ - obra valle ruben perez</t>
  </si>
  <si>
    <t>TH001400000127</t>
  </si>
  <si>
    <t>Extracción de Banco 001400000127 Obs: 16-11-2025  Mov Lodge</t>
  </si>
  <si>
    <t>SJ - uber</t>
  </si>
  <si>
    <t>000000000232</t>
  </si>
  <si>
    <t>TH001400000152</t>
  </si>
  <si>
    <t>Extracción de Banco 001400000152 Obs: 23-11-2025  Mov Lodge</t>
  </si>
  <si>
    <t>000000000236</t>
  </si>
  <si>
    <t>TH001400000153</t>
  </si>
  <si>
    <t>Extracción de Banco 001400000153 Obs: 23-11-2025  Mov Lodge</t>
  </si>
  <si>
    <t>SJ - almuerzo con marina Sofi bebidas</t>
  </si>
  <si>
    <t>000000000237</t>
  </si>
  <si>
    <t>SJ - almuerzo con Marina Sofi</t>
  </si>
  <si>
    <t>TH001400000162</t>
  </si>
  <si>
    <t>Extracción de Banco 001400000162 Obs: SJ - gas man relacion</t>
  </si>
  <si>
    <t>SJ - gas man relacion</t>
  </si>
  <si>
    <t>000000000239</t>
  </si>
  <si>
    <t>TH001400000167</t>
  </si>
  <si>
    <t>Extracción de Banco 001400000167 Obs: 07-12-2025  Mov Lodge</t>
  </si>
  <si>
    <t>SJ - uber sofi</t>
  </si>
  <si>
    <t>000000000241</t>
  </si>
  <si>
    <t>SJ - saldo  noviembre veterinaria Mirenxu</t>
  </si>
  <si>
    <t>SJ - sp nov Caro Horta</t>
  </si>
  <si>
    <t>SJ - antel comunicaciones telefonia</t>
  </si>
  <si>
    <t>SJ - combustible tramites mes nov Caro Horta</t>
  </si>
  <si>
    <t>SJ - iva nov Caro Horta</t>
  </si>
  <si>
    <t>SJ - bps nov Caro Horta</t>
  </si>
  <si>
    <t>TH001400000168</t>
  </si>
  <si>
    <t>Extracción de Banco 001400000168 Obs: 07-12-2025  Mov Lodge</t>
  </si>
  <si>
    <t>SJ - obra Valle de Soba Ruben Perez</t>
  </si>
  <si>
    <t>000000000242</t>
  </si>
  <si>
    <t>SJ - sp nov Sofi Barran</t>
  </si>
  <si>
    <t>SJ - fletes cartuchos a polvorin segovia</t>
  </si>
  <si>
    <t>SJ - Traspaso a carmelo $</t>
  </si>
  <si>
    <t>SJ - Sp Nov Tati Ribas</t>
  </si>
  <si>
    <t>SJ - saldo honorarios Octubre Mati Vila</t>
  </si>
  <si>
    <t>SJ - entrada campos octubre Palomares</t>
  </si>
  <si>
    <t>SJ - entrada campos reembolso cotubre a Long Carmelo</t>
  </si>
  <si>
    <t>SJ - entrada campos octubre Dumestre</t>
  </si>
  <si>
    <t>SJ - traslados octubre carmelo Quique Vila</t>
  </si>
  <si>
    <t>SJ - deb comi ingreso de oficina</t>
  </si>
  <si>
    <t>SJ - entrada campos octubre  Bianchi</t>
  </si>
  <si>
    <t>TI001400000135</t>
  </si>
  <si>
    <t>Ingreso a Caja 001400000135 Obs: Movimiento_Cajas_Bancos_Semana 25-26 al 14-11-2025</t>
  </si>
  <si>
    <t>SJ20- 25/26- Wil Wilson - ValleySW- WIRE IN GFT 202511100008825 WILLIAM W WILSON  WINN WILSON SAN JU</t>
  </si>
  <si>
    <t>000000000245</t>
  </si>
  <si>
    <t>TI001400000141</t>
  </si>
  <si>
    <t>Ingreso a Caja 001400000141 Obs: Movimiento_Cajas_Bancos_Semana 25-26 al 21-11-2025</t>
  </si>
  <si>
    <t>SJ2- Antti Matti - 25/26- John Cleghorn - ValleySW- WIRE IN INTL GFT 202511120001503 SIIKALA ANTTI-M</t>
  </si>
  <si>
    <t>000000000247</t>
  </si>
  <si>
    <t>22/12/2025</t>
  </si>
  <si>
    <t>TA001400000208</t>
  </si>
  <si>
    <t>Canje de Valores 001400000208 Obs: SJ - TRaspaso a $</t>
  </si>
  <si>
    <t>000000000270</t>
  </si>
  <si>
    <t>TA001400000209</t>
  </si>
  <si>
    <t>Canje de Valores 001400000209 Obs: SJ - TRaspaso a $</t>
  </si>
  <si>
    <t>000000000271</t>
  </si>
  <si>
    <t>21/12/2025</t>
  </si>
  <si>
    <t>TD001400000194</t>
  </si>
  <si>
    <t>Depósito a Banco 001400000194 Obs: SJ - flete cartuchos polvorin Pablo SEgovia devuelve por error</t>
  </si>
  <si>
    <t>SJ - flete cartuchos polvorin Pablo SEgovia devuelve por error</t>
  </si>
  <si>
    <t>000000000276</t>
  </si>
  <si>
    <t>19/12/2025</t>
  </si>
  <si>
    <t>TD001400000195</t>
  </si>
  <si>
    <t>Depósito a Banco 001400000195 Obs: SJ - Ingreso de Oficina</t>
  </si>
  <si>
    <t>000000000277</t>
  </si>
  <si>
    <t>TE001400000186</t>
  </si>
  <si>
    <t>Extracción de Caja 001400000186 Obs: 21-12-2025  Mov Lodge</t>
  </si>
  <si>
    <t>SJ - devolucion a sofi barran que presto para empezar obra en valle de soba</t>
  </si>
  <si>
    <t>000000000283</t>
  </si>
  <si>
    <t>SJ - a favor obra valle de soba</t>
  </si>
  <si>
    <t>SJ - adelanto obra a favor Valle de Soba Ruben Perez</t>
  </si>
  <si>
    <t>SJ - sueldo noviembre mucamas Carmelo</t>
  </si>
  <si>
    <t>TE001400000197</t>
  </si>
  <si>
    <t>Extracción de Caja 001400000197 Obs: Movimiento_Cajas_Bancos_Semana 25-26 al 19-12-2025</t>
  </si>
  <si>
    <t>SJ- ValleySW- La Cazadora Oriental Limitada - (San Juan Operating Needs - December)-</t>
  </si>
  <si>
    <t>000000000285</t>
  </si>
  <si>
    <t>SJ- ValleySW- La Cazadora Oriental Limitada - (uruguay Operating Needs - December)-</t>
  </si>
  <si>
    <t>TH001400000188</t>
  </si>
  <si>
    <t>Extracción de Banco 001400000188 Obs: 21-12-2025  Mov Lodge</t>
  </si>
  <si>
    <t>000000000294</t>
  </si>
  <si>
    <t>SJ - completa sueldo Noviembre Santi Carrato Carmelo</t>
  </si>
  <si>
    <t>SJ - surtido obreros mejoras Valle de soba</t>
  </si>
  <si>
    <t>SJ - TRaspaso a UL $ para fondear</t>
  </si>
  <si>
    <t>SJ - gastos nafta Bernardo Alero azul Noviembre</t>
  </si>
  <si>
    <t>TH001400000189</t>
  </si>
  <si>
    <t>Extracción de Banco 001400000189 Obs: 21-12-2025  Mov Lodge</t>
  </si>
  <si>
    <t>SJ - traslados fortete OCTUBRE CARMELO</t>
  </si>
  <si>
    <t>000000000295</t>
  </si>
  <si>
    <t>SJ - sueldo noviembre parte Santiago Carrato Carmelo</t>
  </si>
  <si>
    <t>SJ - cuota diciembre Multiriesgos y RC de LCO</t>
  </si>
  <si>
    <t>31/12/2025</t>
  </si>
  <si>
    <t>TH001400000206</t>
  </si>
  <si>
    <t>Extracción de Banco 001400000206 Obs: 31-12-2025  Mov Lodge</t>
  </si>
  <si>
    <t>SJ - por ingreso de oficina</t>
  </si>
  <si>
    <t>000000000299</t>
  </si>
  <si>
    <t>SJ - traspaso a Carmelo Pesos</t>
  </si>
  <si>
    <t>TH001400000207</t>
  </si>
  <si>
    <t>Extracción de Banco 001400000207 Obs: 31-12-2025  Mov Lodge</t>
  </si>
  <si>
    <t>SJ - seguro master Carmelo 3/3</t>
  </si>
  <si>
    <t>000000000300</t>
  </si>
  <si>
    <t>SJ - flete 2 SJ cartuchos polvorin pablo segovia</t>
  </si>
  <si>
    <t>SJ - PKF contadores Carmelo</t>
  </si>
  <si>
    <t>SJ - PKF contadores LCO</t>
  </si>
  <si>
    <t>SJ - seguro fiat sura</t>
  </si>
  <si>
    <t>SJ - seguro sura Hyundai Carmelo</t>
  </si>
  <si>
    <t>TI001400000181</t>
  </si>
  <si>
    <t>Ingreso a Caja 001400000181 Obs: Movimiento_Cajas_Bancos_Semana 25-26 al 12-12-2025</t>
  </si>
  <si>
    <t>SJ20- 25/26- Michael Day - ValleySW- 7 Checks $ 37.885,00 -30-11-2025</t>
  </si>
  <si>
    <t>000000000303</t>
  </si>
  <si>
    <t>12/12/2025</t>
  </si>
  <si>
    <t>TI001400000182</t>
  </si>
  <si>
    <t>Ingreso a Caja 001400000182 Obs: Movimiento_Cajas_Bancos_Semana 25-26 al 12-12-2025</t>
  </si>
  <si>
    <t>SJ8- 25/26- Phill Johnson - ValleySW- WIRE IN GFT 202512020023018 PHILLIP AND WENDY JOHNSON REFERENC</t>
  </si>
  <si>
    <t>000000000304</t>
  </si>
  <si>
    <t>SJ9- 25/26- Phill Johnson - ValleySW- WIRE IN GFT 202512020023018 PHILLIP AND WENDY JOHNSON REFERENC</t>
  </si>
  <si>
    <t>SJ11- 25/26- Phill Johnson - ValleySW- WIRE IN GFT 202512020023018 PHILLIP AND WENDY JOHNSON REFEREN</t>
  </si>
  <si>
    <t>SJ10- 25/26- Bill Hobing - ValleySW- WIRE IN GFT 202512030012950 WILLIAM W HOBIN  URUGUAY SAN JUAN L</t>
  </si>
  <si>
    <t>SJ11- 25/26- Bill Hobing - ValleySW- WIRE IN GFT 202512030012950 WILLIAM W HOBIN  URUGUAY SAN JUAN L</t>
  </si>
  <si>
    <t>26/12/2025</t>
  </si>
  <si>
    <t>TI001400000201</t>
  </si>
  <si>
    <t>Ingreso a Caja 001400000201 Obs: Movimiento_Cajas_Bancos_Semana 25-26 al 26-12-2025</t>
  </si>
  <si>
    <t>SJ16- 25/26- Robert Pearson - #1432 - ValleySW-  19 Checks $ 162.388,00 -19-12-2025</t>
  </si>
  <si>
    <t>000000000308</t>
  </si>
  <si>
    <t>0122</t>
  </si>
  <si>
    <t>TA001400000032</t>
  </si>
  <si>
    <t>Canje de Valores 001400000032 Obs: TRaspaso de $ a USD UL</t>
  </si>
  <si>
    <t>000000000013</t>
  </si>
  <si>
    <t>TA001400000033</t>
  </si>
  <si>
    <t>Canje de Valores 001400000033 Obs: Reversión de documento</t>
  </si>
  <si>
    <t>000000000014</t>
  </si>
  <si>
    <t>TA001400000034</t>
  </si>
  <si>
    <t>Canje de Valores 001400000034 Obs: TRaspaso de $ a USD UL</t>
  </si>
  <si>
    <t>000000000015</t>
  </si>
  <si>
    <t>TD001400000019</t>
  </si>
  <si>
    <t>Depósito a Banco 001400000019 Obs: 21-09-2025  Mov Lodge</t>
  </si>
  <si>
    <t>UL-Traspaso para fondear de SJ USD</t>
  </si>
  <si>
    <t>000000000017</t>
  </si>
  <si>
    <t>UL-red iva antel telefonia</t>
  </si>
  <si>
    <t>TH001400000017</t>
  </si>
  <si>
    <t>Extracción de Banco 001400000017 Obs: 21-09-2025  Mov Lodge</t>
  </si>
  <si>
    <t>UL-starlink internet</t>
  </si>
  <si>
    <t>000000000028</t>
  </si>
  <si>
    <t>UL-remate bavastro</t>
  </si>
  <si>
    <t>UL-bakning card</t>
  </si>
  <si>
    <t>UL-antel telefonia</t>
  </si>
  <si>
    <t>TH001400000018</t>
  </si>
  <si>
    <t>Extracción de Banco 001400000018 Obs: 21-09-2025  Mov Lodge</t>
  </si>
  <si>
    <t>UL-banking card</t>
  </si>
  <si>
    <t>000000000029</t>
  </si>
  <si>
    <t>TD001400000045</t>
  </si>
  <si>
    <t>Depósito a Banco 001400000045 Obs: 30-09-2025  Mov Lodge</t>
  </si>
  <si>
    <t>UL-Traspaso de San Juan $</t>
  </si>
  <si>
    <t>000000000058</t>
  </si>
  <si>
    <t>TH001400000044</t>
  </si>
  <si>
    <t>Extracción de Banco 001400000044 Obs: 30-09-2025  Mov Lodge</t>
  </si>
  <si>
    <t>000000000073</t>
  </si>
  <si>
    <t>28/10/2025</t>
  </si>
  <si>
    <t>TD001400000083</t>
  </si>
  <si>
    <t>Depósito a Banco 001400000083 Obs: 26-10-2025  Mov Lodge</t>
  </si>
  <si>
    <t>UL-Traspaso de SJ USD para banking card</t>
  </si>
  <si>
    <t>000000000116</t>
  </si>
  <si>
    <t>TD001400000084</t>
  </si>
  <si>
    <t>Depósito a Banco 001400000084 Obs: 26-10-2025  Mov Lodge</t>
  </si>
  <si>
    <t>UL-rrediva antel</t>
  </si>
  <si>
    <t>000000000117</t>
  </si>
  <si>
    <t>TH001400000079</t>
  </si>
  <si>
    <t>Extracción de Banco 001400000079 Obs: 26-10-2025  Mov Lodge</t>
  </si>
  <si>
    <t>UL-banking card octubre</t>
  </si>
  <si>
    <t>000000000122</t>
  </si>
  <si>
    <t>TH001400000081</t>
  </si>
  <si>
    <t>Extracción de Banco 001400000081 Obs: 26-10-2025  Mov Lodge</t>
  </si>
  <si>
    <t>000000000124</t>
  </si>
  <si>
    <t>UL-telefonia antel UL</t>
  </si>
  <si>
    <t>TD001400000102</t>
  </si>
  <si>
    <t>Depósito a Banco 001400000102 Obs: 09-11-2025  Mov Lodge</t>
  </si>
  <si>
    <t>UL-Traspaso de SJ USD a Ul USD para obra de valle</t>
  </si>
  <si>
    <t>000000000160</t>
  </si>
  <si>
    <t>TD001400000103</t>
  </si>
  <si>
    <t>Depósito a Banco 001400000103 Obs: 09-11-2025  Mov Lodge</t>
  </si>
  <si>
    <t>000000000161</t>
  </si>
  <si>
    <t>TD001400000106</t>
  </si>
  <si>
    <t>Depósito a Banco 001400000106 Obs: 09-11-2025  Mov Lodge</t>
  </si>
  <si>
    <t>000000000164</t>
  </si>
  <si>
    <t>TH001400000100</t>
  </si>
  <si>
    <t>Extracción de Banco 001400000100 Obs: 09-11-2025  Mov Lodge</t>
  </si>
  <si>
    <t>UL-salen para comienzo de obras UL valle de soba</t>
  </si>
  <si>
    <t>000000000176</t>
  </si>
  <si>
    <t>TH001400000116</t>
  </si>
  <si>
    <t>Extracción de Banco 001400000116 Obs: Reversión de documento</t>
  </si>
  <si>
    <t>000000000179</t>
  </si>
  <si>
    <t>TH001400000117</t>
  </si>
  <si>
    <t>Extracción de Banco 001400000117 Obs: 09-11-2025  Mov Lodge</t>
  </si>
  <si>
    <t>000000000180</t>
  </si>
  <si>
    <t>TD001400000132</t>
  </si>
  <si>
    <t>Depósito a Banco 001400000132 Obs: 16-11-2025  Mov Lodge</t>
  </si>
  <si>
    <t>UL-rediva antel comunicaciones</t>
  </si>
  <si>
    <t>000000000204</t>
  </si>
  <si>
    <t>TD001400000133</t>
  </si>
  <si>
    <t>Depósito a Banco 001400000133 Obs: 16-11-2025  Mov Lodge</t>
  </si>
  <si>
    <t>UL-traspaso de SJ USD</t>
  </si>
  <si>
    <t>000000000205</t>
  </si>
  <si>
    <t>TD001400000146</t>
  </si>
  <si>
    <t>Depósito a Banco 001400000146 Obs: UL-traspaso de SJ USD</t>
  </si>
  <si>
    <t>000000000206</t>
  </si>
  <si>
    <t>TH001400000126</t>
  </si>
  <si>
    <t>Extracción de Banco 001400000126 Obs: 16-11-2025  Mov Lodge</t>
  </si>
  <si>
    <t>UL-obra valle ruben perez</t>
  </si>
  <si>
    <t>000000000231</t>
  </si>
  <si>
    <t>UL-deb comi</t>
  </si>
  <si>
    <t>UL-para obra runen perez</t>
  </si>
  <si>
    <t>UL-para obra valle ruben perez</t>
  </si>
  <si>
    <t>UL-para obra soba Ruben perez</t>
  </si>
  <si>
    <t>TH001400000128</t>
  </si>
  <si>
    <t>Extracción de Banco 001400000128 Obs: 16-11-2025  Mov Lodge</t>
  </si>
  <si>
    <t>UL-telefonia antel</t>
  </si>
  <si>
    <t>000000000233</t>
  </si>
  <si>
    <t>UL-naking card</t>
  </si>
  <si>
    <t>TH001400000150</t>
  </si>
  <si>
    <t>Extracción de Banco 001400000150 Obs: UL-banking card</t>
  </si>
  <si>
    <t>000000000234</t>
  </si>
  <si>
    <t>TH001400000161</t>
  </si>
  <si>
    <t>Extracción de Banco 001400000161 Obs: UL-starlink internet</t>
  </si>
  <si>
    <t>000000000238</t>
  </si>
  <si>
    <t>UL1- 25/26- Gary Elrod - #4257 - ValleySW- 10 Checks $ 81.089,50 -09-11-2025</t>
  </si>
  <si>
    <t>UL1- 2526- Anthony Barbash - #4553 - ValleySW- 14 Checks $ 71.337,50 -12-11-2025</t>
  </si>
  <si>
    <t>TI001400000154</t>
  </si>
  <si>
    <t>Ingreso a Caja 001400000154 Obs: Movimiento_Cajas_Bancos_Semana 25-26 al 28-11-2025</t>
  </si>
  <si>
    <t>UL2- 25/26- viene de la SJ7- 25/26- Rick Ackman ValleySW-  26 Checks $ 132.538,75 -#3324  - pasa a l</t>
  </si>
  <si>
    <t>000000000249</t>
  </si>
  <si>
    <t>UL2- 25/26- viene de la SJ7- 25/26- Rick Ackman Cobrado por Contrato DU 2024-25  - pasa a la UL2- 25</t>
  </si>
  <si>
    <t>TD001400000192</t>
  </si>
  <si>
    <t>Depósito a Banco 001400000192 Obs: 21-12-2025  Mov Lodge</t>
  </si>
  <si>
    <t>UL-Traspaso de SJ $</t>
  </si>
  <si>
    <t>000000000274</t>
  </si>
  <si>
    <t>UL-red iva antel ingreso</t>
  </si>
  <si>
    <t>TD001400000212</t>
  </si>
  <si>
    <t>Depósito a Banco 001400000212 Obs: UL-traspaso de SJ USD</t>
  </si>
  <si>
    <t>000000000279</t>
  </si>
  <si>
    <t>TH001400000190</t>
  </si>
  <si>
    <t>Extracción de Banco 001400000190 Obs: 21-12-2025  Mov Lodge</t>
  </si>
  <si>
    <t>UL-antel telefonia internet  UL</t>
  </si>
  <si>
    <t>000000000296</t>
  </si>
  <si>
    <t>TH001400000210</t>
  </si>
  <si>
    <t>Extracción de Banco 001400000210 Obs: UL-banking card</t>
  </si>
  <si>
    <t>000000000301</t>
  </si>
  <si>
    <t>TH001400000211</t>
  </si>
  <si>
    <t>Extracción de Banco 001400000211 Obs: UL-banking card</t>
  </si>
  <si>
    <t>000000000302</t>
  </si>
  <si>
    <t>TI001400000185</t>
  </si>
  <si>
    <t>Ingreso a Caja 001400000185 Obs: Movimiento_Cajas_Bancos_Semana 25-26 al 19-12-2025</t>
  </si>
  <si>
    <t>UL.DU1- 25/26- Daniel Walden - ValleySW- WIRE IN GFT 202512050026489 1/UPPER HAND CONSU LTING, INC.</t>
  </si>
  <si>
    <t>000000000306</t>
  </si>
  <si>
    <t>UL1- 25/26- Bart Scott - ValleySW-  12 Checks $ 64.355,50 -15-12-2025</t>
  </si>
  <si>
    <t>TI001400000218</t>
  </si>
  <si>
    <t>Ingreso a Caja 001400000218 Obs: Movimiento_Cajas_Bancos_Semana 25-26 al 02-01-2026</t>
  </si>
  <si>
    <t>UL.DU1- 25/26- Rob Morse - ValleySS-  1 Checks $ 4.660,00 -24-12-2025</t>
  </si>
  <si>
    <t>000000000311</t>
  </si>
  <si>
    <t>02/09/2025</t>
  </si>
  <si>
    <t>0123</t>
  </si>
  <si>
    <t>TA001400000007</t>
  </si>
  <si>
    <t>Canje de Valores 001400000007 Obs: CAR-Caja Lodge F.Fijo Oper. Al 05-09-2025</t>
  </si>
  <si>
    <t>000000000001</t>
  </si>
  <si>
    <t>TA001400000011</t>
  </si>
  <si>
    <t>Canje de Valores 001400000011 Obs: Reversión de documento</t>
  </si>
  <si>
    <t>000000000002</t>
  </si>
  <si>
    <t>TA001400000023</t>
  </si>
  <si>
    <t>Canje de Valores 001400000023 Obs: TRaspaso de USD a $</t>
  </si>
  <si>
    <t>000000000004</t>
  </si>
  <si>
    <t>20/09/2025</t>
  </si>
  <si>
    <t>TA001400000024</t>
  </si>
  <si>
    <t>Canje de Valores 001400000024 Obs: Traspaso a carmelo $</t>
  </si>
  <si>
    <t>000000000005</t>
  </si>
  <si>
    <t>TA001400000025</t>
  </si>
  <si>
    <t>Canje de Valores 001400000025 Obs: TRaspaso Carmelo USD a $</t>
  </si>
  <si>
    <t>000000000006</t>
  </si>
  <si>
    <t>TA001400000028</t>
  </si>
  <si>
    <t>Canje de Valores 001400000028 Obs: TRaspaso a cuenta $</t>
  </si>
  <si>
    <t>000000000009</t>
  </si>
  <si>
    <t>TA001400000030</t>
  </si>
  <si>
    <t>Canje de Valores 001400000030 Obs: Traspaso de usd a $ Carmelo</t>
  </si>
  <si>
    <t>000000000011</t>
  </si>
  <si>
    <t>TD001400000012</t>
  </si>
  <si>
    <t>Depósito a Banco 001400000012 Obs: 21-09-2025  Mov Lodge</t>
  </si>
  <si>
    <t>CAR - Ingreso de Oficina</t>
  </si>
  <si>
    <t>000000000016</t>
  </si>
  <si>
    <t>CAR - Ingreso desde OFICINA</t>
  </si>
  <si>
    <t>CAR2- 25/26- Tony Com x Vtas - ValleySW- TONY CAGGIANO LLC - (Sales Commission and Shows June)-</t>
  </si>
  <si>
    <t>CA.DU44 - 24/25- Tony Com x Vtas - ValleySW- TONY CAGGIANO LLC - (Sales Commission and Shows June)-</t>
  </si>
  <si>
    <t>UY- Valley- SW - PINOR SA - (200k Shells Magtech - Uruguay Lodges)- 13,15 el Box</t>
  </si>
  <si>
    <t>CAR-Tips mes de Julio Lucia y Emanuel - managers F.Fijo Oper. Al 05-09-2025 - 210609 Propinas a paga</t>
  </si>
  <si>
    <t>CAR- ValleySW- CARMELO LODGE SAS - (Carmelo Operating Needs - August)-</t>
  </si>
  <si>
    <t>CAR- 24/25- ValleySW- Celmu SA - (Carmelo y San Juan Lodge- Multicar - Rent Vehicules - August)- Car</t>
  </si>
  <si>
    <t>TE001400000008</t>
  </si>
  <si>
    <t>Extracción de Caja 001400000008 Obs: Movimiento_Cajas_Bancos_Semana 25-26 al 05-09-2025</t>
  </si>
  <si>
    <t>CAR-Caja Lodge F.Fijo Oper. Al 05-09-2025</t>
  </si>
  <si>
    <t>000000000022</t>
  </si>
  <si>
    <t>CAR- ValleyFF- CARMELO LODGE SAS - (Carmelo Operating Needs - September)-</t>
  </si>
  <si>
    <t>TH001400000013</t>
  </si>
  <si>
    <t>Extracción de Banco 001400000013 Obs: 21-09-2025  Mov Lodge</t>
  </si>
  <si>
    <t>CAR - deb comi banco por Ingreso Oficina</t>
  </si>
  <si>
    <t>000000000024</t>
  </si>
  <si>
    <t>CAR - traspaso a SJ USD</t>
  </si>
  <si>
    <t>CAR - permisos honorarios agosto Mati Vila</t>
  </si>
  <si>
    <t>CAR - sueldo agosto Stephany Shur</t>
  </si>
  <si>
    <t>CAR - sueldo agosto Paloma Marchetti</t>
  </si>
  <si>
    <t>CAR - sueldo agosto Yuliana Gonzalez</t>
  </si>
  <si>
    <t>CAR - sueldo agosto Valeria Olemdo</t>
  </si>
  <si>
    <t>CAR - deb comi banco</t>
  </si>
  <si>
    <t>CAR - bb agosto 2 Ramiri Martinez</t>
  </si>
  <si>
    <t>CAR - bb agosto 2 Simon Glattli</t>
  </si>
  <si>
    <t>CAR - Sueldo agosto Pablo Gadea</t>
  </si>
  <si>
    <t>CAR - bb agosto 2 Enzo Rodriguez Pulero</t>
  </si>
  <si>
    <t>CAR - deb comi bancaria</t>
  </si>
  <si>
    <t>CAR - debi comi banco</t>
  </si>
  <si>
    <t>CAR - bb agosto 2 Nahuel Martinez</t>
  </si>
  <si>
    <t>CAR - bb agosto 2 Brandon Maidana</t>
  </si>
  <si>
    <t>CAR - deb comision bancaria por Ingreso Oicina</t>
  </si>
  <si>
    <t>CAR - servicios profesionales agosto Tatiana Ribas</t>
  </si>
  <si>
    <t>CAR - BB agosto 2 Marcelo Martinez</t>
  </si>
  <si>
    <t>CAR - deb comison bancaria</t>
  </si>
  <si>
    <t>CAR - bb agosto 2 Julian Rodriguez</t>
  </si>
  <si>
    <t>CAR - bb agosto 2 Octavio Rodriguez</t>
  </si>
  <si>
    <t>CAR - servicios personales agosto Juan Long</t>
  </si>
  <si>
    <t>CAR - sueldo agosto carmelo Santiago carrato</t>
  </si>
  <si>
    <t>CAR - sueldo agosto Valentino Magnani</t>
  </si>
  <si>
    <t>CAR - banking card</t>
  </si>
  <si>
    <t>CAR - combustible temporada Bernardo Barran</t>
  </si>
  <si>
    <t>CAR - combustible Saldo Bernardo Barran Carmelo</t>
  </si>
  <si>
    <t>CAR - javier Irureta por un libro estancias consignacion shop</t>
  </si>
  <si>
    <t>CAR - cargas sociales BPS y IVA Juan Long</t>
  </si>
  <si>
    <t>CAR - entrada campo agosto Alcira cornu</t>
  </si>
  <si>
    <t>CAR - deb comi banci</t>
  </si>
  <si>
    <t>CAR - entrada campo agosto carlos dumestre</t>
  </si>
  <si>
    <t>CAR - entrada campos agosto Bianchi</t>
  </si>
  <si>
    <t>CAR - deb cambio comi</t>
  </si>
  <si>
    <t>CAR - entrada campo agosto Beron</t>
  </si>
  <si>
    <t>CAR - entrada campos reembolso Long</t>
  </si>
  <si>
    <t>CAR - entrada campo agosto Daniel Palomares</t>
  </si>
  <si>
    <t>CAR - deb comi bancario</t>
  </si>
  <si>
    <t>CAR - traslados agosto Gustavo Fortete</t>
  </si>
  <si>
    <t>CAR - trasnfer agosto Carmelo Quique Vila</t>
  </si>
  <si>
    <t>TH001400000014</t>
  </si>
  <si>
    <t>Extracción de Banco 001400000014 Obs: 21-09-2025  Mov Lodge</t>
  </si>
  <si>
    <t>CAR - copias  permisos torkaza y parking tramite Ministerio</t>
  </si>
  <si>
    <t>000000000025</t>
  </si>
  <si>
    <t>CAR - gastos notariales juicio</t>
  </si>
  <si>
    <t>CAR - gastos debi comi</t>
  </si>
  <si>
    <t>CAR - gastos tramite juicio ida carmelo</t>
  </si>
  <si>
    <t>CAR - contadores PKF agosto</t>
  </si>
  <si>
    <t>CAR - pasajes mont carmelo barrios y carrato</t>
  </si>
  <si>
    <t>CAR - pasajes long</t>
  </si>
  <si>
    <t>CAR - dac encomienda permisos coto torcaza</t>
  </si>
  <si>
    <t>CAR - mantenimiento disan, cintas etc limpieza armas</t>
  </si>
  <si>
    <t>CAR - gomeria servicio</t>
  </si>
  <si>
    <t>CAR - bebidas agosto Belater</t>
  </si>
  <si>
    <t>CAR - carnes Gourmeat agosto</t>
  </si>
  <si>
    <t>CAR - reembolso comida Long</t>
  </si>
  <si>
    <t>CAR - quesos y fuambres agosto Finesa</t>
  </si>
  <si>
    <t>CAR - combustible agosto Servucios Carmelo</t>
  </si>
  <si>
    <t>CAR - reembolso combustible valentino magnani</t>
  </si>
  <si>
    <t>CAR - UTE electricidad Lodge</t>
  </si>
  <si>
    <t>CAR - gasoil reembolso a Long</t>
  </si>
  <si>
    <t>CAR - bps y fonasa carmelo felipe Olivera</t>
  </si>
  <si>
    <t>CAR - Bps carmelo agosto</t>
  </si>
  <si>
    <t>CAR - BPS Barran Wingshooting</t>
  </si>
  <si>
    <t>CAR - bb set 1 marcelo martinez</t>
  </si>
  <si>
    <t>CAR - deb comi</t>
  </si>
  <si>
    <t>CAR - bb set 1 julian rodriguez</t>
  </si>
  <si>
    <t>CAR - bb set 1 enzo pulero</t>
  </si>
  <si>
    <t>CAR - bb set 1 ramiro martinez</t>
  </si>
  <si>
    <t>CAR - bb set 1 brandon maidana</t>
  </si>
  <si>
    <t>CAR - bb set 1 lautaro tahiel</t>
  </si>
  <si>
    <t>CAR - bb set 1 nahuel martinez</t>
  </si>
  <si>
    <t>CAR - bb set 1 edgardo martinez</t>
  </si>
  <si>
    <t>CAR - bb set 1 octavio rodriguez</t>
  </si>
  <si>
    <t>CAR - sueldo agosto Guia felioe Olivera</t>
  </si>
  <si>
    <t>CAR - pantalon cargo y 2 wader mamelucos</t>
  </si>
  <si>
    <t>CAR - seguro accidentes de trabajo Carmelo</t>
  </si>
  <si>
    <t>CAR - cuota seguro BSE trailer</t>
  </si>
  <si>
    <t>CAR - cuota sura seguros Fiat Strada</t>
  </si>
  <si>
    <t>CAR - cuota sura seguros Hyundai</t>
  </si>
  <si>
    <t>CAR - vinos Loldes Ruibal Carmelo</t>
  </si>
  <si>
    <t>CAR - vinos cerro del toro RODEM</t>
  </si>
  <si>
    <t>Armas- Escopetas - Equip Field</t>
  </si>
  <si>
    <t>CAR - certificados inspeccion thata</t>
  </si>
  <si>
    <t>CA.DU4- 26/27- Kyle Schultz - ValleySW-  20 Checks $ 110.768,75 -28-08-2025</t>
  </si>
  <si>
    <t>CA.DU30- 25/26- Blaine Riley - ValleySW- WIRE IN GFT 202509040015384 INTERNATIONAL MONE TARY DAVID D</t>
  </si>
  <si>
    <t>CA.DU32- 25/26- David Christensen - #1407 - ValleySW-  16 Checks $ 101.175,25 -08-09-2025</t>
  </si>
  <si>
    <t>CAR9- 25/26- Justin Johnson - #4323 - ValleySW-  16 Checks $ 101.175,25 -08-09-2025</t>
  </si>
  <si>
    <t>CA.DU18- 25/26- Ray Dix - comparte con Del 18 - ValleySW- 24 Checks $ 99.143,50 -15-09-2025</t>
  </si>
  <si>
    <t>CAR7- 25/26- Judy Wood - ValleySW- 24 Checks $ 99.143,50 -15-09-2025</t>
  </si>
  <si>
    <t>COBRANZAS</t>
  </si>
  <si>
    <t>VR000000000767</t>
  </si>
  <si>
    <t>Asiento de COBRANZAS</t>
  </si>
  <si>
    <t>Recibo: 000000000767Cliente: MT40703 Obs: 21-09-2025  Cobranzas Clientes</t>
  </si>
  <si>
    <t>000000000033</t>
  </si>
  <si>
    <t>VR000000000768</t>
  </si>
  <si>
    <t>Recibo: 000000000768Cliente: MT40701 Obs: 21-09-2025  Cobranzas Clientes</t>
  </si>
  <si>
    <t>000000000034</t>
  </si>
  <si>
    <t>VR000000000769</t>
  </si>
  <si>
    <t>Recibo: 000000000769Cliente: MT40674 Obs: 21-09-2025  Cobranzas Clientes</t>
  </si>
  <si>
    <t>000000000035</t>
  </si>
  <si>
    <t>VR000000000770</t>
  </si>
  <si>
    <t>Recibo: 000000000770Cliente: MT37450 Obs: 21-09-2025  Cobranzas Clientes</t>
  </si>
  <si>
    <t>000000000036</t>
  </si>
  <si>
    <t>VR000000000771</t>
  </si>
  <si>
    <t>Recibo: 000000000771Cliente: MT40672 Obs: 21-09-2025  Cobranzas Clientes</t>
  </si>
  <si>
    <t>000000000037</t>
  </si>
  <si>
    <t>VR000000000772</t>
  </si>
  <si>
    <t>Recibo: 000000000772Cliente: MT37452 Obs: 21-09-2025  Cobranzas Clientes</t>
  </si>
  <si>
    <t>000000000038</t>
  </si>
  <si>
    <t>VR000000000773</t>
  </si>
  <si>
    <t>Recibo: 000000000773Cliente: MT40671 Obs: 21-09-2025  Cobranzas Clientes</t>
  </si>
  <si>
    <t>000000000039</t>
  </si>
  <si>
    <t>VR000000000775</t>
  </si>
  <si>
    <t>Recibo: 000000000775Cliente: MT40960 Obs: 21-09-2025  Cobranzas Clientes</t>
  </si>
  <si>
    <t>000000000040</t>
  </si>
  <si>
    <t>VENTAS</t>
  </si>
  <si>
    <t>VF000000000733B</t>
  </si>
  <si>
    <t>Asiento de VENTAS</t>
  </si>
  <si>
    <t>F B 000000000733</t>
  </si>
  <si>
    <t>Ref. nota de Venta: CAR.3
Obs.:21-09-2025_CLIENTES</t>
  </si>
  <si>
    <t>000000000041</t>
  </si>
  <si>
    <t>VF000000000734B</t>
  </si>
  <si>
    <t>F B 000000000734</t>
  </si>
  <si>
    <t>000000000042</t>
  </si>
  <si>
    <t>VF000000000735B</t>
  </si>
  <si>
    <t>F B 000000000735</t>
  </si>
  <si>
    <t>000000000043</t>
  </si>
  <si>
    <t>VF000000000736B</t>
  </si>
  <si>
    <t>F B 000000000736</t>
  </si>
  <si>
    <t>000000000044</t>
  </si>
  <si>
    <t>VF000000000737B</t>
  </si>
  <si>
    <t>F B 000000000737</t>
  </si>
  <si>
    <t>000000000045</t>
  </si>
  <si>
    <t>VF000000000738B</t>
  </si>
  <si>
    <t>F B 000000000738</t>
  </si>
  <si>
    <t>000000000046</t>
  </si>
  <si>
    <t>VF000000000739B</t>
  </si>
  <si>
    <t>F B 000000000739</t>
  </si>
  <si>
    <t>000000000047</t>
  </si>
  <si>
    <t>VF000000000740B</t>
  </si>
  <si>
    <t>F B 000000000740</t>
  </si>
  <si>
    <t>000000000048</t>
  </si>
  <si>
    <t>VF000000000741B</t>
  </si>
  <si>
    <t>F B 000000000741</t>
  </si>
  <si>
    <t>000000000049</t>
  </si>
  <si>
    <t>VF000000000742B</t>
  </si>
  <si>
    <t>F B 000000000742</t>
  </si>
  <si>
    <t>000000000050</t>
  </si>
  <si>
    <t>VF000000000743B</t>
  </si>
  <si>
    <t>F B 000000000743</t>
  </si>
  <si>
    <t>000000000051</t>
  </si>
  <si>
    <t>VF000000000774B</t>
  </si>
  <si>
    <t>F B 000000000774</t>
  </si>
  <si>
    <t>000000000052</t>
  </si>
  <si>
    <t>TA001400000037</t>
  </si>
  <si>
    <t>Canje de Valores 001400000037 Obs: Traspaso a pesos</t>
  </si>
  <si>
    <t>000000000053</t>
  </si>
  <si>
    <t>06/10/2025</t>
  </si>
  <si>
    <t>TA001400000064</t>
  </si>
  <si>
    <t>Canje de Valores 001400000064 Obs: CAR - TRaspaso</t>
  </si>
  <si>
    <t>000000000057</t>
  </si>
  <si>
    <t>TD001400000055</t>
  </si>
  <si>
    <t>Depósito a Banco 001400000055 Obs: 12-10-2025  Mov Lodge</t>
  </si>
  <si>
    <t>CAR - rediva ute</t>
  </si>
  <si>
    <t>000000000060</t>
  </si>
  <si>
    <t>CAR - red iva ute setiembre</t>
  </si>
  <si>
    <t>TD001400000059</t>
  </si>
  <si>
    <t>Depósito a Banco 001400000059 Obs: 12-10-2025  Mov Lodge</t>
  </si>
  <si>
    <t>000000000061</t>
  </si>
  <si>
    <t>TE001400000038</t>
  </si>
  <si>
    <t>Extracción de Caja 001400000038 Obs: 30-09-2025  Mov Lodge</t>
  </si>
  <si>
    <t>CAR - Cotillon para celebrar los 20 aniversario de huespedes</t>
  </si>
  <si>
    <t>000000000065</t>
  </si>
  <si>
    <t>CAR - Agua x 20 bidones</t>
  </si>
  <si>
    <t>CAR - 20 bidones de agua</t>
  </si>
  <si>
    <t>CAR - Pago AGADu mes de Octubre</t>
  </si>
  <si>
    <t>CAR - Hielo</t>
  </si>
  <si>
    <t>CAR - Pago AGADU mes de septiembre</t>
  </si>
  <si>
    <t>CAR - SMA CA.du1</t>
  </si>
  <si>
    <t>CAR - Pago Semco mes de Agosto</t>
  </si>
  <si>
    <t>CAR - Compra maiz frito, manies y te de menta</t>
  </si>
  <si>
    <t>CAR - Tips Carrato Mes de agosto field</t>
  </si>
  <si>
    <t>CAR - Sueldo mes de septiembre Santiago Benitez</t>
  </si>
  <si>
    <t>CAR - Tips Valentino Mes de agosto Field</t>
  </si>
  <si>
    <t>CAR - Carniceria,</t>
  </si>
  <si>
    <t>CAR - Tips Pablo Gadea mes de Agosto Field</t>
  </si>
  <si>
    <t>CAR - Sueldo Managers mes de Septiembre</t>
  </si>
  <si>
    <t>CAR - Tips mes de agosto sabrina cocina</t>
  </si>
  <si>
    <t>CAR - Aguninaldo lucia y emanuel x 3 meses trabajados</t>
  </si>
  <si>
    <t>CAR - Tips mes de Agosto Santiago Mantenimiento</t>
  </si>
  <si>
    <t>CAR - Pescaderia</t>
  </si>
  <si>
    <t>CAR - Tips mes de Agosto Paloma HK</t>
  </si>
  <si>
    <t>CAR - Compra de tinta negra para impresora</t>
  </si>
  <si>
    <t>CAR - Tips mes de Agosto yuliana</t>
  </si>
  <si>
    <t>CAR - Viaticos de vuelta a Buenos Aires Lucia y Emanuel</t>
  </si>
  <si>
    <t>CAR - Tips mes de Agosto valeria hk</t>
  </si>
  <si>
    <t>CAR - Tips mes de Agosto Stefy hk</t>
  </si>
  <si>
    <t>CAR - Sueldo Sabrina Machuca Sub Chef mes de Septiembre</t>
  </si>
  <si>
    <t>CAR - CORDERO</t>
  </si>
  <si>
    <t>CAR - Agua x 10 bidones</t>
  </si>
  <si>
    <t>CAR - Uniforme de camarera compra de zapatos</t>
  </si>
  <si>
    <t>CAR - Vasos de whisky compra en carmelo urgencia reposicion rapida</t>
  </si>
  <si>
    <t>CAR - Compra de santa rita y jazmines</t>
  </si>
  <si>
    <t>CAR - SMA Grupo Fernando</t>
  </si>
  <si>
    <t>CAR - Refuerzo verduleria</t>
  </si>
  <si>
    <t>CAR - Tapas de tarta personal</t>
  </si>
  <si>
    <t>CAR - Super los ballas</t>
  </si>
  <si>
    <t>CAR - Sueldo Washington segunda quincena mes de Septiembre</t>
  </si>
  <si>
    <t>CAR - Compra de disco de corte para madera</t>
  </si>
  <si>
    <t>CAR - compra de 3 santa ritas</t>
  </si>
  <si>
    <t>CAR - Huevos</t>
  </si>
  <si>
    <t>CAR - 5 masajes de 1 hora y 2 masajes de 30 min</t>
  </si>
  <si>
    <t>CAR - Compra de plantas para canteros y cerramientos</t>
  </si>
  <si>
    <t>CAR - Agadu impuesto a la reproduccion de musica en el lodge mayo</t>
  </si>
  <si>
    <t>CAR - Pago de ferreteria mes de septiembre Compra de materiales y herramientas para trabajar en el l</t>
  </si>
  <si>
    <t>CAR - contribusion inmobiliaria agosto</t>
  </si>
  <si>
    <t>CAR - Compra de whisky buffalo trace</t>
  </si>
  <si>
    <t>CAR - Pago semco mes de octubre</t>
  </si>
  <si>
    <t>CAR - Pago verduleria mes de septiembre</t>
  </si>
  <si>
    <t>CAR - compra de vodka</t>
  </si>
  <si>
    <t>CAR - Super los vallas</t>
  </si>
  <si>
    <t>CAR - Compra de vodka grey goose y absolut</t>
  </si>
  <si>
    <t>CAR - Ferreteria compra para arreglar la cagada de mario</t>
  </si>
  <si>
    <t>CAR - Segunda quincena tom mes de agosto</t>
  </si>
  <si>
    <t>CAR - Huevos x 3 maples</t>
  </si>
  <si>
    <t>CAR - Huevos de campo</t>
  </si>
  <si>
    <t>CAR - Compra de fertilizante y herbicida</t>
  </si>
  <si>
    <t>CAR - Pre pizzas y tapas de tarta</t>
  </si>
  <si>
    <t>CAR - Compra en finesa</t>
  </si>
  <si>
    <t>CAR - Carniceria centro</t>
  </si>
  <si>
    <t>CAR - Farmacia,</t>
  </si>
  <si>
    <t>CAR - Matin Barrios guia sueldo</t>
  </si>
  <si>
    <t>CAR - dac envio de whisky buffalo trace</t>
  </si>
  <si>
    <t>CAR - Adelanto de sueldo Rafael Anzola cocinero</t>
  </si>
  <si>
    <t>CAR - Pescado</t>
  </si>
  <si>
    <t>CAR - Compra de correa para tractor de cortar pasto</t>
  </si>
  <si>
    <t>CAR - Compra de whisky buffalo trace x 3</t>
  </si>
  <si>
    <t>CAR - Compra de utencillos de cocina en buenos aires</t>
  </si>
  <si>
    <t>CAR - Comrpa de servilletas de papel x 1000 unidades</t>
  </si>
  <si>
    <t>CAR - Compra de nafta para maquina</t>
  </si>
  <si>
    <t>CAR - Compra de cemento para pegar porcelanatos</t>
  </si>
  <si>
    <t>CAR - tornillos y alambres</t>
  </si>
  <si>
    <t>CAR - Primera quincena ton mes de Septiembre</t>
  </si>
  <si>
    <t>CAR - Jazmines de leche para cubrir zona de fuegos</t>
  </si>
  <si>
    <t>CAR - Pago de antel agosto y septiembre</t>
  </si>
  <si>
    <t>CAR - SMA Grupo Car,3</t>
  </si>
  <si>
    <t>CAR - Super los ballas productos de almacen</t>
  </si>
  <si>
    <t>CAR - Enconmienda de envio de correa</t>
  </si>
  <si>
    <t>CAR - Super los ballas Cervezas y vodka</t>
  </si>
  <si>
    <t>CAR - Disco de corte para porcelanato</t>
  </si>
  <si>
    <t>CAR - Super los ballas limpieza</t>
  </si>
  <si>
    <t>CAR - Copa de porcelanato</t>
  </si>
  <si>
    <t>CAR - papelera zorrilla 4</t>
  </si>
  <si>
    <t>CAR - Compra carniceria centro</t>
  </si>
  <si>
    <t>CAR - papelera zorrilla 3</t>
  </si>
  <si>
    <t>CAR - Compra bebidas y cervezas</t>
  </si>
  <si>
    <t>CAR - Papelera zorrilla 2  articulos de cocina</t>
  </si>
  <si>
    <t>CAR - Compra de super los ballas</t>
  </si>
  <si>
    <t>CAR - Sueldo mes de Agosto Santiago Benitez</t>
  </si>
  <si>
    <t>CAR - SMA Ca.du 19</t>
  </si>
  <si>
    <t>CAR - Tips Mes de agosto Managers</t>
  </si>
  <si>
    <t>CAR - Carbon x 5 bolsas</t>
  </si>
  <si>
    <t>CAR - Sueldo Sabrina mes de agosto</t>
  </si>
  <si>
    <t>CAR - Chocolinas para realizar chocotorta para clientes</t>
  </si>
  <si>
    <t>CAR - Tips Juan Long mes de Julio</t>
  </si>
  <si>
    <t>CAR - Tips Felipe olivera Mes de agosto field</t>
  </si>
  <si>
    <t>CAR - Papelera zorrilla articulos para cocina</t>
  </si>
  <si>
    <t>5257</t>
  </si>
  <si>
    <t>Bebidas Blncas,Cervzas y Gaseo</t>
  </si>
  <si>
    <t>CA.DU34 -25/26-Kelly Nieuwoudt -CMSW 09-2025- Pago por MTP-CC</t>
  </si>
  <si>
    <t>CAR.3- Jeff Goodman Extras 25-26 - ID 35352 -EXtras 25/26- -CMSW 09-2025- -CC</t>
  </si>
  <si>
    <t>CAR.3- Jody Lanier Extras 25-26 - ID 37450 -EXtras 25/26- -CMSW 09-2025- -CC</t>
  </si>
  <si>
    <t>CA.DU31 -25/26-Rocklan Lawrene -CMSW 09-2025- Pago por MTP-CC</t>
  </si>
  <si>
    <t>CAR-Tips agosto -Rafael Anzola - Head Chef F.Fijo Oper. Al 03-10-2025</t>
  </si>
  <si>
    <t>CAR- ValleySW- CARMELO LODGE SAS - (Carmelo Operating Needs - September)-</t>
  </si>
  <si>
    <t>CAR.3- Justin Allred Extras 25-26 - ID 37449 -EXtras 25/26- -CMSW 09-2025- -CC</t>
  </si>
  <si>
    <t>CA.DU27 -25/26-Ceci Crawford -CMSW 09-2025- Pago por MTP - Comparte con DEL24-CC</t>
  </si>
  <si>
    <t>CAR.3- Kendric Bradley Extras 25-26 - ID 40699 -EXtras 25/26- -CMSW 09-2025- -CC</t>
  </si>
  <si>
    <t>CA.DU27 -25/26-Kristi Crawford -CMSW 09-2025- Pago por MTP - Comparte con DEL24-CC</t>
  </si>
  <si>
    <t>CA.DU35 -25/26-Matthew Ricky Fordham -CMSW 09-2025- Pago por MTP-CC</t>
  </si>
  <si>
    <t>CAR.3- Bryan Mcknight Carr Iv Extras 25-26 - ID 40700 -EXtras 25/26- -CMSW 09-2025- -CC</t>
  </si>
  <si>
    <t>CA.DU35 -25/26-Jason Maloy -CMSW 09-2025- Pago por MTP-CC</t>
  </si>
  <si>
    <t>CA.DU23 -25/26-David Baird -CMSW 09-2025- Pago por MTP-CC</t>
  </si>
  <si>
    <t>CAR-TriSW Fee CC 09-2025</t>
  </si>
  <si>
    <t>CA.DU3 -26/27-James Powell -CMSW 09-2025- Pago por MTP - Compart con DEL1-CC</t>
  </si>
  <si>
    <t>CA.DU1- Kimberly Ellis-Extras 25-26-ID-40216 + James Ellis-Extras 25-26-ID-40215 -EXtras 25/26- -CMS</t>
  </si>
  <si>
    <t>CA.DU19-Scott Ellis Hargraves-Extras 25-26-ID-40099 + Stephan Straiton Hargraves-Extras 25-26-ID-408</t>
  </si>
  <si>
    <t>CA.DU19-Shane Moffett-Extras 25-26-ID-40100 -EXtras 25/26- -CMSW 09-2025- -CC</t>
  </si>
  <si>
    <t>CA.DU1-Jennifer Carter-Extras 25-26-ID-40192 + Christopher Carter-Extras 25-26-ID-36619 -EXtras 25/2</t>
  </si>
  <si>
    <t>CAR-Honorarios Septiembre - Rafael Anzola - Head Chef F.Fijo Oper. Al 03-10-2025</t>
  </si>
  <si>
    <t>TE001400000048</t>
  </si>
  <si>
    <t>Extracción de Caja 001400000048 Obs: Movimiento_Cajas_Bancos_Semana 25-26 al 03-10-2025</t>
  </si>
  <si>
    <t xml:space="preserve">CAR-Parte de sueldo en pesos acordado sueldo Lucia mes de Septiembre 2025 Pagos Alcorta Partners Al </t>
  </si>
  <si>
    <t>000000000067</t>
  </si>
  <si>
    <t>CAR-Parte de sueldo en pesos acordado sueldo Emanuel mes de Septiembre 2025 Pagos Alcorta Partners A</t>
  </si>
  <si>
    <t>CAR-Caja Lodge F.Fijo Oper. Al 10-10-2025</t>
  </si>
  <si>
    <t>CAR-Pasajes Prana-Cierre Carmleo--SOFIA ROBREDO-BQB BS AS-COL-BSAS</t>
  </si>
  <si>
    <t>CAR-Viaje supervisión - Sofi Robredo - 29-09 al 1-10 F.Fijo Oper. Al 10-10-2025</t>
  </si>
  <si>
    <t>TH001400000040</t>
  </si>
  <si>
    <t>Extracción de Banco 001400000040 Obs: 30-09-2025  Mov Lodge</t>
  </si>
  <si>
    <t>CAR - cuota setiembre fiat strada seguro sura</t>
  </si>
  <si>
    <t>000000000069</t>
  </si>
  <si>
    <t>CAR - lacteos y quesos Finesa setiembre</t>
  </si>
  <si>
    <t>CAR - bebidas setiembre Belater</t>
  </si>
  <si>
    <t>CAR - carnes setiembre Gourmeat</t>
  </si>
  <si>
    <t>CAR - combustible monitoreo patos Carmelo biologo Adrian Stagi</t>
  </si>
  <si>
    <t>CAR - DGI impuestos impositiva</t>
  </si>
  <si>
    <t>CAR - cuota setiembre seguro sura  hyundai</t>
  </si>
  <si>
    <t>TH001400000041</t>
  </si>
  <si>
    <t>Extracción de Banco 001400000041 Obs: 30-09-2025  Mov Lodge</t>
  </si>
  <si>
    <t>000000000070</t>
  </si>
  <si>
    <t>CAR - monitoreo de patos Biologo Adrian Stagi dias en Carmelo</t>
  </si>
  <si>
    <t>TH001400000054</t>
  </si>
  <si>
    <t>Extracción de Banco 001400000054 Obs: 12-10-2025  Mov Lodge</t>
  </si>
  <si>
    <t>000000000074</t>
  </si>
  <si>
    <t>CAR - bb set 2 octavio rodriguez</t>
  </si>
  <si>
    <t>CAR - dias sueldo carmelo setiembre Felipe Olivera</t>
  </si>
  <si>
    <t>CAR - combustimble setiembre servicios carmelo</t>
  </si>
  <si>
    <t>CAR - sueldo setiembre carrato</t>
  </si>
  <si>
    <t>CAR - bb set 2 brandon maidana</t>
  </si>
  <si>
    <t>CAR - sueldo setiembre  Pablo Gadea</t>
  </si>
  <si>
    <t>CAR - bb set 2 nahuel martinez</t>
  </si>
  <si>
    <t>CAR - sp setiembre Juan Long</t>
  </si>
  <si>
    <t>CAR - Ute electricidad agosto casa staff</t>
  </si>
  <si>
    <t>CAR - bb set 2 julian rodriguez</t>
  </si>
  <si>
    <t>CAR - certificado notarial coto de torcaza Carolina Ameglio</t>
  </si>
  <si>
    <t>CAR - sueldo setiembre paloma Marchetti</t>
  </si>
  <si>
    <t>CAR - sueldo setiembre Stephany Shur</t>
  </si>
  <si>
    <t>CAR - sueldo setiembre Yuliana Gonzalez</t>
  </si>
  <si>
    <t>CAR - bb set 2 ramiro martinez</t>
  </si>
  <si>
    <t>CAR - monitoreo carmelo patos guia pablo segovia</t>
  </si>
  <si>
    <t>CAR - bb set 2 Marcelo Martinez</t>
  </si>
  <si>
    <t>CAR - sueldo setiembre Valeria Olmedo</t>
  </si>
  <si>
    <t>CAR - Ute electricidad setiembre Casa staff</t>
  </si>
  <si>
    <t>CAR - bb set 2 enzo rodriguez pulero</t>
  </si>
  <si>
    <t>CAR - bps e iva Juan Long setiembre</t>
  </si>
  <si>
    <t>CAR - monitoreo patos guia juan long</t>
  </si>
  <si>
    <t>CAR - monitoreo patos Carmelo Felipe Olivera</t>
  </si>
  <si>
    <t>TH001400000056</t>
  </si>
  <si>
    <t>Extracción de Banco 001400000056 Obs: 12-10-2025  Mov Lodge</t>
  </si>
  <si>
    <t>CAR - abogada juicio Carolina Rebagliatti</t>
  </si>
  <si>
    <t>000000000075</t>
  </si>
  <si>
    <t>CAR - mejoras inmuebles</t>
  </si>
  <si>
    <t>CAR - hospedaje pablo segovia Carmelo</t>
  </si>
  <si>
    <t>CAR - debi comision bancaria OFICINA</t>
  </si>
  <si>
    <t>CAR - alquiler camioneta monitoreo patos Pablo segovia</t>
  </si>
  <si>
    <t>CAR - traslados setiembre El Fortete</t>
  </si>
  <si>
    <t>CAR - sueldo setiembre Valentino Magnani</t>
  </si>
  <si>
    <t>CAR - SP setiembre sofi Barran</t>
  </si>
  <si>
    <t>CAR - SP setiembre Tatiana Ribas</t>
  </si>
  <si>
    <t>"CA.DU38- 25/26- Andrew Crabill</t>
  </si>
  <si>
    <t>TI001400000039</t>
  </si>
  <si>
    <t>Ingreso a Caja 001400000039 Obs: 30-09-2025  Mov Lodge</t>
  </si>
  <si>
    <t>CAR - Caja Lodge envio desde Buenos Aires.</t>
  </si>
  <si>
    <t>000000000079</t>
  </si>
  <si>
    <t>CA.DU31 -25/26-Rocklan Lawrene -CMSW 09-2025- Pago por MTP</t>
  </si>
  <si>
    <t>CA.DU34 -25/26-Kelly Nieuwoudt -CMSW 09-2025- Pago por MTP</t>
  </si>
  <si>
    <t>CA.DU35 -25/26-Matthew Ricky Fordham -CMSW 09-2025- Pago por MTP</t>
  </si>
  <si>
    <t>CA.DU35 -25/26-Jason Maloy -CMSW 09-2025- Pago por MTP</t>
  </si>
  <si>
    <t>CA.DU3 -26/27-James Powell -CMSW 09-2025- Pago por MTP - Compart con DEL1</t>
  </si>
  <si>
    <t>CAR11- 25/26- Rob hibbert - ValleySW- ACH CREDIT IAT CMPY ID: 1832188652 Robert Hibbert PAYMENTS 250</t>
  </si>
  <si>
    <t>CAR11- 25/26- Rob hibbert (Pago por nick Peake) - ValleySW- ACH CREDIT IAT CMPY ID: 1832188652 Rober</t>
  </si>
  <si>
    <t>CAR- Traspaso Art Shop SJ a Carmelo Vs Artículos email Mari Cappi 3-10-25</t>
  </si>
  <si>
    <t>CA.DU39- 25/26- Michael Bailey - ValleySW- WIRE IN GFT 202509250013876 MICHAEL BAILEY  URUGUAY TRIP</t>
  </si>
  <si>
    <t>CA.DU23 -25/26-David Baird -CMSW 09-2025- Pago por MTP</t>
  </si>
  <si>
    <t>CA.DU27 -25/26-Kristi Crawford -CMSW 09-2025- Pago por MTP - Comparte con DEL24</t>
  </si>
  <si>
    <t>CA.DU27 -25/26-Ceci Crawford -CMSW 09-2025- Pago por MTP - Comparte con DEL24</t>
  </si>
  <si>
    <t>TI001400000051</t>
  </si>
  <si>
    <t>Ingreso a Caja 001400000051 Obs: Movimiento_Cajas_Bancos_Semana 25-26 al 03-10-2025</t>
  </si>
  <si>
    <t>000000000081</t>
  </si>
  <si>
    <t>CAR.3- Bryan Mcknight Carr Iv Extras 25-26 - ID 40700 -EXtras 25/26- -CMSW 09-2025-</t>
  </si>
  <si>
    <t>CAR.3- Kendric Bradley Extras 25-26 - ID 40699 -EXtras 25/26- -CMSW 09-2025-</t>
  </si>
  <si>
    <t>CAR.3- Justin Allred Extras 25-26 - ID 37449 -EXtras 25/26- -CMSW 09-2025-</t>
  </si>
  <si>
    <t>CA.DU19-Shane Moffett-Extras 25-26-ID-40100 -EXtras 25/26- -CMSW 09-2025-</t>
  </si>
  <si>
    <t>CAR.3- Jeff Goodman Extras 25-26 - ID 35352 -EXtras 25/26- -CMSW 09-2025-</t>
  </si>
  <si>
    <t>CAR.3- Jody Lanier Extras 25-26 - ID 37450 -EXtras 25/26- -CMSW 09-2025-</t>
  </si>
  <si>
    <t>TI001400000053</t>
  </si>
  <si>
    <t>Ingreso a Caja 001400000053 Obs: Movimiento_Cajas_Bancos_Semana 25-26 al 10-10-2025</t>
  </si>
  <si>
    <t>CA.DU30- 25/26- Blaine Riley - ValleySW- WIRE IN GFT 202509290015548 INTERNATIONAL MONE TARY DAVID D</t>
  </si>
  <si>
    <t>000000000082</t>
  </si>
  <si>
    <t>VR000000000931</t>
  </si>
  <si>
    <t>Asiento de COBRANZAS (01/09/2025 - 31/08/2026)</t>
  </si>
  <si>
    <t>Recibo: 000000000931Cliente: MT00938 Obs: 30-09-2025_COBRAZAS_CLIENTES</t>
  </si>
  <si>
    <t>000000000083</t>
  </si>
  <si>
    <t>VR000000000932</t>
  </si>
  <si>
    <t>Recibo: 000000000932Cliente: MT40100 Obs: 30-09-2025_COBRAZAS_CLIENTES</t>
  </si>
  <si>
    <t>000000000084</t>
  </si>
  <si>
    <t>VR000000000933</t>
  </si>
  <si>
    <t>Recibo: 000000000933Cliente: MT40215 Obs: 30-09-2025_COBRAZAS_CLIENTES</t>
  </si>
  <si>
    <t>000000000085</t>
  </si>
  <si>
    <t>VR000000000934</t>
  </si>
  <si>
    <t>Recibo: 000000000934Cliente: MT36619 Obs: 30-09-2025_COBRAZAS_CLIENTES</t>
  </si>
  <si>
    <t>000000000086</t>
  </si>
  <si>
    <t>VR000000001235</t>
  </si>
  <si>
    <t>Recibo: 000000001235Cliente: MT40216 Obs: CA.DU1- Kimberly Ellis-Extras 25-26-ID-40216 + James Ellis-Extras 25-26-ID-40215 -EXtras 25/26- -CMS</t>
  </si>
  <si>
    <t>000000000087</t>
  </si>
  <si>
    <t>VR000000001236</t>
  </si>
  <si>
    <t>Recibo: 000000001236Cliente: MT40215 Obs: CA.DU1- Kimberly Ellis-Extras 25-26-ID-40216 + James Ellis-Extras 25-26-ID-40215 -EXtras 25/26- -CMS</t>
  </si>
  <si>
    <t>000000000088</t>
  </si>
  <si>
    <t>VR000000001237</t>
  </si>
  <si>
    <t>Recibo: 000000001237Cliente: MT40099 Obs: CA.DU19-Scott Ellis Hargraves-Extras 25-26-ID-40099 + Stephan Straiton Hargraves-Extras 25-26-ID-408</t>
  </si>
  <si>
    <t>000000000089</t>
  </si>
  <si>
    <t>VR000000001238</t>
  </si>
  <si>
    <t>Recibo: 000000001238Cliente: MT40830 Obs: CA.DU19-Scott Ellis Hargraves-Extras 25-26-ID-40099 + Stephan Straiton Hargraves-Extras 25-26-ID-408</t>
  </si>
  <si>
    <t>000000000090</t>
  </si>
  <si>
    <t>VR000000001239</t>
  </si>
  <si>
    <t>Recibo: 000000001239Cliente: MT40100 Obs: CA.DU19-Shane Moffett-Extras 25-26-ID-40100 -EXtras 25/26- -CMSW 09-2025-</t>
  </si>
  <si>
    <t>000000000091</t>
  </si>
  <si>
    <t>VR000000001240</t>
  </si>
  <si>
    <t>Recibo: 000000001240Cliente: MT40192 Obs: CA.DU1-Jennifer Carter-Extras 25-26-ID-40192 + Christopher Carter-Extras 25-26-ID-36619 -EXtras 25/2</t>
  </si>
  <si>
    <t>000000000092</t>
  </si>
  <si>
    <t>VR000000001241</t>
  </si>
  <si>
    <t>Recibo: 000000001241Cliente: MT36619 Obs: CA.DU1-Jennifer Carter-Extras 25-26-ID-40192 + Christopher Carter-Extras 25-26-ID-36619 -EXtras 25/2</t>
  </si>
  <si>
    <t>000000000093</t>
  </si>
  <si>
    <t>VR000000001242</t>
  </si>
  <si>
    <t>Recibo: 000000001242Cliente: MT40700 Obs: CAR.3- Bryan Mcknight Carr Iv Extras 25-26 - ID 40700 -EXtras 25/26- -CMSW 09-2025-</t>
  </si>
  <si>
    <t>000000000094</t>
  </si>
  <si>
    <t>VR000000001243</t>
  </si>
  <si>
    <t>Recibo: 000000001243Cliente: MT35352 Obs: CAR.3- Jeff Goodman Extras 25-26 - ID 35352 -EXtras 25/26- -CMSW 09-2025-</t>
  </si>
  <si>
    <t>000000000095</t>
  </si>
  <si>
    <t>VR000000001244</t>
  </si>
  <si>
    <t>Recibo: 000000001244Cliente: MT37450 Obs: CAR.3- Jody Lanier Extras 25-26 - ID 37450 -EXtras 25/26- -CMSW 09-2025-</t>
  </si>
  <si>
    <t>000000000096</t>
  </si>
  <si>
    <t>VR000000001245</t>
  </si>
  <si>
    <t>Recibo: 000000001245Cliente: MT37449 Obs: CAR.3- Justin Allred Extras 25-26 - ID 37449 -EXtras 25/26- -CMSW 09-2025-</t>
  </si>
  <si>
    <t>000000000097</t>
  </si>
  <si>
    <t>VR000000001246</t>
  </si>
  <si>
    <t>Recibo: 000000001246Cliente: MT40699 Obs: CAR.3- Kendric Bradley Extras 25-26 - ID 40699 -EXtras 25/26- -CMSW 09-2025-</t>
  </si>
  <si>
    <t>000000000098</t>
  </si>
  <si>
    <t>VF000000000904B</t>
  </si>
  <si>
    <t>Asiento de VENTAS (01/09/2025 - 31/08/2026)</t>
  </si>
  <si>
    <t>F B 000000000904</t>
  </si>
  <si>
    <t>Ref. nota de Venta: CA.DU1
Obs.:30-09-2025_CLIENTES</t>
  </si>
  <si>
    <t>000000000099</t>
  </si>
  <si>
    <t>VF000000000905B</t>
  </si>
  <si>
    <t>F B 000000000905</t>
  </si>
  <si>
    <t>000000000100</t>
  </si>
  <si>
    <t>VF000000000906B</t>
  </si>
  <si>
    <t>F B 000000000906</t>
  </si>
  <si>
    <t>000000000101</t>
  </si>
  <si>
    <t>VF000000000907B</t>
  </si>
  <si>
    <t>F B 000000000907</t>
  </si>
  <si>
    <t>000000000102</t>
  </si>
  <si>
    <t>VF000000000908B</t>
  </si>
  <si>
    <t>F B 000000000908</t>
  </si>
  <si>
    <t>Ref. nota de Venta: CA.DU19
Obs.:30-09-2025_CLIENTES</t>
  </si>
  <si>
    <t>000000000103</t>
  </si>
  <si>
    <t>VF000000000909B</t>
  </si>
  <si>
    <t>F B 000000000909</t>
  </si>
  <si>
    <t>000000000104</t>
  </si>
  <si>
    <t>VF000000000910B</t>
  </si>
  <si>
    <t>F B 000000000910</t>
  </si>
  <si>
    <t>000000000105</t>
  </si>
  <si>
    <t>VF000000000930B</t>
  </si>
  <si>
    <t>F B 000000000930</t>
  </si>
  <si>
    <t>Ref. nota de Venta: CAR.12
Obs.:30-09-2025_CLIENTES</t>
  </si>
  <si>
    <t>000000000106</t>
  </si>
  <si>
    <t>TH001400000067</t>
  </si>
  <si>
    <t>Extracción de Banco 001400000067 Obs: 19-10-2025  Mov Lodge</t>
  </si>
  <si>
    <t>000000000110</t>
  </si>
  <si>
    <t>CAR - Completa pago biologo coordinador Martin buschiazzo</t>
  </si>
  <si>
    <t>TH001400000071</t>
  </si>
  <si>
    <t>Extracción de Banco 001400000071 Obs: 19-10-2025  Mov Lodge</t>
  </si>
  <si>
    <t>000000000113</t>
  </si>
  <si>
    <t>CAR - blinds caza nuevos Pablo Gadea</t>
  </si>
  <si>
    <t>CAR - tractor por camioneta empantanada</t>
  </si>
  <si>
    <t>CAR - combustible gasoil Long</t>
  </si>
  <si>
    <t>CAR - lampara cambio bombilla camioneta</t>
  </si>
  <si>
    <t>CAR - carpeta para tramites  firmas campos Long</t>
  </si>
  <si>
    <t>CAR - seguros sura Hyundai octubre</t>
  </si>
  <si>
    <t>CAR - reembolso combustible master Valentino Magnani</t>
  </si>
  <si>
    <t>CAR - saldo viaticos pasajes Martin Buschiazzo</t>
  </si>
  <si>
    <t>CAR - mantenimientos equipos caza cintas etc</t>
  </si>
  <si>
    <t>CAR - seguros sura Fiat Octubre</t>
  </si>
  <si>
    <t>CAR11- 25/26- Stephen Campbell - ValleySW- WIRE IN GFT 202510060002027 1/STEPHEN CAMPBELL  SK CAMPBE</t>
  </si>
  <si>
    <t>CA.DU37 - brett Sires - ValleySW- WIRE IN GFT 202509260012977 SEA ISLAND LAND DE VELOPMENT LLC /PURP</t>
  </si>
  <si>
    <t>CAR15- 25/26- Kim Jay Moore - ValleySW- WIRE IN GFT 202510150026778 KIM JAY MOORE  OTHER-PAYMENT FOR</t>
  </si>
  <si>
    <t>CAR10- 25/26- Frontiers (KT $ 11.495,00 - NT $ 7.200,00 + FFDOS $ 28.742,26)   Total $ 47.437,26</t>
  </si>
  <si>
    <t>CAR15- 25/26- Frank Cash - ValleySW- WIRE IN GFT 202510080006534 SILAS E RAGSDALE  FOR THE ACCOUNT O</t>
  </si>
  <si>
    <t>CAR15- 25/26- ValleySW- WIRE IN GFT 202510080005363 SILAS E RAGSDALE  FOR CREDIT TO SILA S E RAGSDAL</t>
  </si>
  <si>
    <t>CAR17- 25/26- Tom Bonner - ValleySW- ACH CREDIT IAT CMPY ID: 1832188652 Robert Byng PAYMENTS 251009</t>
  </si>
  <si>
    <t>CAR16- 25/26- Michael Paul - ValleySW- WIRE IN GFT 202510020002169 MICHAEL J PAUL OR TAMMY M PAUL</t>
  </si>
  <si>
    <t>CA.DU18- James Plumhoff - Check #3680 $3,210 --- comparte con DEL18 - ValleySW- 31 Checks $ 180.738,</t>
  </si>
  <si>
    <t>CAR22- 25/26- Erin East - # 5274 - ValleySW- 12 Checks $ 70.435,30 -09-10-2025</t>
  </si>
  <si>
    <t>CAR16- 25/26- Monica Chiel - ValleySW- WIRE IN GFT 202510020017247 MONICA SCHIEL  MBNYUS33 /PURP/PER</t>
  </si>
  <si>
    <t>CA.DU40- 25/26- Andrew Anderson - # 155 $ 5.440,00 Comparte con DEL45 - ValleySW- 31 Checks $ 180.73</t>
  </si>
  <si>
    <t>20/10/2025</t>
  </si>
  <si>
    <t>TA001400000085</t>
  </si>
  <si>
    <t>Canje de Valores 001400000085 Obs: CAR - Traspaso de Usd a $</t>
  </si>
  <si>
    <t>000000000115</t>
  </si>
  <si>
    <t>4111</t>
  </si>
  <si>
    <t>Ventas Extras - Permisos Caza</t>
  </si>
  <si>
    <t>CAR- Ajuste Licencias Grupo FDLC</t>
  </si>
  <si>
    <t>CAR- Ajuste Cartuchos Grupo FDLC</t>
  </si>
  <si>
    <t>CAR- Ajuste Masajes Grupo FDLC</t>
  </si>
  <si>
    <t>TE001400000076</t>
  </si>
  <si>
    <t>Extracción de Caja 001400000076 Obs: 26-10-2025  Mov Lodge</t>
  </si>
  <si>
    <t>CAR - Suoermercado los balla mercaderia lodge</t>
  </si>
  <si>
    <t>000000000119</t>
  </si>
  <si>
    <t>CAR - Bidones de agua lodge</t>
  </si>
  <si>
    <t>CAR - Nafta para camioneta lodge  y bidon para tractor</t>
  </si>
  <si>
    <t>CAR - Nafta camioneta lodge</t>
  </si>
  <si>
    <t>CAR - Leña lodge</t>
  </si>
  <si>
    <t>CAR - Bidones de agua lodge y field</t>
  </si>
  <si>
    <t>CAR - Bolsas de hielo</t>
  </si>
  <si>
    <t>CAR - Compra de 3 camaras ip para control vigilancia</t>
  </si>
  <si>
    <t>CAR - Copia de llave hab 7</t>
  </si>
  <si>
    <t>CAR - Gasto vivero abono y fertilizante</t>
  </si>
  <si>
    <t>CAR - Pintura</t>
  </si>
  <si>
    <t>CAR - Pago pir viajes de rwmocion de escombros obra lodge</t>
  </si>
  <si>
    <t>CAR - Papeleria y art descartables cocina</t>
  </si>
  <si>
    <t>CAR - Carnes lodge</t>
  </si>
  <si>
    <t>CAR - Compra Carniceria lodge</t>
  </si>
  <si>
    <t>CAR - HIELO.PARA LODGE Y FIELD 15 bolsas</t>
  </si>
  <si>
    <t>CAR - Super tata mercaderia staff empleados</t>
  </si>
  <si>
    <t>CAR - Refuerzo carniceria ultimo grupo</t>
  </si>
  <si>
    <t>CAR - Especias cocina almacen rg</t>
  </si>
  <si>
    <t>CAR - Los Balla mercaderias lodge</t>
  </si>
  <si>
    <t>CAR - Gourmeat carne premiun lodge</t>
  </si>
  <si>
    <t>CAR - Carniceria centro carnes lodge</t>
  </si>
  <si>
    <t>CAR - Masa de tartas  mama paloma</t>
  </si>
  <si>
    <t>CAR - Glucosa para Helados</t>
  </si>
  <si>
    <t>"CAR - Mapm</t>
  </si>
  <si>
    <t>CAR - Los Ballas mercaderia lodge</t>
  </si>
  <si>
    <t>CAR - Pescaderia Carrito  pescados para menu lodge</t>
  </si>
  <si>
    <t>CAR - Nafta generador</t>
  </si>
  <si>
    <t>CAR - Pago a jardinero washington 2 quincenas de Octubre</t>
  </si>
  <si>
    <t>CAR - Inspeccion SMA grupo Marcell</t>
  </si>
  <si>
    <t>CAR - Pago analisis  internacion pax Spoo er cobrados en i voice</t>
  </si>
  <si>
    <t>CAR - Pago estudios medicos pax Spooner cobrados en i vouce</t>
  </si>
  <si>
    <t>CAR - Pago envio encomienda missing luggage desde MDV pax Haydon Stanley co rado en invoice usd 15</t>
  </si>
  <si>
    <t>CAR - Candadoa para gun case cliente cobrados en invoice</t>
  </si>
  <si>
    <t>CAR - Pago de estudios medicis pax spooner cobrados en invoice</t>
  </si>
  <si>
    <t>CAR - Pago a masajista por 5 masajes realizados a grupo Barbour</t>
  </si>
  <si>
    <t>CAR - Pago tips septiembre  stefania Housekeepi g</t>
  </si>
  <si>
    <t>CAR - Pago de tios septiembre Valeria olmedo Housekeeping</t>
  </si>
  <si>
    <t>CAR - Pago tips septiembre Sabrina Sous cheff</t>
  </si>
  <si>
    <t>CAR - Tips cheff Rafael anzola</t>
  </si>
  <si>
    <t>CAR - Pago tips septiembre a Santiago de Mantenimiento</t>
  </si>
  <si>
    <t>CAR - Pago de tips septiembre yuliana Gonzales Camarera</t>
  </si>
  <si>
    <t>CAR - Pago de tips septiembre paloma Marchetti Housekeeping</t>
  </si>
  <si>
    <t>TH001400000077</t>
  </si>
  <si>
    <t>Extracción de Banco 001400000077 Obs: 26-10-2025  Mov Lodge</t>
  </si>
  <si>
    <t>000000000120</t>
  </si>
  <si>
    <t>CAR - tip set Santi carrato</t>
  </si>
  <si>
    <t>CAR - entrada campo set daniel palomares</t>
  </si>
  <si>
    <t>CAR - entrada campo set Alcira Cornu</t>
  </si>
  <si>
    <t>CAR - tip set valentino magnani</t>
  </si>
  <si>
    <t>CAR - bolsas poliuretano long</t>
  </si>
  <si>
    <t>CAR - tip set pablo gadea</t>
  </si>
  <si>
    <t>CAR - deb banco</t>
  </si>
  <si>
    <t>CAR - reembolos pago campos set Long</t>
  </si>
  <si>
    <t>CAR - entrada campo set bianchi</t>
  </si>
  <si>
    <t>CAR - hoorarios set Mati Vila Permisos</t>
  </si>
  <si>
    <t>CAR - tip setiembre juan long</t>
  </si>
  <si>
    <t>TH001400000080</t>
  </si>
  <si>
    <t>Extracción de Banco 001400000080 Obs: 26-10-2025  Mov Lodge</t>
  </si>
  <si>
    <t>CAR - permisos setiembre mati vila</t>
  </si>
  <si>
    <t>000000000123</t>
  </si>
  <si>
    <t>CAR - reembolso nafta viaje Santi carrato Montevideo</t>
  </si>
  <si>
    <t>CAR - encomienda permiso firmas padrones campos long</t>
  </si>
  <si>
    <t>CAR - reembolso pablo gadea por billetes dolares en mal estado</t>
  </si>
  <si>
    <t>CR16- 25/26- Dan Helfin - #1130 - ValleySW- 21 Checks $ 91.169,00 -16-10-2025</t>
  </si>
  <si>
    <t>CAR12- Cobro TA- Div Extras FDLC Estadía</t>
  </si>
  <si>
    <t>CAR15- 25/26- ValleySW- ACH CREDIT CIE CMPY ID: T941687665 GARNETT BROOKS SENDER 819869338 Tabor Bro</t>
  </si>
  <si>
    <t>CAR17- 25/26- Federico Mattei - ValleySW- WIRE IN INTL GFT 202510200002460 MARGHERITA GALLETT I CARM</t>
  </si>
  <si>
    <t>CAR17- 25/26- Patrcik Stead - ValleySW- WIRE IN INTL GFT 202510160011184 PATRICK J STEAD US D PAT ST</t>
  </si>
  <si>
    <t>CAR11- 25/26- Geof williams - ValleySW- WIRE IN INTL GFT 202510160005233 G. WILLIAMS + CO. (GRAIN) L</t>
  </si>
  <si>
    <t>21/10/2025</t>
  </si>
  <si>
    <t>TI001400000075</t>
  </si>
  <si>
    <t>Ingreso a Caja 001400000075 Obs: CAR - Entrega de caja  en cash que tenia Santiago de Mantenimiento</t>
  </si>
  <si>
    <t>CAR - Entrega de caja  en cash que tenia Santiago de Mantenimiento</t>
  </si>
  <si>
    <t>000000000127</t>
  </si>
  <si>
    <t>24/09/2025</t>
  </si>
  <si>
    <t>VR000000001567</t>
  </si>
  <si>
    <t>Recibo: 000000001567Cliente: MT00938 Obs: CAR12- Cobro TA- Div Extras FDLC Extras</t>
  </si>
  <si>
    <t>000000000128</t>
  </si>
  <si>
    <t>VR000000001655</t>
  </si>
  <si>
    <t>Recibo: 000000001655Cliente: MT41188 Obs: Cobranza</t>
  </si>
  <si>
    <t>000000000129</t>
  </si>
  <si>
    <t>VR000000001656</t>
  </si>
  <si>
    <t>Recibo: 000000001656Cliente: MT38272 Obs: 26-10-2025_COBRANZAS_CLIENTES</t>
  </si>
  <si>
    <t>000000000130</t>
  </si>
  <si>
    <t>VR000000001657</t>
  </si>
  <si>
    <t>Recibo: 000000001657Cliente: MT40833 Obs: 26-10-2025_COBRANZAS_CLIENTES</t>
  </si>
  <si>
    <t>000000000131</t>
  </si>
  <si>
    <t>VR000000001658</t>
  </si>
  <si>
    <t>Recibo: 000000001658Cliente: MT40832 Obs: 26-10-2025_COBRANZAS_CLIENTES</t>
  </si>
  <si>
    <t>000000000132</t>
  </si>
  <si>
    <t>VR000000001659</t>
  </si>
  <si>
    <t>Recibo: 000000001659Cliente: MT40831 Obs: 26-10-2025_COBRANZAS_CLIENTES</t>
  </si>
  <si>
    <t>000000000133</t>
  </si>
  <si>
    <t>VR000000001660</t>
  </si>
  <si>
    <t>Recibo: 000000001660Cliente: MT39929 Obs: 26-10-2025_COBRANZAS_CLIENTES</t>
  </si>
  <si>
    <t>000000000134</t>
  </si>
  <si>
    <t>VR000000001661</t>
  </si>
  <si>
    <t>Recibo: 000000001661Cliente: MT40368 Obs: 26-10-2025_COBRANZAS_CLIENTES</t>
  </si>
  <si>
    <t>000000000135</t>
  </si>
  <si>
    <t>VR000000001662</t>
  </si>
  <si>
    <t>Recibo: 000000001662Cliente: MT40826 Obs: 26-10-2025_COBRANZAS_CLIENTES</t>
  </si>
  <si>
    <t>000000000136</t>
  </si>
  <si>
    <t>VF000000001569B</t>
  </si>
  <si>
    <t>F B 000000001569</t>
  </si>
  <si>
    <t>Ref. nota de Venta: CA.DU14
Obs.:26-10-2025_CLIENTES</t>
  </si>
  <si>
    <t>000000000137</t>
  </si>
  <si>
    <t>4122</t>
  </si>
  <si>
    <t>Ingreso Licencias Armas</t>
  </si>
  <si>
    <t>VF000000001570B</t>
  </si>
  <si>
    <t>F B 000000001570</t>
  </si>
  <si>
    <t>000000000138</t>
  </si>
  <si>
    <t>VF000000001571B</t>
  </si>
  <si>
    <t>F B 000000001571</t>
  </si>
  <si>
    <t>000000000139</t>
  </si>
  <si>
    <t>VF000000001572B</t>
  </si>
  <si>
    <t>F B 000000001572</t>
  </si>
  <si>
    <t>000000000140</t>
  </si>
  <si>
    <t>VF000000001573B</t>
  </si>
  <si>
    <t>F B 000000001573</t>
  </si>
  <si>
    <t>Ref. nota de Venta: CA.DU2
Obs.:26-10-2025_CLIENTES</t>
  </si>
  <si>
    <t>000000000141</t>
  </si>
  <si>
    <t>VF000000001574B</t>
  </si>
  <si>
    <t>F B 000000001574</t>
  </si>
  <si>
    <t>000000000142</t>
  </si>
  <si>
    <t>VF000000001575B</t>
  </si>
  <si>
    <t>F B 000000001575</t>
  </si>
  <si>
    <t>000000000143</t>
  </si>
  <si>
    <t>VF000000001576B</t>
  </si>
  <si>
    <t>F B 000000001576</t>
  </si>
  <si>
    <t>Ref. nota de Venta: CA.DU25
Obs.:26-10-2025_CLIENTES</t>
  </si>
  <si>
    <t>000000000144</t>
  </si>
  <si>
    <t>VF000000001577B</t>
  </si>
  <si>
    <t>F B 000000001577</t>
  </si>
  <si>
    <t>Ref. nota de Venta: CA.DU30
Obs.:26-10-2025_CLIENTES</t>
  </si>
  <si>
    <t>000000000145</t>
  </si>
  <si>
    <t>VF000000001578B</t>
  </si>
  <si>
    <t>F B 000000001578</t>
  </si>
  <si>
    <t>000000000146</t>
  </si>
  <si>
    <t>VF000000001579B</t>
  </si>
  <si>
    <t>F B 000000001579</t>
  </si>
  <si>
    <t>000000000147</t>
  </si>
  <si>
    <t>debi comi banco</t>
  </si>
  <si>
    <t>combustible monitoreo patos Carmelo biologo Adrian Stagi</t>
  </si>
  <si>
    <t>monitoreo de patos Biologo Adrian Stagi dias en Carmelo</t>
  </si>
  <si>
    <t>22/10/2025</t>
  </si>
  <si>
    <t>AJUSTE PROPINAS A REMUNERACIONES SERVICIOS</t>
  </si>
  <si>
    <t>Pago de tips septiembre paloma Marchetti Housekeeping</t>
  </si>
  <si>
    <t>000000000149</t>
  </si>
  <si>
    <t>Pago de tips septiembre yuliana Gonzales Camarera</t>
  </si>
  <si>
    <t>Pago de tios septiembre Valeria olmedo Housekeeping</t>
  </si>
  <si>
    <t>Pago tips septiembre  stefania Housekeepi g</t>
  </si>
  <si>
    <t>Pago tips septiembre Sabrina Sous cheff</t>
  </si>
  <si>
    <t>Pago tips septiembre a Santiago de Mantenimiento</t>
  </si>
  <si>
    <t>Tips cheff Rafael anzola</t>
  </si>
  <si>
    <t>03/11/2025</t>
  </si>
  <si>
    <t>TA001400000108</t>
  </si>
  <si>
    <t>Canje de Valores 001400000108 Obs: CAR - Traspaso de Usd a $</t>
  </si>
  <si>
    <t>000000000151</t>
  </si>
  <si>
    <t>TA001400000109</t>
  </si>
  <si>
    <t>Canje de Valores 001400000109 Obs: CAR - TRaspaso a $</t>
  </si>
  <si>
    <t>000000000152</t>
  </si>
  <si>
    <t>TA001400000110</t>
  </si>
  <si>
    <t>Canje de Valores 001400000110 Obs: CAR - TRaspaso a $</t>
  </si>
  <si>
    <t>000000000153</t>
  </si>
  <si>
    <t>TA001400000111</t>
  </si>
  <si>
    <t>Canje de Valores 001400000111 Obs: CAR - TRaspaso a $</t>
  </si>
  <si>
    <t>000000000154</t>
  </si>
  <si>
    <t>TA001400000112</t>
  </si>
  <si>
    <t>Canje de Valores 001400000112 Obs: CAR - TRaspaso a $</t>
  </si>
  <si>
    <t>000000000155</t>
  </si>
  <si>
    <t>27/10/2025</t>
  </si>
  <si>
    <t>TD001400000097</t>
  </si>
  <si>
    <t>Depósito a Banco 001400000097 Obs: CAR - Recupero Mejoras inmuebles y terrenos</t>
  </si>
  <si>
    <t>000000000158</t>
  </si>
  <si>
    <t>TD001400000101</t>
  </si>
  <si>
    <t>Depósito a Banco 001400000101 Obs: 09-11-2025  Mov Lodge</t>
  </si>
  <si>
    <t>000000000159</t>
  </si>
  <si>
    <t>TD001400000104</t>
  </si>
  <si>
    <t>Depósito a Banco 001400000104 Obs: 09-11-2025  Mov Lodge</t>
  </si>
  <si>
    <t>000000000162</t>
  </si>
  <si>
    <t>CAR - sueldo octubre Yuliana Gonzales</t>
  </si>
  <si>
    <t>CAR - sueldo octubre Pablo Gadea</t>
  </si>
  <si>
    <t>CAR - sueldo octubre Valeria Olmedo</t>
  </si>
  <si>
    <t>CAR - sueldo octubre Felipe Olivera</t>
  </si>
  <si>
    <t>CAR - sueldo octubre stephany Suhr</t>
  </si>
  <si>
    <t>CAR - sueldo octubre Santiago Carrato</t>
  </si>
  <si>
    <t>CAR - combustible servicios carmelo octubre</t>
  </si>
  <si>
    <t>CAR - sueldo octubre Long</t>
  </si>
  <si>
    <t>CAR - iva y bps Long</t>
  </si>
  <si>
    <t>CAR - servicios personales e iva Octubre Caro HOrta</t>
  </si>
  <si>
    <t>CAR - bb octubre 2 marcelo martinez</t>
  </si>
  <si>
    <t>CAR - cuero para arreglo asientos caza Marcos Polero</t>
  </si>
  <si>
    <t>CAR - bb octubre 1 Ramiro Martinez</t>
  </si>
  <si>
    <t>CAR - cuerdas cintas  bolsas arreglos equipos field Long</t>
  </si>
  <si>
    <t>CAR - bb octubre 2 nahuel martinez</t>
  </si>
  <si>
    <t>CAR - bb octubre 2  Enzo rodriguez pulero</t>
  </si>
  <si>
    <t>CAR - bps  cargas sociales caro horta</t>
  </si>
  <si>
    <t>CAR - bb octubre 1 brandon maidana</t>
  </si>
  <si>
    <t>CAR - accidentes trabajo seguro BSE</t>
  </si>
  <si>
    <t>CAR - bb octubre 2 edgardo martinez</t>
  </si>
  <si>
    <t>CAR - sueldo octubre Paloma Marchetti</t>
  </si>
  <si>
    <t>CAR - comida almacen, comida viajes y comida cordero fin de temporada Long</t>
  </si>
  <si>
    <t>CAR - deb comi comidas Long</t>
  </si>
  <si>
    <t>CAR - combustible reembolos Long</t>
  </si>
  <si>
    <t>CAR - nafta mes tramites y vueltas Caro Horta</t>
  </si>
  <si>
    <t>CAR - lacteos y quesos octubre Finesa</t>
  </si>
  <si>
    <t>CAR - belater bebidas octubre</t>
  </si>
  <si>
    <t>CAR - seguro trailer BSE cuota</t>
  </si>
  <si>
    <t>CAR - bb octubre 2 Julian Rodriguez</t>
  </si>
  <si>
    <t>CAR - bb octubre 2 octavio rodriguez</t>
  </si>
  <si>
    <t>CAR - PKF contadores</t>
  </si>
  <si>
    <t>TE001400000087</t>
  </si>
  <si>
    <t>Extracción de Caja 001400000087 Obs: Movimiento_Cajas_Bancos_Semana 25-26 al 31-10-2025</t>
  </si>
  <si>
    <t>000000000166</t>
  </si>
  <si>
    <t>TE001400000088</t>
  </si>
  <si>
    <t>Extracción de Caja 001400000088 Obs: Movimiento_Cajas_Bancos_Semana 25-26 al 31-10-2025</t>
  </si>
  <si>
    <t>CAR-Caja Lodge - Obra Cocina F.Fijo Oper. Al 31-10-2025</t>
  </si>
  <si>
    <t>000000000167</t>
  </si>
  <si>
    <t>CAR- ValleySW- CARMELO LODGE SAS - (San Juan Operating Needs - August)-</t>
  </si>
  <si>
    <t>TE001400000089</t>
  </si>
  <si>
    <t>Extracción de Caja 001400000089 Obs: Movimiento_Cajas_Bancos_Semana 25-26 al 31-10-2025</t>
  </si>
  <si>
    <t>CAR-Psicotécnicos Managers F.Fijo Oper. Al 31-10-2025</t>
  </si>
  <si>
    <t>000000000168</t>
  </si>
  <si>
    <t>CAR-Compra 2 Aplique Spot 1 Luz Dicroica Led Móvil Pared Techo Completo F.Fijo Oper. Al 31-10-2025</t>
  </si>
  <si>
    <t>TE001400000094</t>
  </si>
  <si>
    <t>Extracción de Caja 001400000094 Obs: 31-10-2025  Mov Lodge</t>
  </si>
  <si>
    <t>CAR - Pago de cta cte ferreteria la llave</t>
  </si>
  <si>
    <t>000000000169</t>
  </si>
  <si>
    <t>CAR - Compra de semillas y plantines fungicidas y art de huerta y mantenimiento de canteros</t>
  </si>
  <si>
    <t>Movilidad y Viat-Internacional</t>
  </si>
  <si>
    <t>CAR - Pago de viaticos out Valentino Magnani y Sabrina Machucha. Co.bustibles mas peajes</t>
  </si>
  <si>
    <t>CAR - Pago boleto ferry a rafael anzola Cheff</t>
  </si>
  <si>
    <t>CAR - Los ballas art de limpieza</t>
  </si>
  <si>
    <t>"CAR - Pago de viaticos in out Manager Eduardo Sartorelli</t>
  </si>
  <si>
    <t>CAR - Pago de verduleria pedido de ultimos 4 grupos</t>
  </si>
  <si>
    <t>TE001400000121</t>
  </si>
  <si>
    <t>Extracción de Caja 001400000121 Obs: Movimiento_Cajas_Bancos_Semana 25-26 al 07-11-2025</t>
  </si>
  <si>
    <t>CAR16 -25/26-Robert Paul -CMSW 10-2025- Pago por MTP-CC</t>
  </si>
  <si>
    <t>000000000170</t>
  </si>
  <si>
    <t>CAR1 -25/26-Niclas Palmstierna -CMSW 10-2025- Pago por MTP-CC</t>
  </si>
  <si>
    <t>CA.DU33 -25/26-Johnson Tree Experts  -CMSW 10-2025- Pago por MTP-CC</t>
  </si>
  <si>
    <t>CA.DU30 -25/26-Kent Moreaux -CMSW 10-2025- Pago por MTP-CC</t>
  </si>
  <si>
    <t>CA.DU25 - Charles Haydon Stanley, Ii Extras Lodge 25-26 - ID 40368 -EXtras 25/26- -CMSW 10-2025- -CC</t>
  </si>
  <si>
    <t>CA.DU27 -25/26-David Little -CMSW 10-2025- Pago por MTP - Comparte con DEL24-CC</t>
  </si>
  <si>
    <t>CA.DU2-Rosemary Ramirez Barbour-Extras 25-26-ID-38272 -EXtras 25/26- -CMSW 10-2025- -CC</t>
  </si>
  <si>
    <t>CA.DU14-Glenn Lee-Extras 25-26-ID-40831 -EXtras 25/26- -CMSW 10-2025- -CC</t>
  </si>
  <si>
    <t>CA.DU14-Ryan Lee-Extras 25-26-ID-39929 -EXtras 25/26- -CMSW 10-2025- -CC</t>
  </si>
  <si>
    <t>CA.DU2-Charles Allen Barbour Jr-Extras 25-26-ID-41189 -EXtras 25/26- -CMSW 10-2025- -CC</t>
  </si>
  <si>
    <t>CA.DU2-Katlyn Anthony Barbour-Extras 25-26-ID-41188 -EXtras 25/26- -CMSW 10-2025- -CC</t>
  </si>
  <si>
    <t>CA.DU30 - Blaine Riley - Extras Lodge 25-26 - ID 40841 -EXtras 25/26- -CMSW 10-2025- -CC</t>
  </si>
  <si>
    <t>CA.DU30 - Kent Moreaux Extras Lodge 25-26 - ID 40826 -EXtras 25/26- -CMSW 10-2025- -CC</t>
  </si>
  <si>
    <t>CA.DU30 - Thaddeus (Pete) Marcell Extras Lodge 25-26 - ID 41029 -EXtras 25/26- -CMSW 10-2025- -CC</t>
  </si>
  <si>
    <t>CA.DU14-Billy Shingler-Extras 25-26-ID-40833 -EXtras 25/26- -CMSW 10-2025- -CC</t>
  </si>
  <si>
    <t>CAR19 -25/26-Roland Jarlgaard -CMSW 10-2025- Paga vía MTP-CC</t>
  </si>
  <si>
    <t>CAR20 -25/26-Fred Hand -CMSW 10-2025- Pago por MTP-CC</t>
  </si>
  <si>
    <t>CAR18 -25/26-Robert Louis Blankenship -CMSW 10-2025- Pago por MTP-CC</t>
  </si>
  <si>
    <t>TH001400000091</t>
  </si>
  <si>
    <t>Extracción de Banco 001400000091 Obs: 31-10-2025  Mov Lodge</t>
  </si>
  <si>
    <t>CAR - bb octubre 1 enzo rodriguez</t>
  </si>
  <si>
    <t>000000000171</t>
  </si>
  <si>
    <t>CAR - bb octubre 1 octavio rodriguez</t>
  </si>
  <si>
    <t>CAR - bb octubre 1 edgardo martinez</t>
  </si>
  <si>
    <t>CAR - bps Barranwingshooting</t>
  </si>
  <si>
    <t>CAR - bb octubre 1 julian rodriguez</t>
  </si>
  <si>
    <t>TH001400000092</t>
  </si>
  <si>
    <t>Extracción de Banco 001400000092 Obs: 31-10-2025  Mov Lodge</t>
  </si>
  <si>
    <t>CAR - permisos carmelo octubre</t>
  </si>
  <si>
    <t>000000000172</t>
  </si>
  <si>
    <t>CAR - Bps Carmelo</t>
  </si>
  <si>
    <t>CAR - abogada Marotta juicio Carmelo</t>
  </si>
  <si>
    <t>TH001400000098</t>
  </si>
  <si>
    <t>Extracción de Banco 001400000098 Obs: 09-11-2025  Mov Lodge</t>
  </si>
  <si>
    <t>CAR - sp octubre sofi Barran</t>
  </si>
  <si>
    <t>000000000174</t>
  </si>
  <si>
    <t>CAR - sp octubre Tatiana Ribas</t>
  </si>
  <si>
    <t>5404</t>
  </si>
  <si>
    <t>Impuesto IIBB Administracion</t>
  </si>
  <si>
    <t>CAR - DGO carmelo</t>
  </si>
  <si>
    <t>CAR - deb comi banco por ingreso de Oficina</t>
  </si>
  <si>
    <t>CAR - sueldo octubre y tip octubre Valentino Magnani</t>
  </si>
  <si>
    <t>CAR - seguro trailer cuota</t>
  </si>
  <si>
    <t>CAR - nafta ida carmelo audiencia Sofi Barran</t>
  </si>
  <si>
    <t>CAR - despachante de aduanas armas</t>
  </si>
  <si>
    <t>TH001400000118</t>
  </si>
  <si>
    <t>Extracción de Banco 001400000118 Obs: Reversión de documento</t>
  </si>
  <si>
    <t>000000000181</t>
  </si>
  <si>
    <t>TH001400000119</t>
  </si>
  <si>
    <t>Extracción de Banco 001400000119 Obs: 09-11-2025  Mov Lodge</t>
  </si>
  <si>
    <t>000000000182</t>
  </si>
  <si>
    <t>TI001400000095</t>
  </si>
  <si>
    <t>Ingreso a Caja 001400000095 Obs: SHOP EDUARDO SARTORELLI</t>
  </si>
  <si>
    <t>000000000183</t>
  </si>
  <si>
    <t>TI001400000096</t>
  </si>
  <si>
    <t>Ingreso a Caja 001400000096 Obs: Movimiento_Cajas_Bancos_Semana 25-26 al 31-10-2025</t>
  </si>
  <si>
    <t>CAR17- 25/26- Patrick Stead - ValleySW- WIRE IN INTL GFT 202510280004006 PATRICK J STEAD US D PAT ST</t>
  </si>
  <si>
    <t>000000000184</t>
  </si>
  <si>
    <t>CAR15- 25/26- bobby Feather - ValleySW- 24 Checks $ 93.555,00 -22-10-2025</t>
  </si>
  <si>
    <t>CAR15- Kevin Dinnin - ValleySW- WIRE IN GFT 202510200023727 KEVIN C DINNIN</t>
  </si>
  <si>
    <t>CAR.DU36- 25/26- Mark Gibbs # 3258 - ValleySW- 24 Checks $ 93.555,00 -22-10-2025</t>
  </si>
  <si>
    <t>CA.DU41- 25/26- Stefan Stamoulis - ValleySW- 12 Checks $ 70.435,30 -09-10-2025</t>
  </si>
  <si>
    <t>CAR15- 25/26- George Cowden - ValleySW- 24 Checks $ 93.555,00 -22-10-2025</t>
  </si>
  <si>
    <t>CA.DU5- 26/27- Caleb Ellis - ValleySW- 5 Checks $ 23.902,50 -24-10-2025</t>
  </si>
  <si>
    <t>TI001400000107</t>
  </si>
  <si>
    <t>Ingreso a Caja 001400000107 Obs: 09-11-2025  Mov Lodge</t>
  </si>
  <si>
    <t>6103 - Dif de cambio al cierre por 15 usd</t>
  </si>
  <si>
    <t>000000000185</t>
  </si>
  <si>
    <t>TI001400000120</t>
  </si>
  <si>
    <t>Ingreso a Caja 001400000120 Obs: Movimiento_Cajas_Bancos_Semana 25-26 al 07-11-2025</t>
  </si>
  <si>
    <t>CAR1 -25/26-Niclas Palmstierna -CMSW 10-2025- Pago por MTP</t>
  </si>
  <si>
    <t>000000000186</t>
  </si>
  <si>
    <t>CAR15- 25/26- Wade Fox # 1425 - ValleySW- 16 Checks $ 62.185,00 -30-10-2025</t>
  </si>
  <si>
    <t>CAR19 -25/26-Roland Jarlgaard -CMSW 10-2025- Paga vía MTP</t>
  </si>
  <si>
    <t>CAR18 -25/26-Robert Louis Blankenship -CMSW 10-2025- Pago por MTP</t>
  </si>
  <si>
    <t>CA.DU33 -25/26-Johnson Tree Experts  -CMSW 10-2025- Pago por MTP</t>
  </si>
  <si>
    <t>CAR16 -25/26-Robert Paul -CMSW 10-2025- Pago por MTP</t>
  </si>
  <si>
    <t>CA.DU30 -25/26-Kent Moreaux -CMSW 10-2025- Pago por MTP</t>
  </si>
  <si>
    <t>CA.DU27 -25/26-David Little -CMSW 10-2025- Pago por MTP - Comparte con DEL24</t>
  </si>
  <si>
    <t>CAR20 -25/26-Fred Hand -CMSW 10-2025- Pago por MTP</t>
  </si>
  <si>
    <t>TI001400000122</t>
  </si>
  <si>
    <t>Ingreso a Caja 001400000122 Obs: Movimiento_Cajas_Bancos_Semana 25-26 al 07-11-2025</t>
  </si>
  <si>
    <t>CA.DU14-Glenn Lee-Extras 25-26-ID-40831 -EXtras 25/26- -CMSW 10-2025-</t>
  </si>
  <si>
    <t>000000000187</t>
  </si>
  <si>
    <t>CA.DU25 - Charles Haydon Stanley, Ii Extras Lodge 25-26 - ID 40368 -EXtras 25/26- -CMSW 10-2025-</t>
  </si>
  <si>
    <t>CA.DU2-Charles Allen Barbour Jr-Extras 25-26-ID-41189 -EXtras 25/26- -CMSW 10-2025-</t>
  </si>
  <si>
    <t>CA.DU14-Ryan Lee-Extras 25-26-ID-39929 -EXtras 25/26- -CMSW 10-2025-</t>
  </si>
  <si>
    <t>CA.DU30 - Kent Moreaux Extras Lodge 25-26 - ID 40826 -EXtras 25/26- -CMSW 10-2025-</t>
  </si>
  <si>
    <t>CA.DU30 - Blaine Riley - Extras Lodge 25-26 - ID 40841 -EXtras 25/26- -CMSW 10-2025-</t>
  </si>
  <si>
    <t>CA.DU14-Billy Shingler-Extras 25-26-ID-40833 -EXtras 25/26- -CMSW 10-2025-</t>
  </si>
  <si>
    <t>CA.DU2-Katlyn Anthony Barbour-Extras 25-26-ID-41188 -EXtras 25/26- -CMSW 10-2025-</t>
  </si>
  <si>
    <t>CA.DU30 - Thaddeus (Pete) Marcell Extras Lodge 25-26 - ID 41029 -EXtras 25/26- -CMSW 10-2025-</t>
  </si>
  <si>
    <t>CA.DU2-Rosemary Ramirez Barbour-Extras 25-26-ID-38272 -EXtras 25/26- -CMSW 10-2025-</t>
  </si>
  <si>
    <t>VR000000002106</t>
  </si>
  <si>
    <t>Recibo: 000000002106Cliente: MT40833 Obs: CA.DU14-Billy Shingler-Extras 25-26-ID-40833 -EXtras 25/26- -CMSW 10-2025-</t>
  </si>
  <si>
    <t>000000000188</t>
  </si>
  <si>
    <t>VR000000002107</t>
  </si>
  <si>
    <t>Recibo: 000000002107Cliente: MT40831 Obs: CA.DU14-Glenn Lee-Extras 25-26-ID-40831 -EXtras 25/26- -CMSW 10-2025-</t>
  </si>
  <si>
    <t>000000000189</t>
  </si>
  <si>
    <t>VR000000002108</t>
  </si>
  <si>
    <t>Recibo: 000000002108Cliente: MT39929 Obs: CA.DU14-Ryan Lee-Extras 25-26-ID-39929 -EXtras 25/26- -CMSW 10-2025-</t>
  </si>
  <si>
    <t>000000000190</t>
  </si>
  <si>
    <t>VR000000002109</t>
  </si>
  <si>
    <t>Recibo: 000000002109Cliente: MT40368 Obs: CA.DU25 - Charles Haydon Stanley, Ii Extras Lodge 25-26 - ID 40368 -EXtras 25/26- -CMSW 10-2025-</t>
  </si>
  <si>
    <t>000000000191</t>
  </si>
  <si>
    <t>VR000000002110</t>
  </si>
  <si>
    <t>Recibo: 000000002110Cliente: MT41189 Obs: CA.DU2-Charles Allen Barbour Jr-Extras 25-26-ID-41189 -EXtras 25/26- -CMSW 10-2025-</t>
  </si>
  <si>
    <t>000000000192</t>
  </si>
  <si>
    <t>VR000000002111</t>
  </si>
  <si>
    <t>Recibo: 000000002111Cliente: MT41188 Obs: CA.DU2-Katlyn Anthony Barbour-Extras 25-26-ID-41188 -EXtras 25/26- -CMSW 10-2025-</t>
  </si>
  <si>
    <t>000000000193</t>
  </si>
  <si>
    <t>VR000000002112</t>
  </si>
  <si>
    <t>Recibo: 000000002112Cliente: MT38272 Obs: CA.DU2-Rosemary Ramirez Barbour-Extras 25-26-ID-38272 -EXtras 25/26- -CMSW 10-2025-</t>
  </si>
  <si>
    <t>000000000194</t>
  </si>
  <si>
    <t>VR000000002113</t>
  </si>
  <si>
    <t>Recibo: 000000002113Cliente: MT40841 Obs: CA.DU30 - Blaine Riley - Extras Lodge 25-26 - ID 40841 -EXtras 25/26- -CMSW 10-2025-</t>
  </si>
  <si>
    <t>000000000195</t>
  </si>
  <si>
    <t>VR000000002114</t>
  </si>
  <si>
    <t>Recibo: 000000002114Cliente: MT40826 Obs: CA.DU30 - Kent Moreaux Extras Lodge 25-26 - ID 40826 -EXtras 25/26- -CMSW 10-2025-</t>
  </si>
  <si>
    <t>000000000196</t>
  </si>
  <si>
    <t>VR000000002149</t>
  </si>
  <si>
    <t>Recibo: 000000002149Cliente: MT41029 Obs: CA.DU30 - Thaddeus (Pete) Marcell Extras Lodge 25-26 - ID 41029 -EXtras 25/26- -CMSW 10-2025-</t>
  </si>
  <si>
    <t>000000000197</t>
  </si>
  <si>
    <t>AJ COBRANZAS CLIENTES</t>
  </si>
  <si>
    <t>CA.DU30</t>
  </si>
  <si>
    <t>000000000198</t>
  </si>
  <si>
    <t>CA.DU19</t>
  </si>
  <si>
    <t>CAR.3</t>
  </si>
  <si>
    <t>TD001400000129</t>
  </si>
  <si>
    <t>Depósito a Banco 001400000129 Obs: 16-11-2025  Mov Lodge</t>
  </si>
  <si>
    <t>CAR - traspaso de SJ USD</t>
  </si>
  <si>
    <t>000000000201</t>
  </si>
  <si>
    <t>TD001400000147</t>
  </si>
  <si>
    <t>Depósito a Banco 001400000147 Obs: CAR - ingreso por error bancario -</t>
  </si>
  <si>
    <t>CAR - ingreso por error bancario -</t>
  </si>
  <si>
    <t>000000000207</t>
  </si>
  <si>
    <t>TD001400000148</t>
  </si>
  <si>
    <t>Depósito a Banco 001400000148 Obs: CAR - Trasaso de SJ Usd</t>
  </si>
  <si>
    <t>CAR - Trasaso de SJ Usd</t>
  </si>
  <si>
    <t>000000000208</t>
  </si>
  <si>
    <t>TD001400000158</t>
  </si>
  <si>
    <t>Depósito a Banco 001400000158 Obs: CAR - Ute iva</t>
  </si>
  <si>
    <t>CAR - Ute iva</t>
  </si>
  <si>
    <t>000000000210</t>
  </si>
  <si>
    <t>30/10/2025</t>
  </si>
  <si>
    <t>TD001400000159</t>
  </si>
  <si>
    <t>Depósito a Banco 001400000159 Obs: 30-11-2025  Mov Lodge</t>
  </si>
  <si>
    <t>CAR - Ute electricidad casa staff</t>
  </si>
  <si>
    <t>000000000211</t>
  </si>
  <si>
    <t>CAR - Honorarios Octubre Mati Vila</t>
  </si>
  <si>
    <t>TD001400000164</t>
  </si>
  <si>
    <t>Depósito a Banco 001400000164 Obs: 07-12-2025  Mov Lodge</t>
  </si>
  <si>
    <t>CAR - ingreso iva ute electricidad</t>
  </si>
  <si>
    <t>000000000214</t>
  </si>
  <si>
    <t>CAR - TRASAPASO DE SJ USD</t>
  </si>
  <si>
    <t>TE001400000136</t>
  </si>
  <si>
    <t>Extracción de Caja 001400000136 Obs: CAR-TriSW Fee CC 10-2025</t>
  </si>
  <si>
    <t>CAR-TriSW Fee CC 10-2025</t>
  </si>
  <si>
    <t>000000000216</t>
  </si>
  <si>
    <t>TE001400000137</t>
  </si>
  <si>
    <t>Extracción de Caja 001400000137 Obs: Movimiento_Cajas_Bancos_Semana 25-26 al 14-11-2025</t>
  </si>
  <si>
    <t>CAR-Viaje supervisión Sofia Robredo - cierre 28 al 30-10 F.Fijo Oper. Al 14-11-2025</t>
  </si>
  <si>
    <t>000000000217</t>
  </si>
  <si>
    <t>CAR-Bono Managers - Emanuel y Lucia F.Fijo Oper. Al 14-11-2025</t>
  </si>
  <si>
    <t>CAR-Sueldo Rafael Anzola Octubre Head Chef F.Fijo Oper. Al 14-11-2025</t>
  </si>
  <si>
    <t>CAR-Caja Lodge  - Lleva Marina 17-11 F.Fijo Oper. Al 14-11-2025</t>
  </si>
  <si>
    <t>CAR-Biólogos - censo patos F.Fijo Oper. Al 14-11-2025</t>
  </si>
  <si>
    <t>CAR-Pasajes Prana-Servicios CAR--EDUARDO ALEJANDRO SARTORELLI SEBALLES-COLONIA EXPRESS BSAS-COL-BSAS</t>
  </si>
  <si>
    <t>CAR-Pasajes Prana-Servicios CAR--EDUARDO ALEJANDRO SARTORELLI SEBALLES-AEREO COR-BUE-COR</t>
  </si>
  <si>
    <t>CAR-Tips Septiembre - Emanuel y Lucia - Managers F.Fijo Oper. Al 14-11-2025</t>
  </si>
  <si>
    <t>CAR-Pasajes Prana-Cierre Carmelo --SOFIA ROGREDO-BQB BS AS - COL-BS AS</t>
  </si>
  <si>
    <t>TE001400000138</t>
  </si>
  <si>
    <t>Extracción de Caja 001400000138 Obs: Movimiento_Cajas_Bancos_Semana 25-26 al 14-11-2025</t>
  </si>
  <si>
    <t>CAR-Viáticos Marina - ida Carmelo Lunes 17-11 F.Fijo Oper. Al 14-11-2025</t>
  </si>
  <si>
    <t>000000000218</t>
  </si>
  <si>
    <t>TE001400000142</t>
  </si>
  <si>
    <t>Extracción de Caja 001400000142 Obs: Movimiento_Cajas_Bancos_Semana 25-26 al 21-11-2025</t>
  </si>
  <si>
    <t>000000000220</t>
  </si>
  <si>
    <t>6105</t>
  </si>
  <si>
    <t>Comisión por canje</t>
  </si>
  <si>
    <t>TE001400000143</t>
  </si>
  <si>
    <t>Extracción de Caja 001400000143 Obs: Movimiento_Cajas_Bancos_Semana 25-26 al 21-11-2025</t>
  </si>
  <si>
    <t>CAR- Canje traida Cash</t>
  </si>
  <si>
    <t>000000000221</t>
  </si>
  <si>
    <t>CAR - combustible camioneta y tractor</t>
  </si>
  <si>
    <t>CAR - arreglo lavarropas</t>
  </si>
  <si>
    <t>CAR - goma pinchada</t>
  </si>
  <si>
    <t>CAR - comida santi mes de noviembre</t>
  </si>
  <si>
    <t>CAR - propinas 377 para cada mucama, son 4</t>
  </si>
  <si>
    <t>CAR - propinas santi, mantenimiento</t>
  </si>
  <si>
    <t>CAR - adelanto ton</t>
  </si>
  <si>
    <t>CAR - mesa de cafe</t>
  </si>
  <si>
    <t>CAR - OBRA COCINA: barraca</t>
  </si>
  <si>
    <t>CAR - OBRA COCINA: honorarios albanil</t>
  </si>
  <si>
    <t>CAR - OBRA COCINA: retiro de escombros</t>
  </si>
  <si>
    <t>CAR - Pintura pileta</t>
  </si>
  <si>
    <t>CAR - materiales barraca</t>
  </si>
  <si>
    <t>CAR - OBRA COCINA: babetas</t>
  </si>
  <si>
    <t>CAR - OBRA COCINA: materiales</t>
  </si>
  <si>
    <t>CAR - ferreteria varios para cambio de luces en jardin y pintura muebles exterior</t>
  </si>
  <si>
    <t>CAR - Articulos de limpieza</t>
  </si>
  <si>
    <t>CAR- Manag Fee 24/25</t>
  </si>
  <si>
    <t>CAR-Búsquedas managers Carmelo F.Fijo Oper. Al 28-11-2025</t>
  </si>
  <si>
    <t>CAR - comida Santi</t>
  </si>
  <si>
    <t>CAR - OBRA COCINA: ferreteria</t>
  </si>
  <si>
    <t>CAR - SAELDO  SUELDO WASHINGTON, JARDINERO</t>
  </si>
  <si>
    <t>CAR - REPOSICION VIDRIO HELADERA ROTO</t>
  </si>
  <si>
    <t>CAR - OBRA COCINA: puerta nueva</t>
  </si>
  <si>
    <t>CAR - PINTURA DECK PILETA</t>
  </si>
  <si>
    <t>TE001400000174</t>
  </si>
  <si>
    <t>Extracción de Caja 001400000174 Obs: Movimiento_Cajas_Bancos_Semana 25-26 al 05-12-2025</t>
  </si>
  <si>
    <t>CAR-Tips Rafael Anzola - head chef F.Fijo Oper. Al 05-12-2025</t>
  </si>
  <si>
    <t>000000000226</t>
  </si>
  <si>
    <t>CAR- ValleySW- Fresno - (Carmelo Lodge - Guns Maintenance)- 5089 carmelo y 1969 Sj temporada pasada</t>
  </si>
  <si>
    <t>CAR- ValleySW- Celmu SA - (Carmelo - Multicar - Rent Vehicules - Sept + Oct)- 8,560 Alquiler + 250 P</t>
  </si>
  <si>
    <t>TE001400000176</t>
  </si>
  <si>
    <t>Extracción de Caja 001400000176 Obs: Movimiento_Cajas_Bancos_Semana 25-26 al 05-12-2025</t>
  </si>
  <si>
    <t>CAR-Anticipo  50 % - Latin Gráfica - impresión brochures x 20 unidades F.Fijo Oper. Al 05-12-2025</t>
  </si>
  <si>
    <t>000000000228</t>
  </si>
  <si>
    <t>TH001400000124</t>
  </si>
  <si>
    <t>Extracción de Banco 001400000124 Obs: 16-11-2025  Mov Lodge</t>
  </si>
  <si>
    <t>000000000229</t>
  </si>
  <si>
    <t>CAR - sal vacacional Paloma Marchetti</t>
  </si>
  <si>
    <t>CAR - tip octubre Juan Long</t>
  </si>
  <si>
    <t>CAR - salario vacacional Stephany Shur</t>
  </si>
  <si>
    <t>CAR - sal vacacopnal Yuliana Gonzales</t>
  </si>
  <si>
    <t>CAR - vinos las damas juanas Carmelo</t>
  </si>
  <si>
    <t>CAR - sal vacacional Valeria Olmedo</t>
  </si>
  <si>
    <t>CAR - tip octubre pablo gadea</t>
  </si>
  <si>
    <t>TH001400000151</t>
  </si>
  <si>
    <t>Extracción de Banco 001400000151 Obs: 23-11-2025  Mov Lodge</t>
  </si>
  <si>
    <t>000000000235</t>
  </si>
  <si>
    <t>CAR - seguros sura fiat</t>
  </si>
  <si>
    <t>CAR - seguro sura 2 cuotas master</t>
  </si>
  <si>
    <t>CAR - tip octubre  Carrato</t>
  </si>
  <si>
    <t>TH001400000166</t>
  </si>
  <si>
    <t>Extracción de Banco 001400000166 Obs: 07-12-2025  Mov Lodge</t>
  </si>
  <si>
    <t>CAR - banco de seguros accidentes de trabajo</t>
  </si>
  <si>
    <t>000000000240</t>
  </si>
  <si>
    <t>CAR - patente de rodados pago Master renaukt Carmelo</t>
  </si>
  <si>
    <t>CAR - irpf devolucion a Juan Long</t>
  </si>
  <si>
    <t>CAR - saldo carga granel Carmelo</t>
  </si>
  <si>
    <t>CAR - Ute casa Lodge Noviembre</t>
  </si>
  <si>
    <t>CAR - ute electricidad casa staff noviembre</t>
  </si>
  <si>
    <t>CAR - Ute electricidad Octubre Lodge</t>
  </si>
  <si>
    <t>CAR - servicios Carmelo saldo octubre</t>
  </si>
  <si>
    <t>CAR - saldo pasajes Long</t>
  </si>
  <si>
    <t>CAR - seguro trailer carmelo</t>
  </si>
  <si>
    <t>TH001400000169</t>
  </si>
  <si>
    <t>Extracción de Banco 001400000169 Obs: Reversión de documento</t>
  </si>
  <si>
    <t>000000000243</t>
  </si>
  <si>
    <t>TH001400000170</t>
  </si>
  <si>
    <t>Extracción de Banco 001400000170 Obs: 30-11-2025  Mov Lodge</t>
  </si>
  <si>
    <t>000000000244</t>
  </si>
  <si>
    <t>CA.DU43- 25/26- Paul Beisner - #1403 - ValleySW- 32 Checks $ 135.352,72 -05-11-2025</t>
  </si>
  <si>
    <t>CAR23- 25/26- Charles Revson - #1134 - ValleySW- 32 Checks $ 135.352,72 -05-11-2025</t>
  </si>
  <si>
    <t>CA.DU22- 25/26- Matthew Diaderth - Check #200 $1,550 comparte con DEL22 - ValleySW- 32 Checks $ 135.</t>
  </si>
  <si>
    <t>CAR21- 25/26- Frontiers (KT $ 10.800,00  + NT $ 37.172,88 + EDI $ 13.600,00 + PC $ 7.500,00 + TT $ 9</t>
  </si>
  <si>
    <t>CA.DU43- 25/26- Katie Skipworth - #191 - ValleySW- 32 Checks $ 135.352,72 -05-11-2025</t>
  </si>
  <si>
    <t>CAR23- 25/26 Henry Smith III  #182 - ValleySW- 10 Checks $ 81.089,50 -09-11-2025</t>
  </si>
  <si>
    <t>CA.DU50- 25/26- Michael Gillespie - ValleySW- WIRE IN GFT 202511100013386 MICHAEL GILLESPIE OR /PURP</t>
  </si>
  <si>
    <t>CA.DU22- 25/26- Curt Cramer - #4711 Comparte con Del22 $1550 total - ValleySW- 10 Checks $ 81.089,50</t>
  </si>
  <si>
    <t>CAR7- 25/26- Lee Weiss - #4098 - ValleySW- 10 Checks $ 81.089,50 -09-11-2025</t>
  </si>
  <si>
    <t>CAR15- 25/26- Bob Ownby - #7400 - ValleySW- 32 Checks $ 135.352,72 -05-11-2025</t>
  </si>
  <si>
    <t>CAR-Recupero Caja Lodge - obra cocina - Rendido FF 31-10 F.Fijo Oper. Al 14-11-2025</t>
  </si>
  <si>
    <t>CAR5- 25/26- Andrew Dauenhauer - ValleySW- WIRE IN GFT 202511070017355 ANDREW T DAUENHAUE R</t>
  </si>
  <si>
    <t>TI001400000140</t>
  </si>
  <si>
    <t>Ingreso a Caja 001400000140 Obs: Movimiento_Cajas_Bancos_Semana 25-26 al 21-11-2025</t>
  </si>
  <si>
    <t>000000000246</t>
  </si>
  <si>
    <t>CAR- Obras Carmelo Recupero Canon 24/25</t>
  </si>
  <si>
    <t>CAR5- 25/26- William Hebron - #2491 - ValleySW- 14 Checks $ 71.337,50 -12-11-2025</t>
  </si>
  <si>
    <t>CA.DU3- 26/27- Robert Gibson - #2538 - ValleySW- 14 Checks $ 71.337,50 -12-11-2025</t>
  </si>
  <si>
    <t>CAR25- 25/26- Dickson Obrien - #1184 - ValleySW- 14 Checks $ 71.337,50 -12-11-2025</t>
  </si>
  <si>
    <t>CAR17- 25/26- Federico Mattei - ValleySW- WIRE IN INTL GFT 202511120019671 MARGHERITA GALLETT I CARM</t>
  </si>
  <si>
    <t>CAR7- 25/26- Judy wood - #306 - ValleySW- 14 Checks $ 71.337,50 -12-11-2025</t>
  </si>
  <si>
    <t>CA.DU22- 25/26- Curt Cramer - comparte con DEL22 $1550 total - ValleySW- WIRE IN GFT 202511130013295</t>
  </si>
  <si>
    <t>CA.DU22- 25/26- Curt Cramer - comparte con DEL22 $1550 total - ValleySW- WIRE IN GFT 202511140012666</t>
  </si>
  <si>
    <t>CAR5- 25/26- Michael thomas - #1335 - ValleySW- 14 Checks $ 71.337,50 -12-11-2025</t>
  </si>
  <si>
    <t>22/11/2025</t>
  </si>
  <si>
    <t>TI001400000145</t>
  </si>
  <si>
    <t>Ingreso a Caja 001400000145 Obs: CAR - dolares que llevo Sofi Robredo para obra cocina</t>
  </si>
  <si>
    <t>CAR - dolares que llevo Sofi Robredo para obra cocina</t>
  </si>
  <si>
    <t>000000000248</t>
  </si>
  <si>
    <t>CA.DU50- 25/26- Dan Hartman - #9921 - ValleySW- 17 Checks $ 92.416,75 -17-11-2025</t>
  </si>
  <si>
    <t>CA.DU50- 25/26- James Hastings - #8055 - ValleySW- 17 Checks $ 92.416,75 -17-11-2025</t>
  </si>
  <si>
    <t>CA.DU50- 25/26- Michael Sheddan - #6723 -  - ValleySW- 17 Checks $ 92.416,75 -17-11-2025</t>
  </si>
  <si>
    <t>CA.DU49- 25/26- Matthew Connor - ValleySW- WIRE IN GFT 202511190017475 MATTHEW J CONNOR  MATT CONNOR</t>
  </si>
  <si>
    <t>CA.DU51- 25/26- Colangelo - #2900 -  - ValleySW- 17 Checks $ 92.416,75 -17-11-2025</t>
  </si>
  <si>
    <t>CAR24- 25/26- Frontiers (KT $ 38.500,00  + NT $ 15.600,00 + LM $ 12.000,00 + JC $ 5.400,00 + FFDOS $</t>
  </si>
  <si>
    <t>TI001400000172</t>
  </si>
  <si>
    <t>Ingreso a Caja 001400000172 Obs: Movimiento_Cajas_Bancos_Semana 25-26 al 05-12-2025</t>
  </si>
  <si>
    <t>CA.DU7- 26/27- Chris Flamer - ValleySW- 30 Checks $ 156.710,50 -26-11-2025</t>
  </si>
  <si>
    <t>000000000250</t>
  </si>
  <si>
    <t>CAR-Recupero busqueda managers Carmelo F.Fijo Oper. Al 05-12-2025</t>
  </si>
  <si>
    <t>CAR28- 25/26- Boyce - -# 10292 $12,680. Comparte con Delta - ValleySW- 30 Checks $ 156.710,50 -26-11</t>
  </si>
  <si>
    <t>CA.DU8- 26/27- Gayle Hensley - ValleySW- WIRE IN GFT 202511240006893 RHONDA GAYLE HENSL EY REVOCABLE</t>
  </si>
  <si>
    <t>CA.DU49- 25/26- Dane Lacy - #8507 - ValleySW- 30 Checks $ 156.710,50 -26-11-2025</t>
  </si>
  <si>
    <t>CA.DU55- 25/26- Shivers - #7312 - ValleySW- 30 Checks $ 156.710,50 -26-11-2025</t>
  </si>
  <si>
    <t>TI001400000173</t>
  </si>
  <si>
    <t>Ingreso a Caja 001400000173 Obs: Movimiento_Cajas_Bancos_Semana 25-26 al 05-12-2025</t>
  </si>
  <si>
    <t>CAR-Recupero caja lodge -  F.Fijo Oper. Al 05-12-2025</t>
  </si>
  <si>
    <t>000000000251</t>
  </si>
  <si>
    <t>VR000000002317</t>
  </si>
  <si>
    <t>Asiento de COMPRAS (01/09/2025 - 31/08/2026)</t>
  </si>
  <si>
    <t>Recibo: 000000002317Cliente: MT35352 Obs: AJ COBRANZAS CLIENTES</t>
  </si>
  <si>
    <t>000000000252</t>
  </si>
  <si>
    <t>VR000000002318</t>
  </si>
  <si>
    <t>Recibo: 000000002318Cliente: MT37449 Obs: AJ COBRANZAS CLIENTES</t>
  </si>
  <si>
    <t>000000000253</t>
  </si>
  <si>
    <t>VR000000002464</t>
  </si>
  <si>
    <t>Recibo: 000000002464Cliente: MT37450 Obs: AJ COBRANZAS CLIENTES</t>
  </si>
  <si>
    <t>000000000254</t>
  </si>
  <si>
    <t>VR000000002465</t>
  </si>
  <si>
    <t>Recibo: 000000002465Cliente: MT37452 Obs: AJ COBRANZAS CLIENTES</t>
  </si>
  <si>
    <t>000000000255</t>
  </si>
  <si>
    <t>VR000000002466</t>
  </si>
  <si>
    <t>Recibo: 000000002466Cliente: MT40099 Obs: AJ COBRANZAS CLIENTES</t>
  </si>
  <si>
    <t>000000000256</t>
  </si>
  <si>
    <t>VR000000002467</t>
  </si>
  <si>
    <t>Recibo: 000000002467Cliente: MT40100 Obs: Cobranza</t>
  </si>
  <si>
    <t>000000000257</t>
  </si>
  <si>
    <t>VR000000002468</t>
  </si>
  <si>
    <t>Recibo: 000000002468Cliente: MT40671 Obs: AJ COBRANZAS CLIENTES</t>
  </si>
  <si>
    <t>000000000258</t>
  </si>
  <si>
    <t>VR000000002469</t>
  </si>
  <si>
    <t>Recibo: 000000002469Cliente: MT40672 Obs: AJ COBRANZAS CLIENTES</t>
  </si>
  <si>
    <t>000000000259</t>
  </si>
  <si>
    <t>VR000000002470</t>
  </si>
  <si>
    <t>Recibo: 000000002470Cliente: MT40674 Obs: AJ COBRANZAS CLIENTES</t>
  </si>
  <si>
    <t>000000000260</t>
  </si>
  <si>
    <t>VR000000002471</t>
  </si>
  <si>
    <t>Recibo: 000000002471Cliente: MT40699 Obs: AJ COBRANZAS CLIENTES</t>
  </si>
  <si>
    <t>000000000261</t>
  </si>
  <si>
    <t>VR000000002472</t>
  </si>
  <si>
    <t>Recibo: 000000002472Cliente: MT40700 Obs: AJ COBRANZAS CLIENTES</t>
  </si>
  <si>
    <t>000000000262</t>
  </si>
  <si>
    <t>VR000000002475</t>
  </si>
  <si>
    <t>Recibo: 000000002475Cliente: MT40701 Obs: AJ COBRANZAS CLIENTES</t>
  </si>
  <si>
    <t>000000000263</t>
  </si>
  <si>
    <t>VR000000002477</t>
  </si>
  <si>
    <t>Recibo: 000000002477Cliente: MT40703 Obs: AJ COBRANZAS CLIENTES</t>
  </si>
  <si>
    <t>000000000264</t>
  </si>
  <si>
    <t>VR000000002479</t>
  </si>
  <si>
    <t>Recibo: 000000002479Cliente: MT40826 Obs: AJ COBRANZAS CLIENTES</t>
  </si>
  <si>
    <t>000000000265</t>
  </si>
  <si>
    <t>VR000000002482</t>
  </si>
  <si>
    <t>Recibo: 000000002482Cliente: MT40830 Obs: AJ COBRANZAS CLIENTES</t>
  </si>
  <si>
    <t>000000000266</t>
  </si>
  <si>
    <t>VR000000002483</t>
  </si>
  <si>
    <t>Recibo: 000000002483Cliente: MT40960 Obs: AJ COBRANZAS CLIENTES</t>
  </si>
  <si>
    <t>000000000267</t>
  </si>
  <si>
    <t>TD001400000193</t>
  </si>
  <si>
    <t>Depósito a Banco 001400000193 Obs: CAR - Ingreso de Oficina</t>
  </si>
  <si>
    <t>000000000275</t>
  </si>
  <si>
    <t>TD001400000205</t>
  </si>
  <si>
    <t>Depósito a Banco 001400000205 Obs: CAR - traspaso de SJ USD</t>
  </si>
  <si>
    <t>000000000278</t>
  </si>
  <si>
    <t>TE001400000178</t>
  </si>
  <si>
    <t>Extracción de Caja 001400000178 Obs: Movimiento_Cajas_Bancos_Semana 25-26 al 12-12-2025</t>
  </si>
  <si>
    <t>CAR-Reembolso viáticos Marian 11/11 Ida Carmelo x entrega caja USD (22900 ida + 33k regreso + 15 usd</t>
  </si>
  <si>
    <t>000000000280</t>
  </si>
  <si>
    <t>TE001400000179</t>
  </si>
  <si>
    <t>Extracción de Caja 001400000179 Obs: Movimiento_Cajas_Bancos_Semana 25-26 al 12-12-2025</t>
  </si>
  <si>
    <t>CAR- Field pago Sabrina (carmelo lodge orden Sofia) Sueldos y Tips Noviembre -22/11/2025 abonado con</t>
  </si>
  <si>
    <t>000000000281</t>
  </si>
  <si>
    <t>CAR pago Sabrina (carmelo lodge orden Sofia) Sueldos y Tips Noviembre -10/11/2025 abonado con caja C</t>
  </si>
  <si>
    <t>TE001400000180</t>
  </si>
  <si>
    <t>Extracción de Caja 001400000180 Obs: Movimiento_Cajas_Bancos_Semana 25-26 al 12-12-2025</t>
  </si>
  <si>
    <t>CAR-Caja Lodge - obra cocina - Lleva Marian 11/12 - Entrega a Santiago Benitez F.Fijo Oper. Al 12-12</t>
  </si>
  <si>
    <t>000000000282</t>
  </si>
  <si>
    <t>CAR - alguicida pileta</t>
  </si>
  <si>
    <t>CAR - abonos y fertilizantes</t>
  </si>
  <si>
    <t>CAR - OBRA COCINA: albanil</t>
  </si>
  <si>
    <t>CAR - OBRA COCINA: pintura</t>
  </si>
  <si>
    <t>CAR - sueldo jardinero Wahington</t>
  </si>
  <si>
    <t>CAR - Cloro</t>
  </si>
  <si>
    <t>CAR - semillas  etc huerta</t>
  </si>
  <si>
    <t>CAR - PERGOLA NUEVA ESTACIONAMIENTO: balasto y maquinas</t>
  </si>
  <si>
    <t>CAR - Combustible camioneta</t>
  </si>
  <si>
    <t>CAR - nafta para tractor</t>
  </si>
  <si>
    <t>TE001400000196</t>
  </si>
  <si>
    <t>Extracción de Caja 001400000196 Obs: Movimiento_Cajas_Bancos_Semana 25-26 al 19-12-2025</t>
  </si>
  <si>
    <t>CAR20 -25/26-Fred Hand -CMSW 11-2025- Pago via MTP-CC</t>
  </si>
  <si>
    <t>000000000284</t>
  </si>
  <si>
    <t>CA.DU53 -25/26-Richard sitten -CMSW 11-2025- Pago via MTP-CC</t>
  </si>
  <si>
    <t>CA.DU54 -25/26-Andrew Nye -CMSW 11-2025- Pago via MTP-CC</t>
  </si>
  <si>
    <t>CAR1 -25/26-Niclas Palmstierna -CMSW 11-2025- Pago por MTP-CC</t>
  </si>
  <si>
    <t>CAR5 -25/26-Jack McInerney -CMSW 11-2025- Pago por MTP-CC</t>
  </si>
  <si>
    <t>CAR-TriSW Fee CC 11-2025</t>
  </si>
  <si>
    <t>CA.DU3 -26/27-JC Pruden -CMSW 11-2025- Pago via MTP-CC</t>
  </si>
  <si>
    <t>CA.DU44 -25/26-James Feiber -CMSW 11-2025- Pago via MTP-CC</t>
  </si>
  <si>
    <t>CA.DU45 -25/26-Christian Dodson -CMSW 11-2025- Pago via MTP-CC</t>
  </si>
  <si>
    <t>CA.DU46 -25/26-Jason Goldberg -CMSW 11-2025- Pago via MTP-CC</t>
  </si>
  <si>
    <t>CA.DU53 -25/26-John Berry Morris -CMSW 11-2025- Pago via MTP-CC</t>
  </si>
  <si>
    <t>CA.DU53 -25/26-Jeffrey Scott Hawkins -CMSW 11-2025- Pago via MTP-CC</t>
  </si>
  <si>
    <t>CA.DU53 -25/26-Steven Wells -CMSW 11-2025- Pago via MTP-CC</t>
  </si>
  <si>
    <t>CA.DU44 -25/26-Jimmy Feiber -CMSW 11-2025- Pago via MTP-CC</t>
  </si>
  <si>
    <t>CAR20 25-26- Tony Com x Vtas ValleySW- TONY CAGGIANO LLC - (Sales Commission and Marketing November)</t>
  </si>
  <si>
    <t>CAR28- 25/26- Tony Com x Vtas ValleySW- TONY CAGGIANO LLC - (Sales Commission and Marketing November</t>
  </si>
  <si>
    <t>CAR26 24-25- Com x Vtas Gilans? TriSW- BENE &amp; HOTT  FIELDSPORTS LTD - (Marketing - Gilan Booker y Ch</t>
  </si>
  <si>
    <t>CAR- ValleySW- CARMELO LODGE SAS - (Carmelo Operating Needs - December)-</t>
  </si>
  <si>
    <t>CAR-Pasajes Prana-CAR - capacitacion Mngr enPira--UMBERT/DENISE-BUS RET-MER</t>
  </si>
  <si>
    <t>CAR-Pasajes Prana-CAR - capacitacion Mngr enPira--ST ESTEBEN/ELIAN-BUS RET-MER</t>
  </si>
  <si>
    <t>CAR-Pasajes Prana-CAR - Mejoras - Obras off season--HILLAR MARIANA-COLONIA EXPRESS</t>
  </si>
  <si>
    <t>CA.DU46 - 25/26- Tony Com x Vtas ValleySW- TONY CAGGIANO LLC - (Sales Commission and Marketing Novem</t>
  </si>
  <si>
    <t>TE001400000198</t>
  </si>
  <si>
    <t>Extracción de Caja 001400000198 Obs: Movimiento_Cajas_Bancos_Semana 25-26 al 19-12-2025</t>
  </si>
  <si>
    <t>CAR-Viacargo - Despacho Uniformes CTES - OFICINA - El Pombero F.Fijo Oper. Al 19-12-2025</t>
  </si>
  <si>
    <t>000000000286</t>
  </si>
  <si>
    <t>TE001400000199</t>
  </si>
  <si>
    <t>Extracción de Caja 001400000199 Obs: Movimiento_Cajas_Bancos_Semana 25-26 al 26-12-2025</t>
  </si>
  <si>
    <t>CAR-Compra 1 par de zuecos gastronomicos - Rafa head chef F.Fijo Oper. Al 26-12-2025</t>
  </si>
  <si>
    <t>000000000287</t>
  </si>
  <si>
    <t>TE001400000202</t>
  </si>
  <si>
    <t>Extracción de Caja 001400000202 Obs: 31-12-2025  Mov Lodge</t>
  </si>
  <si>
    <t>CAR - primera quincena diciembre jardinero</t>
  </si>
  <si>
    <t>000000000289</t>
  </si>
  <si>
    <t>CAR - aguinaldo jardinero Washington</t>
  </si>
  <si>
    <t>CAR - extension mesa principal</t>
  </si>
  <si>
    <t>CAR - OBRA COCINA: albanil saldo final</t>
  </si>
  <si>
    <t>CAR - OBRA COCINA, corralon</t>
  </si>
  <si>
    <t>CAR - palos para ESTACIONAMIENTO</t>
  </si>
  <si>
    <t>CAR - agregado de yeso desde el lado del comedor</t>
  </si>
  <si>
    <t>TE001400000214</t>
  </si>
  <si>
    <t>Extracción de Caja 001400000214 Obs: Movimiento_Cajas_Bancos_Semana 25-26 al 09-01-2026</t>
  </si>
  <si>
    <t>CA.DU48 -25/26-Tommy McGee -CMSW 12-2025- Pago via MTP-CC</t>
  </si>
  <si>
    <t>000000000291</t>
  </si>
  <si>
    <t>CA.DU58 -25/26-Anthony Reiher -CMSW 12-2025- Pago via MTP-CC</t>
  </si>
  <si>
    <t>CA.DU10 -26/27-Ben Hobson -CMSW 12-2025- Pago via MTP-CC</t>
  </si>
  <si>
    <t>CA.DU18 -25/26-Gary Bennet -CMSW 12-2025- Pago via MTP $1605 comparte con DEL-CC</t>
  </si>
  <si>
    <t>CA.DU34 -25/26-Janet Martin -CMSW 12-2025- Pago via MTP-CC</t>
  </si>
  <si>
    <t>CAR-TriSW Fee CC 12-2025</t>
  </si>
  <si>
    <t>CA.DU54 -25/26-Jim Cormier -CMSW 12-2025- Pago via MTP-CC</t>
  </si>
  <si>
    <t>CA.DU6 -26/27-Zach Mears -CMSW 12-2025- Pago via MTP-CC</t>
  </si>
  <si>
    <t>CAR18 -25/26-Robert Louis Blankenship -CMSW 12-2025- Pago por MTP-CC</t>
  </si>
  <si>
    <t>CAR19 -25/26-Roland Jarlgaard -CMSW 12-2025- Pago via MTP-CC</t>
  </si>
  <si>
    <t>CAR5 -25/26-Vance Bryan -CMSW 12-2025- Pago por MTP-CC</t>
  </si>
  <si>
    <t>CA.DU9 -26/27-Keith Alan Harris -CMSW 12-2025- Pago via MTP-CC</t>
  </si>
  <si>
    <t>TH001400000187</t>
  </si>
  <si>
    <t>Extracción de Banco 001400000187 Obs: 21-12-2025  Mov Lodge</t>
  </si>
  <si>
    <t>CAR - Antel telefonia noviembre</t>
  </si>
  <si>
    <t>000000000293</t>
  </si>
  <si>
    <t>TH001400000203</t>
  </si>
  <si>
    <t>Extracción de Banco 001400000203 Obs: 31-12-2025  Mov Lodge</t>
  </si>
  <si>
    <t>000000000297</t>
  </si>
  <si>
    <t>CAR - aguinaldo dic Yuliana Gonzalez</t>
  </si>
  <si>
    <t>CAR - BWS bps cargas sociales</t>
  </si>
  <si>
    <t>CAR - aguinaldo dic Stephany Suhr</t>
  </si>
  <si>
    <t>CAR - seguro Adt accidentes trabajo Carmelo</t>
  </si>
  <si>
    <t>CAR - flete 1 carelo cartuchos polvorin Pablo segovia</t>
  </si>
  <si>
    <t>CAR - aguinaldo dic Valeria Olemdo</t>
  </si>
  <si>
    <t>CAR - agiuinaldo dic Paloma Marchetti</t>
  </si>
  <si>
    <t>CAR - renovacion guia de armas</t>
  </si>
  <si>
    <t>CAR - dgi irae</t>
  </si>
  <si>
    <t>TH001400000204</t>
  </si>
  <si>
    <t>Extracción de Banco 001400000204 Obs: 31-12-2025  Mov Lodge</t>
  </si>
  <si>
    <t>000000000298</t>
  </si>
  <si>
    <t>CA.DU55- 25/26- Richard White - ValleySW- 7 Checks $ 37.885,00 -30-11-2025</t>
  </si>
  <si>
    <t>CAR27- 25/26- Rick Holland - #108 $5400 Comparte con DEL  - ValleySW- 7 Checks $ 37.885,00 -30-11-20</t>
  </si>
  <si>
    <t>CAR14- 25/26- Frontiers (KT $ 34.650,00  + NT $ 35.100,00 + CT $ 15.600,00 + EDI $ 6.800,00 + KL $ 4</t>
  </si>
  <si>
    <t>CA.DU47- 25/26- Lawson Trawick - ValleySW- WIRE IN GFT 202512010028077 LAWSON TRAWICK  LAWSON TRAWIC</t>
  </si>
  <si>
    <t>CAR4- 25/26- Seth Holmes - Comparte con KT11 - ValleySW- ACH CREDIT IAT CMPY ID: 1832188652 Seth Hol</t>
  </si>
  <si>
    <t>CA.DU56- 25/26- Ethan Seye - #2096 - ValleySW- 11 Checks $ 94.201,25 -03-12-2025</t>
  </si>
  <si>
    <t>TI001400000184</t>
  </si>
  <si>
    <t>Ingreso a Caja 001400000184 Obs: Movimiento_Cajas_Bancos_Semana 25-26 al 19-12-2025</t>
  </si>
  <si>
    <t>CA.DU45 -25/26-Christian Dodson -CMSW 11-2025- Pago via MTP</t>
  </si>
  <si>
    <t>000000000305</t>
  </si>
  <si>
    <t>CA.DU3 -26/27-JC Pruden -CMSW 11-2025- Pago via MTP</t>
  </si>
  <si>
    <t>CA.DU44 -25/26-Jimmy Feiber -CMSW 11-2025- Pago via MTP</t>
  </si>
  <si>
    <t>CA.DU44 -25/26-James Feiber -CMSW 11-2025- Pago via MTP</t>
  </si>
  <si>
    <t>CA.DU46 -25/26-Jason Goldberg -CMSW 11-2025- Pago via MTP</t>
  </si>
  <si>
    <t>CA.DU53 -25/26-Steven Wells -CMSW 11-2025- Pago via MTP</t>
  </si>
  <si>
    <t>CAR5 -25/26-Jack McInerney -CMSW 11-2025- Pago por MTP</t>
  </si>
  <si>
    <t>CA.DU53 -25/26-Jeffrey Scott Hawkins -CMSW 11-2025- Pago via MTP</t>
  </si>
  <si>
    <t>CAR20 -25/26-Fred Hand -CMSW 11-2025- Pago via MTP</t>
  </si>
  <si>
    <t>CA.DU53 -25/26-John Berry Morris -CMSW 11-2025- Pago via MTP</t>
  </si>
  <si>
    <t>CAR1 -25/26-Niclas Palmstierna -CMSW 11-2025- Pago por MTP</t>
  </si>
  <si>
    <t>CA.DU54 -25/26-Andrew Nye -CMSW 11-2025- Pago via MTP</t>
  </si>
  <si>
    <t>CA.DU53 -25/26-Richard sitten -CMSW 11-2025- Pago via MTP</t>
  </si>
  <si>
    <t>CAR5- 25/26- Michael Smith - #12973 - ValleySW- 20 Checks $ 106.084,25 -09-12-2025</t>
  </si>
  <si>
    <t>11/12/2025</t>
  </si>
  <si>
    <t>TI001400000191</t>
  </si>
  <si>
    <t>Ingreso a Caja 001400000191 Obs: CAR - entrego Mariana para OBRAS COCINA</t>
  </si>
  <si>
    <t>CAR - entrego Mariana para OBRAS COCINA</t>
  </si>
  <si>
    <t>000000000307</t>
  </si>
  <si>
    <t>CA.DU38- 25/26- Andrew Crabill - $5100 Comparte con DEL41 - ValleySW-  19 Checks $ 162.388,00 -19-12</t>
  </si>
  <si>
    <t>CA.DU48- 25/26- Donald Hefley - ValleySW-  19 Checks $ 162.388,00 -19-12-2025</t>
  </si>
  <si>
    <t>CA.DU55- 25/56- Ken and Rachel - ValleySW-  19 Checks $ 162.388,00 -19-12-2025</t>
  </si>
  <si>
    <t>CA.DU54- 25/26- Mattew Stut - ValleySW- 12 Checks $ 69.350,00 -12-12-2025</t>
  </si>
  <si>
    <t>CA.DU55- 25/26- Chris williams - ValleySW- 12 Checks $ 69.350,00 -12-12-2025</t>
  </si>
  <si>
    <t>CAR29- 25/26 - Eric Otte - ValleySW-  19 Checks $ 162.388,00 -19-12-2025</t>
  </si>
  <si>
    <t>TI001400000216</t>
  </si>
  <si>
    <t>Ingreso a Caja 001400000216 Obs: Movimiento_Cajas_Bancos_Semana 25-26 al 09-01-2026</t>
  </si>
  <si>
    <t>CA.DU48 -25/26-Tommy McGee -CMSW 12-2025- Pago via MTP</t>
  </si>
  <si>
    <t>000000000309</t>
  </si>
  <si>
    <t>CA.DU54 -25/26-Jim Cormier -CMSW 12-2025- Pago via MTP</t>
  </si>
  <si>
    <t>CA.DU58 -25/26-Anthony Reiher -CMSW 12-2025- Pago via MTP</t>
  </si>
  <si>
    <t>CAR15- 25/26- Tabor Brooks - ValleySW- ACH CREDIT CIE CMPY ID: T941687665 GARNETT BROOKS SENDER 8353</t>
  </si>
  <si>
    <t>CA.DU10 -26/27-Ben Hobson -CMSW 12-2025- Pago via MTP</t>
  </si>
  <si>
    <t>CAR5 -25/26-Vance Bryan -CMSW 12-2025- Pago por MTP</t>
  </si>
  <si>
    <t>CA.DU9- 26/27- Ryan Earls - ValleySW- WIRE IN GFT 202512290016690 MID SHORE DIESEL L LC RYAN EARLS /</t>
  </si>
  <si>
    <t>CA.DU6 -26/27-Zach Mears -CMSW 12-2025- Pago via MTP</t>
  </si>
  <si>
    <t>CAR19 -25/26-Roland Jarlgaard -CMSW 12-2025- Pago via MTP</t>
  </si>
  <si>
    <t>CAR18 -25/26-Robert Louis Blankenship -CMSW 12-2025- Pago por MTP</t>
  </si>
  <si>
    <t>CA.DU9 -26/27-Keith Alan Harris -CMSW 12-2025- Pago via MTP</t>
  </si>
  <si>
    <t>CA.DU18 -25/26-Gary Bennet -CMSW 12-2025- Pago via MTP $1605 comparte con DEL</t>
  </si>
  <si>
    <t>CA.DU34 -25/26-Janet Martin -CMSW 12-2025- Pago via MTP</t>
  </si>
  <si>
    <t>CAR15- 25/26- Frank Cash - ValleySW- WIRE IN GFT 202512260019277 SILAS E RAGSDALE  FRANK CASH</t>
  </si>
  <si>
    <t xml:space="preserve">CAR15- 25/26- bobby feather - ValleySW- WIRE IN GFT 202512260012845 ROBERT K FEATHER  OTHER-PAYMENT </t>
  </si>
  <si>
    <t>CA.DU57- 25/26- Weston Keenan - #392 - ValleySW-  12 Checks $ 36.517,50 -24-12-2025</t>
  </si>
  <si>
    <t>CAR15- 25/26- Silas Ragsdale - ValleySW- WIRE IN GFT 202512260010657 SILAS E RAGSDALE  SILAS E RAGSD</t>
  </si>
  <si>
    <t>CAR24- 25/26 Frontiers (KT $ 23.100,00  + FFDOS PA $ 75.000,00)  Total $ 98.100,00</t>
  </si>
  <si>
    <t>CA.DU52- 25/26- Jacob Smith - #12650 - ValleySW-  12 Checks $ 36.517,50 -24-12-2025</t>
  </si>
  <si>
    <t>CAR10- 25/26- Frontiers (KT $ 23.100,00  + FFDOS PA $ 75.000,00)  Total $ 98.100,00</t>
  </si>
  <si>
    <t>CAR31- 25/26- Jeff Andrese - ValleySW-  12 Checks $ 36.517,50 -24-12-2025</t>
  </si>
  <si>
    <t>CAR31- 25/26- Kolbi Andresen - ValleySW-  12 Checks $ 36.517,50 -24-12-2025</t>
  </si>
  <si>
    <t>CA.DU54- 25/26- Randy Newell - ValleySW-  7 Checks $ 43.521,50 -22-12-2025</t>
  </si>
  <si>
    <t>0129</t>
  </si>
  <si>
    <t>UY- ValleySW- ANALYSIS RESULTS CHG ANALYSIS ACTIVITY   FOR 08/25</t>
  </si>
  <si>
    <t>UY- Traida Cash para pagos Cash</t>
  </si>
  <si>
    <t>TA001400000050</t>
  </si>
  <si>
    <t>Canje de Valores 001400000050 Obs: UY-Cambio $ 600,000</t>
  </si>
  <si>
    <t>000000000054</t>
  </si>
  <si>
    <t>UY- Maintenance Fees CC Monthly Fee 09/2025</t>
  </si>
  <si>
    <t>TE001400000065</t>
  </si>
  <si>
    <t>Extracción de Caja 001400000065 Obs: Movimiento_Cajas_Bancos_Semana 25-26 al 17-10-2025</t>
  </si>
  <si>
    <t>UY- ValleyFF- ANALYSIS RESULTS CHG ANALYSIS ACTIVITY   FOR 09/25</t>
  </si>
  <si>
    <t>000000000109</t>
  </si>
  <si>
    <t>TA001400000086</t>
  </si>
  <si>
    <t>Canje de Valores 001400000086 Obs: UY-Cambio $ 300,000</t>
  </si>
  <si>
    <t>000000000150</t>
  </si>
  <si>
    <t>UY- Maintenance Fees CC Monthly Fee 10/2025</t>
  </si>
  <si>
    <t>TA001400000134</t>
  </si>
  <si>
    <t>Canje de Valores 001400000134 Obs: UY-Cambio $ 100,000</t>
  </si>
  <si>
    <t>000000000199</t>
  </si>
  <si>
    <t>TA001400000171</t>
  </si>
  <si>
    <t>Canje de Valores 001400000171 Obs: UY-Cambio $ 100,000</t>
  </si>
  <si>
    <t>000000000200</t>
  </si>
  <si>
    <t>UY- Pago Cuota 9 de 10 Ex prestamo Todd Obras UL - Caja USD Adm</t>
  </si>
  <si>
    <t>UY Acciones Marketing 24/25</t>
  </si>
  <si>
    <t>UY- ValleySW- ANALYSIS RESULTS CHG ANALYSIS ACTIVITY   FOR 10/25</t>
  </si>
  <si>
    <t>UY- Maintenance Fees CC Monthly Fee 11/2025</t>
  </si>
  <si>
    <t>TA001400000177</t>
  </si>
  <si>
    <t>Canje de Valores 001400000177 Obs: UY-Cambio $ 100,000</t>
  </si>
  <si>
    <t>000000000268</t>
  </si>
  <si>
    <t>TA001400000183</t>
  </si>
  <si>
    <t>Canje de Valores 001400000183 Obs: UY-Cambio $ 500,000</t>
  </si>
  <si>
    <t>000000000269</t>
  </si>
  <si>
    <t>TA001400000219</t>
  </si>
  <si>
    <t>Canje de Valores 001400000219 Obs: Reversión de documento</t>
  </si>
  <si>
    <t>000000000272</t>
  </si>
  <si>
    <t>TA001400000220</t>
  </si>
  <si>
    <t>Canje de Valores 001400000220 Obs: UY-Cambio $ 500,000</t>
  </si>
  <si>
    <t>000000000273</t>
  </si>
  <si>
    <t>UY-Pasajes Prana-UY- Marina Sup/Budget UY--MARINA GARCIA-BUE-MVD-BUE</t>
  </si>
  <si>
    <t>TE001400000200</t>
  </si>
  <si>
    <t>Extracción de Caja 001400000200 Obs: Movimiento_Cajas_Bancos_Semana 25-26 al 26-12-2025</t>
  </si>
  <si>
    <t>UY- Maintenance Fees CC Monthly Fee 12/2025</t>
  </si>
  <si>
    <t>000000000288</t>
  </si>
  <si>
    <t>5335</t>
  </si>
  <si>
    <t>DL - USA</t>
  </si>
  <si>
    <t>Codigo Cuenta</t>
  </si>
  <si>
    <t>Cuenta Contable</t>
  </si>
  <si>
    <t>Saldo - $</t>
  </si>
  <si>
    <t>Saldo - u$s</t>
  </si>
  <si>
    <t>Tipo cambio</t>
  </si>
  <si>
    <t>Modulo</t>
  </si>
  <si>
    <t>Cod Centro Costo</t>
  </si>
  <si>
    <t>gestionid</t>
  </si>
  <si>
    <t>Detalle</t>
  </si>
  <si>
    <t>Observaciones</t>
  </si>
  <si>
    <t>Observación Adicional</t>
  </si>
  <si>
    <t>Número</t>
  </si>
  <si>
    <t>Ejercicio</t>
  </si>
  <si>
    <t>SJ5258</t>
  </si>
  <si>
    <t>CAR5217</t>
  </si>
  <si>
    <t>CAR5236</t>
  </si>
  <si>
    <t>CAR5288</t>
  </si>
  <si>
    <t>SJ5292</t>
  </si>
  <si>
    <t>UL5292</t>
  </si>
  <si>
    <t>CAR5292</t>
  </si>
  <si>
    <t>TEMPORADA 2025-2026</t>
  </si>
  <si>
    <t>CONTROLES GLOBALES:</t>
  </si>
  <si>
    <t>Carmelo Lodge</t>
  </si>
  <si>
    <t>Temporada</t>
  </si>
  <si>
    <t>Accumulated</t>
  </si>
  <si>
    <t>Cantidad</t>
  </si>
  <si>
    <t>25_26</t>
  </si>
  <si>
    <t>Pax
Lodge</t>
  </si>
  <si>
    <t>Pax
Ventas</t>
  </si>
  <si>
    <t>Dif
Pax</t>
  </si>
  <si>
    <t>BN Lodge</t>
  </si>
  <si>
    <t>BN
Vtas</t>
  </si>
  <si>
    <t>Dif BN</t>
  </si>
  <si>
    <t>FECHA APP</t>
  </si>
  <si>
    <t>FECHA VENTAS</t>
  </si>
  <si>
    <t>Name Group</t>
  </si>
  <si>
    <t>Nota 
de Venta</t>
  </si>
  <si>
    <t>BN 
Vtas</t>
  </si>
  <si>
    <t>Dif</t>
  </si>
  <si>
    <t>CA.DU1</t>
  </si>
  <si>
    <t>CA.DU14</t>
  </si>
  <si>
    <t>CA.DU2</t>
  </si>
  <si>
    <t>CA.DU25</t>
  </si>
  <si>
    <t>saldo nov Celmu Multcar</t>
  </si>
  <si>
    <t>Transaccion laboral Michel Cufre</t>
  </si>
  <si>
    <t>sueldo diciembre Caro Horta</t>
  </si>
  <si>
    <t>bps , fonasa  iva dic Caro Horta</t>
  </si>
  <si>
    <t>nafta tramites Caro Horta</t>
  </si>
  <si>
    <t>deb comi</t>
  </si>
  <si>
    <t>flete cartuchos Pablo Segovia</t>
  </si>
  <si>
    <t>flete 4 cartuchos pablo segovia</t>
  </si>
  <si>
    <t>gas man relacion</t>
  </si>
  <si>
    <t>telefoni antel internet</t>
  </si>
  <si>
    <t>internet starlink</t>
  </si>
  <si>
    <t>EXTRA CONTABLE REVERSAR EN ENERO 26</t>
  </si>
  <si>
    <t>5255Movilidad y Viaticos-Locales</t>
  </si>
  <si>
    <t>AJUSTAR</t>
  </si>
  <si>
    <t>AJUSTAR DE SJ A CARMELO</t>
  </si>
  <si>
    <t xml:space="preserve">ESTO CONSULTANDO A SOFI </t>
  </si>
  <si>
    <t xml:space="preserve">MOBILIDAD Y VIATICOS LOCALES </t>
  </si>
  <si>
    <t>GASTOS VARIOS</t>
  </si>
  <si>
    <t>ES TODO MONITOREO PATOS</t>
  </si>
  <si>
    <t>ESTO ES COMBUSTIBLE 2024/2025 NO DEBIO HABER QUEDADO EN ESTE AÑO.</t>
  </si>
  <si>
    <t>ESTO ES TODO URUGUAY LODGE</t>
  </si>
  <si>
    <t>12020501Equipos Computación/Software</t>
  </si>
  <si>
    <t>YA ESTABA REVERSADO</t>
  </si>
  <si>
    <t>5292Permisos Control Ambiental/Patos</t>
  </si>
  <si>
    <t>5291Comida / Fletes</t>
  </si>
  <si>
    <t>SEPT - DIC</t>
  </si>
  <si>
    <t>CAR5258</t>
  </si>
  <si>
    <t>CAR5283</t>
  </si>
  <si>
    <t>ENE</t>
  </si>
  <si>
    <t>Uruguay</t>
  </si>
  <si>
    <t>16/01/2026</t>
  </si>
  <si>
    <t>TI001400000224</t>
  </si>
  <si>
    <t>Ingreso a Caja 001400000224 Obs: Movimiento_Cajas_Bancos_Semana 25-26 al 16-01-2026</t>
  </si>
  <si>
    <t>"CA.DU11- 26/27-</t>
  </si>
  <si>
    <t>000000000345</t>
  </si>
  <si>
    <t>26/01/2026</t>
  </si>
  <si>
    <t>TE001400000225</t>
  </si>
  <si>
    <t>Extracción de Caja 001400000225 Obs: 26-01-2026  Mov Lodge</t>
  </si>
  <si>
    <t>"CAR - Limpieza radiador + instalación controlador +Arreglo AA"</t>
  </si>
  <si>
    <t>000000000327</t>
  </si>
  <si>
    <t>"CAR - PinturerosPintura interior y exterior"</t>
  </si>
  <si>
    <t>"CAR - Sueldo santiago staff mantenimiento carmeloOctubre -Noviembre-Diciembre + Aguinaldo Diciembre</t>
  </si>
  <si>
    <t>CA.DU11- 26/27- joe burnett - ValleySW-  20 Checks $ 77.368,00 -12-01-2026</t>
  </si>
  <si>
    <t>09/01/2026</t>
  </si>
  <si>
    <t>TI001400000217</t>
  </si>
  <si>
    <t>Ingreso a Caja 001400000217 Obs: Movimiento_Cajas_Bancos_Semana 25-26 al 09-01-2026</t>
  </si>
  <si>
    <t>CA.DU11- 26/27- Stanley Balcer - #2257 - ValleySW-  24 Checks $ 113.065,75 -02-01-2026</t>
  </si>
  <si>
    <t>000000000310</t>
  </si>
  <si>
    <t>23/01/2026</t>
  </si>
  <si>
    <t>TE001400000242</t>
  </si>
  <si>
    <t>Extracción de Caja 001400000242 Obs: Movimiento_Cajas_Bancos_Semana 25-26 al 23-01-2026</t>
  </si>
  <si>
    <t xml:space="preserve">CA.DU12- 25/26- Cade Roller - ValleySW- WIRE IN GFT 202601120022216 CADE ROLLER  INVOICE# 202601021 </t>
  </si>
  <si>
    <t>000000000329</t>
  </si>
  <si>
    <t>30/01/2026</t>
  </si>
  <si>
    <t>TI001400000245</t>
  </si>
  <si>
    <t>Ingreso a Caja 001400000245 Obs: Movimiento_Cajas_Bancos_Semana 25-26 al 30-01-2026</t>
  </si>
  <si>
    <t>CA.DU12- 26/27- Aidan ShafferValleySW- WIRE IN GFT 202601140009723 AIDAN K SHAFFER TO DSUBJECT TO ST</t>
  </si>
  <si>
    <t>000000000348</t>
  </si>
  <si>
    <t>TI001400000240</t>
  </si>
  <si>
    <t>Ingreso a Caja 001400000240 Obs: Movimiento_Cajas_Bancos_Semana 25-26 al 23-01-2026</t>
  </si>
  <si>
    <t xml:space="preserve">CA.DU12- 26/27- Cade Roller - ValleySW- WIRE IN GFT 202601120022216 CADE ROLLER  INVOICE# 202601021 </t>
  </si>
  <si>
    <t>000000000347</t>
  </si>
  <si>
    <t>CA.DU13- 26/27- -Clayton Heckler - ValleySW-  14 Checks $ 62.290,25 -05-01-2026</t>
  </si>
  <si>
    <t>CA.DU15- 26/27- Grant Newmon - #1203 - ValleySW-  15 Checks $ 85.983,63 -15-01-2026</t>
  </si>
  <si>
    <t>CA.DU15- 26/27- Shovelain - ValleySW-  20 Checks $ 77.368,00 -12-01-2026</t>
  </si>
  <si>
    <t>CA.DU16- 26/27- - Errett Rush - #6281 - ValleySW-  19 Checks $ 56.296,00 -20-01-2026</t>
  </si>
  <si>
    <t>CA.DU16- 26/27- Jeremy Rodrock - #1479 - ValleySW-  19 Checks $ 56.296,00 -20-01-2026</t>
  </si>
  <si>
    <t>31/01/2026</t>
  </si>
  <si>
    <t>TI001400000265</t>
  </si>
  <si>
    <t>Ingreso a Caja 001400000265 Obs: Movimiento_Cajas_Bancos_Semana 25-26 al 06-02-2026</t>
  </si>
  <si>
    <t>CA.DU16- 26/27- Preston laurenz - #1185 - ValleySW-  19 Checks $ 56.296,00 -20-01-2026</t>
  </si>
  <si>
    <t>000000000373</t>
  </si>
  <si>
    <t>TI001400000270</t>
  </si>
  <si>
    <t>Asiento de CAJA (2025-09-01 - 2026-08-31)</t>
  </si>
  <si>
    <t>Ingreso a Caja 001400000270 Obs: Movimiento_Cajas_Bancos_Semana 25-26 al 13-02-2026</t>
  </si>
  <si>
    <t>CA.DU18-Gary Bennet Extras 25-26 - ID 40234 -EXtras 25/26- -CMSW 01-2026-</t>
  </si>
  <si>
    <t>000000000422</t>
  </si>
  <si>
    <t>TE001400000271</t>
  </si>
  <si>
    <t>Extracción de Caja 001400000271 Obs: Movimiento_Cajas_Bancos_Semana 25-26 al 13-02-2026</t>
  </si>
  <si>
    <t>CA.DU18-Gary Bennet Extras 25-26 - ID 40234 -EXtras 25/26- -CMSW 01-2026- -CC</t>
  </si>
  <si>
    <t>000000000412</t>
  </si>
  <si>
    <t>CA.DU18-James Plumhoff Extras 25-26 - ID 40233 -EXtras 25/26- -CMSW 01-2026-</t>
  </si>
  <si>
    <t>CA.DU18-James Plumhoff Extras 25-26 - ID 40233 -EXtras 25/26- -CMSW 01-2026- -CC</t>
  </si>
  <si>
    <t>CA.DU18-Ray Dix Extras 25-26 - ID 40236 -EXtras 25/26- -CMSW 01-2026-</t>
  </si>
  <si>
    <t>CA.DU18-Ray Dix Extras 25-26 - ID 40236 -EXtras 25/26- -CMSW 01-2026- -CC</t>
  </si>
  <si>
    <t xml:space="preserve">CA.DU40- 25/26- Drew Andreson - $5438,68 Comparte con DEL45 - ValleySW- WIRE IN GFT 202601050012266 </t>
  </si>
  <si>
    <t>TI001400000268</t>
  </si>
  <si>
    <t>Ingreso a Caja 001400000268 Obs: Movimiento_Cajas_Bancos_Semana 25-26 al 13-02-2026</t>
  </si>
  <si>
    <t>CA.DU44 -25/26-Chris Carlson -CMSW 01-2026- Pago via MTP</t>
  </si>
  <si>
    <t>000000000420</t>
  </si>
  <si>
    <t>CA.DU44 -25/26-Chris Carlson -CMSW 01-2026- Pago via MTP-CC</t>
  </si>
  <si>
    <t>CA.DU58-Angelo Pacheco-Extras 25-26-ID-42033 -EXtras 25/26- -CMSW 01-2026-</t>
  </si>
  <si>
    <t>CA.DU58-Angelo Pacheco-Extras 25-26-ID-42033 -EXtras 25/26- -CMSW 01-2026- -CC</t>
  </si>
  <si>
    <t>CA.DU58-Anthony Reiher-Extras 25-26-ID-41984 -EXtras 25/26- -CMSW 01-2026-</t>
  </si>
  <si>
    <t>CA.DU58-Anthony Reiher-Extras 25-26-ID-41984 -EXtras 25/26- -CMSW 01-2026- -CC</t>
  </si>
  <si>
    <t>CA.DU58-Sean Adam Gardner-Extras 25-26-ID-42034 -EXtras 25/26- -CMSW 01-2026-</t>
  </si>
  <si>
    <t>CA.DU58-Sean Adam Gardner-Extras 25-26-ID-42034 -EXtras 25/26- -CMSW 01-2026- -CC</t>
  </si>
  <si>
    <t>CA.DU59- 25/26- Emily Hume - ValleySW- WIRE IN GFT 202601080013854 AUBREY VIRGINIA BE CKNER TRIP RE:</t>
  </si>
  <si>
    <t>CA.DU60- 25/26- James Alderson - ValleySW-  19 Checks $ 56.296,00 -20-01-2026</t>
  </si>
  <si>
    <t>CA.DU60- 25/26- Russell Straate - ValleySW-  19 Checks $ 56.296,00 -20-01-2026</t>
  </si>
  <si>
    <t>CA.DU60- 25/26- Tom Plein - ValleySW-  10 Checks $ 64.531,20 -23-01-2026</t>
  </si>
  <si>
    <t>CA.DU60 -25/26-Bruce Bray -CMSW 01-2026- Pago via MTP</t>
  </si>
  <si>
    <t>CA.DU60 -25/26-Bruce Bray -CMSW 01-2026- Pago via MTP-CC</t>
  </si>
  <si>
    <t>CA.DU62- 25/26- Taylor Emanuel - ValleySW- WIRE IN GFT 202601260022726 TAYLOR EMANUEL SHE NKMAN SWIF</t>
  </si>
  <si>
    <t>CA.DU8- 26/27- Grizzly - ValleySW-  20 Checks $ 77.368,00 -12-01-2026 Checks $ 3.600,00</t>
  </si>
  <si>
    <t>CA.DU9 -26/27-Josh Schmitz -CMSW 01-2026- Pago via MTP</t>
  </si>
  <si>
    <t>CA.DU9 -26/27-Josh Schmitz -CMSW 01-2026- Pago via MTP-CC</t>
  </si>
  <si>
    <t>12/01/2026</t>
  </si>
  <si>
    <t>TE001400000213</t>
  </si>
  <si>
    <t>Extracción de Caja 001400000213 Obs: 12-01-2026  Mov Lodge</t>
  </si>
  <si>
    <t>CAR - 10 bidones de agua</t>
  </si>
  <si>
    <t>000000000290</t>
  </si>
  <si>
    <t>CAR - 10 bolsas de hielo</t>
  </si>
  <si>
    <t>CAR - 10 mts de Lena espinillo</t>
  </si>
  <si>
    <t>CAR - 12 Bidones de agua</t>
  </si>
  <si>
    <t>TE001400000248</t>
  </si>
  <si>
    <t>Extracción de Caja 001400000248 Obs: 31-01-2026  Mov Lodge</t>
  </si>
  <si>
    <t>CAR - 12 vasos trago largo + 12 vasos whiskey</t>
  </si>
  <si>
    <t>000000000333</t>
  </si>
  <si>
    <t>CAR - 2 masajes grupo  jarglaard</t>
  </si>
  <si>
    <t>CAR - 2 May de yoga para clientas que solicitaron para su estadía</t>
  </si>
  <si>
    <t>CAR - 2 Pantalones uniformes santiago</t>
  </si>
  <si>
    <t>CAR - 4 masajes</t>
  </si>
  <si>
    <t>CAR - 4 zapatillas + 2 pantalones mucamas</t>
  </si>
  <si>
    <t>CAR - 5 maples de huevos</t>
  </si>
  <si>
    <t>CAR - 6 Bulliet y    6 makers mark</t>
  </si>
  <si>
    <t>CAR - 6 cintas rótulos impresoras brother</t>
  </si>
  <si>
    <t>CAR - 6 maples de Huevos y 1 miel</t>
  </si>
  <si>
    <t>CAR - Abono plantas</t>
  </si>
  <si>
    <t>TH001400000255</t>
  </si>
  <si>
    <t>Extracción de Banco 001400000255 Obs: 31-01-2026  Mov Lodge</t>
  </si>
  <si>
    <t>CAR - adelanto pago a bird boys enero reembolso a Long</t>
  </si>
  <si>
    <t>000000000342</t>
  </si>
  <si>
    <t>CAR - adelanto sueldo enero Pablo Gadea por arreglo camioneta</t>
  </si>
  <si>
    <t>CAR - Agua</t>
  </si>
  <si>
    <t>CAR - aguas</t>
  </si>
  <si>
    <t>CAR - Ahí bidones x 12</t>
  </si>
  <si>
    <t>CAR - Alimentos</t>
  </si>
  <si>
    <t>CAR - Alimentos varios</t>
  </si>
  <si>
    <t>CAR - almacen  surtido  casa staff y comida viajes long</t>
  </si>
  <si>
    <t>TH001400000236</t>
  </si>
  <si>
    <t>Extracción de Banco 001400000236 Obs: 26-01-2026  Mov Lodge</t>
  </si>
  <si>
    <t>CAR - Antel telefonia e internet</t>
  </si>
  <si>
    <t>000000000337</t>
  </si>
  <si>
    <t>TH001400000254</t>
  </si>
  <si>
    <t>Extracción de Banco 001400000254 Obs: 31-01-2026  Mov Lodge</t>
  </si>
  <si>
    <t>CAR - areglos cubierta y repuestos master reembolso Long</t>
  </si>
  <si>
    <t>000000000341</t>
  </si>
  <si>
    <t>CAR - Arena y Portland para obra estacionamiento</t>
  </si>
  <si>
    <t>CAR - Arreglo fundas pileta</t>
  </si>
  <si>
    <t>CAR - arreglo mensual Santiago Carrato diciembre</t>
  </si>
  <si>
    <t>CAR - arreglo motosierra y desmalezadora LONG</t>
  </si>
  <si>
    <t>CAR - arreglo puerta deposito</t>
  </si>
  <si>
    <t>CAR - arreglos electricidad y reposiciones Casa staff</t>
  </si>
  <si>
    <t>CAR - Art limpieza</t>
  </si>
  <si>
    <t>CAR - Art mantenimiento</t>
  </si>
  <si>
    <t>CAR - Artículos bazaar cocina</t>
  </si>
  <si>
    <t>CAR - Artículos farmacia para botiquín inicio temporada y amenities para clientes, kit dental, peine</t>
  </si>
  <si>
    <t>CAR - Artículos ferretería mantenimiento lodge</t>
  </si>
  <si>
    <t>CAR - Artículos ferretería sanitarios y pileta</t>
  </si>
  <si>
    <t>CAR - Artículos ferreteriq</t>
  </si>
  <si>
    <t>CAR - Artículos librería, sobre, cuaderno, post it</t>
  </si>
  <si>
    <t>CAR - Artículos limpieza</t>
  </si>
  <si>
    <t>CAR - Artículos limpieza. Lodge apertura</t>
  </si>
  <si>
    <t>CAR - Artículos para armar enchufes en cocina nueva</t>
  </si>
  <si>
    <t>CAR - Artículos varios bazaar, tuppers, platinas cocina, cajones freezer</t>
  </si>
  <si>
    <t>CAR - asientos cuero cazadores</t>
  </si>
  <si>
    <t>CAR - Balanza</t>
  </si>
  <si>
    <t>CAR - bastones magneticos para cartuchos usados</t>
  </si>
  <si>
    <t>CAR - bateria master y neumaticos arreglos reembolso long</t>
  </si>
  <si>
    <t>CAR - bateria y neumaticos  Master Long</t>
  </si>
  <si>
    <t>CAR - BB enero 1 Enzo Rodriguez Pulero</t>
  </si>
  <si>
    <t>CAR - bb quincena 1 Nahuel Martinez</t>
  </si>
  <si>
    <t>CAR - Bebidas blancas para apertura y cervezas</t>
  </si>
  <si>
    <t>CAR - bebidas gaseosas Belater enero</t>
  </si>
  <si>
    <t>CAR - blinds y decoys Alberto regusci</t>
  </si>
  <si>
    <t>CAR - Botas Birdo boys y guias</t>
  </si>
  <si>
    <t>CAR - Bowls cocina cargador tablet</t>
  </si>
  <si>
    <t>CAR - bps , fonasa  iva dic Caro Horta</t>
  </si>
  <si>
    <t>CAR - Bps enero Carmelo</t>
  </si>
  <si>
    <t>CAR - buzos polars nuevos invierno</t>
  </si>
  <si>
    <t>CAR - CAFE</t>
  </si>
  <si>
    <t>CAR - camisas bordadas guias nuevos</t>
  </si>
  <si>
    <t>CAR - Canilla para bacha cocina, cemento y tornillos para reparación empalizada madera estacionamien</t>
  </si>
  <si>
    <t>CAR - Capacitor as y abrazaderas</t>
  </si>
  <si>
    <t>CAR - Carnicería apertura</t>
  </si>
  <si>
    <t>CAR - Clavos para pérgola  estacionamiento</t>
  </si>
  <si>
    <t>CAR - Clavos y tornillos</t>
  </si>
  <si>
    <t>CAR - Cloro para pileta y tornillos</t>
  </si>
  <si>
    <t>CAR - cloro pileta</t>
  </si>
  <si>
    <t>CAR - cloro y art pileta</t>
  </si>
  <si>
    <t>CAR - Combustible</t>
  </si>
  <si>
    <t>CAR - Combustible Camioneta Lodge</t>
  </si>
  <si>
    <t>CAR - combustible vehiculos enero Servicios Carmelo</t>
  </si>
  <si>
    <t>CAR - combustible viajes varios Long</t>
  </si>
  <si>
    <t>CAR - Comida apertura lodge</t>
  </si>
  <si>
    <t>CAR - Comida para gatos</t>
  </si>
  <si>
    <t>CAR - Comida santiago mantenimiento carmelo</t>
  </si>
  <si>
    <t>CAR - copas de vino salida clientes campo y canasto copas y encomienda reposiciones</t>
  </si>
  <si>
    <t>CAR - cubiertas master reembolso a long</t>
  </si>
  <si>
    <t>TH001400000235</t>
  </si>
  <si>
    <t>Extracción de Banco 001400000235 Obs: 26-01-2026  Mov Lodge</t>
  </si>
  <si>
    <t>CAR - cuota 9 Hyundai seguro SURA</t>
  </si>
  <si>
    <t>000000000336</t>
  </si>
  <si>
    <t>CAR - cuota 9 seguro Fiat SURA</t>
  </si>
  <si>
    <t>CAR - deb com ingreso de OFICINA</t>
  </si>
  <si>
    <t>CAR - den comi</t>
  </si>
  <si>
    <t>CAR - deposito carniceria del centro enero Carmelo</t>
  </si>
  <si>
    <t>CAR - dgi</t>
  </si>
  <si>
    <t>CAR - Dulces y conservas azúcar masca o hibiscus etc ..</t>
  </si>
  <si>
    <t>CAR - Entradas campos enero Andrea Rossi</t>
  </si>
  <si>
    <t>CAR - Envío 37 cajas de vino de maontevideo a carmelonlodge</t>
  </si>
  <si>
    <t>CAR - Envio amenities</t>
  </si>
  <si>
    <t>CAR - Envío ropa blanca surtex</t>
  </si>
  <si>
    <t>CAR - Envío whiskeys</t>
  </si>
  <si>
    <t>CAR - equipos lluvia y mochilas reposiciones uniformes</t>
  </si>
  <si>
    <t>CAR - Estanterías metálicas para depósito cocina</t>
  </si>
  <si>
    <t>CAR - Farmacia clientes OFF repelente y papeleria Long</t>
  </si>
  <si>
    <t>CAR - Farmacia -Protector solar clientes</t>
  </si>
  <si>
    <t>CAR - Fibrinas de tiza</t>
  </si>
  <si>
    <t>CAR - flete cartuchos Pablo Segovia</t>
  </si>
  <si>
    <t>CAR - foco y membrana para arreglo camioneta Master LONG</t>
  </si>
  <si>
    <t>CAR - fundas escopetas carmelo</t>
  </si>
  <si>
    <t>CAR - gorras bordadas regalo clientes</t>
  </si>
  <si>
    <t>CAR - Gourmeat enero</t>
  </si>
  <si>
    <t>CAR - Hielo x 15 bolsas</t>
  </si>
  <si>
    <t>CAR - Huevos caseros y miel</t>
  </si>
  <si>
    <t>19/01/2026</t>
  </si>
  <si>
    <t>TD001400000230</t>
  </si>
  <si>
    <t>Depósito a Banco 001400000230 Obs: 26-01-2026  Mov Lodge</t>
  </si>
  <si>
    <t>000000000320</t>
  </si>
  <si>
    <t>TI001400000226</t>
  </si>
  <si>
    <t>Ingreso a Caja 001400000226 Obs: CAR - Ingreso fondos oficina</t>
  </si>
  <si>
    <t>CAR - Ingreso fondos oficina</t>
  </si>
  <si>
    <t>000000000346</t>
  </si>
  <si>
    <t>CAR - jabones amenities Uruguay enero</t>
  </si>
  <si>
    <t>CAR - limpieza casa vecchio staff LONG</t>
  </si>
  <si>
    <t>CAR - lona y bolsas equipos Long</t>
  </si>
  <si>
    <t>CAR - Maderas para arreglo empalizada estacionamiento huéspedes</t>
  </si>
  <si>
    <t>CAR - Manteca + hibiscus</t>
  </si>
  <si>
    <t>CAR - mantenimiento combustible cortadora cesped y camioneta manager Servicios Carmelo</t>
  </si>
  <si>
    <t>CAR - mantenimiento limpieza equipos LONG</t>
  </si>
  <si>
    <t>CAR - medio aguimaldo Caro Horta</t>
  </si>
  <si>
    <t>CAR - motor H1 arreglo y repuestos</t>
  </si>
  <si>
    <t>CAR - nafta tramites Caro Horta</t>
  </si>
  <si>
    <t>CAR - pago a credito febrero supermercado Los Valla</t>
  </si>
  <si>
    <t>CAR - pago credito febrero Carniceria del Centro</t>
  </si>
  <si>
    <t>CAR - Pago envío whisky</t>
  </si>
  <si>
    <t>CAR - Pago última quincena diciembre y primera quincena enero TOM jardinero</t>
  </si>
  <si>
    <t>CAR - pantalones guias y bird boys</t>
  </si>
  <si>
    <t>CAR - papeleria LONG</t>
  </si>
  <si>
    <t>CAR - Papelero + bolsas ziploc</t>
  </si>
  <si>
    <t>CAR - pasaje LONG</t>
  </si>
  <si>
    <t>CAR - pasaje Martin Barrios desde Argentina a Carmelo</t>
  </si>
  <si>
    <t>CAR - Pepinillos quesos</t>
  </si>
  <si>
    <t>CAR - Permiso de cacería grupo Jarlgaard x 2</t>
  </si>
  <si>
    <t>CAR - Permisos cacería  grupo  Reiner x 3</t>
  </si>
  <si>
    <t>CAR - Permisos caza Gilberto pty</t>
  </si>
  <si>
    <t>CAR - Permisos caza x 6 pax</t>
  </si>
  <si>
    <t>CAR - permisos enero Carmelo Mati Vila</t>
  </si>
  <si>
    <t>CAR - Permisos primeros grupos febrero Mati Vila</t>
  </si>
  <si>
    <t>CAR - Permisos pty little</t>
  </si>
  <si>
    <t>CAR - Pintura y pincel</t>
  </si>
  <si>
    <t>CAR - PKF contadores Carmelo</t>
  </si>
  <si>
    <t>CAR - precintos tapones auditivos y repo equipos caza Long</t>
  </si>
  <si>
    <t>CAR - quesos y lacteos Finesa enero</t>
  </si>
  <si>
    <t>CAR - Recarga 8 matafuegos y compra 1 matafuegos cocina</t>
  </si>
  <si>
    <t>CAR - Salames y quesos caseros</t>
  </si>
  <si>
    <t>CAR - saldo nov Celmu Multcar</t>
  </si>
  <si>
    <t>CAR - seña buzos polars guias y bird boys</t>
  </si>
  <si>
    <t>CAR - seña Handys</t>
  </si>
  <si>
    <t>CAR - Servicio ambulancia noviembre diciembre enero</t>
  </si>
  <si>
    <t>CAR - servilletas logo Lodge</t>
  </si>
  <si>
    <t>CAR - sueldo diciembre Caro Horta</t>
  </si>
  <si>
    <t>CAR - sueldo diciembre Paloma Marchetti</t>
  </si>
  <si>
    <t>CAR - sueldo diciembre Stephany Shur</t>
  </si>
  <si>
    <t>CAR - sueldo diciembre Valeria Olmedo</t>
  </si>
  <si>
    <t>CAR - sueldo diciembre Yuliana Gonzalez</t>
  </si>
  <si>
    <t>CAR - surtido casa staff reembolso LONG</t>
  </si>
  <si>
    <t>CAR - Tabla de planchar y plancha</t>
  </si>
  <si>
    <t>CAR - Tags bolsas lavandería papel craft</t>
  </si>
  <si>
    <t>CAR - Taxi colonia - lodge cocineros</t>
  </si>
  <si>
    <t>CAR - Trabajos para hacer pozos staff contratado por santiago mantenimiento</t>
  </si>
  <si>
    <t>CAR - Transaccion laboral Michel Cufre</t>
  </si>
  <si>
    <t>CAR - Transfer little pty x5 y plumhoff pty x 4</t>
  </si>
  <si>
    <t>CAR - Transfer lodge aeropuerto carmelo por Fortete</t>
  </si>
  <si>
    <t>CAR - UTE electricidad Lodge Carmelo</t>
  </si>
  <si>
    <t>CAR - Velas, artículos bazaar cocina y fibrinas para pizarra cocina</t>
  </si>
  <si>
    <t>CAR - verduleria los 4 hermanos enero</t>
  </si>
  <si>
    <t>CAR - Viaje a buquebus, Luca iglesia</t>
  </si>
  <si>
    <t>TE001400000222</t>
  </si>
  <si>
    <t>Extracción de Caja 001400000222 Obs: Movimiento_Cajas_Bancos_Semana 25-26 al 16-01-2026</t>
  </si>
  <si>
    <t>CAR- ValleySW- CARMELO LODGE SAS - (Carmelo Operating Needs - January)-</t>
  </si>
  <si>
    <t>000000000325</t>
  </si>
  <si>
    <t>CAR15- 25/26- Bob Ownby - ValleySW-  14 Checks $ 62.290,25 -05-01-2026</t>
  </si>
  <si>
    <t>CAR15- 25/26- George Cowden - #6712 - ValleySW-  14 Checks $ 62.290,25 -05-01-2026</t>
  </si>
  <si>
    <t>CAR15- 25/26- Glenn Payne - ValleySW- WIRE IN GFT 202601020024996 GLENN A PAYNE  /PURP/HUNTING TRIP</t>
  </si>
  <si>
    <t>CAR15- 25/26- Kevin Dinnin - #165 - ValleySW-  14 Checks $ 62.290,25 -05-01-2026</t>
  </si>
  <si>
    <t>CAR15- 25/26- Kim Jay Moore - ValleySW- WIRE IN GFT 202601050028886 KIM JAY MOORE  OTHER-PAYMENT FOR</t>
  </si>
  <si>
    <t>CAR19-Roland Jarlgaard-Extras 25-26-ID-41303 -EXtras 25/26- -CMSW 01-2026-</t>
  </si>
  <si>
    <t>CAR19-Roland Jarlgaard-Extras 25-26-ID-41303 -EXtras 25/26- -CMSW 01-2026- -CC</t>
  </si>
  <si>
    <t>CAR21-Edward Gilberth-Extras 25-26-ID-41933 -EXtras 25/26- -CMSW 01-2026-</t>
  </si>
  <si>
    <t>CAR21-Edward Gilberth-Extras 25-26-ID-41933 -EXtras 25/26- -CMSW 01-2026- -CC</t>
  </si>
  <si>
    <t>CAR23- 25/26- Henry Smith II - Check # 188 - ValleySW-  20 Checks $ 77.368,00 -12-01-2026</t>
  </si>
  <si>
    <t>CAR24-John Barnwell-Extras 25-26-ID-41936 -EXtras 25/26- -CMSW 01-2026-</t>
  </si>
  <si>
    <t>CAR24-John Barnwell-Extras 25-26-ID-41936 -EXtras 25/26- -CMSW 01-2026- -CC</t>
  </si>
  <si>
    <t>CAR30 -25/26-Matthew hodson -CMSW 01-2026- Paga vía MTP</t>
  </si>
  <si>
    <t>CAR30 -25/26-Matthew hodson -CMSW 01-2026- Paga vía MTP-CC</t>
  </si>
  <si>
    <t>CAR32- 25/26- Stephen Lanier - comparte con LC19 - ValleySW- WIRE IN GFT 202601150030113 STEPHEN S L</t>
  </si>
  <si>
    <t>CAR34 -25/26-Charlie Fowler -CMSW 01-2026- Paga vía MTP</t>
  </si>
  <si>
    <t>CAR34 -25/26-Charlie Fowler -CMSW 01-2026- Paga vía MTP-CC</t>
  </si>
  <si>
    <t>CAR35 -25/26-William Wood -CMSW 01-2026- Paga vía MTP</t>
  </si>
  <si>
    <t>CAR35 -25/26-William Wood -CMSW 01-2026- Paga vía MTP-CC</t>
  </si>
  <si>
    <t>CAR4- 25/26- Thomas holmes - $ 6050 Comparte con KT11 - ValleySW- WIRE IN INTL GFT 202601020004824 T</t>
  </si>
  <si>
    <t>TE001400000215</t>
  </si>
  <si>
    <t>Extracción de Caja 001400000215 Obs: Movimiento_Cajas_Bancos_Semana 25-26 al 09-01-2026</t>
  </si>
  <si>
    <t>CAR-Caja Carmelo - lleva Maria Capizzi F.Fijo Oper. Al 09-01-2026</t>
  </si>
  <si>
    <t>000000000292</t>
  </si>
  <si>
    <t>TE001400000246</t>
  </si>
  <si>
    <t>Extracción de Caja 001400000246 Obs: Movimiento_Cajas_Bancos_Semana 25-26 al 30-01-2026</t>
  </si>
  <si>
    <t>CAR-Caja Lodge - retiran managers 30-1 F.Fijo Oper. Al 30-01-202</t>
  </si>
  <si>
    <t>000000000331</t>
  </si>
  <si>
    <t>TE001400000243</t>
  </si>
  <si>
    <t>Extracción de Caja 001400000243 Obs: Movimiento_Cajas_Bancos_Semana 25-26 al 23-01-2026</t>
  </si>
  <si>
    <t>CAR-Compra perforadora 3 agujeros F.Fijo Oper. Al 23-01-2026</t>
  </si>
  <si>
    <t>000000000330</t>
  </si>
  <si>
    <t>TE001400000266</t>
  </si>
  <si>
    <t>Extracción de Caja 001400000266 Obs: Movimiento_Cajas_Bancos_Semana 25-26 al 06-02-2026</t>
  </si>
  <si>
    <t>CAR-Impresión 50 postales elite club + 400 score cards +300 WL F.Fijo Oper. Al 06-02-2026 - $ 558.00</t>
  </si>
  <si>
    <t>000000000368</t>
  </si>
  <si>
    <t>TE001400000247</t>
  </si>
  <si>
    <t>Extracción de Caja 001400000247 Obs: Movimiento_Cajas_Bancos_Semana 25-26 al 30-01-2026</t>
  </si>
  <si>
    <t>CAR-Impresiones 50 Postales elite club + 400 score cards 15x20 en 300gr con trazado + 300 postales f</t>
  </si>
  <si>
    <t>000000000332</t>
  </si>
  <si>
    <t>CAR-Pasajes Prana-Apertura Cocina Carmelo--IGLESIAS LUCAS-BUQUEBUS</t>
  </si>
  <si>
    <t>CAR-Pasajes Prana-Apertura Cocina Carmelo--IGLESIAS LUCAS-BUS TUC-RET</t>
  </si>
  <si>
    <t>CAR-Pasajes Prana-Apertura Maria CAR--MARIA CAPIZZI-COLONIA EXPRESS BS AS - COL</t>
  </si>
  <si>
    <t>CAR-Pasajes Prana-Servicios CAR--RAFAEL JOSE ANZOLA QUERALES-COLONIA EXPRESS BS AS - COL</t>
  </si>
  <si>
    <t>CAR-Pasajes Prana-Servicios CAR--VICTORIA ALANIS DARI-COLONIA EXPRESS BS AS - COL</t>
  </si>
  <si>
    <t>TE001400000223</t>
  </si>
  <si>
    <t>Extracción de Caja 001400000223 Obs: Movimiento_Cajas_Bancos_Semana 25-26 al 16-01-2026</t>
  </si>
  <si>
    <t>CAR-Saldo 50 % - Latin Gráfica - impresión brochures x 20 unidades F.Fijo Oper. Al 16-01-2026</t>
  </si>
  <si>
    <t>000000000326</t>
  </si>
  <si>
    <t>CAR-Servicio Mensajeria Mensual - Diciembre - Logistica Enlace F.Fijo Oper. Al 16-01-2026</t>
  </si>
  <si>
    <t>CAR-TriSW Fee CC 01-2026</t>
  </si>
  <si>
    <t>CAR-Uniformes completos cocina y delantales + uniformes mucamas - Savastano F.Fijo Oper. Al 16-01-20</t>
  </si>
  <si>
    <t>29/01/2026</t>
  </si>
  <si>
    <t>VF000000004067B</t>
  </si>
  <si>
    <t>F B 000000004067</t>
  </si>
  <si>
    <t>Ref. nota de Venta: CA.DU18
Obs.:31-01-2026_CLIENTES</t>
  </si>
  <si>
    <t>000000000355</t>
  </si>
  <si>
    <t>210614</t>
  </si>
  <si>
    <t>Donaciones</t>
  </si>
  <si>
    <t>VF000000004068B</t>
  </si>
  <si>
    <t>F B 000000004068</t>
  </si>
  <si>
    <t>000000000356</t>
  </si>
  <si>
    <t>VF000000004069B</t>
  </si>
  <si>
    <t>F B 000000004069</t>
  </si>
  <si>
    <t>000000000357</t>
  </si>
  <si>
    <t>VF000000004070B</t>
  </si>
  <si>
    <t>F B 000000004070</t>
  </si>
  <si>
    <t>Ref. nota de Venta: CA.DU27
Obs.:31-01-2026_CLIENTES</t>
  </si>
  <si>
    <t>000000000358</t>
  </si>
  <si>
    <t>25/01/2026</t>
  </si>
  <si>
    <t>VF000000003819B</t>
  </si>
  <si>
    <t>F B 000000003819</t>
  </si>
  <si>
    <t>Ref. nota de Venta: CA.DU58
Obs.:26-01-2026_CLIENTES</t>
  </si>
  <si>
    <t>000000000349</t>
  </si>
  <si>
    <t>22/01/2026</t>
  </si>
  <si>
    <t>VF000000003820B</t>
  </si>
  <si>
    <t>F B 000000003820</t>
  </si>
  <si>
    <t>000000000350</t>
  </si>
  <si>
    <t>VF000000003821B</t>
  </si>
  <si>
    <t>F B 000000003821</t>
  </si>
  <si>
    <t>000000000351</t>
  </si>
  <si>
    <t>VF000000004071B</t>
  </si>
  <si>
    <t>F B 000000004071</t>
  </si>
  <si>
    <t>Ref. nota de Venta: CA.DU58
Obs.:31-01-2026_CLIENTES</t>
  </si>
  <si>
    <t>000000000359</t>
  </si>
  <si>
    <t>VF000000004072B</t>
  </si>
  <si>
    <t>F B 000000004072</t>
  </si>
  <si>
    <t>000000000360</t>
  </si>
  <si>
    <t>VF000000004073B</t>
  </si>
  <si>
    <t>F B 000000004073</t>
  </si>
  <si>
    <t>000000000361</t>
  </si>
  <si>
    <t>20/01/2026</t>
  </si>
  <si>
    <t>VF000000003822B</t>
  </si>
  <si>
    <t>F B 000000003822</t>
  </si>
  <si>
    <t>Ref. nota de Venta: CAR19
Obs.:26-01-2026_CLIENTES</t>
  </si>
  <si>
    <t>000000000352</t>
  </si>
  <si>
    <t>21/01/2026</t>
  </si>
  <si>
    <t>VF000000003823B</t>
  </si>
  <si>
    <t>F B 000000003823</t>
  </si>
  <si>
    <t>Ref. nota de Venta: CAR21
Obs.:26-01-2026_CLIENTES</t>
  </si>
  <si>
    <t>000000000353</t>
  </si>
  <si>
    <t>VF000000004074B</t>
  </si>
  <si>
    <t>F B 000000004074</t>
  </si>
  <si>
    <t>Ref. nota de Venta: CAR23
Obs.:31-01-2026_CLIENTES</t>
  </si>
  <si>
    <t>000000000362</t>
  </si>
  <si>
    <t>VF000000003824B</t>
  </si>
  <si>
    <t>F B 000000003824</t>
  </si>
  <si>
    <t>Ref. nota de Venta: CAR24
Obs.:26-01-2026_CLIENTES</t>
  </si>
  <si>
    <t>000000000354</t>
  </si>
  <si>
    <t>TH001400000256</t>
  </si>
  <si>
    <t>Extracción de Banco 001400000256 Obs: 31-01-2026  Mov Lodge</t>
  </si>
  <si>
    <t>SJ - adelanto servicios personales enero Caro Horta</t>
  </si>
  <si>
    <t>000000000343</t>
  </si>
  <si>
    <t>SJ - antel telefonia internet lodge</t>
  </si>
  <si>
    <t>TD001400000252</t>
  </si>
  <si>
    <t>Depósito a Banco 001400000252 Obs: SJ - antel telefonia IVA</t>
  </si>
  <si>
    <t>SJ - antel telefonia IVA</t>
  </si>
  <si>
    <t>000000000324</t>
  </si>
  <si>
    <t>TH001400000238</t>
  </si>
  <si>
    <t>Extracción de Banco 001400000238 Obs: 26-01-2026  Mov Lodge</t>
  </si>
  <si>
    <t>000000000339</t>
  </si>
  <si>
    <t>TH001400000237</t>
  </si>
  <si>
    <t>Extracción de Banco 001400000237 Obs: 26-01-2026  Mov Lodge</t>
  </si>
  <si>
    <t>SJ - conservadoras  Carmelo</t>
  </si>
  <si>
    <t>000000000338</t>
  </si>
  <si>
    <t>TH001400000257</t>
  </si>
  <si>
    <t>Extracción de Banco 001400000257 Obs: 31-01-2026  Mov Lodge</t>
  </si>
  <si>
    <t>SJ - contadores ganado (palomas) CARMELO PAGO TARJETA credito cuenta en SJ</t>
  </si>
  <si>
    <t>000000000344</t>
  </si>
  <si>
    <t>SJ - contadores paloma carmelo</t>
  </si>
  <si>
    <t>SJ - flete 4 cartuchos pablo segovia</t>
  </si>
  <si>
    <t>TD001400000232</t>
  </si>
  <si>
    <t>Depósito a Banco 001400000232 Obs: SJ - ingreso de OFCINA</t>
  </si>
  <si>
    <t>SJ - ingreso de OFCINA</t>
  </si>
  <si>
    <t>000000000322</t>
  </si>
  <si>
    <t>TD001400000231</t>
  </si>
  <si>
    <t>Depósito a Banco 001400000231 Obs: SJ - red iva antel</t>
  </si>
  <si>
    <t>SJ - red iva antel</t>
  </si>
  <si>
    <t>000000000321</t>
  </si>
  <si>
    <t>SJ - Seguro multiriesgos LCO</t>
  </si>
  <si>
    <t>SJ - SP diciembre Sofia Barran</t>
  </si>
  <si>
    <t>SJ - SP diciembre TAtiana Ribas</t>
  </si>
  <si>
    <t>SJ - telefoni antel internet</t>
  </si>
  <si>
    <t>SJ - Traspaso para fondear UL $</t>
  </si>
  <si>
    <t>SJ - veterinaria Mirenxu DICIEMBRE</t>
  </si>
  <si>
    <t>SJ- ValleySW- La Cazadora Oriental Limitada - (uruguay Operating Needs - January)-</t>
  </si>
  <si>
    <t>SJ20- 25/26- Phil Marks III - ValleySW-  24 Checks $ 113.065,75 -02-01-2026</t>
  </si>
  <si>
    <t>SJ22- 25/26- Luis Tagle - ValleySW- WIRE IN INTL GFT 202601140003113 EDWARDS RUIZ-TAGLE  LUIS GERMAN</t>
  </si>
  <si>
    <t>SJ22- 25/26- Patricio Allende - ValleySW- WIRE IN INTL GFT 202601270011261 1/INVERSIONES ALCO  LIMIT</t>
  </si>
  <si>
    <t>TD001400000251</t>
  </si>
  <si>
    <t>Depósito a Banco 001400000251 Obs: TRaspaso de USD SJ</t>
  </si>
  <si>
    <t>TRaspaso de USD SJ</t>
  </si>
  <si>
    <t>000000000323</t>
  </si>
  <si>
    <t>UL3- 25/26- elizabeth Ebeling - ValleySW-  14 Checks $ 62.290,25 -05-01-2026</t>
  </si>
  <si>
    <t>TH001400000233</t>
  </si>
  <si>
    <t>Extracción de Banco 001400000233 Obs: 26-01-2026  Mov Lodge</t>
  </si>
  <si>
    <t>000000000334</t>
  </si>
  <si>
    <t>UL-banking card costo</t>
  </si>
  <si>
    <t>TH001400000234</t>
  </si>
  <si>
    <t>Extracción de Banco 001400000234 Obs: UL-banking card costo</t>
  </si>
  <si>
    <t>000000000335</t>
  </si>
  <si>
    <t>TD001400000229</t>
  </si>
  <si>
    <t>Depósito a Banco 001400000229 Obs: 26-01-2026  Mov Lodge</t>
  </si>
  <si>
    <t>UL-fondea de SJ USD para banking Card costo</t>
  </si>
  <si>
    <t>000000000319</t>
  </si>
  <si>
    <t>UL-internet starlink</t>
  </si>
  <si>
    <t>TD001400000228</t>
  </si>
  <si>
    <t>Depósito a Banco 001400000228 Obs: 26-01-2026  Mov Lodge</t>
  </si>
  <si>
    <t>UL-red iva antel</t>
  </si>
  <si>
    <t>000000000318</t>
  </si>
  <si>
    <t>TH001400000253</t>
  </si>
  <si>
    <t>Extracción de Banco 001400000253 Obs: UL-stralink internet</t>
  </si>
  <si>
    <t>UL-stralink internet</t>
  </si>
  <si>
    <t>000000000340</t>
  </si>
  <si>
    <t>UL-Traspaso de SJ USD para fondear</t>
  </si>
  <si>
    <t>UY- Maintenance Fees CC Monthly Fee 01/2026</t>
  </si>
  <si>
    <t>TA001400000249</t>
  </si>
  <si>
    <t>Canje de Valores 001400000249 Obs: SJ - TRaspaso a $</t>
  </si>
  <si>
    <t>000000000316</t>
  </si>
  <si>
    <t>VR000000003839</t>
  </si>
  <si>
    <t>Recibo: 000000003839Cliente: MT41303 Obs: 26-01-2026_COBRANZAS_CLIENTES</t>
  </si>
  <si>
    <t>000000000363</t>
  </si>
  <si>
    <t>VR000000004736</t>
  </si>
  <si>
    <t>Recibo: 000000004736Cliente: MT41303 Obs: Reversión de documento</t>
  </si>
  <si>
    <t>000000000450</t>
  </si>
  <si>
    <t>TA001400000227</t>
  </si>
  <si>
    <t>Canje de Valores 001400000227 Obs: CAR - TRaspaso a $</t>
  </si>
  <si>
    <t>000000000313</t>
  </si>
  <si>
    <t>TA001400000250</t>
  </si>
  <si>
    <t>Canje de Valores 001400000250 Obs: TRaspaso a $</t>
  </si>
  <si>
    <t>000000000317</t>
  </si>
  <si>
    <t>VR000000004566</t>
  </si>
  <si>
    <t>Recibo: 000000004566Cliente: MT40234 Obs: CA.DU18-Gary Bennet Extras 25-26 - ID 40234 -EXtras 25/26- -CMSW 01-2026-</t>
  </si>
  <si>
    <t>000000000436</t>
  </si>
  <si>
    <t>VR000000004567</t>
  </si>
  <si>
    <t>Recibo: 000000004567Cliente: MT40233 Obs: CA.DU18-James Plumhoff Extras 25-26 - ID 40233 -EXtras 25/26- -CMSW 01-2026-</t>
  </si>
  <si>
    <t>000000000437</t>
  </si>
  <si>
    <t>VR000000004568</t>
  </si>
  <si>
    <t>Recibo: 000000004568Cliente: MT40233 Obs: CA.DU18-James Plumhoff Extras 25-26 - ID 40233 -EXtras 25/26- -CMSW 01-2026-</t>
  </si>
  <si>
    <t>000000000438</t>
  </si>
  <si>
    <t>VR000000004569</t>
  </si>
  <si>
    <t>Recibo: 000000004569Cliente: MT40236 Obs: CA.DU18-Ray Dix Extras 25-26 - ID 40236 -EXtras 25/26- -CMSW 01-2026-</t>
  </si>
  <si>
    <t>000000000439</t>
  </si>
  <si>
    <t>VR000000004570</t>
  </si>
  <si>
    <t>Recibo: 000000004570Cliente: MT42033 Obs: CA.DU58-Angelo Pacheco-Extras 25-26-ID-42033 -EXtras 25/26- -CMSW 01-2026-</t>
  </si>
  <si>
    <t>000000000440</t>
  </si>
  <si>
    <t>VR000000004571</t>
  </si>
  <si>
    <t>Recibo: 000000004571Cliente: MT41984 Obs: CA.DU58-Anthony Reiher-Extras 25-26-ID-41984 -EXtras 25/26- -CMSW 01-2026-</t>
  </si>
  <si>
    <t>000000000441</t>
  </si>
  <si>
    <t>VR000000004572</t>
  </si>
  <si>
    <t>Recibo: 000000004572Cliente: MT42034 Obs: CA.DU58-Sean Adam Gardner-Extras 25-26-ID-42034 -EXtras 25/26- -CMSW 01-2026-</t>
  </si>
  <si>
    <t>000000000442</t>
  </si>
  <si>
    <t>VR000000004574</t>
  </si>
  <si>
    <t>Recibo: 000000004574Cliente: MT41303 Obs: CAR19-Roland Jarlgaard-Extras 25-26-ID-41303 -EXtras 25/26- -CMSW 01-2026-</t>
  </si>
  <si>
    <t>000000000443</t>
  </si>
  <si>
    <t>VR000000004575</t>
  </si>
  <si>
    <t>Recibo: 000000004575Cliente: MT41933 Obs: CAR21-Edward Gilberth-Extras 25-26-ID-41933 -EXtras 25/26- -CMSW 01-2026-</t>
  </si>
  <si>
    <t>000000000444</t>
  </si>
  <si>
    <t>VR000000004576</t>
  </si>
  <si>
    <t>Recibo: 000000004576Cliente: MT41936 Obs: CAR24-John Barnwell-Extras 25-26-ID-41936 -EXtras 25/26- -CMSW 01-2026-</t>
  </si>
  <si>
    <t>000000000445</t>
  </si>
  <si>
    <t>VR000000004737</t>
  </si>
  <si>
    <t>Recibo: 000000004737Cliente: MT41303 Obs: 31-01-2026_COBRANZAS_CLIENTES</t>
  </si>
  <si>
    <t>000000000451</t>
  </si>
  <si>
    <t>TA001400000221</t>
  </si>
  <si>
    <t>Canje de Valores 001400000221 Obs: UY-Cambio $ 1,300,000</t>
  </si>
  <si>
    <t>000000000312</t>
  </si>
  <si>
    <t>TA001400000239</t>
  </si>
  <si>
    <t>Canje de Valores 001400000239 Obs: UY-Cambio $ 100,000</t>
  </si>
  <si>
    <t>000000000314</t>
  </si>
  <si>
    <t>TA001400000244</t>
  </si>
  <si>
    <t>Canje de Valores 001400000244 Obs: UY-Cambio $ 500,000</t>
  </si>
  <si>
    <t>000000000315</t>
  </si>
  <si>
    <t>UL5257</t>
  </si>
  <si>
    <t>SJ5257</t>
  </si>
  <si>
    <t>CAR5257</t>
  </si>
  <si>
    <t>Irby Iii Charles</t>
  </si>
  <si>
    <t>Christopher Carter</t>
  </si>
  <si>
    <t>Scott Ellis Hargraves</t>
  </si>
  <si>
    <t>Ryan Lee</t>
  </si>
  <si>
    <t>Rosemary Ramirez Barbour</t>
  </si>
  <si>
    <t>Charles Haydon Stanley, Ii</t>
  </si>
  <si>
    <t>Kent Moreaux</t>
  </si>
  <si>
    <t>Roland Jarlgaard</t>
  </si>
  <si>
    <t>CAR19</t>
  </si>
  <si>
    <t>Edward Gilberth</t>
  </si>
  <si>
    <t>CAR21</t>
  </si>
  <si>
    <t>John Barnwell</t>
  </si>
  <si>
    <t>CAR24</t>
  </si>
  <si>
    <t>Anthony Reiher</t>
  </si>
  <si>
    <t>CA.DU58</t>
  </si>
  <si>
    <t>James Plumhoff</t>
  </si>
  <si>
    <t>CA.DU18</t>
  </si>
  <si>
    <t>Henry Smith</t>
  </si>
  <si>
    <t>CAR23</t>
  </si>
  <si>
    <t>David Little</t>
  </si>
  <si>
    <t>CA.DU27</t>
  </si>
  <si>
    <t>tip enero Juan Long</t>
  </si>
  <si>
    <t>tip enero Pablo Gadea</t>
  </si>
  <si>
    <t>complementa tip enero Juan Long</t>
  </si>
  <si>
    <t>servicios personales ENERO Sofia Barran</t>
  </si>
  <si>
    <t>Servicios profesionales ENERO Tatiana Ribas</t>
  </si>
  <si>
    <t>entrada campos  enero Carlos Bianchi</t>
  </si>
  <si>
    <t>entrada campos enero Daniel Beron</t>
  </si>
  <si>
    <t>entrada campos enero Daniel Palomares</t>
  </si>
  <si>
    <t>honorarios enero Mati Vila</t>
  </si>
  <si>
    <t>bb enero 2 Ramiro Martinez</t>
  </si>
  <si>
    <t>UTE electricidad casa staff enero</t>
  </si>
  <si>
    <t>UTE electricidad Lodge enero</t>
  </si>
  <si>
    <t>BPS BWS empresa enero y febrero</t>
  </si>
  <si>
    <t>complemento honorarios enero Caro Horta</t>
  </si>
  <si>
    <t>Tips enero santiago mantenimiento</t>
  </si>
  <si>
    <t>Pago tips enero Paloma housekeeping</t>
  </si>
  <si>
    <t>Pago tips enero Rafael cocinero</t>
  </si>
  <si>
    <t>Pago tips enero Victoria cocinera</t>
  </si>
  <si>
    <t>Pago tips enero Yuliana camarera</t>
  </si>
  <si>
    <t>Pagos tips enero Valeria housekeeping</t>
  </si>
  <si>
    <t>Pago tips enero stefi housekeeping</t>
  </si>
  <si>
    <t>Pago tips manager enero</t>
  </si>
  <si>
    <t>sueldo enero Paloma Marchetti</t>
  </si>
  <si>
    <t>sueldo enero Stefany Suhr</t>
  </si>
  <si>
    <t>sueldo enero Valeria Olmedo</t>
  </si>
  <si>
    <t>sueldo enero Yuliana Gonzalez</t>
  </si>
  <si>
    <t>bb enero 2 brando ponce</t>
  </si>
  <si>
    <t>bb enero 2 brandon maidana</t>
  </si>
  <si>
    <t>bb enero 2 brian crame</t>
  </si>
  <si>
    <t>bb enero 2 denzel maidana</t>
  </si>
  <si>
    <t>bb enero 2 edgardo martinez</t>
  </si>
  <si>
    <t>bb enero 2 Enzo rodriguez</t>
  </si>
  <si>
    <t>bb enero 2 jose daniel mousquin</t>
  </si>
  <si>
    <t>bb enero 2 julian rodriguez</t>
  </si>
  <si>
    <t>bb enero 2 lautaro tahiel</t>
  </si>
  <si>
    <t>bb enero 2 marcelo Martinez</t>
  </si>
  <si>
    <t>bb enero 2 mauricio landechea</t>
  </si>
  <si>
    <t>bb enero 2 nahuel martinez</t>
  </si>
  <si>
    <t>bb enero 2 nicolas siritto</t>
  </si>
  <si>
    <t>bb enero 2 victor ramirez</t>
  </si>
  <si>
    <t>sueldo enero Martin Barrios</t>
  </si>
  <si>
    <t>sueldo enero Pablo Gadea</t>
  </si>
  <si>
    <t>servicios personales enero completa Caro Horta</t>
  </si>
  <si>
    <t>Sueldo santiago Benítez mantenimiento lodge enero</t>
  </si>
  <si>
    <t>Pago última quincena de enero Washington jardinero</t>
  </si>
  <si>
    <t>EXTRA CONTABLE REVERSAR EN FEBRERO 26</t>
  </si>
  <si>
    <t>PAGAN LOS DUEÑOS DE LA PROPIEDAD</t>
  </si>
  <si>
    <t>COMIDA</t>
  </si>
  <si>
    <t>COSTO EXTRAS</t>
  </si>
  <si>
    <t>PASA A SAN JUAN</t>
  </si>
  <si>
    <t>VIATICOS LOCALES</t>
  </si>
  <si>
    <t>COMBUSTIBLE VEHICULOS</t>
  </si>
  <si>
    <t>MOV Y VIATICOS LOCALES</t>
  </si>
  <si>
    <t>5218Fletes y Aéreos</t>
  </si>
  <si>
    <t>5219Gastos Varios</t>
  </si>
  <si>
    <t>5247Combustible y Lub- Elect-Gener</t>
  </si>
  <si>
    <t>5248Combustible y Lub-Vehiculo Bot</t>
  </si>
  <si>
    <t>5250Comidas y Refrigerios</t>
  </si>
  <si>
    <t>5251Artículos de Limpieza</t>
  </si>
  <si>
    <t>21k que se haga cargo el Fondo y 
recuperar de Carmelo</t>
  </si>
  <si>
    <t>Son Campos anuales que quedo una parte en este año 2026</t>
  </si>
  <si>
    <t>Remuneraciones Guia</t>
  </si>
  <si>
    <t xml:space="preserve">Usd 3500 corresponden a temporada 2025. </t>
  </si>
  <si>
    <t>USD 1573 Corresponden a temporada 2025</t>
  </si>
  <si>
    <t>5228Remuneraciones Managers</t>
  </si>
  <si>
    <t>Fixed Asset's Payments (Investments) Mejoras/equipamiento Lodge - RECUPERO -</t>
  </si>
  <si>
    <t>12020103R</t>
  </si>
  <si>
    <t>CAR12020103R</t>
  </si>
  <si>
    <t>UL12020103R</t>
  </si>
  <si>
    <t>Esto es 100% Obra VALLE DE SOBA. TOTAL A APORTAR POR URU LODGE USD 30.500</t>
  </si>
  <si>
    <t>CAR- Gtos 24/25 Abonados a poterior Sep 2025</t>
  </si>
  <si>
    <t>SJ- Gtos 24/25 Abonados a poterior Sep 2025</t>
  </si>
  <si>
    <t>USD</t>
  </si>
  <si>
    <t>Pesos</t>
  </si>
  <si>
    <t>Cto</t>
  </si>
  <si>
    <t>Janet Martin-Clark</t>
  </si>
  <si>
    <t>CA.DU34</t>
  </si>
  <si>
    <t>Michael Bailey</t>
  </si>
  <si>
    <t>CA.DU39</t>
  </si>
  <si>
    <t>Richard Sitten</t>
  </si>
  <si>
    <t>CA.DU53</t>
  </si>
  <si>
    <t>Sean Markus</t>
  </si>
  <si>
    <t>CA.DU12</t>
  </si>
  <si>
    <t>Nick Peake</t>
  </si>
  <si>
    <t>CAR11</t>
  </si>
  <si>
    <t>Michael Thomas</t>
  </si>
  <si>
    <t>CAR5</t>
  </si>
  <si>
    <t>James Weiss</t>
  </si>
  <si>
    <t>CAR7</t>
  </si>
  <si>
    <t>Aron Allen</t>
  </si>
  <si>
    <t>CAR8</t>
  </si>
  <si>
    <t>Charlie Fowler</t>
  </si>
  <si>
    <t>CAR34</t>
  </si>
  <si>
    <t>Chris Dodsson</t>
  </si>
  <si>
    <t>CA.DU45</t>
  </si>
  <si>
    <t>Michael Gillespie</t>
  </si>
  <si>
    <t>CA.DU50</t>
  </si>
  <si>
    <t>Elizabeth Barr</t>
  </si>
  <si>
    <t>CAR14</t>
  </si>
  <si>
    <t>Jason Maloy</t>
  </si>
  <si>
    <t>CA.DU35</t>
  </si>
  <si>
    <t>Hayley Arnold</t>
  </si>
  <si>
    <t>CA.DU8</t>
  </si>
  <si>
    <t>Kyle Muir</t>
  </si>
  <si>
    <t>CA.DU20</t>
  </si>
  <si>
    <t>David J. Christensen</t>
  </si>
  <si>
    <t>CA.DU32</t>
  </si>
  <si>
    <t>Robert Byng</t>
  </si>
  <si>
    <t>CAR17</t>
  </si>
  <si>
    <t>Curt Cramer</t>
  </si>
  <si>
    <t>CA.DU22</t>
  </si>
  <si>
    <t>Michael Paul</t>
  </si>
  <si>
    <t>CAR16</t>
  </si>
  <si>
    <t>Tyler Fortner</t>
  </si>
  <si>
    <t>CA.DU13</t>
  </si>
  <si>
    <t>Kelly Boger</t>
  </si>
  <si>
    <t>CA.DU28</t>
  </si>
  <si>
    <t>Taylor Shenkman</t>
  </si>
  <si>
    <t>CA.DU62</t>
  </si>
  <si>
    <t>Harry Burnham</t>
  </si>
  <si>
    <t>CAR3</t>
  </si>
  <si>
    <t>Niclas Palmstierna</t>
  </si>
  <si>
    <t>CAR1</t>
  </si>
  <si>
    <t>Christopher Neal</t>
  </si>
  <si>
    <t>CA.DU24</t>
  </si>
  <si>
    <t>Robert Blankenshiop</t>
  </si>
  <si>
    <t>CAR18</t>
  </si>
  <si>
    <t>Alan Boyce</t>
  </si>
  <si>
    <t>CAR28</t>
  </si>
  <si>
    <t>Scott Matlock</t>
  </si>
  <si>
    <t>CA.DU7</t>
  </si>
  <si>
    <t>Andy Crabill</t>
  </si>
  <si>
    <t>CA.DU38</t>
  </si>
  <si>
    <t>Paul Beisner</t>
  </si>
  <si>
    <t>CA.DU43</t>
  </si>
  <si>
    <t>Mr. Andrew Nye</t>
  </si>
  <si>
    <t>CA.DU54</t>
  </si>
  <si>
    <t>Spencer Thomas</t>
  </si>
  <si>
    <t>CA.DU16</t>
  </si>
  <si>
    <t>Chad Ratkovich</t>
  </si>
  <si>
    <t>CA.DU23</t>
  </si>
  <si>
    <t>William Wood</t>
  </si>
  <si>
    <t>CAR35</t>
  </si>
  <si>
    <t>FEB - MAR</t>
  </si>
  <si>
    <t>27/02/2026</t>
  </si>
  <si>
    <t>TI001400000302</t>
  </si>
  <si>
    <t>Asiento de CAJA (01/09/2025 - 310326)</t>
  </si>
  <si>
    <t>Ingreso a Caja 001400000302 Obs: Movimiento_Cajas_Bancos_Semana 25-26 al 27-02-2026</t>
  </si>
  <si>
    <t>"CA.DU12- 26/27-</t>
  </si>
  <si>
    <t>000000000533</t>
  </si>
  <si>
    <t>31/03/2026</t>
  </si>
  <si>
    <t>TI001400000360</t>
  </si>
  <si>
    <t>Ingreso a Caja 001400000360 Obs: Movimiento_Cajas_Bancos_Semana 25-26 al 03-04-2026</t>
  </si>
  <si>
    <t>"CA.DU21- 26/27-</t>
  </si>
  <si>
    <t>000000000539</t>
  </si>
  <si>
    <t>09/03/2026</t>
  </si>
  <si>
    <t>TE001400000314</t>
  </si>
  <si>
    <t>Extracción de Caja 001400000314 Obs: 09-03-2026  Mov Lodge</t>
  </si>
  <si>
    <t>"CAR - Compra bebidas en los ballaSe pagó en UY."</t>
  </si>
  <si>
    <t>000000000487</t>
  </si>
  <si>
    <t>"CAR - Compra colchoneta masajes x2 Envío + Colchonetas"</t>
  </si>
  <si>
    <t>23/02/2026</t>
  </si>
  <si>
    <t>TE001400000296</t>
  </si>
  <si>
    <t>Extracción de Caja 001400000296 Obs: 23-02-2026  Mov Lodge</t>
  </si>
  <si>
    <t>"CAR - Compra de antialgas y tornillo madera (1430 uruguayos)Se abono con usd"</t>
  </si>
  <si>
    <t>000000000484</t>
  </si>
  <si>
    <t>"CAR - Compra huevos (22 maples y 1kg miel)250 x maple200 x kg miel"</t>
  </si>
  <si>
    <t>"CAR - Compra los balla (esperando transferencia crédito, por lo tanto se pagó en pesos uruguayos)co</t>
  </si>
  <si>
    <t>28/02/2026</t>
  </si>
  <si>
    <t>TE001400000303</t>
  </si>
  <si>
    <t>Extracción de Caja 001400000303 Obs: 28-02-2026  Mov Lodge</t>
  </si>
  <si>
    <t>"CAR - Compra pago restante los balla:Crédito usado: 12.213 UYPago restante en UY: 6.487"</t>
  </si>
  <si>
    <t>000000000486</t>
  </si>
  <si>
    <t>"CAR - Compra pintura pared lavadero (total 8715 en pesos uruguayos) se abono con usdSe abono previa</t>
  </si>
  <si>
    <t>09/02/2026</t>
  </si>
  <si>
    <t>TE001400000258</t>
  </si>
  <si>
    <t>Extracción de Caja 001400000258 Obs: 09-02-2026  Mov Lodge</t>
  </si>
  <si>
    <t>"CAR - HieloPor 20 bolsas"</t>
  </si>
  <si>
    <t>000000000367</t>
  </si>
  <si>
    <t>TH001400000305</t>
  </si>
  <si>
    <t>Extracción de Banco 001400000305 Obs: 09-03-2026  Mov Lodge</t>
  </si>
  <si>
    <t>"CAR - i</t>
  </si>
  <si>
    <t>000000000509</t>
  </si>
  <si>
    <t>TI001400000319</t>
  </si>
  <si>
    <t>Ingreso a Caja 001400000319 Obs: Movimiento_Cajas_Bancos_Semana 25-26 al 06-03-2026</t>
  </si>
  <si>
    <t>CA.DU12- Brad Nicholson Extras 25-26 - ID 41629 -EXtras 25/26- -CMSW 02-2026-</t>
  </si>
  <si>
    <t>000000000534</t>
  </si>
  <si>
    <t>TE001400000317</t>
  </si>
  <si>
    <t>Extracción de Caja 001400000317 Obs: Movimiento_Cajas_Bancos_Semana 25-26 al 06-03-2026</t>
  </si>
  <si>
    <t>CA.DU12- Brad Nicholson Extras 25-26 - ID 41629 -EXtras 25/26- -CMSW 02-2026- -CC</t>
  </si>
  <si>
    <t>000000000489</t>
  </si>
  <si>
    <t>CA.DU12- Chris Danielski    Extras 25-26 - ID 28114 -EXtras 25/26- -CMSW 02-2026-</t>
  </si>
  <si>
    <t>CA.DU12- Chris Danielski    Extras 25-26 - ID 28114 -EXtras 25/26- -CMSW 02-2026- -CC</t>
  </si>
  <si>
    <t>CA.DU12- Craig Kwapnioski Extras 25-26 - ID 41632 -EXtras 25/26- -CMSW 02-2026-</t>
  </si>
  <si>
    <t>CA.DU12- Craig Kwapnioski Extras 25-26 - ID 41632 -EXtras 25/26- -CMSW 02-2026- -CC</t>
  </si>
  <si>
    <t>CA.DU12- Eric Noteboom Extras 25-26 - ID 41631 -EXtras 25/26- -CMSW 02-2026-</t>
  </si>
  <si>
    <t>CA.DU12- Eric Noteboom Extras 25-26 - ID 41631 -EXtras 25/26- -CMSW 02-2026- -CC</t>
  </si>
  <si>
    <t>CA.DU12- Mike Olson Extras 25-26 - ID 28113 -EXtras 25/26- -CMSW 02-2026-</t>
  </si>
  <si>
    <t>CA.DU12- Mike Olson Extras 25-26 - ID 28113 -EXtras 25/26- -CMSW 02-2026- -CC</t>
  </si>
  <si>
    <t>CA.DU12- Mike Tangeman Extras 25-26 - ID 28115 -EXtras 25/26- -CMSW 02-2026-</t>
  </si>
  <si>
    <t>CA.DU12- Mike Tangeman Extras 25-26 - ID 28115 -EXtras 25/26- -CMSW 02-2026- -CC</t>
  </si>
  <si>
    <t>CA.DU12- Sean Markus Extras 25-26 - ID 27370 -EXtras 25/26- -CMSW 02-2026-</t>
  </si>
  <si>
    <t>CA.DU12- Sean Markus Extras 25-26 - ID 27370 -EXtras 25/26- -CMSW 02-2026- -CC</t>
  </si>
  <si>
    <t>13/02/2026</t>
  </si>
  <si>
    <t>TI001400000269</t>
  </si>
  <si>
    <t>Ingreso a Caja 001400000269 Obs: Movimiento_Cajas_Bancos_Semana 25-26 al 13-02-2026</t>
  </si>
  <si>
    <t>CA.DU14- 26/27- Brian Sipes - ValleySW- WIRE IN GFT 202602050023923 MEADOWBROOK PARK H OLDINGS LLC</t>
  </si>
  <si>
    <t>000000000421</t>
  </si>
  <si>
    <t>CA.DU14- 26/27- Daniel Adams - ValleySW-  14 Checks $ 158.925,00 -15-02-2026</t>
  </si>
  <si>
    <t>20/02/2026</t>
  </si>
  <si>
    <t>TI001400000294</t>
  </si>
  <si>
    <t>Ingreso a Caja 001400000294 Obs: Movimiento_Cajas_Bancos_Semana 25-26 al 20-02-2026</t>
  </si>
  <si>
    <t>CA.DU14- 26/27- Joe Barone  -ValleySW- WIRE IN GFT 202602110014621 LISA QUATTRONE  REFENCE JOE BARON</t>
  </si>
  <si>
    <t>000000000531</t>
  </si>
  <si>
    <t>20/03/2026</t>
  </si>
  <si>
    <t>TI001400000351</t>
  </si>
  <si>
    <t>Ingreso a Caja 001400000351 Obs: Movimiento_Cajas_Bancos_Semana 25-26 al 20-03-2026</t>
  </si>
  <si>
    <t xml:space="preserve">CA.DU14- 26/27- Lisa Quattrone - ValleySW- WIRE IN GFT 202603060010881 LISA QUATTRONE  HUNTING TRIP </t>
  </si>
  <si>
    <t>000000000538</t>
  </si>
  <si>
    <t>TI001400000320</t>
  </si>
  <si>
    <t>Ingreso a Caja 001400000320 Obs: Movimiento_Cajas_Bancos_Semana 25-26 al 06-03-2026</t>
  </si>
  <si>
    <t>CA.DU17 -26/27-Keith Gaedchens -CMSW 02-2026- Pago via MTP - Comparte con Delta $5875</t>
  </si>
  <si>
    <t>000000000535</t>
  </si>
  <si>
    <t>CA.DU17 -26/27-Keith Gaedchens -CMSW 02-2026- Pago via MTP - Comparte con Delta $5875-CC</t>
  </si>
  <si>
    <t>13/03/2026</t>
  </si>
  <si>
    <t>TI001400000334</t>
  </si>
  <si>
    <t>Ingreso a Caja 001400000334 Obs: Movimiento_Cajas_Bancos_Semana 25-26 al 13-03-2026</t>
  </si>
  <si>
    <t>CA.DU18- 25/26- John Stoker - ValleySW-  26 Checks $ 126.168,75 -02-03-2026</t>
  </si>
  <si>
    <t>000000000536</t>
  </si>
  <si>
    <t>CA.DU18- Gary Bennet Extras 25-26 - ID 40234 refund por cobro de mas en enero -EXtras 25/26- -CMSW 0</t>
  </si>
  <si>
    <t>CA.DU18- James Plumhoff Extras 25-26 - ID 40233 refund por cobro de mas en enero -EXtras 25/26- -CMS</t>
  </si>
  <si>
    <t>CA.DU18- Ray Dix Extras 25-26 - ID 40236 refund por cobro de mas en enero -EXtras 25/26- -CMSW 02-20</t>
  </si>
  <si>
    <t>CA.DU19- 26/27- Steve Salter - ValleySS- WIRE IN GFT 202603100002022 STEVEN D SALTER PO D OLIVIA LAU</t>
  </si>
  <si>
    <t>CA.DU21- 26/27- Richard turner - ValleySS- WIRE IN GFT 202603100007732 RICHARD E TURNER  /PURP/GDSV</t>
  </si>
  <si>
    <t>CA.DU25- 26/27- Louis Cairo - ValleySW- WIRE IN GFT 202603250024353 LOUIS C CAIRO TRUS T GLORIA M CA</t>
  </si>
  <si>
    <t>CA.DU27- Cecil Crawford Extras 25-26 - ID 40473 -EXtras 25/26- -CMSW 02-2026-</t>
  </si>
  <si>
    <t>CA.DU27- Cecil Crawford Extras 25-26 - ID 40473 -EXtras 25/26- -CMSW 02-2026- -CC</t>
  </si>
  <si>
    <t>CA.DU27- David Little Extras 25-26 - ID 40470 -EXtras 25/26- -CMSW 02-2026-</t>
  </si>
  <si>
    <t>CA.DU27- David Little Extras 25-26 - ID 40470 -EXtras 25/26- -CMSW 02-2026- -CC</t>
  </si>
  <si>
    <t>CA.DU34- Janet Martin-Clark Extras 25-26 - ID 40984 -EXtras 25/26- -CMSW 02-2026-</t>
  </si>
  <si>
    <t>CA.DU34- Janet Martin-Clark Extras 25-26 - ID 40984 -EXtras 25/26- -CMSW 02-2026- -CC</t>
  </si>
  <si>
    <t>CA.DU34- Kelly Nieuwoudt Extras 25-26 - ID 40986 -EXtras 25/26- -CMSW 02-2026-</t>
  </si>
  <si>
    <t>CA.DU34- Kelly Nieuwoudt Extras 25-26 - ID 40986 -EXtras 25/26- -CMSW 02-2026- -CC</t>
  </si>
  <si>
    <t>CA.DU34- Vanessa Muro Extras 25-26 - ID 40985 -EXtras 25/26- -CMSW 02-2026-</t>
  </si>
  <si>
    <t>CA.DU34- Vanessa Muro Extras 25-26 - ID 40985 -EXtras 25/26- -CMSW 02-2026- -CC</t>
  </si>
  <si>
    <t>CA.DU37- 25/26- brett Sires - ValleySW- WIRE IN GFT 202602170021782 SEA ISLAND LAND DE VELOPMENT LLC</t>
  </si>
  <si>
    <t>CA.DU39- Chris Lewis Extras 25-26 - ID 41566 -EXtras 25/26- -CMSW 02-2026-</t>
  </si>
  <si>
    <t>CA.DU39- Chris Lewis Extras 25-26 - ID 41566 -EXtras 25/26- -CMSW 02-2026- -CC</t>
  </si>
  <si>
    <t>CA.DU39- Isaac Bailey Extras 25-26 - ID 41565 -EXtras 25/26- -CMSW 02-2026-</t>
  </si>
  <si>
    <t>CA.DU39- Isaac Bailey Extras 25-26 - ID 41565 -EXtras 25/26- -CMSW 02-2026- -CC</t>
  </si>
  <si>
    <t>CA.DU39- Johnny Bailey Extras 25-26 - ID 41564 -EXtras 25/26- -CMSW 02-2026-</t>
  </si>
  <si>
    <t>CA.DU39- Johnny Bailey Extras 25-26 - ID 41564 -EXtras 25/26- -CMSW 02-2026- -CC</t>
  </si>
  <si>
    <t>CA.DU39- Michael Bailey Extras 25-26 - ID 40988 -EXtras 25/26- -CMSW 02-2026-</t>
  </si>
  <si>
    <t>CA.DU39- Michael Bailey Extras 25-26 - ID 40988 -EXtras 25/26- -CMSW 02-2026- -CC</t>
  </si>
  <si>
    <t>CA.DU45 - Bob Thewatt Extras 25-26 ID 41570 -EXtras 25/26- -CMSW 02-2026-</t>
  </si>
  <si>
    <t>CA.DU45 - Bob Thewatt Extras 25-26 ID 41570 -EXtras 25/26- -CMSW 02-2026- -CC</t>
  </si>
  <si>
    <t>CA.DU45 - Chris Dodsson Extras 25-26 ID 37530 -EXtras 25/26- -CMSW 02-2026-</t>
  </si>
  <si>
    <t>CA.DU45 - Chris Dodsson Extras 25-26 ID 37530 -EXtras 25/26- -CMSW 02-2026- -CC</t>
  </si>
  <si>
    <t>CA.DU45 - John Brookes Extras 25-26 ID 38763 -EXtras 25/26- -CMSW 02-2026-</t>
  </si>
  <si>
    <t>CA.DU45 - John Brookes Extras 25-26 ID 38763 -EXtras 25/26- -CMSW 02-2026- -CC</t>
  </si>
  <si>
    <t>CA.DU45 - Tom Kratzke Extras 25-26 ID 41571 -EXtras 25/26- -CMSW 02-2026-</t>
  </si>
  <si>
    <t>CA.DU45 - Tom Kratzke Extras 25-26 ID 41571 -EXtras 25/26- -CMSW 02-2026- -CC</t>
  </si>
  <si>
    <t>CA.DU50 - Dan Hartman Extras 25-26 ID 41553 -EXtras 25/26- -CMSW 02-2026-</t>
  </si>
  <si>
    <t>CA.DU50 - Dan Hartman Extras 25-26 ID 41553 -EXtras 25/26- -CMSW 02-2026- -CC</t>
  </si>
  <si>
    <t>CA.DU50 - James Hastings Extras 25-26 ID 41552 -EXtras 25/26- -CMSW 02-2026-</t>
  </si>
  <si>
    <t>CA.DU50 - James Hastings Extras 25-26 ID 41552 -EXtras 25/26- -CMSW 02-2026- -CC</t>
  </si>
  <si>
    <t>CA.DU50 - Michael Gillespie Extras 25-26 ID 41551 -EXtras 25/26- -CMSW 02-2026-</t>
  </si>
  <si>
    <t>CA.DU50 - Michael Gillespie Extras 25-26 ID 41551 -EXtras 25/26- -CMSW 02-2026- -CC</t>
  </si>
  <si>
    <t>CA.DU50 - Mike Sheddan Extras 25-26 ID 41554 -EXtras 25/26- -CMSW 02-2026-</t>
  </si>
  <si>
    <t>CA.DU50 - Mike Sheddan Extras 25-26 ID 41554 -EXtras 25/26- -CMSW 02-2026- -CC</t>
  </si>
  <si>
    <t>CA.DU53- John Morris Extras 25-26 - ID 41642 -EXtras 25/26- -CMSW 02-2026-</t>
  </si>
  <si>
    <t>CA.DU53- John Morris Extras 25-26 - ID 41642 -EXtras 25/26- -CMSW 02-2026- -CC</t>
  </si>
  <si>
    <t>CA.DU53- Richard Sitten Extras 25-26 - ID 34507 -EXtras 25/26- -CMSW 02-2026-</t>
  </si>
  <si>
    <t>CA.DU53- Richard Sitten Extras 25-26 - ID 34507 -EXtras 25/26- -CMSW 02-2026- -CC</t>
  </si>
  <si>
    <t>CA.DU53- Steve Wells Extras 25-26 - ID 41939 -EXtras 25/26- -CMSW 02-2026-</t>
  </si>
  <si>
    <t>CA.DU53- Steve Wells Extras 25-26 - ID 41939 -EXtras 25/26- -CMSW 02-2026- -CC</t>
  </si>
  <si>
    <t>CA.DU6 -26/27-Zach Mears -CMSW 02-2026- Pago via MTP</t>
  </si>
  <si>
    <t>CA.DU6 -26/27-Zach Mears -CMSW 02-2026- Pago via MTP-CC</t>
  </si>
  <si>
    <t>CA.DU60 -25/26-Bruce Bray -CMSW 02-2026- Pago via MTP</t>
  </si>
  <si>
    <t>CA.DU60 -25/26-Bruce Bray -CMSW 02-2026- Pago via MTP-CC</t>
  </si>
  <si>
    <t>CA.DU61- 25/26- Robert Weaver - ValleySW-  19 Checks $ 112.794,62 -02-02-2026</t>
  </si>
  <si>
    <t>CA.DU63 -25/26-Mino Adriano -CMSW 02-2026- Pago via MTP</t>
  </si>
  <si>
    <t>CA.DU63 -25/26-Mino Adriano -CMSW 02-2026- Pago via MTP-CC</t>
  </si>
  <si>
    <t xml:space="preserve">CA.DU64- 25/26- Magaldi Christopher - Check #5092 $2,645 - comparte con KA28 - ValleySW-  13 Checks </t>
  </si>
  <si>
    <t>CA.DU65- 25/26- Mark Cook - ValleySW-  50 Checks $ 265.427,25 -09-03-2026</t>
  </si>
  <si>
    <t>CA.DU65- 25/26- Stephen Craig - ValleySW-  50 Checks $ 265.427,25 -09-03-2026</t>
  </si>
  <si>
    <t>CA.DU65- 25/26- Todd Smith - ValleySW-  50 Checks $ 265.427,25 -09-03-2026</t>
  </si>
  <si>
    <t>CA.DU66- 25/26- Kevin Hargrave - ValleySW-  12 Checks $ 81.965,50 -17-03-2026</t>
  </si>
  <si>
    <t>CA.DU8- 26/27- Hensley - Check $ 6.140,00 - ValleySW-  13 Checks $ 61.063,00 -12-03-2026</t>
  </si>
  <si>
    <t>23/03/2026</t>
  </si>
  <si>
    <t>TE001400000347</t>
  </si>
  <si>
    <t>Extracción de Caja 001400000347 Obs: 23-03-2026  Mov Lodge</t>
  </si>
  <si>
    <t>CAR - 1 crema</t>
  </si>
  <si>
    <t>000000000495</t>
  </si>
  <si>
    <t>16/02/2026</t>
  </si>
  <si>
    <t>TE001400000283</t>
  </si>
  <si>
    <t>Extracción de Caja 001400000283 Obs: 16-02-2026  Mov Lodge</t>
  </si>
  <si>
    <t>CAR - 1 masaje</t>
  </si>
  <si>
    <t>000000000414</t>
  </si>
  <si>
    <t>CAR - 10 metros de leña</t>
  </si>
  <si>
    <t>CAR - 12 copas cognac</t>
  </si>
  <si>
    <t>CAR - 14 masajes del 3 febrero al 9 de febrero</t>
  </si>
  <si>
    <t>CAR - 15 bidones de agua</t>
  </si>
  <si>
    <t>CAR - 15 bidones de agua 20 lts</t>
  </si>
  <si>
    <t>CAR - 15 bolsas de hielo</t>
  </si>
  <si>
    <t>CAR - 2 pagos a fortete (140 usd y 140 usd)</t>
  </si>
  <si>
    <t>CAR - 20 bolsas de hielo</t>
  </si>
  <si>
    <t>CAR - 3 tubos de gas para soda</t>
  </si>
  <si>
    <t>CAR - 5 maples de huevos y 2 kg de miel</t>
  </si>
  <si>
    <t>CAR - 5 masajes</t>
  </si>
  <si>
    <t>CAR - a favor de  surtido casa staff LONG</t>
  </si>
  <si>
    <t>CAR - a favor de permisos Marzo Mati Vila</t>
  </si>
  <si>
    <t>TH001400000262</t>
  </si>
  <si>
    <t>Extracción de Banco 001400000262 Obs: 09-02-2026  Mov Lodge</t>
  </si>
  <si>
    <t>CAR - a favor permisos febrero Mati Vila</t>
  </si>
  <si>
    <t>000000000370</t>
  </si>
  <si>
    <t>16/03/2026</t>
  </si>
  <si>
    <t>TH001400000324</t>
  </si>
  <si>
    <t>Extracción de Banco 001400000324 Obs: 16-03-2026  Mov Lodge</t>
  </si>
  <si>
    <t>CAR - a favor permisos marzo Mati Vila</t>
  </si>
  <si>
    <t>000000000516</t>
  </si>
  <si>
    <t>CAR - Acoples canilla y cloro y productos limpieza  pileta</t>
  </si>
  <si>
    <t>TH001400000286</t>
  </si>
  <si>
    <t>Extracción de Banco 001400000286 Obs: 23-02-2026  Mov Lodge</t>
  </si>
  <si>
    <t>CAR - adelanto febrero Bruno vulpi</t>
  </si>
  <si>
    <t>000000000502</t>
  </si>
  <si>
    <t>TH001400000353</t>
  </si>
  <si>
    <t>Extracción de Banco 001400000353 Obs: 31-03-2026  Mov Lodge</t>
  </si>
  <si>
    <t>CAR - adelanto fletes traslado cartuchos Pablo Segovia</t>
  </si>
  <si>
    <t>000000000524</t>
  </si>
  <si>
    <t>TH001400000340</t>
  </si>
  <si>
    <t>Extracción de Banco 001400000340 Obs: 23-03-2026  Mov Lodge</t>
  </si>
  <si>
    <t>CAR - adelanto sueldo marzo Pablo Gadea</t>
  </si>
  <si>
    <t>000000000522</t>
  </si>
  <si>
    <t>TE001400000352</t>
  </si>
  <si>
    <t>Extracción de Caja 001400000352 Obs: 31-03-2026  Mov Lodge</t>
  </si>
  <si>
    <t>000000000498</t>
  </si>
  <si>
    <t>TH001400000276</t>
  </si>
  <si>
    <t>Extracción de Banco 001400000276 Obs: 16-02-2026  Mov Lodge</t>
  </si>
  <si>
    <t>CAR - alquiler casa staff Carmelo</t>
  </si>
  <si>
    <t>000000000416</t>
  </si>
  <si>
    <t>CAR - alquiler casa staff cordano Marzo</t>
  </si>
  <si>
    <t>CAR - antel telefonia e internet casa lodge</t>
  </si>
  <si>
    <t>CAR - antel telefonia febrero Carmelo</t>
  </si>
  <si>
    <t>CAR - Arreglo mesa pool</t>
  </si>
  <si>
    <t>CAR - Arreglos uniformes cheff</t>
  </si>
  <si>
    <t>CAR - Art farmacia botiquín</t>
  </si>
  <si>
    <t>CAR - Artículos de limpieza y arreglo pileta</t>
  </si>
  <si>
    <t>CAR - Artículos de pescaderia</t>
  </si>
  <si>
    <t>CAR - articulos limpieza casa staff</t>
  </si>
  <si>
    <t>CAR - Artículos sin lactosa</t>
  </si>
  <si>
    <t>CAR - Aspersores de riego</t>
  </si>
  <si>
    <t>TH001400000354</t>
  </si>
  <si>
    <t>Extracción de Banco 001400000354 Obs: 31-03-2026  Mov Lodge</t>
  </si>
  <si>
    <t>CAR - aspiradora auto limpieza reembolso Long</t>
  </si>
  <si>
    <t>000000000525</t>
  </si>
  <si>
    <t>TH001400000275</t>
  </si>
  <si>
    <t>Extracción de Banco 001400000275 Obs: 16-02-2026  Mov Lodge</t>
  </si>
  <si>
    <t>000000000415</t>
  </si>
  <si>
    <t>TH001400000325</t>
  </si>
  <si>
    <t>Extracción de Banco 001400000325 Obs: 16-03-2026  Mov Lodge</t>
  </si>
  <si>
    <t>000000000517</t>
  </si>
  <si>
    <t>CAR - bb enero 2 brando ponce</t>
  </si>
  <si>
    <t>CAR - bb enero 2 brandon maidana</t>
  </si>
  <si>
    <t>CAR - bb enero 2 brian crame</t>
  </si>
  <si>
    <t>CAR - bb enero 2 denzel maidana</t>
  </si>
  <si>
    <t>CAR - bb enero 2 edgardo martinez</t>
  </si>
  <si>
    <t>CAR - bb enero 2 Enzo rodriguez</t>
  </si>
  <si>
    <t>CAR - bb enero 2 jose daniel mousquin</t>
  </si>
  <si>
    <t>CAR - bb enero 2 julian rodriguez</t>
  </si>
  <si>
    <t>CAR - bb enero 2 lautaro tahiel</t>
  </si>
  <si>
    <t>CAR - bb enero 2 marcelo Martinez</t>
  </si>
  <si>
    <t>CAR - bb enero 2 mauricio landechea</t>
  </si>
  <si>
    <t>CAR - bb enero 2 nahuel martinez</t>
  </si>
  <si>
    <t>CAR - bb enero 2 nicolas siritto</t>
  </si>
  <si>
    <t>CAR - bb enero 2 Ramiro Martinez</t>
  </si>
  <si>
    <t>CAR - bb enero 2 victor ramirez</t>
  </si>
  <si>
    <t>CAR - bb feb 1 brando Ponce</t>
  </si>
  <si>
    <t>CAR - bb feb 1 Brandon Maidana</t>
  </si>
  <si>
    <t>CAR - bb feb 1 Brian Crame</t>
  </si>
  <si>
    <t>CAR - bb feb 1 Denzel Maidana</t>
  </si>
  <si>
    <t>CAR - bb feb 1 Edgardo Martinez</t>
  </si>
  <si>
    <t>CAR - bb feb 1 enzo Rodriguez</t>
  </si>
  <si>
    <t>CAR - bb feb 1 Julian Rodriguez</t>
  </si>
  <si>
    <t>22/02/2026</t>
  </si>
  <si>
    <t>TD001400000335</t>
  </si>
  <si>
    <t>Depósito a Banco 001400000335 Obs: CAR - bb feb 1 Lautaro Tahiel</t>
  </si>
  <si>
    <t>CAR - bb feb 1 Lautaro Tahiel</t>
  </si>
  <si>
    <t>000000000476</t>
  </si>
  <si>
    <t>CAR - bb feb 1 Marcelo Martinez</t>
  </si>
  <si>
    <t>CAR - bb feb 1 Mateo Ochiena</t>
  </si>
  <si>
    <t>CAR - bb feb 1 Mauricio Landechea</t>
  </si>
  <si>
    <t>CAR - bb feb 1 Nahuel Martinez</t>
  </si>
  <si>
    <t>CAR - bb feb 1 Nicols Siritto</t>
  </si>
  <si>
    <t>CAR - bb feb 1 Victor Ramirez</t>
  </si>
  <si>
    <t>CAR - bb feb 2 Agustin Bosarich</t>
  </si>
  <si>
    <t>CAR - bb feb 2 Brando Ponce</t>
  </si>
  <si>
    <t>CAR - bb feb 2 brandon Maidana</t>
  </si>
  <si>
    <t>CAR - bb feb 2 denzel maidana</t>
  </si>
  <si>
    <t>CAR - bb feb 2 edgardo Martinez</t>
  </si>
  <si>
    <t>CAR - bb feb 2 enzo rodriguez</t>
  </si>
  <si>
    <t>CAR - bb feb 2 Franco Rigos</t>
  </si>
  <si>
    <t>CAR - bb feb 2 Julian Rodriguez</t>
  </si>
  <si>
    <t>CAR - bb feb 2 Mateo Ochiena</t>
  </si>
  <si>
    <t>CAR - bb feb 2 Mauricio Landechea</t>
  </si>
  <si>
    <t>CAR - bb feb 2 Nicolas Siritto</t>
  </si>
  <si>
    <t>CAR - bb feb 2 Ruben Callero</t>
  </si>
  <si>
    <t>CAR - bb feb 2 Simon Glattli</t>
  </si>
  <si>
    <t>CAR - bb feb 2 Victor Ramirez</t>
  </si>
  <si>
    <t>CAR - bb marzo 1 Agustin Bosarich</t>
  </si>
  <si>
    <t>CAR - bb marzo 1 Brando Ponce</t>
  </si>
  <si>
    <t>CAR - bb marzo 1 brandon maidana</t>
  </si>
  <si>
    <t>CAR - bb marzo 1 denzel maidana</t>
  </si>
  <si>
    <t>CAR - bb marzo 1 Edgardo Martinez</t>
  </si>
  <si>
    <t>CAR - bb marzo 1 Franco Rigos</t>
  </si>
  <si>
    <t>CAR - bb marzo 1 Julian Rodriguez</t>
  </si>
  <si>
    <t>CAR - bb marzo 1 maicol silva</t>
  </si>
  <si>
    <t>CAR - bb marzo 1 Nicolas Schneider</t>
  </si>
  <si>
    <t>CAR - bb marzo 1 Nicolas siritto</t>
  </si>
  <si>
    <t>CAR - bb marzo 1 Ruben Callero</t>
  </si>
  <si>
    <t>CAR - bb marzo 1 Simon Glattli</t>
  </si>
  <si>
    <t>CAR - bb marzo 1 victor ramirez</t>
  </si>
  <si>
    <t>CAR - Bebidas sebastian</t>
  </si>
  <si>
    <t>CAR - bebidas y refrigerios Belater Febrero Carmelo</t>
  </si>
  <si>
    <t>CAR - bolsas polietilena para palomas peladas reembolso LONG</t>
  </si>
  <si>
    <t>TH001400000297</t>
  </si>
  <si>
    <t>Extracción de Banco 001400000297 Obs: 23-02-2026  Mov Lodge</t>
  </si>
  <si>
    <t>CAR - bolsas poluiretano reembolos Long</t>
  </si>
  <si>
    <t>000000000507</t>
  </si>
  <si>
    <t>CAR - botas de goma guia reembolso Long</t>
  </si>
  <si>
    <t>CAR - botellas cuartos logo Carmelo</t>
  </si>
  <si>
    <t>CAR - botellas para clientes field</t>
  </si>
  <si>
    <t>CAR - botellas venta shop con logo carmelo</t>
  </si>
  <si>
    <t>CAR - BPS BWS empresa enero y febrero</t>
  </si>
  <si>
    <t>CAR - Bps febrero</t>
  </si>
  <si>
    <t>CAR - bps iva servicios personales Caro Horta</t>
  </si>
  <si>
    <t>CAR - bps Santi Carrato compensacion febrero</t>
  </si>
  <si>
    <t>CAR - Cables para seca ropa</t>
  </si>
  <si>
    <t>CAR - CAJA GUANTES</t>
  </si>
  <si>
    <t>CAR - calefon casa staff</t>
  </si>
  <si>
    <t>CAR - Camilla cocina casa staff flexibles etc</t>
  </si>
  <si>
    <t>CAR - Cañería instalaciones lavadero nuevo en galpón</t>
  </si>
  <si>
    <t>CAR - cargas sociales iva Felipe Olivera</t>
  </si>
  <si>
    <t>CAR - casa staff bodega electricidad febrero</t>
  </si>
  <si>
    <t>CAR - Cobertura turno noche de stefi por licencia media Yuliana gonzalez equivalente a 800 uruguayos</t>
  </si>
  <si>
    <t>CAR - Cobertura turno noche de Valeria por licencia médica de Yuliana Gonzalez</t>
  </si>
  <si>
    <t>CAR - Cocina a gas y termotanque 10 lts  para armado cocina casa staff</t>
  </si>
  <si>
    <t>CAR - combustible cortadora pasto Lodge</t>
  </si>
  <si>
    <t>CAR - combustible febrero servicios Carmelo</t>
  </si>
  <si>
    <t>CAR - comida surtido casa staff Reembolso Long</t>
  </si>
  <si>
    <t>CAR - complementa tip enero Juan Long</t>
  </si>
  <si>
    <t>CAR - Compra 15 bidones agua</t>
  </si>
  <si>
    <t>TE001400000329</t>
  </si>
  <si>
    <t>Extracción de Caja 001400000329 Obs: 16-03-2026  Mov Lodge</t>
  </si>
  <si>
    <t>CAR - Compra 20 bidones de agua</t>
  </si>
  <si>
    <t>000000000491</t>
  </si>
  <si>
    <t>CAR - Compra 20 bolas de hielo</t>
  </si>
  <si>
    <t>CAR - Compra 20 bolsas de hielo</t>
  </si>
  <si>
    <t>CAR - Compra 20 bolsas hielo</t>
  </si>
  <si>
    <t>CAR - Compra alguicida, clarificador, estantería, hipoclorito,etc</t>
  </si>
  <si>
    <t>CAR - Compra alimentos los balla</t>
  </si>
  <si>
    <t>CAR - Compra almacén de la capilla reposición para cocina</t>
  </si>
  <si>
    <t>CAR - Compra arena, varilla, hidrofogo, ticholo y pallet para obra casa staff</t>
  </si>
  <si>
    <t>CAR - Compra arreglo sala de masajes caño</t>
  </si>
  <si>
    <t>CAR - Compra artículos de librería</t>
  </si>
  <si>
    <t>CAR - Compra artículos limpieza los balla</t>
  </si>
  <si>
    <t>CAR - Compra bebida</t>
  </si>
  <si>
    <t>CAR - Compra bebidas blancas los balla</t>
  </si>
  <si>
    <t>CAR - Compra bomba elevadora presion, bisagras, tuerca</t>
  </si>
  <si>
    <t>CAR - Compra botas santiago</t>
  </si>
  <si>
    <t>CAR - Compra cable multifar (arreglo sobrecarga fase)</t>
  </si>
  <si>
    <t>CAR - Compra colilla acero</t>
  </si>
  <si>
    <t>CAR - Compra correa para tractor (John Deere)</t>
  </si>
  <si>
    <t>CAR - Compra de frascos para yogur</t>
  </si>
  <si>
    <t>CAR - Compra de productos ferretería casa staff</t>
  </si>
  <si>
    <t>CAR - Compra de terminator para tela de arañas</t>
  </si>
  <si>
    <t>CAR - Compra extractor aire cuadrado cocina</t>
  </si>
  <si>
    <t>CAR - Compra freezer midea</t>
  </si>
  <si>
    <t>CAR - Compra garrafa casa staff</t>
  </si>
  <si>
    <t>CAR - Compra hielo (Yuliana compró el hielo porque los domingos el distribuidor de hielo está cerrad</t>
  </si>
  <si>
    <t>CAR - Compra hielo 30 bolsas</t>
  </si>
  <si>
    <t>CAR - Compra hielo 5 bolsas y 2 bolsas biodegradables</t>
  </si>
  <si>
    <t>CAR - Compra hielo x20 bolsas</t>
  </si>
  <si>
    <t>CAR - Compra hierros para obra casa staff</t>
  </si>
  <si>
    <t>CAR - Compra huevos</t>
  </si>
  <si>
    <t>CAR - Compra la llave</t>
  </si>
  <si>
    <t>CAR - Compra lavadora y secadora</t>
  </si>
  <si>
    <t>CAR - Compra los balla (pago en USD) por falta de credito</t>
  </si>
  <si>
    <t>CAR - Compra los ballas (manteca)</t>
  </si>
  <si>
    <t>CAR - Compra maíz japonés, maíz crocante y matcha</t>
  </si>
  <si>
    <t>CAR - Compra manga cocina, centrifugadora vegetales, molde budín papel.</t>
  </si>
  <si>
    <t>CAR - Compra mantenimiento lodge</t>
  </si>
  <si>
    <t>CAR - Compra material arreglo pileta</t>
  </si>
  <si>
    <t>CAR - Compra materiales casa staff</t>
  </si>
  <si>
    <t>CAR - Compra materiales obra casa staff</t>
  </si>
  <si>
    <t>CAR - Compra materiales para galpon</t>
  </si>
  <si>
    <t>CAR - Compra materiales para jardineria</t>
  </si>
  <si>
    <t>CAR - Compra pescaderia</t>
  </si>
  <si>
    <t>CAR - Compra pescadería</t>
  </si>
  <si>
    <t>CAR - Compra pescadería los (356,50 sobrantes se pagaron en USD) que equivalen a 8,68 USD</t>
  </si>
  <si>
    <t>CAR - Compra presacderia (pago de 8,68 USD) equivalente a los 356,50 UY que faltaban</t>
  </si>
  <si>
    <t>CAR - Compra recibos comerciales</t>
  </si>
  <si>
    <t>CAR - Compra recibos comerciales (faltaron agregar 30 pesos)</t>
  </si>
  <si>
    <t>CAR - Compra repuestos taco pool</t>
  </si>
  <si>
    <t>CAR - Compra resaltadores de colores</t>
  </si>
  <si>
    <t>CAR - Compra servilletas clientes</t>
  </si>
  <si>
    <t>CAR - Compra suministros obra casa staff</t>
  </si>
  <si>
    <t>CAR - Compra tablero, rejilla caño, conexión lavarropas</t>
  </si>
  <si>
    <t>CAR - Compra tornillo madera</t>
  </si>
  <si>
    <t>CAR - Compra urea mantenimiento jardín</t>
  </si>
  <si>
    <t>CAR - Compra vasos para agua</t>
  </si>
  <si>
    <t>CAR - Compra velas para fanales</t>
  </si>
  <si>
    <t>CAR - Compra veneno para moscas</t>
  </si>
  <si>
    <t>CAR - Compra vidriería casa staff</t>
  </si>
  <si>
    <t>CAR - Compra vidrio freezer</t>
  </si>
  <si>
    <t>CAR - conservadoras, fletes, harras termicas y pilas reembolso Long</t>
  </si>
  <si>
    <t>CAR - costo ficha medica por tramite  libreta conducir Pablo Gadea</t>
  </si>
  <si>
    <t>CAR - Crema vegetal para torta cumpleaños intolerante lactosa</t>
  </si>
  <si>
    <t>CAR - deb com</t>
  </si>
  <si>
    <t>TH001400000263</t>
  </si>
  <si>
    <t>Extracción de Banco 001400000263 Obs: 09-02-2026  Mov Lodge</t>
  </si>
  <si>
    <t>000000000371</t>
  </si>
  <si>
    <t>TH001400000339</t>
  </si>
  <si>
    <t>Extracción de Banco 001400000339 Obs: 23-03-2026  Mov Lodge</t>
  </si>
  <si>
    <t>000000000521</t>
  </si>
  <si>
    <t>CAR - deb comi entrada campos</t>
  </si>
  <si>
    <t>CAR - deb comi ingreso oficina</t>
  </si>
  <si>
    <t>CAR - Deb comi por Ingreso de OFICINA</t>
  </si>
  <si>
    <t>CAR - deb comi traslados febrero</t>
  </si>
  <si>
    <t>CAR - deb comision</t>
  </si>
  <si>
    <t>CAR - debi comi</t>
  </si>
  <si>
    <t>CAR - deposito 2 carniceriaa del centro</t>
  </si>
  <si>
    <t>CAR - deposito 2 febrero Los Balla Supermercado</t>
  </si>
  <si>
    <t>CAR - deposito 3 Febrero Supermercado Los Balla</t>
  </si>
  <si>
    <t>CAR - deposito a credito  Marzo Carniceria del Centro</t>
  </si>
  <si>
    <t>CAR - deposito credito Marzo Super Los Balla</t>
  </si>
  <si>
    <t>CAR - DGI Carmelo</t>
  </si>
  <si>
    <t>CAR - disan limieza EQUIPOS LONG</t>
  </si>
  <si>
    <t>CAR - Distribuidora zorrila cosas de cocina</t>
  </si>
  <si>
    <t>CAR - electricidad casa staff cordano Carmelo ENERO</t>
  </si>
  <si>
    <t>CAR - emergencia medica Marzo</t>
  </si>
  <si>
    <t>CAR - ENCOMIENDA CONSERVADORas</t>
  </si>
  <si>
    <t>CAR - encomiendas varias y parking uniformes</t>
  </si>
  <si>
    <t>CAR - entrada campo adelantado marzo Mario Bianchi</t>
  </si>
  <si>
    <t>CAR - entrada campos  enero Carlos Bianchi</t>
  </si>
  <si>
    <t>CAR - entrada campos enero Daniel Beron</t>
  </si>
  <si>
    <t>CAR - entrada campos enero Daniel Palomares</t>
  </si>
  <si>
    <t>CAR - entrada campos reembolos LONG</t>
  </si>
  <si>
    <t>CAR - Entreviñas almacen diego</t>
  </si>
  <si>
    <t>CAR - Envío garrasfas para recarga gas soda</t>
  </si>
  <si>
    <t>CAR - Envío pisco sour Sebastián bebidas</t>
  </si>
  <si>
    <t>CAR - Envío servilletas papel vía DAC</t>
  </si>
  <si>
    <t>CAR - Envío topes de pata mesitas ratona</t>
  </si>
  <si>
    <t>CAR - Farmacia lodge</t>
  </si>
  <si>
    <t>CAR - ferreteria</t>
  </si>
  <si>
    <t>CAR - Fortete</t>
  </si>
  <si>
    <t>CAR - Fortete 28/3 y 29/3</t>
  </si>
  <si>
    <t>CAR - Fortete para golf</t>
  </si>
  <si>
    <t>CAR - Garrafa cocina staff + válvula</t>
  </si>
  <si>
    <t>CAR - gasoil y combustible camioneta reembolos Long</t>
  </si>
  <si>
    <t>CAR - gato para camioneta reembolos Long</t>
  </si>
  <si>
    <t>CAR - Golf 6 pax</t>
  </si>
  <si>
    <t>CAR - gorros c logo y bordado regalo clientes</t>
  </si>
  <si>
    <t>CAR - gourmeat carnes especiales febrero Carmelo</t>
  </si>
  <si>
    <t>CAR - Hielo bolsa x20</t>
  </si>
  <si>
    <t>CAR - Hielo x 20 bolsas</t>
  </si>
  <si>
    <t>CAR - honorarios enero Mati Vila</t>
  </si>
  <si>
    <t>CAR - honorarios Febrero Mati Vila</t>
  </si>
  <si>
    <t>04/02/2026</t>
  </si>
  <si>
    <t>TI001400000259</t>
  </si>
  <si>
    <t>Ingreso a Caja 001400000259 Obs: CAR - Ingreso a caja usd 20000 que enviaron de oficina para fondear operación</t>
  </si>
  <si>
    <t>CAR - Ingreso a caja usd 20000 que enviaron de oficina para fondear operación</t>
  </si>
  <si>
    <t>000000000372</t>
  </si>
  <si>
    <t>08/02/2026</t>
  </si>
  <si>
    <t>TD001400000260</t>
  </si>
  <si>
    <t>Depósito a Banco 001400000260 Obs: CAR - Ingreso de Oficina</t>
  </si>
  <si>
    <t>000000000366</t>
  </si>
  <si>
    <t>TD001400000292</t>
  </si>
  <si>
    <t>Depósito a Banco 001400000292 Obs: 23-02-2026  Mov Lodge</t>
  </si>
  <si>
    <t>000000000468</t>
  </si>
  <si>
    <t>TD001400000304</t>
  </si>
  <si>
    <t>Depósito a Banco 001400000304 Obs: 09-03-2026  Mov Lodge</t>
  </si>
  <si>
    <t>000000000471</t>
  </si>
  <si>
    <t>TD001400000345</t>
  </si>
  <si>
    <t>Depósito a Banco 001400000345 Obs: 23-03-2026  Mov Lodge</t>
  </si>
  <si>
    <t>000000000480</t>
  </si>
  <si>
    <t>TD001400000281</t>
  </si>
  <si>
    <t>Depósito a Banco 001400000281 Obs: CAR - ingreso iva telecomunicaciones antel</t>
  </si>
  <si>
    <t>CAR - ingreso iva telecomunicaciones antel</t>
  </si>
  <si>
    <t>000000000410</t>
  </si>
  <si>
    <t>CAR - Jarabe para la tos</t>
  </si>
  <si>
    <t>CAR - laundry bags Lodge Surtex</t>
  </si>
  <si>
    <t>CAR - Lavadero Mary fundas y forro de sillon</t>
  </si>
  <si>
    <t>CAR - Leña 60 metros</t>
  </si>
  <si>
    <t>CAR - Librería carpetas</t>
  </si>
  <si>
    <t>CAR - Limpieza alfombra living</t>
  </si>
  <si>
    <t>CAR - Líquidos limpia plateria</t>
  </si>
  <si>
    <t>CAR - Mano de obra 3 fundas camilla masajes</t>
  </si>
  <si>
    <t>CAR - Mano de obra camilla masajes</t>
  </si>
  <si>
    <t>CAR - Mano de obra casa staff</t>
  </si>
  <si>
    <t>CAR - Maple de huevos</t>
  </si>
  <si>
    <t>CAR - Maria lleva a oficina usd 2931</t>
  </si>
  <si>
    <t>CAR - Masaje x1</t>
  </si>
  <si>
    <t>CAR - Masaje x2</t>
  </si>
  <si>
    <t>CAR - Masaje x6</t>
  </si>
  <si>
    <t>CAR - Masajes</t>
  </si>
  <si>
    <t>CAR - Masajes x2</t>
  </si>
  <si>
    <t>CAR - Masajes x2 27/02</t>
  </si>
  <si>
    <t>CAR - Masajes x3</t>
  </si>
  <si>
    <t>CAR - Masajes x4</t>
  </si>
  <si>
    <t>CAR - materiales foci arreglo camioneta Long</t>
  </si>
  <si>
    <t>CAR - Materiales obra casa staff</t>
  </si>
  <si>
    <t>CAR - nafta tramites febrero Caro Horta</t>
  </si>
  <si>
    <t>CAR - Obra pozo séptico casa staff</t>
  </si>
  <si>
    <t>CAR - Pago 10 días vacaciones ton</t>
  </si>
  <si>
    <t>CAR - Pago 2 masajes</t>
  </si>
  <si>
    <t>CAR - Pago bicicletas tour laura alquiler x4 personas</t>
  </si>
  <si>
    <t>CAR - Pago cancha de golf</t>
  </si>
  <si>
    <t>CAR - Pago de envío botellas nuevas para shop</t>
  </si>
  <si>
    <t>CAR - Pago elctricista arreglo cableado</t>
  </si>
  <si>
    <t>CAR - Pago en concepto de Mano de obra casa staff</t>
  </si>
  <si>
    <t>CAR - Pago envío botellas</t>
  </si>
  <si>
    <t>CAR - Pago envío de laundry bags</t>
  </si>
  <si>
    <t>CAR - Pago envío de repuesto punta palos pool</t>
  </si>
  <si>
    <t>CAR - Pago fortete</t>
  </si>
  <si>
    <t>CAR - Pago mano de obra Walter Obra Casa Staff</t>
  </si>
  <si>
    <t>CAR - Pago masaje x4</t>
  </si>
  <si>
    <t>CAR - Pago masajes</t>
  </si>
  <si>
    <t>CAR - Pago masajes x1</t>
  </si>
  <si>
    <t>CAR - Pago masajes x4</t>
  </si>
  <si>
    <t>CAR - Pago permiso 26/02</t>
  </si>
  <si>
    <t>CAR - Pago permiso caza grupo 16/02</t>
  </si>
  <si>
    <t>CAR - Pago permiso SMA</t>
  </si>
  <si>
    <t>CAR - Pago primera quincena febrero TOM jardinero (se descontó $500 de quincena anterior)</t>
  </si>
  <si>
    <t>CAR - Pago primera quincena marzo ton</t>
  </si>
  <si>
    <t>CAR - Pago SMA</t>
  </si>
  <si>
    <t>CAR - Pago SMA permiso de caza</t>
  </si>
  <si>
    <t>CAR - Pago tips enero Paloma housekeeping</t>
  </si>
  <si>
    <t>CAR - Pago tips enero Rafael cocinero</t>
  </si>
  <si>
    <t>CAR - Pago tips enero stefi housekeeping</t>
  </si>
  <si>
    <t>CAR - Pago tips enero Victoria cocinera</t>
  </si>
  <si>
    <t>CAR - Pago tips enero Yuliana camarera</t>
  </si>
  <si>
    <t>CAR - Pago tips febrero Juan Long</t>
  </si>
  <si>
    <t>CAR - Pago Tips Febrero Pablo Gadea</t>
  </si>
  <si>
    <t>CAR - Pago tips manager enero</t>
  </si>
  <si>
    <t>CAR - Pago Transfer</t>
  </si>
  <si>
    <t>CAR - Pago transfer fortete</t>
  </si>
  <si>
    <t>CAR - Pago última quincena de enero Washington jardinero</t>
  </si>
  <si>
    <t>CAR - Pago Walter Mano de obra</t>
  </si>
  <si>
    <t>CAR - Pago Walter Mano de Obra Casa Staff</t>
  </si>
  <si>
    <t>CAR - Pago Walter obra casa staff</t>
  </si>
  <si>
    <t>CAR - Pagos tips enero Valeria housekeeping</t>
  </si>
  <si>
    <t>CAR - palos para realizar empalizada frente en casa staff</t>
  </si>
  <si>
    <t>CAR - Papas Mc Cain por 5kg</t>
  </si>
  <si>
    <t>CAR - Papel contac liso freezer</t>
  </si>
  <si>
    <t>CAR - Patente anual H!</t>
  </si>
  <si>
    <t>CAR - Patente anuela Fiat Strada</t>
  </si>
  <si>
    <t>CAR - Pegamento para botas de clientes</t>
  </si>
  <si>
    <t>CAR - Permiso cacería Markus pty</t>
  </si>
  <si>
    <t>CAR - Permiso cacería x 3 pax pty martin clark</t>
  </si>
  <si>
    <t>CAR - Permiso casería grupo Robert</t>
  </si>
  <si>
    <t>CAR - Permiso caza SMA</t>
  </si>
  <si>
    <t>CAR - Permiso SMA (21/02/2026)</t>
  </si>
  <si>
    <t>CAR - permisos marzo Mati Vila</t>
  </si>
  <si>
    <t>CAR - Pescadería</t>
  </si>
  <si>
    <t>CAR - Pinchadura rueda Fiat strada</t>
  </si>
  <si>
    <t>CAR - Pisco sour Sebastian bebidas</t>
  </si>
  <si>
    <t>CAR - Pkf marzo contadores</t>
  </si>
  <si>
    <t>TH001400000306</t>
  </si>
  <si>
    <t>Extracción de Banco 001400000306 Obs: 09-03-2026_COBRANZAS_CLIENTES</t>
  </si>
  <si>
    <t>CAR - por ingreso a Oficina deb comi</t>
  </si>
  <si>
    <t>000000000510</t>
  </si>
  <si>
    <t>CAR - quesos y lacteos FInesa febrero Carmelo</t>
  </si>
  <si>
    <t>CAR - Ramos generales maíz/mani</t>
  </si>
  <si>
    <t>TD001400000328</t>
  </si>
  <si>
    <t>Depósito a Banco 001400000328 Obs: 16-03-2026  Mov Lodge</t>
  </si>
  <si>
    <t>CAR - red iva antel telecomunicacions</t>
  </si>
  <si>
    <t>000000000475</t>
  </si>
  <si>
    <t>CAR - reembolso a Long por enganche nuevo  trailer</t>
  </si>
  <si>
    <t>CAR - remeras con logo para bird boys nuevos</t>
  </si>
  <si>
    <t>CAR - Remise colonia lodge managers</t>
  </si>
  <si>
    <t>CAR - Reparacion aire acondicionado (aire managers)</t>
  </si>
  <si>
    <t>CAR - Resistencia para arreglo termotanque cocina lodge</t>
  </si>
  <si>
    <t>CAR - Revisión y arreglo de aire acondicionado</t>
  </si>
  <si>
    <t>CAR - ropa blanca surtex</t>
  </si>
  <si>
    <t>CAR - saldo botellas  shop Carmelo</t>
  </si>
  <si>
    <t>CAR - saldo febrero Camioneta Hyundai</t>
  </si>
  <si>
    <t>CAR - saldo permisos Febrero Mati Vila</t>
  </si>
  <si>
    <t>CAR - saldo servilletas lodge</t>
  </si>
  <si>
    <t>CAR - seguro sura fiat febrero</t>
  </si>
  <si>
    <t>CAR - seguro sura hyundai febrero</t>
  </si>
  <si>
    <t>CAR - seguros accidentes carmelo</t>
  </si>
  <si>
    <t>CAR - seguros accidentes de trabajo febrero</t>
  </si>
  <si>
    <t>CAR - SEMCO emergencia medica Carmelo ver plan contable</t>
  </si>
  <si>
    <t>CAR - SEÑA CASOS TERMICOS</t>
  </si>
  <si>
    <t>CAR - Seña Pintura exterior lodge color marrón x 18 lts</t>
  </si>
  <si>
    <t>CAR - seña servilletas marzo carmelo</t>
  </si>
  <si>
    <t>CAR - Service camioneta lubricentro SDD5288</t>
  </si>
  <si>
    <t>CAR - service camioneta master renault</t>
  </si>
  <si>
    <t>CAR - servicios personales enero completa Caro Horta</t>
  </si>
  <si>
    <t>CAR - Sma</t>
  </si>
  <si>
    <t>CAR - Sueldo  Santiago febrero</t>
  </si>
  <si>
    <t>CAR - Sueldo Carmen Cocina Casa Staff (sueldo febrero comenzando 3 de febrero + 3 coberturas turno n</t>
  </si>
  <si>
    <t>CAR - sueldo enero Juan Long</t>
  </si>
  <si>
    <t>CAR - sueldo enero Martin Barrios</t>
  </si>
  <si>
    <t>CAR - sueldo enero Pablo Gadea</t>
  </si>
  <si>
    <t>CAR - sueldo enero Paloma Marchetti</t>
  </si>
  <si>
    <t>CAR - sueldo enero Stefany Suhr</t>
  </si>
  <si>
    <t>CAR - sueldo enero Valeria Olmedo</t>
  </si>
  <si>
    <t>CAR - sueldo enero Yuliana Gonzalez</t>
  </si>
  <si>
    <t>CAR - sueldo febrer Yuliana Gonzalez</t>
  </si>
  <si>
    <t>CAR - sueldo febrero Felipe Olivera</t>
  </si>
  <si>
    <t>CAR - sueldo febrero Juan Long</t>
  </si>
  <si>
    <t>CAR - sueldo febrero Martin Barrios</t>
  </si>
  <si>
    <t>CAR - sueldo febrero menos adelanto  Bruno Vulpi</t>
  </si>
  <si>
    <t>CAR - sueldo febrero Osvaldo Martinez</t>
  </si>
  <si>
    <t>CAR - sueldo febrero Pablo Gadea</t>
  </si>
  <si>
    <t>CAR - sueldo febrero Paloma Marchetti</t>
  </si>
  <si>
    <t>CAR - sueldo febrero Stefany Suhr</t>
  </si>
  <si>
    <t>CAR - sueldo febrero Valeria Olmedo</t>
  </si>
  <si>
    <t>CAR - Sueldo quincenal ton</t>
  </si>
  <si>
    <t>CAR - Sueldo santiago Benítez mantenimiento lodge enero</t>
  </si>
  <si>
    <t>CAR - Sueldo santiago Benítez por obra cocina carmelo lodge</t>
  </si>
  <si>
    <t>CAR - Sueldo ton</t>
  </si>
  <si>
    <t>CAR - Tapas de goma para las patas de la mesa exterior habitaciones</t>
  </si>
  <si>
    <t>CAR - tapones auditivos reembolso Long</t>
  </si>
  <si>
    <t>CAR - Tela para 3 fundas camilla masajes</t>
  </si>
  <si>
    <t>CAR - Telas pegazzano</t>
  </si>
  <si>
    <t>CAR - tip enero Juan Long</t>
  </si>
  <si>
    <t>CAR - tip enero Pablo Gadea</t>
  </si>
  <si>
    <t>CAR - Tips enero santiago mantenimiento</t>
  </si>
  <si>
    <t>CAR - Tips febrero Oriana y Enrique managers</t>
  </si>
  <si>
    <t>CAR - Tips febrero Paloma housekeeping</t>
  </si>
  <si>
    <t>CAR - Tips febrero Paloma housekeeping (pago de 114 UY por 3 dólares de propina)</t>
  </si>
  <si>
    <t>CAR - tips febrero Rafael cocinero</t>
  </si>
  <si>
    <t>CAR - tips febrero santiago mantenimiento</t>
  </si>
  <si>
    <t>CAR - Tips febrero Santiago mantenimiento equivalen a los 14 dólares faltantes.</t>
  </si>
  <si>
    <t>CAR - tips febrero stefi housekeeping</t>
  </si>
  <si>
    <t>CAR - tips febrero Valeria housekeeping</t>
  </si>
  <si>
    <t>CAR - tips febrero Victoria cocinera</t>
  </si>
  <si>
    <t>CAR - tips febrero Yuliana camarera</t>
  </si>
  <si>
    <t>CAR - Tour cabalgata caballos</t>
  </si>
  <si>
    <t>CAR - Transfer pty martin x 3 lodge a colonia</t>
  </si>
  <si>
    <t>CAR - Transporte fortete 21/02</t>
  </si>
  <si>
    <t>CAR - Trasfer fortete a cancha golf para husped</t>
  </si>
  <si>
    <t>CAR - Traslado Fortete</t>
  </si>
  <si>
    <t>CAR - traslados enero Quique Vila</t>
  </si>
  <si>
    <t>CAR - traslados febrero Quique Vila</t>
  </si>
  <si>
    <t>TD001400000327</t>
  </si>
  <si>
    <t>Depósito a Banco 001400000327 Obs: 16-03-2026  Mov Lodge</t>
  </si>
  <si>
    <t>CAR - TRaspaso a $</t>
  </si>
  <si>
    <t>000000000474</t>
  </si>
  <si>
    <t>TD001400000344</t>
  </si>
  <si>
    <t>Depósito a Banco 001400000344 Obs: 23-03-2026  Mov Lodge</t>
  </si>
  <si>
    <t>000000000479</t>
  </si>
  <si>
    <t>CAR - Traspaso de SJ $</t>
  </si>
  <si>
    <t>CAR - Uniforme Managers (250 Oriana, 250 Enrique) primavera/verano</t>
  </si>
  <si>
    <t>CAR - UTE electricidad casa Lodge Febrero</t>
  </si>
  <si>
    <t>CAR - UTE electricidad casa staff enero</t>
  </si>
  <si>
    <t>CAR - UTE electricidad Lodge enero</t>
  </si>
  <si>
    <t>CAR - Velas cumpleaños</t>
  </si>
  <si>
    <t>CAR - verduleria febrero Carmelo</t>
  </si>
  <si>
    <t>CAR - Vino de cocina x 4 y mermeladas x 2</t>
  </si>
  <si>
    <t>CAR - Vinos dulce y mermeladas</t>
  </si>
  <si>
    <t>CAR - vinos Moldes ruibal</t>
  </si>
  <si>
    <t>CAR - vinos Tannat y Marselan Eduardo Nin Carmelo</t>
  </si>
  <si>
    <t>CAR - vinos tannat y pinot Las Damajuanas</t>
  </si>
  <si>
    <t>CAR - Whiskeys envio Sebastian wild turkey</t>
  </si>
  <si>
    <t>TE001400000295</t>
  </si>
  <si>
    <t>Extracción de Caja 001400000295 Obs: Movimiento_Cajas_Bancos_Semana 25-26 al 20-02-2026</t>
  </si>
  <si>
    <t>CAR- Canje Traida Cash</t>
  </si>
  <si>
    <t>000000000483</t>
  </si>
  <si>
    <t>TE001400000348</t>
  </si>
  <si>
    <t>Extracción de Caja 001400000348 Obs: Movimiento_Cajas_Bancos_Semana 25-26 al 20-03-2026</t>
  </si>
  <si>
    <t>CAR- Canon Anual 25/26 - 75k - USD 58,825 recupero Obras ya abonadas</t>
  </si>
  <si>
    <t>000000000496</t>
  </si>
  <si>
    <t>CAR- Envío Billetes Feos Oficina</t>
  </si>
  <si>
    <t>TI001400000350</t>
  </si>
  <si>
    <t>Ingreso a Caja 001400000350 Obs: Movimiento_Cajas_Bancos_Semana 25-26 al 20-03-2026</t>
  </si>
  <si>
    <t>CAR- recupero Obras ya abonadas 58,825 - contra Canon Anual 25/26 - 75k - USD 58,825</t>
  </si>
  <si>
    <t>000000000537</t>
  </si>
  <si>
    <t>TE001400000362</t>
  </si>
  <si>
    <t>Extracción de Caja 001400000362 Obs: Movimiento_Cajas_Bancos_Semana 25-26 al 03-04-2026</t>
  </si>
  <si>
    <t>CAR- Reversa Vigil Arquitecto FC 56 - 03/26 - $ 632,250 (Carmelo)</t>
  </si>
  <si>
    <t>000000000500</t>
  </si>
  <si>
    <t>06/02/2026</t>
  </si>
  <si>
    <t>TE001400000267</t>
  </si>
  <si>
    <t>Extracción de Caja 001400000267 Obs: Movimiento_Cajas_Bancos_Semana 25-26 al 06-02-2026</t>
  </si>
  <si>
    <t>CAR- ValleyFF- CARMELO LODGE SAS - (Carmelo Operating Needs - February)-</t>
  </si>
  <si>
    <t>000000000369</t>
  </si>
  <si>
    <t>06/03/2026</t>
  </si>
  <si>
    <t>TE001400000318</t>
  </si>
  <si>
    <t>Extracción de Caja 001400000318 Obs: Movimiento_Cajas_Bancos_Semana 25-26 al 06-03-2026</t>
  </si>
  <si>
    <t>CAR- ValleyFF- CARMELO LODGE SAS - (Carmelo Operating Needs - February/March)-</t>
  </si>
  <si>
    <t>000000000490</t>
  </si>
  <si>
    <t>TE001400000349</t>
  </si>
  <si>
    <t>Extracción de Caja 001400000349 Obs: Movimiento_Cajas_Bancos_Semana 25-26 al 20-03-2026</t>
  </si>
  <si>
    <t>000000000497</t>
  </si>
  <si>
    <t>CAR- ValleySW- CARMELO LODGE SAS - (Carmelo Operating Needs - February)-</t>
  </si>
  <si>
    <t>CAR1 26/27- Marnee Lane - Viene de CL25 25-26</t>
  </si>
  <si>
    <t>CAR1- 26/27- Patrick Godwin - #114 - ValleySW-  14 Checks $ 158.925,00 -15-02-2026</t>
  </si>
  <si>
    <t>CAR11- Geoffrey Williams Extras 25-26 - ID 41180 -EXtras 25/26- -CMSW 02-2026-</t>
  </si>
  <si>
    <t>CAR11- Geoffrey Williams Extras 25-26 - ID 41180 -EXtras 25/26- -CMSW 02-2026- -CC</t>
  </si>
  <si>
    <t>CAR14 - Charles Barr Extras 25-26 ID 42064 -EXtras 25/26- -CMSW 02-2026-</t>
  </si>
  <si>
    <t>CAR14 - Charles Barr Extras 25-26 ID 42064 -EXtras 25/26- -CMSW 02-2026- -CC</t>
  </si>
  <si>
    <t>CAR14 - Elizabeth Barr Extras 25-26 ID 42063 -EXtras 25/26- -CMSW 02-2026-</t>
  </si>
  <si>
    <t>CAR14 - Elizabeth Barr Extras 25-26 ID 42063 -EXtras 25/26- -CMSW 02-2026- -CC</t>
  </si>
  <si>
    <t>CAR14 - John Mcferran Barr Extras 25-26 ID 42065 -EXtras 25/26- -CMSW 02-2026-</t>
  </si>
  <si>
    <t>CAR14 - John Mcferran Barr Extras 25-26 ID 42065 -EXtras 25/26- -CMSW 02-2026- -CC</t>
  </si>
  <si>
    <t>CAR17- 25/26- ValleySW- James Purdey &amp; Sons Limited - (Sales Commission CAR17)-</t>
  </si>
  <si>
    <t>CAR2- 25/26- Gerlad Merck - ValleySW-  13 Checks $ 149.977,50 -10-02-2026</t>
  </si>
  <si>
    <t>CAR23- Charles Revson Extras 25-26 - ID 12238 -EXtras 25/26- -CMSW 02-2026-</t>
  </si>
  <si>
    <t>CAR23- Charles Revson Extras 25-26 - ID 12238 -EXtras 25/26- -CMSW 02-2026- -CC</t>
  </si>
  <si>
    <t>CAR23- Henry Smith Extras 25-26 - ID 184 -EXtras 25/26- -CMSW 02-2026-</t>
  </si>
  <si>
    <t>CAR23- Henry Smith Extras 25-26 - ID 184 -EXtras 25/26- -CMSW 02-2026- -CC</t>
  </si>
  <si>
    <t>CAR27- 25/26- Rick Holland - $5400 Comparte con DEL61 - ValleySW-  50 Checks $ 265.427,25 -09-03-202</t>
  </si>
  <si>
    <t>CAR31- 25/26- Jeff Andresen - ValleySW-  12 Checks $ 81.965,50 -17-03-2026</t>
  </si>
  <si>
    <t>CAR31- 25/26- ValleySW-  12 Checks $ 81.965,50 -17-03-2026</t>
  </si>
  <si>
    <t>CAR33- 25/26- Horton Family - ValleySW-  26 Checks $ 126.168,75 -02-03-2026</t>
  </si>
  <si>
    <t>CAR33- 25/26- Leigh Ann - ValleySW-  19 Checks $ 112.794,62 -02-02-2026</t>
  </si>
  <si>
    <t>CAR34 - Charlie Fowler Extras 25-26 ID 42227 -EXtras 25/26- -CMSW 02-2026-</t>
  </si>
  <si>
    <t>CAR34 - Charlie Fowler Extras 25-26 ID 42227 -EXtras 25/26- -CMSW 02-2026- -CC</t>
  </si>
  <si>
    <t>CAR36- 25/26- Kaleb Carnley - ValleySW- WIRE IN GFT 202602180026109 JANSEN K CARNLEY  N/A /PURP/TRVL</t>
  </si>
  <si>
    <t>CAR37- 25/26- Todd Maclin - ValleySW-  10 Checks $ 53.432,50 -15-03-2026</t>
  </si>
  <si>
    <t>CAR5 - Andrew Dauenhauer Extras 25-26 ID 41096 -EXtras 25/26- -CMSW 02-2026-</t>
  </si>
  <si>
    <t>CAR5 - Andrew Dauenhauer Extras 25-26 ID 41096 -EXtras 25/26- -CMSW 02-2026- -CC</t>
  </si>
  <si>
    <t>CAR5 - Dolly Webster Extras 25-26 ID 41746 -EXtras 25/26- -CMSW 02-2026-</t>
  </si>
  <si>
    <t>CAR5 - Dolly Webster Extras 25-26 ID 41746 -EXtras 25/26- -CMSW 02-2026- -CC</t>
  </si>
  <si>
    <t>CAR5 - Jack Mcinerney Extras 25-26 ID 40004 -EXtras 25/26- -CMSW 02-2026-</t>
  </si>
  <si>
    <t>CAR5 - Jack Mcinerney Extras 25-26 ID 40004 -EXtras 25/26- -CMSW 02-2026- -CC</t>
  </si>
  <si>
    <t>CAR5 - Michael Smith Extras 25-26 ID 22981 -EXtras 25/26- -CMSW 02-2026-</t>
  </si>
  <si>
    <t>CAR5 - Michael Smith Extras 25-26 ID 22981 -EXtras 25/26- -CMSW 02-2026- -CC</t>
  </si>
  <si>
    <t>CAR5 - Michael Thomas Extras 25-26 ID 22980 -EXtras 25/26- -CMSW 02-2026-</t>
  </si>
  <si>
    <t>CAR5 - Michael Thomas Extras 25-26 ID 22980 -EXtras 25/26- -CMSW 02-2026- -CC</t>
  </si>
  <si>
    <t>CAR5 - William Hebron Extras 25-26 ID 39648 -EXtras 25/26- -CMSW 02-2026-</t>
  </si>
  <si>
    <t>CAR5 - William Hebron Extras 25-26 ID 39648 -EXtras 25/26- -CMSW 02-2026- -CC</t>
  </si>
  <si>
    <t>CAR5- 25/26- William Hebron - ValleySW-  14 Checks $ 158.925,00 -15-02-2026</t>
  </si>
  <si>
    <t>CAR7 - Judy Wood Extras 25-26 ID 40561 -EXtras 25/26- -CMSW 02-2026-</t>
  </si>
  <si>
    <t>CAR7 - Judy Wood Extras 25-26 ID 40561 -EXtras 25/26- -CMSW 02-2026- -CC</t>
  </si>
  <si>
    <t>CAR7 - Thomas Stacy Wood Extras 25-26 ID 41770 -EXtras 25/26- -CMSW 02-2026-</t>
  </si>
  <si>
    <t>CAR7 - Thomas Stacy Wood Extras 25-26 ID 41770 -EXtras 25/26- -CMSW 02-2026- -CC</t>
  </si>
  <si>
    <t>CAR8 - Aron Allen Extras 25-26 ID 40573 -EXtras 25/26- -CMSW 02-2026-</t>
  </si>
  <si>
    <t>CAR8 - Aron Allen Extras 25-26 ID 40573 -EXtras 25/26- -CMSW 02-2026- -CC</t>
  </si>
  <si>
    <t>CAR8 - Carl Harvey Extras 25-26 ID 41728 -EXtras 25/26- -CMSW 02-2026-</t>
  </si>
  <si>
    <t>CAR8 - Carl Harvey Extras 25-26 ID 41728 -EXtras 25/26- -CMSW 02-2026- -CC</t>
  </si>
  <si>
    <t>CAR8 - Dan Harvey Extras 25-26 ID 41727 -EXtras 25/26- -CMSW 02-2026-</t>
  </si>
  <si>
    <t>CAR8 - Dan Harvey Extras 25-26 ID 41727 -EXtras 25/26- -CMSW 02-2026- -CC</t>
  </si>
  <si>
    <t>CAR8 - Joseph Green Extras 25-26 ID 41726 -EXtras 25/26- -CMSW 02-2026-</t>
  </si>
  <si>
    <t>CAR8 - Joseph Green Extras 25-26 ID 41726 -EXtras 25/26- -CMSW 02-2026- -CC</t>
  </si>
  <si>
    <t>CAR9- 25/26- Corey Mosher - ValleySW-  26 Checks $ 126.168,75 -02-03-2026</t>
  </si>
  <si>
    <t>TE001400000331</t>
  </si>
  <si>
    <t>Extracción de Caja 001400000331 Obs: Movimiento_Cajas_Bancos_Semana 25-26 al 13-03-2026</t>
  </si>
  <si>
    <t>CAR-Adelanto 50 % -Gorras Elite Club - 90 unidades F.Fijo Oper. Al 13-03-2026</t>
  </si>
  <si>
    <t>000000000492</t>
  </si>
  <si>
    <t>TE001400000361</t>
  </si>
  <si>
    <t>Extracción de Caja 001400000361 Obs: Movimiento_Cajas_Bancos_Semana 25-26 al 03-04-2026</t>
  </si>
  <si>
    <t>CAR-Anticipo 50% - Uniformes managers - temporada 2026 - Uniformes Express F.Fijo Oper. Al 27-03-202</t>
  </si>
  <si>
    <t>000000000499</t>
  </si>
  <si>
    <t>CAR-Caja Lodge F.Fijo Oper. Al 06-02-2026</t>
  </si>
  <si>
    <t>CAR-Compra habanos - 20 partafas + 20 mille fleur - La Casa Del habano F.Fijo Oper. Al 01-04-2026</t>
  </si>
  <si>
    <t>CAR-Diseño Tito - uniformes F.Fijo Oper. Al 03-04-2026</t>
  </si>
  <si>
    <t>CAR-Honorarios marzo - Enrique - Manager F.Fijo Oper. Al 03-04-2026</t>
  </si>
  <si>
    <t>CAR-Honorarios marzo - Oriana - Manager F.Fijo Oper. Al 03-04-2026</t>
  </si>
  <si>
    <t>TE001400000332</t>
  </si>
  <si>
    <t>Extracción de Caja 001400000332 Obs: Movimiento_Cajas_Bancos_Semana 25-26 al 13-03-2026</t>
  </si>
  <si>
    <t>CAR-Pasajes Prana-Apertura carmelo--MARIA CAPIZZI-BUQUEBUS COL-BS AS</t>
  </si>
  <si>
    <t>000000000493</t>
  </si>
  <si>
    <t>TI001400000301</t>
  </si>
  <si>
    <t>Ingreso a Caja 001400000301 Obs: Movimiento_Cajas_Bancos_Semana 25-26 al 27-02-2026</t>
  </si>
  <si>
    <t>CAR-Recupero Impresión 50 postales elite club + 400 score cards +300 WL - rendido FF 06-02-26 F.Fijo</t>
  </si>
  <si>
    <t>000000000532</t>
  </si>
  <si>
    <t>CAR-Reposición Campera Soft Shell con logo - Temporada 2026 - Elvio Braman F.Fijo Oper. Al 27-03-202</t>
  </si>
  <si>
    <t>CAR-Reposición Chaleco Matelaseado Negro Housekeeping + Chaleco Matelaseado Managers Hombre - Tempor</t>
  </si>
  <si>
    <t>CAR-Reposición uniformes camisas HSK - temporada 2026 - Eileen Folgado F.Fijo Oper. Al 27-03-2026</t>
  </si>
  <si>
    <t>CAR-Reposición uniformes cocina - temporada 2026 - Savastano F.Fijo Oper. Al 27-03-2026</t>
  </si>
  <si>
    <t>CAR-Saldo 50 % - Gorra y bordado x 75 unidades - regalo clientes F.Fijo Oper. Al 27-03-2026</t>
  </si>
  <si>
    <t>TE001400000316</t>
  </si>
  <si>
    <t>Extracción de Caja 001400000316 Obs: Movimiento_Cajas_Bancos_Semana 25-26 al 06-03-2026</t>
  </si>
  <si>
    <t>CAR-Sueldo completo x mes Febrero Victoria Chef Carmelo Lodge (USD1300 a TC 1415) Pagos Frank Garrah</t>
  </si>
  <si>
    <t>000000000488</t>
  </si>
  <si>
    <t>CAR-Sueldo Febrero Enrique Manager Carmelo Lodge F.Fijo Oper. Al 06-03-2026</t>
  </si>
  <si>
    <t>CAR-Sueldo Febrero Rafael Chef Carmelo Lodge F.Fijo Oper. Al 06-03-2026</t>
  </si>
  <si>
    <t>CAR-Sueldo Marzo Rafael Chef Carmelo Lodge (USD1600 a TC 1405) Pagos Depsa Valores-  Al 01-04-2026</t>
  </si>
  <si>
    <t>CAR-Sueldo Marzo Victoria Chef Carmelo Lodge (USD1300 a TC 1405) Pagos Depsa Valores-  Al 01-04-2026</t>
  </si>
  <si>
    <t>CAR-Sueldo Oriana Manager Carmelo Lodge F.Fijo Oper. Al 06-03-2026</t>
  </si>
  <si>
    <t>TE001400000272</t>
  </si>
  <si>
    <t>Extracción de Caja 001400000272 Obs: Movimiento_Cajas_Bancos_Semana 25-26 al 13-02-2026</t>
  </si>
  <si>
    <t>CAR-Sueldo proporcional x 22 dias Enero Rafael Chef Carmelo Lodge F.Fijo Oper. Al 13-02-2026</t>
  </si>
  <si>
    <t>000000000413</t>
  </si>
  <si>
    <t>CAR-Tips Febrero Maria Capizzi - manager F.Fijo Oper. Al 20-03-2026</t>
  </si>
  <si>
    <t>CAR-TriSW Fee CC 02-2026</t>
  </si>
  <si>
    <t>CAR-Viáticos paisajista - Taxi ida Buquebus F.Fijo Oper. Al 01-04-2026</t>
  </si>
  <si>
    <t>TE001400000364</t>
  </si>
  <si>
    <t>Extracción de Caja 001400000364 Obs: RECUPERO COMISIONES</t>
  </si>
  <si>
    <t>RECUPERO COMISIONES</t>
  </si>
  <si>
    <t>000000000501</t>
  </si>
  <si>
    <t>VF000000004324B</t>
  </si>
  <si>
    <t>F B 000000004324</t>
  </si>
  <si>
    <t>Ref. nota de Venta: CA.DU12
Obs.:09-02-2026_CLIENTES</t>
  </si>
  <si>
    <t>000000000374</t>
  </si>
  <si>
    <t>VF000000004325B</t>
  </si>
  <si>
    <t>F B 000000004325</t>
  </si>
  <si>
    <t>000000000375</t>
  </si>
  <si>
    <t>VF000000004326B</t>
  </si>
  <si>
    <t>F B 000000004326</t>
  </si>
  <si>
    <t>000000000376</t>
  </si>
  <si>
    <t>VF000000004327B</t>
  </si>
  <si>
    <t>F B 000000004327</t>
  </si>
  <si>
    <t>000000000377</t>
  </si>
  <si>
    <t>VC000000004742B</t>
  </si>
  <si>
    <t>C B 000000004742</t>
  </si>
  <si>
    <t>Ref. nota de Venta: CA.DU12
Obs.:09-02-2026_CLIENTES // Reversión de documento</t>
  </si>
  <si>
    <t>000000000423</t>
  </si>
  <si>
    <t>VF000000004655B</t>
  </si>
  <si>
    <t>F B 000000004655</t>
  </si>
  <si>
    <t>Ref. nota de Venta: CA.DU12
Obs.:16-02-2026_CLIENTES</t>
  </si>
  <si>
    <t>000000000425</t>
  </si>
  <si>
    <t>VF000000004656B</t>
  </si>
  <si>
    <t>F B 000000004656</t>
  </si>
  <si>
    <t>000000000426</t>
  </si>
  <si>
    <t>VF000000004657B</t>
  </si>
  <si>
    <t>F B 000000004657</t>
  </si>
  <si>
    <t>000000000427</t>
  </si>
  <si>
    <t>VF000000004658B</t>
  </si>
  <si>
    <t>F B 000000004658</t>
  </si>
  <si>
    <t>000000000428</t>
  </si>
  <si>
    <t>VF000000004659B</t>
  </si>
  <si>
    <t>F B 000000004659</t>
  </si>
  <si>
    <t>000000000429</t>
  </si>
  <si>
    <t>VF000000004660B</t>
  </si>
  <si>
    <t>F B 000000004660</t>
  </si>
  <si>
    <t>000000000430</t>
  </si>
  <si>
    <t>VF000000004661B</t>
  </si>
  <si>
    <t>F B 000000004661</t>
  </si>
  <si>
    <t>000000000431</t>
  </si>
  <si>
    <t>VF000000006086B</t>
  </si>
  <si>
    <t>Asiento de VENTAS (01/09/2025 - 31/3/2026)</t>
  </si>
  <si>
    <t>F B 000000006086</t>
  </si>
  <si>
    <t>Ref. nota de Venta: CA.DU13
Obs.:16-03-2026_CLIENTES</t>
  </si>
  <si>
    <t>000000000714</t>
  </si>
  <si>
    <t>VF000000006087B</t>
  </si>
  <si>
    <t>F B 000000006087</t>
  </si>
  <si>
    <t>000000000715</t>
  </si>
  <si>
    <t>VF000000006088B</t>
  </si>
  <si>
    <t>F B 000000006088</t>
  </si>
  <si>
    <t>000000000716</t>
  </si>
  <si>
    <t>VF000000006742B</t>
  </si>
  <si>
    <t>F B 000000006742</t>
  </si>
  <si>
    <t>Ref. nota de Venta: CA.DU16
Obs.:31-03-2026_CLIENTES</t>
  </si>
  <si>
    <t>000000000747</t>
  </si>
  <si>
    <t>VF000000006743B</t>
  </si>
  <si>
    <t>F B 000000006743</t>
  </si>
  <si>
    <t>000000000748</t>
  </si>
  <si>
    <t>VF000000006744B</t>
  </si>
  <si>
    <t>F B 000000006744</t>
  </si>
  <si>
    <t>000000000749</t>
  </si>
  <si>
    <t>VF000000006745B</t>
  </si>
  <si>
    <t>F B 000000006745</t>
  </si>
  <si>
    <t>000000000750</t>
  </si>
  <si>
    <t>VF000000005593B</t>
  </si>
  <si>
    <t>F B 000000005593</t>
  </si>
  <si>
    <t>Ref. nota de Venta: CA.DU20
Obs.:09-03-2026_CLIENTES</t>
  </si>
  <si>
    <t>000000000689</t>
  </si>
  <si>
    <t>VF000000005594B</t>
  </si>
  <si>
    <t>F B 000000005594</t>
  </si>
  <si>
    <t>000000000690</t>
  </si>
  <si>
    <t>210615</t>
  </si>
  <si>
    <t>Donaciones Elite Club</t>
  </si>
  <si>
    <t>VF000000005595B</t>
  </si>
  <si>
    <t>F B 000000005595</t>
  </si>
  <si>
    <t>000000000691</t>
  </si>
  <si>
    <t>VF000000005596B</t>
  </si>
  <si>
    <t>F B 000000005596</t>
  </si>
  <si>
    <t>000000000692</t>
  </si>
  <si>
    <t>VF000000005274B</t>
  </si>
  <si>
    <t>F B 000000005274</t>
  </si>
  <si>
    <t>Ref. nota de Venta: CA.DU20
Obs.:28-02-2026_CLIENTES</t>
  </si>
  <si>
    <t>000000000669</t>
  </si>
  <si>
    <t>VF000000006746B</t>
  </si>
  <si>
    <t>F B 000000006746</t>
  </si>
  <si>
    <t>Ref. nota de Venta: CA.DU23
Obs.:31-03-2026_CLIENTES</t>
  </si>
  <si>
    <t>000000000751</t>
  </si>
  <si>
    <t>VF000000006747B</t>
  </si>
  <si>
    <t>F B 000000006747</t>
  </si>
  <si>
    <t>000000000752</t>
  </si>
  <si>
    <t>VF000000006748B</t>
  </si>
  <si>
    <t>F B 000000006748</t>
  </si>
  <si>
    <t>000000000753</t>
  </si>
  <si>
    <t>VF000000006749B</t>
  </si>
  <si>
    <t>F B 000000006749</t>
  </si>
  <si>
    <t>000000000754</t>
  </si>
  <si>
    <t>VF000000006750B</t>
  </si>
  <si>
    <t>F B 000000006750</t>
  </si>
  <si>
    <t>000000000755</t>
  </si>
  <si>
    <t>VF000000006751B</t>
  </si>
  <si>
    <t>F B 000000006751</t>
  </si>
  <si>
    <t>000000000756</t>
  </si>
  <si>
    <t>VF000000006351B</t>
  </si>
  <si>
    <t>F B 000000006351</t>
  </si>
  <si>
    <t>Ref. nota de Venta: CA.DU24
Obs.:23-03-2026_CLIENTES</t>
  </si>
  <si>
    <t>000000000735</t>
  </si>
  <si>
    <t>VF000000006352B</t>
  </si>
  <si>
    <t>F B 000000006352</t>
  </si>
  <si>
    <t>000000000736</t>
  </si>
  <si>
    <t>VF000000006353B</t>
  </si>
  <si>
    <t>F B 000000006353</t>
  </si>
  <si>
    <t>000000000737</t>
  </si>
  <si>
    <t>VF000000006354B</t>
  </si>
  <si>
    <t>F B 000000006354</t>
  </si>
  <si>
    <t>000000000738</t>
  </si>
  <si>
    <t>VF000000004328B</t>
  </si>
  <si>
    <t>F B 000000004328</t>
  </si>
  <si>
    <t>Ref. nota de Venta: CA.DU27
Obs.:09-02-2026_CLIENTES</t>
  </si>
  <si>
    <t>000000000378</t>
  </si>
  <si>
    <t>VF000000004329B</t>
  </si>
  <si>
    <t>F B 000000004329</t>
  </si>
  <si>
    <t>000000000379</t>
  </si>
  <si>
    <t>VF000000006089B</t>
  </si>
  <si>
    <t>F B 000000006089</t>
  </si>
  <si>
    <t>Ref. nota de Venta: CA.DU28
Obs.:16-03-2026_CLIENTES</t>
  </si>
  <si>
    <t>000000000717</t>
  </si>
  <si>
    <t>VF000000006090B</t>
  </si>
  <si>
    <t>F B 000000006090</t>
  </si>
  <si>
    <t>000000000718</t>
  </si>
  <si>
    <t>VF000000005597B</t>
  </si>
  <si>
    <t>F B 000000005597</t>
  </si>
  <si>
    <t>Ref. nota de Venta: CA.DU32
Obs.:09-03-2026_CLIENTES</t>
  </si>
  <si>
    <t>000000000693</t>
  </si>
  <si>
    <t>VF000000005598B</t>
  </si>
  <si>
    <t>F B 000000005598</t>
  </si>
  <si>
    <t>000000000694</t>
  </si>
  <si>
    <t>VF000000005599B</t>
  </si>
  <si>
    <t>F B 000000005599</t>
  </si>
  <si>
    <t>000000000695</t>
  </si>
  <si>
    <t>VF000000005275B</t>
  </si>
  <si>
    <t>F B 000000005275</t>
  </si>
  <si>
    <t>Ref. nota de Venta: CA.DU32
Obs.:28-02-2026_CLIENTES</t>
  </si>
  <si>
    <t>000000000670</t>
  </si>
  <si>
    <t>VF000000004330B</t>
  </si>
  <si>
    <t>F B 000000004330</t>
  </si>
  <si>
    <t>Ref. nota de Venta: CA.DU34
Obs.:09-02-2026_CLIENTES</t>
  </si>
  <si>
    <t>000000000380</t>
  </si>
  <si>
    <t>VF000000004331B</t>
  </si>
  <si>
    <t>F B 000000004331</t>
  </si>
  <si>
    <t>000000000381</t>
  </si>
  <si>
    <t>VF000000004332B</t>
  </si>
  <si>
    <t>F B 000000004332</t>
  </si>
  <si>
    <t>000000000382</t>
  </si>
  <si>
    <t>VF000000005600B</t>
  </si>
  <si>
    <t>F B 000000005600</t>
  </si>
  <si>
    <t>Ref. nota de Venta: CA.DU35
Obs.:09-03-2026_CLIENTES</t>
  </si>
  <si>
    <t>000000000696</t>
  </si>
  <si>
    <t>VF000000005601B</t>
  </si>
  <si>
    <t>F B 000000005601</t>
  </si>
  <si>
    <t>000000000697</t>
  </si>
  <si>
    <t>VF000000005602B</t>
  </si>
  <si>
    <t>F B 000000005602</t>
  </si>
  <si>
    <t>000000000698</t>
  </si>
  <si>
    <t>VF000000005603B</t>
  </si>
  <si>
    <t>F B 000000005603</t>
  </si>
  <si>
    <t>000000000699</t>
  </si>
  <si>
    <t>VF000000005276B</t>
  </si>
  <si>
    <t>F B 000000005276</t>
  </si>
  <si>
    <t>Ref. nota de Venta: CA.DU35
Obs.:28-02-2026_CLIENTES</t>
  </si>
  <si>
    <t>000000000671</t>
  </si>
  <si>
    <t>VF000000005277B</t>
  </si>
  <si>
    <t>F B 000000005277</t>
  </si>
  <si>
    <t>000000000672</t>
  </si>
  <si>
    <t>VF000000005278B</t>
  </si>
  <si>
    <t>F B 000000005278</t>
  </si>
  <si>
    <t>000000000673</t>
  </si>
  <si>
    <t>VF000000005279B</t>
  </si>
  <si>
    <t>F B 000000005279</t>
  </si>
  <si>
    <t>000000000674</t>
  </si>
  <si>
    <t>VF000000006752B</t>
  </si>
  <si>
    <t>F B 000000006752</t>
  </si>
  <si>
    <t>Ref. nota de Venta: CA.DU38
Obs.:31-03-2026_CLIENTES</t>
  </si>
  <si>
    <t>000000000757</t>
  </si>
  <si>
    <t>VF000000006753B</t>
  </si>
  <si>
    <t>F B 000000006753</t>
  </si>
  <si>
    <t>000000000758</t>
  </si>
  <si>
    <t>VF000000006754B</t>
  </si>
  <si>
    <t>F B 000000006754</t>
  </si>
  <si>
    <t>000000000759</t>
  </si>
  <si>
    <t>VF000000004333B</t>
  </si>
  <si>
    <t>F B 000000004333</t>
  </si>
  <si>
    <t>Ref. nota de Venta: CA.DU39
Obs.:09-02-2026_CLIENTES</t>
  </si>
  <si>
    <t>000000000383</t>
  </si>
  <si>
    <t>VF000000004334B</t>
  </si>
  <si>
    <t>F B 000000004334</t>
  </si>
  <si>
    <t>000000000384</t>
  </si>
  <si>
    <t>VF000000004335B</t>
  </si>
  <si>
    <t>F B 000000004335</t>
  </si>
  <si>
    <t>000000000385</t>
  </si>
  <si>
    <t>VF000000004336B</t>
  </si>
  <si>
    <t>F B 000000004336</t>
  </si>
  <si>
    <t>000000000386</t>
  </si>
  <si>
    <t>VF000000006755B</t>
  </si>
  <si>
    <t>F B 000000006755</t>
  </si>
  <si>
    <t>Ref. nota de Venta: CA.DU43
Obs.:31-03-2026_CLIENTES</t>
  </si>
  <si>
    <t>000000000760</t>
  </si>
  <si>
    <t>VF000000006756B</t>
  </si>
  <si>
    <t>F B 000000006756</t>
  </si>
  <si>
    <t>000000000761</t>
  </si>
  <si>
    <t>VF000000006757B</t>
  </si>
  <si>
    <t>F B 000000006757</t>
  </si>
  <si>
    <t>000000000762</t>
  </si>
  <si>
    <t>VF000000006758B</t>
  </si>
  <si>
    <t>F B 000000006758</t>
  </si>
  <si>
    <t>000000000763</t>
  </si>
  <si>
    <t>VF000000005280B</t>
  </si>
  <si>
    <t>F B 000000005280</t>
  </si>
  <si>
    <t>Ref. nota de Venta: CA.DU45
Obs.:28-02-2026_CLIENTES</t>
  </si>
  <si>
    <t>000000000675</t>
  </si>
  <si>
    <t>VF000000005281B</t>
  </si>
  <si>
    <t>F B 000000005281</t>
  </si>
  <si>
    <t>000000000676</t>
  </si>
  <si>
    <t>VF000000005282B</t>
  </si>
  <si>
    <t>F B 000000005282</t>
  </si>
  <si>
    <t>000000000677</t>
  </si>
  <si>
    <t>VF000000005283B</t>
  </si>
  <si>
    <t>F B 000000005283</t>
  </si>
  <si>
    <t>000000000678</t>
  </si>
  <si>
    <t>VF000000004886B</t>
  </si>
  <si>
    <t>F B 000000004886</t>
  </si>
  <si>
    <t>Ref. nota de Venta: CA.DU50
Obs.:23-02-2026_CLIENTES</t>
  </si>
  <si>
    <t>000000000653</t>
  </si>
  <si>
    <t>VF000000005284B</t>
  </si>
  <si>
    <t>F B 000000005284</t>
  </si>
  <si>
    <t>Ref. nota de Venta: CA.DU50
Obs.:28-02-2026_CLIENTES</t>
  </si>
  <si>
    <t>000000000679</t>
  </si>
  <si>
    <t>VF000000005285B</t>
  </si>
  <si>
    <t>F B 000000005285</t>
  </si>
  <si>
    <t>000000000680</t>
  </si>
  <si>
    <t>VF000000005286B</t>
  </si>
  <si>
    <t>F B 000000005286</t>
  </si>
  <si>
    <t>000000000681</t>
  </si>
  <si>
    <t>VF000000005287B</t>
  </si>
  <si>
    <t>F B 000000005287</t>
  </si>
  <si>
    <t>000000000682</t>
  </si>
  <si>
    <t>VF000000004337B</t>
  </si>
  <si>
    <t>F B 000000004337</t>
  </si>
  <si>
    <t>Ref. nota de Venta: CA.DU53
Obs.:09-02-2026_CLIENTES</t>
  </si>
  <si>
    <t>000000000387</t>
  </si>
  <si>
    <t>VF000000004338B</t>
  </si>
  <si>
    <t>F B 000000004338</t>
  </si>
  <si>
    <t>000000000388</t>
  </si>
  <si>
    <t>VF000000004339B</t>
  </si>
  <si>
    <t>F B 000000004339</t>
  </si>
  <si>
    <t>000000000389</t>
  </si>
  <si>
    <t>VF000000004340B</t>
  </si>
  <si>
    <t>F B 000000004340</t>
  </si>
  <si>
    <t>000000000390</t>
  </si>
  <si>
    <t>VF000000006759B</t>
  </si>
  <si>
    <t>F B 000000006759</t>
  </si>
  <si>
    <t>Ref. nota de Venta: CA.DU54
Obs.:31-03-2026_CLIENTES</t>
  </si>
  <si>
    <t>000000000764</t>
  </si>
  <si>
    <t>VF000000006760B</t>
  </si>
  <si>
    <t>F B 000000006760</t>
  </si>
  <si>
    <t>000000000765</t>
  </si>
  <si>
    <t>VF000000006761B</t>
  </si>
  <si>
    <t>F B 000000006761</t>
  </si>
  <si>
    <t>000000000766</t>
  </si>
  <si>
    <t>VF000000006762B</t>
  </si>
  <si>
    <t>F B 000000006762</t>
  </si>
  <si>
    <t>000000000767</t>
  </si>
  <si>
    <t>VF000000006091B</t>
  </si>
  <si>
    <t>F B 000000006091</t>
  </si>
  <si>
    <t>Ref. nota de Venta: CA.DU62
Obs.:16-03-2026_CLIENTES</t>
  </si>
  <si>
    <t>000000000719</t>
  </si>
  <si>
    <t>VF000000006092B</t>
  </si>
  <si>
    <t>F B 000000006092</t>
  </si>
  <si>
    <t>000000000720</t>
  </si>
  <si>
    <t>VF000000006355B</t>
  </si>
  <si>
    <t>F B 000000006355</t>
  </si>
  <si>
    <t>Ref. nota de Venta: CA.DU7
Obs.:23-03-2026_CLIENTES</t>
  </si>
  <si>
    <t>000000000739</t>
  </si>
  <si>
    <t>VF000000006356B</t>
  </si>
  <si>
    <t>F B 000000006356</t>
  </si>
  <si>
    <t>000000000740</t>
  </si>
  <si>
    <t>VF000000006357B</t>
  </si>
  <si>
    <t>F B 000000006357</t>
  </si>
  <si>
    <t>000000000741</t>
  </si>
  <si>
    <t>VF000000006358B</t>
  </si>
  <si>
    <t>F B 000000006358</t>
  </si>
  <si>
    <t>000000000742</t>
  </si>
  <si>
    <t>VF000000005604B</t>
  </si>
  <si>
    <t>F B 000000005604</t>
  </si>
  <si>
    <t>Ref. nota de Venta: CA.DU8
Obs.:09-03-2026_CLIENTES</t>
  </si>
  <si>
    <t>000000000700</t>
  </si>
  <si>
    <t>VF000000005605B</t>
  </si>
  <si>
    <t>F B 000000005605</t>
  </si>
  <si>
    <t>000000000701</t>
  </si>
  <si>
    <t>VF000000005606B</t>
  </si>
  <si>
    <t>F B 000000005606</t>
  </si>
  <si>
    <t>000000000702</t>
  </si>
  <si>
    <t>VF000000005288B</t>
  </si>
  <si>
    <t>F B 000000005288</t>
  </si>
  <si>
    <t>Ref. nota de Venta: CA.DU8
Obs.:28-02-2026_CLIENTES</t>
  </si>
  <si>
    <t>000000000683</t>
  </si>
  <si>
    <t>VF000000005289B</t>
  </si>
  <si>
    <t>F B 000000005289</t>
  </si>
  <si>
    <t>000000000684</t>
  </si>
  <si>
    <t>VF000000005607B</t>
  </si>
  <si>
    <t>F B 000000005607</t>
  </si>
  <si>
    <t>Ref. nota de Venta: CADU22
Obs.:09-03-2026_CLIENTES</t>
  </si>
  <si>
    <t>000000000703</t>
  </si>
  <si>
    <t>VF000000005608B</t>
  </si>
  <si>
    <t>F B 000000005608</t>
  </si>
  <si>
    <t>000000000704</t>
  </si>
  <si>
    <t>VF000000005609B</t>
  </si>
  <si>
    <t>F B 000000005609</t>
  </si>
  <si>
    <t>000000000705</t>
  </si>
  <si>
    <t>VF000000005610B</t>
  </si>
  <si>
    <t>F B 000000005610</t>
  </si>
  <si>
    <t>000000000706</t>
  </si>
  <si>
    <t>VF000000006093B</t>
  </si>
  <si>
    <t>F B 000000006093</t>
  </si>
  <si>
    <t>Ref. nota de Venta: CAR1
Obs.:16-03-2026_CLIENTES</t>
  </si>
  <si>
    <t>000000000721</t>
  </si>
  <si>
    <t>VF000000006094B</t>
  </si>
  <si>
    <t>F B 000000006094</t>
  </si>
  <si>
    <t>000000000722</t>
  </si>
  <si>
    <t>VF000000006095B</t>
  </si>
  <si>
    <t>F B 000000006095</t>
  </si>
  <si>
    <t>000000000723</t>
  </si>
  <si>
    <t>VF000000006096B</t>
  </si>
  <si>
    <t>F B 000000006096</t>
  </si>
  <si>
    <t>000000000724</t>
  </si>
  <si>
    <t>VF000000006097B</t>
  </si>
  <si>
    <t>F B 000000006097</t>
  </si>
  <si>
    <t>000000000725</t>
  </si>
  <si>
    <t>VF000000006098B</t>
  </si>
  <si>
    <t>F B 000000006098</t>
  </si>
  <si>
    <t>000000000726</t>
  </si>
  <si>
    <t>VF000000006099B</t>
  </si>
  <si>
    <t>F B 000000006099</t>
  </si>
  <si>
    <t>000000000727</t>
  </si>
  <si>
    <t>VF000000006100B</t>
  </si>
  <si>
    <t>F B 000000006100</t>
  </si>
  <si>
    <t>000000000728</t>
  </si>
  <si>
    <t>VF000000006101B</t>
  </si>
  <si>
    <t>F B 000000006101</t>
  </si>
  <si>
    <t>000000000729</t>
  </si>
  <si>
    <t>VF000000006102B</t>
  </si>
  <si>
    <t>F B 000000006102</t>
  </si>
  <si>
    <t>000000000730</t>
  </si>
  <si>
    <t>VF000000006103B</t>
  </si>
  <si>
    <t>F B 000000006103</t>
  </si>
  <si>
    <t>000000000731</t>
  </si>
  <si>
    <t>VF000000006104B</t>
  </si>
  <si>
    <t>F B 000000006104</t>
  </si>
  <si>
    <t>000000000732</t>
  </si>
  <si>
    <t>VF000000004662B</t>
  </si>
  <si>
    <t>F B 000000004662</t>
  </si>
  <si>
    <t>Ref. nota de Venta: CAR11
Obs.:16-02-2026_CLIENTES</t>
  </si>
  <si>
    <t>000000000432</t>
  </si>
  <si>
    <t>VF000000004663B</t>
  </si>
  <si>
    <t>F B 000000004663</t>
  </si>
  <si>
    <t>000000000433</t>
  </si>
  <si>
    <t>VF000000004664B</t>
  </si>
  <si>
    <t>F B 000000004664</t>
  </si>
  <si>
    <t>000000000434</t>
  </si>
  <si>
    <t>VF000000004665B</t>
  </si>
  <si>
    <t>F B 000000004665</t>
  </si>
  <si>
    <t>000000000435</t>
  </si>
  <si>
    <t>VF000000005290B</t>
  </si>
  <si>
    <t>F B 000000005290</t>
  </si>
  <si>
    <t>Ref. nota de Venta: CAR14
Obs.:28-02-2026_CLIENTES</t>
  </si>
  <si>
    <t>000000000685</t>
  </si>
  <si>
    <t>VF000000005291B</t>
  </si>
  <si>
    <t>F B 000000005291</t>
  </si>
  <si>
    <t>000000000686</t>
  </si>
  <si>
    <t>VF000000005292B</t>
  </si>
  <si>
    <t>F B 000000005292</t>
  </si>
  <si>
    <t>000000000687</t>
  </si>
  <si>
    <t>VF000000005611B</t>
  </si>
  <si>
    <t>F B 000000005611</t>
  </si>
  <si>
    <t>Ref. nota de Venta: CAR16
Obs.:09-03-2026_CLIENTES</t>
  </si>
  <si>
    <t>000000000707</t>
  </si>
  <si>
    <t>VF000000005613B</t>
  </si>
  <si>
    <t>F B 000000005613</t>
  </si>
  <si>
    <t>000000000708</t>
  </si>
  <si>
    <t>VF000000005614B</t>
  </si>
  <si>
    <t>F B 000000005614</t>
  </si>
  <si>
    <t>000000000709</t>
  </si>
  <si>
    <t>VF000000005615B</t>
  </si>
  <si>
    <t>F B 000000005615</t>
  </si>
  <si>
    <t>000000000710</t>
  </si>
  <si>
    <t>VF000000005616B</t>
  </si>
  <si>
    <t>F B 000000005616</t>
  </si>
  <si>
    <t>Ref. nota de Venta: CAR17
Obs.:09-03-2026_CLIENTES</t>
  </si>
  <si>
    <t>000000000711</t>
  </si>
  <si>
    <t>VF000000005617B</t>
  </si>
  <si>
    <t>F B 000000005617</t>
  </si>
  <si>
    <t>000000000712</t>
  </si>
  <si>
    <t>VF000000006359B</t>
  </si>
  <si>
    <t>F B 000000006359</t>
  </si>
  <si>
    <t>Ref. nota de Venta: CAR18
Obs.:23-03-2026_CLIENTES</t>
  </si>
  <si>
    <t>000000000743</t>
  </si>
  <si>
    <t>VF000000006360B</t>
  </si>
  <si>
    <t>F B 000000006360</t>
  </si>
  <si>
    <t>000000000744</t>
  </si>
  <si>
    <t>VF000000004341B</t>
  </si>
  <si>
    <t>F B 000000004341</t>
  </si>
  <si>
    <t>Ref. nota de Venta: CAR23
Obs.:09-02-2026_CLIENTES</t>
  </si>
  <si>
    <t>000000000391</t>
  </si>
  <si>
    <t>VF000000006361B</t>
  </si>
  <si>
    <t>F B 000000006361</t>
  </si>
  <si>
    <t>Ref. nota de Venta: CAR28
Obs.:23-03-2026_CLIENTES</t>
  </si>
  <si>
    <t>000000000745</t>
  </si>
  <si>
    <t>VF000000006362B</t>
  </si>
  <si>
    <t>F B 000000006362</t>
  </si>
  <si>
    <t>000000000746</t>
  </si>
  <si>
    <t>VF000000005618B</t>
  </si>
  <si>
    <t>F B 000000005618</t>
  </si>
  <si>
    <t>Ref. nota de Venta: CAR3
Obs.:09-03-2026_CLIENTES</t>
  </si>
  <si>
    <t>000000000713</t>
  </si>
  <si>
    <t>VF000000006105B</t>
  </si>
  <si>
    <t>F B 000000006105</t>
  </si>
  <si>
    <t>Ref. nota de Venta: CAR3
Obs.:16-03-2026_CLIENTES</t>
  </si>
  <si>
    <t>000000000733</t>
  </si>
  <si>
    <t>VF000000006106B</t>
  </si>
  <si>
    <t>F B 000000006106</t>
  </si>
  <si>
    <t>000000000734</t>
  </si>
  <si>
    <t>VF000000005293B</t>
  </si>
  <si>
    <t>F B 000000005293</t>
  </si>
  <si>
    <t>Ref. nota de Venta: CAR34
Obs.:28-02-2026_CLIENTES</t>
  </si>
  <si>
    <t>000000000688</t>
  </si>
  <si>
    <t>VF000000006763B</t>
  </si>
  <si>
    <t>F B 000000006763</t>
  </si>
  <si>
    <t>Ref. nota de Venta: CAR35
Obs.:31-03-2026_CLIENTES</t>
  </si>
  <si>
    <t>000000000768</t>
  </si>
  <si>
    <t>VF000000006764B</t>
  </si>
  <si>
    <t>F B 000000006764</t>
  </si>
  <si>
    <t>000000000769</t>
  </si>
  <si>
    <t>VF000000006765B</t>
  </si>
  <si>
    <t>F B 000000006765</t>
  </si>
  <si>
    <t>Ref. nota de Venta: CAR4
Obs.:31-03-2026_CLIENTES</t>
  </si>
  <si>
    <t>000000000770</t>
  </si>
  <si>
    <t>VF000000004887B</t>
  </si>
  <si>
    <t>F B 000000004887</t>
  </si>
  <si>
    <t>Ref. nota de Venta: CAR5
Obs.:23-02-2026_CLIENTES</t>
  </si>
  <si>
    <t>000000000654</t>
  </si>
  <si>
    <t>VF000000004888B</t>
  </si>
  <si>
    <t>F B 000000004888</t>
  </si>
  <si>
    <t>000000000655</t>
  </si>
  <si>
    <t>VF000000004889B</t>
  </si>
  <si>
    <t>F B 000000004889</t>
  </si>
  <si>
    <t>000000000656</t>
  </si>
  <si>
    <t>VF000000004890B</t>
  </si>
  <si>
    <t>F B 000000004890</t>
  </si>
  <si>
    <t>000000000657</t>
  </si>
  <si>
    <t>VF000000004891B</t>
  </si>
  <si>
    <t>F B 000000004891</t>
  </si>
  <si>
    <t>000000000658</t>
  </si>
  <si>
    <t>VF000000004892B</t>
  </si>
  <si>
    <t>F B 000000004892</t>
  </si>
  <si>
    <t>000000000659</t>
  </si>
  <si>
    <t>VF000000004893B</t>
  </si>
  <si>
    <t>F B 000000004893</t>
  </si>
  <si>
    <t>000000000660</t>
  </si>
  <si>
    <t>VF000000004894B</t>
  </si>
  <si>
    <t>F B 000000004894</t>
  </si>
  <si>
    <t>Ref. nota de Venta: CAR7
Obs.:23-02-2026_CLIENTES</t>
  </si>
  <si>
    <t>000000000661</t>
  </si>
  <si>
    <t>VF000000004895B</t>
  </si>
  <si>
    <t>F B 000000004895</t>
  </si>
  <si>
    <t>000000000662</t>
  </si>
  <si>
    <t>VF000000004896B</t>
  </si>
  <si>
    <t>F B 000000004896</t>
  </si>
  <si>
    <t>000000000663</t>
  </si>
  <si>
    <t>VF000000004897B</t>
  </si>
  <si>
    <t>F B 000000004897</t>
  </si>
  <si>
    <t>000000000664</t>
  </si>
  <si>
    <t>VF000000004898B</t>
  </si>
  <si>
    <t>F B 000000004898</t>
  </si>
  <si>
    <t>Ref. nota de Venta: CAR8
Obs.:23-02-2026_CLIENTES</t>
  </si>
  <si>
    <t>000000000665</t>
  </si>
  <si>
    <t>VF000000004899B</t>
  </si>
  <si>
    <t>F B 000000004899</t>
  </si>
  <si>
    <t>000000000666</t>
  </si>
  <si>
    <t>VF000000004900B</t>
  </si>
  <si>
    <t>F B 000000004900</t>
  </si>
  <si>
    <t>000000000667</t>
  </si>
  <si>
    <t>VF000000004901B</t>
  </si>
  <si>
    <t>F B 000000004901</t>
  </si>
  <si>
    <t>000000000668</t>
  </si>
  <si>
    <t>TH001400000312</t>
  </si>
  <si>
    <t>Extracción de Banco 001400000312 Obs: 09-03-2026  Mov Lodge</t>
  </si>
  <si>
    <t>SJ -  camion grua traslado  cartucos reuso</t>
  </si>
  <si>
    <t>000000000511</t>
  </si>
  <si>
    <t>TH001400000341</t>
  </si>
  <si>
    <t>Extracción de Banco 001400000341 Obs: 23-03-2026  Mov Lodge</t>
  </si>
  <si>
    <t>SJ - ,mantenimiento equipos 5254 reembolso Long Carmelo</t>
  </si>
  <si>
    <t>000000000523</t>
  </si>
  <si>
    <t>TH001400000287</t>
  </si>
  <si>
    <t>Extracción de Banco 001400000287 Obs: 23-02-2026  Mov Lodge</t>
  </si>
  <si>
    <t>SJ - 5217 - patente anual con decuento Master Minibus CARMELO</t>
  </si>
  <si>
    <t>000000000503</t>
  </si>
  <si>
    <t>TH001400000313</t>
  </si>
  <si>
    <t>Extracción de Banco 001400000313 Obs: 09-03-2026  Mov Lodge</t>
  </si>
  <si>
    <t>SJ - acite de oliva 1 carmelo y 2 san juan</t>
  </si>
  <si>
    <t>000000000512</t>
  </si>
  <si>
    <t>TH001400000338</t>
  </si>
  <si>
    <t>Extracción de Banco 001400000338 Obs: 23-03-2026  Mov Lodge</t>
  </si>
  <si>
    <t>SJ - alquiler multicar camionetas 5225 Febrero Carmelo</t>
  </si>
  <si>
    <t>000000000520</t>
  </si>
  <si>
    <t>TH001400000280</t>
  </si>
  <si>
    <t>Extracción de Banco 001400000280 Obs: 16-02-2026  Mov Lodge</t>
  </si>
  <si>
    <t>SJ - Alquiler multicar enero  5225 CARMELO</t>
  </si>
  <si>
    <t>000000000419</t>
  </si>
  <si>
    <t>TH001400000355</t>
  </si>
  <si>
    <t>Extracción de Banco 001400000355 Obs: 31-03-2026  Mov Lodge</t>
  </si>
  <si>
    <t>SJ - antel comunicaciones</t>
  </si>
  <si>
    <t>000000000526</t>
  </si>
  <si>
    <t>TD001400000357</t>
  </si>
  <si>
    <t>Depósito a Banco 001400000357 Obs: 31-03-2026  Mov Lodge</t>
  </si>
  <si>
    <t>SJ - antel red iva</t>
  </si>
  <si>
    <t>000000000482</t>
  </si>
  <si>
    <t>SJ - anuncios radio por busqueda de personal guias campo SJ</t>
  </si>
  <si>
    <t>TH001400000322</t>
  </si>
  <si>
    <t>Extracción de Banco 001400000322 Obs: 16-03-2026  Mov Lodge</t>
  </si>
  <si>
    <t>000000000514</t>
  </si>
  <si>
    <t>SJ - bolsas poliuretano remmbolso Long Carmelo 5254</t>
  </si>
  <si>
    <t>SJ - Bps Barran wingsshooting Carmelo 4125</t>
  </si>
  <si>
    <t>SJ - Bps Carmelo 5235 cargas sociales Carmelo</t>
  </si>
  <si>
    <t>TH001400000277</t>
  </si>
  <si>
    <t>Extracción de Banco 001400000277 Obs: 16-02-2026  Mov Lodge</t>
  </si>
  <si>
    <t>SJ - Bps Santi Carrato 5236 CARMELO</t>
  </si>
  <si>
    <t>000000000417</t>
  </si>
  <si>
    <t>SJ - cargas sociales IVA Saldo ENERO Caro Horta</t>
  </si>
  <si>
    <t>SJ - cargas sociales iva y BPS febrero Caro Horta</t>
  </si>
  <si>
    <t>SJ - cestos para Lodge 5252 CARMELO</t>
  </si>
  <si>
    <t>SJ - combustible estacion lafluf gastos traslados camionetas</t>
  </si>
  <si>
    <t>SJ - combustible febrero tramites</t>
  </si>
  <si>
    <t>SJ - combustible fuera de temporada traslado camionetas Alero Azul</t>
  </si>
  <si>
    <t>SJ - combustible vehiculos 5248 Carmelo reembolso Long</t>
  </si>
  <si>
    <t>SJ - comida surtido staff Carmelo 5250 reembolso Long</t>
  </si>
  <si>
    <t>SJ - complemento honorarios enero Caro Horta</t>
  </si>
  <si>
    <t>SJ - completa impermeable, termicas y mochilas 5220 Carmelo</t>
  </si>
  <si>
    <t>SJ - completa pago Handys 5254 CARMELO</t>
  </si>
  <si>
    <t>TD001400000282</t>
  </si>
  <si>
    <t>Depósito a Banco 001400000282 Obs: 16-02-2026  Mov Lodge</t>
  </si>
  <si>
    <t>SJ - Credito por devolucion conservadoras de otro color 5252 CARMELO</t>
  </si>
  <si>
    <t>000000000411</t>
  </si>
  <si>
    <t>SJ - Cuenta ANtel Valle de Soba Pago a Magui Clerc por cuenta</t>
  </si>
  <si>
    <t>SJ - cuidador de perros FEBRERO SJ</t>
  </si>
  <si>
    <t>TH001400000321</t>
  </si>
  <si>
    <t>Extracción de Banco 001400000321 Obs: 16-03-2026  Mov Lodge</t>
  </si>
  <si>
    <t>000000000513</t>
  </si>
  <si>
    <t>SJ - deb comi 5253 Carmelo deb comi</t>
  </si>
  <si>
    <t>SJ - deb comi BPS 5236 Santi Carrato Carmelo</t>
  </si>
  <si>
    <t>SJ - deb comi compra handys CARMELO 5254</t>
  </si>
  <si>
    <t>SJ - deb comi entrada campos 5207 Carmelo</t>
  </si>
  <si>
    <t>SJ - deb comi envio uniformes Carmelo  5220</t>
  </si>
  <si>
    <t>SJ - Deb comi por Ingreso de OFICINA</t>
  </si>
  <si>
    <t>SJ - deb comi por ingreso OFICINA</t>
  </si>
  <si>
    <t>SJ - deb comi reembolso long 5254</t>
  </si>
  <si>
    <t>SJ - deb comi uniformes 5220 Bombachas campo Carmelo</t>
  </si>
  <si>
    <t>SJ - deb comi uniformes 5220 CARMELO</t>
  </si>
  <si>
    <t>TH001400000288</t>
  </si>
  <si>
    <t>Extracción de Banco 001400000288 Obs: 23-02-2026  Mov Lodge</t>
  </si>
  <si>
    <t>SJ - deb comiIngreso de OFICINa</t>
  </si>
  <si>
    <t>000000000504</t>
  </si>
  <si>
    <t>SJ - decoys patos</t>
  </si>
  <si>
    <t>SJ - Dgi Carmelo 4125</t>
  </si>
  <si>
    <t>SJ - dgi LCO complemento febrero</t>
  </si>
  <si>
    <t>SJ - dgi pago LCO</t>
  </si>
  <si>
    <t>SJ - encomiendas por envios uniformes Carmelo 5220</t>
  </si>
  <si>
    <t>SJ - entrada campo Carmelo 5207 reembolos Long</t>
  </si>
  <si>
    <t>SJ - entrada campos febrero Carmelo 5207</t>
  </si>
  <si>
    <t>SJ - fonasa y saldo BPS enero Caro Horta</t>
  </si>
  <si>
    <t>SJ - gastos man relacion</t>
  </si>
  <si>
    <t>TD001400000293</t>
  </si>
  <si>
    <t>Depósito a Banco 001400000293 Obs: 23-02-2026  Mov Lodge</t>
  </si>
  <si>
    <t>000000000469</t>
  </si>
  <si>
    <t>TD001400000309</t>
  </si>
  <si>
    <t>Depósito a Banco 001400000309 Obs: 09-03-2026  Mov Lodge</t>
  </si>
  <si>
    <t>000000000472</t>
  </si>
  <si>
    <t>TD001400000343</t>
  </si>
  <si>
    <t>Depósito a Banco 001400000343 Obs: 23-03-2026  Mov Lodge</t>
  </si>
  <si>
    <t>000000000478</t>
  </si>
  <si>
    <t>SJ - jarra electrica Lodge 5252 CARMELO</t>
  </si>
  <si>
    <t>TH001400000356</t>
  </si>
  <si>
    <t>Extracción de Banco 001400000356 Obs: 31-03-2026  Mov Lodge</t>
  </si>
  <si>
    <t>SJ - kilos extras decoys pedidos</t>
  </si>
  <si>
    <t>000000000527</t>
  </si>
  <si>
    <t>SJ - mantenimiento Hyunday cubiertas 5253 reembolso Long Carmelo</t>
  </si>
  <si>
    <t>SJ - Multiriesgos ENERO LCO</t>
  </si>
  <si>
    <t>SJ - multiriesgos LCO FEBRERO</t>
  </si>
  <si>
    <t>SJ - parte bombachas de campo bird boys nuevos 5220 CARMELO</t>
  </si>
  <si>
    <t>SJ - pintura arreglos San Juan</t>
  </si>
  <si>
    <t>SJ - pintura fachada Valle de soba Crisoles</t>
  </si>
  <si>
    <t>SJ - PKF contadores Marzo</t>
  </si>
  <si>
    <t>SJ - reembolso combustible Bernardo Barran</t>
  </si>
  <si>
    <t>SJ - seña botellas rooms SJ y UL</t>
  </si>
  <si>
    <t>SJ - servicios personales ENERO Sofia Barran</t>
  </si>
  <si>
    <t>SJ - servicios personales FEBRERO Caro Horta</t>
  </si>
  <si>
    <t>SJ - servicios personales febrero Sofia Barran</t>
  </si>
  <si>
    <t>SJ - Servicios profesionales ENERO Tatiana Ribas</t>
  </si>
  <si>
    <t>SJ - servicios profesionales febrero Tatiana Ribas</t>
  </si>
  <si>
    <t>SJ - telefonia antel internet</t>
  </si>
  <si>
    <t>SJ - Traspaso $ a UL</t>
  </si>
  <si>
    <t>TD001400000298</t>
  </si>
  <si>
    <t>Depósito a Banco 001400000298 Obs: SJ - TRaspaso a $</t>
  </si>
  <si>
    <t>000000000470</t>
  </si>
  <si>
    <t>TD001400000346</t>
  </si>
  <si>
    <t>Depósito a Banco 001400000346 Obs: 23-03-2026  Mov Lodge</t>
  </si>
  <si>
    <t>000000000481</t>
  </si>
  <si>
    <t>TH001400000299</t>
  </si>
  <si>
    <t>Extracción de Banco 001400000299 Obs: SJ - TRaspaso a $</t>
  </si>
  <si>
    <t>000000000508</t>
  </si>
  <si>
    <t>SJ - TRaspaso a USD Carmelo</t>
  </si>
  <si>
    <t>SJ - uniformes bombachas campo 5220 Carmelo</t>
  </si>
  <si>
    <t>SJ - veterinaria Mirenxu</t>
  </si>
  <si>
    <t>SJ - veterinaria mirenxu febrero</t>
  </si>
  <si>
    <t>SJ - vinos tannat y maselan SEduardo Nin San Juan</t>
  </si>
  <si>
    <t>SJ- ValleyFF- La Cazadora Oriental Limitada - (Uruguay Operating Needs - February)-</t>
  </si>
  <si>
    <t>SJ- ValleyFF- La Cazadora Oriental Limitada - (Uruguay Operating Needs - February/March)-</t>
  </si>
  <si>
    <t>SJ- ValleySW- FORCE POST DEBIT Check # 1083 - DECOYS SAN JUAN HIGDON OUTDOORS</t>
  </si>
  <si>
    <t>SJ- ValleySW- La Cazadora Oriental Limitada - (Uruguay Operating Needs - February)-</t>
  </si>
  <si>
    <t>SJ1- 25/26- Sammuerl Hamacher - ValleySW- WIRE IN GFT 202602200010541 JILL - ANNE HAMACHER  TRUST /O</t>
  </si>
  <si>
    <t>SJ14- 25/26- Todd Maclin - ValleySW-  14 Checks $ 158.925,00 -15-02-2026</t>
  </si>
  <si>
    <t>SJ15- 25/26- Todd Maclin - ValleySW-  14 Checks $ 158.925,00 -15-02-2026</t>
  </si>
  <si>
    <t>SJ17- 25/26- gregry Frank - ValleySW-  50 Checks $ 265.427,25 -09-03-2026</t>
  </si>
  <si>
    <t>SJ17- 25/26- Jeff Ford - ValleySW-  50 Checks $ 265.427,25 -09-03-2026</t>
  </si>
  <si>
    <t>SJ17- 25/26- John Waymann - ValleySW-  18 Checks $ 123.518,85 -23-02-2026</t>
  </si>
  <si>
    <t>SJ17- 25/26- thomas Edwards - ValleySW-  19 Checks $ 112.794,62 -02-02-2026</t>
  </si>
  <si>
    <t>SJ17- 25/26- Tim DeRuyscher - ValleySW-  26 Checks $ 126.168,75 -02-03-2026</t>
  </si>
  <si>
    <t>SJ18- 25/26- Paul Amos - ValleySW- WIRE IN GFT 202602200013228 PAUL S AMOS  II</t>
  </si>
  <si>
    <t>SJ19- 25/26- Hunter Schenk - ValleySW- ACH CREDIT CIE CMPY ID: 0000000833 Northern Trust Transfer Sh</t>
  </si>
  <si>
    <t xml:space="preserve">SJ19- 25/26- Todd Sheriddan - ValleySW- WIRE IN GFT 202602200001345 TODD M SHERIDAN  /OTHR/SAN JUAN </t>
  </si>
  <si>
    <t>SJ20- 25/26- Michael Day - ValleySW-  19 Checks $ 112.794,62 -02-02-2026</t>
  </si>
  <si>
    <t>SJ20- 25/26- Phil Marks III - ValleySW-  50 Checks $ 265.427,25 -09-03-2026</t>
  </si>
  <si>
    <t xml:space="preserve">SJ20- 25/26- Wil Wilson - ValleySW- WIRE IN GFT 202602170022083 WILLIAM WILSON  PAYING FOR LODGING  </t>
  </si>
  <si>
    <t>SJ22- 25/26- Cristian Co - ValleySW- WIRE IN INTL GFT 202602060001023 CARLOS CRISTIAN CO X VIAL /RFB</t>
  </si>
  <si>
    <t>SJ22- 25/26- Francisco Allende - ValleySW- WIRE IN GFT 202602050023807 INVERSIONES RODAS DE BAHIA LT</t>
  </si>
  <si>
    <t>SJ3- 25/26- Charles Nash - WIRE IN GFT 202602190023512 HENRY C BECK III  PETER BECK</t>
  </si>
  <si>
    <t xml:space="preserve">SJ3- 25/26- Chuck Nash - ValleySW- WIRE IN GFT 202603170011189 CHARLES D NASH JR  REFERENCE CHARLES </t>
  </si>
  <si>
    <t>SJ3- 25/26- Peter Beck - ValleySW- WIRE IN GFT 202602200022259 CHARLES D NASH JR  CHUCK NASH $5,700</t>
  </si>
  <si>
    <t>SJ3- 25/26- Peter Beck - ValleySW- WIRE IN GFT 202603160028345 HENRY C BECK III  PETER BECK</t>
  </si>
  <si>
    <t>SJ3 -25/26-Charles Oles -CMSW 02-2026- Pago por MTP</t>
  </si>
  <si>
    <t>SJ3 -25/26-Charles Oles -CMSW 02-2026- Pago por MTP-CC</t>
  </si>
  <si>
    <t>SJ-Anticipo 50% - Uniformes managers - temporada 2026 - Uniformes Express F.Fijo Oper. Al 27-03-2026</t>
  </si>
  <si>
    <t>SJ-Diseño Tito - uniformes F.Fijo Oper. Al 03-04-2026</t>
  </si>
  <si>
    <t>TE001400000333</t>
  </si>
  <si>
    <t>Extracción de Caja 001400000333 Obs: Movimiento_Cajas_Bancos_Semana 25-26 al 13-03-2026</t>
  </si>
  <si>
    <t>SJ-Monitoreo de Patos  F.Fijo Oper. Al 13-03-2026</t>
  </si>
  <si>
    <t>000000000494</t>
  </si>
  <si>
    <t>SJ-Reposición Campera Soft Shell con logo - Temporada 2026 - Elvio Braman F.Fijo Oper. Al 27-03-2026</t>
  </si>
  <si>
    <t>SJ-Reposición Chaleco Matelaseado Negro Housekeeping + Chaleco Matelaseado Managers Hombre - Tempora</t>
  </si>
  <si>
    <t>SJ-Reposición uniformes camisas HSK - temporada 2026 - Eileen Folgado F.Fijo Oper. Al 27-03-2026</t>
  </si>
  <si>
    <t>SJ-Reposición uniformes cocina - temporada 2026 - Savastano F.Fijo Oper. Al 27-03-2026</t>
  </si>
  <si>
    <t>SJ-TriSW Fee CC 02-2026</t>
  </si>
  <si>
    <t>TH001400000365</t>
  </si>
  <si>
    <t>Extracción de Banco 001400000365 Obs: 31-03-2026  Mov Lodge</t>
  </si>
  <si>
    <t>TRaspaso a $</t>
  </si>
  <si>
    <t>000000000528</t>
  </si>
  <si>
    <t>TH001400000366</t>
  </si>
  <si>
    <t>Extracción de Banco 001400000366 Obs: 31-03-2026  Mov Lodge</t>
  </si>
  <si>
    <t>000000000529</t>
  </si>
  <si>
    <t>TH001400000367</t>
  </si>
  <si>
    <t>Extracción de Banco 001400000367 Obs: 31-03-2026  Mov Lodge</t>
  </si>
  <si>
    <t>000000000530</t>
  </si>
  <si>
    <t>TRaspaso de USD a $</t>
  </si>
  <si>
    <t>UL -Diseño Tito - uniformes F.Fijo Oper. Al 03-04-2026</t>
  </si>
  <si>
    <t>UL1- 25/26- Gary Elrod - ValleySW-  16 Checks $  120.487,75 -06-02-2026</t>
  </si>
  <si>
    <t>UL1- 25/26- pasa a la LC24 -25/26 - Anthony Barbash</t>
  </si>
  <si>
    <t>UL1- 25/26- pasa a la LC24 -25/26 - Bart Scott</t>
  </si>
  <si>
    <t>UL1- 25/26- pasa a la LC24 -25/26 - Gary Elrod</t>
  </si>
  <si>
    <t>UL1- 25/26- pasa a la LC24 -25/26 - Tony Barbash</t>
  </si>
  <si>
    <t>UL1- 25/26- pasa a la LC24 -25/26 -Gary Elrod</t>
  </si>
  <si>
    <t>UL1- 25/26- Tony Barbash - ValleySW-  17 Checks $ 98.860,37 -18-02-2026</t>
  </si>
  <si>
    <t>UL3- 25/26- Jery Reed - ValleySW-  26 Checks $ 126.168,75 -02-03-2026</t>
  </si>
  <si>
    <t>UL4- 25/26- David Dougerty - ValleySW-  13 Checks $ 61.063,00 -12-03-2026</t>
  </si>
  <si>
    <t>TH001400000323</t>
  </si>
  <si>
    <t>Extracción de Banco 001400000323 Obs: 16-03-2026  Mov Lodge</t>
  </si>
  <si>
    <t>UL-antel comunicaciones UL</t>
  </si>
  <si>
    <t>000000000515</t>
  </si>
  <si>
    <t>UL-Anticipo 50% - Uniformes managers - temporada 2026 - Uniformes Express F.Fijo Oper. Al 27-03-2026</t>
  </si>
  <si>
    <t>TH001400000278</t>
  </si>
  <si>
    <t>Extracción de Banco 001400000278 Obs: UL-banking card</t>
  </si>
  <si>
    <t>000000000418</t>
  </si>
  <si>
    <t>TH001400000291</t>
  </si>
  <si>
    <t>Extracción de Banco 001400000291 Obs: 23-02-2026  Mov Lodge</t>
  </si>
  <si>
    <t>000000000506</t>
  </si>
  <si>
    <t>TH001400000337</t>
  </si>
  <si>
    <t>Extracción de Banco 001400000337 Obs: 23-03-2026  Mov Lodge</t>
  </si>
  <si>
    <t>000000000519</t>
  </si>
  <si>
    <t>UL-Cruzada PY-CTES Decoys Pagos Depsa Valores-  Al 01-04-2026</t>
  </si>
  <si>
    <t>UL-gastos combustibles Valle UL</t>
  </si>
  <si>
    <t>TD001400000279</t>
  </si>
  <si>
    <t>Depósito a Banco 001400000279 Obs: UL-red iva antel telecomunicaciones</t>
  </si>
  <si>
    <t>UL-red iva antel telecomunicaciones</t>
  </si>
  <si>
    <t>000000000409</t>
  </si>
  <si>
    <t>TD001400000326</t>
  </si>
  <si>
    <t>Depósito a Banco 001400000326 Obs: 16-03-2026  Mov Lodge</t>
  </si>
  <si>
    <t>UL-red iva comunicaciones</t>
  </si>
  <si>
    <t>000000000473</t>
  </si>
  <si>
    <t>UL-Reposición Campera Soft Shell con logo - Temporada 2026 - Elvio Braman F.Fijo Oper. Al 27-03-2026</t>
  </si>
  <si>
    <t>UL-Reposición Chaleco Matelaseado Negro Housekeeping + Chaleco Matelaseado Managers Hombre - Tempora</t>
  </si>
  <si>
    <t>UL-Reposición uniformes camisas HSK - temporada 2026 - Eileen Folgado F.Fijo Oper. Al 27-03-2026</t>
  </si>
  <si>
    <t>UL-Reposición uniformes cocina - temporada 2026 - Savastano F.Fijo Oper. Al 27-03-2026</t>
  </si>
  <si>
    <t>TH001400000289</t>
  </si>
  <si>
    <t>Extracción de Banco 001400000289 Obs: 23-02-2026  Mov Lodge</t>
  </si>
  <si>
    <t>UL-starlink carmelo</t>
  </si>
  <si>
    <t>000000000505</t>
  </si>
  <si>
    <t>TH001400000336</t>
  </si>
  <si>
    <t>Extracción de Banco 001400000336 Obs: 23-03-2026  Mov Lodge</t>
  </si>
  <si>
    <t>UL-starlink para Carmelo debito automatico internet</t>
  </si>
  <si>
    <t>000000000518</t>
  </si>
  <si>
    <t>TD001400000290</t>
  </si>
  <si>
    <t>Depósito a Banco 001400000290 Obs: 23-02-2026  Mov Lodge</t>
  </si>
  <si>
    <t>000000000467</t>
  </si>
  <si>
    <t>TD001400000342</t>
  </si>
  <si>
    <t>Depósito a Banco 001400000342 Obs: 23-03-2026  Mov Lodge</t>
  </si>
  <si>
    <t>UL-Traspaso de SJ USD</t>
  </si>
  <si>
    <t>000000000477</t>
  </si>
  <si>
    <t>TE001400000300</t>
  </si>
  <si>
    <t>Extracción de Caja 001400000300 Obs: Movimiento_Cajas_Bancos_Semana 25-26 al 27-02-2026</t>
  </si>
  <si>
    <t>UY- Maintenance Fees CC Monthly Fee 02/2026</t>
  </si>
  <si>
    <t>000000000485</t>
  </si>
  <si>
    <t>UY- Maintenance Fees CC Monthly Fee 03/2026</t>
  </si>
  <si>
    <t>5320</t>
  </si>
  <si>
    <t>Servicios-Honorarios Abogados</t>
  </si>
  <si>
    <t xml:space="preserve">UY- ValleyFF- Untitled Fiduciary Services LTD Corp - (Litwak Company's Lawyers - Registration Agent </t>
  </si>
  <si>
    <t>TA001400000261</t>
  </si>
  <si>
    <t>Canje de Valores 001400000261 Obs: CAR - TRaspaso a $</t>
  </si>
  <si>
    <t>000000000364</t>
  </si>
  <si>
    <t>TA001400000264</t>
  </si>
  <si>
    <t>Canje de Valores 001400000264 Obs: UY-Cambio $ 600,000</t>
  </si>
  <si>
    <t>000000000365</t>
  </si>
  <si>
    <t>VF000000004413B</t>
  </si>
  <si>
    <t>F B 000000004413</t>
  </si>
  <si>
    <t>000000000392</t>
  </si>
  <si>
    <t>VR000000004385</t>
  </si>
  <si>
    <t>Recibo: 000000004385Cliente: MT40470 Obs: Cobranza09-02-2026_COBRANZAS_CLIENTES</t>
  </si>
  <si>
    <t>000000000393</t>
  </si>
  <si>
    <t>VR000000004386</t>
  </si>
  <si>
    <t>Recibo: 000000004386Cliente: MT12238 Obs: Cobranza09-02-2026_COBRANZAS_CLIENTES</t>
  </si>
  <si>
    <t>000000000394</t>
  </si>
  <si>
    <t>VR000000004387</t>
  </si>
  <si>
    <t>Recibo: 000000004387Cliente: MT40986 Obs: 09-02-2026_COBRANZAS_CLIENTES</t>
  </si>
  <si>
    <t>000000000395</t>
  </si>
  <si>
    <t>VR000000004388</t>
  </si>
  <si>
    <t>Recibo: 000000004388Cliente: MT40985 Obs: 09-02-2026_COBRANZAS_CLIENTES</t>
  </si>
  <si>
    <t>000000000396</t>
  </si>
  <si>
    <t>VR000000004389</t>
  </si>
  <si>
    <t>Recibo: 000000004389Cliente: MT40984 Obs: Cobranza09-02-2026_COBRANZAS_CLIENTES</t>
  </si>
  <si>
    <t>000000000397</t>
  </si>
  <si>
    <t>VR000000004390</t>
  </si>
  <si>
    <t>Recibo: 000000004390Cliente: MT41641 Obs: 09-02-2026_COBRANZAS_CLIENTES</t>
  </si>
  <si>
    <t>000000000398</t>
  </si>
  <si>
    <t>VR000000004391</t>
  </si>
  <si>
    <t>Recibo: 000000004391Cliente: MT41642 Obs: 09-02-2026_COBRANZAS_CLIENTES</t>
  </si>
  <si>
    <t>000000000399</t>
  </si>
  <si>
    <t>VR000000004392</t>
  </si>
  <si>
    <t>Recibo: 000000004392Cliente: MT34507 Obs: 09-02-2026_COBRANZAS_CLIENTES</t>
  </si>
  <si>
    <t>000000000400</t>
  </si>
  <si>
    <t>VR000000004393</t>
  </si>
  <si>
    <t>Recibo: 000000004393Cliente: MT40988 Obs: Cobranza09-02-2026_COBRANZAS_CLIENTES</t>
  </si>
  <si>
    <t>000000000401</t>
  </si>
  <si>
    <t>VR000000004394</t>
  </si>
  <si>
    <t>Recibo: 000000004394Cliente: MT41564 Obs: 09-02-2026_COBRANZAS_CLIENTES</t>
  </si>
  <si>
    <t>000000000402</t>
  </si>
  <si>
    <t>VR000000004395</t>
  </si>
  <si>
    <t>Recibo: 000000004395Cliente: MT41565 Obs: Cobranza09-02-2026_COBRANZAS_CLIENTES</t>
  </si>
  <si>
    <t>000000000403</t>
  </si>
  <si>
    <t>VR000000004396</t>
  </si>
  <si>
    <t>Recibo: 000000004396Cliente: MT41566 Obs: 09-02-2026_COBRANZAS_CLIENTES</t>
  </si>
  <si>
    <t>000000000404</t>
  </si>
  <si>
    <t>VR000000004399</t>
  </si>
  <si>
    <t>Recibo: 000000004399Cliente: MT40236 Obs: 09-02-2026_COBRANZAS_CLIENTES</t>
  </si>
  <si>
    <t>000000000405</t>
  </si>
  <si>
    <t>VR000000004420</t>
  </si>
  <si>
    <t>Recibo: 000000004420Cliente: MT000184 Obs: 09-02-2026_COBRANZAS_CLIENTES</t>
  </si>
  <si>
    <t>000000000406</t>
  </si>
  <si>
    <t>TA001400000273</t>
  </si>
  <si>
    <t>Canje de Valores 001400000273 Obs: SJ - Traspaso de Usd a $</t>
  </si>
  <si>
    <t>000000000407</t>
  </si>
  <si>
    <t>TA001400000274</t>
  </si>
  <si>
    <t>Canje de Valores 001400000274 Obs: SJ - Traspaso de Usd a $</t>
  </si>
  <si>
    <t>000000000408</t>
  </si>
  <si>
    <t>VC000000004743B</t>
  </si>
  <si>
    <t>C B 000000004743</t>
  </si>
  <si>
    <t>000000000424</t>
  </si>
  <si>
    <t>VR000000004716</t>
  </si>
  <si>
    <t>Recibo: 000000004716Cliente: MT028115 Obs: 16-02-2026_COBRANZAS_CLIENTES</t>
  </si>
  <si>
    <t>000000000446</t>
  </si>
  <si>
    <t>VR000000004717</t>
  </si>
  <si>
    <t>Recibo: 000000004717Cliente: MT029652 Obs: 16-02-2026_COBRANZAS_CLIENTES</t>
  </si>
  <si>
    <t>000000000447</t>
  </si>
  <si>
    <t>VR000000004718</t>
  </si>
  <si>
    <t>Recibo: 000000004718Cliente: MT008879 Obs: 16-02-2026_COBRANZAS_CLIENTES</t>
  </si>
  <si>
    <t>000000000448</t>
  </si>
  <si>
    <t>VR000000004719</t>
  </si>
  <si>
    <t>Recibo: 000000004719Cliente: MT041180 Obs: 16-02-2026_COBRANZAS_CLIENTES</t>
  </si>
  <si>
    <t>000000000449</t>
  </si>
  <si>
    <t>VR000000004744</t>
  </si>
  <si>
    <t>Recibo: 000000004744Cliente: MT041629 Obs: 16-02-2026_COBRANZAS_CLIENTES</t>
  </si>
  <si>
    <t>000000000452</t>
  </si>
  <si>
    <t>VR000000004745</t>
  </si>
  <si>
    <t>Recibo: 000000004745Cliente: MT028113 Obs: 16-02-2026_COBRANZAS_CLIENTES</t>
  </si>
  <si>
    <t>000000000453</t>
  </si>
  <si>
    <t>VR000000004751</t>
  </si>
  <si>
    <t>Recibo: 000000004751Cliente: MT028114 Obs: Cobranza</t>
  </si>
  <si>
    <t>000000000454</t>
  </si>
  <si>
    <t>AJ TRASNF ENTRE LODGE SJ A CAR</t>
  </si>
  <si>
    <t>Credito por devolucion conservadoras de otro color 5252 CARMELO</t>
  </si>
  <si>
    <t>000000000455</t>
  </si>
  <si>
    <t>Bps Santi Carrato 5236 CARMELO</t>
  </si>
  <si>
    <t>deb comi compra handys CARMELO 5254</t>
  </si>
  <si>
    <t>completa pago Handys 5254 CARMELO</t>
  </si>
  <si>
    <t>cestos para Lodge 5252 CARMELO</t>
  </si>
  <si>
    <t>Alquiler multicar enero  5225 CARMELO</t>
  </si>
  <si>
    <t>deb comi BPS 5236 Santi Carrato Carmelo</t>
  </si>
  <si>
    <t>parte bombachas de campo bird boys nuevos 5220 CARMELO</t>
  </si>
  <si>
    <t>deb comi uniformes 5220 CARMELO</t>
  </si>
  <si>
    <t>completa impermeable, termicas y mochilas 5220 Carmelo</t>
  </si>
  <si>
    <t>jarra electrica Lodge 5252 CARMELO</t>
  </si>
  <si>
    <t>REFUND CARMELO Movimiento_Cajas_Bancos_Semana 25-26 al 06-03-2026</t>
  </si>
  <si>
    <t>CA.DU18- James Plumhoff Extras 25-26 - ID 40233 refund por cobro de mas en enero -EXtras 25/26- -CMSW 02-2026-</t>
  </si>
  <si>
    <t>000000000456</t>
  </si>
  <si>
    <t>CA.DU18- Gary Bennet Extras 25-26 - ID 40234 refund por cobro de mas en enero -EXtras 25/26- -CMSW 02-2026-</t>
  </si>
  <si>
    <t>CA.DU18- Ray Dix Extras 25-26 - ID 40236 refund por cobro de mas en enero -EXtras 25/26- -CMSW 02-2026-</t>
  </si>
  <si>
    <t>TA001400000284</t>
  </si>
  <si>
    <t>Canje de Valores 001400000284 Obs: CAR - TRaspaso a $</t>
  </si>
  <si>
    <t>000000000459</t>
  </si>
  <si>
    <t>TA001400000285</t>
  </si>
  <si>
    <t>Canje de Valores 001400000285 Obs: CAR - TRaspaso a $</t>
  </si>
  <si>
    <t>000000000460</t>
  </si>
  <si>
    <t>TA001400000307</t>
  </si>
  <si>
    <t>Canje de Valores 001400000307 Obs: CAR - TRaspaso a $</t>
  </si>
  <si>
    <t>000000000461</t>
  </si>
  <si>
    <t>TA001400000308</t>
  </si>
  <si>
    <t>Canje de Valores 001400000308 Obs: CAR - TRaspaso a $</t>
  </si>
  <si>
    <t>000000000462</t>
  </si>
  <si>
    <t>TA001400000310</t>
  </si>
  <si>
    <t>Canje de Valores 001400000310 Obs: SJ - TRaspaso a $</t>
  </si>
  <si>
    <t>000000000463</t>
  </si>
  <si>
    <t>TA001400000311</t>
  </si>
  <si>
    <t>Canje de Valores 001400000311 Obs: SJ - TRaspaso a $</t>
  </si>
  <si>
    <t>000000000464</t>
  </si>
  <si>
    <t>TA001400000315</t>
  </si>
  <si>
    <t>Canje de Valores 001400000315 Obs: UY-Cambio $ 1,300,000</t>
  </si>
  <si>
    <t>000000000465</t>
  </si>
  <si>
    <t>TA001400000330</t>
  </si>
  <si>
    <t>Canje de Valores 001400000330 Obs: UY-Cambio $ 400,000</t>
  </si>
  <si>
    <t>000000000466</t>
  </si>
  <si>
    <t>VC000000006577B</t>
  </si>
  <si>
    <t>C B 000000006577</t>
  </si>
  <si>
    <t>000000000551</t>
  </si>
  <si>
    <t>VC000000006578B</t>
  </si>
  <si>
    <t>C B 000000006578</t>
  </si>
  <si>
    <t>000000000552</t>
  </si>
  <si>
    <t>VC000000006579B</t>
  </si>
  <si>
    <t>C B 000000006579</t>
  </si>
  <si>
    <t>000000000553</t>
  </si>
  <si>
    <t>VC000000006580B</t>
  </si>
  <si>
    <t>C B 000000006580</t>
  </si>
  <si>
    <t>000000000554</t>
  </si>
  <si>
    <t>VC000000006581B</t>
  </si>
  <si>
    <t>C B 000000006581</t>
  </si>
  <si>
    <t>000000000555</t>
  </si>
  <si>
    <t>VC000000006582B</t>
  </si>
  <si>
    <t>C B 000000006582</t>
  </si>
  <si>
    <t>000000000556</t>
  </si>
  <si>
    <t>VC000000006583B</t>
  </si>
  <si>
    <t>C B 000000006583</t>
  </si>
  <si>
    <t>000000000557</t>
  </si>
  <si>
    <t>VC000000006584B</t>
  </si>
  <si>
    <t>C B 000000006584</t>
  </si>
  <si>
    <t>000000000558</t>
  </si>
  <si>
    <t>VC000000006585B</t>
  </si>
  <si>
    <t>C B 000000006585</t>
  </si>
  <si>
    <t>000000000559</t>
  </si>
  <si>
    <t>VC000000006586B</t>
  </si>
  <si>
    <t>C B 000000006586</t>
  </si>
  <si>
    <t>000000000560</t>
  </si>
  <si>
    <t>VC000000006587B</t>
  </si>
  <si>
    <t>C B 000000006587</t>
  </si>
  <si>
    <t>000000000561</t>
  </si>
  <si>
    <t>VC000000006588B</t>
  </si>
  <si>
    <t>C B 000000006588</t>
  </si>
  <si>
    <t>000000000562</t>
  </si>
  <si>
    <t>VC000000006589B</t>
  </si>
  <si>
    <t>C B 000000006589</t>
  </si>
  <si>
    <t>000000000563</t>
  </si>
  <si>
    <t>VC000000006590B</t>
  </si>
  <si>
    <t>C B 000000006590</t>
  </si>
  <si>
    <t>000000000564</t>
  </si>
  <si>
    <t>VC000000006591B</t>
  </si>
  <si>
    <t>C B 000000006591</t>
  </si>
  <si>
    <t>000000000565</t>
  </si>
  <si>
    <t>VC000000006592B</t>
  </si>
  <si>
    <t>C B 000000006592</t>
  </si>
  <si>
    <t>000000000566</t>
  </si>
  <si>
    <t>VC000000006593B</t>
  </si>
  <si>
    <t>C B 000000006593</t>
  </si>
  <si>
    <t>000000000567</t>
  </si>
  <si>
    <t>VC000000006596B</t>
  </si>
  <si>
    <t>C B 000000006596</t>
  </si>
  <si>
    <t>000000000568</t>
  </si>
  <si>
    <t>VC000000006597B</t>
  </si>
  <si>
    <t>C B 000000006597</t>
  </si>
  <si>
    <t>000000000569</t>
  </si>
  <si>
    <t>VC000000006598B</t>
  </si>
  <si>
    <t>C B 000000006598</t>
  </si>
  <si>
    <t>000000000570</t>
  </si>
  <si>
    <t>VC000000006600B</t>
  </si>
  <si>
    <t>C B 000000006600</t>
  </si>
  <si>
    <t>000000000571</t>
  </si>
  <si>
    <t>VC000000006602B</t>
  </si>
  <si>
    <t>C B 000000006602</t>
  </si>
  <si>
    <t>000000000572</t>
  </si>
  <si>
    <t>VC000000006604B</t>
  </si>
  <si>
    <t>C B 000000006604</t>
  </si>
  <si>
    <t>000000000573</t>
  </si>
  <si>
    <t>VC000000007076B</t>
  </si>
  <si>
    <t>C B 000000007076</t>
  </si>
  <si>
    <t>000000000574</t>
  </si>
  <si>
    <t>VC000000007077B</t>
  </si>
  <si>
    <t>C B 000000007077</t>
  </si>
  <si>
    <t>000000000575</t>
  </si>
  <si>
    <t>VC000000007078B</t>
  </si>
  <si>
    <t>C B 000000007078</t>
  </si>
  <si>
    <t>000000000576</t>
  </si>
  <si>
    <t>VC000000007079B</t>
  </si>
  <si>
    <t>C B 000000007079</t>
  </si>
  <si>
    <t>000000000577</t>
  </si>
  <si>
    <t>VC000000007080B</t>
  </si>
  <si>
    <t>C B 000000007080</t>
  </si>
  <si>
    <t>000000000578</t>
  </si>
  <si>
    <t>VC000000007081B</t>
  </si>
  <si>
    <t>C B 000000007081</t>
  </si>
  <si>
    <t>000000000579</t>
  </si>
  <si>
    <t>VC000000007082B</t>
  </si>
  <si>
    <t>C B 000000007082</t>
  </si>
  <si>
    <t>000000000580</t>
  </si>
  <si>
    <t>VC000000007083B</t>
  </si>
  <si>
    <t>C B 000000007083</t>
  </si>
  <si>
    <t>000000000581</t>
  </si>
  <si>
    <t>VC000000007084B</t>
  </si>
  <si>
    <t>C B 000000007084</t>
  </si>
  <si>
    <t>000000000582</t>
  </si>
  <si>
    <t>VC000000007085B</t>
  </si>
  <si>
    <t>C B 000000007085</t>
  </si>
  <si>
    <t>000000000583</t>
  </si>
  <si>
    <t>VC000000007086B</t>
  </si>
  <si>
    <t>C B 000000007086</t>
  </si>
  <si>
    <t>000000000584</t>
  </si>
  <si>
    <t>VC000000007087B</t>
  </si>
  <si>
    <t>C B 000000007087</t>
  </si>
  <si>
    <t>000000000585</t>
  </si>
  <si>
    <t>VC000000007088B</t>
  </si>
  <si>
    <t>C B 000000007088</t>
  </si>
  <si>
    <t>000000000586</t>
  </si>
  <si>
    <t>VC000000007089B</t>
  </si>
  <si>
    <t>C B 000000007089</t>
  </si>
  <si>
    <t>000000000587</t>
  </si>
  <si>
    <t>VC000000007090B</t>
  </si>
  <si>
    <t>C B 000000007090</t>
  </si>
  <si>
    <t>000000000588</t>
  </si>
  <si>
    <t>VC000000007091B</t>
  </si>
  <si>
    <t>C B 000000007091</t>
  </si>
  <si>
    <t>000000000589</t>
  </si>
  <si>
    <t>VC000000007092B</t>
  </si>
  <si>
    <t>C B 000000007092</t>
  </si>
  <si>
    <t>000000000590</t>
  </si>
  <si>
    <t>VC000000007093B</t>
  </si>
  <si>
    <t>C B 000000007093</t>
  </si>
  <si>
    <t>000000000591</t>
  </si>
  <si>
    <t>VC000000007094B</t>
  </si>
  <si>
    <t>C B 000000007094</t>
  </si>
  <si>
    <t>000000000592</t>
  </si>
  <si>
    <t>VC000000007095B</t>
  </si>
  <si>
    <t>C B 000000007095</t>
  </si>
  <si>
    <t>000000000593</t>
  </si>
  <si>
    <t>VC000000007096B</t>
  </si>
  <si>
    <t>C B 000000007096</t>
  </si>
  <si>
    <t>000000000594</t>
  </si>
  <si>
    <t>VC000000007097B</t>
  </si>
  <si>
    <t>C B 000000007097</t>
  </si>
  <si>
    <t>000000000595</t>
  </si>
  <si>
    <t>VC000000007098B</t>
  </si>
  <si>
    <t>C B 000000007098</t>
  </si>
  <si>
    <t>000000000596</t>
  </si>
  <si>
    <t>VC000000007099B</t>
  </si>
  <si>
    <t>C B 000000007099</t>
  </si>
  <si>
    <t>000000000597</t>
  </si>
  <si>
    <t>VC000000007100B</t>
  </si>
  <si>
    <t>C B 000000007100</t>
  </si>
  <si>
    <t>000000000598</t>
  </si>
  <si>
    <t>VC000000007101B</t>
  </si>
  <si>
    <t>C B 000000007101</t>
  </si>
  <si>
    <t>000000000599</t>
  </si>
  <si>
    <t>VC000000007102B</t>
  </si>
  <si>
    <t>C B 000000007102</t>
  </si>
  <si>
    <t>000000000600</t>
  </si>
  <si>
    <t>VC000000007103B</t>
  </si>
  <si>
    <t>C B 000000007103</t>
  </si>
  <si>
    <t>000000000601</t>
  </si>
  <si>
    <t>VC000000007104B</t>
  </si>
  <si>
    <t>C B 000000007104</t>
  </si>
  <si>
    <t>000000000602</t>
  </si>
  <si>
    <t>VC000000007105B</t>
  </si>
  <si>
    <t>C B 000000007105</t>
  </si>
  <si>
    <t>000000000603</t>
  </si>
  <si>
    <t>VC000000007106B</t>
  </si>
  <si>
    <t>C B 000000007106</t>
  </si>
  <si>
    <t>000000000604</t>
  </si>
  <si>
    <t>VC000000007107B</t>
  </si>
  <si>
    <t>C B 000000007107</t>
  </si>
  <si>
    <t>000000000605</t>
  </si>
  <si>
    <t>VC000000007108B</t>
  </si>
  <si>
    <t>C B 000000007108</t>
  </si>
  <si>
    <t>000000000606</t>
  </si>
  <si>
    <t>VC000000007109B</t>
  </si>
  <si>
    <t>C B 000000007109</t>
  </si>
  <si>
    <t>000000000607</t>
  </si>
  <si>
    <t>VC000000007110B</t>
  </si>
  <si>
    <t>C B 000000007110</t>
  </si>
  <si>
    <t>000000000608</t>
  </si>
  <si>
    <t>VC000000007111B</t>
  </si>
  <si>
    <t>C B 000000007111</t>
  </si>
  <si>
    <t>000000000609</t>
  </si>
  <si>
    <t>VC000000007112B</t>
  </si>
  <si>
    <t>C B 000000007112</t>
  </si>
  <si>
    <t>000000000610</t>
  </si>
  <si>
    <t>VC000000007113B</t>
  </si>
  <si>
    <t>C B 000000007113</t>
  </si>
  <si>
    <t>000000000611</t>
  </si>
  <si>
    <t>VC000000007114B</t>
  </si>
  <si>
    <t>C B 000000007114</t>
  </si>
  <si>
    <t>000000000612</t>
  </si>
  <si>
    <t>VC000000007115B</t>
  </si>
  <si>
    <t>C B 000000007115</t>
  </si>
  <si>
    <t>000000000613</t>
  </si>
  <si>
    <t>VC000000007116B</t>
  </si>
  <si>
    <t>C B 000000007116</t>
  </si>
  <si>
    <t>000000000614</t>
  </si>
  <si>
    <t>VC000000007117B</t>
  </si>
  <si>
    <t>C B 000000007117</t>
  </si>
  <si>
    <t>000000000615</t>
  </si>
  <si>
    <t>VC000000007118B</t>
  </si>
  <si>
    <t>C B 000000007118</t>
  </si>
  <si>
    <t>000000000616</t>
  </si>
  <si>
    <t>VC000000007119B</t>
  </si>
  <si>
    <t>C B 000000007119</t>
  </si>
  <si>
    <t>000000000617</t>
  </si>
  <si>
    <t>VC000000007120B</t>
  </si>
  <si>
    <t>C B 000000007120</t>
  </si>
  <si>
    <t>000000000618</t>
  </si>
  <si>
    <t>VC000000007121B</t>
  </si>
  <si>
    <t>C B 000000007121</t>
  </si>
  <si>
    <t>000000000619</t>
  </si>
  <si>
    <t>VC000000007122B</t>
  </si>
  <si>
    <t>C B 000000007122</t>
  </si>
  <si>
    <t>000000000620</t>
  </si>
  <si>
    <t>VC000000007123B</t>
  </si>
  <si>
    <t>C B 000000007123</t>
  </si>
  <si>
    <t>000000000621</t>
  </si>
  <si>
    <t>VC000000007124B</t>
  </si>
  <si>
    <t>C B 000000007124</t>
  </si>
  <si>
    <t>000000000622</t>
  </si>
  <si>
    <t>VC000000007125B</t>
  </si>
  <si>
    <t>C B 000000007125</t>
  </si>
  <si>
    <t>000000000623</t>
  </si>
  <si>
    <t>VC000000007126B</t>
  </si>
  <si>
    <t>C B 000000007126</t>
  </si>
  <si>
    <t>000000000624</t>
  </si>
  <si>
    <t>VC000000007127B</t>
  </si>
  <si>
    <t>C B 000000007127</t>
  </si>
  <si>
    <t>000000000625</t>
  </si>
  <si>
    <t>VC000000007128B</t>
  </si>
  <si>
    <t>C B 000000007128</t>
  </si>
  <si>
    <t>000000000626</t>
  </si>
  <si>
    <t>VC000000007129B</t>
  </si>
  <si>
    <t>C B 000000007129</t>
  </si>
  <si>
    <t>000000000627</t>
  </si>
  <si>
    <t>VD000000006552B</t>
  </si>
  <si>
    <t>D B 000000006552</t>
  </si>
  <si>
    <t>000000000628</t>
  </si>
  <si>
    <t>VD000000006553B</t>
  </si>
  <si>
    <t>D B 000000006553</t>
  </si>
  <si>
    <t>000000000629</t>
  </si>
  <si>
    <t>VD000000006554B</t>
  </si>
  <si>
    <t>D B 000000006554</t>
  </si>
  <si>
    <t>000000000630</t>
  </si>
  <si>
    <t>VD000000006555B</t>
  </si>
  <si>
    <t>D B 000000006555</t>
  </si>
  <si>
    <t>000000000631</t>
  </si>
  <si>
    <t>VD000000006556B</t>
  </si>
  <si>
    <t>D B 000000006556</t>
  </si>
  <si>
    <t>000000000632</t>
  </si>
  <si>
    <t>VD000000006557B</t>
  </si>
  <si>
    <t>D B 000000006557</t>
  </si>
  <si>
    <t>000000000633</t>
  </si>
  <si>
    <t>VD000000006558B</t>
  </si>
  <si>
    <t>D B 000000006558</t>
  </si>
  <si>
    <t>000000000634</t>
  </si>
  <si>
    <t>VD000000006559B</t>
  </si>
  <si>
    <t>D B 000000006559</t>
  </si>
  <si>
    <t>000000000635</t>
  </si>
  <si>
    <t>VD000000006560B</t>
  </si>
  <si>
    <t>D B 000000006560</t>
  </si>
  <si>
    <t>000000000636</t>
  </si>
  <si>
    <t>VD000000006561B</t>
  </si>
  <si>
    <t>D B 000000006561</t>
  </si>
  <si>
    <t>000000000637</t>
  </si>
  <si>
    <t>VD000000006562B</t>
  </si>
  <si>
    <t>D B 000000006562</t>
  </si>
  <si>
    <t>000000000638</t>
  </si>
  <si>
    <t>VD000000006563B</t>
  </si>
  <si>
    <t>D B 000000006563</t>
  </si>
  <si>
    <t>000000000639</t>
  </si>
  <si>
    <t>VD000000006564B</t>
  </si>
  <si>
    <t>D B 000000006564</t>
  </si>
  <si>
    <t>000000000640</t>
  </si>
  <si>
    <t>VD000000006565B</t>
  </si>
  <si>
    <t>D B 000000006565</t>
  </si>
  <si>
    <t>000000000641</t>
  </si>
  <si>
    <t>VD000000006566B</t>
  </si>
  <si>
    <t>D B 000000006566</t>
  </si>
  <si>
    <t>000000000642</t>
  </si>
  <si>
    <t>VD000000006567B</t>
  </si>
  <si>
    <t>D B 000000006567</t>
  </si>
  <si>
    <t>000000000643</t>
  </si>
  <si>
    <t>VD000000006568B</t>
  </si>
  <si>
    <t>D B 000000006568</t>
  </si>
  <si>
    <t>000000000644</t>
  </si>
  <si>
    <t>VD000000006569B</t>
  </si>
  <si>
    <t>D B 000000006569</t>
  </si>
  <si>
    <t>000000000645</t>
  </si>
  <si>
    <t>VD000000006570B</t>
  </si>
  <si>
    <t>D B 000000006570</t>
  </si>
  <si>
    <t>000000000646</t>
  </si>
  <si>
    <t>VD000000006571B</t>
  </si>
  <si>
    <t>D B 000000006571</t>
  </si>
  <si>
    <t>000000000647</t>
  </si>
  <si>
    <t>VD000000006572B</t>
  </si>
  <si>
    <t>D B 000000006572</t>
  </si>
  <si>
    <t>000000000648</t>
  </si>
  <si>
    <t>VD000000006573B</t>
  </si>
  <si>
    <t>D B 000000006573</t>
  </si>
  <si>
    <t>000000000649</t>
  </si>
  <si>
    <t>VD000000006574B</t>
  </si>
  <si>
    <t>D B 000000006574</t>
  </si>
  <si>
    <t>000000000650</t>
  </si>
  <si>
    <t>VD000000006575B</t>
  </si>
  <si>
    <t>D B 000000006575</t>
  </si>
  <si>
    <t>000000000651</t>
  </si>
  <si>
    <t>VD000000006576B</t>
  </si>
  <si>
    <t>D B 000000006576</t>
  </si>
  <si>
    <t>000000000652</t>
  </si>
  <si>
    <t>VR000000004902</t>
  </si>
  <si>
    <t>Asiento de COBRANZAS (01/09/2025 - 31/3/2026)</t>
  </si>
  <si>
    <t>Recibo: 000000004902Cliente: MT022980 Obs: 23-02-2026_COBRANZAS_CLIENTES</t>
  </si>
  <si>
    <t>000000000771</t>
  </si>
  <si>
    <t>VR000000004903</t>
  </si>
  <si>
    <t>Recibo: 000000004903Cliente: MT041727 Obs: 23-02-2026_COBRANZAS_CLIENTES</t>
  </si>
  <si>
    <t>000000000772</t>
  </si>
  <si>
    <t>VR000000004904</t>
  </si>
  <si>
    <t>Recibo: 000000004904Cliente: MT041726 Obs: 23-02-2026_COBRANZAS_CLIENTES</t>
  </si>
  <si>
    <t>000000000773</t>
  </si>
  <si>
    <t>VR000000004905</t>
  </si>
  <si>
    <t>Recibo: 000000004905Cliente: MT040573 Obs: 23-02-2026  Mov Lodge</t>
  </si>
  <si>
    <t>000000000774</t>
  </si>
  <si>
    <t>VR000000004906</t>
  </si>
  <si>
    <t>Recibo: 000000004906Cliente: MT022982 Obs: 23-02-2026_COBRANZAS_CLIENTES</t>
  </si>
  <si>
    <t>000000000775</t>
  </si>
  <si>
    <t>VR000000004907</t>
  </si>
  <si>
    <t>Recibo: 000000004907Cliente: MT040560 Obs: 23-02-2026_COBRANZAS_CLIENTES</t>
  </si>
  <si>
    <t>000000000776</t>
  </si>
  <si>
    <t>VR000000004908</t>
  </si>
  <si>
    <t>Recibo: 000000004908Cliente: MT041770 Obs: 23-02-2026_COBRANZAS_CLIENTES</t>
  </si>
  <si>
    <t>000000000777</t>
  </si>
  <si>
    <t>VR000000004909</t>
  </si>
  <si>
    <t>Recibo: 000000004909Cliente: MT040561 Obs: 23-02-2026_COBRANZAS_CLIENTES</t>
  </si>
  <si>
    <t>000000000778</t>
  </si>
  <si>
    <t>VR000000004910</t>
  </si>
  <si>
    <t>Recibo: 000000004910Cliente: MT040004 Obs: 23-02-2026  Mov Lodge</t>
  </si>
  <si>
    <t>000000000779</t>
  </si>
  <si>
    <t>VR000000004911</t>
  </si>
  <si>
    <t>Recibo: 000000004911Cliente: MT039648 Obs: 23-02-2026_COBRANZAS_CLIENTES</t>
  </si>
  <si>
    <t>000000000780</t>
  </si>
  <si>
    <t>VR000000004912</t>
  </si>
  <si>
    <t>Recibo: 000000004912Cliente: MT041096 Obs: 23-02-2026_COBRANZAS_CLIENTES</t>
  </si>
  <si>
    <t>000000000781</t>
  </si>
  <si>
    <t>VR000000004913</t>
  </si>
  <si>
    <t>Recibo: 000000004913Cliente: MT41564 Obs: 23-02-2026_COBRANZAS_CLIENTES</t>
  </si>
  <si>
    <t>000000000782</t>
  </si>
  <si>
    <t>VR000000005349</t>
  </si>
  <si>
    <t>Recibo: 000000005349Cliente: MT041577 Obs: 28-02-2026_COBRANZAS_CLIENTES</t>
  </si>
  <si>
    <t>000000000783</t>
  </si>
  <si>
    <t>VR000000005350</t>
  </si>
  <si>
    <t>Recibo: 000000005350Cliente: MT042227 Obs: 28-02-2026_COBRANZAS_CLIENTES</t>
  </si>
  <si>
    <t>000000000784</t>
  </si>
  <si>
    <t>VR000000005351</t>
  </si>
  <si>
    <t>Recibo: 000000005351Cliente: MT041552 Obs: 28-02-2026_COBRANZAS_CLIENTES</t>
  </si>
  <si>
    <t>000000000785</t>
  </si>
  <si>
    <t>VR000000005352</t>
  </si>
  <si>
    <t>Recibo: 000000005352Cliente: MT041554 Obs: 28-02-2026_COBRANZAS_CLIENTES</t>
  </si>
  <si>
    <t>000000000786</t>
  </si>
  <si>
    <t>VR000000005353</t>
  </si>
  <si>
    <t>Recibo: 000000005353Cliente: MT041553 Obs: 28-02-2026_COBRANZAS_CLIENTES</t>
  </si>
  <si>
    <t>000000000787</t>
  </si>
  <si>
    <t>VR000000005354</t>
  </si>
  <si>
    <t>Recibo: 000000005354Cliente: MT041551 Obs: 28-02-2026_COBRANZAS_CLIENTES</t>
  </si>
  <si>
    <t>000000000788</t>
  </si>
  <si>
    <t>VR000000005444</t>
  </si>
  <si>
    <t>Recibo: 000000005444Cliente: MT029652 Obs: "CAR11- Extras Steven Campbell	29652 -ValleySW- WIRE IN GFT 202602170001539 STEPHEN CAMPBELL  CARMEL</t>
  </si>
  <si>
    <t>000000000789</t>
  </si>
  <si>
    <t>VR000000005445</t>
  </si>
  <si>
    <t>Recibo: 000000005445Cliente: MT008880 Obs: CAR11- Extras Robert Hibbert 8880 - ValleySW- ACH CREDIT IAT CMPY ID: 1832188652 Robert Hibbert PAYM</t>
  </si>
  <si>
    <t>000000000790</t>
  </si>
  <si>
    <t>VR000000005674</t>
  </si>
  <si>
    <t>Recibo: 000000005674Cliente: MT041672 Obs: 09-03-2026_COBRANZAS_CLIENTES</t>
  </si>
  <si>
    <t>000000000791</t>
  </si>
  <si>
    <t>VR000000005675</t>
  </si>
  <si>
    <t>Recibo: 000000005675Cliente: MT036729 Obs: 09-03-2026_COBRANZAS_CLIENTES</t>
  </si>
  <si>
    <t>000000000792</t>
  </si>
  <si>
    <t>VR000000005676</t>
  </si>
  <si>
    <t>Recibo: 000000005676Cliente: MT036731 Obs: 09-03-2026_COBRANZAS_CLIENTES</t>
  </si>
  <si>
    <t>000000000793</t>
  </si>
  <si>
    <t>VR000000005677</t>
  </si>
  <si>
    <t>Recibo: 000000005677Cliente: MT041666 Obs: 09-03-2026_COBRANZAS_CLIENTES</t>
  </si>
  <si>
    <t>000000000794</t>
  </si>
  <si>
    <t>VR000000005678</t>
  </si>
  <si>
    <t>Recibo: 000000005678Cliente: MT039234 Obs: 09-03-2026  Mov Lodge</t>
  </si>
  <si>
    <t>000000000795</t>
  </si>
  <si>
    <t>VR000000005679</t>
  </si>
  <si>
    <t>Recibo: 000000005679Cliente: MT042010 Obs: 09-03-2026_COBRANZAS_CLIENTES</t>
  </si>
  <si>
    <t>000000000796</t>
  </si>
  <si>
    <t>VR000000005680</t>
  </si>
  <si>
    <t>Recibo: 000000005680Cliente: MT041990 Obs: 09-03-2026_COBRANZAS_CLIENTES</t>
  </si>
  <si>
    <t>000000000797</t>
  </si>
  <si>
    <t>VR000000005681</t>
  </si>
  <si>
    <t>Recibo: 000000005681Cliente: MT041888 Obs: 09-03-2026_COBRANZAS_CLIENTES</t>
  </si>
  <si>
    <t>000000000798</t>
  </si>
  <si>
    <t>VR000000005682</t>
  </si>
  <si>
    <t>Recibo: 000000005682Cliente: MT040903 Obs: 09-03-2026_COBRANZAS_CLIENTES</t>
  </si>
  <si>
    <t>000000000799</t>
  </si>
  <si>
    <t>VR000000005683</t>
  </si>
  <si>
    <t>Recibo: 000000005683Cliente: MT041889 Obs: 09-03-2026_COBRANZAS_CLIENTES</t>
  </si>
  <si>
    <t>000000000800</t>
  </si>
  <si>
    <t>VR000000005684</t>
  </si>
  <si>
    <t>Recibo: 000000005684Cliente: MT041991 Obs: 09-03-2026_COBRANZAS_CLIENTES</t>
  </si>
  <si>
    <t>000000000801</t>
  </si>
  <si>
    <t>VR000000005685</t>
  </si>
  <si>
    <t>Recibo: 000000005685Cliente: MT040163 Obs: 09-03-2026_COBRANZAS_CLIENTES</t>
  </si>
  <si>
    <t>000000000802</t>
  </si>
  <si>
    <t>VR000000005686</t>
  </si>
  <si>
    <t>Recibo: 000000005686Cliente: MT041682 Obs: 09-03-2026_COBRANZAS_CLIENTES</t>
  </si>
  <si>
    <t>000000000803</t>
  </si>
  <si>
    <t>VR000000005687</t>
  </si>
  <si>
    <t>Recibo: 000000005687Cliente: MT041242 Obs: 09-03-2026_COBRANZAS_CLIENTES</t>
  </si>
  <si>
    <t>000000000804</t>
  </si>
  <si>
    <t>VR000000005688</t>
  </si>
  <si>
    <t>Recibo: 000000005688Cliente: MT041245 Obs: 09-03-2026_COBRANZAS_CLIENTES</t>
  </si>
  <si>
    <t>000000000805</t>
  </si>
  <si>
    <t>VR000000005689</t>
  </si>
  <si>
    <t>Recibo: 000000005689Cliente: MT040307 Obs: 09-03-2026_COBRANZAS_CLIENTES</t>
  </si>
  <si>
    <t>000000000806</t>
  </si>
  <si>
    <t>VR000000005690</t>
  </si>
  <si>
    <t>Recibo: 000000005690Cliente: MT041674 Obs: 09-03-2026_COBRANZAS_CLIENTES</t>
  </si>
  <si>
    <t>000000000807</t>
  </si>
  <si>
    <t>VR000000005691</t>
  </si>
  <si>
    <t>Recibo: 000000005691Cliente: MT041244 Obs: 09-03-2026_COBRANZAS_CLIENTES</t>
  </si>
  <si>
    <t>000000000808</t>
  </si>
  <si>
    <t>VR000000005692</t>
  </si>
  <si>
    <t>Recibo: 000000005692Cliente: MT041677 Obs: 09-03-2026_COBRANZAS_CLIENTES</t>
  </si>
  <si>
    <t>000000000809</t>
  </si>
  <si>
    <t>VR000000005836</t>
  </si>
  <si>
    <t>Recibo: 000000005836Cliente: MT041629 Obs: CA.DU12- Brad Nicholson Extras 25-26 - ID 41629 -EXtras 25/26- -CMSW 02-2026-</t>
  </si>
  <si>
    <t>000000000810</t>
  </si>
  <si>
    <t>VR000000005847</t>
  </si>
  <si>
    <t>Recibo: 000000005847Cliente: MT28114 Obs: CA.DU12- Chris Danielski    Extras 25-26 - ID 28114 -EXtras 25/26- -CMSW 02-2026-</t>
  </si>
  <si>
    <t>000000000811</t>
  </si>
  <si>
    <t>VR000000005849</t>
  </si>
  <si>
    <t>Recibo: 000000005849Cliente: MT028114 Obs: CA.DU12- Chris Danielski    Extras 25-26 - ID 28114 -EXtras 25/26- -CMSW 02-2026-</t>
  </si>
  <si>
    <t>000000000812</t>
  </si>
  <si>
    <t>VR000000005850</t>
  </si>
  <si>
    <t>Recibo: 000000005850Cliente: MT041632 Obs: CA.DU12- Craig Kwapnioski Extras 25-26 - ID 41632 -EXtras 25/26- -CMSW 02-2026-</t>
  </si>
  <si>
    <t>000000000813</t>
  </si>
  <si>
    <t>VR000000005851</t>
  </si>
  <si>
    <t>Recibo: 000000005851Cliente: MT41631 Obs: CA.DU12- Eric Noteboom Extras 25-26 - ID 41631 -EXtras 25/26- -CMSW 02-2026-</t>
  </si>
  <si>
    <t>000000000814</t>
  </si>
  <si>
    <t>VR000000005853</t>
  </si>
  <si>
    <t>Recibo: 000000005853Cliente: MT041631 Obs: CA.DU12- Eric Noteboom Extras 25-26 - ID 41631 -EXtras 25/26- -CMSW 02-2026-</t>
  </si>
  <si>
    <t>000000000815</t>
  </si>
  <si>
    <t>VR000000005856</t>
  </si>
  <si>
    <t>Recibo: 000000005856Cliente: MT28113 Obs: CA.DU12- Mike Olson Extras 25-26 - ID 28113 -EXtras 25/26- -CMSW 02-2026-</t>
  </si>
  <si>
    <t>000000000816</t>
  </si>
  <si>
    <t>VR000000005857</t>
  </si>
  <si>
    <t>Recibo: 000000005857Cliente: MT028113 Obs: CA.DU12- Mike Olson Extras 25-26 - ID 28113 -EXtras 25/26- -CMSW 02-2026-</t>
  </si>
  <si>
    <t>000000000817</t>
  </si>
  <si>
    <t>VR000000005860</t>
  </si>
  <si>
    <t>Recibo: 000000005860Cliente: MT028115 Obs: CA.DU12- Mike Tangeman Extras 25-26 - ID 28115 -EXtras 25/26- -CMSW 02-2026-</t>
  </si>
  <si>
    <t>000000000818</t>
  </si>
  <si>
    <t>VR000000005862</t>
  </si>
  <si>
    <t>Recibo: 000000005862Cliente: MT027370 Obs: CA.DU12- Sean Markus Extras 25-26 - ID 27370 -EXtras 25/26- -CMSW 02-2026-</t>
  </si>
  <si>
    <t>000000000819</t>
  </si>
  <si>
    <t>VR000000005863</t>
  </si>
  <si>
    <t>Recibo: 000000005863Cliente: MT40473 Obs: CA.DU27- Cecil Crawford Extras 25-26 - ID 40473 -EXtras 25/26- -CMSW 02-2026-</t>
  </si>
  <si>
    <t>000000000820</t>
  </si>
  <si>
    <t>VR000000005865</t>
  </si>
  <si>
    <t>Recibo: 000000005865Cliente: MT40470 Obs: CA.DU27- David Little Extras 25-26 - ID 40470 -EXtras 25/26- -CMSW 02-2026-</t>
  </si>
  <si>
    <t>000000000821</t>
  </si>
  <si>
    <t>VR000000005867</t>
  </si>
  <si>
    <t>Recibo: 000000005867Cliente: MT40984 Obs: CA.DU34- Janet Martin-Clark Extras 25-26 - ID 40984 -EXtras 25/26- -CMSW 02-2026-</t>
  </si>
  <si>
    <t>000000000822</t>
  </si>
  <si>
    <t>VR000000005868</t>
  </si>
  <si>
    <t>Recibo: 000000005868Cliente: MT40986 Obs: CA.DU34- Kelly Nieuwoudt Extras 25-26 - ID 40986 -EXtras 25/26- -CMSW 02-2026-</t>
  </si>
  <si>
    <t>000000000823</t>
  </si>
  <si>
    <t>VR000000005869</t>
  </si>
  <si>
    <t>Recibo: 000000005869Cliente: MT40985 Obs: CA.DU34- Vanessa Muro Extras 25-26 - ID 40985 -EXtras 25/26- -CMSW 02-2026-</t>
  </si>
  <si>
    <t>000000000824</t>
  </si>
  <si>
    <t>VR000000005870</t>
  </si>
  <si>
    <t>Recibo: 000000005870Cliente: MT41566 Obs: CA.DU39- Chris Lewis Extras 25-26 - ID 41566 -EXtras 25/26- -CMSW 02-2026-</t>
  </si>
  <si>
    <t>000000000825</t>
  </si>
  <si>
    <t>VR000000005871</t>
  </si>
  <si>
    <t>Recibo: 000000005871Cliente: MT41565 Obs: CA.DU39- Isaac Bailey Extras 25-26 - ID 41565 -EXtras 25/26- -CMSW 02-2026-</t>
  </si>
  <si>
    <t>000000000826</t>
  </si>
  <si>
    <t>VR000000005872</t>
  </si>
  <si>
    <t>Recibo: 000000005872Cliente: MT40988 Obs: CA.DU39- Michael Bailey Extras 25-26 - ID 40988 -EXtras 25/26- -CMSW 02-2026-</t>
  </si>
  <si>
    <t>000000000827</t>
  </si>
  <si>
    <t>VR000000005873</t>
  </si>
  <si>
    <t>Recibo: 000000005873Cliente: MT041570 Obs: CA.DU45 - Bob Thewatt Extras 25-26 ID 41570 -EXtras 25/26- -CMSW 02-2026-</t>
  </si>
  <si>
    <t>000000000828</t>
  </si>
  <si>
    <t>VR000000005874</t>
  </si>
  <si>
    <t>Recibo: 000000005874Cliente: MT037530 Obs: CA.DU45 - Chris Dodsson Extras 25-26 ID 37530 -EXtras 25/26- -CMSW 02-2026-</t>
  </si>
  <si>
    <t>000000000829</t>
  </si>
  <si>
    <t>VR000000005875</t>
  </si>
  <si>
    <t>Recibo: 000000005875Cliente: MT038763 Obs: CA.DU45 - John Brookes Extras 25-26 ID 38763 -EXtras 25/26- -CMSW 02-2026-</t>
  </si>
  <si>
    <t>000000000830</t>
  </si>
  <si>
    <t>VR000000005876</t>
  </si>
  <si>
    <t>Recibo: 000000005876Cliente: MT041571 Obs: CA.DU45 - Tom Kratzke Extras 25-26 ID 41571 -EXtras 25/26- -CMSW 02-2026-</t>
  </si>
  <si>
    <t>000000000831</t>
  </si>
  <si>
    <t>VR000000005877</t>
  </si>
  <si>
    <t>Recibo: 000000005877Cliente: MT041553 Obs: CA.DU50 - Dan Hartman Extras 25-26 ID 41553 -EXtras 25/26- -CMSW 02-2026-</t>
  </si>
  <si>
    <t>000000000832</t>
  </si>
  <si>
    <t>VR000000005878</t>
  </si>
  <si>
    <t>Recibo: 000000005878Cliente: MT041552 Obs: CA.DU50 - James Hastings Extras 25-26 ID 41552 -EXtras 25/26- -CMSW 02-2026-</t>
  </si>
  <si>
    <t>000000000833</t>
  </si>
  <si>
    <t>VR000000005879</t>
  </si>
  <si>
    <t>Recibo: 000000005879Cliente: MT041551 Obs: CA.DU50 - Michael Gillespie Extras 25-26 ID 41551 -EXtras 25/26- -CMSW 02-2026-</t>
  </si>
  <si>
    <t>000000000834</t>
  </si>
  <si>
    <t>VR000000005880</t>
  </si>
  <si>
    <t>Recibo: 000000005880Cliente: MT041554 Obs: CA.DU50 - Mike Sheddan Extras 25-26 ID 41554 -EXtras 25/26- -CMSW 02-2026-</t>
  </si>
  <si>
    <t>000000000835</t>
  </si>
  <si>
    <t>VR000000005881</t>
  </si>
  <si>
    <t>Recibo: 000000005881Cliente: MT41642 Obs: CA.DU53- John Morris Extras 25-26 - ID 41642 -EXtras 25/26- -CMSW 02-2026-</t>
  </si>
  <si>
    <t>000000000836</t>
  </si>
  <si>
    <t>VR000000005882</t>
  </si>
  <si>
    <t>Recibo: 000000005882Cliente: MT34507 Obs: CA.DU53- Richard Sitten Extras 25-26 - ID 34507 -EXtras 25/26- -CMSW 02-2026-</t>
  </si>
  <si>
    <t>000000000837</t>
  </si>
  <si>
    <t>VR000000005884</t>
  </si>
  <si>
    <t>Recibo: 000000005884Cliente: MT41939 Obs: CA.DU53- Steve Wells Extras 25-26 - ID 41939 -EXtras 25/26- -CMSW 02-2026-</t>
  </si>
  <si>
    <t>000000000838</t>
  </si>
  <si>
    <t>VR000000005885</t>
  </si>
  <si>
    <t>Recibo: 000000005885Cliente: MT041180 Obs: CAR11- Geoffrey Williams Extras 25-26 - ID 41180 -EXtras 25/26- -CMSW 02-2026-</t>
  </si>
  <si>
    <t>000000000839</t>
  </si>
  <si>
    <t>VR000000005887</t>
  </si>
  <si>
    <t>Recibo: 000000005887Cliente: MT042064 Obs: CAR14 - Charles Barr Extras 25-26 ID 42064 -EXtras 25/26- -CMSW 02-2026-</t>
  </si>
  <si>
    <t>000000000840</t>
  </si>
  <si>
    <t>VR000000005888</t>
  </si>
  <si>
    <t>Recibo: 000000005888Cliente: MT042063 Obs: CAR14 - Elizabeth Barr Extras 25-26 ID 42063 -EXtras 25/26- -CMSW 02-2026-</t>
  </si>
  <si>
    <t>000000000841</t>
  </si>
  <si>
    <t>VR000000005889</t>
  </si>
  <si>
    <t>Recibo: 000000005889Cliente: MT042065 Obs: CAR14 - John Mcferran Barr Extras 25-26 ID 42065 -EXtras 25/26- -CMSW 02-2026-</t>
  </si>
  <si>
    <t>000000000842</t>
  </si>
  <si>
    <t>VR000000005890</t>
  </si>
  <si>
    <t>Recibo: 000000005890Cliente: MT12238 Obs: CAR23- Charles Revson Extras 25-26 - ID 12238 -EXtras 25/26- -CMSW 02-2026-</t>
  </si>
  <si>
    <t>000000000843</t>
  </si>
  <si>
    <t>VR000000005892</t>
  </si>
  <si>
    <t>Recibo: 000000005892Cliente: MT000184 Obs: CAR23- Henry Smith Extras 25-26 - ID 184 -EXtras 25/26- -CMSW 02-2026-</t>
  </si>
  <si>
    <t>000000000844</t>
  </si>
  <si>
    <t>VR000000005893</t>
  </si>
  <si>
    <t>Recibo: 000000005893Cliente: MT042227 Obs: CAR34 - Charlie Fowler Extras 25-26 ID 42227 -EXtras 25/26- -CMSW 02-2026-</t>
  </si>
  <si>
    <t>000000000845</t>
  </si>
  <si>
    <t>VR000000005895</t>
  </si>
  <si>
    <t>Recibo: 000000005895Cliente: MT041096 Obs: CAR5 - Andrew Dauenhauer Extras 25-26 ID 41096 -EXtras 25/26- -CMSW 02-2026-</t>
  </si>
  <si>
    <t>000000000846</t>
  </si>
  <si>
    <t>VR000000005896</t>
  </si>
  <si>
    <t>Recibo: 000000005896Cliente: MT041746 Obs: CAR5 - Dolly Webster Extras 25-26 ID 41746 -EXtras 25/26- -CMSW 02-2026-</t>
  </si>
  <si>
    <t>000000000847</t>
  </si>
  <si>
    <t>VR000000005897</t>
  </si>
  <si>
    <t>Recibo: 000000005897Cliente: MT040004 Obs: CAR5 - Jack Mcinerney Extras 25-26 ID 40004 -EXtras 25/26- -CMSW 02-2026-</t>
  </si>
  <si>
    <t>000000000848</t>
  </si>
  <si>
    <t>VR000000005898</t>
  </si>
  <si>
    <t>Recibo: 000000005898Cliente: MT022981 Obs: CAR5 - Michael Smith Extras 25-26 ID 22981 -EXtras 25/26- -CMSW 02-2026-</t>
  </si>
  <si>
    <t>000000000849</t>
  </si>
  <si>
    <t>VR000000005899</t>
  </si>
  <si>
    <t>Recibo: 000000005899Cliente: MT022980 Obs: CAR5 - Michael Thomas Extras 25-26 ID 22980 -EXtras 25/26- -CMSW 02-2026-</t>
  </si>
  <si>
    <t>000000000850</t>
  </si>
  <si>
    <t>VR000000005900</t>
  </si>
  <si>
    <t>Recibo: 000000005900Cliente: MT039648 Obs: CAR5 - William Hebron Extras 25-26 ID 39648 -EXtras 25/26- -CMSW 02-2026-</t>
  </si>
  <si>
    <t>000000000851</t>
  </si>
  <si>
    <t>VR000000005901</t>
  </si>
  <si>
    <t>Recibo: 000000005901Cliente: MT040561 Obs: CAR7 - Judy Wood Extras 25-26 ID 40561 -EXtras 25/26- -CMSW 02-2026-</t>
  </si>
  <si>
    <t>000000000852</t>
  </si>
  <si>
    <t>VR000000005902</t>
  </si>
  <si>
    <t>Recibo: 000000005902Cliente: MT041770 Obs: CAR7 - Thomas Stacy Wood Extras 25-26 ID 41770 -EXtras 25/26- -CMSW 02-2026-</t>
  </si>
  <si>
    <t>000000000853</t>
  </si>
  <si>
    <t>VR000000005903</t>
  </si>
  <si>
    <t>Recibo: 000000005903Cliente: MT040573 Obs: CAR8 - Aron Allen Extras 25-26 ID 40573 -EXtras 25/26- -CMSW 02-2026-</t>
  </si>
  <si>
    <t>000000000854</t>
  </si>
  <si>
    <t>VR000000005904</t>
  </si>
  <si>
    <t>Recibo: 000000005904Cliente: MT041728 Obs: CAR8 - Carl Harvey Extras 25-26 ID 41728 -EXtras 25/26- -CMSW 02-2026-</t>
  </si>
  <si>
    <t>000000000855</t>
  </si>
  <si>
    <t>VR000000005905</t>
  </si>
  <si>
    <t>Recibo: 000000005905Cliente: MT041727 Obs: CAR8 - Dan Harvey Extras 25-26 ID 41727 -EXtras 25/26- -CMSW 02-2026-</t>
  </si>
  <si>
    <t>000000000856</t>
  </si>
  <si>
    <t>VR000000005906</t>
  </si>
  <si>
    <t>Recibo: 000000005906Cliente: MT041726 Obs: CAR8 - Joseph Green Extras 25-26 ID 41726 -EXtras 25/26- -CMSW 02-2026-</t>
  </si>
  <si>
    <t>000000000857</t>
  </si>
  <si>
    <t>VR000000005938</t>
  </si>
  <si>
    <t>Recibo: 000000005938Cliente: MT042227 Obs: Reversión de documento</t>
  </si>
  <si>
    <t>000000000858</t>
  </si>
  <si>
    <t>VR000000005939</t>
  </si>
  <si>
    <t>Recibo: 000000005939Cliente: MT042227 Obs: Cobranza</t>
  </si>
  <si>
    <t>000000000859</t>
  </si>
  <si>
    <t>VR000000005940</t>
  </si>
  <si>
    <t>Recibo: 000000005940Cliente: MT41564 Obs: Reversión de documento</t>
  </si>
  <si>
    <t>000000000860</t>
  </si>
  <si>
    <t>VR000000005942</t>
  </si>
  <si>
    <t>Recibo: 000000005942Cliente: MT41564 Obs: CA.DU39- Johnny Bailey Extras 25-26 - ID 41564 -EXtras 25/26- -CMSW 02-2026-</t>
  </si>
  <si>
    <t>000000000861</t>
  </si>
  <si>
    <t>VR000000006169</t>
  </si>
  <si>
    <t>Recibo: 000000006169Cliente: MT041921 Obs: 16-03-2026_COBRANZAS_CLIENTES</t>
  </si>
  <si>
    <t>000000000862</t>
  </si>
  <si>
    <t>VR000000006170</t>
  </si>
  <si>
    <t>Recibo: 000000006170Cliente: MT040594 Obs: 16-03-2026_COBRANZAS_CLIENTES</t>
  </si>
  <si>
    <t>000000000863</t>
  </si>
  <si>
    <t>VR000000006171</t>
  </si>
  <si>
    <t>Recibo: 000000006171Cliente: MT008723 Obs: 16-03-2026_COBRANZAS_CLIENTES</t>
  </si>
  <si>
    <t>000000000864</t>
  </si>
  <si>
    <t>VR000000006172</t>
  </si>
  <si>
    <t>Recibo: 000000006172Cliente: MT042405 Obs: 16-03-2026_COBRANZAS_CLIENTES</t>
  </si>
  <si>
    <t>000000000865</t>
  </si>
  <si>
    <t>VR000000006173</t>
  </si>
  <si>
    <t>Recibo: 000000006173Cliente: MT042411 Obs: 16-03-2026_COBRANZAS_CLIENTES</t>
  </si>
  <si>
    <t>000000000866</t>
  </si>
  <si>
    <t>VR000000006174</t>
  </si>
  <si>
    <t>Recibo: 000000006174Cliente: MT042410 Obs: 16-03-2026_COBRANZAS_CLIENTES</t>
  </si>
  <si>
    <t>000000000867</t>
  </si>
  <si>
    <t>VR000000006175</t>
  </si>
  <si>
    <t>Recibo: 000000006175Cliente: MT042413 Obs: 16-03-2026_COBRANZAS_CLIENTES</t>
  </si>
  <si>
    <t>000000000868</t>
  </si>
  <si>
    <t>VR000000006176</t>
  </si>
  <si>
    <t>Recibo: 000000006176Cliente: MT042412 Obs: 16-03-2026_COBRANZAS_CLIENTES</t>
  </si>
  <si>
    <t>000000000869</t>
  </si>
  <si>
    <t>VR000000006177</t>
  </si>
  <si>
    <t>Recibo: 000000006177Cliente: MT042414 Obs: 16-03-2026_COBRANZAS_CLIENTES</t>
  </si>
  <si>
    <t>000000000870</t>
  </si>
  <si>
    <t>VR000000006178</t>
  </si>
  <si>
    <t>Recibo: 000000006178Cliente: MT042402 Obs: 16-03-2026_COBRANZAS_CLIENTES</t>
  </si>
  <si>
    <t>000000000871</t>
  </si>
  <si>
    <t>VR000000006397</t>
  </si>
  <si>
    <t>Recibo: 000000006397Cliente: MT042432 Obs: 23-03-2026_COBRANZAS_CLIENTES</t>
  </si>
  <si>
    <t>000000000872</t>
  </si>
  <si>
    <t>VR000000006398</t>
  </si>
  <si>
    <t>Recibo: 000000006398Cliente: MT007229 Obs: 23-03-2026_COBRANZAS_CLIENTES</t>
  </si>
  <si>
    <t>000000000873</t>
  </si>
  <si>
    <t>VR000000006399</t>
  </si>
  <si>
    <t>Recibo: 000000006399Cliente: MT042423 Obs: 23-03-2026_COBRANZAS_CLIENTES</t>
  </si>
  <si>
    <t>000000000874</t>
  </si>
  <si>
    <t>VR000000006400</t>
  </si>
  <si>
    <t>Recibo: 000000006400Cliente: MT038898 Obs: 23-03-2026_COBRANZAS_CLIENTES</t>
  </si>
  <si>
    <t>000000000875</t>
  </si>
  <si>
    <t>VR000000006402</t>
  </si>
  <si>
    <t>Recibo: 000000006402Cliente: MT042425 Obs: 23-03-2026_COBRANZAS_CLIENTES</t>
  </si>
  <si>
    <t>000000000876</t>
  </si>
  <si>
    <t>VR000000006403</t>
  </si>
  <si>
    <t>Recibo: 000000006403Cliente: MT041722 Obs: 23-03-2026_COBRANZAS_CLIENTES</t>
  </si>
  <si>
    <t>000000000877</t>
  </si>
  <si>
    <t>VR000000006405</t>
  </si>
  <si>
    <t>Recibo: 000000006405Cliente: MT041734 Obs: 23-03-2026_COBRANZAS_CLIENTES</t>
  </si>
  <si>
    <t>000000000878</t>
  </si>
  <si>
    <t>VR000000006828</t>
  </si>
  <si>
    <t>Recibo: 000000006828Cliente: MT041205 Obs: 31-03-2026_COBRANZAS_CLIENTES</t>
  </si>
  <si>
    <t>000000000879</t>
  </si>
  <si>
    <t>VR000000006830</t>
  </si>
  <si>
    <t>Recibo: 000000006830Cliente: MT041204 Obs: 31-03-2026_COBRANZAS_CLIENTES</t>
  </si>
  <si>
    <t>000000000880</t>
  </si>
  <si>
    <t>VR000000006831</t>
  </si>
  <si>
    <t>Recibo: 000000006831Cliente: MT041410 Obs: 31-03-2026_COBRANZAS_CLIENTES</t>
  </si>
  <si>
    <t>000000000881</t>
  </si>
  <si>
    <t>VR000000006832</t>
  </si>
  <si>
    <t>Recibo: 000000006832Cliente: MT041409 Obs: 31-03-2026_COBRANZAS_CLIENTES</t>
  </si>
  <si>
    <t>000000000882</t>
  </si>
  <si>
    <t>VR000000006833</t>
  </si>
  <si>
    <t>Recibo: 000000006833Cliente: MT041913 Obs: 31-03-2026_COBRANZAS_CLIENTES</t>
  </si>
  <si>
    <t>000000000883</t>
  </si>
  <si>
    <t>VR000000006834</t>
  </si>
  <si>
    <t>Recibo: 000000006834Cliente: MT031154 Obs: 31-03-2026_COBRANZAS_CLIENTES</t>
  </si>
  <si>
    <t>000000000884</t>
  </si>
  <si>
    <t>VR000000006835</t>
  </si>
  <si>
    <t>Recibo: 000000006835Cliente: MT041706 Obs: 31-03-2026_COBRANZAS_CLIENTES</t>
  </si>
  <si>
    <t>000000000885</t>
  </si>
  <si>
    <t>VR000000006836</t>
  </si>
  <si>
    <t>Recibo: 000000006836Cliente: MT031153 Obs: 31-03-2026_COBRANZAS_CLIENTES</t>
  </si>
  <si>
    <t>000000000886</t>
  </si>
  <si>
    <t>VR000000006837</t>
  </si>
  <si>
    <t>Recibo: 000000006837Cliente: MT039682 Obs: 31-03-2026_COBRANZAS_CLIENTES</t>
  </si>
  <si>
    <t>000000000887</t>
  </si>
  <si>
    <t>VR000000006838</t>
  </si>
  <si>
    <t>Recibo: 000000006838Cliente: MT040282 Obs: 31-03-2026_COBRANZAS_CLIENTES</t>
  </si>
  <si>
    <t>000000000888</t>
  </si>
  <si>
    <t>VR000000006839</t>
  </si>
  <si>
    <t>Recibo: 000000006839Cliente: MT040283 Obs: 31-03-2026_COBRANZAS_CLIENTES</t>
  </si>
  <si>
    <t>000000000889</t>
  </si>
  <si>
    <t>VR000000006840</t>
  </si>
  <si>
    <t>Recibo: 000000006840Cliente: MT042389 Obs: 31-03-2026_COBRANZAS_CLIENTES</t>
  </si>
  <si>
    <t>000000000890</t>
  </si>
  <si>
    <t>VR000000006842</t>
  </si>
  <si>
    <t>Recibo: 000000006842Cliente: MT042391 Obs: 31-03-2026_COBRANZAS_CLIENTES</t>
  </si>
  <si>
    <t>000000000891</t>
  </si>
  <si>
    <t>San Juan Lodge</t>
  </si>
  <si>
    <t>TRANSFERENCIA ENTRE LODGES</t>
  </si>
  <si>
    <t>GASTOS Y COMISIONES BANCARIAS</t>
  </si>
  <si>
    <t>CARTUCHOS</t>
  </si>
  <si>
    <t>adelanto sueldo marzo Santi Carrato</t>
  </si>
  <si>
    <t>deb comi ingreso de oficina</t>
  </si>
  <si>
    <t>servicios personales marzo Sofi Barran</t>
  </si>
  <si>
    <t>servicios profesionales marzo Tatiana Ribas</t>
  </si>
  <si>
    <t>gastos man relacion</t>
  </si>
  <si>
    <t>alquiler entrada campo marzo Carmelo alcira cornu 5207</t>
  </si>
  <si>
    <t>alquiler entrada campos marzo CARMELO 5207</t>
  </si>
  <si>
    <t>deb comi carmelo</t>
  </si>
  <si>
    <t>entrada campo marzo Andrea Rossi Carmelo 5207</t>
  </si>
  <si>
    <t>entrada campo marzo Beron Carmelo 5207</t>
  </si>
  <si>
    <t>entrada campo marzo Mario Bianchi Carmelo 5207</t>
  </si>
  <si>
    <t>entrada campo marzo Salvagno Carmelo 5207</t>
  </si>
  <si>
    <t>entrada campo Palomares marzo Carmelo 5207</t>
  </si>
  <si>
    <t>entrada campos marzo carmelo Dumestre 5207</t>
  </si>
  <si>
    <t>anuncio radio por busqueda de personal</t>
  </si>
  <si>
    <t>clases de ingles capacitacion guia Felipe OLivera</t>
  </si>
  <si>
    <t>sueldo marzo Paloma Marchetti</t>
  </si>
  <si>
    <t>sueldo marzo Stefany Suhr</t>
  </si>
  <si>
    <t>sueldo marzo Valeria Olmedo</t>
  </si>
  <si>
    <t>sueldo marzo Yuliana Gonzalez</t>
  </si>
  <si>
    <t>bb marzo 2 Agustin Borasich</t>
  </si>
  <si>
    <t>bb marzo 2 Brando Ponce</t>
  </si>
  <si>
    <t>bb marzo 2 edgardo martinez</t>
  </si>
  <si>
    <t>bb marzo 2 franco Rigos</t>
  </si>
  <si>
    <t>bb marzo 2 julian rodriguez</t>
  </si>
  <si>
    <t>bb marzo 2 maicol silva</t>
  </si>
  <si>
    <t>bb marzo 2 Nicolas Diaz</t>
  </si>
  <si>
    <t>bb marzo 2 Nicolas schneider</t>
  </si>
  <si>
    <t>bb marzo 2 Nicolas Siritto</t>
  </si>
  <si>
    <t>bb marzo 2 nrandon maidana</t>
  </si>
  <si>
    <t>bb marzo 2 ruben callero</t>
  </si>
  <si>
    <t>bb marzo 2 Simon Glattli</t>
  </si>
  <si>
    <t>bb marzo 2 Victor Ramirez</t>
  </si>
  <si>
    <t>completa sueldo marzo Santi Carrato</t>
  </si>
  <si>
    <t>deb comi bb</t>
  </si>
  <si>
    <t>sp marzo felipe Olivera</t>
  </si>
  <si>
    <t>sp marzo juan long</t>
  </si>
  <si>
    <t>sueldo marzo  falta una parte Osvaldo Martinez</t>
  </si>
  <si>
    <t>sueldo marzo bruno vulpi</t>
  </si>
  <si>
    <t>sueldo marzo Carrato luego devuelve</t>
  </si>
  <si>
    <t>sueldo marzo Martin Barrios</t>
  </si>
  <si>
    <t>sueldo marzo Pablo Gadea</t>
  </si>
  <si>
    <t>iva y BPS Felipe Olivera</t>
  </si>
  <si>
    <t>iva y bps marzo Juan Long</t>
  </si>
  <si>
    <t>combustible vehiculos marzo Carmelo</t>
  </si>
  <si>
    <t>bebidas marzo Belater</t>
  </si>
  <si>
    <t>carnes especiales marzo Gourmeat</t>
  </si>
  <si>
    <t>quesos y lacteos marzo FINESA</t>
  </si>
  <si>
    <t>verduleria marzo Carmelo</t>
  </si>
  <si>
    <t>combustible mantenimiento jardin cortadora pasto  marzo</t>
  </si>
  <si>
    <t>mantenimiento limpieza vans Denzel maidana</t>
  </si>
  <si>
    <t>limpieza armas pago marzo Denzel Maidana</t>
  </si>
  <si>
    <t>pelada de palomas todo marzo Franco Rigos</t>
  </si>
  <si>
    <t>pelada palomas marzo Felipe Olivera</t>
  </si>
  <si>
    <t>pelada palomas Victor Ramirez marzo</t>
  </si>
  <si>
    <t>sp marzo Carolina Horta</t>
  </si>
  <si>
    <t>iva y bps Marzo Carolina Horta</t>
  </si>
  <si>
    <t>combustible tramites caro horta marzo</t>
  </si>
  <si>
    <t>combustible traslado cartuchos y demas vueltas sj</t>
  </si>
  <si>
    <t>veterinaria mirenxu marzo</t>
  </si>
  <si>
    <t>combustible reembolso Long Carmelo 5248</t>
  </si>
  <si>
    <t>gastos mantenimiento equipo y material caceria cintas tapones LONG Carmelo 5254</t>
  </si>
  <si>
    <t>mantenimiento vehiculos carmelo reembolso Long 5253 carmelo</t>
  </si>
  <si>
    <t>parking y pasaje ida Montevideo reembolso LONG Carmelo - 110305</t>
  </si>
  <si>
    <t>surtido staff y comida viakes reembolso LONG Carmelo 5250</t>
  </si>
  <si>
    <t>fletes traslado cartuchos al polvorin Pablo Segovia</t>
  </si>
  <si>
    <t>Tips marzo paloma</t>
  </si>
  <si>
    <t>Tips marzo steffy</t>
  </si>
  <si>
    <t>Tips marzo Santiago,Yuliana,Victoria , Rafael,Valeria</t>
  </si>
  <si>
    <t>Tips marzo Oriana y Enrique</t>
  </si>
  <si>
    <t>Sueldo marzo  Santiago mantenimiento</t>
  </si>
  <si>
    <t>Sueldo marzo Carmen cocinera</t>
  </si>
  <si>
    <t>REVERSAR EN ABRIL 2026
(MOV MARZO APP CARGADOS EN ABRIL)</t>
  </si>
  <si>
    <t>8101TRANSFERENCIA ENTRE LODGES</t>
  </si>
  <si>
    <t>DIF EN $</t>
  </si>
  <si>
    <t>AJ A 5313</t>
  </si>
  <si>
    <t>DIF EN $ Y USD</t>
  </si>
  <si>
    <t>OK AJUSTADO</t>
  </si>
  <si>
    <t>AJ 5313</t>
  </si>
  <si>
    <t>devolucion sueldo  marzo adelantado Santi Carrato</t>
  </si>
  <si>
    <t>Deuda Prana</t>
  </si>
  <si>
    <t>REVERSAR EN ABRIL 2026
(MOV MARZO APP CARGADOS EN ABRIL) ESTO VA IMPUTADO A COSTO CARTUCHOS</t>
  </si>
  <si>
    <t>MUEBLES Y UTILES</t>
  </si>
  <si>
    <t>REVERSAR EN ABRIL 2026
(MOV MARZO APP CARGADOS EN ABRIL) 50% DE ESTO A CARMELO</t>
  </si>
  <si>
    <t>50% A CARMELO</t>
  </si>
  <si>
    <t>EXTRA CONTABLE REVERSAR EN FEBRERO 26 50% A CARMELO</t>
  </si>
  <si>
    <t>ESTO ES URU LODGE</t>
  </si>
  <si>
    <t>COMUNICACIONES</t>
  </si>
  <si>
    <t>ESTO ES SERVICIOS</t>
  </si>
  <si>
    <t>REVERSAR EN ABRIL 2026
(MOV MARZO APP CARGADOS EN ABRIL) - COMIDA</t>
  </si>
  <si>
    <t>5228 Remuneraciones Managers</t>
  </si>
  <si>
    <t>5247 Combustible y Lub- Elect-Gener</t>
  </si>
  <si>
    <t>5252 Mantenimiento Rep-Lodge</t>
  </si>
  <si>
    <t>5263 Servicios - Otros Operativos</t>
  </si>
  <si>
    <t>5254 Mantenimiento Rep-Equipos/Arma</t>
  </si>
  <si>
    <t>5292 PERMISOS CONTROL AMBIENTAL</t>
  </si>
  <si>
    <t>5248 Combustibles y Lub. - Vehiculos y Botes</t>
  </si>
  <si>
    <t>ESTO ES CARMERLO</t>
  </si>
  <si>
    <t>ESTO ES CARMELO</t>
  </si>
  <si>
    <t>OK CON BUDGET!</t>
  </si>
  <si>
    <t>De gastos varios de SJ tenemos que pasar unos usd 800 a Carmelo que es monitoreo patos, asi queda balanceado</t>
  </si>
  <si>
    <t>Pagan dueños propiedad</t>
  </si>
  <si>
    <t>14k que se haga cargo el Fondo y 
recuperar de Carmelo</t>
  </si>
  <si>
    <t>35k descontadas por obra cocina y casa staff</t>
  </si>
  <si>
    <t>01/04/2026</t>
  </si>
  <si>
    <t>TE001400000391</t>
  </si>
  <si>
    <t>Asiento de CAJA (01/09/2025 - 30042026)</t>
  </si>
  <si>
    <t>Extracción de Caja 001400000391 Obs: CA.DU28-Kelly Boger-Extras 25-26-ID-40592</t>
  </si>
  <si>
    <t>CA.DU28-Kelly Boger-Extras 25-26-ID-40592</t>
  </si>
  <si>
    <t>000000000914</t>
  </si>
  <si>
    <t>03/04/2026</t>
  </si>
  <si>
    <t>TA001400000358</t>
  </si>
  <si>
    <t>Canje de Valores 001400000358 Obs: UY-Cambio $ 7,800,000</t>
  </si>
  <si>
    <t>000000000893</t>
  </si>
  <si>
    <t>06/04/2026</t>
  </si>
  <si>
    <t>TE001400000363</t>
  </si>
  <si>
    <t>Extracción de Caja 001400000363 Obs: 06-04-2026  Mov Lodge</t>
  </si>
  <si>
    <t>CAR - Bolsa abrazadera</t>
  </si>
  <si>
    <t>000000000905</t>
  </si>
  <si>
    <t>CAR - Compra en los balla por falta de crédito pagado en UYU (Cervezas)</t>
  </si>
  <si>
    <t>CAR - Compra en los balla por falta de crédito pagado en UYU (comida)</t>
  </si>
  <si>
    <t>CAR - Compra en los balla por falta de crédito pagado en UYU (Limpieza)</t>
  </si>
  <si>
    <t>CAR - Compra etiquetas para laundry</t>
  </si>
  <si>
    <t>CAR - La llave luz led</t>
  </si>
  <si>
    <t>CAR - Pago mano de obra Walter casa staff</t>
  </si>
  <si>
    <t>CAR - Permisos cacería sma</t>
  </si>
  <si>
    <t>CAR - Pescadería el acuario</t>
  </si>
  <si>
    <t>VF000000006938B</t>
  </si>
  <si>
    <t>Asiento de VENTAS (01/09/2025 - 30/4/2026)</t>
  </si>
  <si>
    <t>F B 000000006938</t>
  </si>
  <si>
    <t>Ref. nota de Venta: CA.DU11
Obs.:06-04-2026_CLIENTES</t>
  </si>
  <si>
    <t>000000001026</t>
  </si>
  <si>
    <t>VF000000006939B</t>
  </si>
  <si>
    <t>F B 000000006939</t>
  </si>
  <si>
    <t>000000001027</t>
  </si>
  <si>
    <t>VF000000006940B</t>
  </si>
  <si>
    <t>F B 000000006940</t>
  </si>
  <si>
    <t>000000001028</t>
  </si>
  <si>
    <t>VF000000006941B</t>
  </si>
  <si>
    <t>F B 000000006941</t>
  </si>
  <si>
    <t>000000001029</t>
  </si>
  <si>
    <t>VF000000006942B</t>
  </si>
  <si>
    <t>F B 000000006942</t>
  </si>
  <si>
    <t>Ref. nota de Venta: CA.DU40
Obs.:06-04-2026_CLIENTES</t>
  </si>
  <si>
    <t>000000001030</t>
  </si>
  <si>
    <t>VF000000006943B</t>
  </si>
  <si>
    <t>F B 000000006943</t>
  </si>
  <si>
    <t>000000001031</t>
  </si>
  <si>
    <t>VF000000006944B</t>
  </si>
  <si>
    <t>F B 000000006944</t>
  </si>
  <si>
    <t>000000001032</t>
  </si>
  <si>
    <t>VF000000006945B</t>
  </si>
  <si>
    <t>F B 000000006945</t>
  </si>
  <si>
    <t>000000001033</t>
  </si>
  <si>
    <t>VF000000006946B</t>
  </si>
  <si>
    <t>F B 000000006946</t>
  </si>
  <si>
    <t>Ref. nota de Venta: CAR37
Obs.:06-04-2026_CLIENTES</t>
  </si>
  <si>
    <t>000000001034</t>
  </si>
  <si>
    <t>VF000000006947B</t>
  </si>
  <si>
    <t>F B 000000006947</t>
  </si>
  <si>
    <t>000000001035</t>
  </si>
  <si>
    <t>VF000000006948B</t>
  </si>
  <si>
    <t>F B 000000006948</t>
  </si>
  <si>
    <t>Ref. nota de Venta: CAR4
Obs.:06-04-2026_CLIENTES</t>
  </si>
  <si>
    <t>000000001036</t>
  </si>
  <si>
    <t>VR000000006991</t>
  </si>
  <si>
    <t>Asiento de COBRANZAS (01/09/2025 - 30/4/2026)</t>
  </si>
  <si>
    <t>Recibo: 000000006991Cliente: MT034430 Obs: 06-04-2026_COBRANZAS_CLIENTES</t>
  </si>
  <si>
    <t>000000001078</t>
  </si>
  <si>
    <t>VR000000006992</t>
  </si>
  <si>
    <t>Recibo: 000000006992Cliente: MT042324 Obs: 06-04-2026_COBRANZAS_CLIENTES</t>
  </si>
  <si>
    <t>000000001079</t>
  </si>
  <si>
    <t>VR000000006993</t>
  </si>
  <si>
    <t>Recibo: 000000006993Cliente: MT034429 Obs: 06-04-2026_COBRANZAS_CLIENTES</t>
  </si>
  <si>
    <t>000000001080</t>
  </si>
  <si>
    <t>VR000000006994</t>
  </si>
  <si>
    <t>Recibo: 000000006994Cliente: MT041119 Obs: 06-04-2026_COBRANZAS_CLIENTES</t>
  </si>
  <si>
    <t>000000001081</t>
  </si>
  <si>
    <t>VR000000006995</t>
  </si>
  <si>
    <t>Recibo: 000000006995Cliente: MT022901 Obs: 06-04-2026_COBRANZAS_CLIENTES</t>
  </si>
  <si>
    <t>000000001082</t>
  </si>
  <si>
    <t>VR000000007709</t>
  </si>
  <si>
    <t>Recibo: 000000007709Cliente: MT022901 Obs: CAR37- Cobro extras ID 22901 - ValleySW- WIRE IN INTL GFT 202604060003974 THOMAS HOLMES  THOMAS HOLM</t>
  </si>
  <si>
    <t>000000001154</t>
  </si>
  <si>
    <t>10/04/2026</t>
  </si>
  <si>
    <t>TE001400000370</t>
  </si>
  <si>
    <t>Extracción de Caja 001400000370 Obs: Movimiento_Cajas_Bancos_Semana 25-26 al 10-04-2026</t>
  </si>
  <si>
    <t>SJ- ValleyFF- La Cazadora Oriental Limitada - (Uruguay Operating Needs - March/April)-</t>
  </si>
  <si>
    <t>000000000908</t>
  </si>
  <si>
    <t>TI001400000375</t>
  </si>
  <si>
    <t>Ingreso a Caja 001400000375 Obs: Movimiento_Cajas_Bancos_Semana 25-26 al 10-04-2026</t>
  </si>
  <si>
    <t>SJ23- 25/26- viene de la UL3- 25/26- elizabeth Ebeling</t>
  </si>
  <si>
    <t>000000000937</t>
  </si>
  <si>
    <t>SJ23- 25/26- viene de la UL3- 25/26- Jerry Reed</t>
  </si>
  <si>
    <t xml:space="preserve">SJ23- 25/26- viene de la UL3- 25/26- Jerry Reed - Los cambiamos de lodge, cubrimoos estos servicios </t>
  </si>
  <si>
    <t>UL2- 25/26- Refund ValleySW- CHECK # 1089 - $ 2.180,00 - Refund UL2- 25/26 - Rick Ackman</t>
  </si>
  <si>
    <t>UL3- 25/26- pasa a SJ23- 25/26- elizabeth Ebeling</t>
  </si>
  <si>
    <t>UL3- 25/26- pasa a SJ23- 25/26- Jerry Reed</t>
  </si>
  <si>
    <t>UL4- 25/26- David Dougerty pasa a la LC25- 25/26</t>
  </si>
  <si>
    <t>TE001400000371</t>
  </si>
  <si>
    <t>Extracción de Caja 001400000371 Obs: Movimiento_Cajas_Bancos_Semana 25-26 al 10-04-2026</t>
  </si>
  <si>
    <t>UL-Viacargo CTES-Oficina Decoys - El Pombero Despacho 7-4 F.Fijo Oper. Al 10-04-2026</t>
  </si>
  <si>
    <t>000000000909</t>
  </si>
  <si>
    <t>CA.DU23- 26/27- Michael Glickert - ValleySW- WIRE IN GFT 202604010039197 MICHAEL W GLICKERT  OR TAMA</t>
  </si>
  <si>
    <t>CA.DU26- 26/27- Joan Leutheuser - ValleySS- WIRE IN GFT 202604020026879 JOAN F LEUTHEUSER  LEUTHEUSE</t>
  </si>
  <si>
    <t>CAR- ValleyFF- CARMELO LODGE SAS - (Carmelo Operating Needs - March/April)-</t>
  </si>
  <si>
    <t>CAR5- 26/27- Molly Colleman - ACH CREDIT CCD CMPY ID: 1204895317 Palmer Home for Bill.com Palmer por</t>
  </si>
  <si>
    <t>CAR6- 26/27- Jason Ebert - ValleySW- WIRE IN GFT 202604010030718 JASON EBERT</t>
  </si>
  <si>
    <t>13/04/2026</t>
  </si>
  <si>
    <t>TE001400000368</t>
  </si>
  <si>
    <t>Extracción de Caja 001400000368 Obs: 13-04-2026  Mov Lodge</t>
  </si>
  <si>
    <t>"CAR - PlastiductoAbrazaderaCable bajo plastico"</t>
  </si>
  <si>
    <t>000000000906</t>
  </si>
  <si>
    <t>CAR - Agua bidones</t>
  </si>
  <si>
    <t>CAR - Arreglo WiFi</t>
  </si>
  <si>
    <t>CAR - Bebidas almacén de la capilla</t>
  </si>
  <si>
    <t>CAR - Compra leña</t>
  </si>
  <si>
    <t>CAR - Dulces almacén de la capilla</t>
  </si>
  <si>
    <t>CAR - Insumos para jardinera ton</t>
  </si>
  <si>
    <t>CAR - Materiales para estante bidones de agua</t>
  </si>
  <si>
    <t>CAR - Obra casa staff Walter</t>
  </si>
  <si>
    <t>CAR - Permisos sma</t>
  </si>
  <si>
    <t>CAR - Sma se le resta 100 porque nos debe 100 uy</t>
  </si>
  <si>
    <t>CAR - Sueldo marzo  Santiago mantenimiento</t>
  </si>
  <si>
    <t>CAR - Sueldo marzo Carmen cocinera</t>
  </si>
  <si>
    <t>CAR - Tips marzo Oriana y Enrique</t>
  </si>
  <si>
    <t>CAR - Tips marzo paloma</t>
  </si>
  <si>
    <t>CAR - Tips marzo Santiago,Yuliana,Victoria , Rafael,Valeria</t>
  </si>
  <si>
    <t>CAR - Tips marzo steffy</t>
  </si>
  <si>
    <t>VF000000007241B</t>
  </si>
  <si>
    <t>F B 000000007241</t>
  </si>
  <si>
    <t>Ref. nota de Venta: CADU 33
Obs.:13-04-2026_CLIENTES</t>
  </si>
  <si>
    <t>000000001037</t>
  </si>
  <si>
    <t>VF000000007242B</t>
  </si>
  <si>
    <t>F B 000000007242</t>
  </si>
  <si>
    <t>000000001038</t>
  </si>
  <si>
    <t>VF000000007243B</t>
  </si>
  <si>
    <t>F B 000000007243</t>
  </si>
  <si>
    <t>000000001039</t>
  </si>
  <si>
    <t>VF000000007244B</t>
  </si>
  <si>
    <t>F B 000000007244</t>
  </si>
  <si>
    <t>Ref. nota de Venta: CADU36
Obs.:13-04-2026_CLIENTES</t>
  </si>
  <si>
    <t>000000001040</t>
  </si>
  <si>
    <t>VF000000007245B</t>
  </si>
  <si>
    <t>F B 000000007245</t>
  </si>
  <si>
    <t>000000001041</t>
  </si>
  <si>
    <t>VR000000007295</t>
  </si>
  <si>
    <t>Recibo: 000000007295Cliente: MT042815 Obs: 13-04-2026_COBRANZAS_CLIENTES</t>
  </si>
  <si>
    <t>000000001083</t>
  </si>
  <si>
    <t>VR000000007296</t>
  </si>
  <si>
    <t>Recibo: 000000007296Cliente: MT042760 Obs: 13-04-2026_COBRANZAS_CLIENTES</t>
  </si>
  <si>
    <t>000000001084</t>
  </si>
  <si>
    <t>16/04/2026</t>
  </si>
  <si>
    <t>VR000000008058</t>
  </si>
  <si>
    <t>Recibo: 000000008058Cliente: MT039682 Obs: CAR4- 25/26- Extras ID 39682 - ValleySW- ACH CREDIT IAT CMPY ID: 1832188652 Seth Holmes PAYMENTS 260</t>
  </si>
  <si>
    <t>000000001171</t>
  </si>
  <si>
    <t>17/04/2026</t>
  </si>
  <si>
    <t>TE001400000377</t>
  </si>
  <si>
    <t>Extracción de Caja 001400000377 Obs: Movimiento_Cajas_Bancos_Semana 25-26 al 17-04-2026</t>
  </si>
  <si>
    <t>SJ- ValleySS- PINOR SA - (175k Shells - Uruguay Lodges) Total Costo Cpra 96,250 - A Cta 15k DD y 15k</t>
  </si>
  <si>
    <t>000000000911</t>
  </si>
  <si>
    <t>SJ- ValleySW- La Cazadora Oriental Limitada - (Uruguay Operating Needs - March/April)-</t>
  </si>
  <si>
    <t>TI001400000379</t>
  </si>
  <si>
    <t>Ingreso a Caja 001400000379 Obs: Movimiento_Cajas_Bancos_Semana 25-26 al 17-04-2026</t>
  </si>
  <si>
    <t xml:space="preserve">SJ19- 25/26- Hunter Schenk - ValleySW- ACH CREDIT CIE CMPY ID: 0000000833 Northern Trust Transfer   </t>
  </si>
  <si>
    <t>000000000938</t>
  </si>
  <si>
    <t>SJ19- 25/26- Todd Sheriddan - ValleySW- WIRE IN GFT 202604080007088 TODD M SHERIDAN</t>
  </si>
  <si>
    <t>SJ2- 25/26-  Antti Matti - ValleySW- WIRE IN INTL GFT 202604030000912 SIIKALA ANTTI-MATT I TAI SARLO</t>
  </si>
  <si>
    <t>TE001400000378</t>
  </si>
  <si>
    <t>Extracción de Caja 001400000378 Obs: Movimiento_Cajas_Bancos_Semana 25-26 al 17-04-2026</t>
  </si>
  <si>
    <t>UL-Traslado UY-CTES decoys - Pago El Pombero Pagos Frank Garrahan-  Al 17-04-2026</t>
  </si>
  <si>
    <t>000000000912</t>
  </si>
  <si>
    <t>CA.DU23- 26/27- Trenton J Determan - ValleySW- WIRE IN GFT 202604070024610 TRENTON J DETERMAN N OR K</t>
  </si>
  <si>
    <t>CA.DU24- 26/27- Richard Burnett - Cheque 50010 - ValleySW-  18 Checks $ 70.722,50 -03-04-2026</t>
  </si>
  <si>
    <t>CA.DU3- 26/27- Tyler O'Donnell - ValleySW- WIRE IN GFT 202604090019271 TYLER P O'DONNELL  TYLER O'DO</t>
  </si>
  <si>
    <t>CA.DU57- 25/26- Richard Weston Keenan - Cheque 396 - ValleySW-  18 Checks $ 70.722,50 -03-04-2026</t>
  </si>
  <si>
    <t>CA.DU64- 25/26- Adrian Cain - Cheque 1007 por $5290. Comparte con KA28 - ValleySW-  18 Checks $ 70.7</t>
  </si>
  <si>
    <t>CAR- ValleySW- CARMELO LODGE SAS - (Carmelo Operating Needs - March/April)-</t>
  </si>
  <si>
    <t>CAR-15  Tags cuero - Bolsas de Laundry - Vargas Cueros F.Fijo Oper. Al 17-04-2026</t>
  </si>
  <si>
    <t>CAR-Pasajes Prana-Mejoras CAR - Paisajismo--MEREA JIMENA-COLONIA EXPRESS</t>
  </si>
  <si>
    <t>CAR-Pasajes Prana-Mejoras CAR - Paisajismo--MURRAY CECILIA-COLONIA EXPRESS</t>
  </si>
  <si>
    <t>CAR-Pasajes Prana-Serivicios CAR--DIONISIO ENRRIQUE-BUQUEBUS COL-BS AS</t>
  </si>
  <si>
    <t>CAR-Pasajes Prana-Serivicios CAR--ORIANA MARLEN DELLIRA-BUQUEBUS COL-BS AS</t>
  </si>
  <si>
    <t>CAR-Pasajes Prana-Servicios CAR--RAICAHUIN/FERNANDO GABRIEL-AEREO RGA-AEP</t>
  </si>
  <si>
    <t>CAR-Pasajes Prana-Supervision Cocina CAR--IGLESIA/LUCAS EZEQUIEL-AEREO TUC-BUE</t>
  </si>
  <si>
    <t>CAR-Pasajes Prana-Supervision Cocina CAR--IGLESIA/LUCAS EZEQUIEL-COLONIA EXPRESS</t>
  </si>
  <si>
    <t>CAR-Servicio Mensajeria Mensual, Marzo - Enlace Logistica F.Fijo Oper. Al 17-04-2026</t>
  </si>
  <si>
    <t>CAR-Taxi - Rafa Anzola  Chef- retiro uniformes F.Fijo Oper. Al 17-04-2026</t>
  </si>
  <si>
    <t>UY- ValleySW- ANALYSIS RESULTS CHG ANALYSIS ACTIVITY   FOR 03/26</t>
  </si>
  <si>
    <t>TA001400000376</t>
  </si>
  <si>
    <t>Canje de Valores 001400000376 Obs: UY-Cambio $ 700,000</t>
  </si>
  <si>
    <t>000000000894</t>
  </si>
  <si>
    <t>20/04/2026</t>
  </si>
  <si>
    <t>TH001400000389</t>
  </si>
  <si>
    <t>Extracción de Banco 001400000389 Obs: 20-04-2026  Mov Lodge</t>
  </si>
  <si>
    <t>SJ - alquiler entrada campo marzo Carmelo alcira cornu 5207</t>
  </si>
  <si>
    <t>000000000928</t>
  </si>
  <si>
    <t>SJ - alquiler entrada campos marzo CARMELO 5207</t>
  </si>
  <si>
    <t>TH001400000388</t>
  </si>
  <si>
    <t>Extracción de Banco 001400000388 Obs: 20-04-2026  Mov Lodge</t>
  </si>
  <si>
    <t>SJ - combustible ida a SJ ida Manager nueva SJ</t>
  </si>
  <si>
    <t>000000000927</t>
  </si>
  <si>
    <t>SJ - combustible reembolso Long Carmelo 5248</t>
  </si>
  <si>
    <t>SJ - combustible tramites caro horta marzo</t>
  </si>
  <si>
    <t>SJ - combustible traslado cartuchos y demas vueltas sj</t>
  </si>
  <si>
    <t>SJ - deb comi carmelo</t>
  </si>
  <si>
    <t>SJ - entrada campo marzo Andrea Rossi Carmelo 5207</t>
  </si>
  <si>
    <t>SJ - entrada campo marzo Beron Carmelo 5207</t>
  </si>
  <si>
    <t>SJ - entrada campo marzo Mario Bianchi Carmelo 5207</t>
  </si>
  <si>
    <t>SJ - entrada campo marzo Salvagno Carmelo 5207</t>
  </si>
  <si>
    <t>SJ - entrada campo Palomares marzo Carmelo 5207</t>
  </si>
  <si>
    <t>SJ - entrada campos marzo carmelo Dumestre 5207</t>
  </si>
  <si>
    <t>SJ - fletes traslado cartuchos al polvorin Pablo Segovia</t>
  </si>
  <si>
    <t>SJ - gastos comida ida a sj con nueva manager</t>
  </si>
  <si>
    <t>SJ - gastos mantenimiento equipo y material caceria cintas tapones LONG Carmelo 5254</t>
  </si>
  <si>
    <t>TD001400000386</t>
  </si>
  <si>
    <t>Depósito a Banco 001400000386 Obs: 20-04-2026  Mov Lodge</t>
  </si>
  <si>
    <t>000000000899</t>
  </si>
  <si>
    <t>TD001400000390</t>
  </si>
  <si>
    <t>Depósito a Banco 001400000390 Obs: 20-04-2026  Mov Lodge</t>
  </si>
  <si>
    <t>SJ - iva dev comida</t>
  </si>
  <si>
    <t>000000000900</t>
  </si>
  <si>
    <t>SJ - iva y bps Marzo Carolina Horta</t>
  </si>
  <si>
    <t>SJ - mantenimiento vehiculos carmelo reembolso Long 5253 carmelo</t>
  </si>
  <si>
    <t>SJ - mobiliario cocina Carmelo - muebles y utiles  12020301</t>
  </si>
  <si>
    <t>SJ - parking y pasaje ida Montevideo reembolso LONG Carmelo - 110305</t>
  </si>
  <si>
    <t>SJ - servicios personales marzo Sofi Barran</t>
  </si>
  <si>
    <t>SJ - servicios profesionales marzo Tatiana Ribas</t>
  </si>
  <si>
    <t>SJ - sp marzo Carolina Horta</t>
  </si>
  <si>
    <t>SJ - surtido staff y comida viakes reembolso LONG Carmelo 5250</t>
  </si>
  <si>
    <t>SJ - veterinaria mirenxu marzo</t>
  </si>
  <si>
    <t>TH001400000381</t>
  </si>
  <si>
    <t>Extracción de Banco 001400000381 Obs: 20-04-2026  Mov Lodge</t>
  </si>
  <si>
    <t>UL-combustible viaje a Valle</t>
  </si>
  <si>
    <t>000000000924</t>
  </si>
  <si>
    <t>UL-comida ida a valle</t>
  </si>
  <si>
    <t>TD001400000380</t>
  </si>
  <si>
    <t>Depósito a Banco 001400000380 Obs: 20-04-2026  Mov Lodge</t>
  </si>
  <si>
    <t>UL-comida red iva</t>
  </si>
  <si>
    <t>000000000896</t>
  </si>
  <si>
    <t>UL-iva antel comunicacions</t>
  </si>
  <si>
    <t>UL-red iva pago ancap arroyo grande</t>
  </si>
  <si>
    <t>UL-telefonia antel internet Valle</t>
  </si>
  <si>
    <t>TE001400000387</t>
  </si>
  <si>
    <t>Extracción de Caja 001400000387 Obs: 20-04-2026  Mov Lodge</t>
  </si>
  <si>
    <t>"CAR - Pago por traslado valijas huéspedes.</t>
  </si>
  <si>
    <t>000000000913</t>
  </si>
  <si>
    <t>TH001400000385</t>
  </si>
  <si>
    <t>Extracción de Banco 001400000385 Obs: 20-04-2026  Mov Lodge</t>
  </si>
  <si>
    <t>000000000926</t>
  </si>
  <si>
    <t>CAR - accidentes laborales seguros abril</t>
  </si>
  <si>
    <t>CAR - adelanto sueldo abril Pablo Gadea</t>
  </si>
  <si>
    <t>TH001400000384</t>
  </si>
  <si>
    <t>Extracción de Banco 001400000384 Obs: 20-04-2026  Mov Lodge</t>
  </si>
  <si>
    <t>CAR - adelanto sueldo marzo Santi Carrato</t>
  </si>
  <si>
    <t>000000000925</t>
  </si>
  <si>
    <t>CAR - alquiler abril Casa staff provisoria Carmelo</t>
  </si>
  <si>
    <t>CAR - alquilera camionetas Carmelo Marzo</t>
  </si>
  <si>
    <t>CAR - anuncio radio por busqueda de personal</t>
  </si>
  <si>
    <t>CAR - baterias handys reembolso Long</t>
  </si>
  <si>
    <t>CAR - bb marzo 2 Agustin Borasich</t>
  </si>
  <si>
    <t>CAR - bb marzo 2 Brando Ponce</t>
  </si>
  <si>
    <t>CAR - bb marzo 2 edgardo martinez</t>
  </si>
  <si>
    <t>CAR - bb marzo 2 franco Rigos</t>
  </si>
  <si>
    <t>CAR - bb marzo 2 julian rodriguez</t>
  </si>
  <si>
    <t>CAR - bb marzo 2 maicol silva</t>
  </si>
  <si>
    <t>CAR - bb marzo 2 Nicolas Diaz</t>
  </si>
  <si>
    <t>CAR - bb marzo 2 Nicolas schneider</t>
  </si>
  <si>
    <t>CAR - bb marzo 2 Nicolas Siritto</t>
  </si>
  <si>
    <t>CAR - bb marzo 2 nrandon maidana</t>
  </si>
  <si>
    <t>CAR - bb marzo 2 ruben callero</t>
  </si>
  <si>
    <t>CAR - bb marzo 2 Simon Glattli</t>
  </si>
  <si>
    <t>CAR - bb marzo 2 Victor Ramirez</t>
  </si>
  <si>
    <t>CAR - bebidas marzo Belater</t>
  </si>
  <si>
    <t>CAR - Bidones de agua</t>
  </si>
  <si>
    <t>CAR - bolsas palomas reembolso Long</t>
  </si>
  <si>
    <t>CAR - carnes especiales marzo Gourmeat</t>
  </si>
  <si>
    <t>CAR - cintas lingas para sinchar auto empantanado Carmelo reembolso long</t>
  </si>
  <si>
    <t>CAR - clases de ingles capacitacion guia Felipe OLivera</t>
  </si>
  <si>
    <t>CAR - combustible mantenimiento jardin cortadora pasto  marzo</t>
  </si>
  <si>
    <t>CAR - combustible vehiculos marzo Carmelo</t>
  </si>
  <si>
    <t>CAR - complemento sueldo marzo Oavaldo Martinez</t>
  </si>
  <si>
    <t>CAR - completa sueldo marzo Santi Carrato</t>
  </si>
  <si>
    <t>CAR - Compra botas de goma para Ton</t>
  </si>
  <si>
    <t>CAR - Compra botas ton jardineria</t>
  </si>
  <si>
    <t>CAR - Compra de garrafa</t>
  </si>
  <si>
    <t>CAR - Compra de papel para laminado por 100 u</t>
  </si>
  <si>
    <t>CAR - Compra de recibos  usd</t>
  </si>
  <si>
    <t>CAR - Compra farmacia</t>
  </si>
  <si>
    <t>CAR - Compra farmacia cliente</t>
  </si>
  <si>
    <t>CAR - Compra librería</t>
  </si>
  <si>
    <t>CAR - Compra materiales obra casa staff TC 39</t>
  </si>
  <si>
    <t>CAR - Compra papelería</t>
  </si>
  <si>
    <t>CAR - Compra tornillos empalizada</t>
  </si>
  <si>
    <t>CAR - deb cambio comi Ingreso Oficina</t>
  </si>
  <si>
    <t>CAR - deb comi bb</t>
  </si>
  <si>
    <t>CAR - deb comi ingreso de oficina</t>
  </si>
  <si>
    <t>CAR - deposito adelantado abril Carniveria del Centro</t>
  </si>
  <si>
    <t>CAR - deposito por adelantado abril Supermercado Los Balla</t>
  </si>
  <si>
    <t>TD001400000382</t>
  </si>
  <si>
    <t>Depósito a Banco 001400000382 Obs: 20-04-2026  Mov Lodge</t>
  </si>
  <si>
    <t>CAR - devolucion sueldo  marzo adelantado Santi Carrato</t>
  </si>
  <si>
    <t>000000000897</t>
  </si>
  <si>
    <t>CAR - Dietética Ramos generales</t>
  </si>
  <si>
    <t>CAR - emergencia medica semco abril</t>
  </si>
  <si>
    <t>CAR - gastos vehiculos arreglos Pablo Gadea</t>
  </si>
  <si>
    <t>CAR - Golf</t>
  </si>
  <si>
    <t>CAR - guantes latex caceria reembolso Long</t>
  </si>
  <si>
    <t>CAR - H1 reparaciones varias reembolso Long</t>
  </si>
  <si>
    <t>TD001400000383</t>
  </si>
  <si>
    <t>Depósito a Banco 001400000383 Obs: 20-04-2026  Mov Lodge</t>
  </si>
  <si>
    <t>000000000898</t>
  </si>
  <si>
    <t>CAR - iva y BPS Felipe Olivera</t>
  </si>
  <si>
    <t>CAR - iva y bps marzo Juan Long</t>
  </si>
  <si>
    <t>CAR - limpieza armas pago marzo Denzel Maidana</t>
  </si>
  <si>
    <t>CAR - maiz cebada abril Carmelo</t>
  </si>
  <si>
    <t>CAR - mantenimiento limpieza vans Denzel maidana</t>
  </si>
  <si>
    <t>CAR - Masaje</t>
  </si>
  <si>
    <t>CAR - materiales ferreteria varios reembolso Long</t>
  </si>
  <si>
    <t>CAR - Obra casa staff</t>
  </si>
  <si>
    <t>CAR - pago envio encomienda Long</t>
  </si>
  <si>
    <t>CAR - Pago primera quincena abril ton</t>
  </si>
  <si>
    <t>CAR - peajes marzo multicar alquiler camionetas celmu</t>
  </si>
  <si>
    <t>CAR - pelada de palomas todo marzo Franco Rigos</t>
  </si>
  <si>
    <t>CAR - pelada palomas marzo Felipe Olivera</t>
  </si>
  <si>
    <t>CAR - pelada palomas Victor Ramirez marzo</t>
  </si>
  <si>
    <t>CAR - PKF CONTADORES ABRIL</t>
  </si>
  <si>
    <t>CAR - quesos y lacteos marzo FINESA</t>
  </si>
  <si>
    <t>CAR - red iva ute</t>
  </si>
  <si>
    <t>CAR - Remeras para shop carmelo</t>
  </si>
  <si>
    <t>CAR - saldo honorarios marzo Mati Vila</t>
  </si>
  <si>
    <t>CAR - sp marzo felipe Olivera</t>
  </si>
  <si>
    <t>CAR - sp marzo juan long</t>
  </si>
  <si>
    <t>CAR - sueldo marzo  falta una parte Osvaldo Martinez</t>
  </si>
  <si>
    <t>CAR - sueldo marzo bruno vulpi</t>
  </si>
  <si>
    <t>CAR - sueldo marzo Carrato luego devuelve</t>
  </si>
  <si>
    <t>CAR - sueldo marzo Martin Barrios</t>
  </si>
  <si>
    <t>CAR - sueldo marzo Pablo Gadea</t>
  </si>
  <si>
    <t>CAR - sueldo marzo Paloma Marchetti</t>
  </si>
  <si>
    <t>CAR - sueldo marzo Stefany Suhr</t>
  </si>
  <si>
    <t>CAR - sueldo marzo Valeria Olmedo</t>
  </si>
  <si>
    <t>CAR - sueldo marzo Yuliana Gonzalez</t>
  </si>
  <si>
    <t>CAR - surtido para casa staff Reembolso Long</t>
  </si>
  <si>
    <t>CAR - telefonia antel carmelo</t>
  </si>
  <si>
    <t>CAR - Tips marzo Juan long</t>
  </si>
  <si>
    <t>CAR - Tips marzo Pablo gadea</t>
  </si>
  <si>
    <t>CAR - Traslados puerto lodge marzo Quique Vila</t>
  </si>
  <si>
    <t>CAR - ute casa staff provisoria cordano marzo</t>
  </si>
  <si>
    <t>CAR - Ute electricidad casa  Lodge marzo</t>
  </si>
  <si>
    <t>CAR - Ute electricidad casa staff bodega marzo</t>
  </si>
  <si>
    <t>CAR - verduleria marzo Carmelo</t>
  </si>
  <si>
    <t>VF000000007631B</t>
  </si>
  <si>
    <t>F B 000000007631</t>
  </si>
  <si>
    <t>Ref. nota de Venta: CADU36
Obs.:20-04-2026_CLIENTES</t>
  </si>
  <si>
    <t>000000001042</t>
  </si>
  <si>
    <t>VF000000007632B</t>
  </si>
  <si>
    <t>F B 000000007632</t>
  </si>
  <si>
    <t>000000001043</t>
  </si>
  <si>
    <t>VF000000007633B</t>
  </si>
  <si>
    <t>F B 000000007633</t>
  </si>
  <si>
    <t>Ref. nota de Venta: CADU60
Obs.:20-04-2026_CLIENTES</t>
  </si>
  <si>
    <t>000000001044</t>
  </si>
  <si>
    <t>VF000000007634B</t>
  </si>
  <si>
    <t>F B 000000007634</t>
  </si>
  <si>
    <t>000000001045</t>
  </si>
  <si>
    <t>VF000000007635B</t>
  </si>
  <si>
    <t>F B 000000007635</t>
  </si>
  <si>
    <t>000000001046</t>
  </si>
  <si>
    <t>VF000000007636B</t>
  </si>
  <si>
    <t>F B 000000007636</t>
  </si>
  <si>
    <t>000000001047</t>
  </si>
  <si>
    <t>VF000000007637B</t>
  </si>
  <si>
    <t>F B 000000007637</t>
  </si>
  <si>
    <t>Ref. nota de Venta: CADU9
Obs.:20-04-2026_CLIENTES</t>
  </si>
  <si>
    <t>000000001048</t>
  </si>
  <si>
    <t>VF000000007638B</t>
  </si>
  <si>
    <t>F B 000000007638</t>
  </si>
  <si>
    <t>000000001049</t>
  </si>
  <si>
    <t>VF000000007639B</t>
  </si>
  <si>
    <t>F B 000000007639</t>
  </si>
  <si>
    <t>000000001050</t>
  </si>
  <si>
    <t>VF000000007640B</t>
  </si>
  <si>
    <t>F B 000000007640</t>
  </si>
  <si>
    <t>000000001051</t>
  </si>
  <si>
    <t>VF000000007641B</t>
  </si>
  <si>
    <t>F B 000000007641</t>
  </si>
  <si>
    <t>000000001052</t>
  </si>
  <si>
    <t>VF000000007642B</t>
  </si>
  <si>
    <t>F B 000000007642</t>
  </si>
  <si>
    <t>000000001053</t>
  </si>
  <si>
    <t>VF000000007643B</t>
  </si>
  <si>
    <t>F B 000000007643</t>
  </si>
  <si>
    <t>Ref. nota de Venta: CAR36
Obs.:20-04-2026_CLIENTES</t>
  </si>
  <si>
    <t>000000001054</t>
  </si>
  <si>
    <t>VF000000007644B</t>
  </si>
  <si>
    <t>F B 000000007644</t>
  </si>
  <si>
    <t>000000001055</t>
  </si>
  <si>
    <t>VF000000007645B</t>
  </si>
  <si>
    <t>F B 000000007645</t>
  </si>
  <si>
    <t>000000001056</t>
  </si>
  <si>
    <t>VF000000007646B</t>
  </si>
  <si>
    <t>F B 000000007646</t>
  </si>
  <si>
    <t>000000001057</t>
  </si>
  <si>
    <t>24/04/2026</t>
  </si>
  <si>
    <t>TE001400000393</t>
  </si>
  <si>
    <t>Extracción de Caja 001400000393 Obs: Movimiento_Cajas_Bancos_Semana 25-26 al 24-04-2026</t>
  </si>
  <si>
    <t>SJ- ValleySS- PINOR SA - (180k Shells - Uruguay Lodges) Total Costo Cpra 99k - A Cta 15k DD y 15k BB</t>
  </si>
  <si>
    <t>000000000915</t>
  </si>
  <si>
    <t>SJ- ValleySW- La Cazadora Oriental Limitada - (Uruguay Operating Needs - Canon SJ La Zenaida)-</t>
  </si>
  <si>
    <t>TI001400000396</t>
  </si>
  <si>
    <t>Ingreso a Caja 001400000396 Obs: Movimiento_Cajas_Bancos_Semana 25-26 al 24-04-2026</t>
  </si>
  <si>
    <t>SJ22- 25/26- Felipe Allende - ValleySW- WIRE IN INTL GFT 202604170001202 ALLENDE DECOMBE FE LIPE ALB</t>
  </si>
  <si>
    <t>000000000940</t>
  </si>
  <si>
    <t>SJ22- 25/26- Francisco Allende -  ValleySW- WIRE IN GFT 202604170015219 INVERSIONES RODAS DE BAHIA L</t>
  </si>
  <si>
    <t>SJ22- 25/26- Luis Tagle - ValleySW- WIRE IN INTL GFT 202604140001289 EDWARDS RUIZ-TAGLE  LUIS GERMAN</t>
  </si>
  <si>
    <t>SJ22- 25/26- Patricio Allende - ValleySW- WIRE IN INTL GFT 202604170026923 INVERSIONES ALCO L IMITAD</t>
  </si>
  <si>
    <t>SJ6- 25/26- Benjamin Schulein -  Cobrado por Contrato DU 2024-25 - pasa a SJ6- 26/27</t>
  </si>
  <si>
    <t>SJ6- 26/27- Benjamin Schulein -  Cobrado por Contrato DU 2024-25 - Viene de SJ6 temp 25-26</t>
  </si>
  <si>
    <t>TE001400000394</t>
  </si>
  <si>
    <t>Extracción de Caja 001400000394 Obs: Movimiento_Cajas_Bancos_Semana 25-26 al 24-04-2026</t>
  </si>
  <si>
    <t>SJ-Envio pizarras tragos CBA - Oficina F.Fijo Oper. Al 24-04-2026</t>
  </si>
  <si>
    <t>000000000916</t>
  </si>
  <si>
    <t>UL -Envio pizarras tragos CBA - Oficina F.Fijo Oper. Al 24-04-2026</t>
  </si>
  <si>
    <t>CAR-5 cuchillos con vaina de cuero para shop - Cuchillos Criollos F.Fijo Oper. Al 24-04-2026</t>
  </si>
  <si>
    <t>CAR6- 26/27- Nathan Norris - ValleySW- WIRE IN GFT 202604130023238 NATHAN R NORRIS  HUNTING TRIP PAY</t>
  </si>
  <si>
    <t>CAR-Envio pizarras tragos CBA - Oficina F.Fijo Oper. Al 24-04-2026</t>
  </si>
  <si>
    <t>TA001400000392</t>
  </si>
  <si>
    <t>Canje de Valores 001400000392 Obs: UY-Cambio $ 200,000</t>
  </si>
  <si>
    <t>000000000895</t>
  </si>
  <si>
    <t>25/04/2026</t>
  </si>
  <si>
    <t>VR000000008376</t>
  </si>
  <si>
    <t>Recibo: 000000008376Cliente: MT028903 Obs: Cobranza</t>
  </si>
  <si>
    <t>000000001188</t>
  </si>
  <si>
    <t>VR000000009004</t>
  </si>
  <si>
    <t>Recibo: 000000009004Cliente: MT028903 Obs: Reversión de documento</t>
  </si>
  <si>
    <t>000000001227</t>
  </si>
  <si>
    <t>30/04/2026</t>
  </si>
  <si>
    <t>TH001400000404</t>
  </si>
  <si>
    <t>Extracción de Banco 001400000404 Obs: 30-04-2026  Mov Lodge</t>
  </si>
  <si>
    <t>SJ - acondicionamiento dormitorio manager y staff SJ</t>
  </si>
  <si>
    <t>000000000933</t>
  </si>
  <si>
    <t>SJ - adelanto bono aguinaldo Caro Horta</t>
  </si>
  <si>
    <t>SJ - almuerzos viajes Felipe Olivera reembolso SJ</t>
  </si>
  <si>
    <t>TH001400000405</t>
  </si>
  <si>
    <t>Extracción de Banco 001400000405 Obs: 30-04-2026  Mov Lodge</t>
  </si>
  <si>
    <t>SJ - alquiler casa guia en Flores primer mes</t>
  </si>
  <si>
    <t>000000000934</t>
  </si>
  <si>
    <t>SJ - amohadas staff SJ</t>
  </si>
  <si>
    <t>SJ - antel internet y comunicaciones</t>
  </si>
  <si>
    <t>SJ - arreglo camioneta Pablo segovia</t>
  </si>
  <si>
    <t>SJ - arrendamiento San Juan Lodge primera mitad</t>
  </si>
  <si>
    <t>SJ - bombachas guias  SJ</t>
  </si>
  <si>
    <t>SJ - botellas con logo para rooms SJ</t>
  </si>
  <si>
    <t>SJ - butacas para SJ</t>
  </si>
  <si>
    <t>SJ - caja chica Felipe Olivera par gastos varios comienzo temporada SJ</t>
  </si>
  <si>
    <t>SJ - comida viaje a BA</t>
  </si>
  <si>
    <t>SJ - comoda cuarto manager SJ</t>
  </si>
  <si>
    <t>SJ - compras Sofi comida sj</t>
  </si>
  <si>
    <t>SJ - cuidador de perros abrl SJ</t>
  </si>
  <si>
    <t>SJ - deb comi alquiler</t>
  </si>
  <si>
    <t>TD001400000406</t>
  </si>
  <si>
    <t>Depósito a Banco 001400000406 Obs: 30-04-2026  Mov Lodge</t>
  </si>
  <si>
    <t>SJ - deb comi tuppers</t>
  </si>
  <si>
    <t>000000000903</t>
  </si>
  <si>
    <t>SJ - deb comi zocalo</t>
  </si>
  <si>
    <t>SJ - deshollinador mantenimiento estufa lodge limpieza</t>
  </si>
  <si>
    <t>SJ - entrada campo San Juan reembolso felipe Olivera</t>
  </si>
  <si>
    <t>SJ - gorros regalos clientes SJ</t>
  </si>
  <si>
    <t>TD001400000407</t>
  </si>
  <si>
    <t>Depósito a Banco 001400000407 Obs: 30-04-2026  Mov Lodge</t>
  </si>
  <si>
    <t>000000000904</t>
  </si>
  <si>
    <t>SJ - mantenimiento electrica San Juan Lodge arreglos fuga electrica</t>
  </si>
  <si>
    <t>SJ - materiales parrillero SJ reembolso a Felipe Olivera</t>
  </si>
  <si>
    <t>SJ - panaderia sj</t>
  </si>
  <si>
    <t>SJ - parte de honorarios marzo Mati Vila Permisos Carmelo 5221</t>
  </si>
  <si>
    <t>SJ - pasaje Joanna Icat</t>
  </si>
  <si>
    <t>SJ - pasaje manager nueva SJ Effie Young</t>
  </si>
  <si>
    <t>SJ - peajes Nacho Mendez</t>
  </si>
  <si>
    <t>TE001400000397</t>
  </si>
  <si>
    <t>Extracción de Caja 001400000397 Obs: 30-04-2026  Mov Lodge</t>
  </si>
  <si>
    <t>SJ - permisos</t>
  </si>
  <si>
    <t>000000000917</t>
  </si>
  <si>
    <t>SJ - produccion de materiales a partir de cartuchos reutilizados</t>
  </si>
  <si>
    <t>SJ - productos limpieza Pablo segovia</t>
  </si>
  <si>
    <t>SJ - recarga viaje a montevideo nafta OROCH reembolso Felipe Olivera</t>
  </si>
  <si>
    <t>SJ - red iva</t>
  </si>
  <si>
    <t>SJ - reposiciones bombitas</t>
  </si>
  <si>
    <t>SJ - reposiciones electrica SJ</t>
  </si>
  <si>
    <t>SJ - reposiciones field varios reembolso Felipe OLivera SJ</t>
  </si>
  <si>
    <t>SJ - reposiciones vajilla ABC home vasos copas platos SJ</t>
  </si>
  <si>
    <t>SJ - reposiciones vasos labrados whisky SJ</t>
  </si>
  <si>
    <t>SJ - resto tuppers de vidrio viandas personal Sj</t>
  </si>
  <si>
    <t>SJ - secarropas industrial SJ</t>
  </si>
  <si>
    <t>SJ - secarropas nueva SJ deb comi</t>
  </si>
  <si>
    <t>SJ - servilletas SJ</t>
  </si>
  <si>
    <t>SJ - set de tuppers SJ</t>
  </si>
  <si>
    <t>SJ - surtido macro SJ</t>
  </si>
  <si>
    <t>SJ - surtido staff  Pablo Segovia</t>
  </si>
  <si>
    <t>SJ - Traspaso a pesos SJ</t>
  </si>
  <si>
    <t>SJ - Ute electricidad San Juan Lodge abril</t>
  </si>
  <si>
    <t>SJ - waders Sj</t>
  </si>
  <si>
    <t>SJ - zócalos Sj</t>
  </si>
  <si>
    <t>TE001400000414</t>
  </si>
  <si>
    <t>Extracción de Caja 001400000414 Obs: Movimiento_Cajas_Bancos_Semana 25-26 al 08-05-2026</t>
  </si>
  <si>
    <t>SJ- TriSW- AMEX - Abril 2026- PGP *SASPY EXPRESS  ASUNCION- TRASLADOS MI-PY - U$ 32.92 KA Lineas RIO</t>
  </si>
  <si>
    <t>000000000921</t>
  </si>
  <si>
    <t xml:space="preserve">SJ- TriSW- AMEX - Abril 2026- PGP *SASPY EXPRESS  ASUNCION- U$ 421.32 LCR 12020301 (Waders Loaners) </t>
  </si>
  <si>
    <t>TE001400000409</t>
  </si>
  <si>
    <t>Extracción de Caja 001400000409 Obs: Movimiento_Cajas_Bancos_Semana 25-26 al 01-05-2026</t>
  </si>
  <si>
    <t>SJ- ValleySW- La Cazadora Oriental Limitada - (Uruguay Operating Needs - April/May)-</t>
  </si>
  <si>
    <t>000000000918</t>
  </si>
  <si>
    <t>TE001400000416</t>
  </si>
  <si>
    <t>Extracción de Caja 001400000416 Obs: Movimiento_Cajas_Bancos_Semana 25-26 al 08-05-2026</t>
  </si>
  <si>
    <t>SJ-200 Welcome Letters - San Juan Lodge - Mascopies F.Fijo Oper. Al 08-05-2026</t>
  </si>
  <si>
    <t>000000000922</t>
  </si>
  <si>
    <t>TI001400000411</t>
  </si>
  <si>
    <t>Ingreso a Caja 001400000411 Obs: Movimiento_Cajas_Bancos_Semana 25-26 al 01-05-2026</t>
  </si>
  <si>
    <t>SJ22- 25/26- Cristian Cox - ValleySW- WIRE IN INTL GFT 202604210001323 CARLOS CRISTIAN CO X VIAL /RF</t>
  </si>
  <si>
    <t>000000000941</t>
  </si>
  <si>
    <t>SJ4- 26/27- Jim King - Nebraska - Check # 1313 - ValleySW-  19 Checks $ 86.456,00 -10-04-2026</t>
  </si>
  <si>
    <t>TI001400000419</t>
  </si>
  <si>
    <t>Ingreso a Caja 001400000419 Obs: Movimiento_Cajas_Bancos_Semana 25-26 al 08-05-2026</t>
  </si>
  <si>
    <t>SJ5- 26/27- Ole Lysholm Vandborg - ValleySW-  16 Checks $ 107.615,48 -20-04-2026</t>
  </si>
  <si>
    <t>000000000944</t>
  </si>
  <si>
    <t>SJ5 -26/27-David Higman -CMSW 04-2026- Pago por el sistema nuevo</t>
  </si>
  <si>
    <t>SJ5 -26/27-David Higman -CMSW 04-2026- Pago por el sistema nuevo-CC</t>
  </si>
  <si>
    <t>TE001400000410</t>
  </si>
  <si>
    <t>Extracción de Caja 001400000410 Obs: Movimiento_Cajas_Bancos_Semana 25-26 al 01-05-2026</t>
  </si>
  <si>
    <t>SJ-Anticipo 50% - 5 libros recetas TKG 2026 - Latin Grafica F.Fijo Oper. Al 01-05-2026</t>
  </si>
  <si>
    <t>000000000919</t>
  </si>
  <si>
    <t>SJ-Despacho por viacargo CTES-CABA Decoys - El Pombero Pagos Frank Garrahan-  Al 08-05-2026</t>
  </si>
  <si>
    <t>SJ-Pasajes Prana-Apertura San Juan Ops--MARIA CAPPIZZI-BUQUEBUS</t>
  </si>
  <si>
    <t>SJ-Pasajes Prana-Apertura San Juan Ops--MARINA GARCIA-BUQUEBUS</t>
  </si>
  <si>
    <t>SJ-Pasajes Prana-Servicios SJ--JONATHAN JOEL VILLALVA-COLONIA EXPRESS BUE-COL</t>
  </si>
  <si>
    <t>SJ-Pasajes Prana-Servicios SJ--SEBASTIAN SIEDLECKI-COLONIA EXPRESS BUE-COL</t>
  </si>
  <si>
    <t>SJ-Pasajes Prana-Supervision Cocina SJ--TORRES CHUA LUIS-COLONIA EXPRES</t>
  </si>
  <si>
    <t>SJ-Pasajes Prana-Supervision Cocina SJ--TORRES CHUA LUIS-COLONIA EXPRESS COL-BUE</t>
  </si>
  <si>
    <t>SJ-TriSW Fee CC 04-2026</t>
  </si>
  <si>
    <t>UL-Anticipo 50% - 5 libros recetas TKG 2026 - Latin Grafica F.Fijo Oper. Al 01-05-2026</t>
  </si>
  <si>
    <t>TH001400000402</t>
  </si>
  <si>
    <t>Extracción de Banco 001400000402 Obs: 30-04-2026  Mov Lodge</t>
  </si>
  <si>
    <t>000000000931</t>
  </si>
  <si>
    <t>TH001400000403</t>
  </si>
  <si>
    <t>Extracción de Banco 001400000403 Obs: 30-04-2026  Mov Lodge</t>
  </si>
  <si>
    <t>000000000932</t>
  </si>
  <si>
    <t>TD001400000399</t>
  </si>
  <si>
    <t>Depósito a Banco 001400000399 Obs: 30-04-2026  Mov Lodge</t>
  </si>
  <si>
    <t>UL-traspaso sj USD a $</t>
  </si>
  <si>
    <t>000000000902</t>
  </si>
  <si>
    <t>"CAR - Cargador universalColilla aluminio"</t>
  </si>
  <si>
    <t>"CAR - Pago envíos DAC bebidas shops MakersGrey goose"</t>
  </si>
  <si>
    <t>TI001400000417</t>
  </si>
  <si>
    <t>Ingreso a Caja 001400000417 Obs: Movimiento_Cajas_Bancos_Semana 25-26 al 08-05-2026</t>
  </si>
  <si>
    <t>CA.DU11-Cliff Mckeever-Extras 25-26-ID-42419 -EXtras 25/26- -CMSW 04-2026-</t>
  </si>
  <si>
    <t>000000000942</t>
  </si>
  <si>
    <t>CA.DU11-Cliff Mckeever-Extras 25-26-ID-42419 -EXtras 25/26- -CMSW 04-2026- -CC</t>
  </si>
  <si>
    <t>CA.DU17 -26/27-Cody Naquin -CMSW 04-2026- Paga $1910 vía MTP. Comparte con DEL16</t>
  </si>
  <si>
    <t>CA.DU17 -26/27-Cody Naquin -CMSW 04-2026- Paga $1910 vía MTP. Comparte con DEL16-CC</t>
  </si>
  <si>
    <t>CA.DU22 -26/27-Austin Boyette -CMSW 04-2026- Paga vía MTP</t>
  </si>
  <si>
    <t>CA.DU22 -26/27-Austin Boyette -CMSW 04-2026- Paga vía MTP-CC</t>
  </si>
  <si>
    <t>CA.DU23 -26/27-Mark Lagrone -CMSW 04-2026- Paga vía MTP</t>
  </si>
  <si>
    <t>CA.DU23 -26/27-Mark Lagrone -CMSW 04-2026- Paga vía MTP-CC</t>
  </si>
  <si>
    <t>CA.DU27 -26/27-Fred Bertsch -CMSW 04-2026- Paga vía MTP</t>
  </si>
  <si>
    <t>CA.DU27 -26/27-Fred Bertsch -CMSW 04-2026- Paga vía MTP-CC</t>
  </si>
  <si>
    <t>CA.DU28 -26/27-Daniel Hutto -CMSW 04-2026- Paga vía MTP</t>
  </si>
  <si>
    <t>CA.DU28 -26/27-Daniel Hutto -CMSW 04-2026- Paga vía MTP-CC</t>
  </si>
  <si>
    <t>CA.DU3- 26/27- Wild Card Ventures LLC - Cheque #1003 por $1400 - ValleySW-  19 Checks $ 86.456,00 -1</t>
  </si>
  <si>
    <t>CA.DU3 -26/27-James Gage Powell -CMSW 04-2026- Paga vía MTP (1 sesión de patos)</t>
  </si>
  <si>
    <t>CA.DU3 -26/27-James Gage Powell -CMSW 04-2026- Paga vía MTP (1 sesión de patos)-CC</t>
  </si>
  <si>
    <t>CA.DU31- 26/27- Stephen Dean Ruiz - Cheque #1046 por $2820 - ValleySW-  13 Checks $ 57.208,00 -30-04</t>
  </si>
  <si>
    <t>CA.DU40-Bryce Duncan-Extras 25-26-ID-42324 -EXtras 25/26- -CMSW 04-2026-</t>
  </si>
  <si>
    <t>CA.DU40-Bryce Duncan-Extras 25-26-ID-42324 -EXtras 25/26- -CMSW 04-2026- -CC</t>
  </si>
  <si>
    <t>CA.DU40-Daniel Branstad-Extras 25-26-ID-34430 -EXtras 25/26- -CMSW 04-2026-</t>
  </si>
  <si>
    <t>CA.DU40-Daniel Branstad-Extras 25-26-ID-34430 -EXtras 25/26- -CMSW 04-2026- -CC</t>
  </si>
  <si>
    <t>CA.DU40-Drew Anderson-Extras 25-26-ID-41119 -EXtras 25/26- -CMSW 04-2026-</t>
  </si>
  <si>
    <t>CA.DU40-Drew Anderson-Extras 25-26-ID-41119 -EXtras 25/26- -CMSW 04-2026- -CC</t>
  </si>
  <si>
    <t>CA.DU40-William Grinde-Extras 25-26-ID-34429 -EXtras 25/26- -CMSW 04-2026-</t>
  </si>
  <si>
    <t>CA.DU40-William Grinde-Extras 25-26-ID-34429 -EXtras 25/26- -CMSW 04-2026- -CC</t>
  </si>
  <si>
    <t>CA.DU55- 25/26- Chris Williams - # 8284 - ValleySW-  19 Checks $ 86.456,00 -10-04-2026</t>
  </si>
  <si>
    <t>CA.DU55- 25/26- Ken and Rachel # 1273 - ValleySW-  19 Checks $ 86.456,00 -10-04-2026</t>
  </si>
  <si>
    <t>CA.DU55- 25/26- Luke y Alison Shivers - # 8002 - ValleySW-  19 Checks $ 86.456,00 -10-04-2026</t>
  </si>
  <si>
    <t>CA.DU55- 25/26- Richard White  - ValleySW-  19 Checks $ 86.456,00 -10-04-2026</t>
  </si>
  <si>
    <t>CA.DU64- 25/26- Magaldi Christopher # 5095  Comparte con KA28 - ValleySW-  19 Checks $ 86.456,00 -10</t>
  </si>
  <si>
    <t>CADU 33-Christopher Johnson-Extras 25-26-ID-42814 -EXtras 25/26- -CMSW 04-2026-</t>
  </si>
  <si>
    <t>CADU 33-Christopher Johnson-Extras 25-26-ID-42814 -EXtras 25/26- -CMSW 04-2026- -CC</t>
  </si>
  <si>
    <t>CADU 33-Marcus De La Rosa-Extras 25-26-ID-42815 -EXtras 25/26- -CMSW 04-2026-</t>
  </si>
  <si>
    <t>CADU 33-Marcus De La Rosa-Extras 25-26-ID-42815 -EXtras 25/26- -CMSW 04-2026- -CC</t>
  </si>
  <si>
    <t>CADU26-Ed Duquaine-Extras 25-26-ID-40410 -EXtras 25/26- -CMSW 04-2026-</t>
  </si>
  <si>
    <t>CADU26-Ed Duquaine-Extras 25-26-ID-40410 -EXtras 25/26- -CMSW 04-2026- -CC</t>
  </si>
  <si>
    <t>CADU36-Michael Gignac-Extras 25-26-ID-43110 -EXtras 25/26- -CMSW 04-2026-</t>
  </si>
  <si>
    <t>CADU36-Michael Gignac-Extras 25-26-ID-43110 -EXtras 25/26- -CMSW 04-2026- -CC</t>
  </si>
  <si>
    <t>CADU41-Arcilio Antonio Castaigne-Extras 25-26-ID-31520 -EXtras 25/26- -CMSW 04-2026-</t>
  </si>
  <si>
    <t>CADU41-Arcilio Antonio Castaigne-Extras 25-26-ID-31520 -EXtras 25/26- -CMSW 04-2026- -CC</t>
  </si>
  <si>
    <t>CADU41-Audrey Castaigne-Extras 25-26-ID-42910 -EXtras 25/26- -CMSW 04-2026-</t>
  </si>
  <si>
    <t>CADU41-Audrey Castaigne-Extras 25-26-ID-42910 -EXtras 25/26- -CMSW 04-2026- -CC</t>
  </si>
  <si>
    <t>CADU41-Henry Castaigne-Extras 25-26-ID-31219 -EXtras 25/26- -CMSW 04-2026-</t>
  </si>
  <si>
    <t>CADU41-Henry Castaigne-Extras 25-26-ID-31219 -EXtras 25/26- -CMSW 04-2026- -CC</t>
  </si>
  <si>
    <t>CADU41-Stefan Stamoulis-Extras 25-26-ID-28903 -EXtras 25/26- -CMSW 04-2026-</t>
  </si>
  <si>
    <t>CADU41-Stefan Stamoulis-Extras 25-26-ID-28903 -EXtras 25/26- -CMSW 04-2026- -CC</t>
  </si>
  <si>
    <t>CADU60-Bruce Bray-Extras 25-26-ID-42155 -EXtras 25/26- -CMSW 04-2026-</t>
  </si>
  <si>
    <t>CADU60-Bruce Bray-Extras 25-26-ID-42155 -EXtras 25/26- -CMSW 04-2026- -CC</t>
  </si>
  <si>
    <t>CADU60-Jim Alderson-Extras 25-26-ID-42156 -EXtras 25/26- -CMSW 04-2026-</t>
  </si>
  <si>
    <t>CADU60-Jim Alderson-Extras 25-26-ID-42156 -EXtras 25/26- -CMSW 04-2026- -CC</t>
  </si>
  <si>
    <t>CADU60-Russ Straate-Extras 25-26-ID-42199 -EXtras 25/26- -CMSW 04-2026-</t>
  </si>
  <si>
    <t>CADU60-Russ Straate-Extras 25-26-ID-42199 -EXtras 25/26- -CMSW 04-2026- -CC</t>
  </si>
  <si>
    <t>CADU60-Thomas Plein-Extras 25-26-ID-42157 -EXtras 25/26- -CMSW 04-2026-</t>
  </si>
  <si>
    <t>CADU60-Thomas Plein-Extras 25-26-ID-42157 -EXtras 25/26- -CMSW 04-2026- -CC</t>
  </si>
  <si>
    <t>CADU9- Michalel Bagley Extras 25-26 - ID 42893 -EXtras 25/26- -CMSW 04-2026-</t>
  </si>
  <si>
    <t>CADU9- Michalel Bagley Extras 25-26 - ID 42893 -EXtras 25/26- -CMSW 04-2026- -CC</t>
  </si>
  <si>
    <t>CADU9--Extras 25-26 - Brian Blossfield ID-42890 y Lucas Blossfield-ID-42891  -EXtras 25/26- -CMSW 04</t>
  </si>
  <si>
    <t>CADU9-James Blossfield-Extras 25-26-ID-42892 -EXtras 25/26- -CMSW 04-2026-</t>
  </si>
  <si>
    <t>CADU9-James Blossfield-Extras 25-26-ID-42892 -EXtras 25/26- -CMSW 04-2026- -CC</t>
  </si>
  <si>
    <t>CADU9-Richie Montee-Extras 25-26-ID-42889 -EXtras 25/26- -CMSW 04-2026-</t>
  </si>
  <si>
    <t>CADU9-Richie Montee-Extras 25-26-ID-42889 -EXtras 25/26- -CMSW 04-2026- -CC</t>
  </si>
  <si>
    <t>CADU9-William Montee-Extras 25-26-ID-39368 -EXtras 25/26- -CMSW 04-2026-</t>
  </si>
  <si>
    <t>CADU9-William Montee-Extras 25-26-ID-39368 -EXtras 25/26- -CMSW 04-2026- -CC</t>
  </si>
  <si>
    <t>CAR - Angostura bitters</t>
  </si>
  <si>
    <t>TH001400000401</t>
  </si>
  <si>
    <t>Extracción de Banco 001400000401 Obs: 30-04-2026  Mov Lodge</t>
  </si>
  <si>
    <t>CAR - bb abril 1 agustin bosarich</t>
  </si>
  <si>
    <t>000000000930</t>
  </si>
  <si>
    <t>CAR - bb abril 1 Brando Ponce</t>
  </si>
  <si>
    <t>CAR - bb abril 1 brandon maidana</t>
  </si>
  <si>
    <t>CAR - bb abril 1 edgardo martinez</t>
  </si>
  <si>
    <t>CAR - bb abril 1 franco rigos</t>
  </si>
  <si>
    <t>CAR - bb abril 1 Julian Rodriguez</t>
  </si>
  <si>
    <t>CAR - bb abril 1 maicol silva</t>
  </si>
  <si>
    <t>CAR - bb abril 1 ruben callero</t>
  </si>
  <si>
    <t>CAR - bb abril 1 victor ramirez</t>
  </si>
  <si>
    <t>CAR - Bolsa para hielo + palangana</t>
  </si>
  <si>
    <t>CAR - Compra agro insumos</t>
  </si>
  <si>
    <t>CAR - Compra bidones agua</t>
  </si>
  <si>
    <t>CAR - Compra cerradura puerta galería y compra producto para arreglo fire pit</t>
  </si>
  <si>
    <t>CAR - Compra fotocelulas para luces habitaciones clientes</t>
  </si>
  <si>
    <t>CAR - Compra grey goose y makers por sebastian</t>
  </si>
  <si>
    <t>CAR - Compra hielo x25 bolsas</t>
  </si>
  <si>
    <t>CAR - Compra luces solares cálidas y fibras tiza x6</t>
  </si>
  <si>
    <t>CAR - Compra materiales la llave obra casa staff</t>
  </si>
  <si>
    <t>CAR - Compra piedra fire pit, aguarras y mecha</t>
  </si>
  <si>
    <t>CAR - Compra piedras fire pit</t>
  </si>
  <si>
    <t>CAR - Compra puerta aluminio obra casa staff</t>
  </si>
  <si>
    <t>CAR - Compra reposiciones para cocina (bandejas, etc)</t>
  </si>
  <si>
    <t>TH001400000400</t>
  </si>
  <si>
    <t>Extracción de Banco 001400000400 Obs: 30-04-2026  Mov Lodge</t>
  </si>
  <si>
    <t>000000000929</t>
  </si>
  <si>
    <t>CAR - dias trabajados abril prueba guia Nilson Villalba</t>
  </si>
  <si>
    <t>CAR - dias trabajados abril Wilmar Hellbusch</t>
  </si>
  <si>
    <t>CAR - Encendedor para habano clientes, tender casa staff, guata para mesa planchado</t>
  </si>
  <si>
    <t>CAR - Entrega de dinero para María Capizzi para  viaticos destino San Juan lodge</t>
  </si>
  <si>
    <t>CAR - mantenimiento y limpieza d camionetas</t>
  </si>
  <si>
    <t>CAR - Pago compra huevos y miel</t>
  </si>
  <si>
    <t>CAR - Pago envío remeras shop</t>
  </si>
  <si>
    <t>CAR - Pago mano de obra obra casa staff walter</t>
  </si>
  <si>
    <t>CAR - Pago masaje x1</t>
  </si>
  <si>
    <t>CAR - palomas peladas victor ramirez donaciones</t>
  </si>
  <si>
    <t>CAR - Pastilla cloro</t>
  </si>
  <si>
    <t>CAR - pelada palomas primera quincena Franco Rigos</t>
  </si>
  <si>
    <t>CAR - permisos abril Mati Vila</t>
  </si>
  <si>
    <t>CAR - Realización de funda para mesa de planchado en galpón verde</t>
  </si>
  <si>
    <t>CAR - Recolección de escombros y basura</t>
  </si>
  <si>
    <t>CAR - Reparación uniforme (x3 camisas) a costurera</t>
  </si>
  <si>
    <t>CAR - segunda cebada abril Patos maiz</t>
  </si>
  <si>
    <t>CAR - Termo para café blanco</t>
  </si>
  <si>
    <t>TD001400000398</t>
  </si>
  <si>
    <t>Depósito a Banco 001400000398 Obs: 30-04-2026  Mov Lodge</t>
  </si>
  <si>
    <t>000000000901</t>
  </si>
  <si>
    <t>CAR - Traspaso a pesos</t>
  </si>
  <si>
    <t>CAR - X2 masajes</t>
  </si>
  <si>
    <t>CAR- ValleyFF- CARMELO LODGE SAS - (Carmelo Operating Needs - April/May)-</t>
  </si>
  <si>
    <t>CAR15 -25/26-Wade Fox -CMSW 04-2026- Pavo via MTP</t>
  </si>
  <si>
    <t>CAR15 -25/26-Wade Fox -CMSW 04-2026- Pavo via MTP-CC</t>
  </si>
  <si>
    <t>CAR15-Clinton Fox-Extras 25-26-ID-41338 -EXtras 25/26- -CMSW 04-2026-</t>
  </si>
  <si>
    <t>CAR15-Clinton Fox-Extras 25-26-ID-41338 -EXtras 25/26- -CMSW 04-2026- -CC</t>
  </si>
  <si>
    <t>CAR15-George Cowden-Extras 25-26-ID-21265 -EXtras 25/26- -CMSW 04-2026-</t>
  </si>
  <si>
    <t>CAR15-George Cowden-Extras 25-26-ID-21265 -EXtras 25/26- -CMSW 04-2026- -CC</t>
  </si>
  <si>
    <t>CAR15-Glenn Payne-Extras 25-26-ID-41337 -EXtras 25/26- -CMSW 04-2026-</t>
  </si>
  <si>
    <t>CAR15-Glenn Payne-Extras 25-26-ID-41337 -EXtras 25/26- -CMSW 04-2026- -CC</t>
  </si>
  <si>
    <t>CAR15-Kim Moore-Extras 25-26-ID-41335 -EXtras 25/26- -CMSW 04-2026-</t>
  </si>
  <si>
    <t>CAR15-Kim Moore-Extras 25-26-ID-41335 -EXtras 25/26- -CMSW 04-2026- -CC</t>
  </si>
  <si>
    <t>CAR15-Silas Ragsdale-Extras 25-26-ID-21257 -EXtras 25/26- -CMSW 04-2026-</t>
  </si>
  <si>
    <t>CAR15-Silas Ragsdale-Extras 25-26-ID-21257 -EXtras 25/26- -CMSW 04-2026- -CC</t>
  </si>
  <si>
    <t>CAR15-Tabor Brooks-Extras 25-26-ID-41332 -EXtras 25/26- -CMSW 04-2026-</t>
  </si>
  <si>
    <t>CAR15-Tabor Brooks-Extras 25-26-ID-41332 -EXtras 25/26- -CMSW 04-2026- -CC</t>
  </si>
  <si>
    <t>CAR2 -26/27-Andrew P. Schwartz -CMSW 04-2026- Paga $1723,28 vía MTP. Comparte con DEL13</t>
  </si>
  <si>
    <t>CAR2 -26/27-Andrew P. Schwartz -CMSW 04-2026- Paga $1723,28 vía MTP. Comparte con DEL13-CC</t>
  </si>
  <si>
    <t>CAR2 -26/27-Anthony Kirchner -CMSW 04-2026- Paga $3330 vía MTP. Comparte con DEL13</t>
  </si>
  <si>
    <t>CAR2 -26/27-Anthony Kirchner -CMSW 04-2026- Paga $3330 vía MTP. Comparte con DEL13-CC</t>
  </si>
  <si>
    <t>CAR20 -25/26-Theo Rumble -CMSW 04-2026- Pago via MTP</t>
  </si>
  <si>
    <t>CAR20 -25/26-Theo Rumble -CMSW 04-2026- Pago via MTP-CC</t>
  </si>
  <si>
    <t>CAR36-Emmanuel Rebaldo-Extras 25-26-ID-42897 -EXtras 25/26- -CMSW 04-2026-</t>
  </si>
  <si>
    <t>CAR36-Emmanuel Rebaldo-Extras 25-26-ID-42897 -EXtras 25/26- -CMSW 04-2026- -CC</t>
  </si>
  <si>
    <t>CAR36-Gabe Carvallo-Extras 25-26-ID-42896 -EXtras 25/26- -CMSW 04-2026-</t>
  </si>
  <si>
    <t>CAR36-Gabe Carvallo-Extras 25-26-ID-42896 -EXtras 25/26- -CMSW 04-2026- -CC</t>
  </si>
  <si>
    <t>CAR36-Jansen Carnley-Extras 25-26-ID-42894 -EXtras 25/26- -CMSW 04-2026-</t>
  </si>
  <si>
    <t>CAR36-Jansen Carnley-Extras 25-26-ID-42894 -EXtras 25/26- -CMSW 04-2026- -CC</t>
  </si>
  <si>
    <t>CAR36-Ricardo Salas-Extras 25-26-ID-42895 -EXtras 25/26- -CMSW 04-2026-</t>
  </si>
  <si>
    <t>CAR36-Ricardo Salas-Extras 25-26-ID-42895 -EXtras 25/26- -CMSW 04-2026- -CC</t>
  </si>
  <si>
    <t>CAR5 -26/27-Liz McGuire -CMSW 04-2026- Paga vía MTP</t>
  </si>
  <si>
    <t>CAR5 -26/27-Liz McGuire -CMSW 04-2026- Paga vía MTP-CC</t>
  </si>
  <si>
    <t>CAR-6 chalecos Uniformes Carmelo Lodge Pagos Frank Garrahan-  Al 08-05-2026</t>
  </si>
  <si>
    <t>CAR7- 26/27- Daniel Hartman - ValleySW-  8 Checks $ 24.125,50 -23-04-2026</t>
  </si>
  <si>
    <t>CAR8- 26/27- Greg Harmston - #8101 - ValleySW-  13 Checks $ 57.208,00 -30-04-2026</t>
  </si>
  <si>
    <t>CAR8- 26/27- thomas Casey - ValleySW-  8 Checks $ 24.125,50 -23-04-2026</t>
  </si>
  <si>
    <t>CAR-Anticipo 50% - 5 libros recetas TKG 2026 - Latin Grafica F.Fijo Oper. Al 01-05-2026</t>
  </si>
  <si>
    <t>CAR-Compra Boya Tanque Antisarro + 1 Kg Sal Polifosfato Premiun Anmat - Blanco F.Fijo Oper. Al 01-05</t>
  </si>
  <si>
    <t>CAR-Pasajes Prana-Supervision Cocina CAR--IGLESIA/LUCAS EZEQUIEL-AEREO AEP-COR</t>
  </si>
  <si>
    <t>CAR-TriSW Fee CC 04-2026</t>
  </si>
  <si>
    <t>VF000000008185B</t>
  </si>
  <si>
    <t>F B 000000008185</t>
  </si>
  <si>
    <t>Ref. nota de Venta: CADU26
Obs.:30-04-2026_CLIENTES</t>
  </si>
  <si>
    <t>000000001058</t>
  </si>
  <si>
    <t>VF000000008186B</t>
  </si>
  <si>
    <t>F B 000000008186</t>
  </si>
  <si>
    <t>000000001059</t>
  </si>
  <si>
    <t>VF000000008187B</t>
  </si>
  <si>
    <t>F B 000000008187</t>
  </si>
  <si>
    <t>000000001060</t>
  </si>
  <si>
    <t>VF000000008188B</t>
  </si>
  <si>
    <t>F B 000000008188</t>
  </si>
  <si>
    <t>000000001061</t>
  </si>
  <si>
    <t>VF000000008189B</t>
  </si>
  <si>
    <t>F B 000000008189</t>
  </si>
  <si>
    <t>Ref. nota de Venta: CADU41
Obs.:30-04-2026_CLIENTES</t>
  </si>
  <si>
    <t>000000001062</t>
  </si>
  <si>
    <t>VF000000008190B</t>
  </si>
  <si>
    <t>F B 000000008190</t>
  </si>
  <si>
    <t>000000001063</t>
  </si>
  <si>
    <t>VF000000008191B</t>
  </si>
  <si>
    <t>F B 000000008191</t>
  </si>
  <si>
    <t>000000001064</t>
  </si>
  <si>
    <t>VF000000008192B</t>
  </si>
  <si>
    <t>F B 000000008192</t>
  </si>
  <si>
    <t>000000001065</t>
  </si>
  <si>
    <t>VF000000008193B</t>
  </si>
  <si>
    <t>F B 000000008193</t>
  </si>
  <si>
    <t>000000001066</t>
  </si>
  <si>
    <t>VF000000008194B</t>
  </si>
  <si>
    <t>F B 000000008194</t>
  </si>
  <si>
    <t>Ref. nota de Venta: CADU60
Obs.:30-04-2026_CLIENTES</t>
  </si>
  <si>
    <t>000000001067</t>
  </si>
  <si>
    <t>VF000000008195B</t>
  </si>
  <si>
    <t>F B 000000008195</t>
  </si>
  <si>
    <t>000000001068</t>
  </si>
  <si>
    <t>VF000000008196B</t>
  </si>
  <si>
    <t>F B 000000008196</t>
  </si>
  <si>
    <t>Ref. nota de Venta: CAR15
Obs.:30-04-2026_CLIENTES</t>
  </si>
  <si>
    <t>000000001069</t>
  </si>
  <si>
    <t>VF000000008197B</t>
  </si>
  <si>
    <t>F B 000000008197</t>
  </si>
  <si>
    <t>000000001070</t>
  </si>
  <si>
    <t>VF000000008198B</t>
  </si>
  <si>
    <t>F B 000000008198</t>
  </si>
  <si>
    <t>000000001071</t>
  </si>
  <si>
    <t>VF000000008199B</t>
  </si>
  <si>
    <t>F B 000000008199</t>
  </si>
  <si>
    <t>000000001072</t>
  </si>
  <si>
    <t>VF000000008200B</t>
  </si>
  <si>
    <t>F B 000000008200</t>
  </si>
  <si>
    <t>000000001073</t>
  </si>
  <si>
    <t>VF000000008201B</t>
  </si>
  <si>
    <t>F B 000000008201</t>
  </si>
  <si>
    <t>000000001074</t>
  </si>
  <si>
    <t>VF000000008202B</t>
  </si>
  <si>
    <t>F B 000000008202</t>
  </si>
  <si>
    <t>000000001075</t>
  </si>
  <si>
    <t>7103</t>
  </si>
  <si>
    <t>Otros Ingresos</t>
  </si>
  <si>
    <t>VF000000008203B</t>
  </si>
  <si>
    <t>F B 000000008203</t>
  </si>
  <si>
    <t>000000001076</t>
  </si>
  <si>
    <t>VF000000008204B</t>
  </si>
  <si>
    <t>F B 000000008204</t>
  </si>
  <si>
    <t>000000001077</t>
  </si>
  <si>
    <t>VC000000008464B</t>
  </si>
  <si>
    <t>C B 000000008464</t>
  </si>
  <si>
    <t>000000000970</t>
  </si>
  <si>
    <t>VC000000008465B</t>
  </si>
  <si>
    <t>C B 000000008465</t>
  </si>
  <si>
    <t>000000000971</t>
  </si>
  <si>
    <t>VC000000008466B</t>
  </si>
  <si>
    <t>C B 000000008466</t>
  </si>
  <si>
    <t>000000000972</t>
  </si>
  <si>
    <t>VC000000008467B</t>
  </si>
  <si>
    <t>C B 000000008467</t>
  </si>
  <si>
    <t>000000000973</t>
  </si>
  <si>
    <t>VC000000008468B</t>
  </si>
  <si>
    <t>C B 000000008468</t>
  </si>
  <si>
    <t>000000000974</t>
  </si>
  <si>
    <t>VC000000008469B</t>
  </si>
  <si>
    <t>C B 000000008469</t>
  </si>
  <si>
    <t>000000000975</t>
  </si>
  <si>
    <t>VC000000008470B</t>
  </si>
  <si>
    <t>C B 000000008470</t>
  </si>
  <si>
    <t>000000000976</t>
  </si>
  <si>
    <t>VC000000008471B</t>
  </si>
  <si>
    <t>C B 000000008471</t>
  </si>
  <si>
    <t>000000000977</t>
  </si>
  <si>
    <t>VC000000008472B</t>
  </si>
  <si>
    <t>C B 000000008472</t>
  </si>
  <si>
    <t>000000000978</t>
  </si>
  <si>
    <t>VC000000008473B</t>
  </si>
  <si>
    <t>C B 000000008473</t>
  </si>
  <si>
    <t>000000000979</t>
  </si>
  <si>
    <t>VC000000008474B</t>
  </si>
  <si>
    <t>C B 000000008474</t>
  </si>
  <si>
    <t>000000000980</t>
  </si>
  <si>
    <t>VC000000008475B</t>
  </si>
  <si>
    <t>C B 000000008475</t>
  </si>
  <si>
    <t>000000000981</t>
  </si>
  <si>
    <t>VC000000008476B</t>
  </si>
  <si>
    <t>C B 000000008476</t>
  </si>
  <si>
    <t>000000000982</t>
  </si>
  <si>
    <t>VC000000008477B</t>
  </si>
  <si>
    <t>C B 000000008477</t>
  </si>
  <si>
    <t>000000000983</t>
  </si>
  <si>
    <t>VC000000008478B</t>
  </si>
  <si>
    <t>C B 000000008478</t>
  </si>
  <si>
    <t>000000000984</t>
  </si>
  <si>
    <t>VC000000008479B</t>
  </si>
  <si>
    <t>C B 000000008479</t>
  </si>
  <si>
    <t>000000000985</t>
  </si>
  <si>
    <t>VC000000008480B</t>
  </si>
  <si>
    <t>C B 000000008480</t>
  </si>
  <si>
    <t>000000000986</t>
  </si>
  <si>
    <t>VC000000008481B</t>
  </si>
  <si>
    <t>C B 000000008481</t>
  </si>
  <si>
    <t>000000000987</t>
  </si>
  <si>
    <t>VC000000008482B</t>
  </si>
  <si>
    <t>C B 000000008482</t>
  </si>
  <si>
    <t>000000000988</t>
  </si>
  <si>
    <t>VC000000008483B</t>
  </si>
  <si>
    <t>C B 000000008483</t>
  </si>
  <si>
    <t>000000000989</t>
  </si>
  <si>
    <t>VC000000008484B</t>
  </si>
  <si>
    <t>C B 000000008484</t>
  </si>
  <si>
    <t>000000000990</t>
  </si>
  <si>
    <t>VC000000008485B</t>
  </si>
  <si>
    <t>C B 000000008485</t>
  </si>
  <si>
    <t>000000000991</t>
  </si>
  <si>
    <t>VC000000008486B</t>
  </si>
  <si>
    <t>C B 000000008486</t>
  </si>
  <si>
    <t>000000000992</t>
  </si>
  <si>
    <t>VC000000008487B</t>
  </si>
  <si>
    <t>C B 000000008487</t>
  </si>
  <si>
    <t>000000000993</t>
  </si>
  <si>
    <t>VC000000008488B</t>
  </si>
  <si>
    <t>C B 000000008488</t>
  </si>
  <si>
    <t>000000000994</t>
  </si>
  <si>
    <t>VC000000008489B</t>
  </si>
  <si>
    <t>C B 000000008489</t>
  </si>
  <si>
    <t>000000000995</t>
  </si>
  <si>
    <t>VC000000008490B</t>
  </si>
  <si>
    <t>C B 000000008490</t>
  </si>
  <si>
    <t>000000000996</t>
  </si>
  <si>
    <t>VC000000008491B</t>
  </si>
  <si>
    <t>C B 000000008491</t>
  </si>
  <si>
    <t>000000000997</t>
  </si>
  <si>
    <t>VC000000008492B</t>
  </si>
  <si>
    <t>C B 000000008492</t>
  </si>
  <si>
    <t>000000000998</t>
  </si>
  <si>
    <t>VR000000008205</t>
  </si>
  <si>
    <t>Recibo: 000000008205Cliente: MT040410 Obs: 30-04-2026_COBRANZAS_CLIENTES</t>
  </si>
  <si>
    <t>000000001172</t>
  </si>
  <si>
    <t>VR000000008206</t>
  </si>
  <si>
    <t>Recibo: 000000008206Cliente: MT040413 Obs: 30-04-2026_COBRANZAS_CLIENTES</t>
  </si>
  <si>
    <t>000000001173</t>
  </si>
  <si>
    <t>VR000000008207</t>
  </si>
  <si>
    <t>Recibo: 000000008207Cliente: MT040313 Obs: 30-04-2026_COBRANZAS_CLIENTES</t>
  </si>
  <si>
    <t>000000001174</t>
  </si>
  <si>
    <t>VR000000008208</t>
  </si>
  <si>
    <t>Recibo: 000000008208Cliente: MT040412 Obs: 30-04-2026_COBRANZAS_CLIENTES</t>
  </si>
  <si>
    <t>000000001175</t>
  </si>
  <si>
    <t>VR000000008209</t>
  </si>
  <si>
    <t>Recibo: 000000008209Cliente: MT031219 Obs: 30-04-2026_COBRANZAS_CLIENTES</t>
  </si>
  <si>
    <t>000000001176</t>
  </si>
  <si>
    <t>VR000000008210</t>
  </si>
  <si>
    <t>Recibo: 000000008210Cliente: MT042910 Obs: 30-04-2026_COBRANZAS_CLIENTES</t>
  </si>
  <si>
    <t>000000001177</t>
  </si>
  <si>
    <t>VR000000008211</t>
  </si>
  <si>
    <t>Recibo: 000000008211Cliente: MT031520 Obs: 30-04-2026_COBRANZAS_CLIENTES</t>
  </si>
  <si>
    <t>000000001178</t>
  </si>
  <si>
    <t>VR000000008212</t>
  </si>
  <si>
    <t>Recibo: 000000008212Cliente: MT042909 Obs: 30-04-2026_COBRANZAS_CLIENTES</t>
  </si>
  <si>
    <t>000000001179</t>
  </si>
  <si>
    <t>VR000000008213</t>
  </si>
  <si>
    <t>Recibo: 000000008213Cliente: MT041333 Obs: 30-04-2026_COBRANZAS_CLIENTES</t>
  </si>
  <si>
    <t>000000001180</t>
  </si>
  <si>
    <t>VR000000008214</t>
  </si>
  <si>
    <t>Recibo: 000000008214Cliente: MT021257 Obs: 30-04-2026_COBRANZAS_CLIENTES</t>
  </si>
  <si>
    <t>000000001181</t>
  </si>
  <si>
    <t>VR000000008215</t>
  </si>
  <si>
    <t>Recibo: 000000008215Cliente: MT041335 Obs: 30-04-2026_COBRANZAS_CLIENTES</t>
  </si>
  <si>
    <t>000000001182</t>
  </si>
  <si>
    <t>VR000000008216</t>
  </si>
  <si>
    <t>Recibo: 000000008216Cliente: MT041337 Obs: 30-04-2026_COBRANZAS_CLIENTES</t>
  </si>
  <si>
    <t>000000001183</t>
  </si>
  <si>
    <t>VR000000008217</t>
  </si>
  <si>
    <t>Recibo: 000000008217Cliente: MT041338 Obs: 30-04-2026_COBRANZAS_CLIENTES</t>
  </si>
  <si>
    <t>000000001184</t>
  </si>
  <si>
    <t>VR000000008218</t>
  </si>
  <si>
    <t>Recibo: 000000008218Cliente: MT041336 Obs: 30-04-2026_COBRANZAS_CLIENTES</t>
  </si>
  <si>
    <t>000000001185</t>
  </si>
  <si>
    <t>VR000000008219</t>
  </si>
  <si>
    <t>Recibo: 000000008219Cliente: MT041331 Obs: 30-04-2026_COBRANZAS_CLIENTES</t>
  </si>
  <si>
    <t>000000001186</t>
  </si>
  <si>
    <t>VR000000008220</t>
  </si>
  <si>
    <t>Recibo: 000000008220Cliente: MT021265 Obs: 30-04-2026_COBRANZAS_CLIENTES</t>
  </si>
  <si>
    <t>000000001187</t>
  </si>
  <si>
    <t>VR000000008796</t>
  </si>
  <si>
    <t>Recibo: 000000008796Cliente: MT042324 Obs: CA.DU40-Bryce Duncan-Extras 25-26-ID-42324 -EXtras 25/26- -CMSW 04-2026-</t>
  </si>
  <si>
    <t>000000001189</t>
  </si>
  <si>
    <t>VR000000008797</t>
  </si>
  <si>
    <t>Recibo: 000000008797Cliente: MT034430 Obs: CA.DU40-Daniel Branstad-Extras 25-26-ID-34430 -EXtras 25/26- -CMSW 04-2026-</t>
  </si>
  <si>
    <t>000000001190</t>
  </si>
  <si>
    <t>VR000000008798</t>
  </si>
  <si>
    <t>Recibo: 000000008798Cliente: MT041119 Obs: CA.DU40-Drew Anderson-Extras 25-26-ID-41119 -EXtras 25/26- -CMSW 04-2026-</t>
  </si>
  <si>
    <t>000000001191</t>
  </si>
  <si>
    <t>VR000000008799</t>
  </si>
  <si>
    <t>Recibo: 000000008799Cliente: MT034429 Obs: CA.DU40-William Grinde-Extras 25-26-ID-34429 -EXtras 25/26- -CMSW 04-2026-</t>
  </si>
  <si>
    <t>000000001192</t>
  </si>
  <si>
    <t>VR000000008800</t>
  </si>
  <si>
    <t>Recibo: 000000008800Cliente: MT042814 Obs: CADU 33-Christopher Johnson-Extras 25-26-ID-42814 -EXtras 25/26- -CMSW 04-2026-</t>
  </si>
  <si>
    <t>000000001193</t>
  </si>
  <si>
    <t>VR000000008801</t>
  </si>
  <si>
    <t>Recibo: 000000008801Cliente: MT042815 Obs: CADU 33-Marcus De La Rosa-Extras 25-26-ID-42815 -EXtras 25/26- -CMSW 04-2026-</t>
  </si>
  <si>
    <t>000000001194</t>
  </si>
  <si>
    <t>VR000000008802</t>
  </si>
  <si>
    <t>Recibo: 000000008802Cliente: MT040410 Obs: CADU26-Ed Duquaine-Extras 25-26-ID-40410 -EXtras 25/26- -CMSW 04-2026-</t>
  </si>
  <si>
    <t>000000001195</t>
  </si>
  <si>
    <t>VR000000008803</t>
  </si>
  <si>
    <t>Recibo: 000000008803Cliente: MT043110 Obs: CADU36-Michael Gignac-Extras 25-26-ID-43110 -EXtras 25/26- -CMSW 04-2026-</t>
  </si>
  <si>
    <t>000000001196</t>
  </si>
  <si>
    <t>VR000000008804</t>
  </si>
  <si>
    <t>Recibo: 000000008804Cliente: MT031520 Obs: CADU41-Arcilio Antonio Castaigne-Extras 25-26-ID-31520 -EXtras 25/26- -CMSW 04-2026-</t>
  </si>
  <si>
    <t>000000001197</t>
  </si>
  <si>
    <t>VR000000008805</t>
  </si>
  <si>
    <t>Recibo: 000000008805Cliente: MT042910 Obs: CADU41-Audrey Castaigne-Extras 25-26-ID-42910 -EXtras 25/26- -CMSW 04-2026-</t>
  </si>
  <si>
    <t>000000001198</t>
  </si>
  <si>
    <t>VR000000008806</t>
  </si>
  <si>
    <t>Recibo: 000000008806Cliente: MT031219 Obs: CADU41-Henry Castaigne-Extras 25-26-ID-31219 -EXtras 25/26- -CMSW 04-2026-</t>
  </si>
  <si>
    <t>000000001199</t>
  </si>
  <si>
    <t>VR000000008807</t>
  </si>
  <si>
    <t>Recibo: 000000008807Cliente: MT028903 Obs: CADU41-Stefan Stamoulis-Extras 25-26-ID-28903 -EXtras 25/26- -CMSW 04-2026-</t>
  </si>
  <si>
    <t>000000001200</t>
  </si>
  <si>
    <t>VR000000008808</t>
  </si>
  <si>
    <t>Recibo: 000000008808Cliente: MT042155 Obs: CADU60-Bruce Bray-Extras 25-26-ID-42155 -EXtras 25/26- -CMSW 04-2026-</t>
  </si>
  <si>
    <t>000000001201</t>
  </si>
  <si>
    <t>VR000000008809</t>
  </si>
  <si>
    <t>Recibo: 000000008809Cliente: MT042156 Obs: CADU60-Jim Alderson-Extras 25-26-ID-42156 -EXtras 25/26- -CMSW 04-2026-</t>
  </si>
  <si>
    <t>000000001202</t>
  </si>
  <si>
    <t>VR000000008810</t>
  </si>
  <si>
    <t>Recibo: 000000008810Cliente: MT042199 Obs: CADU60-Russ Straate-Extras 25-26-ID-42199 -EXtras 25/26- -CMSW 04-2026-</t>
  </si>
  <si>
    <t>000000001203</t>
  </si>
  <si>
    <t>VR000000008811</t>
  </si>
  <si>
    <t>Recibo: 000000008811Cliente: MT042157 Obs: CADU60-Thomas Plein-Extras 25-26-ID-42157 -EXtras 25/26- -CMSW 04-2026-</t>
  </si>
  <si>
    <t>000000001204</t>
  </si>
  <si>
    <t>VR000000008812</t>
  </si>
  <si>
    <t>Recibo: 000000008812Cliente: MT042893 Obs: CADU9- Michalel Bagley Extras 25-26 - ID 42893 -EXtras 25/26- -CMSW 04-2026-</t>
  </si>
  <si>
    <t>000000001205</t>
  </si>
  <si>
    <t>VR000000008813</t>
  </si>
  <si>
    <t>Recibo: 000000008813Cliente: MT042890 Obs: CADU9--Extras 25-26 - Brian Blossfield ID-42890 y Lucas Blossfield-ID-42891  -EXtras 25/26- -CMSW 04</t>
  </si>
  <si>
    <t>000000001206</t>
  </si>
  <si>
    <t>VR000000008814</t>
  </si>
  <si>
    <t>Recibo: 000000008814Cliente: MT042892 Obs: CADU9-James Blossfield-Extras 25-26-ID-42892 -EXtras 25/26- -CMSW 04-2026-</t>
  </si>
  <si>
    <t>000000001207</t>
  </si>
  <si>
    <t>VR000000008815</t>
  </si>
  <si>
    <t>Recibo: 000000008815Cliente: MT042889 Obs: CADU9-Richie Montee-Extras 25-26-ID-42889 -EXtras 25/26- -CMSW 04-2026-</t>
  </si>
  <si>
    <t>000000001208</t>
  </si>
  <si>
    <t>VR000000008816</t>
  </si>
  <si>
    <t>Recibo: 000000008816Cliente: MT039368 Obs: CADU9-William Montee-Extras 25-26-ID-39368 -EXtras 25/26- -CMSW 04-2026-</t>
  </si>
  <si>
    <t>000000001209</t>
  </si>
  <si>
    <t>VR000000008817</t>
  </si>
  <si>
    <t>Recibo: 000000008817Cliente: MT041338 Obs: CAR15-Clinton Fox-Extras 25-26-ID-41338 -EXtras 25/26- -CMSW 04-2026-</t>
  </si>
  <si>
    <t>000000001210</t>
  </si>
  <si>
    <t>VR000000008818</t>
  </si>
  <si>
    <t>Recibo: 000000008818Cliente: MT021265 Obs: CAR15-George Cowden-Extras 25-26-ID-21265 -EXtras 25/26- -CMSW 04-2026-</t>
  </si>
  <si>
    <t>000000001211</t>
  </si>
  <si>
    <t>VR000000008819</t>
  </si>
  <si>
    <t>Recibo: 000000008819Cliente: MT041337 Obs: CAR15-Glenn Payne-Extras 25-26-ID-41337 -EXtras 25/26- -CMSW 04-2026-</t>
  </si>
  <si>
    <t>000000001212</t>
  </si>
  <si>
    <t>VR000000008820</t>
  </si>
  <si>
    <t>Recibo: 000000008820Cliente: MT041335 Obs: CAR15-Kim Moore-Extras 25-26-ID-41335 -EXtras 25/26- -CMSW 04-2026-</t>
  </si>
  <si>
    <t>000000001213</t>
  </si>
  <si>
    <t>VR000000008821</t>
  </si>
  <si>
    <t>Recibo: 000000008821Cliente: MT021257 Obs: CAR15-Silas Ragsdale-Extras 25-26-ID-21257 -EXtras 25/26- -CMSW 04-2026-</t>
  </si>
  <si>
    <t>000000001214</t>
  </si>
  <si>
    <t>VR000000008822</t>
  </si>
  <si>
    <t>Recibo: 000000008822Cliente: MT041332 Obs: CAR15-Tabor Brooks-Extras 25-26-ID-41332 -EXtras 25/26- -CMSW 04-2026-</t>
  </si>
  <si>
    <t>000000001215</t>
  </si>
  <si>
    <t>VR000000008823</t>
  </si>
  <si>
    <t>Recibo: 000000008823Cliente: MT042897 Obs: CAR36-Emmanuel Rebaldo-Extras 25-26-ID-42897 -EXtras 25/26- -CMSW 04-2026-</t>
  </si>
  <si>
    <t>000000001216</t>
  </si>
  <si>
    <t>VR000000008824</t>
  </si>
  <si>
    <t>Recibo: 000000008824Cliente: MT042896 Obs: CAR36-Gabe Carvallo-Extras 25-26-ID-42896 -EXtras 25/26- -CMSW 04-2026-</t>
  </si>
  <si>
    <t>000000001217</t>
  </si>
  <si>
    <t>VR000000008825</t>
  </si>
  <si>
    <t>Recibo: 000000008825Cliente: MT042894 Obs: CAR36-Jansen Carnley-Extras 25-26-ID-42894 -EXtras 25/26- -CMSW 04-2026-</t>
  </si>
  <si>
    <t>000000001218</t>
  </si>
  <si>
    <t>VR000000008826</t>
  </si>
  <si>
    <t>Recibo: 000000008826Cliente: MT042895 Obs: CAR36-Ricardo Salas-Extras 25-26-ID-42895 -EXtras 25/26- -CMSW 04-2026-</t>
  </si>
  <si>
    <t>000000001219</t>
  </si>
  <si>
    <t>VR000000008977</t>
  </si>
  <si>
    <t>Recibo: 000000008977Cliente: MT042419 Obs: CA.DU11-Cliff Mckeever-Extras 25-26-ID-42419 -EXtras 25/26- -CMSW 04-2026-</t>
  </si>
  <si>
    <t>000000001220</t>
  </si>
  <si>
    <t>VR000000008978</t>
  </si>
  <si>
    <t>Recibo: 000000008978Cliente: MT042420 Obs: CA.DU11-Cliff Mckeever-Extras 25-26-ID-42419 -EXtras 25/26- -CMSW 04-2026-</t>
  </si>
  <si>
    <t>000000001221</t>
  </si>
  <si>
    <t>VR000000008979</t>
  </si>
  <si>
    <t>Recibo: 000000008979Cliente: MT042421 Obs: CA.DU11-Cliff Mckeever-Extras 25-26-ID-42419 -EXtras 25/26- -CMSW 04-2026-</t>
  </si>
  <si>
    <t>000000001222</t>
  </si>
  <si>
    <t>VR000000008980</t>
  </si>
  <si>
    <t>Recibo: 000000008980Cliente: MT039680 Obs: CA.DU11-Cliff Mckeever-Extras 25-26-ID-42419 -EXtras 25/26- -CMSW 04-2026-</t>
  </si>
  <si>
    <t>000000001223</t>
  </si>
  <si>
    <t>VR000000008981</t>
  </si>
  <si>
    <t>Recibo: 000000008981Cliente: MT042891 Obs: CADU9--Extras 25-26 - Brian Blossfield ID-42890 y Lucas Blossfield-ID-42891  -EXtras 25/26- -CMSW 04</t>
  </si>
  <si>
    <t>000000001224</t>
  </si>
  <si>
    <t>VR000000008983</t>
  </si>
  <si>
    <t>Recibo: 000000008983Cliente: MT042890 Obs: CADU9--Extras 25-26 - Brian Blossfield ID-42890 y Lucas Blossfield-ID-42891  -EXtras 25/26- -CMSW 04</t>
  </si>
  <si>
    <t>000000001225</t>
  </si>
  <si>
    <t>UY- Maintenance Fees CC Monthly Fee 04/2026</t>
  </si>
  <si>
    <t>UL5288</t>
  </si>
  <si>
    <t>Seth Holmes</t>
  </si>
  <si>
    <t>CAR4</t>
  </si>
  <si>
    <t>Charlie Hall</t>
  </si>
  <si>
    <t>CAR37</t>
  </si>
  <si>
    <t>Aaron Mckeever</t>
  </si>
  <si>
    <t>CA.DU11</t>
  </si>
  <si>
    <t>William Grinde</t>
  </si>
  <si>
    <t>CA.DU40</t>
  </si>
  <si>
    <t>Greyson Mills</t>
  </si>
  <si>
    <t>CADU 33</t>
  </si>
  <si>
    <t>Mark Gibbs</t>
  </si>
  <si>
    <t>CADU36</t>
  </si>
  <si>
    <t>William Montee</t>
  </si>
  <si>
    <t>CADU9</t>
  </si>
  <si>
    <t>Jansen Carnley</t>
  </si>
  <si>
    <t>CAR36</t>
  </si>
  <si>
    <t>Bruce Bray</t>
  </si>
  <si>
    <t>CADU60</t>
  </si>
  <si>
    <t>Mike Nowack</t>
  </si>
  <si>
    <t>CADU26</t>
  </si>
  <si>
    <t>Stefan Stamoulis</t>
  </si>
  <si>
    <t>CADU41</t>
  </si>
  <si>
    <t>Silas Ragsdale</t>
  </si>
  <si>
    <t>CAR15</t>
  </si>
  <si>
    <t>Banco Itau - USD</t>
  </si>
  <si>
    <t>alquiler camionetas Multicar abril</t>
  </si>
  <si>
    <t>peajes camionetas multicar carmelo</t>
  </si>
  <si>
    <t>Banco Itau - UY</t>
  </si>
  <si>
    <t>Ute electricidad lodge sj luego reembolsa dueño</t>
  </si>
  <si>
    <t>camisas guias SJ</t>
  </si>
  <si>
    <t>saldo buzos polars SJ</t>
  </si>
  <si>
    <t>permisos sma completa meche</t>
  </si>
  <si>
    <t>sueldo abril casero Matias Martinez</t>
  </si>
  <si>
    <t>sueldo abril Maria Rossano</t>
  </si>
  <si>
    <t>sueldo abril Yoanna Icatt</t>
  </si>
  <si>
    <t>completa sueldo abril Mauro Hernandez</t>
  </si>
  <si>
    <t>sueldo abril Carrato</t>
  </si>
  <si>
    <t>sueldo abril Mauro Hernandez</t>
  </si>
  <si>
    <t>sueldo abril Osvaldo Martinez</t>
  </si>
  <si>
    <t>sueldo abril Pablo Segovia</t>
  </si>
  <si>
    <t>sueldo abril sale finalmente Mauro Hernandez</t>
  </si>
  <si>
    <t>sueldo abril SJ Felipe Olivera</t>
  </si>
  <si>
    <t>sueldo abril sj Martin Barrios</t>
  </si>
  <si>
    <t>sueldo abril Thiago Etchegaray</t>
  </si>
  <si>
    <t>sp Sofi Barran abril   falta completar</t>
  </si>
  <si>
    <t>sueldo abril Caro Horta</t>
  </si>
  <si>
    <t>bps Felipe Olivera</t>
  </si>
  <si>
    <t>bps caro horta</t>
  </si>
  <si>
    <t>ute electricidad abril</t>
  </si>
  <si>
    <t>combustible abril Alero Azul SJ</t>
  </si>
  <si>
    <t>nafta abril Caro HOrta</t>
  </si>
  <si>
    <t>nafta reembolso Sofi</t>
  </si>
  <si>
    <t>almacen estefan abril</t>
  </si>
  <si>
    <t>bebidas y refrigerios abril reletra</t>
  </si>
  <si>
    <t>comida ida sofi SJ</t>
  </si>
  <si>
    <t>comidas y almuerzos viajes reembolso pablo segovia</t>
  </si>
  <si>
    <t>compra capsulas de cafe luego se devuelve por cancelacoin compra</t>
  </si>
  <si>
    <t>compra quesos y comida meche cocina</t>
  </si>
  <si>
    <t>compras varias cocina comida</t>
  </si>
  <si>
    <t>dispensadores de agua mensual Manuel Peschera</t>
  </si>
  <si>
    <t>oferta pacj 18 capsulas cafe</t>
  </si>
  <si>
    <t>tahini cocina</t>
  </si>
  <si>
    <t>deb com</t>
  </si>
  <si>
    <t>prolimpio abril SJ</t>
  </si>
  <si>
    <t>Barraca staudinger compars varias arreglo paredes Lodge</t>
  </si>
  <si>
    <t>china market varios cocina y bolsas papel reembolso meche</t>
  </si>
  <si>
    <t>comida y cuidado compra gato para control plagas</t>
  </si>
  <si>
    <t>compra gato y demas para control plagas lodge</t>
  </si>
  <si>
    <t>compras varias ferreteria  arreglos lodge reembolso Pedro duarte</t>
  </si>
  <si>
    <t>control plagas lodge</t>
  </si>
  <si>
    <t>utensillos varios cocina sacacorcho abrelatas pinzas etc</t>
  </si>
  <si>
    <t>estacas para caceria Sj reembolso Felipe</t>
  </si>
  <si>
    <t>encomiendas envio vajilla a sj reembolso caro horta</t>
  </si>
  <si>
    <t>peajes Nacho Mendez</t>
  </si>
  <si>
    <t>articulos parrilla pinzas etc para parrilero SJ</t>
  </si>
  <si>
    <t>sillas SJ</t>
  </si>
  <si>
    <t>sueldo abril paloma marchetti</t>
  </si>
  <si>
    <t>sueldo abril stefany suhr</t>
  </si>
  <si>
    <t>sueldo abril Valeria Olmedo</t>
  </si>
  <si>
    <t>sueldo abril yuliana gonzalez</t>
  </si>
  <si>
    <t>bb abril 2 Brandon maidana</t>
  </si>
  <si>
    <t>ldo dias abril Carmelo Martin Barrios</t>
  </si>
  <si>
    <t>sp abril Juan Long</t>
  </si>
  <si>
    <t>sueldo abril Bruno Vulpi</t>
  </si>
  <si>
    <t>sueldo abril Marcelo suarez</t>
  </si>
  <si>
    <t>sueldo abril menos prestamos Pablo gadea</t>
  </si>
  <si>
    <t>sueldo abril santi carrato</t>
  </si>
  <si>
    <t>iva y bps abril juan long</t>
  </si>
  <si>
    <t>combustible abril Servicios Carmelo</t>
  </si>
  <si>
    <t>abril gourmeat</t>
  </si>
  <si>
    <t>abril verduleria Carmelo</t>
  </si>
  <si>
    <t>bebidas y refrigerios abril Belater</t>
  </si>
  <si>
    <t>quesos y lacteos abril FINESA</t>
  </si>
  <si>
    <t>mantenimiento jardines combustible</t>
  </si>
  <si>
    <t>sensor quemado master</t>
  </si>
  <si>
    <t>clase de ingles Felipe Olivera- capacitacion</t>
  </si>
  <si>
    <t>alquiler camionetas abril Multicar</t>
  </si>
  <si>
    <t>alquiler camoneta abril Nacho mendez</t>
  </si>
  <si>
    <t>sueldo abril Pedro Duarte</t>
  </si>
  <si>
    <t>honorarios SP abril Tatiana Ribas</t>
  </si>
  <si>
    <t>sueldo abril Effie Young</t>
  </si>
  <si>
    <t>conexion agua local dispensadores</t>
  </si>
  <si>
    <t>compras cocina varios utensillos Sofi</t>
  </si>
  <si>
    <t>laundry bags SJ</t>
  </si>
  <si>
    <t>saldo de service horno MORA</t>
  </si>
  <si>
    <t>peajes multicar camionetas SJ</t>
  </si>
  <si>
    <t>a favor reparacion armas feb y marzo Daniel Fresno</t>
  </si>
  <si>
    <t>completa pago reparaciones feb y marzo Daniel Fresno</t>
  </si>
  <si>
    <t>den comi</t>
  </si>
  <si>
    <t>campo abril Alcira cornu</t>
  </si>
  <si>
    <t>campos abril Salvagno</t>
  </si>
  <si>
    <t>reembolos varios campos abril Juan Long</t>
  </si>
  <si>
    <t>Honorarios abril Mati Vila</t>
  </si>
  <si>
    <t>adelanto abril Pablo gadea</t>
  </si>
  <si>
    <t>bb abril 2 Agustin bosarich</t>
  </si>
  <si>
    <t>bb abril 2 Brando Ponce</t>
  </si>
  <si>
    <t>bb abril 2 edgardo martinez</t>
  </si>
  <si>
    <t>bb abril 2 Franco Rigos</t>
  </si>
  <si>
    <t>bb abril 2 julian rodriguez</t>
  </si>
  <si>
    <t>bb abril 2 Mico silva</t>
  </si>
  <si>
    <t>bb abril 2 Nicolas schneider</t>
  </si>
  <si>
    <t>bb abril 2 Nicolas siritto</t>
  </si>
  <si>
    <t>bb abril 2 ruben callero</t>
  </si>
  <si>
    <t>bb abril 2 simon glattli</t>
  </si>
  <si>
    <t>bb abril 2 victor ramirez</t>
  </si>
  <si>
    <t>sueldo abril Carmelo Felipe Olivera</t>
  </si>
  <si>
    <t>iva y bps abril felipe olivera</t>
  </si>
  <si>
    <t>platos sue asado</t>
  </si>
  <si>
    <t>lavado y mantenimiento Denzel Maidana</t>
  </si>
  <si>
    <t>pelada de palomas franco rigos</t>
  </si>
  <si>
    <t>pelada de palomas victor ramirez</t>
  </si>
  <si>
    <t>Cash - UY</t>
  </si>
  <si>
    <t>borradores marcadores pizzarra organizacion caceria  caja felipe olivera</t>
  </si>
  <si>
    <t>carga gasoil camioneta Multicar caja felipe olivera</t>
  </si>
  <si>
    <t>almuerzo 3 personas caja felipe olivera</t>
  </si>
  <si>
    <t>cuero para asientos caceria caja felipe olivera</t>
  </si>
  <si>
    <t>pistola riego metalica  caja felipe Olivera</t>
  </si>
  <si>
    <t>fichas lavado camionetas caja felipe Olivera</t>
  </si>
  <si>
    <t>catracas, cinta para cinchar piola  caja felipe Olivera</t>
  </si>
  <si>
    <t>reparaciones blinds caja felipe Olivera</t>
  </si>
  <si>
    <t>pasaje trinidad montevideo - caja felipe Olivera</t>
  </si>
  <si>
    <t>pasaje trinidad montevideo Martin caja felipe Olivera</t>
  </si>
  <si>
    <t>Seña camperas guias Carmelo</t>
  </si>
  <si>
    <t xml:space="preserve"> combustible Pablo Gadea</t>
  </si>
  <si>
    <t>deshollinador SJ</t>
  </si>
  <si>
    <t>faroles camino entrada SJ</t>
  </si>
  <si>
    <t>camisas guias S</t>
  </si>
  <si>
    <t>seña polars sj</t>
  </si>
  <si>
    <t>articulos varios electrica mantenim lodge reembolso felipe olivera</t>
  </si>
  <si>
    <t>reparacion freezer Lodge reembolso felipe olivera</t>
  </si>
  <si>
    <t>arreglo asientos caceria tapicero SJ</t>
  </si>
  <si>
    <t>reposiciones fields arreglos blinds y mesitas caceria reembolso felipe olivera</t>
  </si>
  <si>
    <t>encomienda envio extensibles patos reembolso Felipe Olivera</t>
  </si>
  <si>
    <t>bastones magneticos para  juntar cartuchos del suelo SJ</t>
  </si>
  <si>
    <t>calzado casero nuevo SJ</t>
  </si>
  <si>
    <t>calzado chef SJ</t>
  </si>
  <si>
    <t>camperas SJ</t>
  </si>
  <si>
    <t>permisos MAYO a favor Mati Vila SJ</t>
  </si>
  <si>
    <t>glusosa para helados SJ</t>
  </si>
  <si>
    <t>surtido Lodge y staff</t>
  </si>
  <si>
    <t>botellas field</t>
  </si>
  <si>
    <t>ferreteria, clavos tornillos pegamento arreglos varios lodge</t>
  </si>
  <si>
    <t>grapadora SJ</t>
  </si>
  <si>
    <t>decoys reembolso a Bernardo Barran</t>
  </si>
  <si>
    <t>bebidas Bar SJ</t>
  </si>
  <si>
    <t>botas  goma guiasSJ</t>
  </si>
  <si>
    <t>completa pedido repo  bombachas guias y casero SJ</t>
  </si>
  <si>
    <t>uniforme manager SJ ry mucamas eembolso Mercedes</t>
  </si>
  <si>
    <t>ida a buscar  camioneta nueva multicar reembolso felipe olivera</t>
  </si>
  <si>
    <t>recarga ida SJ Comienzo temporada llevar equipo managers y demas</t>
  </si>
  <si>
    <t>reembolso combustible marzo y abril Bernardo Barran</t>
  </si>
  <si>
    <t>bebidas comienzo temporada SJ</t>
  </si>
  <si>
    <t>Compras Macro completa surtido pedido chef reembolso Sofi</t>
  </si>
  <si>
    <t>pedido carnes y chocolate reposteria reembolso Mercedes</t>
  </si>
  <si>
    <t>botellas field reembolso Sofi Barran</t>
  </si>
  <si>
    <t>flete traslado muebles SJ Felipe OLivera</t>
  </si>
  <si>
    <t>jabones y gel ducha amenities SJ</t>
  </si>
  <si>
    <t>lavadero SJ</t>
  </si>
  <si>
    <t>pintura cuartos, escoba y pala papel lijas mantenim lodge reembolso Mercedes</t>
  </si>
  <si>
    <t>plantas lodge vivero reembolso Mercedes</t>
  </si>
  <si>
    <t>repo vajilla, vasos, fundas sillones, portavelas,cuencos SJ reembolso Mercedes</t>
  </si>
  <si>
    <t>extensibles para caceria patos reembolso Felipe Olivera</t>
  </si>
  <si>
    <t>pesas para señuelos patos reembolso Felipe Olivera</t>
  </si>
  <si>
    <t>tela para caceria patos reembolso felipe olivera</t>
  </si>
  <si>
    <t>leña SJ</t>
  </si>
  <si>
    <t>encofrado y clavos para parrillero reembolso felipe olivera</t>
  </si>
  <si>
    <t>materiales para obra parrillero reebolso felipe Olivera</t>
  </si>
  <si>
    <t>REVERSAR EN MAYO 2026
(MOV ABRIL APP CARGADOS EN MAYO)</t>
  </si>
  <si>
    <t>SJ5288</t>
  </si>
  <si>
    <t>8101 Transferencias entre Lodges</t>
  </si>
  <si>
    <t>GASTOS CARMELO PAGADOS POR SJ</t>
  </si>
  <si>
    <t>TEMPORARIOS EN MAYO APP</t>
  </si>
  <si>
    <t>Pre Season, bating.</t>
  </si>
  <si>
    <t>Pre Season, armado del lodge</t>
  </si>
  <si>
    <t>Canon Lodge</t>
  </si>
  <si>
    <t>Muebles y Utles</t>
  </si>
  <si>
    <t>Muebles y Utiles</t>
  </si>
  <si>
    <t>ESTO ES MONITOREO PATOS.  VAMOS A TENER QUE AJUSTAR GASTOS VARIOS. AL NO ABRIR URU LODGE RECAE EN SJ. EL TOTAL DEL MONITOREO PATOS ESTABA BUDGETEADO POR CARO HORTA EN 13200 PERO LLEVAMOS PAGADOS 13900. DE ESTE TOTAL QUEDARÁN 3500 EN CARMELO Y EL RESTO EN SJ. EN ABRIL ENTRO LA COMPRA DE CAPS DE REGALO, QUEDAMOS MUY JUSTOS. DEBERIAMOS AJUSTAR 1K EL BUDGET</t>
  </si>
  <si>
    <t>Real Pasados. Queda la compra de dos polars para cocineros.</t>
  </si>
  <si>
    <t>Combutible pre season, y 3,5K combustible temporada 2025. Con Sofi armamos los nros estar ok conlos 33K</t>
  </si>
  <si>
    <t xml:space="preserve">Compra de Vinos, comida apertura, bebidas blancas. </t>
  </si>
  <si>
    <t>REAL PASADOS. YA NO HAY MAS COMPRAS DE UNIFORMES</t>
  </si>
  <si>
    <t>REAL PASADOS.</t>
  </si>
  <si>
    <t>MUY JUSTOS</t>
  </si>
  <si>
    <t>5247 Combustibles y Lub. - Generador Electricidad</t>
  </si>
  <si>
    <t>5292 Permisos Control Ambiental/Patos</t>
  </si>
  <si>
    <t>5252 Mantenimiento y reposiciones - Lodge</t>
  </si>
  <si>
    <t>5254 Mantenimiento y reposiciones - Equipos/Armas</t>
  </si>
  <si>
    <t>VOLCAR EN MAYO
Son Permisos para clientes de Mayo, no lo pondria en el analisis, o lo dejaría como credito</t>
  </si>
  <si>
    <t>Esto se imputa a Remuneraciones Guías</t>
  </si>
  <si>
    <t>5208 Alquileres y Canon</t>
  </si>
  <si>
    <t>01/05/2026</t>
  </si>
  <si>
    <t>TA001400000408</t>
  </si>
  <si>
    <t>Asiento de CAJA (01/09/2025 - 310526)</t>
  </si>
  <si>
    <t>Canje de Valores 001400000408 Obs: UY-Cambio $ 500,000</t>
  </si>
  <si>
    <t>000000001228</t>
  </si>
  <si>
    <t>08/05/2026</t>
  </si>
  <si>
    <t>TA001400000412</t>
  </si>
  <si>
    <t>Canje de Valores 001400000412 Obs: UY-Cambio $ 500,000</t>
  </si>
  <si>
    <t>000000001229</t>
  </si>
  <si>
    <t>15/05/2026</t>
  </si>
  <si>
    <t>TA001400000434</t>
  </si>
  <si>
    <t>Canje de Valores 001400000434 Obs: UY-Cambio $ 300,000</t>
  </si>
  <si>
    <t>000000001230</t>
  </si>
  <si>
    <t>22/05/2026</t>
  </si>
  <si>
    <t>TA001400000440</t>
  </si>
  <si>
    <t>Canje de Valores 001400000440 Obs: UY-Cambio $ 200,000</t>
  </si>
  <si>
    <t>000000001231</t>
  </si>
  <si>
    <t>18/05/2026</t>
  </si>
  <si>
    <t>TD001400000424</t>
  </si>
  <si>
    <t>Depósito a Banco 001400000424 Obs: 30-04-2026  Mov Lodge</t>
  </si>
  <si>
    <t>000000001232</t>
  </si>
  <si>
    <t>TD001400000425</t>
  </si>
  <si>
    <t>Depósito a Banco 001400000425 Obs: 18-05-2026  Mov Lodge</t>
  </si>
  <si>
    <t>000000001233</t>
  </si>
  <si>
    <t>CAR - TRaspaso de USD SJ</t>
  </si>
  <si>
    <t>CAR - prestamo de SJ USD</t>
  </si>
  <si>
    <t>TD001400000426</t>
  </si>
  <si>
    <t>Depósito a Banco 001400000426 Obs: 18-05-2026  Mov Lodge</t>
  </si>
  <si>
    <t>000000001234</t>
  </si>
  <si>
    <t>SJ - devolucion prestamo a Carmelo USD</t>
  </si>
  <si>
    <t>TD001400000427</t>
  </si>
  <si>
    <t>Depósito a Banco 001400000427 Obs: 18-05-2026  Mov Lodge</t>
  </si>
  <si>
    <t>000000001235</t>
  </si>
  <si>
    <t>SJ - rebota sueldo Mauro Hernandez</t>
  </si>
  <si>
    <t>SJ - rediva shop</t>
  </si>
  <si>
    <t>SJ - Traspaso $</t>
  </si>
  <si>
    <t>SJ - red iva compras veterinaria por compra gato iva</t>
  </si>
  <si>
    <t>SJ - rebota pago botas de goma Barraca S</t>
  </si>
  <si>
    <t>SJ - reembolso compra cancelada capsulas de cafe</t>
  </si>
  <si>
    <t>SJ - red iva compras 5250</t>
  </si>
  <si>
    <t>SJ - red iva compras</t>
  </si>
  <si>
    <t>TD001400000432</t>
  </si>
  <si>
    <t>Depósito a Banco 001400000432 Obs: 18-05-2026  Mov Lodge</t>
  </si>
  <si>
    <t>000000001236</t>
  </si>
  <si>
    <t>31/05/2026</t>
  </si>
  <si>
    <t>TD001400000447</t>
  </si>
  <si>
    <t>Depósito a Banco 001400000447 Obs: 31-05-2026  Mov Lodge</t>
  </si>
  <si>
    <t>000000001237</t>
  </si>
  <si>
    <t>TD001400000448</t>
  </si>
  <si>
    <t>Depósito a Banco 001400000448 Obs: 31-05-2026  Mov Lodge</t>
  </si>
  <si>
    <t>000000001238</t>
  </si>
  <si>
    <t>TD001400000449</t>
  </si>
  <si>
    <t>Depósito a Banco 001400000449 Obs: 31-05-2026  Mov Lodge</t>
  </si>
  <si>
    <t>000000001239</t>
  </si>
  <si>
    <t>SJ - Trasapso de Carmelo USD para pago BPS de carmelo</t>
  </si>
  <si>
    <t>TD001400000450</t>
  </si>
  <si>
    <t>Depósito a Banco 001400000450 Obs: 31-05-2026  Mov Lodge</t>
  </si>
  <si>
    <t>000000001240</t>
  </si>
  <si>
    <t>SJ - TRaspaso a $ SJ</t>
  </si>
  <si>
    <t>SJ - red iva por comida ida juicio carmelo 5250 carmelo</t>
  </si>
  <si>
    <t>SJ - red iva por compra mercado libre detallar gasto</t>
  </si>
  <si>
    <t>SJ - red iva por compra mercado libre repo</t>
  </si>
  <si>
    <t>SJ - TRaspaso a SJ $</t>
  </si>
  <si>
    <t>TD001400000456</t>
  </si>
  <si>
    <t>Depósito a Banco 001400000456 Obs: 31-05-2026  Mov Lodge</t>
  </si>
  <si>
    <t>000000001241</t>
  </si>
  <si>
    <t>TD001400000468</t>
  </si>
  <si>
    <t>Depósito a Banco 001400000468 Obs: SJ - TRaspaso</t>
  </si>
  <si>
    <t>000000001242</t>
  </si>
  <si>
    <t>TD001400000469</t>
  </si>
  <si>
    <t>Depósito a Banco 001400000469 Obs: TRaspaso a $</t>
  </si>
  <si>
    <t>000000001243</t>
  </si>
  <si>
    <t>TD001400000470</t>
  </si>
  <si>
    <t>Depósito a Banco 001400000470 Obs: TRaspaso de $ a USD UL</t>
  </si>
  <si>
    <t>TRaspaso de $ a USD UL</t>
  </si>
  <si>
    <t>000000001244</t>
  </si>
  <si>
    <t>TE001400000415</t>
  </si>
  <si>
    <t>Extracción de Caja 001400000415 Obs: Movimiento_Cajas_Bancos_Semana 25-26 al 08-05-2026</t>
  </si>
  <si>
    <t>SJ-Adelanto de sueldo Sebastian Siedlecki F.Fijo Oper. Al 08-05-2026</t>
  </si>
  <si>
    <t>000000001245</t>
  </si>
  <si>
    <t>TE001400000423</t>
  </si>
  <si>
    <t>Extracción de Caja 001400000423 Obs: 18-05-2026  Mov Lodge</t>
  </si>
  <si>
    <t>SJ - cuero para asientos caceria caja felipe olivera</t>
  </si>
  <si>
    <t>000000001246</t>
  </si>
  <si>
    <t>CAR - Compra pintura para reparaciones lodge</t>
  </si>
  <si>
    <t>CAR - Compra soporte para rollos de cocina</t>
  </si>
  <si>
    <t>CAR - Pago de envío por recepción de shoulder pads para shop.</t>
  </si>
  <si>
    <t>CAR - Compra materiales arreglo electricidad conexión trifásica TC 39,45</t>
  </si>
  <si>
    <t>CAR - Compra ferretería mantenimiento</t>
  </si>
  <si>
    <t>CAR - Pago envío vinos para Carmelo</t>
  </si>
  <si>
    <t>CAR - Tips abril Paloma marchetti</t>
  </si>
  <si>
    <t>CAR - Tips abril Rafael cheff</t>
  </si>
  <si>
    <t>CAR - Tips abril yukiana gonzalez</t>
  </si>
  <si>
    <t>CAR - Tips abril Valeria olmedo</t>
  </si>
  <si>
    <t>CAR - Tips abril Santiago mantenimiento</t>
  </si>
  <si>
    <t>CAR - Pago tips Stefy housekeeping</t>
  </si>
  <si>
    <t>CAR - Pago tips victoria chef pasteleria</t>
  </si>
  <si>
    <t>CAR - Pago segunda quincena abril ton</t>
  </si>
  <si>
    <t>CAR - Sueldo abril Santiago mantenimiento</t>
  </si>
  <si>
    <t>CAR - Sueldo abril victoria chef</t>
  </si>
  <si>
    <t>CAR - Sueldo abril Rafael chef</t>
  </si>
  <si>
    <t>CAR - Pago sueldo abril carmen</t>
  </si>
  <si>
    <t>CAR - Tips abril managers</t>
  </si>
  <si>
    <t>SJ - pasaje trinidad montevideo - caja felipe Olivera</t>
  </si>
  <si>
    <t>SJ - pasaje trinidad montevideo Martin caja felipe Olivera</t>
  </si>
  <si>
    <t>CAR - Mantenimiento camioneta STRADA</t>
  </si>
  <si>
    <t>SJ - fichas lavado camionetas caja felipe Olivera</t>
  </si>
  <si>
    <t>CAR - Estante madera cableado zona shop</t>
  </si>
  <si>
    <t>CAR - Compra jazmines para empalizada</t>
  </si>
  <si>
    <t>CAR - Pago de envío de laundry bags y postales de san juan</t>
  </si>
  <si>
    <t>CAR - Guata pago envio</t>
  </si>
  <si>
    <t>CAR - Pago envío caja shoulder pads, brochures, bolas de sarro, cartel drinks</t>
  </si>
  <si>
    <t>CAR - Pago envío de laundry bags para Lodge SAN JUAN, que se equivocaron en enviarlas acá, pagamos e</t>
  </si>
  <si>
    <t>CAR - Llave habitación</t>
  </si>
  <si>
    <t>CAR - Compra rollo polietileno 100mts más selladora</t>
  </si>
  <si>
    <t>SJ - pistola riego metalica  caja felipe Olivera</t>
  </si>
  <si>
    <t>SJ - catracas, cinta para cinchar piola  caja felipe Olivera</t>
  </si>
  <si>
    <t>SJ - reparaciones blinds caja felipe Olivera</t>
  </si>
  <si>
    <t>SJ - Gasoil</t>
  </si>
  <si>
    <t>SJ - Montosi</t>
  </si>
  <si>
    <t>SJ - Llevó Felipe</t>
  </si>
  <si>
    <t>CAR - Compra maíz crocante y maíz frito</t>
  </si>
  <si>
    <t>SJ - borradores marcadores pizzarra organizacion caceria  caja felipe olivera</t>
  </si>
  <si>
    <t>CAR - Compra alimentos almacén de la capilla</t>
  </si>
  <si>
    <t>CAR - Compra hielo 15 bolsas</t>
  </si>
  <si>
    <t>SJ - almuerzo 3 personas caja felipe olivera</t>
  </si>
  <si>
    <t>SJ - carga gasoil camioneta Multicar caja felipe olivera</t>
  </si>
  <si>
    <t>CAR - Sueldo abril managers</t>
  </si>
  <si>
    <t>SJ - DAC encomienda ropa de trabajo</t>
  </si>
  <si>
    <t>SJ - DAC</t>
  </si>
  <si>
    <t>SJ - Farmacia</t>
  </si>
  <si>
    <t>SJ - Kroser, reparaciones varias en lodge</t>
  </si>
  <si>
    <t>SJ - Tecno Flores</t>
  </si>
  <si>
    <t>SJ - Kroser</t>
  </si>
  <si>
    <t>SJ - Electro Nacho</t>
  </si>
  <si>
    <t>SJ - Sma</t>
  </si>
  <si>
    <t>SJ - VINOS</t>
  </si>
  <si>
    <t>SJ - Vinos Chardonnay</t>
  </si>
  <si>
    <t>CAR - Compra de maíz frito y maní japonés</t>
  </si>
  <si>
    <t>CAR - Arreglo gasista matriculado cocina clientes</t>
  </si>
  <si>
    <t>CAR - Tips abril Bruno vulpi</t>
  </si>
  <si>
    <t>CAR - Tips juan long  abril</t>
  </si>
  <si>
    <t>CAR - Tips Pablo Gadea abril</t>
  </si>
  <si>
    <t>CAR - Pago primera quincena mayo ton</t>
  </si>
  <si>
    <t>SJ - Pago a Roque Pérez. Entrada a cazar 4 escopetas</t>
  </si>
  <si>
    <t>CAR - Compra de cable flexible 4x6 cablinur</t>
  </si>
  <si>
    <t>TE001400000436</t>
  </si>
  <si>
    <t>Extracción de Caja 001400000436 Obs: Movimiento_Cajas_Bancos_Semana 25-26 al 15-05-2026</t>
  </si>
  <si>
    <t>CAR10 26-27- Com x Vtas Tony - ValleyFF- TONY CAGGIANO LLC - (Sales Commission and Marketing April 2</t>
  </si>
  <si>
    <t>000000001248</t>
  </si>
  <si>
    <t>CAR11 26-27- Com x Vtas Tony - ValleyFF- TONY CAGGIANO LLC - (Sales Commission and Marketing April 2</t>
  </si>
  <si>
    <t xml:space="preserve">CAR20- 25-26- Com x Vtas Tony - ValleyFF- TONY CAGGIANO LLC - (Sales Commission and Marketing April </t>
  </si>
  <si>
    <t>CAR-Pago visita paisajistas a Carmelo Lodge Marzo 2026 F.Fijo Oper. Al 12-05-2026</t>
  </si>
  <si>
    <t xml:space="preserve">CAR-Tips a cobrar Lucas Iglesias chef pordias trabajados en Carmelo Lodge Abril 2026 - pendiente 86 </t>
  </si>
  <si>
    <t>SJ- ValleyFF- La Cazadora Oriental Limitada - (Uruguay Operating Needs - May)-</t>
  </si>
  <si>
    <t>CA.DU6- 26/27- Zach Mears pasa a la KA16</t>
  </si>
  <si>
    <t>UY- ValleySW- ANALYSIS RESULTS CHG ANALYSIS ACTIVITY   FOR 04/26</t>
  </si>
  <si>
    <t>CAR- ValleySW- CARMELO LODGE SAS - (Carmelo Operating Needs - May)-</t>
  </si>
  <si>
    <t>11020403</t>
  </si>
  <si>
    <t>Otros Gastos a Devengar</t>
  </si>
  <si>
    <t>TE001400000437</t>
  </si>
  <si>
    <t>Extracción de Caja 001400000437 Obs: Movimiento_Cajas_Bancos_Semana 25-26 al 15-05-2026</t>
  </si>
  <si>
    <t>SJ-Anticipo 50% - Uniformes managers - temporada 2026 F.Fijo Oper. Al 15-05-2026</t>
  </si>
  <si>
    <t>000000001249</t>
  </si>
  <si>
    <t>CAR-Pago 50% Inicial 9 pañuelos Shops F.Fijo Oper. Al 15-05-2026</t>
  </si>
  <si>
    <t>UL-Anticipo 50% - Uniformes managers - temporada 2026 F.Fijo Oper. Al 15-05-2026</t>
  </si>
  <si>
    <t>CAR-Anticipo 50% - Uniformes managers - temporada 2026 F.Fijo Oper. Al 15-05-2026</t>
  </si>
  <si>
    <t>CAR-Saldo Tips a cobrar Lucas Iglesias chef pordias trabajados en Carmelo Lodge Abril 2026 - pendien</t>
  </si>
  <si>
    <t>TE001400000441</t>
  </si>
  <si>
    <t>Extracción de Caja 001400000441 Obs: Movimiento_Cajas_Bancos_Semana 25-26 al 22-05-2026</t>
  </si>
  <si>
    <t xml:space="preserve">SJ- ValleySS- PINOR SA - (180k Shells - Uruguay Lodges) Total Costo Cpra 99k - Saldo a Pagar 27,1k- </t>
  </si>
  <si>
    <t>000000001250</t>
  </si>
  <si>
    <t>TE001400000442</t>
  </si>
  <si>
    <t>Extracción de Caja 001400000442 Obs: Movimiento_Cajas_Bancos_Semana 25-26 al 22-05-2026</t>
  </si>
  <si>
    <t>CAR-Servicio de Mensajeria Mensual - Abril 2026 F.Fijo Oper. Al 22-05-2026</t>
  </si>
  <si>
    <t>000000001251</t>
  </si>
  <si>
    <t>SJ-Servicio de Mensajeria Mensual - Abril 2026 F.Fijo Oper. Al 22-05-2026</t>
  </si>
  <si>
    <t>29/05/2026</t>
  </si>
  <si>
    <t>TE001400000444</t>
  </si>
  <si>
    <t>Extracción de Caja 001400000444 Obs: Movimiento_Cajas_Bancos_Semana 25-26 al 29-05-2026</t>
  </si>
  <si>
    <t>SJ- ValleyFF- La Cazadora Oriental Limitada - (Uruguay Operating Needs - May &amp; June)- (Necesidad Jun</t>
  </si>
  <si>
    <t>000000001252</t>
  </si>
  <si>
    <t>UY- Maintenance Fees CC Monthly Fee 05/2026</t>
  </si>
  <si>
    <t>SJ- ValleySS- PINOR SA - (180k Shells - Uruguay Lodges - Balance)- 13,75 el Box</t>
  </si>
  <si>
    <t>CAR- ValleyFF- CARMELO LODGE SAS - (Carmelo Operating Needs - May &amp; June)- (Necesidad Junio 81k - Sa</t>
  </si>
  <si>
    <t>TE001400000455</t>
  </si>
  <si>
    <t>Extracción de Caja 001400000455 Obs: 31-05-2026  Mov Lodge</t>
  </si>
  <si>
    <t>SJ - Roque Pérez</t>
  </si>
  <si>
    <t>000000001253</t>
  </si>
  <si>
    <t>CAR - Pago a la nave por 8 cajas de vino chardonnay</t>
  </si>
  <si>
    <t>CAR - La llave ferretería</t>
  </si>
  <si>
    <t>CAR - Compra ablandador + todos los ítems del ablandador</t>
  </si>
  <si>
    <t>CAR - Pago por recibimiento de ablandador de agua e items</t>
  </si>
  <si>
    <t>SJ - Reparación Estufa staff</t>
  </si>
  <si>
    <t>SJ - La Ferretería</t>
  </si>
  <si>
    <t>SJ - Pinchaduras factura 035</t>
  </si>
  <si>
    <t>SJ - Pinchazo</t>
  </si>
  <si>
    <t>SJ - Romería Risotto  Factura 034</t>
  </si>
  <si>
    <t>SJ - Gomeria Risotto  Factura 040</t>
  </si>
  <si>
    <t>SJ - Leña de monte</t>
  </si>
  <si>
    <t>SJ - Leña D monte</t>
  </si>
  <si>
    <t>SJ - Reembolso clientes por compensación quejas</t>
  </si>
  <si>
    <t>SJ - Nacho  combustible en Mercedes</t>
  </si>
  <si>
    <t>SJ - Nafta Nacho</t>
  </si>
  <si>
    <t>SJ - Pasaje Mauro</t>
  </si>
  <si>
    <t>SJ - Perdices</t>
  </si>
  <si>
    <t>CAR - Compra de luces led para shop calidad y compra de copitas para drinks bienvenida</t>
  </si>
  <si>
    <t>SJ - Para Chávez</t>
  </si>
  <si>
    <t>SJ - Para perdices</t>
  </si>
  <si>
    <t>SJ - Llevó Nacho para Violeta</t>
  </si>
  <si>
    <t>"SJ - Llevó Osvaldo Roque Pérez"</t>
  </si>
  <si>
    <t>SJ - Perdices Bernardo</t>
  </si>
  <si>
    <t>CAR - Maple huevos</t>
  </si>
  <si>
    <t>CAR - Pago masajes x2</t>
  </si>
  <si>
    <t>CAR - Distri zorrila</t>
  </si>
  <si>
    <t>CAR - Vivero tom</t>
  </si>
  <si>
    <t>CAR - Vidriería</t>
  </si>
  <si>
    <t>CAR - Compra térmica general de 63 amperes</t>
  </si>
  <si>
    <t>SJ - La Ferretería factura 9356</t>
  </si>
  <si>
    <t>SJ - La Ferretería factura 9357</t>
  </si>
  <si>
    <t>SJ - Reparación estufa casa staff</t>
  </si>
  <si>
    <t>CAR - Pago mano de obra arreglo electricidad</t>
  </si>
  <si>
    <t>CAR - Juan carpintero cajas madera para térmicas</t>
  </si>
  <si>
    <t>SJ - La Ferretería. Poliuretano</t>
  </si>
  <si>
    <t>CAR - Repuesto tractor corta pasto</t>
  </si>
  <si>
    <t>CAR - Envío Respuesto tractor corta pasto</t>
  </si>
  <si>
    <t>CAR - El emporio de la madera</t>
  </si>
  <si>
    <t>SJ - reparto propinas</t>
  </si>
  <si>
    <t>SJ - Propinas servicio reparte sofia</t>
  </si>
  <si>
    <t>SJ - Arpillera</t>
  </si>
  <si>
    <t>SJ - Botas de trabajo</t>
  </si>
  <si>
    <t>CAR - Permiso SMA</t>
  </si>
  <si>
    <t>CAR - Compra ferretería (hierros estante, hipocrolito, caño extructural, etc</t>
  </si>
  <si>
    <t>CAR - Cerradura puerta casa staff</t>
  </si>
  <si>
    <t>CAR - Tornillos estantería cocina</t>
  </si>
  <si>
    <t>CAR - Compra en barraca cinta doble faz, válvula anti fugas y plafón led</t>
  </si>
  <si>
    <t>SJ - Perdices B</t>
  </si>
  <si>
    <t>SJ - Llevó Felipe. 550, 400 x 2 y 432</t>
  </si>
  <si>
    <t>TE001400000459</t>
  </si>
  <si>
    <t>Extracción de Caja 001400000459 Obs: Movimiento_Cajas_Bancos_Semana 25-26 al 05-06-2026</t>
  </si>
  <si>
    <t>SJ20-Phill Marks-Extras 25-26-ID-16966 -EXtras 25/26- -CMSW 05-2026- -CC</t>
  </si>
  <si>
    <t>000000001254</t>
  </si>
  <si>
    <t>CA.DU59-Jed Scott Lamb-Extras 25-26-ID-43150 - CA.DU59-Emily Hume Lamb-Extras 25-26-ID-42074 -EXtras</t>
  </si>
  <si>
    <t>CADU29-Amanda Stone-Extras 25-26-ID-43087 - CADU29-Cody Davidson-Extras 25-26-ID-40821 - CADU29-Lenn</t>
  </si>
  <si>
    <t>CA.DU6-Riley Wayne Emter-Extras 25-26-ID-38680 - CA.DU6-Lauren Quigley Emter-Extras 25-26-ID-43046 -</t>
  </si>
  <si>
    <t>CA.DU59-Scott Bailey Gramling Jr.-Extras 25-26-ID-43152 - CA.DU59-Aubrey Beckner-Extras 25-26-ID-431</t>
  </si>
  <si>
    <t>CAR-Sueldo Oriana - Mayo F.Fijo Oper. Al 05-06-2026</t>
  </si>
  <si>
    <t>SJ13-Charles Nash-Extras 25-26-ID-15526 -EXtras 25/26- -CMSW 05-2026- -CC</t>
  </si>
  <si>
    <t>CA.DU22 -26/27-John Underhill -CMSW 05-2026- Paga vía MTP-CC</t>
  </si>
  <si>
    <t>CA.DU22 -26/27-Scott King -CMSW 05-2026- Paga vía MTP-CC</t>
  </si>
  <si>
    <t>CA.DU25 -26/27-Juan Garcia -CMSW 05-2026- Paga vía MTP-CC</t>
  </si>
  <si>
    <t>CA.DU29 -26/27-Robert Young -CMSW 05-2026- Paga vía MTP-CC</t>
  </si>
  <si>
    <t>CA.DU29 -26/27-Justin Henard -CMSW 05-2026- Paga vía MTP-CC</t>
  </si>
  <si>
    <t>CA.DU29 -26/27-Gary Wills -CMSW 05-2026- Paga vía MTP-CC</t>
  </si>
  <si>
    <t>CA.DU29 -26/27-Nathan Giles -CMSW 05-2026- Paga vía MTP-CC</t>
  </si>
  <si>
    <t>CA.DU3 -26/27-Michael Hammons -CMSW 05-2026- Paga vía MTP-CC</t>
  </si>
  <si>
    <t>CA.DU32 -26/27-Albert Vallotton -CMSW 05-2026- Paga vía MTP-CC</t>
  </si>
  <si>
    <t>CAR12 -26/27-Joe Thwaite -CMSW 05-2026- Paga vía web-CC</t>
  </si>
  <si>
    <t>CAR9 -26/27-CJ Allen -CMSW 05-2026- Paga vía MTP-CC</t>
  </si>
  <si>
    <t>SJ2 -26/27-Matthew Puglisi -CMSW 05-2026- Paga vía MTP-CC</t>
  </si>
  <si>
    <t>SJ5 -26/27-David Smith -CMSW 05-2026- Pago por el sistema nuevo-CC</t>
  </si>
  <si>
    <t>SJ7 -26/27-Kevin grace -CMSW 05-2026- Pago por el sistema nuevo-CC</t>
  </si>
  <si>
    <t>SJ7 -26/27-David Gardner -CMSW 05-2026- Paga vía MTP-CC</t>
  </si>
  <si>
    <t>CA.DU37 -25/26-Brett Sires -CMSW 05-2026- Pago via MTP-CC</t>
  </si>
  <si>
    <t>CA.DU68 -25/26-William Paul Kennedy -CMSW 05-2026- Paga vía MTP-CC</t>
  </si>
  <si>
    <t>CADU31-Jack Thompson-Extras 25-26-ID-32343 -EXtras 25/26- -CMSW 05-2026- -CC</t>
  </si>
  <si>
    <t xml:space="preserve">CA.DU21-Jake Paul Hamilton-Extras 25-26-ID-42887 - CA.DU21-Rachae Louise Bell-Extras 25-26-ID-40248 </t>
  </si>
  <si>
    <t>CA.DU57-James Hardtner Klumpp-Extras 25-26-ID-43037 - CA.DU57-Julie Ann Klumpp-Extras 25-26-ID-43038</t>
  </si>
  <si>
    <t>CA.DU57-Richard Weston Keenan-ID-41953 y Erica Renee Pocs Extras 25-26 - ID 43036 -EXtras 25/26- -CM</t>
  </si>
  <si>
    <t>CA.DU6-Molly Renee Hester-Extras 25-26-ID-43048 - CA.DU6-David Paul Hester-Extras 25-26-ID-43047 -EX</t>
  </si>
  <si>
    <t>CADU29-Matthew  Davidson-Extras 25-26-ID-43089 -EXtras 25/26- -CMSW 05-2026- -CC</t>
  </si>
  <si>
    <t>CADU31- Joseph Gilmore - Extras 25-26- ID  32346 - Beneficios Elite Club -EXtras 25/26- -CMSW 05-202</t>
  </si>
  <si>
    <t>CADU31-Andrew Kershner-Extras 25-26-ID-39379 -EXtras 25/26- -CMSW 05-2026- -CC</t>
  </si>
  <si>
    <t xml:space="preserve">CADU31-Jens Steenstrup-Extras 25-26-ID-32344 - CADU31-Hans Steenstrup-Extras 25-26-ID-32365 -EXtras </t>
  </si>
  <si>
    <t>CAR-TriSW Fee CC 05-2026</t>
  </si>
  <si>
    <t>SJ-TriSW Fee CC 05-2026</t>
  </si>
  <si>
    <t>SJ20-Win Wilson-Extras 25-26-ID-41557 -EXtras 25/26- -CMSW 05-2026- -CC</t>
  </si>
  <si>
    <t>SJ20-Patrick Marks-Extras 25-26-ID-36438 -EXtras 25/26- -CMSW 05-2026- -CC</t>
  </si>
  <si>
    <t>SJ17-Tom Edwards-Extras 25-26-ID-653679190 -EXtras 25/26- -CMSW 05-2026- -CC</t>
  </si>
  <si>
    <t>SJ17-Tim De Ruyscher-Extras 25-26-ID-662996606 -EXtras 25/26- -CMSW 05-2026- -CC</t>
  </si>
  <si>
    <t>SJ17-John Wayman-Extras 25-26-ID-569802463 -EXtras 25/26- -CMSW 05-2026- -CC</t>
  </si>
  <si>
    <t>SJ17-Jeffrey Ford-Extras 25-26-ID-596154405 -EXtras 25/26- -CMSW 05-2026- -CC</t>
  </si>
  <si>
    <t>SJ17-Harold Hefke-Extras 25-26-ID-560302166 -EXtras 25/26- -CMSW 05-2026- -CC</t>
  </si>
  <si>
    <t>SJ17-Gregory Frank-Extras 25-26-ID-571685644 -EXtras 25/26- -CMSW 05-2026- -CC</t>
  </si>
  <si>
    <t>SJ15-Todd Maclin-Extras 25-26-ID-10411 -EXtras 25/26- -CMSW 05-2026- -CC</t>
  </si>
  <si>
    <t>SJ15-Taylor Burke-Extras 25-26-ID-43175 -EXtras 25/26- -CMSW 05-2026- -CC</t>
  </si>
  <si>
    <t>SJ15-Patrick Mc Gee-Extras 25-26-ID-43040 -EXtras 25/26- -CMSW 05-2026- -CC</t>
  </si>
  <si>
    <t>SJ15-Michael Anderson-Extras 25-26-ID-43039 -EXtras 25/26- -CMSW 05-2026- -CC</t>
  </si>
  <si>
    <t>SJ15-Marshall Payne-Extras 25-26-ID-43041 -EXtras 25/26- -CMSW 05-2026- -CC</t>
  </si>
  <si>
    <t>SJ13-Peter Beck-Extras 25-26-ID-6470 -EXtras 25/26- -CMSW 05-2026- -CC</t>
  </si>
  <si>
    <t>SJ13-Patrick Oles Jr-Extras 25-26-ID-10751 -EXtras 25/26- -CMSW 05-2026- -CC</t>
  </si>
  <si>
    <t>SJ13-Patrick Oles Father-Extras 25-26-ID-42792 -EXtras 25/26- -CMSW 05-2026- -CC</t>
  </si>
  <si>
    <t>SJ13-John Beck-Extras 25-26-ID-23509 -EXtras 25/26- -CMSW 05-2026- -CC</t>
  </si>
  <si>
    <t>SJ13-Brian Smith-Extras 25-26-ID-43043 -EXtras 25/26- -CMSW 05-2026- -CC</t>
  </si>
  <si>
    <t>SJ12-Sarlota Narjus-Extras 25-26-ID-1712778 -EXtras 25/26- -CMSW 05-2026- -CC</t>
  </si>
  <si>
    <t>SJ12-Petri Niemi-Extras 25-26-ID-1895434 -EXtras 25/26- -CMSW 05-2026- -CC</t>
  </si>
  <si>
    <t>SJ12-Anu Hamalainen-Extras 25-26-ID-1635989 -EXtras 25/26- -CMSW 05-2026- -CC</t>
  </si>
  <si>
    <t>SJ12-Anti Matti Sikala-Extras 25-26-ID-4928985 -EXtras 25/26- -CMSW 05-2026- -CC</t>
  </si>
  <si>
    <t>SJ.DU1-Rob Morse-Extras 25-26-ID-35428 ( compensa con 35039) -EXtras 25/26- -CMSW 05-2026- -CC</t>
  </si>
  <si>
    <t>SJ.DU1-Daniel Walden-Extras 25-26-ID-35039 ( compensa con 35428) -EXtras 25/26- -CMSW 05-2026- -CC</t>
  </si>
  <si>
    <t>SJ. DU6-Gregory Lathrop-Extras 25-26-ID-654936707 -EXtras 25/26- -CMSW 05-2026- -CC</t>
  </si>
  <si>
    <t>SJ. DU6-Greg Parrott-Extras 25-26-ID-650257567 -EXtras 25/26- -CMSW 05-2026- -CC</t>
  </si>
  <si>
    <t>SJ 16-Sherry Pearson-Extras 25-26-ID-667525827 -EXtras 25/26- -CMSW 05-2026- -CC</t>
  </si>
  <si>
    <t>SJ 16-Robert Pearson-Extras 25-26-ID-667525828 -EXtras 25/26- -CMSW 05-2026- -CC</t>
  </si>
  <si>
    <t xml:space="preserve">CAR33-Charles Merritt Horton-Extras 25-26-ID-43035 - CAR33-Leigh Ann Horton-Extras 25-26-ID-42151 - </t>
  </si>
  <si>
    <t>CAR32-Stephen Lanier-Extras 25-26-ID-42104 -EXtras 25/26- -CMSW 05-2026- -CC</t>
  </si>
  <si>
    <t>CAR30-Matthew Richard Hodsdon-Extras 25-26-ID-41904 -EXtras 25/26- -CMSW 05-2026- -CC</t>
  </si>
  <si>
    <t xml:space="preserve">CAR27-Richard Lewis Holland-Extras 25-26-ID-41704 - CAR27-Kurt Nathan Holland-Extras 25-26-ID-42127 </t>
  </si>
  <si>
    <t>CAR-Sueldo Enrique - Mayo F.Fijo Oper. Al 05-06-2026</t>
  </si>
  <si>
    <t>TE001400000461</t>
  </si>
  <si>
    <t>Extracción de Caja 001400000461 Obs: Movimiento_Cajas_Bancos_Semana 25-26 al 05-06-2026</t>
  </si>
  <si>
    <t>CAR-Sueldo Mayo Victoria Chef Carmelo Lodge (USD1300 a TC 1420) Pagos Frank Garrahan-  Al 05-06-2026</t>
  </si>
  <si>
    <t>000000001255</t>
  </si>
  <si>
    <t>CAR-50% Inicial 28 buzos hoodie Shop Pagos Frank Garrahan-  Al 05-06-2026</t>
  </si>
  <si>
    <t>CAR-Sueldo Mayo Rafael Chef Carmelo Lodge (USD1600 a TC 1420) Pagos Frank Garrahan-  Al 05-06-2026</t>
  </si>
  <si>
    <t>TE001400000465</t>
  </si>
  <si>
    <t>Extracción de Caja 001400000465 Obs: AJ RECUPERO COMISIONES</t>
  </si>
  <si>
    <t>AJ RECUPERO COMISIONES</t>
  </si>
  <si>
    <t>000000001256</t>
  </si>
  <si>
    <t>TH001400000428</t>
  </si>
  <si>
    <t>Extracción de Banco 001400000428 Obs: 18-05-2026  Mov Lodge</t>
  </si>
  <si>
    <t>SJ - tela para caceria patos reembolso felipe olivera</t>
  </si>
  <si>
    <t>000000001258</t>
  </si>
  <si>
    <t>SJ - extensibles para caceria patos reembolso Felipe Olivera</t>
  </si>
  <si>
    <t>SJ - pesas para señuelos patos reembolso Felipe Olivera</t>
  </si>
  <si>
    <t>SJ - ida a buscar  camioneta nueva multicar reembolso felipe olivera</t>
  </si>
  <si>
    <t>SJ - clase de ingles Felipe Olivera- capacitacion</t>
  </si>
  <si>
    <t>SJ - a favor permisos Mayo Mati Vila</t>
  </si>
  <si>
    <t>SJ - prestamo a Carmelo USD</t>
  </si>
  <si>
    <t>SJ - encofrado y clavos para parrillero reembolso felipe olivera</t>
  </si>
  <si>
    <t>SJ - materiales para obra parrillero reebolso felipe Olivera</t>
  </si>
  <si>
    <t>SJ - Deb comi   ingreso oficina</t>
  </si>
  <si>
    <t>SJ - compras cocina varios utensillos Sofi</t>
  </si>
  <si>
    <t>SJ - saldo de service horno MORA</t>
  </si>
  <si>
    <t>SJ - laundry bags SJ</t>
  </si>
  <si>
    <t>SJ - conexion agua local dispensadores</t>
  </si>
  <si>
    <t>SJ - combustible ida a SJ Sofi</t>
  </si>
  <si>
    <t>SJ - sueldo abril Effie Young</t>
  </si>
  <si>
    <t>SJ - honorarios SP abril Tatiana Ribas</t>
  </si>
  <si>
    <t>SJ - sueldo abril Pedro Duarte</t>
  </si>
  <si>
    <t>SJ - peajes multicar camionetas SJ</t>
  </si>
  <si>
    <t>SJ - alquiler camionetas abril Multicar</t>
  </si>
  <si>
    <t>SJ - alquiler camoneta abril Nacho mendez</t>
  </si>
  <si>
    <t>TH001400000429</t>
  </si>
  <si>
    <t>Extracción de Banco 001400000429 Obs: 18-05-2026  Mov Lodge</t>
  </si>
  <si>
    <t>CAR - devolucion prestamos a SJ USD</t>
  </si>
  <si>
    <t>000000001259</t>
  </si>
  <si>
    <t>CAR - a favor permisos Mayo Mati Vila</t>
  </si>
  <si>
    <t>CAR - Honorarios abril Mati Vila</t>
  </si>
  <si>
    <t>CAR - deb comi por ingreso OFICINA</t>
  </si>
  <si>
    <t>CAR - completa pago reparaciones feb y marzo Daniel Fresno</t>
  </si>
  <si>
    <t>CAR - reembolos varios campos abril Juan Long</t>
  </si>
  <si>
    <t>CAR - alquiler camionetas Multicar abril</t>
  </si>
  <si>
    <t>CAR - campo abril Alcira cornu</t>
  </si>
  <si>
    <t>CAR - peajes camionetas multicar carmelo</t>
  </si>
  <si>
    <t>CAR - campos abril Salvagno</t>
  </si>
  <si>
    <t>CAR - a favor reparacion armas feb y marzo Daniel Fresno</t>
  </si>
  <si>
    <t>TH001400000430</t>
  </si>
  <si>
    <t>Extracción de Banco 001400000430 Obs: 18-05-2026  Mov Lodge</t>
  </si>
  <si>
    <t>CAR - deposito  a favor mayo super Los balla</t>
  </si>
  <si>
    <t>000000001260</t>
  </si>
  <si>
    <t>CAR - bb abril 2 simon glattli</t>
  </si>
  <si>
    <t>CAR - bb abril 2 victor ramirez</t>
  </si>
  <si>
    <t>CAR - sueldo abril Valeria Olmedo</t>
  </si>
  <si>
    <t>CAR - bb abril 2 Nicolas siritto</t>
  </si>
  <si>
    <t>CAR - bb abril 2 ruben callero</t>
  </si>
  <si>
    <t>CAR - bb abril 2 Brando Ponce</t>
  </si>
  <si>
    <t>CAR - bb abril 2 Franco Rigos</t>
  </si>
  <si>
    <t>CAR - bb abril 2 Nicolas schneider</t>
  </si>
  <si>
    <t>CAR - bb abril 2 Mico silva</t>
  </si>
  <si>
    <t>CAR - mantenimiento jardines combustible</t>
  </si>
  <si>
    <t>CAR - sp abril Juan Long</t>
  </si>
  <si>
    <t>CAR - sueldo abril Marcelo suarez</t>
  </si>
  <si>
    <t>CAR - sueldo abril menos prestamos Pablo gadea</t>
  </si>
  <si>
    <t>CAR - sueldo abril Bruno Vulpi</t>
  </si>
  <si>
    <t>CAR - sueldo abril santi carrato</t>
  </si>
  <si>
    <t>CAR - ldo dias abril Carmelo Martin Barrios</t>
  </si>
  <si>
    <t>CAR - bb abril 2 Brandon maidana</t>
  </si>
  <si>
    <t>CAR - BPS Barran wing shooting</t>
  </si>
  <si>
    <t>CAR - iva y bps abril juan long</t>
  </si>
  <si>
    <t>CAR - iva y bps abril felipe olivera</t>
  </si>
  <si>
    <t>CAR - Ute electricidad casa staff bodega campotinto consulo abril</t>
  </si>
  <si>
    <t>CAR - UTE casa staff provisoria abril</t>
  </si>
  <si>
    <t>CAR - Ute electricidad Lodge  consumo abril</t>
  </si>
  <si>
    <t>CAR - combustible abril Servicios Carmelo</t>
  </si>
  <si>
    <t>CAR -  combustible Pablo Gadea</t>
  </si>
  <si>
    <t>CAR - bebidas y refrigerios abril Belater</t>
  </si>
  <si>
    <t>CAR - a favor mayo completa deposito carniceria</t>
  </si>
  <si>
    <t>CAR - Seña camperas guias Carmelo</t>
  </si>
  <si>
    <t>CAR - quesos y lacteos abril FINESA</t>
  </si>
  <si>
    <t>CAR - completa service master</t>
  </si>
  <si>
    <t>CAR - bb abril 2 edgardo martinez</t>
  </si>
  <si>
    <t>CAR - disco de alambre limpieza choques escoopetas reembolso Gadea</t>
  </si>
  <si>
    <t>CAR - bb abril 2 julian rodriguez</t>
  </si>
  <si>
    <t>CAR - sueldo abril Carmelo Felipe Olivera</t>
  </si>
  <si>
    <t>CAR - adelanto abril Pablo gadea</t>
  </si>
  <si>
    <t>CAR - emergencia medica mayo</t>
  </si>
  <si>
    <t>CAR - antel telefonia internet lodge</t>
  </si>
  <si>
    <t>CAR - sueldo abril stefany suhr</t>
  </si>
  <si>
    <t>CAR - pelada de palomas franco rigos</t>
  </si>
  <si>
    <t>CAR - sensor quemado master</t>
  </si>
  <si>
    <t>CAR - pelada de palomas victor ramirez</t>
  </si>
  <si>
    <t>CAR - service manenm Master 10milkm Videsol</t>
  </si>
  <si>
    <t>CAR - a favor deposito mayo carniceria del centro</t>
  </si>
  <si>
    <t>CAR - platos sue asado</t>
  </si>
  <si>
    <t>CAR - abril gourmeat</t>
  </si>
  <si>
    <t>CAR - lavado y mantenimiento Denzel Maidana</t>
  </si>
  <si>
    <t>CAR - abril verduleria Carmelo</t>
  </si>
  <si>
    <t>CAR - gomeria camioneta Pablo Gadea</t>
  </si>
  <si>
    <t>CAR - vinos las damas juanas BLANSOS carmelo</t>
  </si>
  <si>
    <t>CAR - saldo camperas abrigo Carmelo</t>
  </si>
  <si>
    <t>CAR - cuota 1 seguro sura  fiat strada</t>
  </si>
  <si>
    <t>CAR - cuota 2 seguro sura fiat strada</t>
  </si>
  <si>
    <t>CAR - accidentes seguros</t>
  </si>
  <si>
    <t>CAR - bb abril 2 Agustin bosarich</t>
  </si>
  <si>
    <t>CAR - cuencos blancos Volf</t>
  </si>
  <si>
    <t>CAR - sueldo abril yuliana gonzalez</t>
  </si>
  <si>
    <t>CAR - sueldo abril paloma marchetti</t>
  </si>
  <si>
    <t>TH001400000431</t>
  </si>
  <si>
    <t>Extracción de Banco 001400000431 Obs: 18-05-2026  Mov Lodge</t>
  </si>
  <si>
    <t>SJ - bebidas Bar SJ</t>
  </si>
  <si>
    <t>000000001261</t>
  </si>
  <si>
    <t>SJ - pedido carnes y chocolate reposteria reembolso Mercedes</t>
  </si>
  <si>
    <t>SJ - ferreteria, clavos tornillos pegamento arreglos varios lodge</t>
  </si>
  <si>
    <t>SJ - flete traslado muebles SJ Felipe OLivera</t>
  </si>
  <si>
    <t>SJ - vinos las damas juanas Tintos SJ</t>
  </si>
  <si>
    <t>SJ - nafta reembolso Sofi</t>
  </si>
  <si>
    <t>SJ - faroles camino entrada SJ</t>
  </si>
  <si>
    <t>SJ - deshollinador SJ</t>
  </si>
  <si>
    <t>SJ - bombacha extra para Nacho Mendez</t>
  </si>
  <si>
    <t>SJ - calzado casero nuevo SJ</t>
  </si>
  <si>
    <t>SJ - calzado chef SJ</t>
  </si>
  <si>
    <t>SJ - camperas SJ</t>
  </si>
  <si>
    <t>SJ - camisas guias SJ</t>
  </si>
  <si>
    <t>SJ - seña polars sj</t>
  </si>
  <si>
    <t>SJ - camisas guias S</t>
  </si>
  <si>
    <t>SJ - saldo buzos polars SJ</t>
  </si>
  <si>
    <t>SJ - articolos shop Sofi</t>
  </si>
  <si>
    <t>SJ - combustible abril Alero Azul SJ</t>
  </si>
  <si>
    <t>SJ - botas  goma guiasSJ</t>
  </si>
  <si>
    <t>SJ - completa pedido repo  bombachas guias y casero SJ</t>
  </si>
  <si>
    <t>SJ - uniforme manager SJ ry mucamas eembolso Mercedes</t>
  </si>
  <si>
    <t>SJ - caja lodge SJ EFFIE</t>
  </si>
  <si>
    <t>SJ - permisos SMA completa y reembolso a Bernardo Barran</t>
  </si>
  <si>
    <t>SJ - jabones y gel ducha amenities SJ</t>
  </si>
  <si>
    <t>SJ - permisos MAYO a favor Mati Vila SJ</t>
  </si>
  <si>
    <t>SJ - permisos SMA reembolso a Osvaldo Martinez</t>
  </si>
  <si>
    <t>SJ - balanza para cocina CAREMLO pago debito sj 5252</t>
  </si>
  <si>
    <t>SJ - permisos sma completa meche</t>
  </si>
  <si>
    <t>SJ - 3 cajas de 6 vasos bohemia para CARMELO 5252 pago debito SJ</t>
  </si>
  <si>
    <t>SJ - sueldo abril Maria Rossano</t>
  </si>
  <si>
    <t>SJ - sueldo abril Yoanna Icatt</t>
  </si>
  <si>
    <t>SJ - pintura cuartos, escoba y pala papel lijas mantenim lodge reembolso Mercedes</t>
  </si>
  <si>
    <t>SJ - sueldo abril casero Matias Martinez</t>
  </si>
  <si>
    <t>SJ - Caja Lodge EFFIE SJ</t>
  </si>
  <si>
    <t>SJ - bolsitas organza articulos shop</t>
  </si>
  <si>
    <t>SJ - leña SJ</t>
  </si>
  <si>
    <t>SJ - articulos varios electrica mantenim lodge reembolso felipe olivera</t>
  </si>
  <si>
    <t>SJ - recarga ida SJ Comienzo temporada llevar equipo managers y demas</t>
  </si>
  <si>
    <t>SJ - reembolso combustible marzo y abril Bernardo Barran</t>
  </si>
  <si>
    <t>SJ - reparacion freezer Lodge reembolso felipe olivera</t>
  </si>
  <si>
    <t>SJ - deb com</t>
  </si>
  <si>
    <t>SJ - bebidas comienzo temporada SJ</t>
  </si>
  <si>
    <t>SJ - sueldo abril sj Martin Barrios</t>
  </si>
  <si>
    <t>SJ - completa sueldo abril Mauro Hernandez</t>
  </si>
  <si>
    <t>SJ - sueldo abril sale finalmente Mauro Hernandez</t>
  </si>
  <si>
    <t>SJ - sueldo abril Osvaldo Martinez</t>
  </si>
  <si>
    <t>SJ - sueldo abril Carrato</t>
  </si>
  <si>
    <t>SJ - sueldo abril Thiago Etchegaray</t>
  </si>
  <si>
    <t>SJ - sueldo abril Pablo Segovia</t>
  </si>
  <si>
    <t>SJ - sueldo abril Mauro Hernandez</t>
  </si>
  <si>
    <t>SJ - sueldo abril SJ Felipe Olivera</t>
  </si>
  <si>
    <t>SJ - Compras Macro completa surtido pedido chef reembolso Sofi</t>
  </si>
  <si>
    <t>SJ - sp Sofi Barran abril   falta completar</t>
  </si>
  <si>
    <t>SJ - sueldo abril Caro Horta</t>
  </si>
  <si>
    <t>SJ - bebidas y refrigerios abril reletra</t>
  </si>
  <si>
    <t>SJ - dispensadores de agua mensual Manuel Peschera</t>
  </si>
  <si>
    <t>SJ - bps Felipe Olivera</t>
  </si>
  <si>
    <t>SJ - articulos parrilla pinzas etc para parrilero SJ</t>
  </si>
  <si>
    <t>SJ - bps caro horta</t>
  </si>
  <si>
    <t>SJ - Ute electricidad lodge sj luego reembolsa dueño</t>
  </si>
  <si>
    <t>SJ - ute electricidad abril</t>
  </si>
  <si>
    <t>SJ - nafta abril Caro HOrta</t>
  </si>
  <si>
    <t>SJ - botellas field</t>
  </si>
  <si>
    <t>SJ - compras varias ferreteria  arreglos lodge reembolso Pedro duarte</t>
  </si>
  <si>
    <t>SJ - compra capsulas de cafe luego se devuelve por cancelacoin compra</t>
  </si>
  <si>
    <t>SJ - glusosa para helados SJ</t>
  </si>
  <si>
    <t>SJ - surtido Lodge y staff</t>
  </si>
  <si>
    <t>SJ - china market varios cocina y bolsas papel reembolso meche</t>
  </si>
  <si>
    <t>SJ - comida ida sofi SJ</t>
  </si>
  <si>
    <t>SJ - oferta pacj 18 capsulas cafe</t>
  </si>
  <si>
    <t>SJ - comidas y almuerzos viajes reembolso pablo segovia</t>
  </si>
  <si>
    <t>SJ - almacen estefan abril</t>
  </si>
  <si>
    <t>SJ - compra quesos y comida meche cocina</t>
  </si>
  <si>
    <t>SJ - compras varias cocina comida</t>
  </si>
  <si>
    <t>SJ - tahini cocina</t>
  </si>
  <si>
    <t>SJ - prolimpio abril SJ</t>
  </si>
  <si>
    <t>SJ - utensillos varios cocina sacacorcho abrelatas pinzas etc</t>
  </si>
  <si>
    <t>SJ - plantas lodge vivero reembolso Mercedes</t>
  </si>
  <si>
    <t>SJ - botellas field reembolso Sofi Barran</t>
  </si>
  <si>
    <t>SJ - lavadero SJ</t>
  </si>
  <si>
    <t>SJ - repo vajilla, vasos, fundas sillones, portavelas,cuencos SJ reembolso Mercedes</t>
  </si>
  <si>
    <t>SJ - grapadora SJ</t>
  </si>
  <si>
    <t>SJ - trarros de poliuretano arreglos lodge reembolso osvaldo</t>
  </si>
  <si>
    <t>SJ - encomiendas envio vajilla a sj reembolso caro horta</t>
  </si>
  <si>
    <t>SJ - encomienda envio extensibles patos reembolso Felipe Olivera</t>
  </si>
  <si>
    <t>SJ - Barraca staudinger compars varias arreglo paredes Lodge</t>
  </si>
  <si>
    <t>SJ - control plagas lodge</t>
  </si>
  <si>
    <t>SJ - comida y cuidado compra gato para control plagas</t>
  </si>
  <si>
    <t>SJ - compra gato y demas para control plagas lodge</t>
  </si>
  <si>
    <t>SJ - cuidador perro mayo</t>
  </si>
  <si>
    <t>SJ - estacas para caceria Sj reembolso Felipe</t>
  </si>
  <si>
    <t>SJ - decoys reembolso a Bernardo Barran</t>
  </si>
  <si>
    <t>SJ - arreglo asientos caceria tapicero SJ</t>
  </si>
  <si>
    <t>SJ - bastones magneticos para  juntar cartuchos del suelo SJ</t>
  </si>
  <si>
    <t>SJ - reposiciones fields arreglos blinds y mesitas caceria reembolso felipe olivera</t>
  </si>
  <si>
    <t>SJ - sillas SJ</t>
  </si>
  <si>
    <t>TH001400000433</t>
  </si>
  <si>
    <t>Extracción de Banco 001400000433 Obs: REVERSA</t>
  </si>
  <si>
    <t>000000001262</t>
  </si>
  <si>
    <t>TH001400000451</t>
  </si>
  <si>
    <t>Extracción de Banco 001400000451 Obs: 31-05-2026  Mov Lodge</t>
  </si>
  <si>
    <t>000000001263</t>
  </si>
  <si>
    <t>CAR - bb mayo 1 nicolas diaz</t>
  </si>
  <si>
    <t>CAR - pelada palomas para reserva de animales Victor Ramirez</t>
  </si>
  <si>
    <t>CAR - comida y surtido casa staff reembolso long</t>
  </si>
  <si>
    <t>CAR - bb mayo 1 agustin bosarich</t>
  </si>
  <si>
    <t>CAR - bb mayo 1 brando ponce</t>
  </si>
  <si>
    <t>CAR - bb mayo 1 mauricio landechea</t>
  </si>
  <si>
    <t>CAR - bb mayo 1 Mato Ochiena</t>
  </si>
  <si>
    <t>CAR - pasajes varios ida a montev y encomienda reembolso Long</t>
  </si>
  <si>
    <t>CAR - articulos limpieza casa staff reembolso Long</t>
  </si>
  <si>
    <t>CAR - bb mayo 1 ruben callero</t>
  </si>
  <si>
    <t>CAR - gasoil y combustible Long</t>
  </si>
  <si>
    <t>CAR - bb mayo 1 victor ramirez</t>
  </si>
  <si>
    <t>CAR - cintas y linterans varias materiales caceria reembolso long</t>
  </si>
  <si>
    <t>CAR - bb mayo 1 maicol silva</t>
  </si>
  <si>
    <t>CAR - Pkf contadores y timbres atrasados abril</t>
  </si>
  <si>
    <t>CAR - adelanto sueldo mayo Franco Rigos</t>
  </si>
  <si>
    <t>CAR - cintas varias reembolso long</t>
  </si>
  <si>
    <t>CAR - cebada atos maiz carmelo</t>
  </si>
  <si>
    <t>CAR - bb mayo 1 edgardo martinez</t>
  </si>
  <si>
    <t>CAR - belater saldo abril bebidas</t>
  </si>
  <si>
    <t>CAR - bb mayo 1denzel maidana lavado y mantenimionto camionetas</t>
  </si>
  <si>
    <t>CAR - bb mayo 1 julian rodriguez</t>
  </si>
  <si>
    <t>CAR - vinos blancos carmelo Las damas juanas</t>
  </si>
  <si>
    <t>CAR - bb mayo 1 Hidalgo</t>
  </si>
  <si>
    <t>TH001400000452</t>
  </si>
  <si>
    <t>Extracción de Banco 001400000452 Obs: 31-05-2026  Mov Lodge</t>
  </si>
  <si>
    <t>CAR - saldo permisos carmelo y sj Mati Vila completa Mayo</t>
  </si>
  <si>
    <t>000000001264</t>
  </si>
  <si>
    <t>CAR - Traspaso a USD SJ</t>
  </si>
  <si>
    <t>CAR - reparaciones armas Carmelo Abril Daniel Fresno</t>
  </si>
  <si>
    <t>CAR - traslados Quique vila Carmelo ABRIL</t>
  </si>
  <si>
    <t>TH001400000453</t>
  </si>
  <si>
    <t>Extracción de Banco 001400000453 Obs: 31-05-2026  Mov Lodge</t>
  </si>
  <si>
    <t>000000001265</t>
  </si>
  <si>
    <t>SJ - combustible ida SJ Sofi</t>
  </si>
  <si>
    <t>SJ - entradsa campos reembolso Felipe Olivera mayo</t>
  </si>
  <si>
    <t>SJ - deb comi freezer</t>
  </si>
  <si>
    <t>SJ - agua local</t>
  </si>
  <si>
    <t>SJ - saldo pintura</t>
  </si>
  <si>
    <t>SJ - pintura SJ</t>
  </si>
  <si>
    <t>SJ - surtido macro para cocina pedido chef</t>
  </si>
  <si>
    <t>SJ - pelego para cliente reembolso Felipe Olivera</t>
  </si>
  <si>
    <t>TH001400000454</t>
  </si>
  <si>
    <t>Extracción de Banco 001400000454 Obs: 31-05-2026  Mov Lodge</t>
  </si>
  <si>
    <t>SJ - deb cokmi</t>
  </si>
  <si>
    <t>000000001266</t>
  </si>
  <si>
    <t>SJ - SMA permisos SJ inpectora Virginia</t>
  </si>
  <si>
    <t>SJ - alquiler dos meses Casa guias SJ</t>
  </si>
  <si>
    <t>SJ - pago zafral a gUia por ayuda unos dias en mayo sj</t>
  </si>
  <si>
    <t>SJ - comida 2 personas ida montev felipe olivera</t>
  </si>
  <si>
    <t>SJ - pago carneada cordero asador</t>
  </si>
  <si>
    <t>SJ - saldo camperas servicio SJ</t>
  </si>
  <si>
    <t>SJ - compras surtido macro pedido Chef</t>
  </si>
  <si>
    <t>SJ - BPS</t>
  </si>
  <si>
    <t>SJ - combustible ida montev felipe olivera</t>
  </si>
  <si>
    <t>SJ - viaticos comida sofi sj</t>
  </si>
  <si>
    <t>SJ - reposiciones Lodge Sofi varias Ver</t>
  </si>
  <si>
    <t>SJ - repo para Carmelo  copas 5252</t>
  </si>
  <si>
    <t>SJ - complementa copas para lodge Carmelo 5252</t>
  </si>
  <si>
    <t>SJ - comida sofi ida carmelo por juicio comida 5250</t>
  </si>
  <si>
    <t>SJ - costo masajes 19 de mayo SJ</t>
  </si>
  <si>
    <t>SJ - articulos para cocina SJ</t>
  </si>
  <si>
    <t>SJ - servilletas SJ deb comi</t>
  </si>
  <si>
    <t>SJ - PKF contadores y timbres atrasados LCO</t>
  </si>
  <si>
    <t>SJ - a favor camperas Servicios SJ</t>
  </si>
  <si>
    <t>SJ - Traspaso para fondear a UL $</t>
  </si>
  <si>
    <t>SJ - pasajes montevideo felipe olivera</t>
  </si>
  <si>
    <t>SJ - bebidas bar Max  distribuidora scoseria</t>
  </si>
  <si>
    <t>SJ - bebidas bar varias Eduardo Nin SJ</t>
  </si>
  <si>
    <t>SJ - comida ida montevideo felipe olivera y otros</t>
  </si>
  <si>
    <t>SJ - vinos Las damas Juanas blancos SJ</t>
  </si>
  <si>
    <t>SJ - antel telefonia SJ</t>
  </si>
  <si>
    <t>TH001400000471</t>
  </si>
  <si>
    <t>Extracción de Banco 001400000471 Obs: Reversión de documento</t>
  </si>
  <si>
    <t>000000001267</t>
  </si>
  <si>
    <t>TI001400000420</t>
  </si>
  <si>
    <t>Ingreso a Caja 001400000420 Obs: Movimiento_Cajas_Bancos_Semana 25-26 al 08-05-2026</t>
  </si>
  <si>
    <t>CAR38- 25/26- Pat Kennedy - viene de SDE 4</t>
  </si>
  <si>
    <t>000000001268</t>
  </si>
  <si>
    <t>SJ1- 26/27- Contrato DU</t>
  </si>
  <si>
    <t>SJ3- 26/27- Contrato DU</t>
  </si>
  <si>
    <t>CAR38- 25/26- Pat Kennedy - ValleySS- WIRE IN GFT 202605010021454 PATRICK R KENNEDY  /REF/MOWF80DE22</t>
  </si>
  <si>
    <t>SJ2- 26/27- Contrato DU</t>
  </si>
  <si>
    <t>TI001400000439</t>
  </si>
  <si>
    <t>Ingreso a Caja 001400000439 Obs: Movimiento_Cajas_Bancos_Semana 25-26 al 15-05-2026</t>
  </si>
  <si>
    <t>SJ5- 26/27- Lawrence Forbes - ValleySW- 5 Checks $ 20.760,00 -08-05-2026</t>
  </si>
  <si>
    <t>000000001270</t>
  </si>
  <si>
    <t>CAR11- 26/27- Frederick L. Flynt Jr  - Cheque 336 - ValleySW- 17 Checks $ 115.241,75 -06-05-2026</t>
  </si>
  <si>
    <t>CAR2- 26/27- Mark W. Hansen - Cheque 5487 por $1665. Comparte con DEL13 - ValleySW- 17 Checks $ 115.</t>
  </si>
  <si>
    <t>CAR10- 26/27- Mitchell Kemppainen - Cheque 133 - ValleySW- 17 Checks $ 115.241,75 -06-05-2026</t>
  </si>
  <si>
    <t>CA.DU30 - 26/27- ValleySW- James S. Penn - Cheque 253 - 17 Checks $ 115.241,75 -06-05-2026</t>
  </si>
  <si>
    <t>CA.DU3- 26/27- Matt Davidson - ValleySW- ACH CREDIT PPD CMPY ID: 1710789332 NEAL HEFNER CONS INV PMT</t>
  </si>
  <si>
    <t>SJ8- 26/27- Duck Unlimited - contract 25-26 - x Fuera del Contrato Excedente</t>
  </si>
  <si>
    <t>TI001400000443</t>
  </si>
  <si>
    <t>Ingreso a Caja 001400000443 Obs: Movimiento_Cajas_Bancos_Semana 25-26 al 22-05-2026</t>
  </si>
  <si>
    <t>SJ7- 26/27- Bill Finnegan - ValleySW- 9 Checks $ 37.600,38 -18-05-2026</t>
  </si>
  <si>
    <t>000000001271</t>
  </si>
  <si>
    <t>SJ7- 26/27- Todd Maclin - ValleySW- WIRE IN GFT 202605180025545 SAMUEL TODD MACLIN  OR SAMUEL TODD M</t>
  </si>
  <si>
    <t>TI001400000445</t>
  </si>
  <si>
    <t>Ingreso a Caja 001400000445 Obs: Movimiento_Cajas_Bancos_Semana 25-26 al 29-05-2026</t>
  </si>
  <si>
    <t>SJ4- 26/27- James King - ValleySW- 7 Checks $ 36.217,50 -21-05-2026</t>
  </si>
  <si>
    <t>000000001272</t>
  </si>
  <si>
    <t>SJ12- 25/26- benjamin Vaughn - ValleySW- 7 Checks $ 36.217,50 -21-05-2026</t>
  </si>
  <si>
    <t>TI001400000446</t>
  </si>
  <si>
    <t>Ingreso a Caja 001400000446 Obs: 31-05-2026  Mov Lodge</t>
  </si>
  <si>
    <t>SJ - Propinas</t>
  </si>
  <si>
    <t>000000001273</t>
  </si>
  <si>
    <t>SJ - Pago de Robert Ebeling SJ23 – 25/26</t>
  </si>
  <si>
    <t>SJ - prestamo Barran</t>
  </si>
  <si>
    <t>SJ - Ingreso dinero para fondo fijo Effie</t>
  </si>
  <si>
    <t>SJ - tips</t>
  </si>
  <si>
    <t>SJ - ingreso para caja chica Felipe Olivera</t>
  </si>
  <si>
    <t>TI001400000462</t>
  </si>
  <si>
    <t>Ingreso a Caja 001400000462 Obs: Movimiento_Cajas_Bancos_Semana 25-26 al 05-06-2026</t>
  </si>
  <si>
    <t>CA.DU32 -26/27-Albert Vallotton -CMSW 05-2026- Paga vía MTP</t>
  </si>
  <si>
    <t>000000001274</t>
  </si>
  <si>
    <t>CA.DU3 -26/27-Michael Hammons -CMSW 05-2026- Paga vía MTP</t>
  </si>
  <si>
    <t>CA.DU29 -26/27-Nathan Giles -CMSW 05-2026- Paga vía MTP</t>
  </si>
  <si>
    <t>CA.DU29 -26/27-Gary Wills -CMSW 05-2026- Paga vía MTP</t>
  </si>
  <si>
    <t>CA.DU29 -26/27-Justin Henard -CMSW 05-2026- Paga vía MTP</t>
  </si>
  <si>
    <t>CA.DU29 -26/27-Robert Young -CMSW 05-2026- Paga vía MTP</t>
  </si>
  <si>
    <t>CA.DU22 -26/27-Scott King -CMSW 05-2026- Paga vía MTP</t>
  </si>
  <si>
    <t>CA.DU22 -26/27-John Underhill -CMSW 05-2026- Paga vía MTP</t>
  </si>
  <si>
    <t>SJ7 -26/27-David Gardner -CMSW 05-2026- Paga vía MTP</t>
  </si>
  <si>
    <t>CA.DU25 -26/27-Juan Garcia -CMSW 05-2026- Paga vía MTP</t>
  </si>
  <si>
    <t>SJ5 -26/27-David Smith -CMSW 05-2026- Pago por el sistema nuevo</t>
  </si>
  <si>
    <t>CA.DU68 -25/26-William Paul Kennedy -CMSW 05-2026- Paga vía MTP</t>
  </si>
  <si>
    <t>SJ7 -26/27-Kevin grace -CMSW 05-2026- Pago por el sistema nuevo</t>
  </si>
  <si>
    <t>CA.DU37 -25/26-Brett Sires -CMSW 05-2026- Pago via MTP</t>
  </si>
  <si>
    <t>SJ2 -26/27-Matthew Puglisi -CMSW 05-2026- Paga vía MTP</t>
  </si>
  <si>
    <t>CAR12 -26/27-Joe Thwaite -CMSW 05-2026- Paga vía web</t>
  </si>
  <si>
    <t>CAR9 -26/27-CJ Allen -CMSW 05-2026- Paga vía MTP</t>
  </si>
  <si>
    <t>TI001400000463</t>
  </si>
  <si>
    <t>Ingreso a Caja 001400000463 Obs: Movimiento_Cajas_Bancos_Semana 25-26 al 05-06-2026</t>
  </si>
  <si>
    <t>000000001275</t>
  </si>
  <si>
    <t>CAR30-Matthew Richard Hodsdon-Extras 25-26-ID-41904 -EXtras 25/26- -CMSW 05-2026-</t>
  </si>
  <si>
    <t>SJ13-Charles Nash-Extras 25-26-ID-15526 -EXtras 25/26- -CMSW 05-2026-</t>
  </si>
  <si>
    <t>SJ20-Patrick Marks-Extras 25-26-ID-36438 -EXtras 25/26- -CMSW 05-2026-</t>
  </si>
  <si>
    <t>CADU31-Jack Thompson-Extras 25-26-ID-32343 -EXtras 25/26- -CMSW 05-2026-</t>
  </si>
  <si>
    <t>SJ17-Tim De Ruyscher-Extras 25-26-ID-662996606 -EXtras 25/26- -CMSW 05-2026-</t>
  </si>
  <si>
    <t>CAR32-Stephen Lanier-Extras 25-26-ID-42104 -EXtras 25/26- -CMSW 05-2026-</t>
  </si>
  <si>
    <t>SJ12-Anu Hamalainen-Extras 25-26-ID-1635989 -EXtras 25/26- -CMSW 05-2026-</t>
  </si>
  <si>
    <t>SJ17-Tom Edwards-Extras 25-26-ID-653679190 -EXtras 25/26- -CMSW 05-2026-</t>
  </si>
  <si>
    <t>SJ17-John Wayman-Extras 25-26-ID-569802463 -EXtras 25/26- -CMSW 05-2026-</t>
  </si>
  <si>
    <t>SJ17-Harold Hefke-Extras 25-26-ID-560302166 -EXtras 25/26- -CMSW 05-2026-</t>
  </si>
  <si>
    <t>SJ. DU6-Greg Parrott-Extras 25-26-ID-650257567 -EXtras 25/26- -CMSW 05-2026-</t>
  </si>
  <si>
    <t>CADU29-Matthew  Davidson-Extras 25-26-ID-43089 -EXtras 25/26- -CMSW 05-2026-</t>
  </si>
  <si>
    <t>SJ20-Win Wilson-Extras 25-26-ID-41557 -EXtras 25/26- -CMSW 05-2026-</t>
  </si>
  <si>
    <t>SJ13-John Beck-Extras 25-26-ID-23509 -EXtras 25/26- -CMSW 05-2026-</t>
  </si>
  <si>
    <t>SJ12-Petri Niemi-Extras 25-26-ID-1895434 -EXtras 25/26- -CMSW 05-2026-</t>
  </si>
  <si>
    <t>SJ13-Brian Smith-Extras 25-26-ID-43043 -EXtras 25/26- -CMSW 05-2026-</t>
  </si>
  <si>
    <t>SJ.DU1-Daniel Walden-Extras 25-26-ID-35039 ( compensa con 35428) -EXtras 25/26- -CMSW 05-2026-</t>
  </si>
  <si>
    <t>SJ 16-Sherry Pearson-Extras 25-26-ID-667525827 -EXtras 25/26- -CMSW 05-2026-</t>
  </si>
  <si>
    <t>SJ 16-Robert Pearson-Extras 25-26-ID-667525828 -EXtras 25/26- -CMSW 05-2026-</t>
  </si>
  <si>
    <t>SJ17-Gregory Frank-Extras 25-26-ID-571685644 -EXtras 25/26- -CMSW 05-2026-</t>
  </si>
  <si>
    <t>SJ15-Todd Maclin-Extras 25-26-ID-10411 -EXtras 25/26- -CMSW 05-2026-</t>
  </si>
  <si>
    <t>SJ.DU1-Rob Morse-Extras 25-26-ID-35428 ( compensa con 35039) -EXtras 25/26- -CMSW 05-2026-</t>
  </si>
  <si>
    <t>SJ15-Taylor Burke-Extras 25-26-ID-43175 -EXtras 25/26- -CMSW 05-2026-</t>
  </si>
  <si>
    <t>SJ20-Phill Marks-Extras 25-26-ID-16966 -EXtras 25/26- -CMSW 05-2026-</t>
  </si>
  <si>
    <t>SJ. DU6-Gregory Lathrop-Extras 25-26-ID-654936707 -EXtras 25/26- -CMSW 05-2026-</t>
  </si>
  <si>
    <t>SJ12-Sarlota Narjus-Extras 25-26-ID-1712778 -EXtras 25/26- -CMSW 05-2026-</t>
  </si>
  <si>
    <t>SJ12-Anti Matti Sikala-Extras 25-26-ID-4928985 -EXtras 25/26- -CMSW 05-2026-</t>
  </si>
  <si>
    <t>SJ17-Jeffrey Ford-Extras 25-26-ID-596154405 -EXtras 25/26- -CMSW 05-2026-</t>
  </si>
  <si>
    <t>SJ13-Peter Beck-Extras 25-26-ID-6470 -EXtras 25/26- -CMSW 05-2026-</t>
  </si>
  <si>
    <t>SJ13-Patrick Oles Jr-Extras 25-26-ID-10751 -EXtras 25/26- -CMSW 05-2026-</t>
  </si>
  <si>
    <t>SJ15-Marshall Payne-Extras 25-26-ID-43041 -EXtras 25/26- -CMSW 05-2026-</t>
  </si>
  <si>
    <t>SJ13-Patrick Oles Father-Extras 25-26-ID-42792 -EXtras 25/26- -CMSW 05-2026-</t>
  </si>
  <si>
    <t>SJ15-Michael Anderson-Extras 25-26-ID-43039 -EXtras 25/26- -CMSW 05-2026-</t>
  </si>
  <si>
    <t>SJ15-Patrick Mc Gee-Extras 25-26-ID-43040 -EXtras 25/26- -CMSW 05-2026-</t>
  </si>
  <si>
    <t>CADU31-Andrew Kershner-Extras 25-26-ID-39379 -EXtras 25/26- -CMSW 05-2026-</t>
  </si>
  <si>
    <t>TI001400000466</t>
  </si>
  <si>
    <t>Ingreso a Caja 001400000466 Obs: RECUPERO COMISIONES</t>
  </si>
  <si>
    <t>000000001277</t>
  </si>
  <si>
    <t>VC000000010207B</t>
  </si>
  <si>
    <t>Asiento de VENTAS (01/09/2025 - 31/5/2026)</t>
  </si>
  <si>
    <t>C B 000000010207</t>
  </si>
  <si>
    <t>000000001278</t>
  </si>
  <si>
    <t>VC000000010208B</t>
  </si>
  <si>
    <t>C B 000000010208</t>
  </si>
  <si>
    <t>000000001279</t>
  </si>
  <si>
    <t>VC000000010209B</t>
  </si>
  <si>
    <t>C B 000000010209</t>
  </si>
  <si>
    <t>000000001280</t>
  </si>
  <si>
    <t>VC000000010210B</t>
  </si>
  <si>
    <t>C B 000000010210</t>
  </si>
  <si>
    <t>000000001281</t>
  </si>
  <si>
    <t>11/05/2026</t>
  </si>
  <si>
    <t>VF000000008539B</t>
  </si>
  <si>
    <t>F B 000000008539</t>
  </si>
  <si>
    <t>Ref. nota de Venta: CA.DU21
Obs.:11-05-2026_CLIENTES</t>
  </si>
  <si>
    <t>000000001282</t>
  </si>
  <si>
    <t>VF000000008540B</t>
  </si>
  <si>
    <t>F B 000000008540</t>
  </si>
  <si>
    <t>000000001283</t>
  </si>
  <si>
    <t>VF000000008541B</t>
  </si>
  <si>
    <t>F B 000000008541</t>
  </si>
  <si>
    <t>Ref. nota de Venta: CA.DU57
Obs.:11-05-2026_CLIENTES</t>
  </si>
  <si>
    <t>000000001284</t>
  </si>
  <si>
    <t>VF000000008542B</t>
  </si>
  <si>
    <t>F B 000000008542</t>
  </si>
  <si>
    <t>000000001285</t>
  </si>
  <si>
    <t>VF000000008543B</t>
  </si>
  <si>
    <t>F B 000000008543</t>
  </si>
  <si>
    <t>000000001286</t>
  </si>
  <si>
    <t>VF000000008544B</t>
  </si>
  <si>
    <t>F B 000000008544</t>
  </si>
  <si>
    <t>000000001287</t>
  </si>
  <si>
    <t>VF000000008545B</t>
  </si>
  <si>
    <t>F B 000000008545</t>
  </si>
  <si>
    <t>Ref. nota de Venta: CAR33
Obs.:11-05-2026_CLIENTES</t>
  </si>
  <si>
    <t>000000001288</t>
  </si>
  <si>
    <t>VF000000008546B</t>
  </si>
  <si>
    <t>F B 000000008546</t>
  </si>
  <si>
    <t>000000001289</t>
  </si>
  <si>
    <t>VF000000008547B</t>
  </si>
  <si>
    <t>F B 000000008547</t>
  </si>
  <si>
    <t>000000001290</t>
  </si>
  <si>
    <t>VF000000008548B</t>
  </si>
  <si>
    <t>F B 000000008548</t>
  </si>
  <si>
    <t>000000001291</t>
  </si>
  <si>
    <t>VF000000008549B</t>
  </si>
  <si>
    <t>F B 000000008549</t>
  </si>
  <si>
    <t>Ref. nota de Venta: SJ 16
Obs.:11-05-2026_CLIENTES</t>
  </si>
  <si>
    <t>000000001292</t>
  </si>
  <si>
    <t>VF000000008550B</t>
  </si>
  <si>
    <t>F B 000000008550</t>
  </si>
  <si>
    <t>000000001293</t>
  </si>
  <si>
    <t>VF000000008551B</t>
  </si>
  <si>
    <t>F B 000000008551</t>
  </si>
  <si>
    <t>Ref. nota de Venta: SJ. DU6
Obs.:11-05-2026_CLIENTES</t>
  </si>
  <si>
    <t>000000001294</t>
  </si>
  <si>
    <t>VF000000008552B</t>
  </si>
  <si>
    <t>F B 000000008552</t>
  </si>
  <si>
    <t>000000001295</t>
  </si>
  <si>
    <t>VF000000008553B</t>
  </si>
  <si>
    <t>F B 000000008553</t>
  </si>
  <si>
    <t>Ref. nota de Venta: SJ.DU1
Obs.:11-05-2026_CLIENTES</t>
  </si>
  <si>
    <t>000000001296</t>
  </si>
  <si>
    <t>VF000000008554B</t>
  </si>
  <si>
    <t>F B 000000008554</t>
  </si>
  <si>
    <t>000000001297</t>
  </si>
  <si>
    <t>VF000000008555B</t>
  </si>
  <si>
    <t>F B 000000008555</t>
  </si>
  <si>
    <t>Ref. nota de Venta: SJ12
Obs.:11-05-2026_CLIENTES</t>
  </si>
  <si>
    <t>000000001298</t>
  </si>
  <si>
    <t>VF000000008556B</t>
  </si>
  <si>
    <t>F B 000000008556</t>
  </si>
  <si>
    <t>000000001299</t>
  </si>
  <si>
    <t>VF000000008557B</t>
  </si>
  <si>
    <t>F B 000000008557</t>
  </si>
  <si>
    <t>000000001300</t>
  </si>
  <si>
    <t>VF000000008558B</t>
  </si>
  <si>
    <t>F B 000000008558</t>
  </si>
  <si>
    <t>000000001301</t>
  </si>
  <si>
    <t>VF000000008559B</t>
  </si>
  <si>
    <t>F B 000000008559</t>
  </si>
  <si>
    <t>Ref. nota de Venta: SJ20
Obs.:11-05-2026_CLIENTES</t>
  </si>
  <si>
    <t>000000001302</t>
  </si>
  <si>
    <t>VF000000008560B</t>
  </si>
  <si>
    <t>F B 000000008560</t>
  </si>
  <si>
    <t>000000001303</t>
  </si>
  <si>
    <t>VF000000008561B</t>
  </si>
  <si>
    <t>F B 000000008561</t>
  </si>
  <si>
    <t>000000001304</t>
  </si>
  <si>
    <t>VF000000008562B</t>
  </si>
  <si>
    <t>F B 000000008562</t>
  </si>
  <si>
    <t>000000001305</t>
  </si>
  <si>
    <t>VF000000008563B</t>
  </si>
  <si>
    <t>F B 000000008563</t>
  </si>
  <si>
    <t>Ref. nota de Venta: SJ88
Obs.:11-05-2026_CLIENTES</t>
  </si>
  <si>
    <t>000000001306</t>
  </si>
  <si>
    <t>VF000000009089B</t>
  </si>
  <si>
    <t>F B 000000009089</t>
  </si>
  <si>
    <t>Ref. nota de Venta: CA.DU59
Obs.:18-05-2026_CLIENTES</t>
  </si>
  <si>
    <t>000000001307</t>
  </si>
  <si>
    <t>VF000000009090B</t>
  </si>
  <si>
    <t>F B 000000009090</t>
  </si>
  <si>
    <t>000000001308</t>
  </si>
  <si>
    <t>VF000000009091B</t>
  </si>
  <si>
    <t>F B 000000009091</t>
  </si>
  <si>
    <t>000000001309</t>
  </si>
  <si>
    <t>VF000000009092B</t>
  </si>
  <si>
    <t>F B 000000009092</t>
  </si>
  <si>
    <t>000000001310</t>
  </si>
  <si>
    <t>VF000000009093B</t>
  </si>
  <si>
    <t>F B 000000009093</t>
  </si>
  <si>
    <t>Ref. nota de Venta: CA.DU6
Obs.:18-05-2026_CLIENTES</t>
  </si>
  <si>
    <t>000000001311</t>
  </si>
  <si>
    <t>VF000000009094B</t>
  </si>
  <si>
    <t>F B 000000009094</t>
  </si>
  <si>
    <t>000000001312</t>
  </si>
  <si>
    <t>VF000000009095B</t>
  </si>
  <si>
    <t>F B 000000009095</t>
  </si>
  <si>
    <t>000000001313</t>
  </si>
  <si>
    <t>VF000000009096B</t>
  </si>
  <si>
    <t>F B 000000009096</t>
  </si>
  <si>
    <t>000000001314</t>
  </si>
  <si>
    <t>VF000000009097B</t>
  </si>
  <si>
    <t>F B 000000009097</t>
  </si>
  <si>
    <t>Ref. nota de Venta: CADU31
Obs.:18-05-2026_CLIENTES</t>
  </si>
  <si>
    <t>000000001315</t>
  </si>
  <si>
    <t>VF000000009098B</t>
  </si>
  <si>
    <t>F B 000000009098</t>
  </si>
  <si>
    <t>000000001316</t>
  </si>
  <si>
    <t>VF000000009099B</t>
  </si>
  <si>
    <t>F B 000000009099</t>
  </si>
  <si>
    <t>000000001317</t>
  </si>
  <si>
    <t>VF000000009100B</t>
  </si>
  <si>
    <t>F B 000000009100</t>
  </si>
  <si>
    <t>000000001318</t>
  </si>
  <si>
    <t>VF000000009101B</t>
  </si>
  <si>
    <t>F B 000000009101</t>
  </si>
  <si>
    <t>Ref. nota de Venta: CAR27
Obs.:18-05-2026_CLIENTES</t>
  </si>
  <si>
    <t>000000001319</t>
  </si>
  <si>
    <t>VF000000009102B</t>
  </si>
  <si>
    <t>F B 000000009102</t>
  </si>
  <si>
    <t>000000001320</t>
  </si>
  <si>
    <t>VF000000009103B</t>
  </si>
  <si>
    <t>F B 000000009103</t>
  </si>
  <si>
    <t>Ref. nota de Venta: CAR30
Obs.:18-05-2026_CLIENTES</t>
  </si>
  <si>
    <t>000000001321</t>
  </si>
  <si>
    <t>VF000000009104B</t>
  </si>
  <si>
    <t>F B 000000009104</t>
  </si>
  <si>
    <t>Ref. nota de Venta: SJ17
Obs.:18-05-2026_CLIENTES</t>
  </si>
  <si>
    <t>000000001322</t>
  </si>
  <si>
    <t>VF000000009105B</t>
  </si>
  <si>
    <t>F B 000000009105</t>
  </si>
  <si>
    <t>000000001323</t>
  </si>
  <si>
    <t>VF000000009106B</t>
  </si>
  <si>
    <t>F B 000000009106</t>
  </si>
  <si>
    <t>000000001324</t>
  </si>
  <si>
    <t>VF000000009107B</t>
  </si>
  <si>
    <t>F B 000000009107</t>
  </si>
  <si>
    <t>000000001325</t>
  </si>
  <si>
    <t>VF000000009108B</t>
  </si>
  <si>
    <t>F B 000000009108</t>
  </si>
  <si>
    <t>000000001326</t>
  </si>
  <si>
    <t>VF000000009109B</t>
  </si>
  <si>
    <t>F B 000000009109</t>
  </si>
  <si>
    <t>000000001327</t>
  </si>
  <si>
    <t>VF000000009110B</t>
  </si>
  <si>
    <t>F B 000000009110</t>
  </si>
  <si>
    <t>Ref. nota de Venta: SJ23
Obs.:18-05-2026_CLIENTES</t>
  </si>
  <si>
    <t>000000001328</t>
  </si>
  <si>
    <t>VF000000009111B</t>
  </si>
  <si>
    <t>F B 000000009111</t>
  </si>
  <si>
    <t>000000001329</t>
  </si>
  <si>
    <t>VF000000009112B</t>
  </si>
  <si>
    <t>F B 000000009112</t>
  </si>
  <si>
    <t>000000001330</t>
  </si>
  <si>
    <t>VF000000009113B</t>
  </si>
  <si>
    <t>F B 000000009113</t>
  </si>
  <si>
    <t>000000001331</t>
  </si>
  <si>
    <t>25/05/2026</t>
  </si>
  <si>
    <t>VF000000009307B</t>
  </si>
  <si>
    <t>F B 000000009307</t>
  </si>
  <si>
    <t>Ref. nota de Venta: CADU31
Obs.:25-05-2026_CLIENTES</t>
  </si>
  <si>
    <t>000000001332</t>
  </si>
  <si>
    <t>VF000000009308B</t>
  </si>
  <si>
    <t>F B 000000009308</t>
  </si>
  <si>
    <t>000000001333</t>
  </si>
  <si>
    <t>VF000000009309B</t>
  </si>
  <si>
    <t>F B 000000009309</t>
  </si>
  <si>
    <t>000000001334</t>
  </si>
  <si>
    <t>VF000000009310B</t>
  </si>
  <si>
    <t>F B 000000009310</t>
  </si>
  <si>
    <t>000000001335</t>
  </si>
  <si>
    <t>VF000000009311B</t>
  </si>
  <si>
    <t>F B 000000009311</t>
  </si>
  <si>
    <t>000000001336</t>
  </si>
  <si>
    <t>VF000000009312B</t>
  </si>
  <si>
    <t>F B 000000009312</t>
  </si>
  <si>
    <t>000000001337</t>
  </si>
  <si>
    <t>VF000000009313B</t>
  </si>
  <si>
    <t>F B 000000009313</t>
  </si>
  <si>
    <t>000000001338</t>
  </si>
  <si>
    <t>VF000000009314B</t>
  </si>
  <si>
    <t>F B 000000009314</t>
  </si>
  <si>
    <t>Ref. nota de Venta: SJ13
Obs.:25-05-2026_CLIENTES</t>
  </si>
  <si>
    <t>000000001339</t>
  </si>
  <si>
    <t>VF000000009315B</t>
  </si>
  <si>
    <t>F B 000000009315</t>
  </si>
  <si>
    <t>000000001340</t>
  </si>
  <si>
    <t>VF000000009316B</t>
  </si>
  <si>
    <t>F B 000000009316</t>
  </si>
  <si>
    <t>000000001341</t>
  </si>
  <si>
    <t>VF000000009317B</t>
  </si>
  <si>
    <t>F B 000000009317</t>
  </si>
  <si>
    <t>000000001342</t>
  </si>
  <si>
    <t>VF000000009318B</t>
  </si>
  <si>
    <t>F B 000000009318</t>
  </si>
  <si>
    <t>000000001343</t>
  </si>
  <si>
    <t>VF000000009319B</t>
  </si>
  <si>
    <t>F B 000000009319</t>
  </si>
  <si>
    <t>000000001344</t>
  </si>
  <si>
    <t>VF000000009320B</t>
  </si>
  <si>
    <t>F B 000000009320</t>
  </si>
  <si>
    <t>Ref. nota de Venta: SJ15
Obs.:25-05-2026_CLIENTES</t>
  </si>
  <si>
    <t>000000001345</t>
  </si>
  <si>
    <t>VF000000009321B</t>
  </si>
  <si>
    <t>F B 000000009321</t>
  </si>
  <si>
    <t>000000001346</t>
  </si>
  <si>
    <t>VF000000009322B</t>
  </si>
  <si>
    <t>F B 000000009322</t>
  </si>
  <si>
    <t>000000001347</t>
  </si>
  <si>
    <t>VF000000009323B</t>
  </si>
  <si>
    <t>F B 000000009323</t>
  </si>
  <si>
    <t>000000001348</t>
  </si>
  <si>
    <t>VF000000009362B</t>
  </si>
  <si>
    <t>F B 000000009362</t>
  </si>
  <si>
    <t>Ref. nota de Venta: CADU 52
Obs.:25-05-2026_CLIENTES</t>
  </si>
  <si>
    <t>000000001349</t>
  </si>
  <si>
    <t>VF000000009363B</t>
  </si>
  <si>
    <t>F B 000000009363</t>
  </si>
  <si>
    <t>000000001350</t>
  </si>
  <si>
    <t>VF000000009532B</t>
  </si>
  <si>
    <t>F B 000000009532</t>
  </si>
  <si>
    <t>Ref. nota de Venta: CADU 52
Obs.:31-05-2026_CLIENTES</t>
  </si>
  <si>
    <t>000000001351</t>
  </si>
  <si>
    <t>VF000000009533B</t>
  </si>
  <si>
    <t>F B 000000009533</t>
  </si>
  <si>
    <t>000000001352</t>
  </si>
  <si>
    <t>VF000000009534B</t>
  </si>
  <si>
    <t>F B 000000009534</t>
  </si>
  <si>
    <t>Ref. nota de Venta: CADU29
Obs.:31-05-2026_CLIENTES</t>
  </si>
  <si>
    <t>000000001353</t>
  </si>
  <si>
    <t>VF000000009535B</t>
  </si>
  <si>
    <t>F B 000000009535</t>
  </si>
  <si>
    <t>000000001354</t>
  </si>
  <si>
    <t>VF000000009536B</t>
  </si>
  <si>
    <t>F B 000000009536</t>
  </si>
  <si>
    <t>000000001355</t>
  </si>
  <si>
    <t>VF000000009537B</t>
  </si>
  <si>
    <t>F B 000000009537</t>
  </si>
  <si>
    <t>000000001356</t>
  </si>
  <si>
    <t>VF000000009538B</t>
  </si>
  <si>
    <t>F B 000000009538</t>
  </si>
  <si>
    <t>Ref. nota de Venta: CAR32
Obs.:31-05-2026_CLIENTES</t>
  </si>
  <si>
    <t>000000001357</t>
  </si>
  <si>
    <t>VF000000009539B</t>
  </si>
  <si>
    <t>F B 000000009539</t>
  </si>
  <si>
    <t>000000001358</t>
  </si>
  <si>
    <t>VF000000009540B</t>
  </si>
  <si>
    <t>F B 000000009540</t>
  </si>
  <si>
    <t>000000001359</t>
  </si>
  <si>
    <t>VF000000009541B</t>
  </si>
  <si>
    <t>F B 000000009541</t>
  </si>
  <si>
    <t>000000001360</t>
  </si>
  <si>
    <t>VF000000009542B</t>
  </si>
  <si>
    <t>F B 000000009542</t>
  </si>
  <si>
    <t>Ref. nota de Venta: SJ15
Obs.:31-05-2026_CLIENTES</t>
  </si>
  <si>
    <t>000000001361</t>
  </si>
  <si>
    <t>VF000000009543B</t>
  </si>
  <si>
    <t>F B 000000009543</t>
  </si>
  <si>
    <t>000000001362</t>
  </si>
  <si>
    <t>VF000000009544B</t>
  </si>
  <si>
    <t>F B 000000009544</t>
  </si>
  <si>
    <t>000000001363</t>
  </si>
  <si>
    <t>VF000000009545B</t>
  </si>
  <si>
    <t>F B 000000009545</t>
  </si>
  <si>
    <t>000000001364</t>
  </si>
  <si>
    <t>VF000000009546B</t>
  </si>
  <si>
    <t>F B 000000009546</t>
  </si>
  <si>
    <t>000000001365</t>
  </si>
  <si>
    <t>VF000000009547B</t>
  </si>
  <si>
    <t>F B 000000009547</t>
  </si>
  <si>
    <t>Ref. nota de Venta: SJ19
Obs.:31-05-2026_CLIENTES</t>
  </si>
  <si>
    <t>000000001366</t>
  </si>
  <si>
    <t>VR000000008911</t>
  </si>
  <si>
    <t>Asiento de COBRANZAS (01/09/2025 - 31/5/2026)</t>
  </si>
  <si>
    <t>Recibo: 000000008911Cliente: MT041953 Obs: 11-05-2026_COBRANZAS_CLIENTES</t>
  </si>
  <si>
    <t>000000001367</t>
  </si>
  <si>
    <t>VR000000008912</t>
  </si>
  <si>
    <t>Recibo: 000000008912Cliente: MT043036 Obs: 11-05-2026_COBRANZAS_CLIENTES</t>
  </si>
  <si>
    <t>000000001368</t>
  </si>
  <si>
    <t>VR000000008913</t>
  </si>
  <si>
    <t>Recibo: 000000008913Cliente: MT043035 Obs: 11-05-2026_COBRANZAS_CLIENTES</t>
  </si>
  <si>
    <t>000000001369</t>
  </si>
  <si>
    <t>VR000000008914</t>
  </si>
  <si>
    <t>Recibo: 000000008914Cliente: MT043034 Obs: 11-05-2026_COBRANZAS_CLIENTES</t>
  </si>
  <si>
    <t>000000001370</t>
  </si>
  <si>
    <t>VR000000008915</t>
  </si>
  <si>
    <t>Recibo: 000000008915Cliente: MT043032 Obs: 11-05-2026_COBRANZAS_CLIENTES</t>
  </si>
  <si>
    <t>000000001371</t>
  </si>
  <si>
    <t>VR000000008916</t>
  </si>
  <si>
    <t>Recibo: 000000008916Cliente: MT042151 Obs: 11-05-2026_COBRANZAS_CLIENTES</t>
  </si>
  <si>
    <t>000000001372</t>
  </si>
  <si>
    <t>VR000000008917</t>
  </si>
  <si>
    <t>Recibo: 000000008917Cliente: MT043037 Obs: 11-05-2026_COBRANZAS_CLIENTES</t>
  </si>
  <si>
    <t>000000001373</t>
  </si>
  <si>
    <t>VR000000008918</t>
  </si>
  <si>
    <t>Recibo: 000000008918Cliente: MT043038 Obs: 11-05-2026_COBRANZAS_CLIENTES</t>
  </si>
  <si>
    <t>000000001374</t>
  </si>
  <si>
    <t>VR000000009172</t>
  </si>
  <si>
    <t>Recibo: 000000009172Cliente: MT663345415 Obs: 18-05-2026_COBRANZAS_CLIENTES</t>
  </si>
  <si>
    <t>000000001375</t>
  </si>
  <si>
    <t>VR000000009173</t>
  </si>
  <si>
    <t>Recibo: 000000009173Cliente: MT590152865 Obs: 18-05-2026_COBRANZAS_CLIENTES</t>
  </si>
  <si>
    <t>000000001376</t>
  </si>
  <si>
    <t>VR000000009174</t>
  </si>
  <si>
    <t>Recibo: 000000009174Cliente: MT557683786 Obs: 18-05-2026_COBRANZAS_CLIENTES</t>
  </si>
  <si>
    <t>000000001377</t>
  </si>
  <si>
    <t>VR000000009175</t>
  </si>
  <si>
    <t>Recibo: 000000009175Cliente: MT15357135 Obs: 18-05-2026_COBRANZAS_CLIENTES</t>
  </si>
  <si>
    <t>000000001378</t>
  </si>
  <si>
    <t>VR000000009176</t>
  </si>
  <si>
    <t>Recibo: 000000009176Cliente: MT653679190 Obs: 18-05-2026_COBRANZAS_CLIENTES</t>
  </si>
  <si>
    <t>000000001379</t>
  </si>
  <si>
    <t>VR000000009177</t>
  </si>
  <si>
    <t>Recibo: 000000009177Cliente: MT041904 Obs: 18-05-2026_COBRANZAS_CLIENTES</t>
  </si>
  <si>
    <t>000000001380</t>
  </si>
  <si>
    <t>VR000000009178</t>
  </si>
  <si>
    <t>Recibo: 000000009178Cliente: MT043152 Obs: 18-05-2026_COBRANZAS_CLIENTES</t>
  </si>
  <si>
    <t>000000001381</t>
  </si>
  <si>
    <t>VR000000009179</t>
  </si>
  <si>
    <t>Recibo: 000000009179Cliente: MT043151 Obs: 18-05-2026_COBRANZAS_CLIENTES</t>
  </si>
  <si>
    <t>000000001382</t>
  </si>
  <si>
    <t>VR000000009180</t>
  </si>
  <si>
    <t>Recibo: 000000009180Cliente: MT042074 Obs: 18-05-2026_COBRANZAS_CLIENTES</t>
  </si>
  <si>
    <t>000000001383</t>
  </si>
  <si>
    <t>VR000000009181</t>
  </si>
  <si>
    <t>Recibo: 000000009181Cliente: MT043150 Obs: 18-05-2026_COBRANZAS_CLIENTES</t>
  </si>
  <si>
    <t>000000001384</t>
  </si>
  <si>
    <t>VR000000009354</t>
  </si>
  <si>
    <t>Recibo: 000000009354Cliente: MT032345 Obs: 25-05-2026_COBRANZAS_CLIENTES</t>
  </si>
  <si>
    <t>000000001385</t>
  </si>
  <si>
    <t>VR000000009355</t>
  </si>
  <si>
    <t>Recibo: 000000009355Cliente: MT032342 Obs: 25-05-2026_COBRANZAS_CLIENTES</t>
  </si>
  <si>
    <t>000000001386</t>
  </si>
  <si>
    <t>VR000000009356</t>
  </si>
  <si>
    <t>Recibo: 000000009356Cliente: MT043042 Obs: 25-05-2026_COBRANZAS_CLIENTES</t>
  </si>
  <si>
    <t>000000001387</t>
  </si>
  <si>
    <t>VR000000009357</t>
  </si>
  <si>
    <t>Recibo: 000000009357Cliente: MT043039 Obs: 25-05-2026_COBRANZAS_CLIENTES</t>
  </si>
  <si>
    <t>000000001388</t>
  </si>
  <si>
    <t>VR000000009358</t>
  </si>
  <si>
    <t>Recibo: 000000009358Cliente: MT043041 Obs: 25-05-2026_COBRANZAS_CLIENTES</t>
  </si>
  <si>
    <t>000000001389</t>
  </si>
  <si>
    <t>VR000000009359</t>
  </si>
  <si>
    <t>Recibo: 000000009359Cliente: MT043040 Obs: 25-05-2026_COBRANZAS_CLIENTES</t>
  </si>
  <si>
    <t>000000001390</t>
  </si>
  <si>
    <t>VR000000009366</t>
  </si>
  <si>
    <t>Recibo: 000000009366Cliente: MT043307 Obs: 25-05-2026_COBRANZAS_CLIENTES</t>
  </si>
  <si>
    <t>000000001391</t>
  </si>
  <si>
    <t>VR000000009367</t>
  </si>
  <si>
    <t>Recibo: 000000009367Cliente: MT029991 Obs: 25-05-2026_COBRANZAS_CLIENTES</t>
  </si>
  <si>
    <t>000000001392</t>
  </si>
  <si>
    <t>VR000000009631</t>
  </si>
  <si>
    <t>Recibo: 000000009631Cliente: MT010411 Obs: 31-05-2026_COBRANZAS_CLIENTES</t>
  </si>
  <si>
    <t>000000001393</t>
  </si>
  <si>
    <t>VR000000009632</t>
  </si>
  <si>
    <t>Recibo: 000000009632Cliente: MT026093 Obs: 31-05-2026_COBRANZAS_CLIENTES</t>
  </si>
  <si>
    <t>000000001394</t>
  </si>
  <si>
    <t>VR000000009633</t>
  </si>
  <si>
    <t>Recibo: 000000009633Cliente: MT043175 Obs: 31-05-2026_COBRANZAS_CLIENTES</t>
  </si>
  <si>
    <t>000000001395</t>
  </si>
  <si>
    <t>VR000000009634</t>
  </si>
  <si>
    <t>Recibo: 000000009634Cliente: MT043173 Obs: 31-05-2026_COBRANZAS_CLIENTES</t>
  </si>
  <si>
    <t>000000001396</t>
  </si>
  <si>
    <t>VR000000009635</t>
  </si>
  <si>
    <t>Recibo: 000000009635Cliente: MT043174 Obs: 31-05-2026_COBRANZAS_CLIENTES</t>
  </si>
  <si>
    <t>000000001397</t>
  </si>
  <si>
    <t>VR000000009636</t>
  </si>
  <si>
    <t>Recibo: 000000009636Cliente: MT043089 Obs: 31-05-2026_COBRANZAS_CLIENTES</t>
  </si>
  <si>
    <t>000000001398</t>
  </si>
  <si>
    <t>VR000000009637</t>
  </si>
  <si>
    <t>Recibo: 000000009637Cliente: MT043088 Obs: 31-05-2026_COBRANZAS_CLIENTES</t>
  </si>
  <si>
    <t>000000001399</t>
  </si>
  <si>
    <t>VR000000009638</t>
  </si>
  <si>
    <t>Recibo: 000000009638Cliente: MT043087 Obs: 31-05-2026_COBRANZAS_CLIENTES</t>
  </si>
  <si>
    <t>000000001400</t>
  </si>
  <si>
    <t>VR000000009639</t>
  </si>
  <si>
    <t>Recibo: 000000009639Cliente: MT040821 Obs: 31-05-2026_COBRANZAS_CLIENTES</t>
  </si>
  <si>
    <t>000000001401</t>
  </si>
  <si>
    <t>VR000000010023</t>
  </si>
  <si>
    <t>Recibo: 000000010023Cliente: MT040248 Obs: CA.DU21-Jake Paul Hamilton-Extras 25-26-ID-42887 - CA.DU21-Rachae Louise Bell-Extras 25-26-ID-40248</t>
  </si>
  <si>
    <t>000000001402</t>
  </si>
  <si>
    <t>VR000000010024</t>
  </si>
  <si>
    <t>Recibo: 000000010024Cliente: MT042887 Obs: CA.DU21-Jake Paul Hamilton-Extras 25-26-ID-42887 - CA.DU21-Rachae Louise Bell-Extras 25-26-ID-40248</t>
  </si>
  <si>
    <t>000000001403</t>
  </si>
  <si>
    <t>VR000000010025</t>
  </si>
  <si>
    <t>Recibo: 000000010025Cliente: MT043037 Obs: CA.DU57-James Hardtner Klumpp-Extras 25-26-ID-43037 - CA.DU57-Julie Ann Klumpp-Extras 25-26-ID-43038</t>
  </si>
  <si>
    <t>000000001404</t>
  </si>
  <si>
    <t>VR000000010026</t>
  </si>
  <si>
    <t>Recibo: 000000010026Cliente: MT043038 Obs: CA.DU57-James Hardtner Klumpp-Extras 25-26-ID-43037 - CA.DU57-Julie Ann Klumpp-Extras 25-26-ID-43038</t>
  </si>
  <si>
    <t>000000001405</t>
  </si>
  <si>
    <t>VR000000010027</t>
  </si>
  <si>
    <t>Recibo: 000000010027Cliente: MT041953 Obs: CA.DU57-Richard Weston Keenan-ID-41953 y Erica Renee Pocs Extras 25-26 - ID 43036 -EXtras 25/26- -CM</t>
  </si>
  <si>
    <t>000000001406</t>
  </si>
  <si>
    <t>VR000000010028</t>
  </si>
  <si>
    <t>Recibo: 000000010028Cliente: MT043036 Obs: CA.DU57-Richard Weston Keenan-ID-41953 y Erica Renee Pocs Extras 25-26 - ID 43036 -EXtras 25/26- -CM</t>
  </si>
  <si>
    <t>000000001407</t>
  </si>
  <si>
    <t>VR000000010029</t>
  </si>
  <si>
    <t>Recibo: 000000010029Cliente: MT042074 Obs: CA.DU59-Jed Scott Lamb-Extras 25-26-ID-43150 - CA.DU59-Emily Hume Lamb-Extras 25-26-ID-42074 -EXtras</t>
  </si>
  <si>
    <t>000000001408</t>
  </si>
  <si>
    <t>VR000000010030</t>
  </si>
  <si>
    <t>Recibo: 000000010030Cliente: MT043150 Obs: CA.DU59-Jed Scott Lamb-Extras 25-26-ID-43150 - CA.DU59-Emily Hume Lamb-Extras 25-26-ID-42074 -EXtras</t>
  </si>
  <si>
    <t>000000001409</t>
  </si>
  <si>
    <t>VR000000010031</t>
  </si>
  <si>
    <t>Recibo: 000000010031Cliente: MT043151 Obs: CA.DU59-Scott Bailey Gramling Jr.-Extras 25-26-ID-43152 - CA.DU59-Aubrey Beckner-Extras 25-26-ID-431</t>
  </si>
  <si>
    <t>000000001410</t>
  </si>
  <si>
    <t>VR000000010032</t>
  </si>
  <si>
    <t>Recibo: 000000010032Cliente: MT043152 Obs: CA.DU59-Scott Bailey Gramling Jr.-Extras 25-26-ID-43152 - CA.DU59-Aubrey Beckner-Extras 25-26-ID-431</t>
  </si>
  <si>
    <t>000000001411</t>
  </si>
  <si>
    <t>VR000000010033</t>
  </si>
  <si>
    <t>Recibo: 000000010033Cliente: MT043047 Obs: CA.DU6-Molly Renee Hester-Extras 25-26-ID-43048 - CA.DU6-David Paul Hester-Extras 25-26-ID-43047 -EX</t>
  </si>
  <si>
    <t>000000001412</t>
  </si>
  <si>
    <t>VR000000010034</t>
  </si>
  <si>
    <t>Recibo: 000000010034Cliente: MT043048 Obs: CA.DU6-Molly Renee Hester-Extras 25-26-ID-43048 - CA.DU6-David Paul Hester-Extras 25-26-ID-43047 -EX</t>
  </si>
  <si>
    <t>000000001413</t>
  </si>
  <si>
    <t>VR000000010035</t>
  </si>
  <si>
    <t>Recibo: 000000010035Cliente: MT038680 Obs: CA.DU6-Riley Wayne Emter-Extras 25-26-ID-38680 - CA.DU6-Lauren Quigley Emter-Extras 25-26-ID-43046 -</t>
  </si>
  <si>
    <t>000000001414</t>
  </si>
  <si>
    <t>VR000000010036</t>
  </si>
  <si>
    <t>Recibo: 000000010036Cliente: MT043046 Obs: CA.DU6-Riley Wayne Emter-Extras 25-26-ID-38680 - CA.DU6-Lauren Quigley Emter-Extras 25-26-ID-43046 -</t>
  </si>
  <si>
    <t>000000001415</t>
  </si>
  <si>
    <t>VR000000010037</t>
  </si>
  <si>
    <t>Recibo: 000000010037Cliente: MT043088 Obs: CADU29-Amanda Stone-Extras 25-26-ID-43087 - CADU29-Cody Davidson-Extras 25-26-ID-40821 - CADU29-Lenn</t>
  </si>
  <si>
    <t>000000001416</t>
  </si>
  <si>
    <t>VR000000010038</t>
  </si>
  <si>
    <t>Recibo: 000000010038Cliente: MT043087 Obs: CADU29-Amanda Stone-Extras 25-26-ID-43087 - CADU29-Cody Davidson-Extras 25-26-ID-40821 - CADU29-Lenn</t>
  </si>
  <si>
    <t>000000001417</t>
  </si>
  <si>
    <t>VR000000010039</t>
  </si>
  <si>
    <t>Recibo: 000000010039Cliente: MT040821 Obs: CADU29-Amanda Stone-Extras 25-26-ID-43087 - CADU29-Cody Davidson-Extras 25-26-ID-40821 - CADU29-Lenn</t>
  </si>
  <si>
    <t>000000001418</t>
  </si>
  <si>
    <t>VR000000010040</t>
  </si>
  <si>
    <t>Recibo: 000000010040Cliente: MT043088 Obs: CADU29-Amanda Stone-Extras 25-26-ID-43087 - CADU29-Cody Davidson-Extras 25-26-ID-40821 - CADU29-Lenn</t>
  </si>
  <si>
    <t>000000001419</t>
  </si>
  <si>
    <t>VR000000010041</t>
  </si>
  <si>
    <t>Recibo: 000000010041Cliente: MT043089 Obs: CADU29-Matthew  Davidson-Extras 25-26-ID-43089 -EXtras 25/26- -CMSW 05-2026-</t>
  </si>
  <si>
    <t>000000001420</t>
  </si>
  <si>
    <t>VR000000010042</t>
  </si>
  <si>
    <t>Recibo: 000000010042Cliente: MT032346 Obs: CADU31- Joseph Gilmore - Extras 25-26- ID  32346 - Beneficios Elite Club -EXtras 25/26- -CMSW 05-202</t>
  </si>
  <si>
    <t>000000001421</t>
  </si>
  <si>
    <t>VR000000010043</t>
  </si>
  <si>
    <t>Recibo: 000000010043Cliente: MT039379 Obs: CADU31-Andrew Kershner-Extras 25-26-ID-39379 -EXtras 25/26- -CMSW 05-2026-</t>
  </si>
  <si>
    <t>000000001422</t>
  </si>
  <si>
    <t>VR000000010044</t>
  </si>
  <si>
    <t>Recibo: 000000010044Cliente: MT032343 Obs: CADU31-Jack Thompson-Extras 25-26-ID-32343 -EXtras 25/26- -CMSW 05-2026-</t>
  </si>
  <si>
    <t>000000001423</t>
  </si>
  <si>
    <t>VR000000010045</t>
  </si>
  <si>
    <t>Recibo: 000000010045Cliente: MT032344 Obs: CADU31-Jens Steenstrup-Extras 25-26-ID-32344 - CADU31-Hans Steenstrup-Extras 25-26-ID-32365 -EXtras</t>
  </si>
  <si>
    <t>000000001424</t>
  </si>
  <si>
    <t>VR000000010046</t>
  </si>
  <si>
    <t>Recibo: 000000010046Cliente: MT032365 Obs: CADU31-Jens Steenstrup-Extras 25-26-ID-32344 - CADU31-Hans Steenstrup-Extras 25-26-ID-32365 -EXtras</t>
  </si>
  <si>
    <t>000000001425</t>
  </si>
  <si>
    <t>VR000000010047</t>
  </si>
  <si>
    <t>Recibo: 000000010047Cliente: MT041704 Obs: CAR27-Richard Lewis Holland-Extras 25-26-ID-41704 - CAR27-Kurt Nathan Holland-Extras 25-26-ID-42127</t>
  </si>
  <si>
    <t>000000001426</t>
  </si>
  <si>
    <t>VR000000010048</t>
  </si>
  <si>
    <t>Recibo: 000000010048Cliente: MT042127 Obs: CAR27-Richard Lewis Holland-Extras 25-26-ID-41704 - CAR27-Kurt Nathan Holland-Extras 25-26-ID-42127</t>
  </si>
  <si>
    <t>000000001427</t>
  </si>
  <si>
    <t>VR000000010049</t>
  </si>
  <si>
    <t>Recibo: 000000010049Cliente: MT041904 Obs: CAR30-Matthew Richard Hodsdon-Extras 25-26-ID-41904 -EXtras 25/26- -CMSW 05-2026-</t>
  </si>
  <si>
    <t>000000001428</t>
  </si>
  <si>
    <t>VR000000010050</t>
  </si>
  <si>
    <t>Recibo: 000000010050Cliente: MT042104 Obs: CAR32-Stephen Lanier-Extras 25-26-ID-42104 -EXtras 25/26- -CMSW 05-2026-</t>
  </si>
  <si>
    <t>000000001429</t>
  </si>
  <si>
    <t>VR000000010051</t>
  </si>
  <si>
    <t>Recibo: 000000010051Cliente: MT042151 Obs: CAR33-Charles Merritt Horton-Extras 25-26-ID-43035 - CAR33-Leigh Ann Horton-Extras 25-26-ID-42151 -</t>
  </si>
  <si>
    <t>000000001430</t>
  </si>
  <si>
    <t>VR000000010052</t>
  </si>
  <si>
    <t>Recibo: 000000010052Cliente: MT043032 Obs: CAR33-Charles Merritt Horton-Extras 25-26-ID-43035 - CAR33-Leigh Ann Horton-Extras 25-26-ID-42151 -</t>
  </si>
  <si>
    <t>000000001431</t>
  </si>
  <si>
    <t>VR000000010053</t>
  </si>
  <si>
    <t>Recibo: 000000010053Cliente: MT043034 Obs: CAR33-Charles Merritt Horton-Extras 25-26-ID-43035 - CAR33-Leigh Ann Horton-Extras 25-26-ID-42151 -</t>
  </si>
  <si>
    <t>000000001432</t>
  </si>
  <si>
    <t>VR000000010054</t>
  </si>
  <si>
    <t>Recibo: 000000010054Cliente: MT043035 Obs: CAR33-Charles Merritt Horton-Extras 25-26-ID-43035 - CAR33-Leigh Ann Horton-Extras 25-26-ID-42151 -</t>
  </si>
  <si>
    <t>000000001433</t>
  </si>
  <si>
    <t>VR000000010055</t>
  </si>
  <si>
    <t>Recibo: 000000010055Cliente: MT667525828 Obs: SJ 16-Robert Pearson-Extras 25-26-ID-667525828 -EXtras 25/26- -CMSW 05-2026-</t>
  </si>
  <si>
    <t>000000001434</t>
  </si>
  <si>
    <t>VR000000010056</t>
  </si>
  <si>
    <t>Recibo: 000000010056Cliente: MT667525827 Obs: SJ 16-Sherry Pearson-Extras 25-26-ID-667525827 -EXtras 25/26- -CMSW 05-2026-</t>
  </si>
  <si>
    <t>000000001435</t>
  </si>
  <si>
    <t>VR000000010057</t>
  </si>
  <si>
    <t>Recibo: 000000010057Cliente: MT650257567 Obs: SJ. DU6-Greg Parrott-Extras 25-26-ID-650257567 -EXtras 25/26- -CMSW 05-2026-</t>
  </si>
  <si>
    <t>000000001436</t>
  </si>
  <si>
    <t>VR000000010058</t>
  </si>
  <si>
    <t>Recibo: 000000010058Cliente: MT654936707 Obs: SJ. DU6-Gregory Lathrop-Extras 25-26-ID-654936707 -EXtras 25/26- -CMSW 05-2026-</t>
  </si>
  <si>
    <t>000000001437</t>
  </si>
  <si>
    <t>VR000000010059</t>
  </si>
  <si>
    <t>Recibo: 000000010059Cliente: MT035039 Obs: SJ.DU1-Daniel Walden-Extras 25-26-ID-35039 ( compensa con 35428) -EXtras 25/26- -CMSW 05-2026-</t>
  </si>
  <si>
    <t>000000001438</t>
  </si>
  <si>
    <t>VR000000010060</t>
  </si>
  <si>
    <t>Recibo: 000000010060Cliente: MT035428 Obs: SJ.DU1-Rob Morse-Extras 25-26-ID-35428 ( compensa con 35039) -EXtras 25/26- -CMSW 05-2026-</t>
  </si>
  <si>
    <t>000000001439</t>
  </si>
  <si>
    <t>VR000000010061</t>
  </si>
  <si>
    <t>Recibo: 000000010061Cliente: MT4928985 Obs: SJ12-Anti Matti Sikala-Extras 25-26-ID-4928985 -EXtras 25/26- -CMSW 05-2026-</t>
  </si>
  <si>
    <t>000000001440</t>
  </si>
  <si>
    <t>VR000000010062</t>
  </si>
  <si>
    <t>Recibo: 000000010062Cliente: MT1635989 Obs: SJ12-Anu Hamalainen-Extras 25-26-ID-1635989 -EXtras 25/26- -CMSW 05-2026-</t>
  </si>
  <si>
    <t>000000001441</t>
  </si>
  <si>
    <t>VR000000010063</t>
  </si>
  <si>
    <t>Recibo: 000000010063Cliente: MT1895434 Obs: SJ12-Petri Niemi-Extras 25-26-ID-1895434 -EXtras 25/26- -CMSW 05-2026-</t>
  </si>
  <si>
    <t>000000001442</t>
  </si>
  <si>
    <t>VR000000010064</t>
  </si>
  <si>
    <t>Recibo: 000000010064Cliente: MT1712778 Obs: SJ12-Sarlota Narjus-Extras 25-26-ID-1712778 -EXtras 25/26- -CMSW 05-2026-</t>
  </si>
  <si>
    <t>000000001443</t>
  </si>
  <si>
    <t>VR000000010065</t>
  </si>
  <si>
    <t>Recibo: 000000010065Cliente: MT043043 Obs: SJ13-Brian Smith-Extras 25-26-ID-43043 -EXtras 25/26- -CMSW 05-2026-</t>
  </si>
  <si>
    <t>000000001444</t>
  </si>
  <si>
    <t>VR000000010066</t>
  </si>
  <si>
    <t>Recibo: 000000010066Cliente: MT015526 Obs: SJ13-Charles Nash-Extras 25-26-ID-15526 -EXtras 25/26- -CMSW 05-2026-</t>
  </si>
  <si>
    <t>000000001445</t>
  </si>
  <si>
    <t>VR000000010067</t>
  </si>
  <si>
    <t>Recibo: 000000010067Cliente: MT023509 Obs: SJ13-John Beck-Extras 25-26-ID-23509 -EXtras 25/26- -CMSW 05-2026-</t>
  </si>
  <si>
    <t>000000001446</t>
  </si>
  <si>
    <t>VR000000010068</t>
  </si>
  <si>
    <t>Recibo: 000000010068Cliente: MT042792 Obs: SJ13-Patrick Oles Father-Extras 25-26-ID-42792 -EXtras 25/26- -CMSW 05-2026-</t>
  </si>
  <si>
    <t>000000001447</t>
  </si>
  <si>
    <t>VR000000010069</t>
  </si>
  <si>
    <t>Recibo: 000000010069Cliente: MT010751 Obs: SJ13-Patrick Oles Jr-Extras 25-26-ID-10751 -EXtras 25/26- -CMSW 05-2026-</t>
  </si>
  <si>
    <t>000000001448</t>
  </si>
  <si>
    <t>VR000000010070</t>
  </si>
  <si>
    <t>Recibo: 000000010070Cliente: MT006470 Obs: SJ13-Peter Beck-Extras 25-26-ID-6470 -EXtras 25/26- -CMSW 05-2026-</t>
  </si>
  <si>
    <t>000000001449</t>
  </si>
  <si>
    <t>VR000000010071</t>
  </si>
  <si>
    <t>Recibo: 000000010071Cliente: MT043041 Obs: SJ15-Marshall Payne-Extras 25-26-ID-43041 -EXtras 25/26- -CMSW 05-2026-</t>
  </si>
  <si>
    <t>000000001450</t>
  </si>
  <si>
    <t>VR000000010072</t>
  </si>
  <si>
    <t>Recibo: 000000010072Cliente: MT043039 Obs: SJ15-Michael Anderson-Extras 25-26-ID-43039 -EXtras 25/26- -CMSW 05-2026-</t>
  </si>
  <si>
    <t>000000001451</t>
  </si>
  <si>
    <t>VR000000010073</t>
  </si>
  <si>
    <t>Recibo: 000000010073Cliente: MT043040 Obs: SJ15-Patrick Mc Gee-Extras 25-26-ID-43040 -EXtras 25/26- -CMSW 05-2026-</t>
  </si>
  <si>
    <t>000000001452</t>
  </si>
  <si>
    <t>VR000000010074</t>
  </si>
  <si>
    <t>Recibo: 000000010074Cliente: MT043175 Obs: SJ15-Taylor Burke-Extras 25-26-ID-43175 -EXtras 25/26- -CMSW 05-2026-</t>
  </si>
  <si>
    <t>000000001453</t>
  </si>
  <si>
    <t>VR000000010075</t>
  </si>
  <si>
    <t>Recibo: 000000010075Cliente: MT010411 Obs: SJ15-Todd Maclin-Extras 25-26-ID-10411 -EXtras 25/26- -CMSW 05-2026-</t>
  </si>
  <si>
    <t>000000001454</t>
  </si>
  <si>
    <t>VR000000010076</t>
  </si>
  <si>
    <t>Recibo: 000000010076Cliente: MT571685644 Obs: SJ17-Gregory Frank-Extras 25-26-ID-571685644 -EXtras 25/26- -CMSW 05-2026-</t>
  </si>
  <si>
    <t>000000001455</t>
  </si>
  <si>
    <t>VR000000010077</t>
  </si>
  <si>
    <t>Recibo: 000000010077Cliente: MT560302166 Obs: SJ17-Harold Hefke-Extras 25-26-ID-560302166 -EXtras 25/26- -CMSW 05-2026-</t>
  </si>
  <si>
    <t>000000001456</t>
  </si>
  <si>
    <t>VR000000010078</t>
  </si>
  <si>
    <t>Recibo: 000000010078Cliente: MT596154405 Obs: SJ17-Jeffrey Ford-Extras 25-26-ID-596154405 -EXtras 25/26- -CMSW 05-2026-</t>
  </si>
  <si>
    <t>000000001457</t>
  </si>
  <si>
    <t>VR000000010079</t>
  </si>
  <si>
    <t>Recibo: 000000010079Cliente: MT569802463 Obs: SJ17-John Wayman-Extras 25-26-ID-569802463 -EXtras 25/26- -CMSW 05-2026-</t>
  </si>
  <si>
    <t>000000001458</t>
  </si>
  <si>
    <t>VR000000010080</t>
  </si>
  <si>
    <t>Recibo: 000000010080Cliente: MT662996606 Obs: SJ17-Tim De Ruyscher-Extras 25-26-ID-662996606 -EXtras 25/26- -CMSW 05-2026-</t>
  </si>
  <si>
    <t>000000001459</t>
  </si>
  <si>
    <t>VR000000010081</t>
  </si>
  <si>
    <t>Recibo: 000000010081Cliente: MT653679190 Obs: SJ17-Tom Edwards-Extras 25-26-ID-653679190 -EXtras 25/26- -CMSW 05-2026-</t>
  </si>
  <si>
    <t>000000001460</t>
  </si>
  <si>
    <t>VR000000010082</t>
  </si>
  <si>
    <t>Recibo: 000000010082Cliente: MT036438 Obs: SJ20-Patrick Marks-Extras 25-26-ID-36438 -EXtras 25/26- -CMSW 05-2026-</t>
  </si>
  <si>
    <t>000000001461</t>
  </si>
  <si>
    <t>VR000000010083</t>
  </si>
  <si>
    <t>Recibo: 000000010083Cliente: MT016966 Obs: SJ20-Phill Marks-Extras 25-26-ID-16966 -EXtras 25/26- -CMSW 05-2026-</t>
  </si>
  <si>
    <t>000000001462</t>
  </si>
  <si>
    <t>VR000000010084</t>
  </si>
  <si>
    <t>Recibo: 000000010084Cliente: MT041557 Obs: SJ20-Win Wilson-Extras 25-26-ID-41557 -EXtras 25/26- -CMSW 05-2026-</t>
  </si>
  <si>
    <t>000000001463</t>
  </si>
  <si>
    <t>VR000000010260</t>
  </si>
  <si>
    <t>Recibo: 000000010260Cliente: MT042104 Obs: Reversión de documento</t>
  </si>
  <si>
    <t>000000001464</t>
  </si>
  <si>
    <t>VR000000010262</t>
  </si>
  <si>
    <t>Recibo: 000000010262Cliente: MT043213 Obs: CAR32-Stephen Lanier-Extras 25-26-ID-42104 -EXtras 25/26- -CMSW 05-2026-</t>
  </si>
  <si>
    <t>000000001465</t>
  </si>
  <si>
    <t>VR000000010263</t>
  </si>
  <si>
    <t>Recibo: 000000010263Cliente: MT043215 Obs: CAR32-Stephen Lanier-Extras 25-26-ID-42104 -EXtras 25/26- -CMSW 05-2026-</t>
  </si>
  <si>
    <t>000000001466</t>
  </si>
  <si>
    <t>VR000000010264</t>
  </si>
  <si>
    <t>Recibo: 000000010264Cliente: MT043214 Obs: CAR32-Stephen Lanier-Extras 25-26-ID-42104 -EXtras 25/26- -CMSW 05-2026-</t>
  </si>
  <si>
    <t>000000001467</t>
  </si>
  <si>
    <t>MAYO</t>
  </si>
  <si>
    <t>Richard Weston Keenan</t>
  </si>
  <si>
    <t>CA.DU57</t>
  </si>
  <si>
    <t>Rachae Louise Bell</t>
  </si>
  <si>
    <t>CA.DU21</t>
  </si>
  <si>
    <t>Leigh Ann Horton</t>
  </si>
  <si>
    <t>CAR33</t>
  </si>
  <si>
    <t>Emily Hume Lamb</t>
  </si>
  <si>
    <t>CA.DU59</t>
  </si>
  <si>
    <t>Riley Wayne Emter</t>
  </si>
  <si>
    <t>CA.DU6</t>
  </si>
  <si>
    <t>Richard Lewis Holland</t>
  </si>
  <si>
    <t>CAR27</t>
  </si>
  <si>
    <t>Matthew Richard Hodsdon</t>
  </si>
  <si>
    <t>CAR30</t>
  </si>
  <si>
    <t>Robert Gustin</t>
  </si>
  <si>
    <t>CADU31</t>
  </si>
  <si>
    <t>Jakob Smith</t>
  </si>
  <si>
    <t>CADU 52</t>
  </si>
  <si>
    <t>Stephen Lanier</t>
  </si>
  <si>
    <t>CAR32</t>
  </si>
  <si>
    <t>Cody Davidson</t>
  </si>
  <si>
    <t>CADU29</t>
  </si>
  <si>
    <t>Arrival (date) APP</t>
  </si>
  <si>
    <t>Departure (date) APP</t>
  </si>
  <si>
    <t>Arrival (date) Ventas</t>
  </si>
  <si>
    <t>Departure (date) Ventas</t>
  </si>
  <si>
    <t>Phill Marks</t>
  </si>
  <si>
    <t>SJ20</t>
  </si>
  <si>
    <t>Daniel Walden</t>
  </si>
  <si>
    <t>SJ.DU1</t>
  </si>
  <si>
    <t>Sherry Pearson</t>
  </si>
  <si>
    <t>SJ 16</t>
  </si>
  <si>
    <t>Greg Parrott</t>
  </si>
  <si>
    <t>SJ. DU6</t>
  </si>
  <si>
    <t>Anu Hamalainen</t>
  </si>
  <si>
    <t>SJ2</t>
  </si>
  <si>
    <t>Harold Hefke</t>
  </si>
  <si>
    <t>SJ17</t>
  </si>
  <si>
    <t>Elizabeth Ebeling</t>
  </si>
  <si>
    <t>SJ23</t>
  </si>
  <si>
    <t>Peter Beck</t>
  </si>
  <si>
    <t>SJ13</t>
  </si>
  <si>
    <t>AJ A 5313 DIF</t>
  </si>
  <si>
    <t>TEMPORARIOS EN ABRIL APP
VEE DIF CONTRA 5313</t>
  </si>
  <si>
    <t>PEND HASTA DEV DE PRESTAMO</t>
  </si>
  <si>
    <t>AJJUSTA usd 2712 POSITIVOS AMBOS</t>
  </si>
  <si>
    <t>honorarios mayo Mati Vila</t>
  </si>
  <si>
    <t>alquiler camionetas multicar carmelo mayo</t>
  </si>
  <si>
    <t>peajes mayo carmelo Multicar</t>
  </si>
  <si>
    <t>compro perdices para caceria Reembolos felipe olivera</t>
  </si>
  <si>
    <t>alquiler camionetas multicar mayo</t>
  </si>
  <si>
    <t>tip mayo Effie young</t>
  </si>
  <si>
    <t>peajes  mayo Multicar SJ</t>
  </si>
  <si>
    <t>entrada campos principio temporada hasta mayo La tortuga SJ</t>
  </si>
  <si>
    <t>inicio temporada y fin de mayo  AMF Horacio Arregui</t>
  </si>
  <si>
    <t>despacahnte de aduanas alejandro ordiera</t>
  </si>
  <si>
    <t>despachante de aduanas por ingreso armas de clientes SJ</t>
  </si>
  <si>
    <t>sueldo mayo Pedro Duarte</t>
  </si>
  <si>
    <t>sp mayo Sofi Barran</t>
  </si>
  <si>
    <t>sp mayo Tatiana Ribas</t>
  </si>
  <si>
    <t>sueldo mayo Effie Young</t>
  </si>
  <si>
    <t>principio temporada hasta fin de mayo metariales lodge y caceria Barraca Veicuer</t>
  </si>
  <si>
    <t>gastos limpieza armas y materiales Barraca avenida SJ</t>
  </si>
  <si>
    <t>maiz para cebada patos principio temporada hasta fin mayo Agro vet las praderas</t>
  </si>
  <si>
    <t>clases de ingles Felipe Olivera</t>
  </si>
  <si>
    <t>compra gorras clientes reembolso Sofi</t>
  </si>
  <si>
    <t>adelanto mayo Joa Icatt</t>
  </si>
  <si>
    <t>casro suekdo mayo Matias martinez</t>
  </si>
  <si>
    <t>sueldo mayo Maria Rossano</t>
  </si>
  <si>
    <t>sueldo mayo menos adelanto Joa Icatt</t>
  </si>
  <si>
    <t>sueldo mayo Carrato</t>
  </si>
  <si>
    <t>sueldo mayo Felipe olivera</t>
  </si>
  <si>
    <t>sueldo mayo Ignacio Mendez</t>
  </si>
  <si>
    <t>sueldo mayo Martin Barrios</t>
  </si>
  <si>
    <t>sueldo mayo Mauro Hernandez</t>
  </si>
  <si>
    <t>sueldo mayo osvaldo martinez</t>
  </si>
  <si>
    <t>sueldo mayo Pablo Segovia</t>
  </si>
  <si>
    <t>sueldo mayo thiago etchegaray</t>
  </si>
  <si>
    <t>sueldo mayo Caro Horta</t>
  </si>
  <si>
    <t>bps e iva felipe olivera</t>
  </si>
  <si>
    <t>combustible vueltas Caro Horta</t>
  </si>
  <si>
    <t>reembolso combustible Mercedes SJ</t>
  </si>
  <si>
    <t>carnes varias mayo la proa</t>
  </si>
  <si>
    <t>compras super varias reembolso Merce</t>
  </si>
  <si>
    <t>mayo pedisos flores almacen estefan</t>
  </si>
  <si>
    <t>quesos varios reembolso Merce SJ</t>
  </si>
  <si>
    <t>surtidos el caballito Flores SJ</t>
  </si>
  <si>
    <t>verduras y frutas mayo Todo natural</t>
  </si>
  <si>
    <t>mayo prolimpio</t>
  </si>
  <si>
    <t>alqyiler freezer para grupo grande SJ</t>
  </si>
  <si>
    <t>bandejas bańo y repo baños reembolso Merce SJ</t>
  </si>
  <si>
    <t>plantas SJ reembolso Bernardo</t>
  </si>
  <si>
    <t>platos de mesa reembolso Merce sj</t>
  </si>
  <si>
    <t>saldo obra valle Barraca avenida</t>
  </si>
  <si>
    <t>encargo gorras tiendamia regalo clientes reembolso sofi</t>
  </si>
  <si>
    <t>sueldo mayo Paloma Marchetti</t>
  </si>
  <si>
    <t>sueldo mayo stefy Suhr</t>
  </si>
  <si>
    <t>sueldo mayo Valeria Olmedo</t>
  </si>
  <si>
    <t>sueldo mayo Yyuli Gonzalez</t>
  </si>
  <si>
    <t>bb mayo 2 agustin borsarich</t>
  </si>
  <si>
    <t>bb mayo 2 brando ponce</t>
  </si>
  <si>
    <t>bb mayo 2 brandon maidana</t>
  </si>
  <si>
    <t>bb mayo 2 denzel maidana</t>
  </si>
  <si>
    <t>bb mayo 2 edgardo martinez</t>
  </si>
  <si>
    <t>bb mayo 2 juan hidalgo</t>
  </si>
  <si>
    <t>bb mayo 2 julian rodriguez</t>
  </si>
  <si>
    <t>bb mayo 2 maicol silva</t>
  </si>
  <si>
    <t>bb mayo 2 nicolas diaz</t>
  </si>
  <si>
    <t>bb mayo 2 victor ramirez</t>
  </si>
  <si>
    <t>bbmayo 2 ruben callero</t>
  </si>
  <si>
    <t>completa sueldo mayo Franco Rigos</t>
  </si>
  <si>
    <t>sp mayo Juan Long</t>
  </si>
  <si>
    <t>sueldo mayo Bruno Vulpi</t>
  </si>
  <si>
    <t>sueldo mayo Marcelo Suarez</t>
  </si>
  <si>
    <t>sueldo mayo menos adelantos Pablo Gadea</t>
  </si>
  <si>
    <t>iva y bps Juan Long</t>
  </si>
  <si>
    <t>combustible mayo servicios carmelo</t>
  </si>
  <si>
    <t>nafta y aceite vehiculos viaje reembolso Long</t>
  </si>
  <si>
    <t>gourmeat mayo carmelo</t>
  </si>
  <si>
    <t>quesos y lacteos mayo Finesa</t>
  </si>
  <si>
    <t>surtido staff reembolso Long</t>
  </si>
  <si>
    <t>verduleria mayo carmelo</t>
  </si>
  <si>
    <t>limpieza productos reembolso Long</t>
  </si>
  <si>
    <t>cuerdas reembolso Long</t>
  </si>
  <si>
    <t>cambio de cubiertas reembolso Long</t>
  </si>
  <si>
    <t>gomeria ruedas trailer reembolos Long</t>
  </si>
  <si>
    <t>lamparas para carro reembolso long</t>
  </si>
  <si>
    <t>mantenimiento limpieza camionetas denzel maidana</t>
  </si>
  <si>
    <t>otro pinchazo camioneta reembolso Long</t>
  </si>
  <si>
    <t>pinchazo reembolso Long</t>
  </si>
  <si>
    <t>materiales para ajustar decoys reembolso vulpi</t>
  </si>
  <si>
    <t>para poner en decoys para caza patos pinzas y tuercas reembolso Long</t>
  </si>
  <si>
    <t>encomiendas y pasajes reembolso Long</t>
  </si>
  <si>
    <t>pelada de palomas para reserva animales victor ramirez</t>
  </si>
  <si>
    <t>REVERSAR EN JUNIO 2026
(MOV MAYO APP CARGADOS EN JUNIO)</t>
  </si>
  <si>
    <t>SIN MOVIMIENTOS EN APP</t>
  </si>
  <si>
    <t>SJ14</t>
  </si>
  <si>
    <t>Michael Anderson</t>
  </si>
  <si>
    <t>SJ15</t>
  </si>
  <si>
    <t>Real</t>
  </si>
  <si>
    <t>Budget</t>
  </si>
  <si>
    <t>GASTOS</t>
  </si>
  <si>
    <t>alquiler campos mayo Salvagno Carmelo</t>
  </si>
  <si>
    <t>entrada campos varios mayo reembolso a Long</t>
  </si>
  <si>
    <t>UY</t>
  </si>
  <si>
    <t>pago facturacion electronica Juan Long</t>
  </si>
  <si>
    <t>ute electricidad casa staff mayo</t>
  </si>
  <si>
    <t>ute electricidad Lodge mayo</t>
  </si>
  <si>
    <t>bebidas mayo saldo Belater</t>
  </si>
  <si>
    <t>reparaciones escopetas carmelo Daniel Fresno</t>
  </si>
  <si>
    <t>antel telefonica internet mayo Carmelo</t>
  </si>
  <si>
    <t>vinos  SJ Moldes Ruibal mayo</t>
  </si>
  <si>
    <t>combustible mayo alero azul SJ</t>
  </si>
  <si>
    <t>reparaciones escoptesas SJ mayo Daniel Fresno</t>
  </si>
  <si>
    <t>veterinaria mirenxu mayo SJ</t>
  </si>
</sst>
</file>

<file path=xl/styles.xml><?xml version="1.0" encoding="utf-8"?>
<styleSheet xmlns="http://schemas.openxmlformats.org/spreadsheetml/2006/main">
  <numFmts count="27">
    <numFmt numFmtId="44" formatCode="_-&quot;$&quot;\ * #,##0.00_-;\-&quot;$&quot;\ * #,##0.00_-;_-&quot;$&quot;\ * &quot;-&quot;??_-;_-@_-"/>
    <numFmt numFmtId="43" formatCode="_-* #,##0.00_-;\-* #,##0.00_-;_-* &quot;-&quot;??_-;_-@_-"/>
    <numFmt numFmtId="164" formatCode="_(* #,##0_);_(* \(#,##0\);_(* &quot;-&quot;_);_(@_)"/>
    <numFmt numFmtId="165" formatCode="_(* #,##0.00_);_(* \(#,##0.00\);_(* &quot;-&quot;??_);_(@_)"/>
    <numFmt numFmtId="166" formatCode="_ * #,##0_ ;_ * \-#,##0_ ;_ * &quot;-&quot;_ ;_ @_ "/>
    <numFmt numFmtId="167" formatCode="_ &quot;$&quot;\ * #,##0.00_ ;_ &quot;$&quot;\ * \-#,##0.00_ ;_ &quot;$&quot;\ * &quot;-&quot;??_ ;_ @_ "/>
    <numFmt numFmtId="168" formatCode="_ * #,##0.00_ ;_ * \-#,##0.00_ ;_ * &quot;-&quot;??_ ;_ @_ "/>
    <numFmt numFmtId="169" formatCode="_-* #,##0.00\ _€_-;\-* #,##0.00\ _€_-;_-* &quot;-&quot;??\ _€_-;_-@_-"/>
    <numFmt numFmtId="170" formatCode="_ [$USD]\ * #,##0.00_ ;_ [$USD]\ * \-#,##0.00_ ;_ [$USD]\ * &quot;-&quot;??_ ;_ @_ "/>
    <numFmt numFmtId="171" formatCode="0.0"/>
    <numFmt numFmtId="172" formatCode="_(* #,##0_);_(* \(#,##0\);_(* &quot;-&quot;??_);_(@_)"/>
    <numFmt numFmtId="173" formatCode="_-* #,##0\ _€_-;\-* #,##0\ _€_-;_-* &quot;-&quot;??\ _€_-;_-@_-"/>
    <numFmt numFmtId="174" formatCode="_(* #,##0.000_);_(* \(#,##0.000\);_(* &quot;-&quot;??_);_(@_)"/>
    <numFmt numFmtId="175" formatCode="dd/mm/yyyy;@"/>
    <numFmt numFmtId="176" formatCode="_-* #,##0_-;\-* #,##0_-;_-* &quot;-&quot;??_-;_-@_-"/>
    <numFmt numFmtId="177" formatCode="_(* #,##0.0_);_(* \(#,##0.0\);_(* &quot;-&quot;??_);_(@_)"/>
    <numFmt numFmtId="178" formatCode="_-* #,##0.0_-;\-* #,##0.0_-;_-* &quot;-&quot;??_-;_-@_-"/>
    <numFmt numFmtId="179" formatCode="_(* #,##0.00000000_);_(* \(#,##0.00000000\);_(* &quot;-&quot;??_);_(@_)"/>
    <numFmt numFmtId="180" formatCode="_-* #,##0.0\ _€_-;\-* #,##0.0\ _€_-;_-* &quot;-&quot;??\ _€_-;_-@_-"/>
    <numFmt numFmtId="181" formatCode="_(* #,##0.0000_);_(* \(#,##0.0000\);_(* &quot;-&quot;??_);_(@_)"/>
    <numFmt numFmtId="182" formatCode="0.0%"/>
    <numFmt numFmtId="183" formatCode="#,##0_ ;[Red]\(#,##0\)"/>
    <numFmt numFmtId="184" formatCode="_-[$USD]\ * #,##0_-;\-[$USD]\ * #,##0_-;_-[$USD]\ * &quot;-&quot;??_-;_-@_-"/>
    <numFmt numFmtId="185" formatCode="_-[$USD]\ * #,##0.00_-;\-[$USD]\ * #,##0.00_-;_-[$USD]\ * &quot;-&quot;??_-;_-@_-"/>
    <numFmt numFmtId="186" formatCode="_ [$$-2C0A]\ * #,##0.00_ ;_ [$$-2C0A]\ * \-#,##0.00_ ;_ [$$-2C0A]\ * &quot;-&quot;??_ ;_ @_ "/>
    <numFmt numFmtId="187" formatCode="dd/mm/yy;@"/>
    <numFmt numFmtId="188" formatCode="\$\ #,##0.###############;\-\$\ #,##0.###############;\$\ #,##0.###############"/>
  </numFmts>
  <fonts count="86">
    <font>
      <sz val="10"/>
      <name val="Arial"/>
    </font>
    <font>
      <sz val="11"/>
      <color theme="1"/>
      <name val="Calibri"/>
      <family val="2"/>
      <scheme val="minor"/>
    </font>
    <font>
      <sz val="11"/>
      <color theme="1"/>
      <name val="Calibri"/>
      <family val="2"/>
      <scheme val="minor"/>
    </font>
    <font>
      <sz val="11"/>
      <color indexed="8"/>
      <name val="Calibri"/>
      <family val="2"/>
    </font>
    <font>
      <sz val="10"/>
      <name val="Arial"/>
      <family val="2"/>
    </font>
    <font>
      <b/>
      <sz val="10"/>
      <name val="Arial"/>
      <family val="2"/>
    </font>
    <font>
      <sz val="10"/>
      <name val="Arial"/>
      <family val="2"/>
    </font>
    <font>
      <b/>
      <u/>
      <sz val="10"/>
      <name val="Arial"/>
      <family val="2"/>
    </font>
    <font>
      <b/>
      <sz val="16"/>
      <name val="Arial"/>
      <family val="2"/>
    </font>
    <font>
      <b/>
      <sz val="16"/>
      <color indexed="10"/>
      <name val="Arial"/>
      <family val="2"/>
    </font>
    <font>
      <b/>
      <sz val="1"/>
      <name val="Arial"/>
      <family val="2"/>
    </font>
    <font>
      <sz val="1"/>
      <name val="Arial"/>
      <family val="2"/>
    </font>
    <font>
      <b/>
      <sz val="14"/>
      <name val="Arial"/>
      <family val="2"/>
    </font>
    <font>
      <sz val="14"/>
      <name val="Arial"/>
      <family val="2"/>
    </font>
    <font>
      <b/>
      <sz val="12"/>
      <name val="Arial"/>
      <family val="2"/>
    </font>
    <font>
      <b/>
      <sz val="2"/>
      <name val="Arial"/>
      <family val="2"/>
    </font>
    <font>
      <sz val="2"/>
      <name val="Arial"/>
      <family val="2"/>
    </font>
    <font>
      <b/>
      <i/>
      <sz val="10"/>
      <name val="Arial"/>
      <family val="2"/>
    </font>
    <font>
      <u/>
      <sz val="10"/>
      <color indexed="12"/>
      <name val="Times New Roman"/>
      <family val="1"/>
    </font>
    <font>
      <b/>
      <u/>
      <sz val="10"/>
      <color indexed="12"/>
      <name val="Arial"/>
      <family val="2"/>
    </font>
    <font>
      <i/>
      <sz val="10"/>
      <name val="Arial"/>
      <family val="2"/>
    </font>
    <font>
      <sz val="10"/>
      <name val="Arial"/>
      <family val="2"/>
    </font>
    <font>
      <sz val="11"/>
      <color indexed="8"/>
      <name val="Calibri"/>
      <family val="2"/>
    </font>
    <font>
      <sz val="10"/>
      <color indexed="10"/>
      <name val="Arial"/>
      <family val="2"/>
    </font>
    <font>
      <b/>
      <sz val="10"/>
      <color indexed="10"/>
      <name val="Arial"/>
      <family val="2"/>
    </font>
    <font>
      <sz val="8"/>
      <name val="Arial"/>
      <family val="2"/>
    </font>
    <font>
      <sz val="10"/>
      <name val="Arial"/>
      <family val="2"/>
    </font>
    <font>
      <sz val="10"/>
      <name val="Arial"/>
      <family val="2"/>
    </font>
    <font>
      <i/>
      <sz val="12"/>
      <name val="Arial"/>
      <family val="2"/>
    </font>
    <font>
      <b/>
      <i/>
      <sz val="12"/>
      <name val="Arial"/>
      <family val="2"/>
    </font>
    <font>
      <b/>
      <i/>
      <sz val="12"/>
      <color indexed="13"/>
      <name val="Arial"/>
      <family val="2"/>
    </font>
    <font>
      <b/>
      <i/>
      <sz val="12"/>
      <color indexed="10"/>
      <name val="Arial"/>
      <family val="2"/>
    </font>
    <font>
      <sz val="11"/>
      <name val="Arial"/>
      <family val="2"/>
    </font>
    <font>
      <b/>
      <u/>
      <sz val="11"/>
      <name val="Arial"/>
      <family val="2"/>
    </font>
    <font>
      <b/>
      <u/>
      <sz val="12"/>
      <name val="Arial"/>
      <family val="2"/>
    </font>
    <font>
      <sz val="10"/>
      <name val="Arial"/>
      <family val="2"/>
    </font>
    <font>
      <b/>
      <i/>
      <sz val="2"/>
      <name val="Arial"/>
      <family val="2"/>
    </font>
    <font>
      <i/>
      <sz val="2"/>
      <name val="Arial"/>
      <family val="2"/>
    </font>
    <font>
      <b/>
      <u val="singleAccounting"/>
      <sz val="10"/>
      <name val="Arial"/>
      <family val="2"/>
    </font>
    <font>
      <b/>
      <i/>
      <u val="singleAccounting"/>
      <sz val="12"/>
      <name val="Arial"/>
      <family val="2"/>
    </font>
    <font>
      <b/>
      <i/>
      <u val="singleAccounting"/>
      <sz val="10"/>
      <name val="Arial"/>
      <family val="2"/>
    </font>
    <font>
      <b/>
      <i/>
      <sz val="10"/>
      <color indexed="13"/>
      <name val="Arial"/>
      <family val="2"/>
    </font>
    <font>
      <b/>
      <i/>
      <sz val="10"/>
      <color indexed="10"/>
      <name val="Arial"/>
      <family val="2"/>
    </font>
    <font>
      <sz val="9"/>
      <name val="Arial"/>
      <family val="2"/>
    </font>
    <font>
      <sz val="11"/>
      <color theme="1"/>
      <name val="Calibri"/>
      <family val="2"/>
      <scheme val="minor"/>
    </font>
    <font>
      <sz val="11"/>
      <color rgb="FFFF0000"/>
      <name val="Calibri"/>
      <family val="2"/>
      <scheme val="minor"/>
    </font>
    <font>
      <sz val="10"/>
      <color rgb="FFFF0000"/>
      <name val="Arial"/>
      <family val="2"/>
    </font>
    <font>
      <b/>
      <u/>
      <sz val="10"/>
      <color theme="3" tint="-0.249977111117893"/>
      <name val="Arial"/>
      <family val="2"/>
    </font>
    <font>
      <b/>
      <i/>
      <sz val="12"/>
      <color rgb="FFFF0000"/>
      <name val="Arial"/>
      <family val="2"/>
    </font>
    <font>
      <b/>
      <sz val="10"/>
      <color rgb="FFFF0000"/>
      <name val="Arial"/>
      <family val="2"/>
    </font>
    <font>
      <sz val="8"/>
      <color rgb="FFFF0000"/>
      <name val="Arial"/>
      <family val="2"/>
    </font>
    <font>
      <b/>
      <sz val="10"/>
      <color theme="1"/>
      <name val="Arial"/>
      <family val="2"/>
    </font>
    <font>
      <sz val="12"/>
      <name val="Arial"/>
      <family val="2"/>
    </font>
    <font>
      <b/>
      <u val="singleAccounting"/>
      <sz val="12"/>
      <name val="Arial"/>
      <family val="2"/>
    </font>
    <font>
      <b/>
      <sz val="10"/>
      <color indexed="13"/>
      <name val="Arial"/>
      <family val="2"/>
    </font>
    <font>
      <sz val="12"/>
      <color rgb="FFFF0000"/>
      <name val="Arial"/>
      <family val="2"/>
    </font>
    <font>
      <b/>
      <sz val="12"/>
      <color indexed="10"/>
      <name val="Arial"/>
      <family val="2"/>
    </font>
    <font>
      <b/>
      <sz val="12"/>
      <color rgb="FFFF0000"/>
      <name val="Arial"/>
      <family val="2"/>
    </font>
    <font>
      <b/>
      <sz val="9"/>
      <name val="Arial"/>
      <family val="2"/>
    </font>
    <font>
      <b/>
      <sz val="8"/>
      <name val="Arial"/>
      <family val="2"/>
    </font>
    <font>
      <b/>
      <sz val="8"/>
      <color rgb="FFFF0000"/>
      <name val="Arial"/>
      <family val="2"/>
    </font>
    <font>
      <b/>
      <u val="singleAccounting"/>
      <sz val="8"/>
      <color rgb="FFFF0000"/>
      <name val="Arial"/>
      <family val="2"/>
    </font>
    <font>
      <b/>
      <sz val="8"/>
      <color rgb="FF00B050"/>
      <name val="Arial"/>
      <family val="2"/>
    </font>
    <font>
      <b/>
      <sz val="10"/>
      <color rgb="FF00B050"/>
      <name val="Arial"/>
      <family val="2"/>
    </font>
    <font>
      <u/>
      <sz val="10"/>
      <name val="Arial"/>
      <family val="2"/>
    </font>
    <font>
      <b/>
      <sz val="11"/>
      <color theme="1"/>
      <name val="Calibri"/>
      <family val="2"/>
      <scheme val="minor"/>
    </font>
    <font>
      <b/>
      <sz val="9"/>
      <color rgb="FFFF0000"/>
      <name val="Arial"/>
      <family val="2"/>
    </font>
    <font>
      <sz val="9"/>
      <color rgb="FFFF0000"/>
      <name val="Arial"/>
      <family val="2"/>
    </font>
    <font>
      <sz val="10"/>
      <color theme="1"/>
      <name val="Arial"/>
      <family val="2"/>
    </font>
    <font>
      <sz val="10"/>
      <color indexed="8"/>
      <name val="Arial"/>
      <family val="2"/>
    </font>
    <font>
      <sz val="11"/>
      <color rgb="FFFF0000"/>
      <name val="Calibri"/>
      <family val="2"/>
    </font>
    <font>
      <sz val="10"/>
      <name val="Times New Roman"/>
      <family val="1"/>
    </font>
    <font>
      <b/>
      <sz val="18"/>
      <name val="Arial"/>
      <family val="2"/>
    </font>
    <font>
      <b/>
      <sz val="18"/>
      <color rgb="FFFF0000"/>
      <name val="Arial"/>
      <family val="2"/>
    </font>
    <font>
      <b/>
      <sz val="2"/>
      <color indexed="12"/>
      <name val="Arial"/>
      <family val="2"/>
    </font>
    <font>
      <b/>
      <sz val="11"/>
      <name val="Arial"/>
      <family val="2"/>
    </font>
    <font>
      <u val="singleAccounting"/>
      <sz val="10"/>
      <name val="Arial"/>
      <family val="2"/>
    </font>
    <font>
      <sz val="11"/>
      <color theme="1"/>
      <name val="Arial Nova Cond Light"/>
      <family val="2"/>
    </font>
    <font>
      <sz val="11"/>
      <name val="Calibri"/>
      <family val="2"/>
    </font>
    <font>
      <sz val="10"/>
      <color theme="5"/>
      <name val="Arial"/>
      <family val="2"/>
    </font>
    <font>
      <b/>
      <sz val="10"/>
      <color theme="3"/>
      <name val="Arial"/>
      <family val="2"/>
    </font>
    <font>
      <sz val="10"/>
      <color theme="0"/>
      <name val="Arial"/>
      <family val="2"/>
    </font>
    <font>
      <b/>
      <sz val="11"/>
      <color rgb="FFFF0000"/>
      <name val="Calibri"/>
      <family val="2"/>
    </font>
    <font>
      <b/>
      <sz val="10"/>
      <color rgb="FF92D050"/>
      <name val="Arial"/>
      <family val="2"/>
    </font>
    <font>
      <b/>
      <u val="singleAccounting"/>
      <sz val="10"/>
      <color rgb="FFFF0000"/>
      <name val="Arial"/>
      <family val="2"/>
    </font>
    <font>
      <b/>
      <sz val="10"/>
      <color rgb="FF00B0F0"/>
      <name val="Arial"/>
      <family val="2"/>
    </font>
  </fonts>
  <fills count="22">
    <fill>
      <patternFill patternType="none"/>
    </fill>
    <fill>
      <patternFill patternType="gray125"/>
    </fill>
    <fill>
      <patternFill patternType="solid">
        <fgColor indexed="13"/>
        <bgColor indexed="64"/>
      </patternFill>
    </fill>
    <fill>
      <patternFill patternType="solid">
        <fgColor indexed="51"/>
        <bgColor indexed="64"/>
      </patternFill>
    </fill>
    <fill>
      <patternFill patternType="solid">
        <fgColor indexed="22"/>
        <bgColor indexed="64"/>
      </patternFill>
    </fill>
    <fill>
      <patternFill patternType="solid">
        <fgColor indexed="50"/>
        <bgColor indexed="64"/>
      </patternFill>
    </fill>
    <fill>
      <patternFill patternType="solid">
        <fgColor indexed="10"/>
        <bgColor indexed="64"/>
      </patternFill>
    </fill>
    <fill>
      <patternFill patternType="solid">
        <fgColor rgb="FFFFC000"/>
        <bgColor indexed="64"/>
      </patternFill>
    </fill>
    <fill>
      <patternFill patternType="solid">
        <fgColor rgb="FFFFFF00"/>
        <bgColor indexed="64"/>
      </patternFill>
    </fill>
    <fill>
      <patternFill patternType="solid">
        <fgColor rgb="FF92D050"/>
        <bgColor indexed="64"/>
      </patternFill>
    </fill>
    <fill>
      <patternFill patternType="solid">
        <fgColor rgb="FF00B0F0"/>
        <bgColor indexed="64"/>
      </patternFill>
    </fill>
    <fill>
      <patternFill patternType="solid">
        <fgColor rgb="FFFF0000"/>
        <bgColor indexed="64"/>
      </patternFill>
    </fill>
    <fill>
      <patternFill patternType="solid">
        <fgColor theme="4" tint="0.79998168889431442"/>
        <bgColor indexed="65"/>
      </patternFill>
    </fill>
    <fill>
      <patternFill patternType="solid">
        <fgColor theme="6" tint="0.79998168889431442"/>
        <bgColor indexed="65"/>
      </patternFill>
    </fill>
    <fill>
      <patternFill patternType="solid">
        <fgColor indexed="41"/>
        <bgColor indexed="64"/>
      </patternFill>
    </fill>
    <fill>
      <patternFill patternType="solid">
        <fgColor indexed="30"/>
        <bgColor indexed="64"/>
      </patternFill>
    </fill>
    <fill>
      <patternFill patternType="solid">
        <fgColor indexed="23"/>
        <bgColor indexed="64"/>
      </patternFill>
    </fill>
    <fill>
      <patternFill patternType="solid">
        <fgColor theme="2"/>
        <bgColor indexed="64"/>
      </patternFill>
    </fill>
    <fill>
      <patternFill patternType="solid">
        <fgColor theme="0" tint="-0.249977111117893"/>
        <bgColor indexed="64"/>
      </patternFill>
    </fill>
    <fill>
      <patternFill patternType="solid">
        <fgColor theme="0"/>
        <bgColor indexed="64"/>
      </patternFill>
    </fill>
    <fill>
      <patternFill patternType="solid">
        <fgColor theme="3" tint="0.79998168889431442"/>
        <bgColor indexed="64"/>
      </patternFill>
    </fill>
    <fill>
      <patternFill patternType="solid">
        <fgColor rgb="FF00B050"/>
        <bgColor indexed="64"/>
      </patternFill>
    </fill>
  </fills>
  <borders count="40">
    <border>
      <left/>
      <right/>
      <top/>
      <bottom/>
      <diagonal/>
    </border>
    <border>
      <left style="medium">
        <color auto="1"/>
      </left>
      <right style="medium">
        <color auto="1"/>
      </right>
      <top style="medium">
        <color auto="1"/>
      </top>
      <bottom style="medium">
        <color auto="1"/>
      </bottom>
      <diagonal/>
    </border>
    <border>
      <left style="medium">
        <color auto="1"/>
      </left>
      <right style="medium">
        <color auto="1"/>
      </right>
      <top/>
      <bottom/>
      <diagonal/>
    </border>
    <border>
      <left style="medium">
        <color auto="1"/>
      </left>
      <right/>
      <top style="medium">
        <color auto="1"/>
      </top>
      <bottom style="medium">
        <color auto="1"/>
      </bottom>
      <diagonal/>
    </border>
    <border>
      <left style="medium">
        <color auto="1"/>
      </left>
      <right/>
      <top/>
      <bottom/>
      <diagonal/>
    </border>
    <border>
      <left/>
      <right style="medium">
        <color auto="1"/>
      </right>
      <top/>
      <bottom/>
      <diagonal/>
    </border>
    <border>
      <left/>
      <right style="medium">
        <color auto="1"/>
      </right>
      <top style="medium">
        <color auto="1"/>
      </top>
      <bottom style="medium">
        <color auto="1"/>
      </bottom>
      <diagonal/>
    </border>
    <border>
      <left/>
      <right/>
      <top style="medium">
        <color auto="1"/>
      </top>
      <bottom style="medium">
        <color auto="1"/>
      </bottom>
      <diagonal/>
    </border>
    <border>
      <left style="medium">
        <color auto="1"/>
      </left>
      <right style="medium">
        <color auto="1"/>
      </right>
      <top style="medium">
        <color auto="1"/>
      </top>
      <bottom/>
      <diagonal/>
    </border>
    <border>
      <left style="medium">
        <color auto="1"/>
      </left>
      <right style="medium">
        <color auto="1"/>
      </right>
      <top/>
      <bottom style="medium">
        <color auto="1"/>
      </bottom>
      <diagonal/>
    </border>
    <border>
      <left/>
      <right style="medium">
        <color auto="1"/>
      </right>
      <top style="medium">
        <color auto="1"/>
      </top>
      <bottom/>
      <diagonal/>
    </border>
    <border>
      <left/>
      <right style="medium">
        <color auto="1"/>
      </right>
      <top/>
      <bottom style="medium">
        <color auto="1"/>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thin">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diagonal/>
    </border>
    <border>
      <left style="medium">
        <color auto="1"/>
      </left>
      <right style="thin">
        <color auto="1"/>
      </right>
      <top style="thin">
        <color auto="1"/>
      </top>
      <bottom/>
      <diagonal/>
    </border>
    <border>
      <left style="medium">
        <color auto="1"/>
      </left>
      <right style="thin">
        <color auto="1"/>
      </right>
      <top/>
      <bottom style="medium">
        <color auto="1"/>
      </bottom>
      <diagonal/>
    </border>
    <border>
      <left style="medium">
        <color auto="1"/>
      </left>
      <right/>
      <top/>
      <bottom style="medium">
        <color auto="1"/>
      </bottom>
      <diagonal/>
    </border>
    <border>
      <left/>
      <right/>
      <top/>
      <bottom style="medium">
        <color auto="1"/>
      </bottom>
      <diagonal/>
    </border>
    <border>
      <left/>
      <right style="thin">
        <color auto="1"/>
      </right>
      <top style="thin">
        <color auto="1"/>
      </top>
      <bottom style="thin">
        <color auto="1"/>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style="medium">
        <color auto="1"/>
      </bottom>
      <diagonal/>
    </border>
    <border>
      <left style="medium">
        <color auto="1"/>
      </left>
      <right style="thin">
        <color auto="1"/>
      </right>
      <top style="medium">
        <color auto="1"/>
      </top>
      <bottom/>
      <diagonal/>
    </border>
    <border>
      <left style="medium">
        <color auto="1"/>
      </left>
      <right/>
      <top style="medium">
        <color auto="1"/>
      </top>
      <bottom/>
      <diagonal/>
    </border>
    <border>
      <left/>
      <right/>
      <top style="medium">
        <color auto="1"/>
      </top>
      <bottom/>
      <diagonal/>
    </border>
    <border>
      <left style="thin">
        <color auto="1"/>
      </left>
      <right style="medium">
        <color auto="1"/>
      </right>
      <top style="thin">
        <color auto="1"/>
      </top>
      <bottom/>
      <diagonal/>
    </border>
    <border>
      <left style="medium">
        <color indexed="64"/>
      </left>
      <right/>
      <top style="medium">
        <color indexed="64"/>
      </top>
      <bottom style="thin">
        <color auto="1"/>
      </bottom>
      <diagonal/>
    </border>
    <border>
      <left/>
      <right/>
      <top style="medium">
        <color indexed="64"/>
      </top>
      <bottom style="thin">
        <color auto="1"/>
      </bottom>
      <diagonal/>
    </border>
    <border>
      <left/>
      <right style="medium">
        <color indexed="64"/>
      </right>
      <top style="medium">
        <color indexed="64"/>
      </top>
      <bottom style="thin">
        <color auto="1"/>
      </bottom>
      <diagonal/>
    </border>
    <border>
      <left style="thin">
        <color indexed="64"/>
      </left>
      <right style="thin">
        <color indexed="64"/>
      </right>
      <top/>
      <bottom style="thin">
        <color indexed="64"/>
      </bottom>
      <diagonal/>
    </border>
  </borders>
  <cellStyleXfs count="38">
    <xf numFmtId="0" fontId="0" fillId="0" borderId="0"/>
    <xf numFmtId="0" fontId="18" fillId="0" borderId="0" applyNumberFormat="0" applyFill="0" applyBorder="0" applyAlignment="0" applyProtection="0">
      <alignment vertical="top"/>
      <protection locked="0"/>
    </xf>
    <xf numFmtId="169" fontId="4" fillId="0" borderId="0" applyFont="0" applyFill="0" applyBorder="0" applyAlignment="0" applyProtection="0"/>
    <xf numFmtId="166" fontId="22" fillId="0" borderId="0" applyFont="0" applyFill="0" applyBorder="0" applyAlignment="0" applyProtection="0"/>
    <xf numFmtId="169" fontId="26" fillId="0" borderId="0" applyFont="0" applyFill="0" applyBorder="0" applyAlignment="0" applyProtection="0"/>
    <xf numFmtId="169" fontId="27" fillId="0" borderId="0" applyFont="0" applyFill="0" applyBorder="0" applyAlignment="0" applyProtection="0"/>
    <xf numFmtId="169" fontId="35" fillId="0" borderId="0" applyFont="0" applyFill="0" applyBorder="0" applyAlignment="0" applyProtection="0"/>
    <xf numFmtId="168" fontId="44" fillId="0" borderId="0" applyFont="0" applyFill="0" applyBorder="0" applyAlignment="0" applyProtection="0"/>
    <xf numFmtId="167" fontId="22" fillId="0" borderId="0" applyFont="0" applyFill="0" applyBorder="0" applyAlignment="0" applyProtection="0"/>
    <xf numFmtId="0" fontId="4" fillId="0" borderId="0"/>
    <xf numFmtId="0" fontId="4" fillId="0" borderId="0"/>
    <xf numFmtId="0" fontId="3" fillId="0" borderId="0"/>
    <xf numFmtId="0" fontId="3" fillId="0" borderId="0"/>
    <xf numFmtId="0" fontId="44" fillId="0" borderId="0"/>
    <xf numFmtId="0" fontId="4" fillId="0" borderId="0"/>
    <xf numFmtId="9" fontId="22" fillId="0" borderId="0" applyFont="0" applyFill="0" applyBorder="0" applyAlignment="0" applyProtection="0"/>
    <xf numFmtId="0" fontId="71" fillId="0" borderId="0"/>
    <xf numFmtId="165" fontId="71" fillId="0" borderId="0" applyFont="0" applyFill="0" applyBorder="0" applyAlignment="0" applyProtection="0"/>
    <xf numFmtId="9" fontId="71" fillId="0" borderId="0" applyFont="0" applyFill="0" applyBorder="0" applyAlignment="0" applyProtection="0"/>
    <xf numFmtId="164" fontId="71" fillId="0" borderId="0" applyFont="0" applyFill="0" applyBorder="0" applyAlignment="0" applyProtection="0"/>
    <xf numFmtId="0" fontId="18" fillId="0" borderId="0" applyNumberFormat="0" applyFill="0" applyBorder="0" applyAlignment="0" applyProtection="0">
      <alignment vertical="top"/>
      <protection locked="0"/>
    </xf>
    <xf numFmtId="0" fontId="71" fillId="0" borderId="0"/>
    <xf numFmtId="9" fontId="77" fillId="0" borderId="0" applyFont="0" applyFill="0" applyBorder="0" applyAlignment="0" applyProtection="0"/>
    <xf numFmtId="43" fontId="77" fillId="0" borderId="0" applyFont="0" applyFill="0" applyBorder="0" applyAlignment="0" applyProtection="0"/>
    <xf numFmtId="0" fontId="71" fillId="0" borderId="0"/>
    <xf numFmtId="169" fontId="4" fillId="0" borderId="0" applyFont="0" applyFill="0" applyBorder="0" applyAlignment="0" applyProtection="0"/>
    <xf numFmtId="0" fontId="4" fillId="0" borderId="0"/>
    <xf numFmtId="0" fontId="4" fillId="0" borderId="0" applyFont="0" applyFill="0" applyBorder="0" applyAlignment="0" applyProtection="0"/>
    <xf numFmtId="43" fontId="78" fillId="0" borderId="0" applyFont="0" applyFill="0" applyBorder="0" applyAlignment="0" applyProtection="0"/>
    <xf numFmtId="167" fontId="4" fillId="0" borderId="0" applyFont="0" applyFill="0" applyBorder="0" applyAlignment="0" applyProtection="0"/>
    <xf numFmtId="44" fontId="78" fillId="0" borderId="0" applyFont="0" applyFill="0" applyBorder="0" applyAlignment="0" applyProtection="0"/>
    <xf numFmtId="169" fontId="4" fillId="0" borderId="0" applyFont="0" applyFill="0" applyBorder="0" applyAlignment="0" applyProtection="0"/>
    <xf numFmtId="0" fontId="78" fillId="0" borderId="0"/>
    <xf numFmtId="0" fontId="2" fillId="12" borderId="0" applyNumberFormat="0" applyBorder="0" applyAlignment="0" applyProtection="0"/>
    <xf numFmtId="0" fontId="2" fillId="12" borderId="0" applyNumberFormat="0" applyBorder="0" applyAlignment="0" applyProtection="0"/>
    <xf numFmtId="0" fontId="2" fillId="13" borderId="0" applyNumberFormat="0" applyBorder="0" applyAlignment="0" applyProtection="0"/>
    <xf numFmtId="0" fontId="1" fillId="0" borderId="0"/>
    <xf numFmtId="43" fontId="1" fillId="0" borderId="0" applyFont="0" applyFill="0" applyBorder="0" applyAlignment="0" applyProtection="0"/>
  </cellStyleXfs>
  <cellXfs count="915">
    <xf numFmtId="0" fontId="0" fillId="0" borderId="0" xfId="0"/>
    <xf numFmtId="169" fontId="0" fillId="0" borderId="0" xfId="2" applyFont="1"/>
    <xf numFmtId="14" fontId="0" fillId="0" borderId="0" xfId="0" applyNumberFormat="1"/>
    <xf numFmtId="0" fontId="0" fillId="0" borderId="0" xfId="0" quotePrefix="1"/>
    <xf numFmtId="0" fontId="0" fillId="0" borderId="0" xfId="0" applyAlignment="1">
      <alignment vertical="center"/>
    </xf>
    <xf numFmtId="169" fontId="0" fillId="0" borderId="0" xfId="2" applyFont="1" applyAlignment="1">
      <alignment vertical="center"/>
    </xf>
    <xf numFmtId="169" fontId="5" fillId="3" borderId="1" xfId="2" applyFont="1" applyFill="1" applyBorder="1" applyAlignment="1">
      <alignment vertical="center"/>
    </xf>
    <xf numFmtId="14" fontId="0" fillId="2" borderId="0" xfId="0" applyNumberFormat="1" applyFill="1" applyAlignment="1">
      <alignment horizontal="center" vertical="center"/>
    </xf>
    <xf numFmtId="169" fontId="0" fillId="2" borderId="0" xfId="2" applyFont="1" applyFill="1" applyAlignment="1">
      <alignment horizontal="center" vertical="center"/>
    </xf>
    <xf numFmtId="0" fontId="4" fillId="0" borderId="0" xfId="0" applyFont="1" applyAlignment="1">
      <alignment horizontal="center" vertical="center" wrapText="1"/>
    </xf>
    <xf numFmtId="0" fontId="0" fillId="0" borderId="0" xfId="0" applyAlignment="1">
      <alignment horizontal="center" vertical="center" wrapText="1"/>
    </xf>
    <xf numFmtId="0" fontId="23" fillId="2" borderId="0" xfId="0" applyFont="1" applyFill="1" applyAlignment="1">
      <alignment horizontal="center" vertical="center" wrapText="1"/>
    </xf>
    <xf numFmtId="0" fontId="23" fillId="2" borderId="0" xfId="0" applyFont="1" applyFill="1" applyAlignment="1">
      <alignment horizontal="center" vertical="center"/>
    </xf>
    <xf numFmtId="14" fontId="0" fillId="2" borderId="0" xfId="0" applyNumberFormat="1" applyFill="1" applyAlignment="1">
      <alignment horizontal="center" vertical="center" wrapText="1"/>
    </xf>
    <xf numFmtId="0" fontId="5" fillId="4" borderId="0" xfId="14" applyFont="1" applyFill="1" applyAlignment="1">
      <alignment vertical="center"/>
    </xf>
    <xf numFmtId="0" fontId="8" fillId="4" borderId="0" xfId="14" applyFont="1" applyFill="1" applyAlignment="1">
      <alignment horizontal="center" vertical="center"/>
    </xf>
    <xf numFmtId="0" fontId="4" fillId="4" borderId="0" xfId="14" applyFill="1" applyAlignment="1">
      <alignment vertical="center"/>
    </xf>
    <xf numFmtId="0" fontId="4" fillId="4" borderId="0" xfId="14" applyFill="1" applyAlignment="1">
      <alignment horizontal="right" vertical="center"/>
    </xf>
    <xf numFmtId="0" fontId="5" fillId="4" borderId="0" xfId="14" applyFont="1" applyFill="1" applyAlignment="1">
      <alignment horizontal="center" vertical="center"/>
    </xf>
    <xf numFmtId="0" fontId="9" fillId="4" borderId="0" xfId="14" applyFont="1" applyFill="1" applyAlignment="1">
      <alignment horizontal="center" vertical="center"/>
    </xf>
    <xf numFmtId="10" fontId="5" fillId="4" borderId="0" xfId="14" applyNumberFormat="1" applyFont="1" applyFill="1" applyAlignment="1">
      <alignment horizontal="center" vertical="center"/>
    </xf>
    <xf numFmtId="10" fontId="10" fillId="4" borderId="0" xfId="14" applyNumberFormat="1" applyFont="1" applyFill="1" applyAlignment="1">
      <alignment vertical="center"/>
    </xf>
    <xf numFmtId="10" fontId="10" fillId="4" borderId="0" xfId="14" applyNumberFormat="1" applyFont="1" applyFill="1" applyAlignment="1">
      <alignment horizontal="center" vertical="center"/>
    </xf>
    <xf numFmtId="10" fontId="11" fillId="4" borderId="0" xfId="14" applyNumberFormat="1" applyFont="1" applyFill="1" applyAlignment="1">
      <alignment vertical="center"/>
    </xf>
    <xf numFmtId="0" fontId="12" fillId="4" borderId="0" xfId="14" applyFont="1" applyFill="1" applyAlignment="1">
      <alignment horizontal="center" vertical="center"/>
    </xf>
    <xf numFmtId="0" fontId="12" fillId="2" borderId="1" xfId="0" applyFont="1" applyFill="1" applyBorder="1" applyAlignment="1">
      <alignment horizontal="center" vertical="center"/>
    </xf>
    <xf numFmtId="0" fontId="13" fillId="4" borderId="0" xfId="14" applyFont="1" applyFill="1" applyAlignment="1">
      <alignment vertical="center"/>
    </xf>
    <xf numFmtId="164" fontId="5" fillId="4" borderId="0" xfId="14" applyNumberFormat="1" applyFont="1" applyFill="1" applyAlignment="1">
      <alignment horizontal="center" vertical="center"/>
    </xf>
    <xf numFmtId="0" fontId="14" fillId="0" borderId="2" xfId="14" applyFont="1" applyBorder="1" applyAlignment="1">
      <alignment vertical="center"/>
    </xf>
    <xf numFmtId="0" fontId="14" fillId="4" borderId="1" xfId="14" applyFont="1" applyFill="1" applyBorder="1" applyAlignment="1">
      <alignment horizontal="right" vertical="center"/>
    </xf>
    <xf numFmtId="0" fontId="5" fillId="4" borderId="3" xfId="14" applyFont="1" applyFill="1" applyBorder="1" applyAlignment="1">
      <alignment horizontal="center" vertical="center"/>
    </xf>
    <xf numFmtId="0" fontId="5" fillId="4" borderId="1" xfId="14" applyFont="1" applyFill="1" applyBorder="1" applyAlignment="1">
      <alignment horizontal="center" vertical="center"/>
    </xf>
    <xf numFmtId="0" fontId="5" fillId="4" borderId="1" xfId="14" applyFont="1" applyFill="1" applyBorder="1" applyAlignment="1">
      <alignment horizontal="center" vertical="center" wrapText="1"/>
    </xf>
    <xf numFmtId="1" fontId="5" fillId="4" borderId="0" xfId="14" applyNumberFormat="1" applyFont="1" applyFill="1" applyAlignment="1">
      <alignment horizontal="center" vertical="center"/>
    </xf>
    <xf numFmtId="1" fontId="5" fillId="0" borderId="2" xfId="14" applyNumberFormat="1" applyFont="1" applyBorder="1" applyAlignment="1">
      <alignment vertical="center"/>
    </xf>
    <xf numFmtId="1" fontId="5" fillId="0" borderId="4" xfId="14" applyNumberFormat="1" applyFont="1" applyBorder="1" applyAlignment="1">
      <alignment horizontal="center" vertical="center"/>
    </xf>
    <xf numFmtId="1" fontId="5" fillId="0" borderId="2" xfId="14" applyNumberFormat="1" applyFont="1" applyBorder="1" applyAlignment="1">
      <alignment horizontal="center" vertical="center"/>
    </xf>
    <xf numFmtId="1" fontId="5" fillId="0" borderId="5" xfId="14" applyNumberFormat="1" applyFont="1" applyBorder="1" applyAlignment="1">
      <alignment horizontal="center" vertical="center"/>
    </xf>
    <xf numFmtId="1" fontId="5" fillId="4" borderId="4" xfId="14" applyNumberFormat="1" applyFont="1" applyFill="1" applyBorder="1" applyAlignment="1">
      <alignment horizontal="center" vertical="center"/>
    </xf>
    <xf numFmtId="1" fontId="7" fillId="0" borderId="2" xfId="14" applyNumberFormat="1" applyFont="1" applyBorder="1" applyAlignment="1">
      <alignment vertical="center"/>
    </xf>
    <xf numFmtId="0" fontId="5" fillId="4" borderId="2" xfId="14" applyFont="1" applyFill="1" applyBorder="1" applyAlignment="1">
      <alignment horizontal="left" vertical="center"/>
    </xf>
    <xf numFmtId="0" fontId="5" fillId="4" borderId="4" xfId="14" applyFont="1" applyFill="1" applyBorder="1" applyAlignment="1">
      <alignment horizontal="center" vertical="center"/>
    </xf>
    <xf numFmtId="171" fontId="15" fillId="4" borderId="0" xfId="14" applyNumberFormat="1" applyFont="1" applyFill="1" applyAlignment="1">
      <alignment vertical="center"/>
    </xf>
    <xf numFmtId="1" fontId="15" fillId="0" borderId="2" xfId="14" applyNumberFormat="1" applyFont="1" applyBorder="1" applyAlignment="1">
      <alignment vertical="center"/>
    </xf>
    <xf numFmtId="171" fontId="16" fillId="0" borderId="4" xfId="14" applyNumberFormat="1" applyFont="1" applyBorder="1" applyAlignment="1">
      <alignment vertical="center"/>
    </xf>
    <xf numFmtId="0" fontId="16" fillId="0" borderId="2" xfId="14" applyFont="1" applyBorder="1" applyAlignment="1">
      <alignment vertical="center"/>
    </xf>
    <xf numFmtId="1" fontId="15" fillId="0" borderId="5" xfId="14" applyNumberFormat="1" applyFont="1" applyBorder="1" applyAlignment="1">
      <alignment vertical="center"/>
    </xf>
    <xf numFmtId="171" fontId="15" fillId="4" borderId="4" xfId="14" applyNumberFormat="1" applyFont="1" applyFill="1" applyBorder="1" applyAlignment="1">
      <alignment vertical="center"/>
    </xf>
    <xf numFmtId="0" fontId="16" fillId="4" borderId="0" xfId="14" applyFont="1" applyFill="1" applyAlignment="1">
      <alignment horizontal="right" vertical="center"/>
    </xf>
    <xf numFmtId="0" fontId="16" fillId="4" borderId="0" xfId="14" applyFont="1" applyFill="1" applyAlignment="1">
      <alignment vertical="center"/>
    </xf>
    <xf numFmtId="172" fontId="17" fillId="4" borderId="0" xfId="2" applyNumberFormat="1" applyFont="1" applyFill="1" applyAlignment="1">
      <alignment vertical="center"/>
    </xf>
    <xf numFmtId="172" fontId="19" fillId="2" borderId="2" xfId="1" applyNumberFormat="1" applyFont="1" applyFill="1" applyBorder="1" applyAlignment="1" applyProtection="1">
      <alignment vertical="center"/>
    </xf>
    <xf numFmtId="172" fontId="17" fillId="2" borderId="4" xfId="2" applyNumberFormat="1" applyFont="1" applyFill="1" applyBorder="1" applyAlignment="1">
      <alignment vertical="center"/>
    </xf>
    <xf numFmtId="172" fontId="17" fillId="2" borderId="2" xfId="2" applyNumberFormat="1" applyFont="1" applyFill="1" applyBorder="1" applyAlignment="1">
      <alignment vertical="center"/>
    </xf>
    <xf numFmtId="172" fontId="17" fillId="2" borderId="5" xfId="2" applyNumberFormat="1" applyFont="1" applyFill="1" applyBorder="1" applyAlignment="1">
      <alignment vertical="center"/>
    </xf>
    <xf numFmtId="172" fontId="17" fillId="0" borderId="5" xfId="2" applyNumberFormat="1" applyFont="1" applyBorder="1" applyAlignment="1">
      <alignment vertical="center"/>
    </xf>
    <xf numFmtId="172" fontId="17" fillId="4" borderId="4" xfId="2" applyNumberFormat="1" applyFont="1" applyFill="1" applyBorder="1" applyAlignment="1">
      <alignment vertical="center"/>
    </xf>
    <xf numFmtId="172" fontId="17" fillId="4" borderId="0" xfId="2" applyNumberFormat="1" applyFont="1" applyFill="1" applyAlignment="1">
      <alignment horizontal="right" vertical="center"/>
    </xf>
    <xf numFmtId="172" fontId="20" fillId="4" borderId="0" xfId="2" applyNumberFormat="1" applyFont="1" applyFill="1" applyAlignment="1">
      <alignment vertical="center"/>
    </xf>
    <xf numFmtId="172" fontId="19" fillId="2" borderId="2" xfId="1" applyNumberFormat="1" applyFont="1" applyFill="1" applyBorder="1" applyAlignment="1" applyProtection="1">
      <alignment horizontal="left" vertical="center"/>
    </xf>
    <xf numFmtId="172" fontId="4" fillId="4" borderId="0" xfId="2" applyNumberFormat="1" applyFill="1" applyAlignment="1">
      <alignment vertical="center"/>
    </xf>
    <xf numFmtId="3" fontId="5" fillId="4" borderId="0" xfId="14" applyNumberFormat="1" applyFont="1" applyFill="1" applyAlignment="1">
      <alignment horizontal="right" vertical="center"/>
    </xf>
    <xf numFmtId="3" fontId="5" fillId="0" borderId="2" xfId="14" applyNumberFormat="1" applyFont="1" applyBorder="1" applyAlignment="1">
      <alignment horizontal="left" vertical="center"/>
    </xf>
    <xf numFmtId="3" fontId="5" fillId="0" borderId="4" xfId="14" applyNumberFormat="1" applyFont="1" applyBorder="1" applyAlignment="1">
      <alignment horizontal="right" vertical="center"/>
    </xf>
    <xf numFmtId="3" fontId="5" fillId="0" borderId="2" xfId="14" applyNumberFormat="1" applyFont="1" applyBorder="1" applyAlignment="1">
      <alignment horizontal="right" vertical="center"/>
    </xf>
    <xf numFmtId="3" fontId="5" fillId="0" borderId="5" xfId="14" applyNumberFormat="1" applyFont="1" applyBorder="1" applyAlignment="1">
      <alignment horizontal="right" vertical="center"/>
    </xf>
    <xf numFmtId="3" fontId="5" fillId="4" borderId="4" xfId="14" applyNumberFormat="1" applyFont="1" applyFill="1" applyBorder="1" applyAlignment="1">
      <alignment horizontal="right" vertical="center"/>
    </xf>
    <xf numFmtId="172" fontId="19" fillId="2" borderId="2" xfId="1" applyNumberFormat="1" applyFont="1" applyFill="1" applyBorder="1" applyAlignment="1" applyProtection="1">
      <alignment horizontal="right" vertical="center"/>
    </xf>
    <xf numFmtId="172" fontId="5" fillId="4" borderId="0" xfId="2" applyNumberFormat="1" applyFont="1" applyFill="1" applyAlignment="1">
      <alignment horizontal="right" vertical="center"/>
    </xf>
    <xf numFmtId="3" fontId="5" fillId="4" borderId="0" xfId="14" applyNumberFormat="1" applyFont="1" applyFill="1" applyAlignment="1">
      <alignment vertical="center"/>
    </xf>
    <xf numFmtId="3" fontId="4" fillId="0" borderId="4" xfId="14" applyNumberFormat="1" applyBorder="1" applyAlignment="1">
      <alignment vertical="center"/>
    </xf>
    <xf numFmtId="0" fontId="4" fillId="0" borderId="2" xfId="14" applyBorder="1" applyAlignment="1">
      <alignment vertical="center"/>
    </xf>
    <xf numFmtId="0" fontId="4" fillId="0" borderId="5" xfId="14" applyBorder="1" applyAlignment="1">
      <alignment vertical="center"/>
    </xf>
    <xf numFmtId="3" fontId="5" fillId="0" borderId="5" xfId="14" applyNumberFormat="1" applyFont="1" applyBorder="1" applyAlignment="1">
      <alignment vertical="center"/>
    </xf>
    <xf numFmtId="3" fontId="5" fillId="4" borderId="4" xfId="14" applyNumberFormat="1" applyFont="1" applyFill="1" applyBorder="1" applyAlignment="1">
      <alignment vertical="center"/>
    </xf>
    <xf numFmtId="172" fontId="5" fillId="4" borderId="0" xfId="2" applyNumberFormat="1" applyFont="1" applyFill="1" applyAlignment="1">
      <alignment vertical="center"/>
    </xf>
    <xf numFmtId="172" fontId="5" fillId="0" borderId="1" xfId="2" applyNumberFormat="1" applyFont="1" applyBorder="1" applyAlignment="1">
      <alignment horizontal="center" vertical="center"/>
    </xf>
    <xf numFmtId="172" fontId="5" fillId="0" borderId="3" xfId="2" applyNumberFormat="1" applyFont="1" applyBorder="1" applyAlignment="1">
      <alignment vertical="center"/>
    </xf>
    <xf numFmtId="172" fontId="5" fillId="0" borderId="1" xfId="2" applyNumberFormat="1" applyFont="1" applyBorder="1" applyAlignment="1">
      <alignment vertical="center"/>
    </xf>
    <xf numFmtId="172" fontId="4" fillId="4" borderId="0" xfId="14" applyNumberFormat="1" applyFill="1" applyAlignment="1">
      <alignment horizontal="right" vertical="center"/>
    </xf>
    <xf numFmtId="172" fontId="5" fillId="0" borderId="6" xfId="2" applyNumberFormat="1" applyFont="1" applyBorder="1" applyAlignment="1">
      <alignment vertical="center"/>
    </xf>
    <xf numFmtId="164" fontId="15" fillId="4" borderId="0" xfId="3" applyNumberFormat="1" applyFont="1" applyFill="1" applyAlignment="1">
      <alignment vertical="center"/>
    </xf>
    <xf numFmtId="0" fontId="15" fillId="0" borderId="2" xfId="14" applyFont="1" applyBorder="1" applyAlignment="1">
      <alignment horizontal="center" vertical="center"/>
    </xf>
    <xf numFmtId="9" fontId="16" fillId="0" borderId="4" xfId="15" applyFont="1" applyBorder="1" applyAlignment="1">
      <alignment vertical="center"/>
    </xf>
    <xf numFmtId="0" fontId="16" fillId="0" borderId="5" xfId="14" applyFont="1" applyBorder="1" applyAlignment="1">
      <alignment vertical="center"/>
    </xf>
    <xf numFmtId="9" fontId="16" fillId="0" borderId="5" xfId="15" applyFont="1" applyBorder="1" applyAlignment="1">
      <alignment vertical="center"/>
    </xf>
    <xf numFmtId="0" fontId="19" fillId="0" borderId="1" xfId="1" applyFont="1" applyBorder="1" applyAlignment="1" applyProtection="1">
      <alignment vertical="center"/>
    </xf>
    <xf numFmtId="0" fontId="5" fillId="4" borderId="0" xfId="14" applyFont="1" applyFill="1" applyAlignment="1">
      <alignment horizontal="right" vertical="center"/>
    </xf>
    <xf numFmtId="0" fontId="15" fillId="4" borderId="0" xfId="14" applyFont="1" applyFill="1" applyAlignment="1">
      <alignment vertical="center"/>
    </xf>
    <xf numFmtId="172" fontId="5" fillId="5" borderId="1" xfId="2" applyNumberFormat="1" applyFont="1" applyFill="1" applyBorder="1" applyAlignment="1">
      <alignment horizontal="center" vertical="center"/>
    </xf>
    <xf numFmtId="172" fontId="5" fillId="5" borderId="0" xfId="2" applyNumberFormat="1" applyFont="1" applyFill="1" applyAlignment="1">
      <alignment vertical="center"/>
    </xf>
    <xf numFmtId="172" fontId="5" fillId="5" borderId="3" xfId="2" applyNumberFormat="1" applyFont="1" applyFill="1" applyBorder="1" applyAlignment="1">
      <alignment vertical="center"/>
    </xf>
    <xf numFmtId="172" fontId="5" fillId="5" borderId="1" xfId="2" applyNumberFormat="1" applyFont="1" applyFill="1" applyBorder="1" applyAlignment="1">
      <alignment vertical="center"/>
    </xf>
    <xf numFmtId="0" fontId="5" fillId="0" borderId="0" xfId="14" applyFont="1" applyAlignment="1">
      <alignment horizontal="center" vertical="center"/>
    </xf>
    <xf numFmtId="1" fontId="5" fillId="0" borderId="0" xfId="14" applyNumberFormat="1" applyFont="1" applyAlignment="1">
      <alignment horizontal="center" vertical="center"/>
    </xf>
    <xf numFmtId="0" fontId="4" fillId="4" borderId="0" xfId="14" applyFill="1" applyAlignment="1">
      <alignment vertical="center" wrapText="1"/>
    </xf>
    <xf numFmtId="10" fontId="11" fillId="4" borderId="0" xfId="14" applyNumberFormat="1" applyFont="1" applyFill="1" applyAlignment="1">
      <alignment vertical="center" wrapText="1"/>
    </xf>
    <xf numFmtId="0" fontId="13" fillId="4" borderId="0" xfId="14" applyFont="1" applyFill="1" applyAlignment="1">
      <alignment vertical="center" wrapText="1"/>
    </xf>
    <xf numFmtId="0" fontId="16" fillId="4" borderId="0" xfId="14" applyFont="1" applyFill="1" applyAlignment="1">
      <alignment vertical="center" wrapText="1"/>
    </xf>
    <xf numFmtId="172" fontId="4" fillId="4" borderId="0" xfId="2" applyNumberFormat="1" applyFill="1" applyAlignment="1">
      <alignment vertical="center" wrapText="1"/>
    </xf>
    <xf numFmtId="0" fontId="4" fillId="4" borderId="0" xfId="14" applyFill="1" applyAlignment="1">
      <alignment horizontal="right" vertical="center" wrapText="1"/>
    </xf>
    <xf numFmtId="1" fontId="24" fillId="0" borderId="5" xfId="14" applyNumberFormat="1" applyFont="1" applyBorder="1" applyAlignment="1">
      <alignment horizontal="center" vertical="center"/>
    </xf>
    <xf numFmtId="0" fontId="5" fillId="0" borderId="4" xfId="14" applyFont="1" applyBorder="1" applyAlignment="1">
      <alignment horizontal="center" vertical="center"/>
    </xf>
    <xf numFmtId="0" fontId="5" fillId="4" borderId="3" xfId="14" applyFont="1" applyFill="1" applyBorder="1" applyAlignment="1">
      <alignment horizontal="center" vertical="center" wrapText="1"/>
    </xf>
    <xf numFmtId="0" fontId="5" fillId="4" borderId="6" xfId="14" applyFont="1" applyFill="1" applyBorder="1" applyAlignment="1">
      <alignment horizontal="center" vertical="center" wrapText="1"/>
    </xf>
    <xf numFmtId="172" fontId="5" fillId="5" borderId="6" xfId="2" applyNumberFormat="1" applyFont="1" applyFill="1" applyBorder="1" applyAlignment="1">
      <alignment vertical="center"/>
    </xf>
    <xf numFmtId="0" fontId="5" fillId="0" borderId="3" xfId="14" applyFont="1" applyBorder="1" applyAlignment="1">
      <alignment horizontal="center" vertical="center"/>
    </xf>
    <xf numFmtId="0" fontId="5" fillId="0" borderId="7" xfId="14" applyFont="1" applyBorder="1" applyAlignment="1">
      <alignment horizontal="center" vertical="center"/>
    </xf>
    <xf numFmtId="0" fontId="5" fillId="0" borderId="6" xfId="14" applyFont="1" applyBorder="1" applyAlignment="1">
      <alignment horizontal="center" vertical="center"/>
    </xf>
    <xf numFmtId="0" fontId="5" fillId="4" borderId="1" xfId="14" applyFont="1" applyFill="1" applyBorder="1" applyAlignment="1">
      <alignment horizontal="left" vertical="center"/>
    </xf>
    <xf numFmtId="0" fontId="5" fillId="5" borderId="1" xfId="0" applyFont="1" applyFill="1" applyBorder="1" applyAlignment="1">
      <alignment horizontal="center" vertical="center"/>
    </xf>
    <xf numFmtId="1" fontId="5" fillId="5" borderId="1" xfId="14" applyNumberFormat="1" applyFont="1" applyFill="1" applyBorder="1" applyAlignment="1">
      <alignment horizontal="center" vertical="center" wrapText="1"/>
    </xf>
    <xf numFmtId="0" fontId="6" fillId="4" borderId="0" xfId="14" applyFont="1" applyFill="1" applyAlignment="1">
      <alignment vertical="center"/>
    </xf>
    <xf numFmtId="0" fontId="6" fillId="4" borderId="0" xfId="14" applyFont="1" applyFill="1" applyAlignment="1">
      <alignment horizontal="right" vertical="center"/>
    </xf>
    <xf numFmtId="0" fontId="6" fillId="4" borderId="0" xfId="14" applyFont="1" applyFill="1" applyAlignment="1">
      <alignment vertical="center" wrapText="1"/>
    </xf>
    <xf numFmtId="0" fontId="24" fillId="4" borderId="0" xfId="14" applyFont="1" applyFill="1" applyAlignment="1">
      <alignment horizontal="center" vertical="center"/>
    </xf>
    <xf numFmtId="10" fontId="6" fillId="4" borderId="0" xfId="14" applyNumberFormat="1" applyFont="1" applyFill="1" applyAlignment="1">
      <alignment horizontal="right" vertical="center"/>
    </xf>
    <xf numFmtId="10" fontId="6" fillId="4" borderId="0" xfId="14" applyNumberFormat="1" applyFont="1" applyFill="1" applyAlignment="1">
      <alignment vertical="center"/>
    </xf>
    <xf numFmtId="10" fontId="6" fillId="4" borderId="0" xfId="14" applyNumberFormat="1" applyFont="1" applyFill="1" applyAlignment="1">
      <alignment vertical="center" wrapText="1"/>
    </xf>
    <xf numFmtId="0" fontId="5" fillId="2" borderId="1" xfId="0" applyFont="1" applyFill="1" applyBorder="1" applyAlignment="1">
      <alignment horizontal="center" vertical="center"/>
    </xf>
    <xf numFmtId="0" fontId="5" fillId="0" borderId="2" xfId="14" applyFont="1" applyBorder="1" applyAlignment="1">
      <alignment vertical="center"/>
    </xf>
    <xf numFmtId="171" fontId="5" fillId="4" borderId="0" xfId="14" applyNumberFormat="1" applyFont="1" applyFill="1" applyAlignment="1">
      <alignment vertical="center"/>
    </xf>
    <xf numFmtId="1" fontId="5" fillId="0" borderId="5" xfId="14" applyNumberFormat="1" applyFont="1" applyBorder="1" applyAlignment="1">
      <alignment vertical="center"/>
    </xf>
    <xf numFmtId="172" fontId="21" fillId="4" borderId="0" xfId="2" applyNumberFormat="1" applyFont="1" applyFill="1" applyAlignment="1">
      <alignment vertical="center"/>
    </xf>
    <xf numFmtId="0" fontId="6" fillId="4" borderId="0" xfId="14" applyFont="1" applyFill="1" applyAlignment="1">
      <alignment horizontal="right" vertical="center" wrapText="1"/>
    </xf>
    <xf numFmtId="0" fontId="6" fillId="0" borderId="2" xfId="14" applyFont="1" applyBorder="1" applyAlignment="1">
      <alignment vertical="center"/>
    </xf>
    <xf numFmtId="0" fontId="6" fillId="0" borderId="5" xfId="14" applyFont="1" applyBorder="1" applyAlignment="1">
      <alignment vertical="center"/>
    </xf>
    <xf numFmtId="172" fontId="6" fillId="4" borderId="0" xfId="14" applyNumberFormat="1" applyFont="1" applyFill="1" applyAlignment="1">
      <alignment horizontal="right" vertical="center"/>
    </xf>
    <xf numFmtId="0" fontId="5" fillId="0" borderId="2" xfId="14" applyFont="1" applyBorder="1" applyAlignment="1">
      <alignment horizontal="center" vertical="center"/>
    </xf>
    <xf numFmtId="164" fontId="5" fillId="4" borderId="0" xfId="3" applyNumberFormat="1" applyFont="1" applyFill="1" applyAlignment="1">
      <alignment vertical="center"/>
    </xf>
    <xf numFmtId="0" fontId="6" fillId="4" borderId="5" xfId="14" applyFont="1" applyFill="1" applyBorder="1" applyAlignment="1">
      <alignment vertical="center"/>
    </xf>
    <xf numFmtId="0" fontId="21" fillId="4" borderId="0" xfId="14" applyFont="1" applyFill="1" applyAlignment="1">
      <alignment horizontal="right" vertical="center"/>
    </xf>
    <xf numFmtId="0" fontId="21" fillId="0" borderId="2" xfId="14" applyFont="1" applyBorder="1" applyAlignment="1">
      <alignment vertical="center"/>
    </xf>
    <xf numFmtId="0" fontId="0" fillId="0" borderId="0" xfId="0" applyAlignment="1">
      <alignment horizontal="center" vertical="center"/>
    </xf>
    <xf numFmtId="172" fontId="17" fillId="2" borderId="1" xfId="2" applyNumberFormat="1" applyFont="1" applyFill="1" applyBorder="1" applyAlignment="1">
      <alignment vertical="center"/>
    </xf>
    <xf numFmtId="172" fontId="5" fillId="5" borderId="7" xfId="2" applyNumberFormat="1" applyFont="1" applyFill="1" applyBorder="1" applyAlignment="1">
      <alignment vertical="center"/>
    </xf>
    <xf numFmtId="0" fontId="5" fillId="4" borderId="7" xfId="14" applyFont="1" applyFill="1" applyBorder="1" applyAlignment="1">
      <alignment vertical="center"/>
    </xf>
    <xf numFmtId="171" fontId="16" fillId="0" borderId="8" xfId="14" applyNumberFormat="1" applyFont="1" applyBorder="1" applyAlignment="1">
      <alignment vertical="center"/>
    </xf>
    <xf numFmtId="171" fontId="16" fillId="0" borderId="2" xfId="14" applyNumberFormat="1" applyFont="1" applyBorder="1" applyAlignment="1">
      <alignment vertical="center"/>
    </xf>
    <xf numFmtId="3" fontId="4" fillId="0" borderId="2" xfId="14" applyNumberFormat="1" applyBorder="1" applyAlignment="1">
      <alignment vertical="center"/>
    </xf>
    <xf numFmtId="171" fontId="16" fillId="0" borderId="9" xfId="14" applyNumberFormat="1" applyFont="1" applyBorder="1" applyAlignment="1">
      <alignment vertical="center"/>
    </xf>
    <xf numFmtId="0" fontId="16" fillId="0" borderId="8" xfId="14" applyFont="1" applyBorder="1" applyAlignment="1">
      <alignment vertical="center"/>
    </xf>
    <xf numFmtId="0" fontId="16" fillId="0" borderId="9" xfId="14" applyFont="1" applyBorder="1" applyAlignment="1">
      <alignment vertical="center"/>
    </xf>
    <xf numFmtId="1" fontId="15" fillId="0" borderId="10" xfId="14" applyNumberFormat="1" applyFont="1" applyBorder="1" applyAlignment="1">
      <alignment vertical="center"/>
    </xf>
    <xf numFmtId="1" fontId="15" fillId="0" borderId="11" xfId="14" applyNumberFormat="1" applyFont="1" applyBorder="1" applyAlignment="1">
      <alignment vertical="center"/>
    </xf>
    <xf numFmtId="1" fontId="5" fillId="0" borderId="8" xfId="14" applyNumberFormat="1" applyFont="1" applyBorder="1" applyAlignment="1">
      <alignment horizontal="center" vertical="center"/>
    </xf>
    <xf numFmtId="1" fontId="5" fillId="0" borderId="9" xfId="14" applyNumberFormat="1" applyFont="1" applyBorder="1" applyAlignment="1">
      <alignment horizontal="center" vertical="center"/>
    </xf>
    <xf numFmtId="172" fontId="20" fillId="4" borderId="0" xfId="2" applyNumberFormat="1" applyFont="1" applyFill="1" applyAlignment="1">
      <alignment vertical="center" wrapText="1"/>
    </xf>
    <xf numFmtId="1" fontId="4" fillId="4" borderId="0" xfId="14" applyNumberFormat="1" applyFill="1" applyAlignment="1">
      <alignment horizontal="right" vertical="center"/>
    </xf>
    <xf numFmtId="2" fontId="5" fillId="0" borderId="2" xfId="14" applyNumberFormat="1" applyFont="1" applyBorder="1" applyAlignment="1">
      <alignment horizontal="center" vertical="center"/>
    </xf>
    <xf numFmtId="169" fontId="23" fillId="2" borderId="0" xfId="2" applyFont="1" applyFill="1" applyAlignment="1">
      <alignment horizontal="center" vertical="center"/>
    </xf>
    <xf numFmtId="9" fontId="5" fillId="0" borderId="5" xfId="15" applyFont="1" applyBorder="1" applyAlignment="1">
      <alignment horizontal="center" vertical="center"/>
    </xf>
    <xf numFmtId="0" fontId="4" fillId="0" borderId="0" xfId="0" applyFont="1" applyAlignment="1">
      <alignment vertical="center"/>
    </xf>
    <xf numFmtId="14" fontId="4" fillId="2" borderId="0" xfId="0" applyNumberFormat="1" applyFont="1" applyFill="1" applyAlignment="1">
      <alignment horizontal="center" vertical="center"/>
    </xf>
    <xf numFmtId="0" fontId="29" fillId="4" borderId="0" xfId="14" applyFont="1" applyFill="1" applyAlignment="1">
      <alignment horizontal="center" vertical="center"/>
    </xf>
    <xf numFmtId="0" fontId="29" fillId="4" borderId="1" xfId="14" applyFont="1" applyFill="1" applyBorder="1" applyAlignment="1">
      <alignment horizontal="center" vertical="center" wrapText="1"/>
    </xf>
    <xf numFmtId="172" fontId="28" fillId="4" borderId="0" xfId="14" applyNumberFormat="1" applyFont="1" applyFill="1" applyAlignment="1">
      <alignment vertical="center"/>
    </xf>
    <xf numFmtId="0" fontId="28" fillId="4" borderId="0" xfId="14" applyFont="1" applyFill="1" applyAlignment="1">
      <alignment vertical="center"/>
    </xf>
    <xf numFmtId="10" fontId="29" fillId="4" borderId="0" xfId="14" applyNumberFormat="1" applyFont="1" applyFill="1" applyAlignment="1">
      <alignment horizontal="center" vertical="center"/>
    </xf>
    <xf numFmtId="1" fontId="29" fillId="0" borderId="5" xfId="14" applyNumberFormat="1" applyFont="1" applyBorder="1" applyAlignment="1">
      <alignment horizontal="center" vertical="center"/>
    </xf>
    <xf numFmtId="1" fontId="31" fillId="0" borderId="5" xfId="14" applyNumberFormat="1" applyFont="1" applyBorder="1" applyAlignment="1">
      <alignment horizontal="center" vertical="center"/>
    </xf>
    <xf numFmtId="1" fontId="29" fillId="0" borderId="2" xfId="14" applyNumberFormat="1" applyFont="1" applyBorder="1" applyAlignment="1">
      <alignment horizontal="center" vertical="center"/>
    </xf>
    <xf numFmtId="1" fontId="31" fillId="0" borderId="2" xfId="14" applyNumberFormat="1" applyFont="1" applyBorder="1" applyAlignment="1">
      <alignment horizontal="center" vertical="center"/>
    </xf>
    <xf numFmtId="0" fontId="7" fillId="0" borderId="0" xfId="0" applyFont="1" applyAlignment="1">
      <alignment vertical="center"/>
    </xf>
    <xf numFmtId="0" fontId="32" fillId="0" borderId="0" xfId="0" applyFont="1" applyAlignment="1">
      <alignment vertical="center"/>
    </xf>
    <xf numFmtId="0" fontId="32" fillId="0" borderId="0" xfId="0" applyFont="1" applyAlignment="1">
      <alignment horizontal="center" vertical="center"/>
    </xf>
    <xf numFmtId="0" fontId="32" fillId="8" borderId="12" xfId="0" applyFont="1" applyFill="1" applyBorder="1" applyAlignment="1">
      <alignment horizontal="center" vertical="center"/>
    </xf>
    <xf numFmtId="0" fontId="4" fillId="0" borderId="13" xfId="0" applyFont="1" applyBorder="1" applyAlignment="1">
      <alignment vertical="center"/>
    </xf>
    <xf numFmtId="173" fontId="0" fillId="0" borderId="13" xfId="2" applyNumberFormat="1" applyFont="1" applyBorder="1" applyAlignment="1">
      <alignment vertical="center"/>
    </xf>
    <xf numFmtId="0" fontId="0" fillId="0" borderId="13" xfId="0" applyBorder="1" applyAlignment="1">
      <alignment vertical="center"/>
    </xf>
    <xf numFmtId="0" fontId="7" fillId="0" borderId="13" xfId="0" applyFont="1" applyBorder="1" applyAlignment="1">
      <alignment vertical="center"/>
    </xf>
    <xf numFmtId="173" fontId="7" fillId="0" borderId="13" xfId="2" applyNumberFormat="1" applyFont="1" applyBorder="1" applyAlignment="1">
      <alignment vertical="center"/>
    </xf>
    <xf numFmtId="173" fontId="7" fillId="8" borderId="13" xfId="2" applyNumberFormat="1" applyFont="1" applyFill="1" applyBorder="1" applyAlignment="1">
      <alignment vertical="center"/>
    </xf>
    <xf numFmtId="0" fontId="32" fillId="7" borderId="12" xfId="0" applyFont="1" applyFill="1" applyBorder="1" applyAlignment="1">
      <alignment horizontal="center" vertical="center"/>
    </xf>
    <xf numFmtId="173" fontId="7" fillId="7" borderId="13" xfId="2" applyNumberFormat="1" applyFont="1" applyFill="1" applyBorder="1" applyAlignment="1">
      <alignment vertical="center"/>
    </xf>
    <xf numFmtId="0" fontId="32" fillId="9" borderId="12" xfId="0" applyFont="1" applyFill="1" applyBorder="1" applyAlignment="1">
      <alignment horizontal="center" vertical="center"/>
    </xf>
    <xf numFmtId="173" fontId="33" fillId="9" borderId="13" xfId="2" applyNumberFormat="1" applyFont="1" applyFill="1" applyBorder="1" applyAlignment="1">
      <alignment vertical="center"/>
    </xf>
    <xf numFmtId="172" fontId="4" fillId="4" borderId="0" xfId="14" applyNumberFormat="1" applyFill="1" applyAlignment="1">
      <alignment vertical="center"/>
    </xf>
    <xf numFmtId="9" fontId="0" fillId="0" borderId="13" xfId="15" applyFont="1" applyBorder="1" applyAlignment="1">
      <alignment vertical="center"/>
    </xf>
    <xf numFmtId="9" fontId="7" fillId="0" borderId="13" xfId="15" applyFont="1" applyBorder="1" applyAlignment="1">
      <alignment vertical="center"/>
    </xf>
    <xf numFmtId="171" fontId="5" fillId="4" borderId="0" xfId="14" applyNumberFormat="1" applyFont="1" applyFill="1" applyAlignment="1">
      <alignment horizontal="center" vertical="center"/>
    </xf>
    <xf numFmtId="172" fontId="17" fillId="2" borderId="6" xfId="2" applyNumberFormat="1" applyFont="1" applyFill="1" applyBorder="1" applyAlignment="1">
      <alignment vertical="center"/>
    </xf>
    <xf numFmtId="0" fontId="32" fillId="10" borderId="14" xfId="0" applyFont="1" applyFill="1" applyBorder="1" applyAlignment="1">
      <alignment horizontal="center" vertical="center"/>
    </xf>
    <xf numFmtId="9" fontId="7" fillId="10" borderId="13" xfId="15" applyFont="1" applyFill="1" applyBorder="1" applyAlignment="1">
      <alignment vertical="center"/>
    </xf>
    <xf numFmtId="0" fontId="0" fillId="0" borderId="18" xfId="0" applyBorder="1" applyAlignment="1">
      <alignment vertical="center"/>
    </xf>
    <xf numFmtId="0" fontId="0" fillId="0" borderId="19" xfId="0" applyBorder="1" applyAlignment="1">
      <alignment vertical="center"/>
    </xf>
    <xf numFmtId="173" fontId="28" fillId="4" borderId="0" xfId="2" applyNumberFormat="1" applyFont="1" applyFill="1" applyAlignment="1">
      <alignment vertical="center"/>
    </xf>
    <xf numFmtId="169" fontId="23" fillId="2" borderId="0" xfId="2" applyFont="1" applyFill="1" applyAlignment="1">
      <alignment vertical="center"/>
    </xf>
    <xf numFmtId="0" fontId="32" fillId="8" borderId="13" xfId="0" applyFont="1" applyFill="1" applyBorder="1" applyAlignment="1">
      <alignment horizontal="center" vertical="center" wrapText="1"/>
    </xf>
    <xf numFmtId="0" fontId="32" fillId="7" borderId="13" xfId="0" applyFont="1" applyFill="1" applyBorder="1" applyAlignment="1">
      <alignment horizontal="center" vertical="center" wrapText="1"/>
    </xf>
    <xf numFmtId="0" fontId="32" fillId="9" borderId="13" xfId="0" applyFont="1" applyFill="1" applyBorder="1" applyAlignment="1">
      <alignment horizontal="center" vertical="center" wrapText="1"/>
    </xf>
    <xf numFmtId="0" fontId="32" fillId="10" borderId="13" xfId="0" applyFont="1" applyFill="1" applyBorder="1" applyAlignment="1">
      <alignment horizontal="center" vertical="center" wrapText="1"/>
    </xf>
    <xf numFmtId="172" fontId="17" fillId="0" borderId="2" xfId="2" applyNumberFormat="1" applyFont="1" applyBorder="1" applyAlignment="1">
      <alignment vertical="center"/>
    </xf>
    <xf numFmtId="172" fontId="5" fillId="8" borderId="1" xfId="2" applyNumberFormat="1" applyFont="1" applyFill="1" applyBorder="1" applyAlignment="1">
      <alignment vertical="center"/>
    </xf>
    <xf numFmtId="0" fontId="14" fillId="4" borderId="1" xfId="14" applyFont="1" applyFill="1" applyBorder="1" applyAlignment="1">
      <alignment horizontal="center" vertical="center"/>
    </xf>
    <xf numFmtId="169" fontId="5" fillId="3" borderId="1" xfId="2" applyFont="1" applyFill="1" applyBorder="1" applyAlignment="1">
      <alignment horizontal="center" vertical="center"/>
    </xf>
    <xf numFmtId="169" fontId="0" fillId="0" borderId="0" xfId="2" applyFont="1" applyAlignment="1">
      <alignment horizontal="center" vertical="center"/>
    </xf>
    <xf numFmtId="169" fontId="6" fillId="4" borderId="0" xfId="2" applyFont="1" applyFill="1" applyAlignment="1">
      <alignment vertical="center" wrapText="1"/>
    </xf>
    <xf numFmtId="1" fontId="5" fillId="0" borderId="10" xfId="14" applyNumberFormat="1" applyFont="1" applyBorder="1" applyAlignment="1">
      <alignment horizontal="center" vertical="center"/>
    </xf>
    <xf numFmtId="3" fontId="5" fillId="10" borderId="6" xfId="14" applyNumberFormat="1" applyFont="1" applyFill="1" applyBorder="1" applyAlignment="1">
      <alignment horizontal="center" vertical="center" wrapText="1"/>
    </xf>
    <xf numFmtId="0" fontId="5" fillId="0" borderId="26" xfId="14" applyFont="1" applyBorder="1" applyAlignment="1">
      <alignment horizontal="center" vertical="center"/>
    </xf>
    <xf numFmtId="0" fontId="5" fillId="0" borderId="27" xfId="14" applyFont="1" applyBorder="1" applyAlignment="1">
      <alignment horizontal="center" vertical="center"/>
    </xf>
    <xf numFmtId="167" fontId="5" fillId="8" borderId="1" xfId="8" applyFont="1" applyFill="1" applyBorder="1" applyAlignment="1">
      <alignment vertical="center"/>
    </xf>
    <xf numFmtId="0" fontId="46" fillId="0" borderId="0" xfId="0" applyFont="1" applyAlignment="1">
      <alignment horizontal="center" vertical="center"/>
    </xf>
    <xf numFmtId="169" fontId="4" fillId="4" borderId="13" xfId="2" applyFill="1" applyBorder="1" applyAlignment="1">
      <alignment vertical="center"/>
    </xf>
    <xf numFmtId="172" fontId="4" fillId="4" borderId="13" xfId="2" applyNumberFormat="1" applyFill="1" applyBorder="1" applyAlignment="1">
      <alignment vertical="center"/>
    </xf>
    <xf numFmtId="172" fontId="4" fillId="11" borderId="13" xfId="2" applyNumberFormat="1" applyFill="1" applyBorder="1" applyAlignment="1">
      <alignment vertical="center"/>
    </xf>
    <xf numFmtId="169" fontId="4" fillId="4" borderId="13" xfId="2" applyFill="1" applyBorder="1" applyAlignment="1">
      <alignment vertical="center" wrapText="1"/>
    </xf>
    <xf numFmtId="0" fontId="4" fillId="0" borderId="18" xfId="0" applyFont="1" applyBorder="1" applyAlignment="1">
      <alignment vertical="center"/>
    </xf>
    <xf numFmtId="14" fontId="0" fillId="0" borderId="0" xfId="0" applyNumberFormat="1" applyAlignment="1">
      <alignment vertical="center"/>
    </xf>
    <xf numFmtId="0" fontId="4" fillId="0" borderId="0" xfId="0" applyFont="1" applyAlignment="1">
      <alignment vertical="center" wrapText="1"/>
    </xf>
    <xf numFmtId="0" fontId="44" fillId="0" borderId="0" xfId="13" quotePrefix="1" applyAlignment="1">
      <alignment vertical="center"/>
    </xf>
    <xf numFmtId="0" fontId="44" fillId="0" borderId="0" xfId="13" applyAlignment="1">
      <alignment vertical="center"/>
    </xf>
    <xf numFmtId="169" fontId="44" fillId="0" borderId="0" xfId="2" applyFont="1" applyAlignment="1">
      <alignment vertical="center"/>
    </xf>
    <xf numFmtId="169" fontId="4" fillId="4" borderId="0" xfId="2" applyFill="1" applyAlignment="1">
      <alignment vertical="center"/>
    </xf>
    <xf numFmtId="0" fontId="20" fillId="4" borderId="0" xfId="14" applyFont="1" applyFill="1" applyAlignment="1">
      <alignment vertical="center"/>
    </xf>
    <xf numFmtId="172" fontId="47" fillId="2" borderId="2" xfId="1" applyNumberFormat="1" applyFont="1" applyFill="1" applyBorder="1" applyAlignment="1" applyProtection="1">
      <alignment horizontal="right" vertical="center"/>
    </xf>
    <xf numFmtId="1" fontId="4" fillId="4" borderId="0" xfId="14" applyNumberFormat="1" applyFill="1" applyAlignment="1">
      <alignment vertical="center" wrapText="1"/>
    </xf>
    <xf numFmtId="172" fontId="5" fillId="4" borderId="0" xfId="14" applyNumberFormat="1" applyFont="1" applyFill="1" applyAlignment="1">
      <alignment vertical="center"/>
    </xf>
    <xf numFmtId="0" fontId="0" fillId="8" borderId="0" xfId="0" applyFill="1" applyAlignment="1">
      <alignment vertical="center"/>
    </xf>
    <xf numFmtId="169" fontId="32" fillId="4" borderId="0" xfId="2" applyFont="1" applyFill="1" applyAlignment="1">
      <alignment vertical="center"/>
    </xf>
    <xf numFmtId="169" fontId="46" fillId="4" borderId="0" xfId="2" applyFont="1" applyFill="1" applyAlignment="1">
      <alignment vertical="center"/>
    </xf>
    <xf numFmtId="167" fontId="13" fillId="4" borderId="0" xfId="8" applyFont="1" applyFill="1" applyAlignment="1">
      <alignment vertical="center"/>
    </xf>
    <xf numFmtId="0" fontId="4" fillId="4" borderId="0" xfId="2" applyNumberFormat="1" applyFill="1" applyAlignment="1">
      <alignment vertical="center"/>
    </xf>
    <xf numFmtId="0" fontId="4" fillId="4" borderId="0" xfId="14" quotePrefix="1" applyFill="1" applyAlignment="1">
      <alignment vertical="center" wrapText="1"/>
    </xf>
    <xf numFmtId="9" fontId="17" fillId="10" borderId="28" xfId="15" applyFont="1" applyFill="1" applyBorder="1" applyAlignment="1">
      <alignment horizontal="center" vertical="center"/>
    </xf>
    <xf numFmtId="0" fontId="5" fillId="4" borderId="13" xfId="14" applyFont="1" applyFill="1" applyBorder="1" applyAlignment="1">
      <alignment horizontal="center" vertical="center" wrapText="1"/>
    </xf>
    <xf numFmtId="0" fontId="29" fillId="4" borderId="13" xfId="14" applyFont="1" applyFill="1" applyBorder="1" applyAlignment="1">
      <alignment horizontal="center" vertical="center" wrapText="1"/>
    </xf>
    <xf numFmtId="3" fontId="5" fillId="10" borderId="13" xfId="14" applyNumberFormat="1" applyFont="1" applyFill="1" applyBorder="1" applyAlignment="1">
      <alignment horizontal="center" vertical="center" wrapText="1"/>
    </xf>
    <xf numFmtId="0" fontId="6" fillId="0" borderId="13" xfId="14" applyFont="1" applyBorder="1" applyAlignment="1">
      <alignment vertical="center"/>
    </xf>
    <xf numFmtId="0" fontId="28" fillId="0" borderId="13" xfId="14" applyFont="1" applyBorder="1" applyAlignment="1">
      <alignment vertical="center"/>
    </xf>
    <xf numFmtId="171" fontId="5" fillId="4" borderId="13" xfId="14" applyNumberFormat="1" applyFont="1" applyFill="1" applyBorder="1" applyAlignment="1">
      <alignment vertical="center"/>
    </xf>
    <xf numFmtId="172" fontId="17" fillId="2" borderId="13" xfId="2" applyNumberFormat="1" applyFont="1" applyFill="1" applyBorder="1" applyAlignment="1">
      <alignment vertical="center"/>
    </xf>
    <xf numFmtId="172" fontId="29" fillId="2" borderId="13" xfId="2" applyNumberFormat="1" applyFont="1" applyFill="1" applyBorder="1" applyAlignment="1">
      <alignment vertical="center"/>
    </xf>
    <xf numFmtId="1" fontId="5" fillId="0" borderId="13" xfId="14" applyNumberFormat="1" applyFont="1" applyBorder="1" applyAlignment="1">
      <alignment vertical="center"/>
    </xf>
    <xf numFmtId="1" fontId="29" fillId="0" borderId="13" xfId="14" applyNumberFormat="1" applyFont="1" applyBorder="1" applyAlignment="1">
      <alignment vertical="center"/>
    </xf>
    <xf numFmtId="3" fontId="5" fillId="0" borderId="13" xfId="14" applyNumberFormat="1" applyFont="1" applyBorder="1" applyAlignment="1">
      <alignment horizontal="right" vertical="center"/>
    </xf>
    <xf numFmtId="3" fontId="29" fillId="0" borderId="13" xfId="14" applyNumberFormat="1" applyFont="1" applyBorder="1" applyAlignment="1">
      <alignment horizontal="right" vertical="center"/>
    </xf>
    <xf numFmtId="3" fontId="5" fillId="4" borderId="13" xfId="14" applyNumberFormat="1" applyFont="1" applyFill="1" applyBorder="1" applyAlignment="1">
      <alignment horizontal="right" vertical="center"/>
    </xf>
    <xf numFmtId="172" fontId="17" fillId="4" borderId="13" xfId="2" applyNumberFormat="1" applyFont="1" applyFill="1" applyBorder="1" applyAlignment="1">
      <alignment vertical="center"/>
    </xf>
    <xf numFmtId="171" fontId="5" fillId="4" borderId="13" xfId="14" applyNumberFormat="1" applyFont="1" applyFill="1" applyBorder="1" applyAlignment="1">
      <alignment horizontal="center" vertical="center"/>
    </xf>
    <xf numFmtId="172" fontId="5" fillId="0" borderId="13" xfId="2" applyNumberFormat="1" applyFont="1" applyBorder="1" applyAlignment="1">
      <alignment vertical="center"/>
    </xf>
    <xf numFmtId="172" fontId="29" fillId="0" borderId="13" xfId="2" applyNumberFormat="1" applyFont="1" applyBorder="1" applyAlignment="1">
      <alignment vertical="center"/>
    </xf>
    <xf numFmtId="172" fontId="6" fillId="4" borderId="13" xfId="14" applyNumberFormat="1" applyFont="1" applyFill="1" applyBorder="1" applyAlignment="1">
      <alignment horizontal="center" vertical="center"/>
    </xf>
    <xf numFmtId="0" fontId="6" fillId="4" borderId="13" xfId="14" applyFont="1" applyFill="1" applyBorder="1" applyAlignment="1">
      <alignment horizontal="center" vertical="center"/>
    </xf>
    <xf numFmtId="0" fontId="6" fillId="4" borderId="13" xfId="14" applyFont="1" applyFill="1" applyBorder="1" applyAlignment="1">
      <alignment vertical="center"/>
    </xf>
    <xf numFmtId="0" fontId="28" fillId="4" borderId="13" xfId="14" applyFont="1" applyFill="1" applyBorder="1" applyAlignment="1">
      <alignment vertical="center"/>
    </xf>
    <xf numFmtId="172" fontId="5" fillId="5" borderId="13" xfId="2" applyNumberFormat="1" applyFont="1" applyFill="1" applyBorder="1" applyAlignment="1">
      <alignment vertical="center"/>
    </xf>
    <xf numFmtId="172" fontId="29" fillId="5" borderId="13" xfId="2" applyNumberFormat="1" applyFont="1" applyFill="1" applyBorder="1" applyAlignment="1">
      <alignment vertical="center"/>
    </xf>
    <xf numFmtId="0" fontId="5" fillId="4" borderId="21" xfId="14" applyFont="1" applyFill="1" applyBorder="1" applyAlignment="1">
      <alignment horizontal="center" vertical="center" wrapText="1"/>
    </xf>
    <xf numFmtId="0" fontId="5" fillId="4" borderId="22" xfId="14" applyFont="1" applyFill="1" applyBorder="1" applyAlignment="1">
      <alignment horizontal="center" vertical="center" wrapText="1"/>
    </xf>
    <xf numFmtId="3" fontId="5" fillId="10" borderId="22" xfId="14" applyNumberFormat="1" applyFont="1" applyFill="1" applyBorder="1" applyAlignment="1">
      <alignment horizontal="center" vertical="center" wrapText="1"/>
    </xf>
    <xf numFmtId="0" fontId="5" fillId="4" borderId="29" xfId="14" applyFont="1" applyFill="1" applyBorder="1" applyAlignment="1">
      <alignment horizontal="center" vertical="center" wrapText="1"/>
    </xf>
    <xf numFmtId="1" fontId="5" fillId="0" borderId="30" xfId="14" applyNumberFormat="1" applyFont="1" applyBorder="1" applyAlignment="1">
      <alignment vertical="center"/>
    </xf>
    <xf numFmtId="3" fontId="5" fillId="0" borderId="18" xfId="14" applyNumberFormat="1" applyFont="1" applyBorder="1" applyAlignment="1">
      <alignment horizontal="right" vertical="center"/>
    </xf>
    <xf numFmtId="3" fontId="5" fillId="0" borderId="30" xfId="14" applyNumberFormat="1" applyFont="1" applyBorder="1" applyAlignment="1">
      <alignment horizontal="right" vertical="center"/>
    </xf>
    <xf numFmtId="172" fontId="5" fillId="0" borderId="18" xfId="2" applyNumberFormat="1" applyFont="1" applyBorder="1" applyAlignment="1">
      <alignment vertical="center"/>
    </xf>
    <xf numFmtId="172" fontId="5" fillId="5" borderId="19" xfId="2" applyNumberFormat="1" applyFont="1" applyFill="1" applyBorder="1" applyAlignment="1">
      <alignment vertical="center"/>
    </xf>
    <xf numFmtId="172" fontId="5" fillId="5" borderId="20" xfId="2" applyNumberFormat="1" applyFont="1" applyFill="1" applyBorder="1" applyAlignment="1">
      <alignment vertical="center"/>
    </xf>
    <xf numFmtId="172" fontId="5" fillId="5" borderId="31" xfId="2" applyNumberFormat="1" applyFont="1" applyFill="1" applyBorder="1" applyAlignment="1">
      <alignment vertical="center"/>
    </xf>
    <xf numFmtId="172" fontId="38" fillId="0" borderId="1" xfId="2" applyNumberFormat="1" applyFont="1" applyBorder="1" applyAlignment="1">
      <alignment horizontal="center" vertical="center"/>
    </xf>
    <xf numFmtId="172" fontId="38" fillId="4" borderId="7" xfId="2" applyNumberFormat="1" applyFont="1" applyFill="1" applyBorder="1" applyAlignment="1">
      <alignment vertical="center"/>
    </xf>
    <xf numFmtId="172" fontId="38" fillId="0" borderId="18" xfId="2" applyNumberFormat="1" applyFont="1" applyBorder="1" applyAlignment="1">
      <alignment vertical="center"/>
    </xf>
    <xf numFmtId="172" fontId="38" fillId="0" borderId="13" xfId="2" applyNumberFormat="1" applyFont="1" applyBorder="1" applyAlignment="1">
      <alignment vertical="center"/>
    </xf>
    <xf numFmtId="172" fontId="39" fillId="0" borderId="13" xfId="2" applyNumberFormat="1" applyFont="1" applyBorder="1" applyAlignment="1">
      <alignment vertical="center"/>
    </xf>
    <xf numFmtId="172" fontId="38" fillId="0" borderId="30" xfId="2" applyNumberFormat="1" applyFont="1" applyBorder="1" applyAlignment="1">
      <alignment vertical="center"/>
    </xf>
    <xf numFmtId="172" fontId="38" fillId="4" borderId="0" xfId="2" applyNumberFormat="1" applyFont="1" applyFill="1" applyAlignment="1">
      <alignment vertical="center"/>
    </xf>
    <xf numFmtId="172" fontId="38" fillId="4" borderId="0" xfId="14" applyNumberFormat="1" applyFont="1" applyFill="1" applyAlignment="1">
      <alignment horizontal="right" vertical="center"/>
    </xf>
    <xf numFmtId="172" fontId="38" fillId="0" borderId="1" xfId="2" applyNumberFormat="1" applyFont="1" applyBorder="1" applyAlignment="1">
      <alignment vertical="center"/>
    </xf>
    <xf numFmtId="172" fontId="38" fillId="0" borderId="6" xfId="2" applyNumberFormat="1" applyFont="1" applyBorder="1" applyAlignment="1">
      <alignment vertical="center"/>
    </xf>
    <xf numFmtId="172" fontId="38" fillId="4" borderId="0" xfId="2" applyNumberFormat="1" applyFont="1" applyFill="1" applyAlignment="1">
      <alignment vertical="center" wrapText="1"/>
    </xf>
    <xf numFmtId="1" fontId="15" fillId="0" borderId="13" xfId="14" applyNumberFormat="1" applyFont="1" applyBorder="1" applyAlignment="1">
      <alignment vertical="center"/>
    </xf>
    <xf numFmtId="1" fontId="36" fillId="0" borderId="13" xfId="14" applyNumberFormat="1" applyFont="1" applyBorder="1" applyAlignment="1">
      <alignment vertical="center"/>
    </xf>
    <xf numFmtId="1" fontId="17" fillId="0" borderId="13" xfId="14" applyNumberFormat="1" applyFont="1" applyBorder="1" applyAlignment="1">
      <alignment vertical="center"/>
    </xf>
    <xf numFmtId="3" fontId="17" fillId="0" borderId="13" xfId="14" applyNumberFormat="1" applyFont="1" applyBorder="1" applyAlignment="1">
      <alignment horizontal="right" vertical="center"/>
    </xf>
    <xf numFmtId="0" fontId="20" fillId="0" borderId="13" xfId="14" applyFont="1" applyBorder="1" applyAlignment="1">
      <alignment vertical="center"/>
    </xf>
    <xf numFmtId="172" fontId="17" fillId="0" borderId="13" xfId="2" applyNumberFormat="1" applyFont="1" applyBorder="1" applyAlignment="1">
      <alignment vertical="center"/>
    </xf>
    <xf numFmtId="0" fontId="37" fillId="0" borderId="13" xfId="14" applyFont="1" applyBorder="1" applyAlignment="1">
      <alignment vertical="center"/>
    </xf>
    <xf numFmtId="0" fontId="20" fillId="4" borderId="13" xfId="14" applyFont="1" applyFill="1" applyBorder="1" applyAlignment="1">
      <alignment vertical="center"/>
    </xf>
    <xf numFmtId="172" fontId="17" fillId="5" borderId="13" xfId="2" applyNumberFormat="1" applyFont="1" applyFill="1" applyBorder="1" applyAlignment="1">
      <alignment vertical="center"/>
    </xf>
    <xf numFmtId="165" fontId="5" fillId="5" borderId="13" xfId="2" applyNumberFormat="1" applyFont="1" applyFill="1" applyBorder="1" applyAlignment="1">
      <alignment vertical="center"/>
    </xf>
    <xf numFmtId="172" fontId="40" fillId="0" borderId="13" xfId="2" applyNumberFormat="1" applyFont="1" applyBorder="1" applyAlignment="1">
      <alignment vertical="center"/>
    </xf>
    <xf numFmtId="1" fontId="5" fillId="4" borderId="0" xfId="14" applyNumberFormat="1" applyFont="1" applyFill="1" applyAlignment="1">
      <alignment vertical="center"/>
    </xf>
    <xf numFmtId="0" fontId="4" fillId="0" borderId="13" xfId="14" applyBorder="1" applyAlignment="1">
      <alignment vertical="center"/>
    </xf>
    <xf numFmtId="0" fontId="16" fillId="0" borderId="13" xfId="14" applyFont="1" applyBorder="1" applyAlignment="1">
      <alignment vertical="center"/>
    </xf>
    <xf numFmtId="165" fontId="5" fillId="4" borderId="0" xfId="14" applyNumberFormat="1" applyFont="1" applyFill="1" applyAlignment="1">
      <alignment vertical="center"/>
    </xf>
    <xf numFmtId="0" fontId="30" fillId="6" borderId="13" xfId="14" applyFont="1" applyFill="1" applyBorder="1" applyAlignment="1">
      <alignment horizontal="center" vertical="center"/>
    </xf>
    <xf numFmtId="169" fontId="4" fillId="4" borderId="13" xfId="2" applyFill="1" applyBorder="1" applyAlignment="1">
      <alignment horizontal="center" vertical="center" wrapText="1"/>
    </xf>
    <xf numFmtId="1" fontId="5" fillId="5" borderId="3" xfId="14" applyNumberFormat="1" applyFont="1" applyFill="1" applyBorder="1" applyAlignment="1">
      <alignment horizontal="center" vertical="center" wrapText="1"/>
    </xf>
    <xf numFmtId="0" fontId="29" fillId="4" borderId="3" xfId="14" applyFont="1" applyFill="1" applyBorder="1" applyAlignment="1">
      <alignment horizontal="center" vertical="center" wrapText="1"/>
    </xf>
    <xf numFmtId="2" fontId="29" fillId="0" borderId="5" xfId="14" applyNumberFormat="1" applyFont="1" applyBorder="1" applyAlignment="1">
      <alignment horizontal="center" vertical="center"/>
    </xf>
    <xf numFmtId="0" fontId="48" fillId="4" borderId="13" xfId="14" applyFont="1" applyFill="1" applyBorder="1" applyAlignment="1">
      <alignment horizontal="center" vertical="center" wrapText="1"/>
    </xf>
    <xf numFmtId="0" fontId="17" fillId="4" borderId="0" xfId="14" applyFont="1" applyFill="1" applyAlignment="1">
      <alignment horizontal="center" vertical="center"/>
    </xf>
    <xf numFmtId="0" fontId="17" fillId="0" borderId="0" xfId="14" applyFont="1" applyAlignment="1">
      <alignment horizontal="center" vertical="center"/>
    </xf>
    <xf numFmtId="0" fontId="17" fillId="4" borderId="1" xfId="14" applyFont="1" applyFill="1" applyBorder="1" applyAlignment="1">
      <alignment horizontal="center" vertical="center" wrapText="1"/>
    </xf>
    <xf numFmtId="1" fontId="17" fillId="3" borderId="2" xfId="14" applyNumberFormat="1" applyFont="1" applyFill="1" applyBorder="1" applyAlignment="1">
      <alignment horizontal="center" vertical="center"/>
    </xf>
    <xf numFmtId="1" fontId="42" fillId="3" borderId="2" xfId="14" applyNumberFormat="1" applyFont="1" applyFill="1" applyBorder="1" applyAlignment="1">
      <alignment horizontal="center" vertical="center"/>
    </xf>
    <xf numFmtId="0" fontId="17" fillId="0" borderId="5" xfId="14" applyFont="1" applyBorder="1" applyAlignment="1">
      <alignment horizontal="center" vertical="center"/>
    </xf>
    <xf numFmtId="0" fontId="17" fillId="4" borderId="13" xfId="14" applyFont="1" applyFill="1" applyBorder="1" applyAlignment="1">
      <alignment horizontal="center" vertical="center" wrapText="1"/>
    </xf>
    <xf numFmtId="1" fontId="17" fillId="0" borderId="2" xfId="14" applyNumberFormat="1" applyFont="1" applyBorder="1" applyAlignment="1">
      <alignment horizontal="center" vertical="center"/>
    </xf>
    <xf numFmtId="1" fontId="42" fillId="0" borderId="2" xfId="14" applyNumberFormat="1" applyFont="1" applyBorder="1" applyAlignment="1">
      <alignment horizontal="center" vertical="center"/>
    </xf>
    <xf numFmtId="0" fontId="17" fillId="0" borderId="11" xfId="14" applyFont="1" applyBorder="1" applyAlignment="1">
      <alignment horizontal="center" vertical="center"/>
    </xf>
    <xf numFmtId="0" fontId="41" fillId="6" borderId="13" xfId="14" applyFont="1" applyFill="1" applyBorder="1" applyAlignment="1">
      <alignment horizontal="center" vertical="center"/>
    </xf>
    <xf numFmtId="174" fontId="20" fillId="4" borderId="0" xfId="14" applyNumberFormat="1" applyFont="1" applyFill="1" applyAlignment="1">
      <alignment vertical="center"/>
    </xf>
    <xf numFmtId="0" fontId="29" fillId="0" borderId="1" xfId="14" applyFont="1" applyBorder="1" applyAlignment="1">
      <alignment horizontal="center" vertical="center" wrapText="1"/>
    </xf>
    <xf numFmtId="0" fontId="7" fillId="7" borderId="0" xfId="0" applyFont="1" applyFill="1" applyAlignment="1">
      <alignment vertical="center"/>
    </xf>
    <xf numFmtId="0" fontId="44" fillId="0" borderId="0" xfId="13" applyAlignment="1">
      <alignment vertical="center" wrapText="1"/>
    </xf>
    <xf numFmtId="14" fontId="44" fillId="0" borderId="0" xfId="13" applyNumberFormat="1" applyAlignment="1">
      <alignment vertical="center"/>
    </xf>
    <xf numFmtId="0" fontId="0" fillId="0" borderId="0" xfId="0" quotePrefix="1" applyAlignment="1">
      <alignment vertical="center"/>
    </xf>
    <xf numFmtId="0" fontId="45" fillId="0" borderId="0" xfId="13" quotePrefix="1" applyFont="1" applyAlignment="1">
      <alignment vertical="center"/>
    </xf>
    <xf numFmtId="0" fontId="45" fillId="0" borderId="0" xfId="13" applyFont="1" applyAlignment="1">
      <alignment vertical="center"/>
    </xf>
    <xf numFmtId="169" fontId="45" fillId="0" borderId="0" xfId="2" applyFont="1" applyAlignment="1">
      <alignment vertical="center"/>
    </xf>
    <xf numFmtId="14" fontId="46" fillId="0" borderId="0" xfId="0" applyNumberFormat="1" applyFont="1" applyAlignment="1">
      <alignment vertical="center"/>
    </xf>
    <xf numFmtId="0" fontId="46" fillId="0" borderId="0" xfId="0" quotePrefix="1" applyFont="1" applyAlignment="1">
      <alignment vertical="center"/>
    </xf>
    <xf numFmtId="169" fontId="46" fillId="0" borderId="0" xfId="2" applyFont="1" applyAlignment="1">
      <alignment vertical="center"/>
    </xf>
    <xf numFmtId="0" fontId="46" fillId="0" borderId="0" xfId="0" applyFont="1" applyAlignment="1">
      <alignment vertical="center" wrapText="1"/>
    </xf>
    <xf numFmtId="173" fontId="4" fillId="4" borderId="13" xfId="2" applyNumberFormat="1" applyFill="1" applyBorder="1" applyAlignment="1">
      <alignment vertical="center"/>
    </xf>
    <xf numFmtId="169" fontId="4" fillId="4" borderId="13" xfId="2" applyFill="1" applyBorder="1" applyAlignment="1">
      <alignment horizontal="center" vertical="center"/>
    </xf>
    <xf numFmtId="169" fontId="43" fillId="4" borderId="0" xfId="2" applyFont="1" applyFill="1" applyAlignment="1">
      <alignment vertical="center"/>
    </xf>
    <xf numFmtId="1" fontId="49" fillId="5" borderId="1" xfId="14" applyNumberFormat="1" applyFont="1" applyFill="1" applyBorder="1" applyAlignment="1">
      <alignment horizontal="center" vertical="center" wrapText="1"/>
    </xf>
    <xf numFmtId="173" fontId="5" fillId="10" borderId="13" xfId="2" applyNumberFormat="1" applyFont="1" applyFill="1" applyBorder="1" applyAlignment="1">
      <alignment horizontal="center" vertical="center" wrapText="1"/>
    </xf>
    <xf numFmtId="173" fontId="5" fillId="4" borderId="13" xfId="2" applyNumberFormat="1" applyFont="1" applyFill="1" applyBorder="1" applyAlignment="1">
      <alignment vertical="center"/>
    </xf>
    <xf numFmtId="173" fontId="39" fillId="0" borderId="13" xfId="2" applyNumberFormat="1" applyFont="1" applyBorder="1" applyAlignment="1">
      <alignment vertical="center"/>
    </xf>
    <xf numFmtId="173" fontId="5" fillId="5" borderId="13" xfId="2" applyNumberFormat="1" applyFont="1" applyFill="1" applyBorder="1" applyAlignment="1">
      <alignment vertical="center"/>
    </xf>
    <xf numFmtId="173" fontId="5" fillId="4" borderId="0" xfId="2" applyNumberFormat="1" applyFont="1" applyFill="1" applyAlignment="1">
      <alignment vertical="center"/>
    </xf>
    <xf numFmtId="173" fontId="5" fillId="4" borderId="0" xfId="2" applyNumberFormat="1" applyFont="1" applyFill="1" applyAlignment="1">
      <alignment horizontal="center" vertical="center"/>
    </xf>
    <xf numFmtId="173" fontId="17" fillId="4" borderId="13" xfId="2" applyNumberFormat="1" applyFont="1" applyFill="1" applyBorder="1" applyAlignment="1">
      <alignment vertical="center"/>
    </xf>
    <xf numFmtId="173" fontId="17" fillId="4" borderId="13" xfId="2" applyNumberFormat="1" applyFont="1" applyFill="1" applyBorder="1" applyAlignment="1">
      <alignment horizontal="center" vertical="center"/>
    </xf>
    <xf numFmtId="173" fontId="5" fillId="4" borderId="13" xfId="2" applyNumberFormat="1" applyFont="1" applyFill="1" applyBorder="1" applyAlignment="1">
      <alignment horizontal="center" vertical="center"/>
    </xf>
    <xf numFmtId="173" fontId="6" fillId="4" borderId="13" xfId="2" applyNumberFormat="1" applyFont="1" applyFill="1" applyBorder="1" applyAlignment="1">
      <alignment horizontal="center" vertical="center"/>
    </xf>
    <xf numFmtId="0" fontId="46" fillId="0" borderId="0" xfId="0" applyFont="1" applyAlignment="1">
      <alignment vertical="center"/>
    </xf>
    <xf numFmtId="169" fontId="4" fillId="2" borderId="0" xfId="2" applyFill="1" applyAlignment="1">
      <alignment horizontal="center" vertical="center"/>
    </xf>
    <xf numFmtId="2" fontId="0" fillId="0" borderId="0" xfId="0" applyNumberFormat="1" applyAlignment="1">
      <alignment vertical="center"/>
    </xf>
    <xf numFmtId="2" fontId="45" fillId="0" borderId="0" xfId="13" applyNumberFormat="1" applyFont="1" applyAlignment="1">
      <alignment vertical="center"/>
    </xf>
    <xf numFmtId="0" fontId="7" fillId="0" borderId="0" xfId="0" applyFont="1" applyAlignment="1">
      <alignment horizontal="center" vertical="center"/>
    </xf>
    <xf numFmtId="167" fontId="5" fillId="3" borderId="32" xfId="8" applyFont="1" applyFill="1" applyBorder="1" applyAlignment="1">
      <alignment vertical="center"/>
    </xf>
    <xf numFmtId="170" fontId="5" fillId="5" borderId="23" xfId="8" applyNumberFormat="1" applyFont="1" applyFill="1" applyBorder="1" applyAlignment="1">
      <alignment vertical="center"/>
    </xf>
    <xf numFmtId="167" fontId="5" fillId="2" borderId="15" xfId="8" applyFont="1" applyFill="1" applyBorder="1" applyAlignment="1">
      <alignment vertical="center"/>
    </xf>
    <xf numFmtId="170" fontId="5" fillId="5" borderId="17" xfId="8" applyNumberFormat="1" applyFont="1" applyFill="1" applyBorder="1" applyAlignment="1">
      <alignment vertical="center"/>
    </xf>
    <xf numFmtId="167" fontId="0" fillId="0" borderId="0" xfId="8" applyFont="1" applyAlignment="1">
      <alignment vertical="center"/>
    </xf>
    <xf numFmtId="170" fontId="21" fillId="5" borderId="0" xfId="8" applyNumberFormat="1" applyFont="1" applyFill="1" applyAlignment="1">
      <alignment vertical="center"/>
    </xf>
    <xf numFmtId="14" fontId="5" fillId="2" borderId="25" xfId="0" applyNumberFormat="1" applyFont="1" applyFill="1" applyBorder="1" applyAlignment="1">
      <alignment horizontal="center" vertical="center"/>
    </xf>
    <xf numFmtId="14" fontId="5" fillId="2" borderId="15" xfId="0" applyNumberFormat="1" applyFont="1" applyFill="1" applyBorder="1" applyAlignment="1">
      <alignment horizontal="center" vertical="center"/>
    </xf>
    <xf numFmtId="14" fontId="5" fillId="2" borderId="16" xfId="0" applyNumberFormat="1" applyFont="1" applyFill="1" applyBorder="1" applyAlignment="1">
      <alignment horizontal="center" vertical="center"/>
    </xf>
    <xf numFmtId="14" fontId="5" fillId="2" borderId="17" xfId="0" applyNumberFormat="1" applyFont="1" applyFill="1" applyBorder="1" applyAlignment="1">
      <alignment horizontal="center" vertical="center"/>
    </xf>
    <xf numFmtId="0" fontId="23" fillId="0" borderId="0" xfId="0" applyFont="1" applyAlignment="1">
      <alignment vertical="center"/>
    </xf>
    <xf numFmtId="170" fontId="0" fillId="0" borderId="0" xfId="0" applyNumberFormat="1" applyAlignment="1">
      <alignment vertical="center"/>
    </xf>
    <xf numFmtId="0" fontId="4" fillId="0" borderId="0" xfId="0" quotePrefix="1" applyFont="1" applyAlignment="1">
      <alignment vertical="center"/>
    </xf>
    <xf numFmtId="170" fontId="21" fillId="0" borderId="0" xfId="8" applyNumberFormat="1" applyFont="1" applyAlignment="1">
      <alignment vertical="center"/>
    </xf>
    <xf numFmtId="0" fontId="5" fillId="4" borderId="0" xfId="14" applyFont="1" applyFill="1" applyAlignment="1">
      <alignment vertical="center" wrapText="1"/>
    </xf>
    <xf numFmtId="0" fontId="7" fillId="4" borderId="0" xfId="14" applyFont="1" applyFill="1" applyAlignment="1">
      <alignment vertical="center"/>
    </xf>
    <xf numFmtId="173" fontId="20" fillId="4" borderId="0" xfId="2" applyNumberFormat="1" applyFont="1" applyFill="1" applyAlignment="1">
      <alignment vertical="center"/>
    </xf>
    <xf numFmtId="173" fontId="40" fillId="4" borderId="0" xfId="2" applyNumberFormat="1" applyFont="1" applyFill="1" applyAlignment="1">
      <alignment vertical="center"/>
    </xf>
    <xf numFmtId="0" fontId="50" fillId="4" borderId="0" xfId="14" applyFont="1" applyFill="1" applyAlignment="1">
      <alignment horizontal="center" vertical="center"/>
    </xf>
    <xf numFmtId="173" fontId="4" fillId="4" borderId="0" xfId="2" applyNumberFormat="1" applyFill="1" applyAlignment="1">
      <alignment vertical="center"/>
    </xf>
    <xf numFmtId="173" fontId="4" fillId="4" borderId="0" xfId="2" applyNumberFormat="1" applyFill="1" applyAlignment="1">
      <alignment horizontal="right" vertical="center"/>
    </xf>
    <xf numFmtId="173" fontId="4" fillId="4" borderId="0" xfId="2" applyNumberFormat="1" applyFill="1" applyAlignment="1">
      <alignment vertical="center" wrapText="1"/>
    </xf>
    <xf numFmtId="173" fontId="4" fillId="8" borderId="0" xfId="2" applyNumberFormat="1" applyFill="1" applyAlignment="1">
      <alignment vertical="center"/>
    </xf>
    <xf numFmtId="172" fontId="5" fillId="8" borderId="3" xfId="2" applyNumberFormat="1" applyFont="1" applyFill="1" applyBorder="1" applyAlignment="1">
      <alignment vertical="center"/>
    </xf>
    <xf numFmtId="172" fontId="5" fillId="8" borderId="6" xfId="2" applyNumberFormat="1" applyFont="1" applyFill="1" applyBorder="1" applyAlignment="1">
      <alignment vertical="center"/>
    </xf>
    <xf numFmtId="0" fontId="4" fillId="8" borderId="0" xfId="0" applyFont="1" applyFill="1" applyAlignment="1">
      <alignment vertical="center"/>
    </xf>
    <xf numFmtId="0" fontId="0" fillId="0" borderId="0" xfId="0" applyAlignment="1">
      <alignment vertical="center" wrapText="1"/>
    </xf>
    <xf numFmtId="0" fontId="44" fillId="0" borderId="0" xfId="13" applyAlignment="1">
      <alignment horizontal="center" vertical="center"/>
    </xf>
    <xf numFmtId="0" fontId="49" fillId="4" borderId="0" xfId="14" applyFont="1" applyFill="1" applyAlignment="1">
      <alignment vertical="center"/>
    </xf>
    <xf numFmtId="0" fontId="46" fillId="4" borderId="0" xfId="14" applyFont="1" applyFill="1" applyAlignment="1">
      <alignment vertical="center"/>
    </xf>
    <xf numFmtId="0" fontId="46" fillId="4" borderId="0" xfId="14" applyFont="1" applyFill="1" applyAlignment="1">
      <alignment horizontal="right" vertical="center"/>
    </xf>
    <xf numFmtId="0" fontId="46" fillId="4" borderId="0" xfId="14" applyFont="1" applyFill="1" applyAlignment="1">
      <alignment vertical="center" wrapText="1"/>
    </xf>
    <xf numFmtId="1" fontId="51" fillId="5" borderId="1" xfId="14" applyNumberFormat="1" applyFont="1" applyFill="1" applyBorder="1" applyAlignment="1">
      <alignment horizontal="center" vertical="center" wrapText="1"/>
    </xf>
    <xf numFmtId="172" fontId="5" fillId="4" borderId="0" xfId="14" applyNumberFormat="1" applyFont="1" applyFill="1" applyAlignment="1">
      <alignment horizontal="center" vertical="center"/>
    </xf>
    <xf numFmtId="172" fontId="29" fillId="4" borderId="0" xfId="14" applyNumberFormat="1" applyFont="1" applyFill="1" applyAlignment="1">
      <alignment horizontal="center" vertical="center"/>
    </xf>
    <xf numFmtId="172" fontId="17" fillId="4" borderId="0" xfId="14" applyNumberFormat="1" applyFont="1" applyFill="1" applyAlignment="1">
      <alignment horizontal="center" vertical="center"/>
    </xf>
    <xf numFmtId="0" fontId="43" fillId="4" borderId="0" xfId="14" applyFont="1" applyFill="1" applyAlignment="1">
      <alignment vertical="center"/>
    </xf>
    <xf numFmtId="172" fontId="48" fillId="2" borderId="13" xfId="2" applyNumberFormat="1" applyFont="1" applyFill="1" applyBorder="1" applyAlignment="1">
      <alignment vertical="center"/>
    </xf>
    <xf numFmtId="172" fontId="29" fillId="10" borderId="13" xfId="2" applyNumberFormat="1" applyFont="1" applyFill="1" applyBorder="1" applyAlignment="1">
      <alignment vertical="center"/>
    </xf>
    <xf numFmtId="173" fontId="5" fillId="10" borderId="13" xfId="2" applyNumberFormat="1" applyFont="1" applyFill="1" applyBorder="1" applyAlignment="1">
      <alignment vertical="center"/>
    </xf>
    <xf numFmtId="0" fontId="0" fillId="8" borderId="0" xfId="0" applyFill="1" applyAlignment="1">
      <alignment vertical="center" wrapText="1"/>
    </xf>
    <xf numFmtId="173" fontId="38" fillId="4" borderId="0" xfId="2" applyNumberFormat="1" applyFont="1" applyFill="1" applyAlignment="1">
      <alignment vertical="center"/>
    </xf>
    <xf numFmtId="173" fontId="46" fillId="4" borderId="0" xfId="2" applyNumberFormat="1" applyFont="1" applyFill="1" applyAlignment="1">
      <alignment vertical="center"/>
    </xf>
    <xf numFmtId="172" fontId="5" fillId="2" borderId="18" xfId="2" applyNumberFormat="1" applyFont="1" applyFill="1" applyBorder="1" applyAlignment="1">
      <alignment vertical="center"/>
    </xf>
    <xf numFmtId="172" fontId="5" fillId="2" borderId="13" xfId="2" applyNumberFormat="1" applyFont="1" applyFill="1" applyBorder="1" applyAlignment="1">
      <alignment vertical="center"/>
    </xf>
    <xf numFmtId="172" fontId="14" fillId="2" borderId="13" xfId="2" applyNumberFormat="1" applyFont="1" applyFill="1" applyBorder="1" applyAlignment="1">
      <alignment vertical="center"/>
    </xf>
    <xf numFmtId="172" fontId="5" fillId="2" borderId="30" xfId="2" applyNumberFormat="1" applyFont="1" applyFill="1" applyBorder="1" applyAlignment="1">
      <alignment vertical="center"/>
    </xf>
    <xf numFmtId="172" fontId="5" fillId="2" borderId="2" xfId="2" applyNumberFormat="1" applyFont="1" applyFill="1" applyBorder="1" applyAlignment="1">
      <alignment vertical="center"/>
    </xf>
    <xf numFmtId="172" fontId="5" fillId="2" borderId="5" xfId="2" applyNumberFormat="1" applyFont="1" applyFill="1" applyBorder="1" applyAlignment="1">
      <alignment vertical="center"/>
    </xf>
    <xf numFmtId="0" fontId="4" fillId="0" borderId="18" xfId="14" applyBorder="1" applyAlignment="1">
      <alignment vertical="center"/>
    </xf>
    <xf numFmtId="0" fontId="52" fillId="0" borderId="13" xfId="14" applyFont="1" applyBorder="1" applyAlignment="1">
      <alignment vertical="center"/>
    </xf>
    <xf numFmtId="1" fontId="14" fillId="0" borderId="13" xfId="14" applyNumberFormat="1" applyFont="1" applyBorder="1" applyAlignment="1">
      <alignment vertical="center"/>
    </xf>
    <xf numFmtId="3" fontId="14" fillId="0" borderId="13" xfId="14" applyNumberFormat="1" applyFont="1" applyBorder="1" applyAlignment="1">
      <alignment horizontal="right" vertical="center"/>
    </xf>
    <xf numFmtId="172" fontId="5" fillId="4" borderId="13" xfId="2" applyNumberFormat="1" applyFont="1" applyFill="1" applyBorder="1" applyAlignment="1">
      <alignment vertical="center"/>
    </xf>
    <xf numFmtId="9" fontId="5" fillId="10" borderId="28" xfId="15" applyFont="1" applyFill="1" applyBorder="1" applyAlignment="1">
      <alignment horizontal="center" vertical="center"/>
    </xf>
    <xf numFmtId="172" fontId="5" fillId="4" borderId="13" xfId="2" applyNumberFormat="1" applyFont="1" applyFill="1" applyBorder="1" applyAlignment="1">
      <alignment horizontal="center" vertical="center"/>
    </xf>
    <xf numFmtId="172" fontId="53" fillId="0" borderId="13" xfId="2" applyNumberFormat="1" applyFont="1" applyBorder="1" applyAlignment="1">
      <alignment vertical="center"/>
    </xf>
    <xf numFmtId="172" fontId="4" fillId="4" borderId="0" xfId="14" applyNumberFormat="1" applyFill="1" applyAlignment="1">
      <alignment horizontal="center" vertical="center"/>
    </xf>
    <xf numFmtId="0" fontId="4" fillId="4" borderId="13" xfId="14" applyFill="1" applyBorder="1" applyAlignment="1">
      <alignment horizontal="center" vertical="center"/>
    </xf>
    <xf numFmtId="0" fontId="4" fillId="0" borderId="30" xfId="14" applyBorder="1" applyAlignment="1">
      <alignment vertical="center"/>
    </xf>
    <xf numFmtId="0" fontId="4" fillId="4" borderId="0" xfId="14" applyFill="1" applyAlignment="1">
      <alignment horizontal="center" vertical="center"/>
    </xf>
    <xf numFmtId="172" fontId="4" fillId="4" borderId="13" xfId="14" applyNumberFormat="1" applyFill="1" applyBorder="1" applyAlignment="1">
      <alignment horizontal="center" vertical="center"/>
    </xf>
    <xf numFmtId="172" fontId="14" fillId="0" borderId="13" xfId="2" applyNumberFormat="1" applyFont="1" applyBorder="1" applyAlignment="1">
      <alignment vertical="center"/>
    </xf>
    <xf numFmtId="9" fontId="5" fillId="2" borderId="6" xfId="15" applyFont="1" applyFill="1" applyBorder="1" applyAlignment="1">
      <alignment vertical="center"/>
    </xf>
    <xf numFmtId="0" fontId="4" fillId="4" borderId="18" xfId="14" applyFill="1" applyBorder="1" applyAlignment="1">
      <alignment vertical="center"/>
    </xf>
    <xf numFmtId="0" fontId="4" fillId="4" borderId="13" xfId="14" applyFill="1" applyBorder="1" applyAlignment="1">
      <alignment vertical="center"/>
    </xf>
    <xf numFmtId="0" fontId="52" fillId="4" borderId="13" xfId="14" applyFont="1" applyFill="1" applyBorder="1" applyAlignment="1">
      <alignment vertical="center"/>
    </xf>
    <xf numFmtId="0" fontId="4" fillId="4" borderId="30" xfId="14" applyFill="1" applyBorder="1" applyAlignment="1">
      <alignment vertical="center"/>
    </xf>
    <xf numFmtId="0" fontId="4" fillId="4" borderId="5" xfId="14" applyFill="1" applyBorder="1" applyAlignment="1">
      <alignment vertical="center"/>
    </xf>
    <xf numFmtId="172" fontId="14" fillId="5" borderId="20" xfId="2" applyNumberFormat="1" applyFont="1" applyFill="1" applyBorder="1" applyAlignment="1">
      <alignment vertical="center"/>
    </xf>
    <xf numFmtId="0" fontId="54" fillId="6" borderId="13" xfId="14" applyFont="1" applyFill="1" applyBorder="1" applyAlignment="1">
      <alignment horizontal="center" vertical="center"/>
    </xf>
    <xf numFmtId="0" fontId="52" fillId="4" borderId="0" xfId="14" applyFont="1" applyFill="1" applyAlignment="1">
      <alignment vertical="center"/>
    </xf>
    <xf numFmtId="0" fontId="55" fillId="4" borderId="0" xfId="14" applyFont="1" applyFill="1" applyAlignment="1">
      <alignment vertical="center"/>
    </xf>
    <xf numFmtId="1" fontId="4" fillId="4" borderId="0" xfId="14" applyNumberFormat="1" applyFill="1" applyAlignment="1">
      <alignment vertical="center"/>
    </xf>
    <xf numFmtId="0" fontId="14" fillId="4" borderId="0" xfId="14" applyFont="1" applyFill="1" applyAlignment="1">
      <alignment horizontal="center" vertical="center"/>
    </xf>
    <xf numFmtId="0" fontId="54" fillId="6" borderId="12" xfId="14" applyFont="1" applyFill="1" applyBorder="1" applyAlignment="1">
      <alignment horizontal="center" vertical="center"/>
    </xf>
    <xf numFmtId="10" fontId="14" fillId="4" borderId="0" xfId="14" applyNumberFormat="1" applyFont="1" applyFill="1" applyAlignment="1">
      <alignment horizontal="center" vertical="center"/>
    </xf>
    <xf numFmtId="10" fontId="4" fillId="4" borderId="0" xfId="14" applyNumberFormat="1" applyFill="1" applyAlignment="1">
      <alignment horizontal="right" vertical="center"/>
    </xf>
    <xf numFmtId="10" fontId="4" fillId="4" borderId="0" xfId="14" applyNumberFormat="1" applyFill="1" applyAlignment="1">
      <alignment vertical="center"/>
    </xf>
    <xf numFmtId="10" fontId="4" fillId="4" borderId="0" xfId="14" applyNumberFormat="1" applyFill="1" applyAlignment="1">
      <alignment vertical="center" wrapText="1"/>
    </xf>
    <xf numFmtId="0" fontId="14" fillId="4" borderId="1" xfId="14" applyFont="1" applyFill="1" applyBorder="1" applyAlignment="1">
      <alignment horizontal="center" vertical="center" wrapText="1"/>
    </xf>
    <xf numFmtId="1" fontId="5" fillId="3" borderId="2" xfId="14" applyNumberFormat="1" applyFont="1" applyFill="1" applyBorder="1" applyAlignment="1">
      <alignment horizontal="center" vertical="center"/>
    </xf>
    <xf numFmtId="1" fontId="14" fillId="0" borderId="2" xfId="14" applyNumberFormat="1" applyFont="1" applyBorder="1" applyAlignment="1">
      <alignment horizontal="center" vertical="center"/>
    </xf>
    <xf numFmtId="1" fontId="14" fillId="0" borderId="8" xfId="14" applyNumberFormat="1" applyFont="1" applyBorder="1" applyAlignment="1">
      <alignment horizontal="center" vertical="center"/>
    </xf>
    <xf numFmtId="1" fontId="24" fillId="3" borderId="2" xfId="14" applyNumberFormat="1" applyFont="1" applyFill="1" applyBorder="1" applyAlignment="1">
      <alignment horizontal="center" vertical="center"/>
    </xf>
    <xf numFmtId="1" fontId="56" fillId="0" borderId="2" xfId="14" applyNumberFormat="1" applyFont="1" applyBorder="1" applyAlignment="1">
      <alignment horizontal="center" vertical="center"/>
    </xf>
    <xf numFmtId="9" fontId="5" fillId="10" borderId="13" xfId="15" applyFont="1" applyFill="1" applyBorder="1" applyAlignment="1">
      <alignment horizontal="center" vertical="center"/>
    </xf>
    <xf numFmtId="2" fontId="14" fillId="0" borderId="2" xfId="14" applyNumberFormat="1" applyFont="1" applyBorder="1" applyAlignment="1">
      <alignment horizontal="center" vertical="center"/>
    </xf>
    <xf numFmtId="0" fontId="14" fillId="4" borderId="22" xfId="14" applyFont="1" applyFill="1" applyBorder="1" applyAlignment="1">
      <alignment horizontal="center" vertical="center" wrapText="1"/>
    </xf>
    <xf numFmtId="0" fontId="57" fillId="4" borderId="22" xfId="14" applyFont="1" applyFill="1" applyBorder="1" applyAlignment="1">
      <alignment horizontal="center" vertical="center" wrapText="1"/>
    </xf>
    <xf numFmtId="172" fontId="58" fillId="4" borderId="0" xfId="2" applyNumberFormat="1" applyFont="1" applyFill="1" applyAlignment="1">
      <alignment vertical="center"/>
    </xf>
    <xf numFmtId="0" fontId="60" fillId="4" borderId="1" xfId="14" applyFont="1" applyFill="1" applyBorder="1" applyAlignment="1">
      <alignment horizontal="center" vertical="center" wrapText="1"/>
    </xf>
    <xf numFmtId="172" fontId="60" fillId="2" borderId="2" xfId="2" applyNumberFormat="1" applyFont="1" applyFill="1" applyBorder="1" applyAlignment="1">
      <alignment vertical="center"/>
    </xf>
    <xf numFmtId="0" fontId="25" fillId="4" borderId="0" xfId="14" applyFont="1" applyFill="1" applyAlignment="1">
      <alignment vertical="center"/>
    </xf>
    <xf numFmtId="10" fontId="59" fillId="4" borderId="0" xfId="14" applyNumberFormat="1" applyFont="1" applyFill="1" applyAlignment="1">
      <alignment horizontal="center" vertical="center"/>
    </xf>
    <xf numFmtId="10" fontId="25" fillId="4" borderId="0" xfId="14" applyNumberFormat="1" applyFont="1" applyFill="1" applyAlignment="1">
      <alignment vertical="center"/>
    </xf>
    <xf numFmtId="1" fontId="60" fillId="0" borderId="5" xfId="14" applyNumberFormat="1" applyFont="1" applyBorder="1" applyAlignment="1">
      <alignment horizontal="center" vertical="center"/>
    </xf>
    <xf numFmtId="1" fontId="60" fillId="0" borderId="5" xfId="14" applyNumberFormat="1" applyFont="1" applyBorder="1" applyAlignment="1">
      <alignment vertical="center"/>
    </xf>
    <xf numFmtId="3" fontId="60" fillId="0" borderId="5" xfId="14" applyNumberFormat="1" applyFont="1" applyBorder="1" applyAlignment="1">
      <alignment horizontal="right" vertical="center"/>
    </xf>
    <xf numFmtId="172" fontId="60" fillId="2" borderId="5" xfId="2" applyNumberFormat="1" applyFont="1" applyFill="1" applyBorder="1" applyAlignment="1">
      <alignment vertical="center"/>
    </xf>
    <xf numFmtId="0" fontId="50" fillId="0" borderId="5" xfId="14" applyFont="1" applyBorder="1" applyAlignment="1">
      <alignment vertical="center"/>
    </xf>
    <xf numFmtId="0" fontId="50" fillId="4" borderId="0" xfId="14" applyFont="1" applyFill="1" applyAlignment="1">
      <alignment vertical="center"/>
    </xf>
    <xf numFmtId="0" fontId="60" fillId="4" borderId="0" xfId="14" applyFont="1" applyFill="1" applyAlignment="1">
      <alignment horizontal="center" vertical="center"/>
    </xf>
    <xf numFmtId="10" fontId="60" fillId="4" borderId="0" xfId="14" applyNumberFormat="1" applyFont="1" applyFill="1" applyAlignment="1">
      <alignment horizontal="center" vertical="center"/>
    </xf>
    <xf numFmtId="172" fontId="61" fillId="0" borderId="1" xfId="2" applyNumberFormat="1" applyFont="1" applyBorder="1" applyAlignment="1">
      <alignment vertical="center"/>
    </xf>
    <xf numFmtId="172" fontId="60" fillId="0" borderId="6" xfId="2" applyNumberFormat="1" applyFont="1" applyBorder="1" applyAlignment="1">
      <alignment vertical="center"/>
    </xf>
    <xf numFmtId="0" fontId="50" fillId="4" borderId="5" xfId="14" applyFont="1" applyFill="1" applyBorder="1" applyAlignment="1">
      <alignment vertical="center"/>
    </xf>
    <xf numFmtId="172" fontId="60" fillId="5" borderId="1" xfId="2" applyNumberFormat="1" applyFont="1" applyFill="1" applyBorder="1" applyAlignment="1">
      <alignment vertical="center"/>
    </xf>
    <xf numFmtId="172" fontId="60" fillId="2" borderId="6" xfId="2" applyNumberFormat="1" applyFont="1" applyFill="1" applyBorder="1" applyAlignment="1">
      <alignment vertical="center"/>
    </xf>
    <xf numFmtId="172" fontId="61" fillId="0" borderId="6" xfId="2" applyNumberFormat="1" applyFont="1" applyBorder="1" applyAlignment="1">
      <alignment vertical="center"/>
    </xf>
    <xf numFmtId="172" fontId="60" fillId="5" borderId="6" xfId="2" applyNumberFormat="1" applyFont="1" applyFill="1" applyBorder="1" applyAlignment="1">
      <alignment vertical="center"/>
    </xf>
    <xf numFmtId="0" fontId="62" fillId="4" borderId="6" xfId="14" applyFont="1" applyFill="1" applyBorder="1" applyAlignment="1">
      <alignment horizontal="center" vertical="center" wrapText="1"/>
    </xf>
    <xf numFmtId="9" fontId="63" fillId="0" borderId="5" xfId="15" applyFont="1" applyBorder="1" applyAlignment="1">
      <alignment horizontal="center" vertical="center"/>
    </xf>
    <xf numFmtId="171" fontId="5" fillId="0" borderId="5" xfId="14" applyNumberFormat="1" applyFont="1" applyBorder="1" applyAlignment="1">
      <alignment horizontal="center" vertical="center"/>
    </xf>
    <xf numFmtId="2" fontId="4" fillId="4" borderId="0" xfId="14" applyNumberFormat="1" applyFill="1" applyAlignment="1">
      <alignment vertical="center"/>
    </xf>
    <xf numFmtId="0" fontId="5" fillId="5" borderId="1" xfId="0" applyFont="1" applyFill="1" applyBorder="1" applyAlignment="1">
      <alignment vertical="center"/>
    </xf>
    <xf numFmtId="14" fontId="4" fillId="2" borderId="0" xfId="0" applyNumberFormat="1" applyFont="1" applyFill="1" applyAlignment="1">
      <alignment vertical="center"/>
    </xf>
    <xf numFmtId="0" fontId="23" fillId="2" borderId="0" xfId="0" applyFont="1" applyFill="1" applyAlignment="1">
      <alignment vertical="center" wrapText="1"/>
    </xf>
    <xf numFmtId="0" fontId="23" fillId="2" borderId="0" xfId="0" applyFont="1" applyFill="1" applyAlignment="1">
      <alignment vertical="center"/>
    </xf>
    <xf numFmtId="175" fontId="0" fillId="0" borderId="0" xfId="0" applyNumberFormat="1" applyAlignment="1">
      <alignment horizontal="center" vertical="center"/>
    </xf>
    <xf numFmtId="175" fontId="0" fillId="2" borderId="0" xfId="0" applyNumberFormat="1" applyFill="1" applyAlignment="1">
      <alignment horizontal="center" vertical="center"/>
    </xf>
    <xf numFmtId="175" fontId="46" fillId="0" borderId="0" xfId="0" applyNumberFormat="1" applyFont="1" applyAlignment="1">
      <alignment horizontal="center" vertical="center"/>
    </xf>
    <xf numFmtId="175" fontId="23" fillId="2" borderId="0" xfId="0" applyNumberFormat="1" applyFont="1" applyFill="1" applyAlignment="1">
      <alignment horizontal="center" vertical="center"/>
    </xf>
    <xf numFmtId="176" fontId="4" fillId="4" borderId="0" xfId="2" applyNumberFormat="1" applyFill="1" applyAlignment="1">
      <alignment vertical="center"/>
    </xf>
    <xf numFmtId="177" fontId="46" fillId="4" borderId="0" xfId="14" applyNumberFormat="1" applyFont="1" applyFill="1" applyAlignment="1">
      <alignment vertical="center"/>
    </xf>
    <xf numFmtId="178" fontId="4" fillId="4" borderId="0" xfId="14" applyNumberFormat="1" applyFill="1" applyAlignment="1">
      <alignment vertical="center"/>
    </xf>
    <xf numFmtId="1" fontId="59" fillId="0" borderId="5" xfId="14" applyNumberFormat="1" applyFont="1" applyBorder="1" applyAlignment="1">
      <alignment horizontal="center" vertical="center"/>
    </xf>
    <xf numFmtId="177" fontId="4" fillId="4" borderId="0" xfId="2" applyNumberFormat="1" applyFill="1" applyAlignment="1">
      <alignment vertical="center"/>
    </xf>
    <xf numFmtId="173" fontId="7" fillId="9" borderId="13" xfId="2" applyNumberFormat="1" applyFont="1" applyFill="1" applyBorder="1" applyAlignment="1">
      <alignment vertical="center"/>
    </xf>
    <xf numFmtId="0" fontId="44" fillId="0" borderId="0" xfId="13" applyAlignment="1">
      <alignment horizontal="center" vertical="center" wrapText="1"/>
    </xf>
    <xf numFmtId="169" fontId="5" fillId="0" borderId="0" xfId="2" applyFont="1" applyAlignment="1">
      <alignment vertical="center"/>
    </xf>
    <xf numFmtId="2" fontId="5" fillId="0" borderId="0" xfId="0" applyNumberFormat="1" applyFont="1" applyAlignment="1">
      <alignment vertical="center"/>
    </xf>
    <xf numFmtId="173" fontId="43" fillId="4" borderId="0" xfId="14" applyNumberFormat="1" applyFont="1" applyFill="1" applyAlignment="1">
      <alignment vertical="center"/>
    </xf>
    <xf numFmtId="0" fontId="62" fillId="4" borderId="1" xfId="14" applyFont="1" applyFill="1" applyBorder="1" applyAlignment="1">
      <alignment horizontal="center" vertical="center" wrapText="1"/>
    </xf>
    <xf numFmtId="169" fontId="5" fillId="2" borderId="0" xfId="2" applyFont="1" applyFill="1" applyAlignment="1">
      <alignment horizontal="center" vertical="center"/>
    </xf>
    <xf numFmtId="169" fontId="49" fillId="0" borderId="0" xfId="2" applyFont="1" applyAlignment="1">
      <alignment vertical="center"/>
    </xf>
    <xf numFmtId="169" fontId="65" fillId="0" borderId="0" xfId="2" applyFont="1" applyAlignment="1">
      <alignment vertical="center"/>
    </xf>
    <xf numFmtId="169" fontId="24" fillId="2" borderId="0" xfId="2" applyFont="1" applyFill="1" applyAlignment="1">
      <alignment horizontal="center" vertical="center"/>
    </xf>
    <xf numFmtId="169" fontId="5" fillId="8" borderId="1" xfId="2" applyFont="1" applyFill="1" applyBorder="1" applyAlignment="1">
      <alignment vertical="center"/>
    </xf>
    <xf numFmtId="0" fontId="4" fillId="0" borderId="0" xfId="0" applyFont="1" applyAlignment="1">
      <alignment horizontal="center" vertical="center"/>
    </xf>
    <xf numFmtId="0" fontId="0" fillId="0" borderId="0" xfId="0" applyAlignment="1">
      <alignment horizontal="center"/>
    </xf>
    <xf numFmtId="179" fontId="6" fillId="4" borderId="0" xfId="14" applyNumberFormat="1" applyFont="1" applyFill="1" applyAlignment="1">
      <alignment horizontal="right" vertical="center"/>
    </xf>
    <xf numFmtId="180" fontId="38" fillId="4" borderId="0" xfId="2" applyNumberFormat="1" applyFont="1" applyFill="1" applyAlignment="1">
      <alignment horizontal="right" vertical="center"/>
    </xf>
    <xf numFmtId="0" fontId="4" fillId="4" borderId="0" xfId="14" applyFill="1" applyAlignment="1">
      <alignment horizontal="center" vertical="center" wrapText="1"/>
    </xf>
    <xf numFmtId="172" fontId="59" fillId="0" borderId="6" xfId="2" applyNumberFormat="1" applyFont="1" applyBorder="1" applyAlignment="1">
      <alignment horizontal="center" vertical="center"/>
    </xf>
    <xf numFmtId="180" fontId="4" fillId="4" borderId="0" xfId="2" applyNumberFormat="1" applyFill="1" applyAlignment="1">
      <alignment vertical="center"/>
    </xf>
    <xf numFmtId="169" fontId="4" fillId="4" borderId="13" xfId="2" applyFont="1" applyFill="1" applyBorder="1" applyAlignment="1">
      <alignment vertical="center"/>
    </xf>
    <xf numFmtId="172" fontId="4" fillId="4" borderId="13" xfId="2" applyNumberFormat="1" applyFont="1" applyFill="1" applyBorder="1" applyAlignment="1">
      <alignment vertical="center"/>
    </xf>
    <xf numFmtId="177" fontId="4" fillId="4" borderId="0" xfId="2" applyNumberFormat="1" applyFont="1" applyFill="1" applyAlignment="1">
      <alignment vertical="center"/>
    </xf>
    <xf numFmtId="172" fontId="4" fillId="4" borderId="0" xfId="2" applyNumberFormat="1" applyFont="1" applyFill="1" applyAlignment="1">
      <alignment vertical="center"/>
    </xf>
    <xf numFmtId="172" fontId="4" fillId="11" borderId="13" xfId="2" applyNumberFormat="1" applyFont="1" applyFill="1" applyBorder="1" applyAlignment="1">
      <alignment vertical="center"/>
    </xf>
    <xf numFmtId="169" fontId="4" fillId="4" borderId="0" xfId="2" applyFont="1" applyFill="1" applyAlignment="1">
      <alignment vertical="center" wrapText="1"/>
    </xf>
    <xf numFmtId="172" fontId="14" fillId="5" borderId="13" xfId="2" applyNumberFormat="1" applyFont="1" applyFill="1" applyBorder="1" applyAlignment="1">
      <alignment vertical="center"/>
    </xf>
    <xf numFmtId="173" fontId="4" fillId="4" borderId="0" xfId="14" applyNumberFormat="1" applyFill="1" applyAlignment="1">
      <alignment vertical="center" wrapText="1"/>
    </xf>
    <xf numFmtId="173" fontId="4" fillId="4" borderId="0" xfId="2" applyNumberFormat="1" applyFont="1" applyFill="1" applyAlignment="1">
      <alignment vertical="center"/>
    </xf>
    <xf numFmtId="176" fontId="4" fillId="4" borderId="0" xfId="2" applyNumberFormat="1" applyFont="1" applyFill="1" applyAlignment="1">
      <alignment vertical="center"/>
    </xf>
    <xf numFmtId="10" fontId="58" fillId="4" borderId="0" xfId="14" applyNumberFormat="1" applyFont="1" applyFill="1" applyAlignment="1">
      <alignment horizontal="center" vertical="center"/>
    </xf>
    <xf numFmtId="10" fontId="43" fillId="4" borderId="0" xfId="14" applyNumberFormat="1" applyFont="1" applyFill="1" applyAlignment="1">
      <alignment vertical="center"/>
    </xf>
    <xf numFmtId="0" fontId="66" fillId="4" borderId="1" xfId="14" applyFont="1" applyFill="1" applyBorder="1" applyAlignment="1">
      <alignment horizontal="center" vertical="center" wrapText="1"/>
    </xf>
    <xf numFmtId="1" fontId="66" fillId="0" borderId="5" xfId="14" applyNumberFormat="1" applyFont="1" applyBorder="1" applyAlignment="1">
      <alignment horizontal="center" vertical="center"/>
    </xf>
    <xf numFmtId="1" fontId="58" fillId="0" borderId="5" xfId="14" applyNumberFormat="1" applyFont="1" applyBorder="1" applyAlignment="1">
      <alignment horizontal="center" vertical="center"/>
    </xf>
    <xf numFmtId="2" fontId="58" fillId="0" borderId="2" xfId="14" applyNumberFormat="1" applyFont="1" applyBorder="1" applyAlignment="1">
      <alignment horizontal="center" vertical="center"/>
    </xf>
    <xf numFmtId="1" fontId="66" fillId="0" borderId="5" xfId="14" applyNumberFormat="1" applyFont="1" applyBorder="1" applyAlignment="1">
      <alignment vertical="center"/>
    </xf>
    <xf numFmtId="172" fontId="66" fillId="2" borderId="2" xfId="2" applyNumberFormat="1" applyFont="1" applyFill="1" applyBorder="1" applyAlignment="1">
      <alignment vertical="center"/>
    </xf>
    <xf numFmtId="3" fontId="66" fillId="0" borderId="5" xfId="14" applyNumberFormat="1" applyFont="1" applyBorder="1" applyAlignment="1">
      <alignment horizontal="right" vertical="center"/>
    </xf>
    <xf numFmtId="172" fontId="66" fillId="2" borderId="5" xfId="2" applyNumberFormat="1" applyFont="1" applyFill="1" applyBorder="1" applyAlignment="1">
      <alignment vertical="center"/>
    </xf>
    <xf numFmtId="0" fontId="67" fillId="0" borderId="5" xfId="14" applyFont="1" applyBorder="1" applyAlignment="1">
      <alignment vertical="center"/>
    </xf>
    <xf numFmtId="1" fontId="58" fillId="0" borderId="5" xfId="14" applyNumberFormat="1" applyFont="1" applyBorder="1" applyAlignment="1">
      <alignment vertical="center"/>
    </xf>
    <xf numFmtId="172" fontId="58" fillId="0" borderId="6" xfId="2" applyNumberFormat="1" applyFont="1" applyBorder="1" applyAlignment="1">
      <alignment vertical="center"/>
    </xf>
    <xf numFmtId="0" fontId="43" fillId="0" borderId="5" xfId="14" applyFont="1" applyBorder="1" applyAlignment="1">
      <alignment vertical="center"/>
    </xf>
    <xf numFmtId="172" fontId="58" fillId="5" borderId="6" xfId="2" applyNumberFormat="1" applyFont="1" applyFill="1" applyBorder="1" applyAlignment="1">
      <alignment vertical="center"/>
    </xf>
    <xf numFmtId="0" fontId="67" fillId="4" borderId="0" xfId="14" applyFont="1" applyFill="1" applyAlignment="1">
      <alignment vertical="center"/>
    </xf>
    <xf numFmtId="1" fontId="51" fillId="9" borderId="1" xfId="14" applyNumberFormat="1" applyFont="1" applyFill="1" applyBorder="1" applyAlignment="1">
      <alignment horizontal="center" vertical="center" wrapText="1"/>
    </xf>
    <xf numFmtId="0" fontId="3" fillId="0" borderId="0" xfId="0" applyFont="1" applyAlignment="1">
      <alignment vertical="center"/>
    </xf>
    <xf numFmtId="0" fontId="46" fillId="0" borderId="0" xfId="0" applyFont="1" applyAlignment="1">
      <alignment horizontal="center" vertical="center" wrapText="1"/>
    </xf>
    <xf numFmtId="172" fontId="20" fillId="4" borderId="0" xfId="14" applyNumberFormat="1" applyFont="1" applyFill="1" applyAlignment="1">
      <alignment vertical="center"/>
    </xf>
    <xf numFmtId="169" fontId="5" fillId="3" borderId="3" xfId="2" applyFont="1" applyFill="1" applyBorder="1" applyAlignment="1">
      <alignment horizontal="center" vertical="center"/>
    </xf>
    <xf numFmtId="181" fontId="4" fillId="4" borderId="0" xfId="14" applyNumberFormat="1" applyFill="1" applyAlignment="1">
      <alignment horizontal="center" vertical="center"/>
    </xf>
    <xf numFmtId="169" fontId="4" fillId="0" borderId="0" xfId="2" applyFont="1" applyAlignment="1">
      <alignment vertical="center"/>
    </xf>
    <xf numFmtId="14" fontId="4" fillId="2" borderId="0" xfId="0" applyNumberFormat="1" applyFont="1" applyFill="1" applyAlignment="1">
      <alignment vertical="center" wrapText="1"/>
    </xf>
    <xf numFmtId="14" fontId="4" fillId="2" borderId="0" xfId="0" applyNumberFormat="1" applyFont="1" applyFill="1" applyAlignment="1">
      <alignment horizontal="center" vertical="center" wrapText="1"/>
    </xf>
    <xf numFmtId="169" fontId="4" fillId="2" borderId="0" xfId="2" applyFont="1" applyFill="1" applyAlignment="1">
      <alignment vertical="center"/>
    </xf>
    <xf numFmtId="175" fontId="4" fillId="2" borderId="0" xfId="0" applyNumberFormat="1" applyFont="1" applyFill="1" applyAlignment="1">
      <alignment horizontal="center" vertical="center"/>
    </xf>
    <xf numFmtId="175" fontId="4" fillId="0" borderId="0" xfId="0" applyNumberFormat="1" applyFont="1" applyAlignment="1">
      <alignment horizontal="center" vertical="center"/>
    </xf>
    <xf numFmtId="14" fontId="4" fillId="0" borderId="0" xfId="0" applyNumberFormat="1" applyFont="1" applyAlignment="1">
      <alignment vertical="center"/>
    </xf>
    <xf numFmtId="0" fontId="68" fillId="0" borderId="0" xfId="13" applyFont="1" applyAlignment="1">
      <alignment vertical="center"/>
    </xf>
    <xf numFmtId="0" fontId="68" fillId="0" borderId="0" xfId="13" applyFont="1" applyAlignment="1">
      <alignment vertical="center" wrapText="1"/>
    </xf>
    <xf numFmtId="0" fontId="68" fillId="0" borderId="0" xfId="13" quotePrefix="1" applyFont="1" applyAlignment="1">
      <alignment vertical="center"/>
    </xf>
    <xf numFmtId="169" fontId="68" fillId="0" borderId="0" xfId="2" applyFont="1" applyAlignment="1">
      <alignment vertical="center"/>
    </xf>
    <xf numFmtId="14" fontId="68" fillId="0" borderId="0" xfId="13" applyNumberFormat="1" applyFont="1" applyAlignment="1">
      <alignment vertical="center"/>
    </xf>
    <xf numFmtId="180" fontId="4" fillId="4" borderId="0" xfId="2" applyNumberFormat="1" applyFont="1" applyFill="1" applyAlignment="1">
      <alignment vertical="center"/>
    </xf>
    <xf numFmtId="0" fontId="3" fillId="0" borderId="0" xfId="0" quotePrefix="1" applyFont="1" applyAlignment="1">
      <alignment vertical="center"/>
    </xf>
    <xf numFmtId="169" fontId="3" fillId="0" borderId="0" xfId="2" applyFont="1" applyFill="1" applyBorder="1" applyAlignment="1" applyProtection="1">
      <alignment vertical="center"/>
    </xf>
    <xf numFmtId="0" fontId="46" fillId="2" borderId="0" xfId="0" applyFont="1" applyFill="1" applyAlignment="1">
      <alignment horizontal="center" vertical="center" wrapText="1"/>
    </xf>
    <xf numFmtId="0" fontId="70" fillId="0" borderId="0" xfId="0" applyFont="1" applyAlignment="1">
      <alignment horizontal="center" vertical="center" wrapText="1"/>
    </xf>
    <xf numFmtId="0" fontId="4" fillId="8" borderId="0" xfId="0" applyFont="1" applyFill="1" applyAlignment="1">
      <alignment vertical="center" wrapText="1"/>
    </xf>
    <xf numFmtId="0" fontId="10" fillId="4" borderId="0" xfId="14" applyFont="1" applyFill="1" applyAlignment="1">
      <alignment vertical="center" wrapText="1"/>
    </xf>
    <xf numFmtId="0" fontId="11" fillId="4" borderId="0" xfId="14" applyFont="1" applyFill="1" applyAlignment="1">
      <alignment vertical="center"/>
    </xf>
    <xf numFmtId="0" fontId="72" fillId="4" borderId="0" xfId="14" applyFont="1" applyFill="1" applyAlignment="1">
      <alignment horizontal="center" vertical="center" wrapText="1"/>
    </xf>
    <xf numFmtId="182" fontId="5" fillId="4" borderId="0" xfId="14" applyNumberFormat="1" applyFont="1" applyFill="1" applyAlignment="1">
      <alignment horizontal="center" vertical="center"/>
    </xf>
    <xf numFmtId="0" fontId="73" fillId="4" borderId="0" xfId="14" applyFont="1" applyFill="1" applyAlignment="1">
      <alignment horizontal="center" vertical="center" wrapText="1"/>
    </xf>
    <xf numFmtId="0" fontId="15" fillId="4" borderId="0" xfId="14" applyFont="1" applyFill="1" applyAlignment="1">
      <alignment vertical="center" wrapText="1"/>
    </xf>
    <xf numFmtId="0" fontId="12" fillId="2" borderId="1" xfId="16" applyFont="1" applyFill="1" applyBorder="1" applyAlignment="1">
      <alignment horizontal="center" vertical="center" wrapText="1"/>
    </xf>
    <xf numFmtId="0" fontId="14" fillId="0" borderId="2" xfId="14" applyFont="1" applyBorder="1" applyAlignment="1">
      <alignment vertical="center" wrapText="1"/>
    </xf>
    <xf numFmtId="0" fontId="5" fillId="0" borderId="8" xfId="14" applyFont="1" applyBorder="1" applyAlignment="1">
      <alignment horizontal="center" vertical="center" wrapText="1"/>
    </xf>
    <xf numFmtId="0" fontId="14" fillId="4" borderId="1" xfId="14" applyFont="1" applyFill="1" applyBorder="1" applyAlignment="1">
      <alignment horizontal="right" vertical="center" wrapText="1"/>
    </xf>
    <xf numFmtId="1" fontId="5" fillId="0" borderId="2" xfId="14" applyNumberFormat="1" applyFont="1" applyBorder="1" applyAlignment="1">
      <alignment vertical="center" wrapText="1"/>
    </xf>
    <xf numFmtId="0" fontId="5" fillId="4" borderId="1" xfId="14" applyFont="1" applyFill="1" applyBorder="1" applyAlignment="1">
      <alignment horizontal="left" vertical="center" wrapText="1"/>
    </xf>
    <xf numFmtId="172" fontId="74" fillId="0" borderId="2" xfId="20" applyNumberFormat="1" applyFont="1" applyFill="1" applyBorder="1" applyAlignment="1" applyProtection="1">
      <alignment vertical="center" wrapText="1"/>
    </xf>
    <xf numFmtId="1" fontId="15" fillId="4" borderId="4" xfId="14" applyNumberFormat="1" applyFont="1" applyFill="1" applyBorder="1" applyAlignment="1">
      <alignment horizontal="center" vertical="center"/>
    </xf>
    <xf numFmtId="1" fontId="15" fillId="0" borderId="2" xfId="14" applyNumberFormat="1" applyFont="1" applyBorder="1" applyAlignment="1">
      <alignment horizontal="center" vertical="center"/>
    </xf>
    <xf numFmtId="172" fontId="5" fillId="4" borderId="4" xfId="17" applyNumberFormat="1" applyFont="1" applyFill="1" applyBorder="1" applyAlignment="1">
      <alignment vertical="center"/>
    </xf>
    <xf numFmtId="172" fontId="5" fillId="0" borderId="2" xfId="17" applyNumberFormat="1" applyFont="1" applyFill="1" applyBorder="1" applyAlignment="1">
      <alignment vertical="center"/>
    </xf>
    <xf numFmtId="172" fontId="5" fillId="4" borderId="0" xfId="17" applyNumberFormat="1" applyFont="1" applyFill="1" applyBorder="1" applyAlignment="1">
      <alignment vertical="center"/>
    </xf>
    <xf numFmtId="183" fontId="4" fillId="0" borderId="2" xfId="16" applyNumberFormat="1" applyFont="1" applyBorder="1" applyAlignment="1">
      <alignment vertical="center" wrapText="1"/>
    </xf>
    <xf numFmtId="183" fontId="4" fillId="0" borderId="2" xfId="17" applyNumberFormat="1" applyFont="1" applyBorder="1" applyAlignment="1">
      <alignment horizontal="left" vertical="center" wrapText="1"/>
    </xf>
    <xf numFmtId="183" fontId="4" fillId="0" borderId="2" xfId="21" applyNumberFormat="1" applyFont="1" applyBorder="1" applyAlignment="1">
      <alignment horizontal="left" vertical="center" wrapText="1"/>
    </xf>
    <xf numFmtId="172" fontId="60" fillId="0" borderId="2" xfId="20" applyNumberFormat="1" applyFont="1" applyFill="1" applyBorder="1" applyAlignment="1" applyProtection="1">
      <alignment vertical="center" wrapText="1"/>
    </xf>
    <xf numFmtId="172" fontId="59" fillId="4" borderId="4" xfId="17" applyNumberFormat="1" applyFont="1" applyFill="1" applyBorder="1" applyAlignment="1">
      <alignment vertical="center"/>
    </xf>
    <xf numFmtId="172" fontId="25" fillId="0" borderId="2" xfId="17" applyNumberFormat="1" applyFont="1" applyBorder="1" applyAlignment="1">
      <alignment vertical="center"/>
    </xf>
    <xf numFmtId="172" fontId="25" fillId="4" borderId="0" xfId="17" applyNumberFormat="1" applyFont="1" applyFill="1" applyBorder="1" applyAlignment="1">
      <alignment vertical="center"/>
    </xf>
    <xf numFmtId="172" fontId="75" fillId="0" borderId="1" xfId="17" applyNumberFormat="1" applyFont="1" applyFill="1" applyBorder="1" applyAlignment="1">
      <alignment horizontal="center" vertical="center" wrapText="1"/>
    </xf>
    <xf numFmtId="172" fontId="75" fillId="4" borderId="4" xfId="17" applyNumberFormat="1" applyFont="1" applyFill="1" applyBorder="1" applyAlignment="1">
      <alignment vertical="center"/>
    </xf>
    <xf numFmtId="172" fontId="75" fillId="0" borderId="1" xfId="17" applyNumberFormat="1" applyFont="1" applyFill="1" applyBorder="1" applyAlignment="1">
      <alignment vertical="center"/>
    </xf>
    <xf numFmtId="172" fontId="32" fillId="4" borderId="0" xfId="17" applyNumberFormat="1" applyFont="1" applyFill="1" applyBorder="1" applyAlignment="1">
      <alignment vertical="center"/>
    </xf>
    <xf numFmtId="0" fontId="15" fillId="0" borderId="2" xfId="14" applyFont="1" applyBorder="1" applyAlignment="1">
      <alignment vertical="center" wrapText="1"/>
    </xf>
    <xf numFmtId="164" fontId="15" fillId="4" borderId="4" xfId="19" applyFont="1" applyFill="1" applyBorder="1" applyAlignment="1">
      <alignment vertical="center"/>
    </xf>
    <xf numFmtId="183" fontId="7" fillId="0" borderId="2" xfId="21" applyNumberFormat="1" applyFont="1" applyBorder="1" applyAlignment="1">
      <alignment vertical="center" wrapText="1"/>
    </xf>
    <xf numFmtId="164" fontId="5" fillId="4" borderId="4" xfId="19" applyFont="1" applyFill="1" applyBorder="1" applyAlignment="1">
      <alignment vertical="center"/>
    </xf>
    <xf numFmtId="183" fontId="4" fillId="0" borderId="2" xfId="17" applyNumberFormat="1" applyFont="1" applyBorder="1" applyAlignment="1">
      <alignment vertical="center" wrapText="1"/>
    </xf>
    <xf numFmtId="183" fontId="4" fillId="0" borderId="2" xfId="17" applyNumberFormat="1" applyFont="1" applyFill="1" applyBorder="1" applyAlignment="1">
      <alignment vertical="center" wrapText="1"/>
    </xf>
    <xf numFmtId="171" fontId="5" fillId="4" borderId="4" xfId="14" applyNumberFormat="1" applyFont="1" applyFill="1" applyBorder="1" applyAlignment="1">
      <alignment vertical="center"/>
    </xf>
    <xf numFmtId="183" fontId="4" fillId="0" borderId="2" xfId="21" applyNumberFormat="1" applyFont="1" applyBorder="1" applyAlignment="1">
      <alignment vertical="center" wrapText="1"/>
    </xf>
    <xf numFmtId="172" fontId="4" fillId="4" borderId="0" xfId="17" applyNumberFormat="1" applyFont="1" applyFill="1" applyBorder="1" applyAlignment="1">
      <alignment vertical="center"/>
    </xf>
    <xf numFmtId="183" fontId="76" fillId="0" borderId="2" xfId="21" applyNumberFormat="1" applyFont="1" applyBorder="1" applyAlignment="1">
      <alignment vertical="center" wrapText="1"/>
    </xf>
    <xf numFmtId="172" fontId="38" fillId="4" borderId="4" xfId="17" applyNumberFormat="1" applyFont="1" applyFill="1" applyBorder="1" applyAlignment="1">
      <alignment vertical="center"/>
    </xf>
    <xf numFmtId="172" fontId="38" fillId="0" borderId="2" xfId="17" applyNumberFormat="1" applyFont="1" applyFill="1" applyBorder="1" applyAlignment="1">
      <alignment vertical="center"/>
    </xf>
    <xf numFmtId="172" fontId="76" fillId="4" borderId="0" xfId="17" applyNumberFormat="1" applyFont="1" applyFill="1" applyBorder="1" applyAlignment="1">
      <alignment vertical="center"/>
    </xf>
    <xf numFmtId="183" fontId="4" fillId="0" borderId="2" xfId="21" applyNumberFormat="1" applyFont="1" applyBorder="1" applyAlignment="1">
      <alignment horizontal="right" vertical="center" wrapText="1"/>
    </xf>
    <xf numFmtId="172" fontId="4" fillId="4" borderId="4" xfId="17" applyNumberFormat="1" applyFont="1" applyFill="1" applyBorder="1" applyAlignment="1">
      <alignment vertical="center"/>
    </xf>
    <xf numFmtId="183" fontId="64" fillId="0" borderId="2" xfId="17" applyNumberFormat="1" applyFont="1" applyBorder="1" applyAlignment="1">
      <alignment horizontal="left" vertical="center" wrapText="1"/>
    </xf>
    <xf numFmtId="3" fontId="7" fillId="4" borderId="4" xfId="14" applyNumberFormat="1" applyFont="1" applyFill="1" applyBorder="1" applyAlignment="1">
      <alignment horizontal="right" vertical="center"/>
    </xf>
    <xf numFmtId="0" fontId="64" fillId="4" borderId="0" xfId="14" applyFont="1" applyFill="1" applyAlignment="1">
      <alignment horizontal="right" vertical="center"/>
    </xf>
    <xf numFmtId="172" fontId="7" fillId="4" borderId="4" xfId="17" applyNumberFormat="1" applyFont="1" applyFill="1" applyBorder="1" applyAlignment="1">
      <alignment vertical="center"/>
    </xf>
    <xf numFmtId="183" fontId="4" fillId="0" borderId="2" xfId="17" applyNumberFormat="1" applyFont="1" applyBorder="1" applyAlignment="1">
      <alignment horizontal="right" vertical="center" wrapText="1"/>
    </xf>
    <xf numFmtId="3" fontId="4" fillId="4" borderId="4" xfId="14" applyNumberFormat="1" applyFill="1" applyBorder="1" applyAlignment="1">
      <alignment horizontal="right" vertical="center"/>
    </xf>
    <xf numFmtId="3" fontId="7" fillId="4" borderId="4" xfId="14" applyNumberFormat="1" applyFont="1" applyFill="1" applyBorder="1" applyAlignment="1">
      <alignment vertical="center"/>
    </xf>
    <xf numFmtId="172" fontId="5" fillId="0" borderId="1" xfId="17" applyNumberFormat="1" applyFont="1" applyFill="1" applyBorder="1" applyAlignment="1">
      <alignment horizontal="center" vertical="center" wrapText="1"/>
    </xf>
    <xf numFmtId="172" fontId="5" fillId="0" borderId="1" xfId="17" applyNumberFormat="1" applyFont="1" applyFill="1" applyBorder="1" applyAlignment="1">
      <alignment vertical="center"/>
    </xf>
    <xf numFmtId="0" fontId="49" fillId="4" borderId="0" xfId="14" applyFont="1" applyFill="1" applyAlignment="1">
      <alignment vertical="center" wrapText="1"/>
    </xf>
    <xf numFmtId="0" fontId="11" fillId="4" borderId="0" xfId="14" applyFont="1" applyFill="1" applyAlignment="1">
      <alignment horizontal="center" vertical="center"/>
    </xf>
    <xf numFmtId="0" fontId="16" fillId="4" borderId="0" xfId="14" applyFont="1" applyFill="1" applyAlignment="1">
      <alignment horizontal="center" vertical="center"/>
    </xf>
    <xf numFmtId="0" fontId="13" fillId="4" borderId="0" xfId="14" applyFont="1" applyFill="1" applyAlignment="1">
      <alignment horizontal="center" vertical="center"/>
    </xf>
    <xf numFmtId="172" fontId="25" fillId="4" borderId="0" xfId="17" applyNumberFormat="1" applyFont="1" applyFill="1" applyBorder="1" applyAlignment="1">
      <alignment horizontal="center" vertical="center"/>
    </xf>
    <xf numFmtId="172" fontId="32" fillId="4" borderId="0" xfId="17" applyNumberFormat="1" applyFont="1" applyFill="1" applyBorder="1" applyAlignment="1">
      <alignment horizontal="center" vertical="center"/>
    </xf>
    <xf numFmtId="172" fontId="76" fillId="4" borderId="0" xfId="17" applyNumberFormat="1" applyFont="1" applyFill="1" applyBorder="1" applyAlignment="1">
      <alignment horizontal="center" vertical="center"/>
    </xf>
    <xf numFmtId="172" fontId="4" fillId="4" borderId="0" xfId="17" applyNumberFormat="1" applyFont="1" applyFill="1" applyBorder="1" applyAlignment="1">
      <alignment horizontal="center" vertical="center"/>
    </xf>
    <xf numFmtId="0" fontId="64" fillId="4" borderId="0" xfId="14" applyFont="1" applyFill="1" applyAlignment="1">
      <alignment horizontal="center" vertical="center"/>
    </xf>
    <xf numFmtId="0" fontId="5" fillId="9" borderId="1" xfId="14" applyFont="1" applyFill="1" applyBorder="1" applyAlignment="1">
      <alignment horizontal="center" vertical="center" wrapText="1"/>
    </xf>
    <xf numFmtId="0" fontId="5" fillId="8" borderId="1" xfId="14" applyFont="1" applyFill="1" applyBorder="1" applyAlignment="1">
      <alignment horizontal="center" vertical="center" wrapText="1"/>
    </xf>
    <xf numFmtId="0" fontId="46" fillId="4" borderId="0" xfId="14" applyFont="1" applyFill="1" applyAlignment="1">
      <alignment horizontal="center" vertical="center"/>
    </xf>
    <xf numFmtId="172" fontId="46" fillId="4" borderId="0" xfId="14" applyNumberFormat="1" applyFont="1" applyFill="1" applyAlignment="1">
      <alignment vertical="center"/>
    </xf>
    <xf numFmtId="0" fontId="4" fillId="0" borderId="0" xfId="24" applyFont="1" applyAlignment="1">
      <alignment vertical="center"/>
    </xf>
    <xf numFmtId="183" fontId="4" fillId="0" borderId="0" xfId="17" applyNumberFormat="1" applyFont="1" applyFill="1" applyBorder="1" applyAlignment="1">
      <alignment vertical="center" wrapText="1"/>
    </xf>
    <xf numFmtId="183" fontId="4" fillId="0" borderId="0" xfId="16" applyNumberFormat="1" applyFont="1" applyAlignment="1">
      <alignment vertical="center" wrapText="1"/>
    </xf>
    <xf numFmtId="0" fontId="15" fillId="0" borderId="0" xfId="14" applyFont="1" applyAlignment="1">
      <alignment vertical="center" wrapText="1"/>
    </xf>
    <xf numFmtId="183" fontId="4" fillId="0" borderId="0" xfId="21" applyNumberFormat="1" applyFont="1" applyAlignment="1">
      <alignment horizontal="right" vertical="center" wrapText="1"/>
    </xf>
    <xf numFmtId="183" fontId="4" fillId="0" borderId="0" xfId="17" applyNumberFormat="1" applyFont="1" applyFill="1" applyBorder="1" applyAlignment="1">
      <alignment horizontal="left" vertical="center" wrapText="1"/>
    </xf>
    <xf numFmtId="183" fontId="4" fillId="0" borderId="0" xfId="17" applyNumberFormat="1" applyFont="1" applyFill="1" applyBorder="1" applyAlignment="1">
      <alignment horizontal="right" vertical="center" wrapText="1"/>
    </xf>
    <xf numFmtId="183" fontId="4" fillId="0" borderId="0" xfId="21" applyNumberFormat="1" applyFont="1" applyAlignment="1">
      <alignment horizontal="left" vertical="center" wrapText="1"/>
    </xf>
    <xf numFmtId="183" fontId="4" fillId="0" borderId="0" xfId="21" applyNumberFormat="1" applyFont="1" applyAlignment="1">
      <alignment vertical="center" wrapText="1"/>
    </xf>
    <xf numFmtId="0" fontId="4" fillId="8" borderId="13" xfId="0" applyFont="1" applyFill="1" applyBorder="1" applyAlignment="1">
      <alignment horizontal="center" vertical="center"/>
    </xf>
    <xf numFmtId="0" fontId="4" fillId="0" borderId="0" xfId="24" quotePrefix="1" applyFont="1" applyAlignment="1">
      <alignment vertical="center"/>
    </xf>
    <xf numFmtId="169" fontId="0" fillId="0" borderId="13" xfId="2" applyFont="1" applyBorder="1" applyAlignment="1">
      <alignment vertical="center"/>
    </xf>
    <xf numFmtId="0" fontId="5" fillId="7" borderId="13" xfId="0" applyFont="1" applyFill="1" applyBorder="1" applyAlignment="1">
      <alignment horizontal="center" vertical="center" wrapText="1"/>
    </xf>
    <xf numFmtId="0" fontId="5" fillId="7" borderId="18" xfId="0" applyFont="1" applyFill="1" applyBorder="1" applyAlignment="1">
      <alignment horizontal="center" vertical="center"/>
    </xf>
    <xf numFmtId="0" fontId="5" fillId="7" borderId="30" xfId="0" applyFont="1" applyFill="1" applyBorder="1" applyAlignment="1">
      <alignment horizontal="center" vertical="center"/>
    </xf>
    <xf numFmtId="169" fontId="0" fillId="0" borderId="30" xfId="2" applyFont="1" applyBorder="1" applyAlignment="1">
      <alignment vertical="center"/>
    </xf>
    <xf numFmtId="0" fontId="0" fillId="0" borderId="30" xfId="0" applyBorder="1" applyAlignment="1">
      <alignment vertical="center"/>
    </xf>
    <xf numFmtId="169" fontId="0" fillId="0" borderId="20" xfId="2" applyFont="1" applyBorder="1" applyAlignment="1">
      <alignment vertical="center"/>
    </xf>
    <xf numFmtId="169" fontId="0" fillId="0" borderId="31" xfId="2" applyFont="1" applyBorder="1" applyAlignment="1">
      <alignment vertical="center"/>
    </xf>
    <xf numFmtId="0" fontId="23" fillId="0" borderId="1" xfId="0" applyFont="1" applyBorder="1" applyAlignment="1">
      <alignment horizontal="center" vertical="center"/>
    </xf>
    <xf numFmtId="0" fontId="5" fillId="3" borderId="1" xfId="0" applyFont="1" applyFill="1" applyBorder="1" applyAlignment="1">
      <alignment horizontal="center" vertical="center"/>
    </xf>
    <xf numFmtId="183" fontId="7" fillId="0" borderId="2" xfId="17" applyNumberFormat="1" applyFont="1" applyBorder="1" applyAlignment="1">
      <alignment horizontal="left" vertical="center" wrapText="1"/>
    </xf>
    <xf numFmtId="183" fontId="38" fillId="0" borderId="2" xfId="21" applyNumberFormat="1" applyFont="1" applyBorder="1" applyAlignment="1">
      <alignment vertical="center" wrapText="1"/>
    </xf>
    <xf numFmtId="169" fontId="0" fillId="9" borderId="13" xfId="2" applyFont="1" applyFill="1" applyBorder="1" applyAlignment="1">
      <alignment vertical="center"/>
    </xf>
    <xf numFmtId="169" fontId="0" fillId="9" borderId="20" xfId="2" applyFont="1" applyFill="1" applyBorder="1" applyAlignment="1">
      <alignment vertical="center"/>
    </xf>
    <xf numFmtId="172" fontId="5" fillId="0" borderId="2" xfId="17" applyNumberFormat="1" applyFont="1" applyFill="1" applyBorder="1" applyAlignment="1">
      <alignment vertical="center" wrapText="1"/>
    </xf>
    <xf numFmtId="9" fontId="5" fillId="0" borderId="2" xfId="15" applyFont="1" applyFill="1" applyBorder="1" applyAlignment="1">
      <alignment vertical="center"/>
    </xf>
    <xf numFmtId="9" fontId="10" fillId="4" borderId="0" xfId="15" applyFont="1" applyFill="1" applyAlignment="1">
      <alignment vertical="center" wrapText="1"/>
    </xf>
    <xf numFmtId="9" fontId="4" fillId="4" borderId="0" xfId="15" applyFont="1" applyFill="1" applyAlignment="1">
      <alignment vertical="center"/>
    </xf>
    <xf numFmtId="9" fontId="5" fillId="4" borderId="0" xfId="15" applyFont="1" applyFill="1" applyAlignment="1">
      <alignment horizontal="center" vertical="center"/>
    </xf>
    <xf numFmtId="9" fontId="16" fillId="4" borderId="0" xfId="15" applyFont="1" applyFill="1" applyAlignment="1">
      <alignment vertical="center"/>
    </xf>
    <xf numFmtId="9" fontId="5" fillId="4" borderId="1" xfId="15" applyFont="1" applyFill="1" applyBorder="1" applyAlignment="1">
      <alignment horizontal="center" vertical="center"/>
    </xf>
    <xf numFmtId="9" fontId="5" fillId="0" borderId="2" xfId="15" applyFont="1" applyBorder="1" applyAlignment="1">
      <alignment horizontal="center" vertical="center"/>
    </xf>
    <xf numFmtId="0" fontId="0" fillId="0" borderId="24" xfId="0" applyBorder="1" applyAlignment="1">
      <alignment vertical="center"/>
    </xf>
    <xf numFmtId="0" fontId="0" fillId="0" borderId="12" xfId="0" applyBorder="1" applyAlignment="1">
      <alignment vertical="center"/>
    </xf>
    <xf numFmtId="0" fontId="0" fillId="0" borderId="35" xfId="0" applyBorder="1" applyAlignment="1">
      <alignment vertical="center"/>
    </xf>
    <xf numFmtId="0" fontId="4" fillId="0" borderId="24" xfId="0" applyFont="1" applyBorder="1" applyAlignment="1">
      <alignment vertical="center" wrapText="1"/>
    </xf>
    <xf numFmtId="1" fontId="15" fillId="4" borderId="0" xfId="14" applyNumberFormat="1" applyFont="1" applyFill="1" applyAlignment="1">
      <alignment horizontal="center" vertical="center"/>
    </xf>
    <xf numFmtId="164" fontId="5" fillId="4" borderId="0" xfId="19" applyFont="1" applyFill="1" applyBorder="1" applyAlignment="1">
      <alignment vertical="center"/>
    </xf>
    <xf numFmtId="172" fontId="59" fillId="4" borderId="0" xfId="17" applyNumberFormat="1" applyFont="1" applyFill="1" applyBorder="1" applyAlignment="1">
      <alignment vertical="center"/>
    </xf>
    <xf numFmtId="172" fontId="75" fillId="4" borderId="0" xfId="17" applyNumberFormat="1" applyFont="1" applyFill="1" applyBorder="1" applyAlignment="1">
      <alignment vertical="center"/>
    </xf>
    <xf numFmtId="164" fontId="15" fillId="4" borderId="0" xfId="19" applyFont="1" applyFill="1" applyBorder="1" applyAlignment="1">
      <alignment vertical="center"/>
    </xf>
    <xf numFmtId="172" fontId="38" fillId="4" borderId="0" xfId="17" applyNumberFormat="1" applyFont="1" applyFill="1" applyBorder="1" applyAlignment="1">
      <alignment vertical="center"/>
    </xf>
    <xf numFmtId="3" fontId="7" fillId="4" borderId="0" xfId="14" applyNumberFormat="1" applyFont="1" applyFill="1" applyAlignment="1">
      <alignment horizontal="right" vertical="center"/>
    </xf>
    <xf numFmtId="172" fontId="7" fillId="4" borderId="0" xfId="17" applyNumberFormat="1" applyFont="1" applyFill="1" applyBorder="1" applyAlignment="1">
      <alignment vertical="center"/>
    </xf>
    <xf numFmtId="169" fontId="0" fillId="0" borderId="35" xfId="2" applyFont="1" applyBorder="1" applyAlignment="1">
      <alignment vertical="center"/>
    </xf>
    <xf numFmtId="169" fontId="4" fillId="0" borderId="24" xfId="2" applyFont="1" applyBorder="1" applyAlignment="1">
      <alignment vertical="center" wrapText="1"/>
    </xf>
    <xf numFmtId="169" fontId="0" fillId="0" borderId="12" xfId="2" applyFont="1" applyBorder="1" applyAlignment="1">
      <alignment vertical="center"/>
    </xf>
    <xf numFmtId="1" fontId="0" fillId="0" borderId="0" xfId="0" applyNumberFormat="1" applyAlignment="1">
      <alignment vertical="center"/>
    </xf>
    <xf numFmtId="184" fontId="0" fillId="0" borderId="0" xfId="0" applyNumberFormat="1" applyAlignment="1">
      <alignment vertical="center"/>
    </xf>
    <xf numFmtId="172" fontId="43" fillId="0" borderId="2" xfId="14" applyNumberFormat="1" applyFont="1" applyBorder="1" applyAlignment="1">
      <alignment vertical="center"/>
    </xf>
    <xf numFmtId="172" fontId="5" fillId="7" borderId="2" xfId="17" applyNumberFormat="1" applyFont="1" applyFill="1" applyBorder="1" applyAlignment="1">
      <alignment horizontal="right" vertical="center" wrapText="1"/>
    </xf>
    <xf numFmtId="9" fontId="5" fillId="7" borderId="2" xfId="15" applyFont="1" applyFill="1" applyBorder="1" applyAlignment="1">
      <alignment horizontal="left" vertical="center"/>
    </xf>
    <xf numFmtId="9" fontId="5" fillId="9" borderId="2" xfId="15" applyFont="1" applyFill="1" applyBorder="1" applyAlignment="1">
      <alignment vertical="center"/>
    </xf>
    <xf numFmtId="169" fontId="0" fillId="0" borderId="0" xfId="0" applyNumberFormat="1" applyAlignment="1">
      <alignment vertical="center"/>
    </xf>
    <xf numFmtId="172" fontId="25" fillId="0" borderId="2" xfId="17" applyNumberFormat="1" applyFont="1" applyFill="1" applyBorder="1" applyAlignment="1">
      <alignment vertical="center"/>
    </xf>
    <xf numFmtId="172" fontId="16" fillId="0" borderId="2" xfId="14" applyNumberFormat="1" applyFont="1" applyBorder="1" applyAlignment="1">
      <alignment vertical="center"/>
    </xf>
    <xf numFmtId="0" fontId="16" fillId="0" borderId="0" xfId="24" applyFont="1" applyAlignment="1">
      <alignment vertical="center"/>
    </xf>
    <xf numFmtId="10" fontId="5" fillId="4" borderId="0" xfId="14" applyNumberFormat="1" applyFont="1" applyFill="1" applyAlignment="1">
      <alignment horizontal="center" vertical="center" wrapText="1"/>
    </xf>
    <xf numFmtId="1" fontId="5" fillId="0" borderId="2" xfId="14" applyNumberFormat="1" applyFont="1" applyBorder="1" applyAlignment="1">
      <alignment horizontal="center" vertical="center" wrapText="1"/>
    </xf>
    <xf numFmtId="1" fontId="15" fillId="0" borderId="2" xfId="14" applyNumberFormat="1" applyFont="1" applyBorder="1" applyAlignment="1">
      <alignment horizontal="center" vertical="center" wrapText="1"/>
    </xf>
    <xf numFmtId="0" fontId="4" fillId="0" borderId="2" xfId="14" applyBorder="1" applyAlignment="1">
      <alignment vertical="center" wrapText="1"/>
    </xf>
    <xf numFmtId="172" fontId="25" fillId="0" borderId="2" xfId="17" applyNumberFormat="1" applyFont="1" applyBorder="1" applyAlignment="1">
      <alignment vertical="center" wrapText="1"/>
    </xf>
    <xf numFmtId="172" fontId="75" fillId="0" borderId="1" xfId="17" applyNumberFormat="1" applyFont="1" applyFill="1" applyBorder="1" applyAlignment="1">
      <alignment vertical="center" wrapText="1"/>
    </xf>
    <xf numFmtId="0" fontId="16" fillId="0" borderId="2" xfId="14" applyFont="1" applyBorder="1" applyAlignment="1">
      <alignment vertical="center" wrapText="1"/>
    </xf>
    <xf numFmtId="172" fontId="38" fillId="0" borderId="2" xfId="17" applyNumberFormat="1" applyFont="1" applyFill="1" applyBorder="1" applyAlignment="1">
      <alignment vertical="center" wrapText="1"/>
    </xf>
    <xf numFmtId="172" fontId="5" fillId="0" borderId="1" xfId="17" applyNumberFormat="1" applyFont="1" applyFill="1" applyBorder="1" applyAlignment="1">
      <alignment vertical="center" wrapText="1"/>
    </xf>
    <xf numFmtId="0" fontId="0" fillId="9" borderId="0" xfId="0" applyFill="1" applyAlignment="1">
      <alignment vertical="center" wrapText="1"/>
    </xf>
    <xf numFmtId="1" fontId="49" fillId="0" borderId="2" xfId="14" applyNumberFormat="1" applyFont="1" applyBorder="1" applyAlignment="1">
      <alignment horizontal="center" vertical="center"/>
    </xf>
    <xf numFmtId="0" fontId="69" fillId="0" borderId="0" xfId="0" quotePrefix="1" applyFont="1" applyAlignment="1">
      <alignment vertical="center"/>
    </xf>
    <xf numFmtId="0" fontId="69" fillId="0" borderId="0" xfId="0" applyFont="1" applyAlignment="1">
      <alignment vertical="center"/>
    </xf>
    <xf numFmtId="1" fontId="0" fillId="0" borderId="0" xfId="0" applyNumberFormat="1" applyAlignment="1">
      <alignment horizontal="left" vertical="center"/>
    </xf>
    <xf numFmtId="14" fontId="0" fillId="0" borderId="0" xfId="0" applyNumberFormat="1" applyAlignment="1">
      <alignment horizontal="center" vertical="center"/>
    </xf>
    <xf numFmtId="175" fontId="4" fillId="0" borderId="0" xfId="0" applyNumberFormat="1" applyFont="1" applyAlignment="1">
      <alignment vertical="center"/>
    </xf>
    <xf numFmtId="169" fontId="4" fillId="2" borderId="0" xfId="2" applyFont="1" applyFill="1" applyAlignment="1">
      <alignment horizontal="center" vertical="center"/>
    </xf>
    <xf numFmtId="0" fontId="68" fillId="0" borderId="0" xfId="13" applyFont="1" applyAlignment="1">
      <alignment horizontal="center" vertical="center"/>
    </xf>
    <xf numFmtId="0" fontId="68" fillId="0" borderId="0" xfId="13" applyFont="1" applyAlignment="1">
      <alignment horizontal="center" vertical="center" wrapText="1"/>
    </xf>
    <xf numFmtId="14" fontId="4" fillId="9" borderId="0" xfId="0" applyNumberFormat="1" applyFont="1" applyFill="1" applyAlignment="1">
      <alignment horizontal="center" vertical="center"/>
    </xf>
    <xf numFmtId="169" fontId="0" fillId="0" borderId="35" xfId="0" applyNumberFormat="1" applyBorder="1" applyAlignment="1">
      <alignment vertical="center"/>
    </xf>
    <xf numFmtId="1" fontId="0" fillId="0" borderId="0" xfId="0" applyNumberFormat="1" applyAlignment="1">
      <alignment horizontal="center" vertical="center"/>
    </xf>
    <xf numFmtId="177" fontId="5" fillId="0" borderId="2" xfId="17" applyNumberFormat="1" applyFont="1" applyFill="1" applyBorder="1" applyAlignment="1">
      <alignment vertical="center" wrapText="1"/>
    </xf>
    <xf numFmtId="177" fontId="5" fillId="0" borderId="2" xfId="17" applyNumberFormat="1" applyFont="1" applyFill="1" applyBorder="1" applyAlignment="1">
      <alignment vertical="center"/>
    </xf>
    <xf numFmtId="43" fontId="0" fillId="0" borderId="0" xfId="0" applyNumberFormat="1" applyAlignment="1">
      <alignment vertical="center"/>
    </xf>
    <xf numFmtId="10" fontId="75" fillId="8" borderId="0" xfId="14" applyNumberFormat="1" applyFont="1" applyFill="1" applyAlignment="1">
      <alignment horizontal="center" vertical="center"/>
    </xf>
    <xf numFmtId="0" fontId="3" fillId="0" borderId="0" xfId="0" applyFont="1"/>
    <xf numFmtId="185" fontId="0" fillId="0" borderId="0" xfId="0" applyNumberFormat="1" applyAlignment="1">
      <alignment vertical="center"/>
    </xf>
    <xf numFmtId="0" fontId="5" fillId="9" borderId="0" xfId="0" applyFont="1" applyFill="1" applyAlignment="1">
      <alignment horizontal="center" vertical="center" wrapText="1"/>
    </xf>
    <xf numFmtId="0" fontId="4" fillId="9" borderId="0" xfId="0" applyFont="1" applyFill="1" applyAlignment="1">
      <alignment vertical="center" wrapText="1"/>
    </xf>
    <xf numFmtId="14" fontId="4" fillId="7" borderId="0" xfId="0" applyNumberFormat="1" applyFont="1" applyFill="1" applyAlignment="1">
      <alignment horizontal="center" vertical="center" wrapText="1"/>
    </xf>
    <xf numFmtId="0" fontId="3" fillId="0" borderId="0" xfId="0" quotePrefix="1" applyFont="1"/>
    <xf numFmtId="0" fontId="4" fillId="14" borderId="0" xfId="9" applyFill="1" applyAlignment="1">
      <alignment horizontal="center" vertical="center"/>
    </xf>
    <xf numFmtId="0" fontId="4" fillId="14" borderId="3" xfId="9" applyFill="1" applyBorder="1" applyAlignment="1">
      <alignment horizontal="center" vertical="center"/>
    </xf>
    <xf numFmtId="0" fontId="4" fillId="14" borderId="7" xfId="9" applyFill="1" applyBorder="1" applyAlignment="1">
      <alignment horizontal="center" vertical="center"/>
    </xf>
    <xf numFmtId="0" fontId="4" fillId="14" borderId="6" xfId="9" applyFill="1" applyBorder="1" applyAlignment="1">
      <alignment horizontal="center" vertical="center"/>
    </xf>
    <xf numFmtId="0" fontId="5" fillId="14" borderId="1" xfId="9" applyFont="1" applyFill="1" applyBorder="1" applyAlignment="1">
      <alignment horizontal="center" vertical="center"/>
    </xf>
    <xf numFmtId="176" fontId="5" fillId="14" borderId="1" xfId="28" applyNumberFormat="1" applyFont="1" applyFill="1" applyBorder="1" applyAlignment="1" applyProtection="1">
      <alignment horizontal="center" vertical="center"/>
    </xf>
    <xf numFmtId="0" fontId="4" fillId="0" borderId="0" xfId="9"/>
    <xf numFmtId="187" fontId="4" fillId="14" borderId="0" xfId="9" applyNumberFormat="1" applyFill="1" applyAlignment="1">
      <alignment horizontal="center" vertical="center"/>
    </xf>
    <xf numFmtId="176" fontId="4" fillId="15" borderId="25" xfId="28" applyNumberFormat="1" applyFont="1" applyFill="1" applyBorder="1" applyAlignment="1" applyProtection="1">
      <alignment horizontal="center" vertical="center"/>
    </xf>
    <xf numFmtId="0" fontId="4" fillId="0" borderId="0" xfId="9" applyAlignment="1">
      <alignment horizontal="center" vertical="center"/>
    </xf>
    <xf numFmtId="0" fontId="79" fillId="0" borderId="0" xfId="9" applyFont="1" applyAlignment="1">
      <alignment horizontal="center" vertical="center"/>
    </xf>
    <xf numFmtId="0" fontId="5" fillId="14" borderId="0" xfId="9" applyFont="1" applyFill="1" applyAlignment="1">
      <alignment horizontal="center" vertical="center"/>
    </xf>
    <xf numFmtId="0" fontId="14" fillId="14" borderId="0" xfId="9" applyFont="1" applyFill="1" applyAlignment="1">
      <alignment horizontal="center" vertical="center"/>
    </xf>
    <xf numFmtId="0" fontId="80" fillId="8" borderId="26" xfId="9" applyFont="1" applyFill="1" applyBorder="1" applyAlignment="1">
      <alignment horizontal="center" vertical="center"/>
    </xf>
    <xf numFmtId="0" fontId="80" fillId="8" borderId="27" xfId="9" applyFont="1" applyFill="1" applyBorder="1" applyAlignment="1">
      <alignment horizontal="center" vertical="center"/>
    </xf>
    <xf numFmtId="0" fontId="80" fillId="8" borderId="11" xfId="9" applyFont="1" applyFill="1" applyBorder="1" applyAlignment="1">
      <alignment horizontal="center" vertical="center"/>
    </xf>
    <xf numFmtId="186" fontId="5" fillId="16" borderId="15" xfId="9" applyNumberFormat="1" applyFont="1" applyFill="1" applyBorder="1" applyAlignment="1">
      <alignment horizontal="center" vertical="center"/>
    </xf>
    <xf numFmtId="176" fontId="5" fillId="16" borderId="17" xfId="28" applyNumberFormat="1" applyFont="1" applyFill="1" applyBorder="1" applyAlignment="1" applyProtection="1">
      <alignment horizontal="center" vertical="center"/>
    </xf>
    <xf numFmtId="0" fontId="5" fillId="17" borderId="1" xfId="9" applyFont="1" applyFill="1" applyBorder="1" applyAlignment="1" applyProtection="1">
      <alignment horizontal="center" vertical="center"/>
      <protection locked="0"/>
    </xf>
    <xf numFmtId="0" fontId="5" fillId="18" borderId="33" xfId="9" applyFont="1" applyFill="1" applyBorder="1" applyAlignment="1">
      <alignment horizontal="center" vertical="center" wrapText="1"/>
    </xf>
    <xf numFmtId="0" fontId="4" fillId="0" borderId="0" xfId="9" applyAlignment="1">
      <alignment horizontal="center" vertical="center" wrapText="1"/>
    </xf>
    <xf numFmtId="0" fontId="4" fillId="19" borderId="0" xfId="9" applyFill="1"/>
    <xf numFmtId="0" fontId="81" fillId="19" borderId="0" xfId="9" applyFont="1" applyFill="1"/>
    <xf numFmtId="0" fontId="5" fillId="14" borderId="39" xfId="9" applyFont="1" applyFill="1" applyBorder="1" applyAlignment="1">
      <alignment horizontal="center" vertical="center"/>
    </xf>
    <xf numFmtId="176" fontId="4" fillId="20" borderId="0" xfId="28" applyNumberFormat="1" applyFont="1" applyFill="1" applyBorder="1" applyAlignment="1" applyProtection="1">
      <alignment horizontal="center" vertical="center"/>
    </xf>
    <xf numFmtId="0" fontId="78" fillId="0" borderId="0" xfId="32"/>
    <xf numFmtId="176" fontId="0" fillId="0" borderId="0" xfId="28" applyNumberFormat="1" applyFont="1" applyFill="1"/>
    <xf numFmtId="0" fontId="46" fillId="9" borderId="0" xfId="0" applyFont="1" applyFill="1" applyAlignment="1">
      <alignment vertical="center" wrapText="1"/>
    </xf>
    <xf numFmtId="169" fontId="46" fillId="0" borderId="0" xfId="2" applyFont="1" applyAlignment="1">
      <alignment horizontal="center" vertical="center"/>
    </xf>
    <xf numFmtId="0" fontId="46" fillId="8" borderId="0" xfId="0" applyFont="1" applyFill="1" applyAlignment="1">
      <alignment horizontal="center" vertical="center" wrapText="1"/>
    </xf>
    <xf numFmtId="0" fontId="0" fillId="8" borderId="0" xfId="0" applyFill="1" applyAlignment="1">
      <alignment horizontal="center" vertical="center"/>
    </xf>
    <xf numFmtId="169" fontId="0" fillId="8" borderId="0" xfId="2" applyFont="1" applyFill="1" applyAlignment="1">
      <alignment horizontal="center" vertical="center"/>
    </xf>
    <xf numFmtId="175" fontId="0" fillId="8" borderId="0" xfId="0" applyNumberFormat="1" applyFill="1" applyAlignment="1">
      <alignment horizontal="center" vertical="center"/>
    </xf>
    <xf numFmtId="0" fontId="46" fillId="21" borderId="0" xfId="0" applyFont="1" applyFill="1" applyAlignment="1">
      <alignment horizontal="center" vertical="center" wrapText="1"/>
    </xf>
    <xf numFmtId="0" fontId="4" fillId="21" borderId="0" xfId="0" applyFont="1" applyFill="1" applyAlignment="1">
      <alignment vertical="center"/>
    </xf>
    <xf numFmtId="169" fontId="0" fillId="21" borderId="0" xfId="2" applyFont="1" applyFill="1" applyAlignment="1">
      <alignment horizontal="center" vertical="center"/>
    </xf>
    <xf numFmtId="0" fontId="46" fillId="21" borderId="0" xfId="0" applyFont="1" applyFill="1" applyAlignment="1">
      <alignment vertical="center"/>
    </xf>
    <xf numFmtId="0" fontId="46" fillId="0" borderId="0" xfId="24" quotePrefix="1" applyFont="1" applyAlignment="1">
      <alignment vertical="center"/>
    </xf>
    <xf numFmtId="0" fontId="46" fillId="0" borderId="0" xfId="24" applyFont="1" applyAlignment="1">
      <alignment vertical="center"/>
    </xf>
    <xf numFmtId="169" fontId="4" fillId="0" borderId="0" xfId="2" applyFont="1" applyAlignment="1">
      <alignment horizontal="center" vertical="center"/>
    </xf>
    <xf numFmtId="0" fontId="82" fillId="0" borderId="0" xfId="32" applyFont="1" applyAlignment="1">
      <alignment horizontal="center"/>
    </xf>
    <xf numFmtId="175" fontId="46" fillId="0" borderId="0" xfId="0" applyNumberFormat="1" applyFont="1" applyAlignment="1">
      <alignment horizontal="left" vertical="center"/>
    </xf>
    <xf numFmtId="0" fontId="0" fillId="8" borderId="0" xfId="0" applyFill="1" applyAlignment="1">
      <alignment horizontal="center" vertical="center" wrapText="1"/>
    </xf>
    <xf numFmtId="0" fontId="0" fillId="8" borderId="0" xfId="0" applyFill="1"/>
    <xf numFmtId="0" fontId="4" fillId="8" borderId="0" xfId="0" applyFont="1" applyFill="1" applyAlignment="1">
      <alignment horizontal="center" vertical="center"/>
    </xf>
    <xf numFmtId="169" fontId="4" fillId="8" borderId="0" xfId="2" applyFont="1" applyFill="1" applyAlignment="1">
      <alignment vertical="center"/>
    </xf>
    <xf numFmtId="175" fontId="4" fillId="8" borderId="0" xfId="0" applyNumberFormat="1" applyFont="1" applyFill="1" applyAlignment="1">
      <alignment horizontal="center" vertical="center"/>
    </xf>
    <xf numFmtId="0" fontId="4" fillId="8" borderId="0" xfId="0" applyFont="1" applyFill="1" applyAlignment="1">
      <alignment horizontal="center" vertical="center" wrapText="1"/>
    </xf>
    <xf numFmtId="172" fontId="51" fillId="18" borderId="4" xfId="17" applyNumberFormat="1" applyFont="1" applyFill="1" applyBorder="1" applyAlignment="1">
      <alignment vertical="center"/>
    </xf>
    <xf numFmtId="0" fontId="4" fillId="9" borderId="0" xfId="0" applyFont="1" applyFill="1" applyAlignment="1">
      <alignment horizontal="center" vertical="center" wrapText="1"/>
    </xf>
    <xf numFmtId="0" fontId="46" fillId="9" borderId="0" xfId="0" applyFont="1" applyFill="1" applyAlignment="1">
      <alignment horizontal="center" vertical="center" wrapText="1"/>
    </xf>
    <xf numFmtId="172" fontId="49" fillId="0" borderId="2" xfId="17" applyNumberFormat="1" applyFont="1" applyFill="1" applyBorder="1" applyAlignment="1">
      <alignment horizontal="center" vertical="center" wrapText="1"/>
    </xf>
    <xf numFmtId="0" fontId="49" fillId="8" borderId="0" xfId="0" applyFont="1" applyFill="1" applyAlignment="1">
      <alignment horizontal="center" vertical="center" wrapText="1"/>
    </xf>
    <xf numFmtId="0" fontId="49" fillId="8" borderId="0" xfId="0" applyFont="1" applyFill="1" applyAlignment="1">
      <alignment vertical="center" wrapText="1"/>
    </xf>
    <xf numFmtId="0" fontId="49" fillId="8" borderId="0" xfId="0" applyFont="1" applyFill="1" applyAlignment="1">
      <alignment vertical="center"/>
    </xf>
    <xf numFmtId="0" fontId="49" fillId="8" borderId="0" xfId="0" applyFont="1" applyFill="1" applyAlignment="1">
      <alignment horizontal="center" vertical="center"/>
    </xf>
    <xf numFmtId="169" fontId="49" fillId="8" borderId="0" xfId="2" applyFont="1" applyFill="1" applyAlignment="1">
      <alignment horizontal="center" vertical="center"/>
    </xf>
    <xf numFmtId="175" fontId="49" fillId="8" borderId="0" xfId="0" applyNumberFormat="1" applyFont="1" applyFill="1" applyAlignment="1">
      <alignment horizontal="center" vertical="center"/>
    </xf>
    <xf numFmtId="172" fontId="5" fillId="0" borderId="2" xfId="17" applyNumberFormat="1" applyFont="1" applyFill="1" applyBorder="1" applyAlignment="1">
      <alignment horizontal="right" vertical="center" wrapText="1"/>
    </xf>
    <xf numFmtId="0" fontId="46" fillId="0" borderId="0" xfId="0" applyFont="1"/>
    <xf numFmtId="165" fontId="46" fillId="0" borderId="0" xfId="0" applyNumberFormat="1" applyFont="1" applyAlignment="1">
      <alignment horizontal="center" vertical="center" wrapText="1"/>
    </xf>
    <xf numFmtId="172" fontId="49" fillId="0" borderId="2" xfId="17" applyNumberFormat="1" applyFont="1" applyFill="1" applyBorder="1" applyAlignment="1">
      <alignment vertical="center" wrapText="1"/>
    </xf>
    <xf numFmtId="0" fontId="4" fillId="0" borderId="0" xfId="14" applyAlignment="1">
      <alignment horizontal="right" vertical="center"/>
    </xf>
    <xf numFmtId="0" fontId="49" fillId="0" borderId="0" xfId="0" applyFont="1" applyAlignment="1">
      <alignment vertical="center" wrapText="1"/>
    </xf>
    <xf numFmtId="0" fontId="49" fillId="0" borderId="0" xfId="0" applyFont="1" applyAlignment="1">
      <alignment vertical="center"/>
    </xf>
    <xf numFmtId="0" fontId="49" fillId="0" borderId="0" xfId="0" applyFont="1" applyAlignment="1">
      <alignment horizontal="center" vertical="center"/>
    </xf>
    <xf numFmtId="0" fontId="49" fillId="9" borderId="0" xfId="0" applyFont="1" applyFill="1" applyAlignment="1">
      <alignment vertical="center" wrapText="1"/>
    </xf>
    <xf numFmtId="0" fontId="49" fillId="0" borderId="0" xfId="24" quotePrefix="1" applyFont="1" applyAlignment="1">
      <alignment vertical="center"/>
    </xf>
    <xf numFmtId="0" fontId="49" fillId="0" borderId="0" xfId="24" applyFont="1" applyAlignment="1">
      <alignment vertical="center"/>
    </xf>
    <xf numFmtId="175" fontId="49" fillId="0" borderId="0" xfId="0" applyNumberFormat="1" applyFont="1" applyAlignment="1">
      <alignment horizontal="center" vertical="center"/>
    </xf>
    <xf numFmtId="170" fontId="0" fillId="8" borderId="0" xfId="0" applyNumberFormat="1" applyFill="1" applyAlignment="1">
      <alignment vertical="center"/>
    </xf>
    <xf numFmtId="0" fontId="4" fillId="8" borderId="0" xfId="0" quotePrefix="1" applyFont="1" applyFill="1" applyAlignment="1">
      <alignment vertical="center"/>
    </xf>
    <xf numFmtId="0" fontId="4" fillId="8" borderId="0" xfId="24" applyFont="1" applyFill="1" applyAlignment="1">
      <alignment vertical="center"/>
    </xf>
    <xf numFmtId="0" fontId="49" fillId="0" borderId="0" xfId="0" applyFont="1" applyAlignment="1">
      <alignment horizontal="center" vertical="center" wrapText="1"/>
    </xf>
    <xf numFmtId="0" fontId="49" fillId="0" borderId="13" xfId="0" applyFont="1" applyBorder="1" applyAlignment="1">
      <alignment vertical="center"/>
    </xf>
    <xf numFmtId="43" fontId="49" fillId="0" borderId="13" xfId="2" applyNumberFormat="1" applyFont="1" applyFill="1" applyBorder="1" applyAlignment="1">
      <alignment horizontal="center" vertical="center"/>
    </xf>
    <xf numFmtId="43" fontId="49" fillId="0" borderId="13" xfId="2" applyNumberFormat="1" applyFont="1" applyBorder="1" applyAlignment="1">
      <alignment vertical="center"/>
    </xf>
    <xf numFmtId="169" fontId="49" fillId="0" borderId="13" xfId="2" applyFont="1" applyBorder="1" applyAlignment="1">
      <alignment vertical="center"/>
    </xf>
    <xf numFmtId="175" fontId="49" fillId="0" borderId="13" xfId="0" applyNumberFormat="1" applyFont="1" applyBorder="1" applyAlignment="1">
      <alignment horizontal="center" vertical="center"/>
    </xf>
    <xf numFmtId="0" fontId="1" fillId="0" borderId="0" xfId="36"/>
    <xf numFmtId="0" fontId="4" fillId="0" borderId="13" xfId="36" applyFont="1" applyBorder="1" applyAlignment="1">
      <alignment horizontal="center" vertical="center"/>
    </xf>
    <xf numFmtId="14" fontId="4" fillId="0" borderId="13" xfId="36" applyNumberFormat="1" applyFont="1" applyBorder="1" applyAlignment="1">
      <alignment horizontal="left" vertical="center" wrapText="1"/>
    </xf>
    <xf numFmtId="175" fontId="4" fillId="0" borderId="13" xfId="36" applyNumberFormat="1" applyFont="1" applyBorder="1" applyAlignment="1">
      <alignment horizontal="center" vertical="center"/>
    </xf>
    <xf numFmtId="169" fontId="4" fillId="0" borderId="13" xfId="37" applyNumberFormat="1" applyFont="1" applyBorder="1" applyAlignment="1">
      <alignment vertical="center"/>
    </xf>
    <xf numFmtId="43" fontId="4" fillId="0" borderId="13" xfId="37" applyFont="1" applyBorder="1" applyAlignment="1">
      <alignment vertical="center"/>
    </xf>
    <xf numFmtId="43" fontId="4" fillId="0" borderId="13" xfId="37" applyFont="1" applyFill="1" applyBorder="1" applyAlignment="1">
      <alignment horizontal="center" vertical="center"/>
    </xf>
    <xf numFmtId="0" fontId="4" fillId="0" borderId="13" xfId="36" applyFont="1" applyBorder="1" applyAlignment="1">
      <alignment vertical="center"/>
    </xf>
    <xf numFmtId="0" fontId="4" fillId="0" borderId="13" xfId="36" quotePrefix="1" applyFont="1" applyBorder="1" applyAlignment="1">
      <alignment horizontal="right" vertical="center"/>
    </xf>
    <xf numFmtId="14" fontId="5" fillId="2" borderId="13" xfId="36" applyNumberFormat="1" applyFont="1" applyFill="1" applyBorder="1" applyAlignment="1">
      <alignment horizontal="center" vertical="center"/>
    </xf>
    <xf numFmtId="14" fontId="5" fillId="2" borderId="13" xfId="36" applyNumberFormat="1" applyFont="1" applyFill="1" applyBorder="1" applyAlignment="1">
      <alignment horizontal="center" vertical="center" wrapText="1"/>
    </xf>
    <xf numFmtId="175" fontId="5" fillId="2" borderId="13" xfId="36" applyNumberFormat="1" applyFont="1" applyFill="1" applyBorder="1" applyAlignment="1">
      <alignment horizontal="center" vertical="center"/>
    </xf>
    <xf numFmtId="43" fontId="5" fillId="2" borderId="13" xfId="37" applyFont="1" applyFill="1" applyBorder="1" applyAlignment="1">
      <alignment horizontal="center" vertical="center"/>
    </xf>
    <xf numFmtId="0" fontId="5" fillId="2" borderId="13" xfId="36" applyFont="1" applyFill="1" applyBorder="1" applyAlignment="1">
      <alignment horizontal="center" vertical="center"/>
    </xf>
    <xf numFmtId="0" fontId="4" fillId="0" borderId="0" xfId="36" applyFont="1" applyAlignment="1">
      <alignment horizontal="center" vertical="center"/>
    </xf>
    <xf numFmtId="14" fontId="4" fillId="0" borderId="0" xfId="36" applyNumberFormat="1" applyFont="1" applyAlignment="1">
      <alignment horizontal="left" vertical="center" wrapText="1"/>
    </xf>
    <xf numFmtId="175" fontId="4" fillId="0" borderId="0" xfId="36" applyNumberFormat="1" applyFont="1" applyAlignment="1">
      <alignment horizontal="center" vertical="center"/>
    </xf>
    <xf numFmtId="169" fontId="4" fillId="0" borderId="0" xfId="37" applyNumberFormat="1" applyFont="1" applyAlignment="1">
      <alignment vertical="center"/>
    </xf>
    <xf numFmtId="43" fontId="4" fillId="0" borderId="0" xfId="37" applyFont="1" applyAlignment="1">
      <alignment vertical="center"/>
    </xf>
    <xf numFmtId="43" fontId="4" fillId="0" borderId="0" xfId="37" applyFont="1" applyFill="1" applyAlignment="1">
      <alignment horizontal="center" vertical="center"/>
    </xf>
    <xf numFmtId="0" fontId="4" fillId="0" borderId="0" xfId="36" applyFont="1" applyAlignment="1">
      <alignment vertical="center"/>
    </xf>
    <xf numFmtId="0" fontId="4" fillId="0" borderId="0" xfId="36" quotePrefix="1" applyFont="1" applyAlignment="1">
      <alignment horizontal="right" vertical="center"/>
    </xf>
    <xf numFmtId="0" fontId="49" fillId="0" borderId="0" xfId="0" applyFont="1"/>
    <xf numFmtId="43" fontId="49" fillId="0" borderId="0" xfId="2" applyNumberFormat="1" applyFont="1"/>
    <xf numFmtId="14" fontId="49" fillId="0" borderId="0" xfId="0" applyNumberFormat="1" applyFont="1"/>
    <xf numFmtId="1" fontId="49" fillId="0" borderId="0" xfId="0" applyNumberFormat="1" applyFont="1"/>
    <xf numFmtId="0" fontId="49" fillId="0" borderId="0" xfId="0" applyFont="1" applyAlignment="1">
      <alignment horizontal="center"/>
    </xf>
    <xf numFmtId="169" fontId="4" fillId="0" borderId="0" xfId="0" applyNumberFormat="1" applyFont="1" applyAlignment="1">
      <alignment vertical="center"/>
    </xf>
    <xf numFmtId="0" fontId="5" fillId="0" borderId="0" xfId="0" applyFont="1" applyAlignment="1">
      <alignment vertical="center" wrapText="1"/>
    </xf>
    <xf numFmtId="0" fontId="5" fillId="0" borderId="0" xfId="0" applyFont="1" applyAlignment="1">
      <alignment vertical="center"/>
    </xf>
    <xf numFmtId="0" fontId="5" fillId="0" borderId="0" xfId="0" applyFont="1" applyAlignment="1">
      <alignment horizontal="center" vertical="center"/>
    </xf>
    <xf numFmtId="169" fontId="5" fillId="0" borderId="0" xfId="0" applyNumberFormat="1" applyFont="1" applyAlignment="1">
      <alignment vertical="center"/>
    </xf>
    <xf numFmtId="175" fontId="5" fillId="0" borderId="0" xfId="0" applyNumberFormat="1" applyFont="1" applyAlignment="1">
      <alignment horizontal="center" vertical="center"/>
    </xf>
    <xf numFmtId="169" fontId="49" fillId="0" borderId="0" xfId="0" applyNumberFormat="1" applyFont="1" applyAlignment="1">
      <alignment vertical="center"/>
    </xf>
    <xf numFmtId="0" fontId="83" fillId="0" borderId="0" xfId="0" applyFont="1" applyAlignment="1">
      <alignment vertical="center" wrapText="1"/>
    </xf>
    <xf numFmtId="0" fontId="83" fillId="0" borderId="0" xfId="0" applyFont="1" applyAlignment="1">
      <alignment vertical="center"/>
    </xf>
    <xf numFmtId="0" fontId="83" fillId="0" borderId="0" xfId="0" applyFont="1" applyAlignment="1">
      <alignment horizontal="center" vertical="center"/>
    </xf>
    <xf numFmtId="169" fontId="83" fillId="0" borderId="0" xfId="0" applyNumberFormat="1" applyFont="1" applyAlignment="1">
      <alignment vertical="center"/>
    </xf>
    <xf numFmtId="169" fontId="83" fillId="0" borderId="0" xfId="2" applyFont="1" applyAlignment="1">
      <alignment vertical="center"/>
    </xf>
    <xf numFmtId="175" fontId="83" fillId="0" borderId="0" xfId="0" applyNumberFormat="1" applyFont="1" applyAlignment="1">
      <alignment horizontal="center" vertical="center"/>
    </xf>
    <xf numFmtId="169" fontId="4" fillId="0" borderId="0" xfId="0" applyNumberFormat="1" applyFont="1" applyAlignment="1">
      <alignment vertical="center" wrapText="1"/>
    </xf>
    <xf numFmtId="169" fontId="5" fillId="0" borderId="0" xfId="0" applyNumberFormat="1" applyFont="1" applyAlignment="1">
      <alignment vertical="center" wrapText="1"/>
    </xf>
    <xf numFmtId="169" fontId="49" fillId="0" borderId="0" xfId="0" applyNumberFormat="1" applyFont="1" applyAlignment="1">
      <alignment vertical="center" wrapText="1"/>
    </xf>
    <xf numFmtId="169" fontId="83" fillId="0" borderId="0" xfId="0" applyNumberFormat="1" applyFont="1" applyAlignment="1">
      <alignment vertical="center" wrapText="1"/>
    </xf>
    <xf numFmtId="169" fontId="5" fillId="0" borderId="0" xfId="2" applyFont="1" applyAlignment="1">
      <alignment horizontal="center" vertical="center"/>
    </xf>
    <xf numFmtId="0" fontId="83" fillId="0" borderId="0" xfId="0" applyFont="1" applyAlignment="1">
      <alignment horizontal="center" vertical="center" wrapText="1"/>
    </xf>
    <xf numFmtId="169" fontId="83" fillId="0" borderId="0" xfId="2" applyFont="1" applyAlignment="1">
      <alignment horizontal="center" vertical="center"/>
    </xf>
    <xf numFmtId="0" fontId="4" fillId="0" borderId="24" xfId="0" applyFont="1" applyBorder="1" applyAlignment="1">
      <alignment vertical="center"/>
    </xf>
    <xf numFmtId="12" fontId="49" fillId="0" borderId="0" xfId="2" applyNumberFormat="1" applyFont="1"/>
    <xf numFmtId="172" fontId="84" fillId="0" borderId="2" xfId="17" applyNumberFormat="1" applyFont="1" applyFill="1" applyBorder="1" applyAlignment="1">
      <alignment vertical="center"/>
    </xf>
    <xf numFmtId="172" fontId="49" fillId="0" borderId="2" xfId="17" applyNumberFormat="1" applyFont="1" applyFill="1" applyBorder="1" applyAlignment="1">
      <alignment vertical="center"/>
    </xf>
    <xf numFmtId="172" fontId="49" fillId="0" borderId="2" xfId="17" applyNumberFormat="1" applyFont="1" applyFill="1" applyBorder="1" applyAlignment="1">
      <alignment horizontal="left" vertical="center" wrapText="1"/>
    </xf>
    <xf numFmtId="183" fontId="68" fillId="0" borderId="2" xfId="21" applyNumberFormat="1" applyFont="1" applyBorder="1" applyAlignment="1">
      <alignment horizontal="left" vertical="center" wrapText="1"/>
    </xf>
    <xf numFmtId="183" fontId="68" fillId="0" borderId="2" xfId="17" applyNumberFormat="1" applyFont="1" applyBorder="1" applyAlignment="1">
      <alignment horizontal="right" vertical="center" wrapText="1"/>
    </xf>
    <xf numFmtId="183" fontId="68" fillId="0" borderId="2" xfId="21" applyNumberFormat="1" applyFont="1" applyBorder="1" applyAlignment="1">
      <alignment vertical="center" wrapText="1"/>
    </xf>
    <xf numFmtId="0" fontId="4" fillId="7" borderId="0" xfId="0" applyFont="1" applyFill="1" applyAlignment="1">
      <alignment vertical="center"/>
    </xf>
    <xf numFmtId="44" fontId="0" fillId="0" borderId="0" xfId="0" applyNumberFormat="1" applyAlignment="1">
      <alignment vertical="center"/>
    </xf>
    <xf numFmtId="1" fontId="0" fillId="0" borderId="0" xfId="0" applyNumberFormat="1"/>
    <xf numFmtId="0" fontId="5" fillId="9" borderId="0" xfId="0" applyFont="1" applyFill="1" applyAlignment="1">
      <alignment vertical="center" wrapText="1"/>
    </xf>
    <xf numFmtId="169" fontId="49" fillId="0" borderId="0" xfId="2" applyFont="1"/>
    <xf numFmtId="188" fontId="49" fillId="0" borderId="0" xfId="0" applyNumberFormat="1" applyFont="1"/>
    <xf numFmtId="43" fontId="4" fillId="0" borderId="0" xfId="0" applyNumberFormat="1" applyFont="1" applyAlignment="1">
      <alignment vertical="center" wrapText="1"/>
    </xf>
    <xf numFmtId="43" fontId="5" fillId="0" borderId="0" xfId="0" applyNumberFormat="1" applyFont="1" applyAlignment="1">
      <alignment vertical="center" wrapText="1"/>
    </xf>
    <xf numFmtId="43" fontId="49" fillId="0" borderId="0" xfId="0" applyNumberFormat="1" applyFont="1" applyAlignment="1">
      <alignment vertical="center" wrapText="1"/>
    </xf>
    <xf numFmtId="0" fontId="5" fillId="9" borderId="0" xfId="0" applyFont="1" applyFill="1" applyAlignment="1">
      <alignment vertical="center"/>
    </xf>
    <xf numFmtId="0" fontId="5" fillId="9" borderId="0" xfId="0" applyFont="1" applyFill="1" applyAlignment="1">
      <alignment horizontal="center" vertical="center"/>
    </xf>
    <xf numFmtId="43" fontId="5" fillId="9" borderId="0" xfId="0" applyNumberFormat="1" applyFont="1" applyFill="1" applyAlignment="1">
      <alignment vertical="center" wrapText="1"/>
    </xf>
    <xf numFmtId="169" fontId="5" fillId="9" borderId="0" xfId="2" applyFont="1" applyFill="1" applyAlignment="1">
      <alignment vertical="center"/>
    </xf>
    <xf numFmtId="175" fontId="5" fillId="9" borderId="0" xfId="0" applyNumberFormat="1" applyFont="1" applyFill="1" applyAlignment="1">
      <alignment horizontal="center" vertical="center"/>
    </xf>
    <xf numFmtId="0" fontId="85" fillId="0" borderId="0" xfId="0" applyFont="1" applyAlignment="1">
      <alignment vertical="center" wrapText="1"/>
    </xf>
    <xf numFmtId="0" fontId="85" fillId="0" borderId="0" xfId="0" applyFont="1" applyAlignment="1">
      <alignment vertical="center"/>
    </xf>
    <xf numFmtId="0" fontId="85" fillId="0" borderId="0" xfId="0" applyFont="1" applyAlignment="1">
      <alignment horizontal="center" vertical="center"/>
    </xf>
    <xf numFmtId="43" fontId="85" fillId="0" borderId="0" xfId="0" applyNumberFormat="1" applyFont="1" applyAlignment="1">
      <alignment vertical="center" wrapText="1"/>
    </xf>
    <xf numFmtId="169" fontId="85" fillId="0" borderId="0" xfId="2" applyFont="1" applyAlignment="1">
      <alignment vertical="center"/>
    </xf>
    <xf numFmtId="175" fontId="85" fillId="0" borderId="0" xfId="0" applyNumberFormat="1" applyFont="1" applyAlignment="1">
      <alignment horizontal="center" vertical="center"/>
    </xf>
    <xf numFmtId="0" fontId="60" fillId="0" borderId="2" xfId="17" applyNumberFormat="1" applyFont="1" applyFill="1" applyBorder="1" applyAlignment="1">
      <alignment vertical="center" wrapText="1"/>
    </xf>
    <xf numFmtId="0" fontId="60" fillId="0" borderId="9" xfId="17" applyNumberFormat="1" applyFont="1" applyFill="1" applyBorder="1" applyAlignment="1">
      <alignment vertical="center" wrapText="1"/>
    </xf>
    <xf numFmtId="172" fontId="5" fillId="8" borderId="2" xfId="17" applyNumberFormat="1" applyFont="1" applyFill="1" applyBorder="1" applyAlignment="1">
      <alignment vertical="center"/>
    </xf>
    <xf numFmtId="183" fontId="4" fillId="8" borderId="2" xfId="17" applyNumberFormat="1" applyFont="1" applyFill="1" applyBorder="1" applyAlignment="1">
      <alignment horizontal="left" vertical="center" wrapText="1"/>
    </xf>
    <xf numFmtId="183" fontId="4" fillId="8" borderId="2" xfId="21" applyNumberFormat="1" applyFont="1" applyFill="1" applyBorder="1" applyAlignment="1">
      <alignment horizontal="left" vertical="center" wrapText="1"/>
    </xf>
    <xf numFmtId="0" fontId="4" fillId="9" borderId="0" xfId="0" applyFont="1" applyFill="1" applyAlignment="1">
      <alignment vertical="center"/>
    </xf>
    <xf numFmtId="169" fontId="4" fillId="0" borderId="0" xfId="2" applyFont="1" applyAlignment="1">
      <alignment vertical="center" wrapText="1"/>
    </xf>
    <xf numFmtId="0" fontId="4" fillId="20" borderId="0" xfId="9" applyFont="1" applyFill="1" applyBorder="1" applyAlignment="1" applyProtection="1">
      <alignment horizontal="center" vertical="center"/>
    </xf>
    <xf numFmtId="0" fontId="4" fillId="20" borderId="0" xfId="9" applyFont="1" applyFill="1" applyBorder="1" applyAlignment="1" applyProtection="1">
      <alignment horizontal="center" vertical="center"/>
      <protection locked="0"/>
    </xf>
    <xf numFmtId="14" fontId="4" fillId="20" borderId="0" xfId="9" applyNumberFormat="1" applyFont="1" applyFill="1" applyBorder="1" applyAlignment="1" applyProtection="1">
      <alignment horizontal="center" vertical="center"/>
    </xf>
    <xf numFmtId="187" fontId="4" fillId="20" borderId="0" xfId="9" applyNumberFormat="1" applyFont="1" applyFill="1" applyBorder="1" applyAlignment="1" applyProtection="1">
      <alignment horizontal="center" vertical="center"/>
    </xf>
    <xf numFmtId="176" fontId="49" fillId="20" borderId="0" xfId="28" applyNumberFormat="1" applyFont="1" applyFill="1" applyBorder="1" applyAlignment="1" applyProtection="1">
      <alignment horizontal="center" vertical="center"/>
    </xf>
    <xf numFmtId="176" fontId="4" fillId="20" borderId="0" xfId="9" applyNumberFormat="1" applyFont="1" applyFill="1" applyBorder="1" applyAlignment="1" applyProtection="1">
      <alignment horizontal="center" vertical="center"/>
    </xf>
    <xf numFmtId="0" fontId="4" fillId="20" borderId="0" xfId="0" applyFont="1" applyFill="1" applyBorder="1" applyAlignment="1" applyProtection="1">
      <alignment horizontal="center" vertical="center"/>
      <protection locked="0"/>
    </xf>
    <xf numFmtId="0" fontId="5" fillId="18" borderId="1" xfId="9" applyFont="1" applyFill="1" applyBorder="1" applyAlignment="1" applyProtection="1">
      <alignment horizontal="center" vertical="center" wrapText="1"/>
    </xf>
    <xf numFmtId="0" fontId="5" fillId="18" borderId="33" xfId="9" applyFont="1" applyFill="1" applyBorder="1" applyAlignment="1" applyProtection="1">
      <alignment horizontal="center" vertical="center" wrapText="1"/>
    </xf>
    <xf numFmtId="0" fontId="5" fillId="18" borderId="34" xfId="9" applyFont="1" applyFill="1" applyBorder="1" applyAlignment="1" applyProtection="1">
      <alignment horizontal="center" vertical="center" wrapText="1"/>
    </xf>
    <xf numFmtId="0" fontId="4" fillId="19" borderId="0" xfId="9" applyFont="1" applyFill="1" applyProtection="1"/>
    <xf numFmtId="0" fontId="81" fillId="19" borderId="0" xfId="9" applyFont="1" applyFill="1" applyProtection="1"/>
    <xf numFmtId="0" fontId="4" fillId="14" borderId="39" xfId="9" applyFont="1" applyFill="1" applyBorder="1" applyAlignment="1" applyProtection="1">
      <alignment horizontal="center" vertical="center"/>
    </xf>
    <xf numFmtId="0" fontId="5" fillId="14" borderId="13" xfId="9" applyFont="1" applyFill="1" applyBorder="1" applyAlignment="1" applyProtection="1">
      <alignment horizontal="center" vertical="center"/>
    </xf>
    <xf numFmtId="0" fontId="5" fillId="14" borderId="39" xfId="9" applyFont="1" applyFill="1" applyBorder="1" applyAlignment="1" applyProtection="1">
      <alignment horizontal="center" vertical="center"/>
    </xf>
    <xf numFmtId="0" fontId="4" fillId="14" borderId="13" xfId="9" applyFont="1" applyFill="1" applyBorder="1" applyAlignment="1" applyProtection="1">
      <alignment horizontal="center" vertical="center"/>
    </xf>
    <xf numFmtId="0" fontId="4" fillId="14" borderId="3" xfId="9" applyFont="1" applyFill="1" applyBorder="1" applyAlignment="1" applyProtection="1">
      <alignment horizontal="center" vertical="center"/>
    </xf>
    <xf numFmtId="187" fontId="5" fillId="17" borderId="1" xfId="9" applyNumberFormat="1" applyFont="1" applyFill="1" applyBorder="1" applyAlignment="1" applyProtection="1">
      <alignment horizontal="center" vertical="center"/>
    </xf>
    <xf numFmtId="43" fontId="4" fillId="0" borderId="0" xfId="0" applyNumberFormat="1" applyFont="1" applyAlignment="1">
      <alignment horizontal="center" vertical="center"/>
    </xf>
    <xf numFmtId="43" fontId="5" fillId="0" borderId="0" xfId="0" applyNumberFormat="1" applyFont="1" applyAlignment="1">
      <alignment horizontal="center" vertical="center"/>
    </xf>
    <xf numFmtId="169" fontId="5" fillId="0" borderId="0" xfId="2" applyFont="1" applyAlignment="1">
      <alignment vertical="center" wrapText="1"/>
    </xf>
    <xf numFmtId="43" fontId="49" fillId="0" borderId="0" xfId="0" applyNumberFormat="1" applyFont="1" applyAlignment="1">
      <alignment horizontal="center" vertical="center"/>
    </xf>
    <xf numFmtId="169" fontId="49" fillId="0" borderId="0" xfId="2" applyFont="1" applyAlignment="1">
      <alignment vertical="center" wrapText="1"/>
    </xf>
    <xf numFmtId="43" fontId="83" fillId="0" borderId="0" xfId="0" applyNumberFormat="1" applyFont="1" applyAlignment="1">
      <alignment horizontal="center" vertical="center"/>
    </xf>
    <xf numFmtId="169" fontId="83" fillId="0" borderId="0" xfId="2" applyFont="1" applyAlignment="1">
      <alignment vertical="center" wrapText="1"/>
    </xf>
    <xf numFmtId="43" fontId="85" fillId="0" borderId="0" xfId="0" applyNumberFormat="1" applyFont="1" applyAlignment="1">
      <alignment horizontal="center" vertical="center"/>
    </xf>
    <xf numFmtId="169" fontId="85" fillId="0" borderId="0" xfId="2" applyFont="1" applyAlignment="1">
      <alignment vertical="center" wrapText="1"/>
    </xf>
    <xf numFmtId="14" fontId="49" fillId="0" borderId="0" xfId="0" applyNumberFormat="1" applyFont="1" applyAlignment="1">
      <alignment vertical="center"/>
    </xf>
    <xf numFmtId="19" fontId="4" fillId="20" borderId="0" xfId="9" applyNumberFormat="1" applyFont="1" applyFill="1" applyBorder="1" applyAlignment="1" applyProtection="1">
      <alignment horizontal="center" vertical="center"/>
    </xf>
    <xf numFmtId="176" fontId="4" fillId="7" borderId="0" xfId="28" applyNumberFormat="1" applyFont="1" applyFill="1" applyBorder="1" applyAlignment="1" applyProtection="1">
      <alignment horizontal="center" vertical="center"/>
    </xf>
    <xf numFmtId="176" fontId="4" fillId="7" borderId="0" xfId="9" applyNumberFormat="1" applyFont="1" applyFill="1" applyBorder="1" applyAlignment="1" applyProtection="1">
      <alignment horizontal="center" vertical="center"/>
    </xf>
    <xf numFmtId="1" fontId="4" fillId="0" borderId="0" xfId="0" applyNumberFormat="1" applyFont="1" applyAlignment="1">
      <alignment horizontal="center" vertical="center"/>
    </xf>
    <xf numFmtId="0" fontId="4" fillId="21" borderId="0" xfId="0" applyFont="1" applyFill="1" applyAlignment="1">
      <alignment horizontal="center" vertical="center" wrapText="1"/>
    </xf>
    <xf numFmtId="0" fontId="0" fillId="21" borderId="0" xfId="0" applyFill="1" applyAlignment="1">
      <alignment horizontal="center" vertical="center" wrapText="1"/>
    </xf>
    <xf numFmtId="0" fontId="46" fillId="8" borderId="0" xfId="0" applyFont="1" applyFill="1" applyAlignment="1">
      <alignment horizontal="center" vertical="center" wrapText="1"/>
    </xf>
    <xf numFmtId="0" fontId="46" fillId="21" borderId="0" xfId="0" applyFont="1" applyFill="1" applyAlignment="1">
      <alignment horizontal="center" vertical="center" wrapText="1"/>
    </xf>
    <xf numFmtId="167" fontId="5" fillId="3" borderId="3" xfId="8" applyFont="1" applyFill="1" applyBorder="1" applyAlignment="1">
      <alignment horizontal="center" vertical="center"/>
    </xf>
    <xf numFmtId="167" fontId="5" fillId="3" borderId="6" xfId="8" applyFont="1" applyFill="1" applyBorder="1" applyAlignment="1">
      <alignment horizontal="center" vertical="center"/>
    </xf>
    <xf numFmtId="167" fontId="5" fillId="10" borderId="3" xfId="8" applyFont="1" applyFill="1" applyBorder="1" applyAlignment="1">
      <alignment horizontal="center" vertical="center"/>
    </xf>
    <xf numFmtId="167" fontId="5" fillId="10" borderId="6" xfId="8" applyFont="1" applyFill="1" applyBorder="1" applyAlignment="1">
      <alignment horizontal="center" vertical="center"/>
    </xf>
    <xf numFmtId="172" fontId="5" fillId="0" borderId="2" xfId="17" applyNumberFormat="1" applyFont="1" applyFill="1" applyBorder="1" applyAlignment="1">
      <alignment horizontal="center" vertical="center" wrapText="1"/>
    </xf>
    <xf numFmtId="0" fontId="12" fillId="2" borderId="3" xfId="14" applyFont="1" applyFill="1" applyBorder="1" applyAlignment="1">
      <alignment horizontal="center" vertical="center" wrapText="1"/>
    </xf>
    <xf numFmtId="0" fontId="12" fillId="2" borderId="7" xfId="14" applyFont="1" applyFill="1" applyBorder="1" applyAlignment="1">
      <alignment horizontal="center" vertical="center"/>
    </xf>
    <xf numFmtId="0" fontId="12" fillId="2" borderId="6" xfId="14" applyFont="1" applyFill="1" applyBorder="1" applyAlignment="1">
      <alignment horizontal="center" vertical="center"/>
    </xf>
    <xf numFmtId="0" fontId="5" fillId="0" borderId="3" xfId="14" applyFont="1" applyBorder="1" applyAlignment="1">
      <alignment horizontal="center" vertical="center"/>
    </xf>
    <xf numFmtId="0" fontId="5" fillId="0" borderId="7" xfId="14" applyFont="1" applyBorder="1" applyAlignment="1">
      <alignment horizontal="center" vertical="center"/>
    </xf>
    <xf numFmtId="0" fontId="5" fillId="0" borderId="6" xfId="14" applyFont="1" applyBorder="1" applyAlignment="1">
      <alignment horizontal="center" vertical="center"/>
    </xf>
    <xf numFmtId="0" fontId="12" fillId="2" borderId="3" xfId="14" applyFont="1" applyFill="1" applyBorder="1" applyAlignment="1">
      <alignment horizontal="center" vertical="center"/>
    </xf>
    <xf numFmtId="9" fontId="12" fillId="2" borderId="6" xfId="15" applyFont="1" applyFill="1" applyBorder="1" applyAlignment="1">
      <alignment horizontal="center" vertical="center"/>
    </xf>
    <xf numFmtId="9" fontId="5" fillId="0" borderId="6" xfId="15" applyFont="1" applyBorder="1" applyAlignment="1">
      <alignment horizontal="center" vertical="center"/>
    </xf>
    <xf numFmtId="0" fontId="12" fillId="2" borderId="7" xfId="14" applyFont="1" applyFill="1" applyBorder="1" applyAlignment="1">
      <alignment horizontal="center" vertical="center" wrapText="1"/>
    </xf>
    <xf numFmtId="0" fontId="12" fillId="2" borderId="6" xfId="14" applyFont="1" applyFill="1" applyBorder="1" applyAlignment="1">
      <alignment horizontal="center" vertical="center" wrapText="1"/>
    </xf>
    <xf numFmtId="0" fontId="5" fillId="8" borderId="36" xfId="0" applyFont="1" applyFill="1" applyBorder="1" applyAlignment="1">
      <alignment horizontal="center" vertical="center" wrapText="1"/>
    </xf>
    <xf numFmtId="0" fontId="5" fillId="8" borderId="37" xfId="0" applyFont="1" applyFill="1" applyBorder="1" applyAlignment="1">
      <alignment horizontal="center" vertical="center" wrapText="1"/>
    </xf>
    <xf numFmtId="0" fontId="5" fillId="8" borderId="38" xfId="0" applyFont="1" applyFill="1" applyBorder="1" applyAlignment="1">
      <alignment horizontal="center" vertical="center" wrapText="1"/>
    </xf>
    <xf numFmtId="0" fontId="5" fillId="2" borderId="3" xfId="14" applyFont="1" applyFill="1" applyBorder="1" applyAlignment="1">
      <alignment horizontal="center" vertical="center"/>
    </xf>
    <xf numFmtId="0" fontId="5" fillId="2" borderId="7" xfId="14" applyFont="1" applyFill="1" applyBorder="1" applyAlignment="1">
      <alignment horizontal="center" vertical="center"/>
    </xf>
    <xf numFmtId="0" fontId="5" fillId="2" borderId="6" xfId="14" applyFont="1" applyFill="1" applyBorder="1" applyAlignment="1">
      <alignment horizontal="center" vertical="center"/>
    </xf>
    <xf numFmtId="0" fontId="5" fillId="0" borderId="33" xfId="14" applyFont="1" applyBorder="1" applyAlignment="1">
      <alignment horizontal="center" vertical="center"/>
    </xf>
    <xf numFmtId="0" fontId="5" fillId="0" borderId="34" xfId="14" applyFont="1" applyBorder="1" applyAlignment="1">
      <alignment horizontal="center" vertical="center"/>
    </xf>
    <xf numFmtId="0" fontId="5" fillId="0" borderId="10" xfId="14" applyFont="1" applyBorder="1" applyAlignment="1">
      <alignment horizontal="center" vertical="center"/>
    </xf>
    <xf numFmtId="0" fontId="5" fillId="2" borderId="13" xfId="14" applyFont="1" applyFill="1" applyBorder="1" applyAlignment="1">
      <alignment horizontal="center" vertical="center"/>
    </xf>
    <xf numFmtId="0" fontId="32" fillId="8" borderId="13" xfId="0" applyFont="1" applyFill="1" applyBorder="1" applyAlignment="1">
      <alignment horizontal="center" vertical="center" wrapText="1"/>
    </xf>
    <xf numFmtId="0" fontId="32" fillId="7" borderId="13" xfId="0" applyFont="1" applyFill="1" applyBorder="1" applyAlignment="1">
      <alignment horizontal="center" vertical="center" wrapText="1"/>
    </xf>
    <xf numFmtId="0" fontId="32" fillId="9" borderId="13" xfId="0" applyFont="1" applyFill="1" applyBorder="1" applyAlignment="1">
      <alignment horizontal="center" vertical="center" wrapText="1"/>
    </xf>
    <xf numFmtId="0" fontId="34" fillId="0" borderId="0" xfId="0" applyFont="1" applyAlignment="1">
      <alignment horizontal="center" vertical="center"/>
    </xf>
    <xf numFmtId="0" fontId="32" fillId="10" borderId="13" xfId="0" applyFont="1" applyFill="1" applyBorder="1" applyAlignment="1">
      <alignment horizontal="center" vertical="center" wrapText="1"/>
    </xf>
  </cellXfs>
  <cellStyles count="38">
    <cellStyle name="20% - Énfasis1 2" xfId="33"/>
    <cellStyle name="20% - Énfasis1 2 2" xfId="34"/>
    <cellStyle name="20% - Énfasis3 2" xfId="35"/>
    <cellStyle name="Hipervínculo" xfId="1" builtinId="8"/>
    <cellStyle name="Hipervínculo 2" xfId="20"/>
    <cellStyle name="Millares" xfId="2" builtinId="3"/>
    <cellStyle name="Millares [0]" xfId="3" builtinId="6"/>
    <cellStyle name="Millares [0] 2" xfId="19"/>
    <cellStyle name="Millares 2" xfId="4"/>
    <cellStyle name="Millares 2 2" xfId="17"/>
    <cellStyle name="Millares 2 3" xfId="31"/>
    <cellStyle name="Millares 3" xfId="5"/>
    <cellStyle name="Millares 4" xfId="6"/>
    <cellStyle name="Millares 5" xfId="7"/>
    <cellStyle name="Millares 6" xfId="23"/>
    <cellStyle name="Millares 7" xfId="28"/>
    <cellStyle name="Millares 8" xfId="25"/>
    <cellStyle name="Millares 9" xfId="37"/>
    <cellStyle name="Moneda" xfId="8" builtinId="4"/>
    <cellStyle name="Moneda 2" xfId="29"/>
    <cellStyle name="Moneda 2 2 2 2" xfId="27"/>
    <cellStyle name="Moneda 3" xfId="30"/>
    <cellStyle name="Normal" xfId="0" builtinId="0"/>
    <cellStyle name="Normal 2" xfId="9"/>
    <cellStyle name="Normal 2 2" xfId="10"/>
    <cellStyle name="Normal 2 2 2 2" xfId="26"/>
    <cellStyle name="Normal 2 3" xfId="16"/>
    <cellStyle name="Normal 3" xfId="11"/>
    <cellStyle name="Normal 4" xfId="12"/>
    <cellStyle name="Normal 5" xfId="13"/>
    <cellStyle name="Normal 6" xfId="32"/>
    <cellStyle name="Normal 7" xfId="36"/>
    <cellStyle name="Normal_Bairs_Abaco_Temp_March_15_2010" xfId="21"/>
    <cellStyle name="Normal_Budget 2008-09 NUEVO AJUSTADO enero 14" xfId="14"/>
    <cellStyle name="Normal_Report_Anual_Capital_Trabajo_Temp_2008-2009" xfId="24"/>
    <cellStyle name="Porcentaje 2" xfId="18"/>
    <cellStyle name="Porcentaje 3" xfId="22"/>
    <cellStyle name="Porcentual" xfId="15" builtinId="5"/>
  </cellStyles>
  <dxfs count="200">
    <dxf>
      <font>
        <color rgb="FF9C0006"/>
      </font>
      <fill>
        <patternFill>
          <bgColor rgb="FFFFC7CE"/>
        </patternFill>
      </fill>
    </dxf>
    <dxf>
      <font>
        <b/>
        <i/>
        <condense val="0"/>
        <extend val="0"/>
        <color indexed="9"/>
      </font>
      <fill>
        <patternFill>
          <bgColor indexed="10"/>
        </patternFill>
      </fill>
    </dxf>
    <dxf>
      <font>
        <b/>
        <i/>
        <condense val="0"/>
        <extend val="0"/>
        <color indexed="9"/>
      </font>
      <fill>
        <patternFill>
          <bgColor indexed="10"/>
        </patternFill>
      </fill>
    </dxf>
    <dxf>
      <font>
        <b/>
        <i/>
        <condense val="0"/>
        <extend val="0"/>
        <color indexed="9"/>
      </font>
      <fill>
        <patternFill>
          <bgColor indexed="10"/>
        </patternFill>
      </fill>
    </dxf>
    <dxf>
      <font>
        <b/>
        <i/>
        <color theme="0"/>
      </font>
      <fill>
        <patternFill>
          <bgColor rgb="FFFF0000"/>
        </patternFill>
      </fill>
    </dxf>
    <dxf>
      <font>
        <b/>
        <i/>
        <color theme="0"/>
      </font>
      <fill>
        <patternFill>
          <bgColor rgb="FFFF0000"/>
        </patternFill>
      </fill>
    </dxf>
    <dxf>
      <font>
        <b/>
        <i/>
        <color theme="0"/>
      </font>
      <fill>
        <patternFill>
          <bgColor rgb="FFFF0000"/>
        </patternFill>
      </fill>
    </dxf>
    <dxf>
      <font>
        <b/>
        <i/>
        <color theme="0"/>
      </font>
      <fill>
        <patternFill>
          <bgColor rgb="FFFF0000"/>
        </patternFill>
      </fill>
    </dxf>
    <dxf>
      <font>
        <b/>
        <i/>
        <color theme="0"/>
      </font>
      <fill>
        <patternFill>
          <bgColor rgb="FFFF0000"/>
        </patternFill>
      </fill>
    </dxf>
    <dxf>
      <font>
        <b/>
        <i/>
        <color theme="0"/>
      </font>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b/>
        <i/>
        <color theme="0"/>
      </font>
      <fill>
        <patternFill>
          <bgColor rgb="FFFF0000"/>
        </patternFill>
      </fill>
    </dxf>
    <dxf>
      <font>
        <b/>
        <i/>
        <condense val="0"/>
        <extend val="0"/>
        <color indexed="9"/>
      </font>
      <fill>
        <patternFill>
          <bgColor indexed="10"/>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b/>
        <i/>
        <condense val="0"/>
        <extend val="0"/>
        <color indexed="9"/>
      </font>
      <fill>
        <patternFill>
          <bgColor indexed="10"/>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b/>
        <i/>
        <color theme="0"/>
      </font>
      <fill>
        <patternFill>
          <bgColor rgb="FFFF0000"/>
        </patternFill>
      </fill>
    </dxf>
    <dxf>
      <font>
        <color rgb="FF006100"/>
      </font>
      <fill>
        <patternFill>
          <bgColor rgb="FFC6EFCE"/>
        </patternFill>
      </fill>
    </dxf>
    <dxf>
      <font>
        <b/>
        <i/>
        <condense val="0"/>
        <extend val="0"/>
        <color indexed="9"/>
      </font>
      <fill>
        <patternFill>
          <bgColor indexed="10"/>
        </patternFill>
      </fill>
    </dxf>
    <dxf>
      <font>
        <b/>
        <i/>
        <color theme="0"/>
      </font>
      <fill>
        <patternFill>
          <bgColor rgb="FFFF0000"/>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b/>
        <i/>
        <condense val="0"/>
        <extend val="0"/>
        <color indexed="9"/>
      </font>
      <fill>
        <patternFill>
          <bgColor indexed="10"/>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b/>
        <i/>
        <condense val="0"/>
        <extend val="0"/>
        <color indexed="9"/>
      </font>
      <fill>
        <patternFill>
          <bgColor indexed="1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b/>
        <i/>
        <condense val="0"/>
        <extend val="0"/>
        <color indexed="9"/>
      </font>
      <fill>
        <patternFill>
          <bgColor indexed="1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b/>
        <i/>
        <condense val="0"/>
        <extend val="0"/>
        <color indexed="9"/>
      </font>
      <fill>
        <patternFill>
          <bgColor indexed="1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b/>
        <i/>
        <condense val="0"/>
        <extend val="0"/>
        <color indexed="9"/>
      </font>
      <fill>
        <patternFill>
          <bgColor indexed="1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b/>
        <i/>
        <condense val="0"/>
        <extend val="0"/>
        <color indexed="9"/>
      </font>
      <fill>
        <patternFill>
          <bgColor indexed="10"/>
        </patternFill>
      </fill>
    </dxf>
    <dxf>
      <font>
        <b/>
        <i val="0"/>
        <color rgb="FFFFFF00"/>
      </font>
      <fill>
        <patternFill>
          <bgColor theme="1"/>
        </patternFill>
      </fill>
    </dxf>
    <dxf>
      <font>
        <b/>
        <i val="0"/>
        <color rgb="FFFFFF00"/>
      </font>
      <fill>
        <patternFill>
          <bgColor theme="1"/>
        </patternFill>
      </fill>
    </dxf>
    <dxf>
      <font>
        <b/>
        <i val="0"/>
        <color rgb="FFFFFF00"/>
      </font>
      <fill>
        <patternFill>
          <bgColor theme="1"/>
        </patternFill>
      </fill>
    </dxf>
    <dxf>
      <font>
        <b/>
        <i val="0"/>
        <color rgb="FFFFFF66"/>
      </font>
      <fill>
        <patternFill>
          <bgColor rgb="FF0070C0"/>
        </patternFill>
      </fill>
    </dxf>
    <dxf>
      <font>
        <color rgb="FFFF0000"/>
      </font>
    </dxf>
    <dxf>
      <font>
        <color rgb="FFFF0000"/>
      </font>
    </dxf>
    <dxf>
      <font>
        <b val="0"/>
        <i val="0"/>
        <color rgb="FFFF0000"/>
      </font>
    </dxf>
    <dxf>
      <font>
        <b/>
        <i val="0"/>
        <color rgb="FFFFFF00"/>
      </font>
      <fill>
        <patternFill>
          <bgColor theme="1"/>
        </patternFill>
      </fill>
    </dxf>
    <dxf>
      <font>
        <b/>
        <i val="0"/>
        <color rgb="FFFFFF66"/>
      </font>
      <fill>
        <patternFill>
          <bgColor rgb="FF0070C0"/>
        </patternFill>
      </fill>
    </dxf>
    <dxf>
      <font>
        <color rgb="FFFF0000"/>
      </font>
    </dxf>
    <dxf>
      <font>
        <color rgb="FFFF0000"/>
      </font>
    </dxf>
    <dxf>
      <font>
        <b val="0"/>
        <i val="0"/>
        <color rgb="FFFF0000"/>
      </font>
    </dxf>
    <dxf>
      <font>
        <b/>
        <i val="0"/>
        <color rgb="FFFFFF00"/>
      </font>
      <fill>
        <patternFill>
          <bgColor theme="1"/>
        </patternFill>
      </fill>
    </dxf>
    <dxf>
      <font>
        <b/>
        <i val="0"/>
        <color rgb="FFFFFF00"/>
      </font>
      <fill>
        <patternFill>
          <bgColor theme="1"/>
        </patternFill>
      </fill>
    </dxf>
    <dxf>
      <font>
        <color theme="0"/>
      </font>
      <fill>
        <patternFill>
          <bgColor rgb="FFFF0000"/>
        </patternFill>
      </fill>
      <border>
        <left style="thin">
          <color indexed="64"/>
        </left>
        <right style="thin">
          <color indexed="64"/>
        </right>
        <top style="thin">
          <color indexed="64"/>
        </top>
        <bottom style="thin">
          <color indexed="64"/>
        </bottom>
      </border>
    </dxf>
    <dxf>
      <font>
        <b/>
        <i/>
        <color rgb="FFFF0000"/>
      </font>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b/>
        <i/>
        <condense val="0"/>
        <extend val="0"/>
        <color indexed="9"/>
      </font>
      <fill>
        <patternFill>
          <bgColor indexed="1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b/>
        <i/>
        <condense val="0"/>
        <extend val="0"/>
        <color indexed="9"/>
      </font>
      <fill>
        <patternFill>
          <bgColor indexed="1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63AAFE"/>
      <rgbColor rgb="00DD2D32"/>
      <rgbColor rgb="00FFF58C"/>
      <rgbColor rgb="004EE257"/>
      <rgbColor rgb="006711FF"/>
      <rgbColor rgb="00FEA746"/>
      <rgbColor rgb="00865357"/>
      <rgbColor rgb="00A2BD90"/>
      <rgbColor rgb="0063AAFE"/>
      <rgbColor rgb="00DD2D32"/>
      <rgbColor rgb="00FFF58C"/>
      <rgbColor rgb="004EE257"/>
      <rgbColor rgb="006711FF"/>
      <rgbColor rgb="00FEA746"/>
      <rgbColor rgb="00865357"/>
      <rgbColor rgb="00A2BD90"/>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theme" Target="theme/theme1.xml"/><Relationship Id="rId40"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sheet1.xml><?xml version="1.0" encoding="utf-8"?>
<worksheet xmlns="http://schemas.openxmlformats.org/spreadsheetml/2006/main" xmlns:r="http://schemas.openxmlformats.org/officeDocument/2006/relationships">
  <sheetPr codeName="Sheet1"/>
  <dimension ref="A1"/>
  <sheetViews>
    <sheetView workbookViewId="0">
      <selection activeCell="C30" sqref="C30"/>
    </sheetView>
  </sheetViews>
  <sheetFormatPr baseColWidth="10" defaultColWidth="11.453125" defaultRowHeight="12.5"/>
  <sheetData/>
  <pageMargins left="0.7" right="0.7" top="0.75" bottom="0.75" header="0.3" footer="0.3"/>
  <pageSetup orientation="portrait" horizontalDpi="4294967295" verticalDpi="4294967295" r:id="rId1"/>
</worksheet>
</file>

<file path=xl/worksheets/sheet2.xml><?xml version="1.0" encoding="utf-8"?>
<worksheet xmlns="http://schemas.openxmlformats.org/spreadsheetml/2006/main" xmlns:r="http://schemas.openxmlformats.org/officeDocument/2006/relationships">
  <sheetPr codeName="Sheet2"/>
  <dimension ref="A1:IV3108"/>
  <sheetViews>
    <sheetView zoomScale="55" zoomScaleNormal="55" workbookViewId="0">
      <selection activeCell="A13" sqref="A13:A28"/>
    </sheetView>
  </sheetViews>
  <sheetFormatPr baseColWidth="10" defaultColWidth="10.81640625" defaultRowHeight="12.5"/>
  <cols>
    <col min="1" max="1" width="31.453125" style="10" customWidth="1"/>
    <col min="2" max="2" width="24.36328125" style="4" bestFit="1" customWidth="1"/>
    <col min="3" max="3" width="3.453125" style="4" bestFit="1" customWidth="1"/>
    <col min="4" max="4" width="13.1796875" style="133" bestFit="1" customWidth="1"/>
    <col min="5" max="5" width="33.1796875" style="361" bestFit="1" customWidth="1"/>
    <col min="6" max="6" width="10.81640625" style="152" bestFit="1" customWidth="1"/>
    <col min="7" max="7" width="39.453125" style="4" bestFit="1" customWidth="1"/>
    <col min="8" max="8" width="15.36328125" style="4" bestFit="1" customWidth="1"/>
    <col min="9" max="9" width="22.453125" style="196" bestFit="1" customWidth="1"/>
    <col min="10" max="10" width="19.1796875" style="196" bestFit="1" customWidth="1"/>
    <col min="11" max="11" width="20.1796875" style="196" bestFit="1" customWidth="1"/>
    <col min="12" max="12" width="13.1796875" style="454" bestFit="1" customWidth="1"/>
    <col min="13" max="13" width="18.81640625" style="4" customWidth="1"/>
    <col min="14" max="14" width="12.453125" style="133" bestFit="1" customWidth="1"/>
    <col min="15" max="15" width="28.1796875" style="4" bestFit="1" customWidth="1"/>
    <col min="16" max="16" width="36.1796875" style="4" customWidth="1"/>
    <col min="17" max="17" width="46.1796875" style="4" customWidth="1"/>
    <col min="18" max="18" width="31" style="4" customWidth="1"/>
    <col min="19" max="19" width="15.81640625" style="4" customWidth="1"/>
    <col min="20" max="20" width="21.81640625" style="4" customWidth="1"/>
    <col min="21" max="21" width="38.81640625" style="4" customWidth="1"/>
    <col min="22" max="22" width="35.81640625" style="4" customWidth="1"/>
    <col min="23" max="23" width="8.1796875" style="4" customWidth="1"/>
    <col min="24" max="24" width="9.1796875" style="4" customWidth="1"/>
    <col min="25" max="25" width="10.81640625" style="4" customWidth="1"/>
    <col min="26" max="26" width="11.453125" style="4" customWidth="1"/>
    <col min="27" max="27" width="3" style="4" customWidth="1"/>
    <col min="28" max="28" width="10.81640625" style="4" customWidth="1"/>
    <col min="29" max="29" width="11.453125" style="4" customWidth="1"/>
    <col min="30" max="30" width="20" style="4" customWidth="1"/>
    <col min="31" max="31" width="4.1796875" style="4" customWidth="1"/>
    <col min="32" max="32" width="23.453125" style="4" customWidth="1"/>
    <col min="33" max="33" width="42.81640625" style="4" customWidth="1"/>
    <col min="34" max="34" width="17.1796875" style="4" customWidth="1"/>
    <col min="35" max="35" width="35.1796875" style="4" customWidth="1"/>
    <col min="36" max="36" width="17.1796875" style="4" customWidth="1"/>
    <col min="37" max="37" width="24.453125" style="4" customWidth="1"/>
    <col min="38" max="39" width="42.453125" style="4" customWidth="1"/>
    <col min="40" max="40" width="8.453125" style="4" customWidth="1"/>
    <col min="41" max="16384" width="10.81640625" style="4"/>
  </cols>
  <sheetData>
    <row r="1" spans="1:40">
      <c r="A1" s="361"/>
      <c r="B1" s="361"/>
      <c r="C1" s="361"/>
      <c r="D1" s="361"/>
      <c r="G1" s="152"/>
      <c r="J1" s="196">
        <f>SUM(J2:J5)</f>
        <v>200020.27494408868</v>
      </c>
      <c r="K1" s="196">
        <f>+J1-J9</f>
        <v>0</v>
      </c>
      <c r="L1" s="196"/>
      <c r="M1" s="196"/>
      <c r="N1" s="196"/>
    </row>
    <row r="2" spans="1:40" ht="13">
      <c r="A2" s="361"/>
      <c r="B2" s="361"/>
      <c r="C2" s="361"/>
      <c r="D2" s="361"/>
      <c r="G2" s="305" t="s">
        <v>140</v>
      </c>
      <c r="I2" s="726" t="s">
        <v>676</v>
      </c>
      <c r="J2" s="196">
        <f>+SUMIF($D$10:$D$1038,I2,$J$10:$J$1038)</f>
        <v>148947.59930306303</v>
      </c>
      <c r="K2" s="196">
        <f ca="1">+J2-Resumen_Base!J220</f>
        <v>0</v>
      </c>
      <c r="L2" s="196"/>
      <c r="M2" s="196"/>
      <c r="N2" s="196"/>
    </row>
    <row r="3" spans="1:40" ht="13">
      <c r="A3" s="361"/>
      <c r="B3" s="361"/>
      <c r="C3" s="361"/>
      <c r="D3" s="361"/>
      <c r="G3" s="305" t="s">
        <v>152</v>
      </c>
      <c r="I3" s="726" t="s">
        <v>670</v>
      </c>
      <c r="J3" s="196">
        <f>+SUMIF($D$10:$D$1038,I3,$J$10:$J$1038)</f>
        <v>23309.960000000017</v>
      </c>
      <c r="K3" s="196">
        <f ca="1">+J3-Resumen_Base!J28</f>
        <v>0</v>
      </c>
      <c r="L3" s="196"/>
      <c r="M3" s="196"/>
      <c r="N3" s="196"/>
    </row>
    <row r="4" spans="1:40" ht="13">
      <c r="A4" s="361"/>
      <c r="B4" s="361"/>
      <c r="C4" s="361"/>
      <c r="D4" s="361"/>
      <c r="G4" s="305" t="s">
        <v>155</v>
      </c>
      <c r="I4" s="726" t="s">
        <v>675</v>
      </c>
      <c r="J4" s="196">
        <f>+SUMIF($D$10:$D$1038,I4,$J$10:$J$1038)</f>
        <v>27762.715641025639</v>
      </c>
      <c r="K4" s="196">
        <f ca="1">+J4-Resumen_Base!J93</f>
        <v>0</v>
      </c>
      <c r="L4" s="196"/>
      <c r="M4" s="196"/>
      <c r="N4" s="196"/>
    </row>
    <row r="5" spans="1:40">
      <c r="A5" s="361"/>
      <c r="B5" s="361"/>
      <c r="C5" s="361"/>
      <c r="D5" s="361"/>
      <c r="L5" s="196"/>
      <c r="M5" s="196"/>
      <c r="N5" s="196"/>
    </row>
    <row r="6" spans="1:40" ht="13" thickBot="1">
      <c r="A6" s="361"/>
      <c r="B6" s="361"/>
      <c r="C6" s="361"/>
      <c r="D6" s="361"/>
      <c r="L6" s="196"/>
      <c r="M6" s="196"/>
      <c r="N6" s="196"/>
    </row>
    <row r="7" spans="1:40" ht="13.5" thickBot="1">
      <c r="A7" s="361"/>
      <c r="B7" s="361"/>
      <c r="C7" s="361"/>
      <c r="D7" s="361"/>
      <c r="G7" s="110" t="str">
        <f>+IF(I7+J7=0,"Ok","Check")</f>
        <v>Ok</v>
      </c>
      <c r="I7" s="195">
        <f>ROUND(SUM(I10:I3108),0)</f>
        <v>0</v>
      </c>
      <c r="J7" s="511">
        <f>ROUND(SUM(J10:J3108),0)</f>
        <v>0</v>
      </c>
      <c r="L7" s="196"/>
      <c r="M7" s="196"/>
      <c r="N7" s="196"/>
    </row>
    <row r="8" spans="1:40" ht="13.5" thickBot="1">
      <c r="A8" s="361"/>
      <c r="B8" s="361"/>
      <c r="C8" s="10"/>
      <c r="D8" s="9" t="s">
        <v>77</v>
      </c>
      <c r="E8" s="361" t="s">
        <v>142</v>
      </c>
      <c r="G8" s="110" t="str">
        <f ca="1">+Resumen_Base!D1</f>
        <v>Ok</v>
      </c>
      <c r="L8" s="196"/>
      <c r="M8" s="196"/>
      <c r="N8" s="196"/>
    </row>
    <row r="9" spans="1:40" ht="13.5" thickBot="1">
      <c r="A9" s="361"/>
      <c r="B9" s="361" t="str">
        <f>+F9&amp;G9</f>
        <v/>
      </c>
      <c r="C9" s="9" t="s">
        <v>87</v>
      </c>
      <c r="D9" s="133" t="e">
        <f>+VLOOKUP(F9,Resumen_Base!$C$8:$F$26,4,0)</f>
        <v>#N/A</v>
      </c>
      <c r="E9" s="664" t="e">
        <f>+VLOOKUP(F9,Resumen_Base!$C$8:$G$287,5,0)</f>
        <v>#N/A</v>
      </c>
      <c r="H9" s="4" t="e">
        <f>+D9&amp;F9</f>
        <v>#N/A</v>
      </c>
      <c r="I9" s="195">
        <f>SUM(I10:I1038)</f>
        <v>310376808.59000015</v>
      </c>
      <c r="J9" s="511">
        <f>SUM(J10:J1038)</f>
        <v>200020.27494408848</v>
      </c>
      <c r="L9" s="196"/>
      <c r="M9" s="196"/>
      <c r="N9" s="196"/>
    </row>
    <row r="10" spans="1:40" ht="29">
      <c r="A10" s="685" t="s">
        <v>733</v>
      </c>
      <c r="B10" s="13" t="s">
        <v>126</v>
      </c>
      <c r="C10" s="10"/>
      <c r="D10" s="13" t="s">
        <v>75</v>
      </c>
      <c r="E10" s="13" t="s">
        <v>76</v>
      </c>
      <c r="F10" s="13" t="s">
        <v>2749</v>
      </c>
      <c r="G10" s="13" t="s">
        <v>2750</v>
      </c>
      <c r="H10" s="7"/>
      <c r="I10" s="13" t="s">
        <v>2751</v>
      </c>
      <c r="J10" s="13" t="s">
        <v>2752</v>
      </c>
      <c r="K10" s="13" t="s">
        <v>2753</v>
      </c>
      <c r="L10" s="13" t="s">
        <v>18</v>
      </c>
      <c r="M10" s="13" t="s">
        <v>2754</v>
      </c>
      <c r="N10" s="13" t="s">
        <v>2755</v>
      </c>
      <c r="O10" s="13" t="s">
        <v>2756</v>
      </c>
      <c r="P10" s="13" t="s">
        <v>2757</v>
      </c>
      <c r="Q10" s="13" t="s">
        <v>2758</v>
      </c>
      <c r="R10" s="13" t="s">
        <v>2759</v>
      </c>
      <c r="S10" s="13" t="s">
        <v>2760</v>
      </c>
      <c r="T10" s="13" t="s">
        <v>2761</v>
      </c>
      <c r="U10" s="13" t="s">
        <v>9</v>
      </c>
      <c r="V10" s="13" t="s">
        <v>8</v>
      </c>
      <c r="W10" s="13" t="s">
        <v>7</v>
      </c>
      <c r="X10" s="13" t="s">
        <v>21</v>
      </c>
      <c r="Y10" s="7"/>
      <c r="Z10" s="7" t="s">
        <v>20</v>
      </c>
      <c r="AA10" s="7" t="s">
        <v>19</v>
      </c>
      <c r="AC10" s="212" t="s">
        <v>18</v>
      </c>
      <c r="AD10" s="212" t="s">
        <v>17</v>
      </c>
      <c r="AE10" s="212" t="s">
        <v>16</v>
      </c>
      <c r="AF10" s="212" t="s">
        <v>15</v>
      </c>
      <c r="AG10" s="212" t="s">
        <v>14</v>
      </c>
      <c r="AH10" s="212" t="s">
        <v>13</v>
      </c>
      <c r="AI10" s="212" t="s">
        <v>12</v>
      </c>
      <c r="AJ10" s="212" t="s">
        <v>11</v>
      </c>
      <c r="AK10" s="212" t="s">
        <v>10</v>
      </c>
      <c r="AL10" s="306" t="s">
        <v>9</v>
      </c>
      <c r="AM10" s="212" t="s">
        <v>8</v>
      </c>
      <c r="AN10" s="212" t="s">
        <v>7</v>
      </c>
    </row>
    <row r="12" spans="1:40" customFormat="1" ht="25">
      <c r="A12" s="10"/>
      <c r="B12" s="4"/>
      <c r="C12" s="4"/>
      <c r="D12" s="133" t="s">
        <v>670</v>
      </c>
      <c r="E12" s="664" t="str">
        <f>+VLOOKUP(F12,Resumen_Base!$C$8:$G$287,5,0)</f>
        <v>Fixed Asset's Payments (Investments) Mejoras/equipamiento Lodge</v>
      </c>
      <c r="F12" s="152" t="s">
        <v>50</v>
      </c>
      <c r="G12" s="4" t="s">
        <v>51</v>
      </c>
      <c r="H12" s="4" t="str">
        <f t="shared" ref="H12:H75" si="0">+D12&amp;F12</f>
        <v>SJ12020103</v>
      </c>
      <c r="I12" s="196">
        <v>903319.3</v>
      </c>
      <c r="J12" s="196">
        <v>649.87</v>
      </c>
      <c r="K12" s="196">
        <v>1390</v>
      </c>
      <c r="L12" s="454" t="s">
        <v>899</v>
      </c>
      <c r="M12" s="4" t="s">
        <v>780</v>
      </c>
      <c r="N12" s="133" t="s">
        <v>781</v>
      </c>
      <c r="O12" s="4" t="s">
        <v>943</v>
      </c>
      <c r="P12" s="4" t="s">
        <v>892</v>
      </c>
      <c r="Q12" s="4" t="s">
        <v>944</v>
      </c>
      <c r="R12" s="4" t="s">
        <v>948</v>
      </c>
      <c r="S12" s="4" t="s">
        <v>946</v>
      </c>
      <c r="T12" s="4" t="s">
        <v>786</v>
      </c>
    </row>
    <row r="13" spans="1:40" customFormat="1" ht="25">
      <c r="A13" s="883" t="s">
        <v>2812</v>
      </c>
      <c r="B13" s="4"/>
      <c r="C13" s="4"/>
      <c r="D13" s="474" t="s">
        <v>675</v>
      </c>
      <c r="E13" s="664" t="str">
        <f>+VLOOKUP(F13,Resumen_Base!$C$8:$G$287,5,0)</f>
        <v>Fixed Asset's Payments (Investments) Mejoras/equipamiento Lodge</v>
      </c>
      <c r="F13" s="152" t="s">
        <v>50</v>
      </c>
      <c r="G13" s="4" t="s">
        <v>51</v>
      </c>
      <c r="H13" s="4" t="str">
        <f t="shared" si="0"/>
        <v>UL12020103</v>
      </c>
      <c r="I13" s="196">
        <v>9230000</v>
      </c>
      <c r="J13" s="196">
        <v>6500</v>
      </c>
      <c r="K13" s="196">
        <v>1420</v>
      </c>
      <c r="L13" s="454" t="s">
        <v>1113</v>
      </c>
      <c r="M13" s="4" t="s">
        <v>780</v>
      </c>
      <c r="N13" s="133" t="s">
        <v>781</v>
      </c>
      <c r="O13" s="4" t="s">
        <v>1114</v>
      </c>
      <c r="P13" s="4" t="s">
        <v>892</v>
      </c>
      <c r="Q13" s="4" t="s">
        <v>1115</v>
      </c>
      <c r="R13" s="4" t="s">
        <v>1118</v>
      </c>
      <c r="S13" s="4" t="s">
        <v>1117</v>
      </c>
      <c r="T13" s="4" t="s">
        <v>786</v>
      </c>
    </row>
    <row r="14" spans="1:40" customFormat="1" ht="25">
      <c r="A14" s="883"/>
      <c r="B14" s="4"/>
      <c r="C14" s="4"/>
      <c r="D14" s="474" t="s">
        <v>675</v>
      </c>
      <c r="E14" s="664" t="str">
        <f>+VLOOKUP(F14,Resumen_Base!$C$8:$G$287,5,0)</f>
        <v>Fixed Asset's Payments (Investments) Mejoras/equipamiento Lodge</v>
      </c>
      <c r="F14" s="152" t="s">
        <v>50</v>
      </c>
      <c r="G14" s="4" t="s">
        <v>51</v>
      </c>
      <c r="H14" s="4" t="str">
        <f t="shared" si="0"/>
        <v>UL12020103</v>
      </c>
      <c r="I14" s="196">
        <v>1420</v>
      </c>
      <c r="J14" s="196">
        <v>1</v>
      </c>
      <c r="K14" s="196">
        <v>1420</v>
      </c>
      <c r="L14" s="454" t="s">
        <v>1081</v>
      </c>
      <c r="M14" s="4" t="s">
        <v>780</v>
      </c>
      <c r="N14" s="133" t="s">
        <v>781</v>
      </c>
      <c r="O14" s="4" t="s">
        <v>1141</v>
      </c>
      <c r="P14" s="4" t="s">
        <v>892</v>
      </c>
      <c r="Q14" s="4" t="s">
        <v>1142</v>
      </c>
      <c r="R14" s="4" t="s">
        <v>953</v>
      </c>
      <c r="S14" s="4" t="s">
        <v>1144</v>
      </c>
      <c r="T14" s="4" t="s">
        <v>786</v>
      </c>
    </row>
    <row r="15" spans="1:40" customFormat="1" ht="25">
      <c r="A15" s="883"/>
      <c r="B15" s="4"/>
      <c r="C15" s="4"/>
      <c r="D15" s="474" t="s">
        <v>675</v>
      </c>
      <c r="E15" s="664" t="str">
        <f>+VLOOKUP(F15,Resumen_Base!$C$8:$G$287,5,0)</f>
        <v>Fixed Asset's Payments (Investments) Mejoras/equipamiento Lodge</v>
      </c>
      <c r="F15" s="152" t="s">
        <v>50</v>
      </c>
      <c r="G15" s="4" t="s">
        <v>51</v>
      </c>
      <c r="H15" s="4" t="str">
        <f t="shared" si="0"/>
        <v>UL12020103</v>
      </c>
      <c r="I15" s="196">
        <v>284000</v>
      </c>
      <c r="J15" s="196">
        <v>200</v>
      </c>
      <c r="K15" s="196">
        <v>1420</v>
      </c>
      <c r="L15" s="454" t="s">
        <v>1081</v>
      </c>
      <c r="M15" s="4" t="s">
        <v>780</v>
      </c>
      <c r="N15" s="133" t="s">
        <v>781</v>
      </c>
      <c r="O15" s="4" t="s">
        <v>1141</v>
      </c>
      <c r="P15" s="4" t="s">
        <v>892</v>
      </c>
      <c r="Q15" s="4" t="s">
        <v>1142</v>
      </c>
      <c r="R15" s="4" t="s">
        <v>1148</v>
      </c>
      <c r="S15" s="4" t="s">
        <v>1144</v>
      </c>
      <c r="T15" s="4" t="s">
        <v>786</v>
      </c>
    </row>
    <row r="16" spans="1:40" customFormat="1" ht="25">
      <c r="A16" s="883"/>
      <c r="B16" s="4"/>
      <c r="C16" s="4"/>
      <c r="D16" s="474" t="s">
        <v>675</v>
      </c>
      <c r="E16" s="664" t="str">
        <f>+VLOOKUP(F16,Resumen_Base!$C$8:$G$287,5,0)</f>
        <v>Fixed Asset's Payments (Investments) Mejoras/equipamiento Lodge</v>
      </c>
      <c r="F16" s="152" t="s">
        <v>50</v>
      </c>
      <c r="G16" s="4" t="s">
        <v>51</v>
      </c>
      <c r="H16" s="4" t="str">
        <f t="shared" si="0"/>
        <v>UL12020103</v>
      </c>
      <c r="I16" s="196">
        <v>710000</v>
      </c>
      <c r="J16" s="196">
        <v>500</v>
      </c>
      <c r="K16" s="196">
        <v>1420</v>
      </c>
      <c r="L16" s="454" t="s">
        <v>1081</v>
      </c>
      <c r="M16" s="4" t="s">
        <v>780</v>
      </c>
      <c r="N16" s="133" t="s">
        <v>781</v>
      </c>
      <c r="O16" s="4" t="s">
        <v>1141</v>
      </c>
      <c r="P16" s="4" t="s">
        <v>892</v>
      </c>
      <c r="Q16" s="4" t="s">
        <v>1142</v>
      </c>
      <c r="R16" s="4" t="s">
        <v>1148</v>
      </c>
      <c r="S16" s="4" t="s">
        <v>1144</v>
      </c>
      <c r="T16" s="4" t="s">
        <v>786</v>
      </c>
    </row>
    <row r="17" spans="1:20" customFormat="1" ht="25">
      <c r="A17" s="883"/>
      <c r="B17" s="4"/>
      <c r="C17" s="4"/>
      <c r="D17" s="474" t="s">
        <v>675</v>
      </c>
      <c r="E17" s="664" t="str">
        <f>+VLOOKUP(F17,Resumen_Base!$C$8:$G$287,5,0)</f>
        <v>Fixed Asset's Payments (Investments) Mejoras/equipamiento Lodge</v>
      </c>
      <c r="F17" s="152" t="s">
        <v>50</v>
      </c>
      <c r="G17" s="4" t="s">
        <v>51</v>
      </c>
      <c r="H17" s="4" t="str">
        <f t="shared" si="0"/>
        <v>UL12020103</v>
      </c>
      <c r="I17" s="196">
        <v>1420</v>
      </c>
      <c r="J17" s="196">
        <v>1</v>
      </c>
      <c r="K17" s="196">
        <v>1420</v>
      </c>
      <c r="L17" s="454" t="s">
        <v>1081</v>
      </c>
      <c r="M17" s="4" t="s">
        <v>780</v>
      </c>
      <c r="N17" s="133" t="s">
        <v>781</v>
      </c>
      <c r="O17" s="4" t="s">
        <v>1141</v>
      </c>
      <c r="P17" s="4" t="s">
        <v>892</v>
      </c>
      <c r="Q17" s="4" t="s">
        <v>1142</v>
      </c>
      <c r="R17" s="4" t="s">
        <v>953</v>
      </c>
      <c r="S17" s="4" t="s">
        <v>1144</v>
      </c>
      <c r="T17" s="4" t="s">
        <v>786</v>
      </c>
    </row>
    <row r="18" spans="1:20" customFormat="1" ht="25">
      <c r="A18" s="883"/>
      <c r="B18" s="4"/>
      <c r="C18" s="4"/>
      <c r="D18" s="474" t="s">
        <v>675</v>
      </c>
      <c r="E18" s="664" t="str">
        <f>+VLOOKUP(F18,Resumen_Base!$C$8:$G$287,5,0)</f>
        <v>Fixed Asset's Payments (Investments) Mejoras/equipamiento Lodge</v>
      </c>
      <c r="F18" s="152" t="s">
        <v>50</v>
      </c>
      <c r="G18" s="4" t="s">
        <v>51</v>
      </c>
      <c r="H18" s="4" t="str">
        <f t="shared" si="0"/>
        <v>UL12020103</v>
      </c>
      <c r="I18" s="196">
        <v>710000</v>
      </c>
      <c r="J18" s="196">
        <v>500</v>
      </c>
      <c r="K18" s="196">
        <v>1420</v>
      </c>
      <c r="L18" s="454" t="s">
        <v>1098</v>
      </c>
      <c r="M18" s="4" t="s">
        <v>780</v>
      </c>
      <c r="N18" s="133" t="s">
        <v>781</v>
      </c>
      <c r="O18" s="4" t="s">
        <v>1175</v>
      </c>
      <c r="P18" s="4" t="s">
        <v>892</v>
      </c>
      <c r="Q18" s="4" t="s">
        <v>1176</v>
      </c>
      <c r="R18" s="4" t="s">
        <v>1177</v>
      </c>
      <c r="S18" s="4" t="s">
        <v>1178</v>
      </c>
      <c r="T18" s="4" t="s">
        <v>786</v>
      </c>
    </row>
    <row r="19" spans="1:20" customFormat="1" ht="25">
      <c r="A19" s="883"/>
      <c r="B19" s="4"/>
      <c r="C19" s="4"/>
      <c r="D19" s="474" t="s">
        <v>675</v>
      </c>
      <c r="E19" s="664" t="str">
        <f>+VLOOKUP(F19,Resumen_Base!$C$8:$G$287,5,0)</f>
        <v>Fixed Asset's Payments (Investments) Mejoras/equipamiento Lodge</v>
      </c>
      <c r="F19" s="152" t="s">
        <v>50</v>
      </c>
      <c r="G19" s="4" t="s">
        <v>51</v>
      </c>
      <c r="H19" s="4" t="str">
        <f t="shared" si="0"/>
        <v>UL12020103</v>
      </c>
      <c r="I19" s="196">
        <v>710000</v>
      </c>
      <c r="J19" s="196">
        <v>500</v>
      </c>
      <c r="K19" s="196">
        <v>1420</v>
      </c>
      <c r="L19" s="454" t="s">
        <v>1098</v>
      </c>
      <c r="M19" s="4" t="s">
        <v>780</v>
      </c>
      <c r="N19" s="133" t="s">
        <v>781</v>
      </c>
      <c r="O19" s="4" t="s">
        <v>1175</v>
      </c>
      <c r="P19" s="4" t="s">
        <v>892</v>
      </c>
      <c r="Q19" s="4" t="s">
        <v>1176</v>
      </c>
      <c r="R19" s="4" t="s">
        <v>1177</v>
      </c>
      <c r="S19" s="4" t="s">
        <v>1178</v>
      </c>
      <c r="T19" s="4" t="s">
        <v>786</v>
      </c>
    </row>
    <row r="20" spans="1:20" customFormat="1" ht="25">
      <c r="A20" s="883"/>
      <c r="B20" s="4"/>
      <c r="C20" s="4"/>
      <c r="D20" s="474" t="s">
        <v>675</v>
      </c>
      <c r="E20" s="664" t="str">
        <f>+VLOOKUP(F20,Resumen_Base!$C$8:$G$287,5,0)</f>
        <v>Fixed Asset's Payments (Investments) Mejoras/equipamiento Lodge</v>
      </c>
      <c r="F20" s="152" t="s">
        <v>50</v>
      </c>
      <c r="G20" s="4" t="s">
        <v>51</v>
      </c>
      <c r="H20" s="4" t="str">
        <f t="shared" si="0"/>
        <v>UL12020103</v>
      </c>
      <c r="I20" s="196">
        <v>710000</v>
      </c>
      <c r="J20" s="196">
        <v>500</v>
      </c>
      <c r="K20" s="196">
        <v>1420</v>
      </c>
      <c r="L20" s="454" t="s">
        <v>1098</v>
      </c>
      <c r="M20" s="4" t="s">
        <v>780</v>
      </c>
      <c r="N20" s="133" t="s">
        <v>781</v>
      </c>
      <c r="O20" s="4" t="s">
        <v>1175</v>
      </c>
      <c r="P20" s="4" t="s">
        <v>892</v>
      </c>
      <c r="Q20" s="4" t="s">
        <v>1176</v>
      </c>
      <c r="R20" s="4" t="s">
        <v>1177</v>
      </c>
      <c r="S20" s="4" t="s">
        <v>1178</v>
      </c>
      <c r="T20" s="4" t="s">
        <v>786</v>
      </c>
    </row>
    <row r="21" spans="1:20" customFormat="1" ht="25">
      <c r="A21" s="883"/>
      <c r="B21" s="4"/>
      <c r="C21" s="4"/>
      <c r="D21" s="474" t="s">
        <v>675</v>
      </c>
      <c r="E21" s="664" t="str">
        <f>+VLOOKUP(F21,Resumen_Base!$C$8:$G$287,5,0)</f>
        <v>Fixed Asset's Payments (Investments) Mejoras/equipamiento Lodge</v>
      </c>
      <c r="F21" s="152" t="s">
        <v>50</v>
      </c>
      <c r="G21" s="4" t="s">
        <v>51</v>
      </c>
      <c r="H21" s="4" t="str">
        <f t="shared" si="0"/>
        <v>UL12020103</v>
      </c>
      <c r="I21" s="196">
        <v>1420</v>
      </c>
      <c r="J21" s="196">
        <v>1</v>
      </c>
      <c r="K21" s="196">
        <v>1420</v>
      </c>
      <c r="L21" s="454" t="s">
        <v>1098</v>
      </c>
      <c r="M21" s="4" t="s">
        <v>780</v>
      </c>
      <c r="N21" s="133" t="s">
        <v>781</v>
      </c>
      <c r="O21" s="4" t="s">
        <v>1175</v>
      </c>
      <c r="P21" s="4" t="s">
        <v>892</v>
      </c>
      <c r="Q21" s="4" t="s">
        <v>1176</v>
      </c>
      <c r="R21" s="4" t="s">
        <v>1177</v>
      </c>
      <c r="S21" s="4" t="s">
        <v>1178</v>
      </c>
      <c r="T21" s="4" t="s">
        <v>786</v>
      </c>
    </row>
    <row r="22" spans="1:20" customFormat="1" ht="25">
      <c r="A22" s="883"/>
      <c r="B22" s="4"/>
      <c r="C22" s="4"/>
      <c r="D22" s="474" t="s">
        <v>675</v>
      </c>
      <c r="E22" s="664" t="str">
        <f>+VLOOKUP(F22,Resumen_Base!$C$8:$G$287,5,0)</f>
        <v>Fixed Asset's Payments (Investments) Mejoras/equipamiento Lodge</v>
      </c>
      <c r="F22" s="152" t="s">
        <v>50</v>
      </c>
      <c r="G22" s="4" t="s">
        <v>51</v>
      </c>
      <c r="H22" s="4" t="str">
        <f t="shared" si="0"/>
        <v>UL12020103</v>
      </c>
      <c r="I22" s="196">
        <v>710000</v>
      </c>
      <c r="J22" s="196">
        <v>500</v>
      </c>
      <c r="K22" s="196">
        <v>1420</v>
      </c>
      <c r="L22" s="454" t="s">
        <v>1098</v>
      </c>
      <c r="M22" s="4" t="s">
        <v>780</v>
      </c>
      <c r="N22" s="133" t="s">
        <v>781</v>
      </c>
      <c r="O22" s="4" t="s">
        <v>1175</v>
      </c>
      <c r="P22" s="4" t="s">
        <v>892</v>
      </c>
      <c r="Q22" s="4" t="s">
        <v>1176</v>
      </c>
      <c r="R22" s="4" t="s">
        <v>1177</v>
      </c>
      <c r="S22" s="4" t="s">
        <v>1178</v>
      </c>
      <c r="T22" s="4" t="s">
        <v>786</v>
      </c>
    </row>
    <row r="23" spans="1:20" customFormat="1" ht="25">
      <c r="A23" s="883"/>
      <c r="B23" s="4"/>
      <c r="C23" s="4"/>
      <c r="D23" s="474" t="s">
        <v>675</v>
      </c>
      <c r="E23" s="664" t="str">
        <f>+VLOOKUP(F23,Resumen_Base!$C$8:$G$287,5,0)</f>
        <v>Fixed Asset's Payments (Investments) Mejoras/equipamiento Lodge</v>
      </c>
      <c r="F23" s="152" t="s">
        <v>50</v>
      </c>
      <c r="G23" s="4" t="s">
        <v>51</v>
      </c>
      <c r="H23" s="4" t="str">
        <f t="shared" si="0"/>
        <v>UL12020103</v>
      </c>
      <c r="I23" s="196">
        <v>1420</v>
      </c>
      <c r="J23" s="196">
        <v>1</v>
      </c>
      <c r="K23" s="196">
        <v>1420</v>
      </c>
      <c r="L23" s="454" t="s">
        <v>1098</v>
      </c>
      <c r="M23" s="4" t="s">
        <v>780</v>
      </c>
      <c r="N23" s="133" t="s">
        <v>781</v>
      </c>
      <c r="O23" s="4" t="s">
        <v>1175</v>
      </c>
      <c r="P23" s="4" t="s">
        <v>892</v>
      </c>
      <c r="Q23" s="4" t="s">
        <v>1176</v>
      </c>
      <c r="R23" s="4" t="s">
        <v>1177</v>
      </c>
      <c r="S23" s="4" t="s">
        <v>1178</v>
      </c>
      <c r="T23" s="4" t="s">
        <v>786</v>
      </c>
    </row>
    <row r="24" spans="1:20" customFormat="1" ht="25">
      <c r="A24" s="883"/>
      <c r="B24" s="4"/>
      <c r="C24" s="4"/>
      <c r="D24" s="474" t="s">
        <v>675</v>
      </c>
      <c r="E24" s="664" t="str">
        <f>+VLOOKUP(F24,Resumen_Base!$C$8:$G$287,5,0)</f>
        <v>Fixed Asset's Payments (Investments) Mejoras/equipamiento Lodge</v>
      </c>
      <c r="F24" s="152" t="s">
        <v>50</v>
      </c>
      <c r="G24" s="4" t="s">
        <v>51</v>
      </c>
      <c r="H24" s="4" t="str">
        <f t="shared" si="0"/>
        <v>UL12020103</v>
      </c>
      <c r="I24" s="196">
        <v>7395360</v>
      </c>
      <c r="J24" s="196">
        <v>5208</v>
      </c>
      <c r="K24" s="196">
        <v>1420</v>
      </c>
      <c r="L24" s="454" t="s">
        <v>1205</v>
      </c>
      <c r="M24" s="4" t="s">
        <v>780</v>
      </c>
      <c r="N24" s="133" t="s">
        <v>781</v>
      </c>
      <c r="O24" s="4" t="s">
        <v>1214</v>
      </c>
      <c r="P24" s="4" t="s">
        <v>892</v>
      </c>
      <c r="Q24" s="4" t="s">
        <v>1215</v>
      </c>
      <c r="R24" s="4" t="s">
        <v>1216</v>
      </c>
      <c r="S24" s="4" t="s">
        <v>1217</v>
      </c>
      <c r="T24" s="4" t="s">
        <v>786</v>
      </c>
    </row>
    <row r="25" spans="1:20" customFormat="1" ht="25">
      <c r="A25" s="883"/>
      <c r="B25" s="4"/>
      <c r="C25" s="4"/>
      <c r="D25" s="474" t="s">
        <v>675</v>
      </c>
      <c r="E25" s="664" t="str">
        <f>+VLOOKUP(F25,Resumen_Base!$C$8:$G$287,5,0)</f>
        <v>Fixed Asset's Payments (Investments) Mejoras/equipamiento Lodge</v>
      </c>
      <c r="F25" s="152" t="s">
        <v>50</v>
      </c>
      <c r="G25" s="4" t="s">
        <v>51</v>
      </c>
      <c r="H25" s="4" t="str">
        <f t="shared" si="0"/>
        <v>UL12020103</v>
      </c>
      <c r="I25" s="196">
        <v>2130000</v>
      </c>
      <c r="J25" s="196">
        <v>1500</v>
      </c>
      <c r="K25" s="196">
        <v>1420</v>
      </c>
      <c r="L25" s="454" t="s">
        <v>1205</v>
      </c>
      <c r="M25" s="4" t="s">
        <v>780</v>
      </c>
      <c r="N25" s="133" t="s">
        <v>781</v>
      </c>
      <c r="O25" s="4" t="s">
        <v>1214</v>
      </c>
      <c r="P25" s="4" t="s">
        <v>892</v>
      </c>
      <c r="Q25" s="4" t="s">
        <v>1215</v>
      </c>
      <c r="R25" s="4" t="s">
        <v>1218</v>
      </c>
      <c r="S25" s="4" t="s">
        <v>1217</v>
      </c>
      <c r="T25" s="4" t="s">
        <v>786</v>
      </c>
    </row>
    <row r="26" spans="1:20" customFormat="1" ht="25">
      <c r="A26" s="883"/>
      <c r="B26" s="4"/>
      <c r="C26" s="4"/>
      <c r="D26" s="474" t="s">
        <v>675</v>
      </c>
      <c r="E26" s="664" t="str">
        <f>+VLOOKUP(F26,Resumen_Base!$C$8:$G$287,5,0)</f>
        <v>Fixed Asset's Payments (Investments) Mejoras/equipamiento Lodge</v>
      </c>
      <c r="F26" s="152" t="s">
        <v>50</v>
      </c>
      <c r="G26" s="4" t="s">
        <v>51</v>
      </c>
      <c r="H26" s="4" t="str">
        <f t="shared" si="0"/>
        <v>UL12020103</v>
      </c>
      <c r="I26" s="196">
        <v>5680000</v>
      </c>
      <c r="J26" s="196">
        <v>4000</v>
      </c>
      <c r="K26" s="196">
        <v>1420</v>
      </c>
      <c r="L26" s="454" t="s">
        <v>1205</v>
      </c>
      <c r="M26" s="4" t="s">
        <v>780</v>
      </c>
      <c r="N26" s="133" t="s">
        <v>781</v>
      </c>
      <c r="O26" s="4" t="s">
        <v>1214</v>
      </c>
      <c r="P26" s="4" t="s">
        <v>892</v>
      </c>
      <c r="Q26" s="4" t="s">
        <v>1215</v>
      </c>
      <c r="R26" s="4" t="s">
        <v>1219</v>
      </c>
      <c r="S26" s="4" t="s">
        <v>1217</v>
      </c>
      <c r="T26" s="4" t="s">
        <v>786</v>
      </c>
    </row>
    <row r="27" spans="1:20" customFormat="1" ht="25">
      <c r="A27" s="883"/>
      <c r="B27" s="4"/>
      <c r="C27" s="4"/>
      <c r="D27" s="474" t="s">
        <v>675</v>
      </c>
      <c r="E27" s="664" t="str">
        <f>+VLOOKUP(F27,Resumen_Base!$C$8:$G$287,5,0)</f>
        <v>Fixed Asset's Payments (Investments) Mejoras/equipamiento Lodge</v>
      </c>
      <c r="F27" s="152" t="s">
        <v>50</v>
      </c>
      <c r="G27" s="4" t="s">
        <v>51</v>
      </c>
      <c r="H27" s="4" t="str">
        <f t="shared" si="0"/>
        <v>UL12020103</v>
      </c>
      <c r="I27" s="196">
        <v>2712.2</v>
      </c>
      <c r="J27" s="196">
        <v>1.91</v>
      </c>
      <c r="K27" s="196">
        <v>1420</v>
      </c>
      <c r="L27" s="454" t="s">
        <v>1205</v>
      </c>
      <c r="M27" s="4" t="s">
        <v>780</v>
      </c>
      <c r="N27" s="133" t="s">
        <v>781</v>
      </c>
      <c r="O27" s="4" t="s">
        <v>1226</v>
      </c>
      <c r="P27" s="4" t="s">
        <v>892</v>
      </c>
      <c r="Q27" s="4" t="s">
        <v>1227</v>
      </c>
      <c r="R27" s="4" t="s">
        <v>953</v>
      </c>
      <c r="S27" s="4" t="s">
        <v>1228</v>
      </c>
      <c r="T27" s="4" t="s">
        <v>786</v>
      </c>
    </row>
    <row r="28" spans="1:20" customFormat="1" ht="25">
      <c r="A28" s="883"/>
      <c r="B28" s="4"/>
      <c r="C28" s="4"/>
      <c r="D28" s="474" t="s">
        <v>675</v>
      </c>
      <c r="E28" s="664" t="str">
        <f>+VLOOKUP(F28,Resumen_Base!$C$8:$G$287,5,0)</f>
        <v>Fixed Asset's Payments (Investments) Mejoras/equipamiento Lodge</v>
      </c>
      <c r="F28" s="152" t="s">
        <v>50</v>
      </c>
      <c r="G28" s="4" t="s">
        <v>51</v>
      </c>
      <c r="H28" s="4" t="str">
        <f t="shared" si="0"/>
        <v>UL12020103</v>
      </c>
      <c r="I28" s="196">
        <v>139742.20000000001</v>
      </c>
      <c r="J28" s="196">
        <v>98.41</v>
      </c>
      <c r="K28" s="196">
        <v>1420</v>
      </c>
      <c r="L28" s="454" t="s">
        <v>1205</v>
      </c>
      <c r="M28" s="4" t="s">
        <v>780</v>
      </c>
      <c r="N28" s="133" t="s">
        <v>781</v>
      </c>
      <c r="O28" s="4" t="s">
        <v>1226</v>
      </c>
      <c r="P28" s="4" t="s">
        <v>892</v>
      </c>
      <c r="Q28" s="4" t="s">
        <v>1227</v>
      </c>
      <c r="R28" s="4" t="s">
        <v>1230</v>
      </c>
      <c r="S28" s="4" t="s">
        <v>1228</v>
      </c>
      <c r="T28" s="4" t="s">
        <v>786</v>
      </c>
    </row>
    <row r="29" spans="1:20" customFormat="1" ht="25">
      <c r="A29" s="10"/>
      <c r="B29" s="4"/>
      <c r="C29" s="4"/>
      <c r="D29" s="133" t="s">
        <v>675</v>
      </c>
      <c r="E29" s="664" t="str">
        <f>+VLOOKUP(F29,Resumen_Base!$C$8:$G$287,5,0)</f>
        <v>Fixed Asset's Payments (Investments) Mejoras/equipamiento Lodge</v>
      </c>
      <c r="F29" s="152" t="s">
        <v>50</v>
      </c>
      <c r="G29" s="4" t="s">
        <v>51</v>
      </c>
      <c r="H29" s="4" t="str">
        <f t="shared" si="0"/>
        <v>UL12020103</v>
      </c>
      <c r="I29" s="196">
        <v>7300000</v>
      </c>
      <c r="J29" s="196">
        <v>5000</v>
      </c>
      <c r="K29" s="196">
        <v>1460</v>
      </c>
      <c r="L29" s="454" t="s">
        <v>1049</v>
      </c>
      <c r="M29" s="4" t="s">
        <v>780</v>
      </c>
      <c r="N29" s="133" t="s">
        <v>1272</v>
      </c>
      <c r="O29" s="4" t="s">
        <v>1332</v>
      </c>
      <c r="P29" s="4" t="s">
        <v>892</v>
      </c>
      <c r="Q29" s="4" t="s">
        <v>1333</v>
      </c>
      <c r="R29" s="4" t="s">
        <v>1334</v>
      </c>
      <c r="S29" s="4" t="s">
        <v>1335</v>
      </c>
      <c r="T29" s="4" t="s">
        <v>786</v>
      </c>
    </row>
    <row r="30" spans="1:20" customFormat="1" ht="25">
      <c r="A30" s="10"/>
      <c r="B30" s="4"/>
      <c r="C30" s="4"/>
      <c r="D30" s="133" t="s">
        <v>675</v>
      </c>
      <c r="E30" s="664" t="str">
        <f>+VLOOKUP(F30,Resumen_Base!$C$8:$G$287,5,0)</f>
        <v>Fixed Asset's Payments (Investments) Mejoras/equipamiento Lodge</v>
      </c>
      <c r="F30" s="152" t="s">
        <v>50</v>
      </c>
      <c r="G30" s="4" t="s">
        <v>51</v>
      </c>
      <c r="H30" s="4" t="str">
        <f t="shared" si="0"/>
        <v>UL12020103</v>
      </c>
      <c r="I30" s="196">
        <v>418900</v>
      </c>
      <c r="J30" s="196">
        <v>295</v>
      </c>
      <c r="K30" s="196">
        <v>1420</v>
      </c>
      <c r="L30" s="454" t="s">
        <v>1081</v>
      </c>
      <c r="M30" s="4" t="s">
        <v>780</v>
      </c>
      <c r="N30" s="133" t="s">
        <v>1272</v>
      </c>
      <c r="O30" s="4" t="s">
        <v>1353</v>
      </c>
      <c r="P30" s="4" t="s">
        <v>892</v>
      </c>
      <c r="Q30" s="4" t="s">
        <v>1354</v>
      </c>
      <c r="R30" s="4" t="s">
        <v>1358</v>
      </c>
      <c r="S30" s="4" t="s">
        <v>1356</v>
      </c>
      <c r="T30" s="4" t="s">
        <v>786</v>
      </c>
    </row>
    <row r="31" spans="1:20" customFormat="1" ht="25">
      <c r="A31" s="10"/>
      <c r="B31" s="4"/>
      <c r="C31" s="4"/>
      <c r="D31" s="133" t="s">
        <v>675</v>
      </c>
      <c r="E31" s="664" t="str">
        <f>+VLOOKUP(F31,Resumen_Base!$C$8:$G$287,5,0)</f>
        <v>Fixed Asset's Payments (Investments) Mejoras/equipamiento Lodge</v>
      </c>
      <c r="F31" s="152" t="s">
        <v>50</v>
      </c>
      <c r="G31" s="4" t="s">
        <v>51</v>
      </c>
      <c r="H31" s="4" t="str">
        <f t="shared" si="0"/>
        <v>UL12020103</v>
      </c>
      <c r="I31" s="196">
        <v>1420</v>
      </c>
      <c r="J31" s="196">
        <v>1</v>
      </c>
      <c r="K31" s="196">
        <v>1420</v>
      </c>
      <c r="L31" s="454" t="s">
        <v>1081</v>
      </c>
      <c r="M31" s="4" t="s">
        <v>780</v>
      </c>
      <c r="N31" s="133" t="s">
        <v>1272</v>
      </c>
      <c r="O31" s="4" t="s">
        <v>1353</v>
      </c>
      <c r="P31" s="4" t="s">
        <v>892</v>
      </c>
      <c r="Q31" s="4" t="s">
        <v>1354</v>
      </c>
      <c r="R31" s="4" t="s">
        <v>1357</v>
      </c>
      <c r="S31" s="4" t="s">
        <v>1356</v>
      </c>
      <c r="T31" s="4" t="s">
        <v>786</v>
      </c>
    </row>
    <row r="32" spans="1:20" customFormat="1" ht="25">
      <c r="A32" s="10"/>
      <c r="B32" s="4"/>
      <c r="C32" s="4"/>
      <c r="D32" s="133" t="s">
        <v>675</v>
      </c>
      <c r="E32" s="664" t="str">
        <f>+VLOOKUP(F32,Resumen_Base!$C$8:$G$287,5,0)</f>
        <v>Fixed Asset's Payments (Investments) Mejoras/equipamiento Lodge</v>
      </c>
      <c r="F32" s="152" t="s">
        <v>50</v>
      </c>
      <c r="G32" s="4" t="s">
        <v>51</v>
      </c>
      <c r="H32" s="4" t="str">
        <f t="shared" si="0"/>
        <v>UL12020103</v>
      </c>
      <c r="I32" s="196">
        <v>710000</v>
      </c>
      <c r="J32" s="196">
        <v>500</v>
      </c>
      <c r="K32" s="196">
        <v>1420</v>
      </c>
      <c r="L32" s="454" t="s">
        <v>1081</v>
      </c>
      <c r="M32" s="4" t="s">
        <v>780</v>
      </c>
      <c r="N32" s="133" t="s">
        <v>1272</v>
      </c>
      <c r="O32" s="4" t="s">
        <v>1353</v>
      </c>
      <c r="P32" s="4" t="s">
        <v>892</v>
      </c>
      <c r="Q32" s="4" t="s">
        <v>1354</v>
      </c>
      <c r="R32" s="4" t="s">
        <v>1359</v>
      </c>
      <c r="S32" s="4" t="s">
        <v>1356</v>
      </c>
      <c r="T32" s="4" t="s">
        <v>786</v>
      </c>
    </row>
    <row r="33" spans="1:20" customFormat="1" ht="25">
      <c r="A33" s="10"/>
      <c r="B33" s="4"/>
      <c r="C33" s="4"/>
      <c r="D33" s="133" t="s">
        <v>675</v>
      </c>
      <c r="E33" s="664" t="str">
        <f>+VLOOKUP(F33,Resumen_Base!$C$8:$G$287,5,0)</f>
        <v>Fixed Asset's Payments (Investments) Mejoras/equipamiento Lodge</v>
      </c>
      <c r="F33" s="152" t="s">
        <v>50</v>
      </c>
      <c r="G33" s="4" t="s">
        <v>51</v>
      </c>
      <c r="H33" s="4" t="str">
        <f t="shared" si="0"/>
        <v>UL12020103</v>
      </c>
      <c r="I33" s="196">
        <v>1420</v>
      </c>
      <c r="J33" s="196">
        <v>1</v>
      </c>
      <c r="K33" s="196">
        <v>1420</v>
      </c>
      <c r="L33" s="454" t="s">
        <v>1081</v>
      </c>
      <c r="M33" s="4" t="s">
        <v>780</v>
      </c>
      <c r="N33" s="133" t="s">
        <v>1272</v>
      </c>
      <c r="O33" s="4" t="s">
        <v>1353</v>
      </c>
      <c r="P33" s="4" t="s">
        <v>892</v>
      </c>
      <c r="Q33" s="4" t="s">
        <v>1354</v>
      </c>
      <c r="R33" s="4" t="s">
        <v>1357</v>
      </c>
      <c r="S33" s="4" t="s">
        <v>1356</v>
      </c>
      <c r="T33" s="4" t="s">
        <v>786</v>
      </c>
    </row>
    <row r="34" spans="1:20" customFormat="1" ht="25">
      <c r="A34" s="10"/>
      <c r="B34" s="4"/>
      <c r="C34" s="4"/>
      <c r="D34" s="133" t="s">
        <v>675</v>
      </c>
      <c r="E34" s="664" t="str">
        <f>+VLOOKUP(F34,Resumen_Base!$C$8:$G$287,5,0)</f>
        <v>Fixed Asset's Payments (Investments) Mejoras/equipamiento Lodge</v>
      </c>
      <c r="F34" s="152" t="s">
        <v>50</v>
      </c>
      <c r="G34" s="4" t="s">
        <v>51</v>
      </c>
      <c r="H34" s="4" t="str">
        <f t="shared" si="0"/>
        <v>UL12020103</v>
      </c>
      <c r="I34" s="196">
        <v>1420</v>
      </c>
      <c r="J34" s="196">
        <v>1</v>
      </c>
      <c r="K34" s="196">
        <v>1420</v>
      </c>
      <c r="L34" s="454" t="s">
        <v>1081</v>
      </c>
      <c r="M34" s="4" t="s">
        <v>780</v>
      </c>
      <c r="N34" s="133" t="s">
        <v>1272</v>
      </c>
      <c r="O34" s="4" t="s">
        <v>1353</v>
      </c>
      <c r="P34" s="4" t="s">
        <v>892</v>
      </c>
      <c r="Q34" s="4" t="s">
        <v>1354</v>
      </c>
      <c r="R34" s="4" t="s">
        <v>1357</v>
      </c>
      <c r="S34" s="4" t="s">
        <v>1356</v>
      </c>
      <c r="T34" s="4" t="s">
        <v>786</v>
      </c>
    </row>
    <row r="35" spans="1:20" customFormat="1" ht="25">
      <c r="A35" s="10"/>
      <c r="B35" s="4"/>
      <c r="C35" s="4"/>
      <c r="D35" s="133" t="s">
        <v>675</v>
      </c>
      <c r="E35" s="664" t="str">
        <f>+VLOOKUP(F35,Resumen_Base!$C$8:$G$287,5,0)</f>
        <v>Fixed Asset's Payments (Investments) Mejoras/equipamiento Lodge</v>
      </c>
      <c r="F35" s="152" t="s">
        <v>50</v>
      </c>
      <c r="G35" s="4" t="s">
        <v>51</v>
      </c>
      <c r="H35" s="4" t="str">
        <f t="shared" si="0"/>
        <v>UL12020103</v>
      </c>
      <c r="I35" s="196">
        <v>710000</v>
      </c>
      <c r="J35" s="196">
        <v>500</v>
      </c>
      <c r="K35" s="196">
        <v>1420</v>
      </c>
      <c r="L35" s="454" t="s">
        <v>1081</v>
      </c>
      <c r="M35" s="4" t="s">
        <v>780</v>
      </c>
      <c r="N35" s="133" t="s">
        <v>1272</v>
      </c>
      <c r="O35" s="4" t="s">
        <v>1353</v>
      </c>
      <c r="P35" s="4" t="s">
        <v>892</v>
      </c>
      <c r="Q35" s="4" t="s">
        <v>1354</v>
      </c>
      <c r="R35" s="4" t="s">
        <v>1355</v>
      </c>
      <c r="S35" s="4" t="s">
        <v>1356</v>
      </c>
      <c r="T35" s="4" t="s">
        <v>786</v>
      </c>
    </row>
    <row r="36" spans="1:20" customFormat="1" ht="25">
      <c r="A36" s="10"/>
      <c r="B36" s="4"/>
      <c r="C36" s="4"/>
      <c r="D36" s="133" t="s">
        <v>675</v>
      </c>
      <c r="E36" s="664" t="str">
        <f>+VLOOKUP(F36,Resumen_Base!$C$8:$G$287,5,0)</f>
        <v>Fixed Asset's Payments (Investments) Mejoras/equipamiento Lodge</v>
      </c>
      <c r="F36" s="152" t="s">
        <v>50</v>
      </c>
      <c r="G36" s="4" t="s">
        <v>51</v>
      </c>
      <c r="H36" s="4" t="str">
        <f t="shared" si="0"/>
        <v>UL12020103</v>
      </c>
      <c r="I36" s="196">
        <v>1420000</v>
      </c>
      <c r="J36" s="196">
        <v>1000</v>
      </c>
      <c r="K36" s="196">
        <v>1420</v>
      </c>
      <c r="L36" s="454" t="s">
        <v>1081</v>
      </c>
      <c r="M36" s="4" t="s">
        <v>780</v>
      </c>
      <c r="N36" s="133" t="s">
        <v>1272</v>
      </c>
      <c r="O36" s="4" t="s">
        <v>1353</v>
      </c>
      <c r="P36" s="4" t="s">
        <v>892</v>
      </c>
      <c r="Q36" s="4" t="s">
        <v>1354</v>
      </c>
      <c r="R36" s="4" t="s">
        <v>1360</v>
      </c>
      <c r="S36" s="4" t="s">
        <v>1356</v>
      </c>
      <c r="T36" s="4" t="s">
        <v>786</v>
      </c>
    </row>
    <row r="37" spans="1:20" customFormat="1" ht="25">
      <c r="A37" s="10"/>
      <c r="B37" s="4"/>
      <c r="C37" s="4"/>
      <c r="D37" s="133" t="s">
        <v>676</v>
      </c>
      <c r="E37" s="664" t="str">
        <f>+VLOOKUP(F37,Resumen_Base!$C$8:$G$287,5,0)</f>
        <v>Fixed Asset's Payments (Investments) Mejoras/equipamiento Lodge</v>
      </c>
      <c r="F37" s="152" t="s">
        <v>50</v>
      </c>
      <c r="G37" s="4" t="s">
        <v>51</v>
      </c>
      <c r="H37" s="4" t="str">
        <f t="shared" si="0"/>
        <v>CAR12020103</v>
      </c>
      <c r="I37" s="196">
        <v>1579200</v>
      </c>
      <c r="J37" s="196">
        <v>1120</v>
      </c>
      <c r="K37" s="196">
        <v>1410</v>
      </c>
      <c r="L37" s="454" t="s">
        <v>899</v>
      </c>
      <c r="M37" s="4" t="s">
        <v>780</v>
      </c>
      <c r="N37" s="133" t="s">
        <v>1407</v>
      </c>
      <c r="O37" s="4" t="s">
        <v>1620</v>
      </c>
      <c r="P37" s="4" t="s">
        <v>892</v>
      </c>
      <c r="Q37" s="4" t="s">
        <v>1621</v>
      </c>
      <c r="R37" s="4" t="s">
        <v>1663</v>
      </c>
      <c r="S37" s="4" t="s">
        <v>1623</v>
      </c>
      <c r="T37" s="4" t="s">
        <v>786</v>
      </c>
    </row>
    <row r="38" spans="1:20" customFormat="1" ht="25">
      <c r="A38" s="10"/>
      <c r="B38" s="4"/>
      <c r="C38" s="4"/>
      <c r="D38" s="133" t="s">
        <v>676</v>
      </c>
      <c r="E38" s="664" t="str">
        <f>+VLOOKUP(F38,Resumen_Base!$C$8:$G$287,5,0)</f>
        <v>Fixed Asset's Payments (Investments) Mejoras/equipamiento Lodge</v>
      </c>
      <c r="F38" s="152" t="s">
        <v>50</v>
      </c>
      <c r="G38" s="4" t="s">
        <v>51</v>
      </c>
      <c r="H38" s="4" t="str">
        <f t="shared" si="0"/>
        <v>CAR12020103</v>
      </c>
      <c r="I38" s="196">
        <v>2820</v>
      </c>
      <c r="J38" s="196">
        <v>2</v>
      </c>
      <c r="K38" s="196">
        <v>1410</v>
      </c>
      <c r="L38" s="454" t="s">
        <v>890</v>
      </c>
      <c r="M38" s="4" t="s">
        <v>780</v>
      </c>
      <c r="N38" s="133" t="s">
        <v>1407</v>
      </c>
      <c r="O38" s="4" t="s">
        <v>1789</v>
      </c>
      <c r="P38" s="4" t="s">
        <v>892</v>
      </c>
      <c r="Q38" s="4" t="s">
        <v>1790</v>
      </c>
      <c r="R38" s="4" t="s">
        <v>1461</v>
      </c>
      <c r="S38" s="4" t="s">
        <v>1792</v>
      </c>
      <c r="T38" s="4" t="s">
        <v>786</v>
      </c>
    </row>
    <row r="39" spans="1:20" customFormat="1" ht="25">
      <c r="A39" s="10"/>
      <c r="B39" s="4"/>
      <c r="C39" s="4"/>
      <c r="D39" s="133" t="s">
        <v>676</v>
      </c>
      <c r="E39" s="664" t="str">
        <f>+VLOOKUP(F39,Resumen_Base!$C$8:$G$287,5,0)</f>
        <v>Fixed Asset's Payments (Investments) Mejoras/equipamiento Lodge</v>
      </c>
      <c r="F39" s="152" t="s">
        <v>50</v>
      </c>
      <c r="G39" s="4" t="s">
        <v>51</v>
      </c>
      <c r="H39" s="4" t="str">
        <f t="shared" si="0"/>
        <v>CAR12020103</v>
      </c>
      <c r="I39" s="196">
        <v>9165000</v>
      </c>
      <c r="J39" s="196">
        <v>6500</v>
      </c>
      <c r="K39" s="196">
        <v>1410</v>
      </c>
      <c r="L39" s="454" t="s">
        <v>890</v>
      </c>
      <c r="M39" s="4" t="s">
        <v>780</v>
      </c>
      <c r="N39" s="133" t="s">
        <v>1407</v>
      </c>
      <c r="O39" s="4" t="s">
        <v>1789</v>
      </c>
      <c r="P39" s="4" t="s">
        <v>892</v>
      </c>
      <c r="Q39" s="4" t="s">
        <v>1790</v>
      </c>
      <c r="R39" s="4" t="s">
        <v>1793</v>
      </c>
      <c r="S39" s="4" t="s">
        <v>1792</v>
      </c>
      <c r="T39" s="4" t="s">
        <v>786</v>
      </c>
    </row>
    <row r="40" spans="1:20" customFormat="1" ht="25">
      <c r="A40" s="10"/>
      <c r="B40" s="4"/>
      <c r="C40" s="4"/>
      <c r="D40" s="133" t="s">
        <v>676</v>
      </c>
      <c r="E40" s="664" t="str">
        <f>+VLOOKUP(F40,Resumen_Base!$C$8:$G$287,5,0)</f>
        <v>Fixed Asset's Payments (Investments) Mejoras/equipamiento Lodge</v>
      </c>
      <c r="F40" s="152" t="s">
        <v>50</v>
      </c>
      <c r="G40" s="4" t="s">
        <v>51</v>
      </c>
      <c r="H40" s="4" t="str">
        <f t="shared" si="0"/>
        <v>CAR12020103</v>
      </c>
      <c r="I40" s="196">
        <v>-9750000</v>
      </c>
      <c r="J40" s="196">
        <v>-6500</v>
      </c>
      <c r="K40" s="196">
        <v>1500</v>
      </c>
      <c r="L40" s="454" t="s">
        <v>2120</v>
      </c>
      <c r="M40" s="4" t="s">
        <v>780</v>
      </c>
      <c r="N40" s="133" t="s">
        <v>1407</v>
      </c>
      <c r="O40" s="4" t="s">
        <v>2121</v>
      </c>
      <c r="P40" s="4" t="s">
        <v>892</v>
      </c>
      <c r="Q40" s="4" t="s">
        <v>2122</v>
      </c>
      <c r="R40" s="4"/>
      <c r="S40" s="4" t="s">
        <v>2123</v>
      </c>
      <c r="T40" s="4" t="s">
        <v>786</v>
      </c>
    </row>
    <row r="41" spans="1:20" s="730" customFormat="1" ht="25">
      <c r="A41" s="734" t="s">
        <v>3389</v>
      </c>
      <c r="B41" s="219"/>
      <c r="C41" s="219"/>
      <c r="D41" s="717" t="s">
        <v>676</v>
      </c>
      <c r="E41" s="375" t="str">
        <f>+VLOOKUP(F41,Resumen_Base!$C$8:$G$287,5,0)</f>
        <v>Fixed Asset's Payments (Investments) Mejoras/equipamiento Lodge</v>
      </c>
      <c r="F41" s="360" t="s">
        <v>50</v>
      </c>
      <c r="G41" s="219" t="s">
        <v>51</v>
      </c>
      <c r="H41" s="219" t="str">
        <f t="shared" si="0"/>
        <v>CAR12020103</v>
      </c>
      <c r="I41" s="718">
        <v>101941.8</v>
      </c>
      <c r="J41" s="718">
        <v>71.790000000000006</v>
      </c>
      <c r="K41" s="718">
        <v>1420</v>
      </c>
      <c r="L41" s="719" t="s">
        <v>1113</v>
      </c>
      <c r="M41" s="219" t="s">
        <v>780</v>
      </c>
      <c r="N41" s="717" t="s">
        <v>1407</v>
      </c>
      <c r="O41" s="219" t="s">
        <v>1114</v>
      </c>
      <c r="P41" s="219" t="s">
        <v>892</v>
      </c>
      <c r="Q41" s="219" t="s">
        <v>1115</v>
      </c>
      <c r="R41" s="219" t="s">
        <v>2380</v>
      </c>
      <c r="S41" s="219" t="s">
        <v>1117</v>
      </c>
      <c r="T41" s="219" t="s">
        <v>786</v>
      </c>
    </row>
    <row r="42" spans="1:20" s="730" customFormat="1" ht="25">
      <c r="A42" s="734" t="s">
        <v>3389</v>
      </c>
      <c r="B42" s="219"/>
      <c r="C42" s="219"/>
      <c r="D42" s="717" t="s">
        <v>676</v>
      </c>
      <c r="E42" s="375" t="str">
        <f>+VLOOKUP(F42,Resumen_Base!$C$8:$G$287,5,0)</f>
        <v>Fixed Asset's Payments (Investments) Mejoras/equipamiento Lodge</v>
      </c>
      <c r="F42" s="360" t="s">
        <v>50</v>
      </c>
      <c r="G42" s="219" t="s">
        <v>51</v>
      </c>
      <c r="H42" s="219" t="str">
        <f t="shared" si="0"/>
        <v>CAR12020103</v>
      </c>
      <c r="I42" s="718">
        <v>4260000</v>
      </c>
      <c r="J42" s="718">
        <v>3000</v>
      </c>
      <c r="K42" s="718">
        <v>1420</v>
      </c>
      <c r="L42" s="719" t="s">
        <v>1113</v>
      </c>
      <c r="M42" s="219" t="s">
        <v>780</v>
      </c>
      <c r="N42" s="717" t="s">
        <v>1407</v>
      </c>
      <c r="O42" s="219" t="s">
        <v>1114</v>
      </c>
      <c r="P42" s="219" t="s">
        <v>892</v>
      </c>
      <c r="Q42" s="219" t="s">
        <v>1115</v>
      </c>
      <c r="R42" s="219" t="s">
        <v>2381</v>
      </c>
      <c r="S42" s="219" t="s">
        <v>1117</v>
      </c>
      <c r="T42" s="219" t="s">
        <v>786</v>
      </c>
    </row>
    <row r="43" spans="1:20" s="730" customFormat="1" ht="25">
      <c r="A43" s="734" t="s">
        <v>3389</v>
      </c>
      <c r="B43" s="219"/>
      <c r="C43" s="219"/>
      <c r="D43" s="717" t="s">
        <v>676</v>
      </c>
      <c r="E43" s="375" t="str">
        <f>+VLOOKUP(F43,Resumen_Base!$C$8:$G$287,5,0)</f>
        <v>Fixed Asset's Payments (Investments) Mejoras/equipamiento Lodge</v>
      </c>
      <c r="F43" s="360" t="s">
        <v>50</v>
      </c>
      <c r="G43" s="219" t="s">
        <v>51</v>
      </c>
      <c r="H43" s="219" t="str">
        <f t="shared" si="0"/>
        <v>CAR12020103</v>
      </c>
      <c r="I43" s="718">
        <v>5212820</v>
      </c>
      <c r="J43" s="718">
        <v>3671</v>
      </c>
      <c r="K43" s="718">
        <v>1420</v>
      </c>
      <c r="L43" s="719" t="s">
        <v>1113</v>
      </c>
      <c r="M43" s="219" t="s">
        <v>780</v>
      </c>
      <c r="N43" s="717" t="s">
        <v>1407</v>
      </c>
      <c r="O43" s="219" t="s">
        <v>1114</v>
      </c>
      <c r="P43" s="219" t="s">
        <v>892</v>
      </c>
      <c r="Q43" s="219" t="s">
        <v>1115</v>
      </c>
      <c r="R43" s="219" t="s">
        <v>2384</v>
      </c>
      <c r="S43" s="219" t="s">
        <v>1117</v>
      </c>
      <c r="T43" s="219" t="s">
        <v>786</v>
      </c>
    </row>
    <row r="44" spans="1:20" s="730" customFormat="1" ht="25">
      <c r="A44" s="734" t="s">
        <v>3389</v>
      </c>
      <c r="B44" s="219"/>
      <c r="C44" s="219"/>
      <c r="D44" s="717" t="s">
        <v>676</v>
      </c>
      <c r="E44" s="375" t="str">
        <f>+VLOOKUP(F44,Resumen_Base!$C$8:$G$287,5,0)</f>
        <v>Fixed Asset's Payments (Investments) Mejoras/equipamiento Lodge</v>
      </c>
      <c r="F44" s="360" t="s">
        <v>50</v>
      </c>
      <c r="G44" s="219" t="s">
        <v>51</v>
      </c>
      <c r="H44" s="219" t="str">
        <f t="shared" si="0"/>
        <v>CAR12020103</v>
      </c>
      <c r="I44" s="718">
        <v>291284.59999999998</v>
      </c>
      <c r="J44" s="718">
        <v>205.13</v>
      </c>
      <c r="K44" s="718">
        <v>1420</v>
      </c>
      <c r="L44" s="719" t="s">
        <v>1113</v>
      </c>
      <c r="M44" s="219" t="s">
        <v>780</v>
      </c>
      <c r="N44" s="717" t="s">
        <v>1407</v>
      </c>
      <c r="O44" s="219" t="s">
        <v>1114</v>
      </c>
      <c r="P44" s="219" t="s">
        <v>892</v>
      </c>
      <c r="Q44" s="219" t="s">
        <v>1115</v>
      </c>
      <c r="R44" s="219" t="s">
        <v>2385</v>
      </c>
      <c r="S44" s="219" t="s">
        <v>1117</v>
      </c>
      <c r="T44" s="219" t="s">
        <v>786</v>
      </c>
    </row>
    <row r="45" spans="1:20" s="730" customFormat="1" ht="25">
      <c r="A45" s="734" t="s">
        <v>3389</v>
      </c>
      <c r="B45" s="219"/>
      <c r="C45" s="219"/>
      <c r="D45" s="717" t="s">
        <v>676</v>
      </c>
      <c r="E45" s="375" t="str">
        <f>+VLOOKUP(F45,Resumen_Base!$C$8:$G$287,5,0)</f>
        <v>Fixed Asset's Payments (Investments) Mejoras/equipamiento Lodge</v>
      </c>
      <c r="F45" s="360" t="s">
        <v>50</v>
      </c>
      <c r="G45" s="219" t="s">
        <v>51</v>
      </c>
      <c r="H45" s="219" t="str">
        <f t="shared" si="0"/>
        <v>CAR12020103</v>
      </c>
      <c r="I45" s="718">
        <v>889104.6</v>
      </c>
      <c r="J45" s="718">
        <v>626.13</v>
      </c>
      <c r="K45" s="718">
        <v>1420</v>
      </c>
      <c r="L45" s="719" t="s">
        <v>1113</v>
      </c>
      <c r="M45" s="219" t="s">
        <v>780</v>
      </c>
      <c r="N45" s="717" t="s">
        <v>1407</v>
      </c>
      <c r="O45" s="219" t="s">
        <v>1114</v>
      </c>
      <c r="P45" s="219" t="s">
        <v>892</v>
      </c>
      <c r="Q45" s="219" t="s">
        <v>1115</v>
      </c>
      <c r="R45" s="219" t="s">
        <v>2386</v>
      </c>
      <c r="S45" s="219" t="s">
        <v>1117</v>
      </c>
      <c r="T45" s="219" t="s">
        <v>786</v>
      </c>
    </row>
    <row r="46" spans="1:20" s="730" customFormat="1" ht="25">
      <c r="A46" s="734" t="s">
        <v>3389</v>
      </c>
      <c r="B46" s="219"/>
      <c r="C46" s="219"/>
      <c r="D46" s="717" t="s">
        <v>676</v>
      </c>
      <c r="E46" s="375" t="str">
        <f>+VLOOKUP(F46,Resumen_Base!$C$8:$G$287,5,0)</f>
        <v>Fixed Asset's Payments (Investments) Mejoras/equipamiento Lodge</v>
      </c>
      <c r="F46" s="360" t="s">
        <v>50</v>
      </c>
      <c r="G46" s="219" t="s">
        <v>51</v>
      </c>
      <c r="H46" s="219" t="str">
        <f t="shared" si="0"/>
        <v>CAR12020103</v>
      </c>
      <c r="I46" s="718">
        <v>586417.4</v>
      </c>
      <c r="J46" s="718">
        <v>412.97</v>
      </c>
      <c r="K46" s="718">
        <v>1420</v>
      </c>
      <c r="L46" s="719" t="s">
        <v>1113</v>
      </c>
      <c r="M46" s="219" t="s">
        <v>780</v>
      </c>
      <c r="N46" s="717" t="s">
        <v>1407</v>
      </c>
      <c r="O46" s="219" t="s">
        <v>1114</v>
      </c>
      <c r="P46" s="219" t="s">
        <v>892</v>
      </c>
      <c r="Q46" s="219" t="s">
        <v>1115</v>
      </c>
      <c r="R46" s="219" t="s">
        <v>2386</v>
      </c>
      <c r="S46" s="219" t="s">
        <v>1117</v>
      </c>
      <c r="T46" s="219" t="s">
        <v>786</v>
      </c>
    </row>
    <row r="47" spans="1:20" customFormat="1" ht="25">
      <c r="A47" s="10"/>
      <c r="B47" s="4"/>
      <c r="C47" s="4"/>
      <c r="D47" s="133" t="s">
        <v>676</v>
      </c>
      <c r="E47" s="664" t="str">
        <f>+VLOOKUP(F47,Resumen_Base!$C$8:$G$287,5,0)</f>
        <v>Fixed Asset's Payments (Investments) Mejoras/equipamiento Lodge</v>
      </c>
      <c r="F47" s="152" t="s">
        <v>50</v>
      </c>
      <c r="G47" s="4" t="s">
        <v>51</v>
      </c>
      <c r="H47" s="4" t="str">
        <f t="shared" si="0"/>
        <v>CAR12020103</v>
      </c>
      <c r="I47" s="196">
        <v>555915.80000000005</v>
      </c>
      <c r="J47" s="196">
        <v>391.49</v>
      </c>
      <c r="K47" s="196">
        <v>1420</v>
      </c>
      <c r="L47" s="454" t="s">
        <v>1113</v>
      </c>
      <c r="M47" s="4" t="s">
        <v>780</v>
      </c>
      <c r="N47" s="133" t="s">
        <v>1407</v>
      </c>
      <c r="O47" s="4" t="s">
        <v>1114</v>
      </c>
      <c r="P47" s="4" t="s">
        <v>892</v>
      </c>
      <c r="Q47" s="4" t="s">
        <v>1115</v>
      </c>
      <c r="R47" s="4" t="s">
        <v>2387</v>
      </c>
      <c r="S47" s="4" t="s">
        <v>1117</v>
      </c>
      <c r="T47" s="4" t="s">
        <v>786</v>
      </c>
    </row>
    <row r="48" spans="1:20" customFormat="1" ht="25">
      <c r="A48" s="10"/>
      <c r="B48" s="4"/>
      <c r="C48" s="4"/>
      <c r="D48" s="133" t="s">
        <v>676</v>
      </c>
      <c r="E48" s="664" t="str">
        <f>+VLOOKUP(F48,Resumen_Base!$C$8:$G$287,5,0)</f>
        <v>Fixed Asset's Payments (Investments) Mejoras/equipamiento Lodge</v>
      </c>
      <c r="F48" s="152" t="s">
        <v>50</v>
      </c>
      <c r="G48" s="4" t="s">
        <v>51</v>
      </c>
      <c r="H48" s="4" t="str">
        <f t="shared" si="0"/>
        <v>CAR12020103</v>
      </c>
      <c r="I48" s="196">
        <v>801760.4</v>
      </c>
      <c r="J48" s="196">
        <v>564.62</v>
      </c>
      <c r="K48" s="196">
        <v>1420</v>
      </c>
      <c r="L48" s="454" t="s">
        <v>1113</v>
      </c>
      <c r="M48" s="4" t="s">
        <v>780</v>
      </c>
      <c r="N48" s="133" t="s">
        <v>1407</v>
      </c>
      <c r="O48" s="4" t="s">
        <v>1114</v>
      </c>
      <c r="P48" s="4" t="s">
        <v>892</v>
      </c>
      <c r="Q48" s="4" t="s">
        <v>1115</v>
      </c>
      <c r="R48" s="4" t="s">
        <v>2383</v>
      </c>
      <c r="S48" s="4" t="s">
        <v>1117</v>
      </c>
      <c r="T48" s="4" t="s">
        <v>786</v>
      </c>
    </row>
    <row r="49" spans="1:20" s="730" customFormat="1" ht="25">
      <c r="A49" s="734" t="s">
        <v>3389</v>
      </c>
      <c r="B49" s="219"/>
      <c r="C49" s="219"/>
      <c r="D49" s="717" t="s">
        <v>676</v>
      </c>
      <c r="E49" s="375" t="str">
        <f>+VLOOKUP(F49,Resumen_Base!$C$8:$G$287,5,0)</f>
        <v>Fixed Asset's Payments (Investments) Mejoras/equipamiento Lodge</v>
      </c>
      <c r="F49" s="360" t="s">
        <v>50</v>
      </c>
      <c r="G49" s="219" t="s">
        <v>51</v>
      </c>
      <c r="H49" s="219" t="str">
        <f t="shared" si="0"/>
        <v>CAR12020103</v>
      </c>
      <c r="I49" s="718">
        <v>138364.79999999999</v>
      </c>
      <c r="J49" s="718">
        <v>97.44</v>
      </c>
      <c r="K49" s="718">
        <v>1420</v>
      </c>
      <c r="L49" s="719" t="s">
        <v>1113</v>
      </c>
      <c r="M49" s="219" t="s">
        <v>780</v>
      </c>
      <c r="N49" s="717" t="s">
        <v>1407</v>
      </c>
      <c r="O49" s="219" t="s">
        <v>1114</v>
      </c>
      <c r="P49" s="219" t="s">
        <v>892</v>
      </c>
      <c r="Q49" s="219" t="s">
        <v>1115</v>
      </c>
      <c r="R49" s="219" t="s">
        <v>2382</v>
      </c>
      <c r="S49" s="219" t="s">
        <v>1117</v>
      </c>
      <c r="T49" s="219" t="s">
        <v>786</v>
      </c>
    </row>
    <row r="50" spans="1:20" s="730" customFormat="1" ht="25">
      <c r="A50" s="734" t="s">
        <v>3389</v>
      </c>
      <c r="B50" s="219"/>
      <c r="C50" s="219"/>
      <c r="D50" s="717" t="s">
        <v>676</v>
      </c>
      <c r="E50" s="375" t="str">
        <f>+VLOOKUP(F50,Resumen_Base!$C$8:$G$287,5,0)</f>
        <v>Fixed Asset's Payments (Investments) Mejoras/equipamiento Lodge</v>
      </c>
      <c r="F50" s="360" t="s">
        <v>50</v>
      </c>
      <c r="G50" s="219" t="s">
        <v>51</v>
      </c>
      <c r="H50" s="219" t="str">
        <f t="shared" si="0"/>
        <v>CAR12020103</v>
      </c>
      <c r="I50" s="718">
        <v>673591.2</v>
      </c>
      <c r="J50" s="718">
        <v>474.36</v>
      </c>
      <c r="K50" s="718">
        <v>1420</v>
      </c>
      <c r="L50" s="719" t="s">
        <v>1093</v>
      </c>
      <c r="M50" s="219" t="s">
        <v>780</v>
      </c>
      <c r="N50" s="717" t="s">
        <v>1407</v>
      </c>
      <c r="O50" s="219" t="s">
        <v>1129</v>
      </c>
      <c r="P50" s="219" t="s">
        <v>892</v>
      </c>
      <c r="Q50" s="219" t="s">
        <v>1130</v>
      </c>
      <c r="R50" s="219" t="s">
        <v>2392</v>
      </c>
      <c r="S50" s="219" t="s">
        <v>1132</v>
      </c>
      <c r="T50" s="219" t="s">
        <v>786</v>
      </c>
    </row>
    <row r="51" spans="1:20" s="730" customFormat="1" ht="25">
      <c r="A51" s="734" t="s">
        <v>3389</v>
      </c>
      <c r="B51" s="219"/>
      <c r="C51" s="219"/>
      <c r="D51" s="717" t="s">
        <v>676</v>
      </c>
      <c r="E51" s="375" t="str">
        <f>+VLOOKUP(F51,Resumen_Base!$C$8:$G$287,5,0)</f>
        <v>Fixed Asset's Payments (Investments) Mejoras/equipamiento Lodge</v>
      </c>
      <c r="F51" s="360" t="s">
        <v>50</v>
      </c>
      <c r="G51" s="219" t="s">
        <v>51</v>
      </c>
      <c r="H51" s="219" t="str">
        <f t="shared" si="0"/>
        <v>CAR12020103</v>
      </c>
      <c r="I51" s="718">
        <v>695800</v>
      </c>
      <c r="J51" s="718">
        <v>490</v>
      </c>
      <c r="K51" s="718">
        <v>1420</v>
      </c>
      <c r="L51" s="719" t="s">
        <v>1093</v>
      </c>
      <c r="M51" s="219" t="s">
        <v>780</v>
      </c>
      <c r="N51" s="717" t="s">
        <v>1407</v>
      </c>
      <c r="O51" s="219" t="s">
        <v>1129</v>
      </c>
      <c r="P51" s="219" t="s">
        <v>892</v>
      </c>
      <c r="Q51" s="219" t="s">
        <v>1130</v>
      </c>
      <c r="R51" s="219" t="s">
        <v>2395</v>
      </c>
      <c r="S51" s="219" t="s">
        <v>1132</v>
      </c>
      <c r="T51" s="219" t="s">
        <v>786</v>
      </c>
    </row>
    <row r="52" spans="1:20" s="730" customFormat="1" ht="25">
      <c r="A52" s="734" t="s">
        <v>3389</v>
      </c>
      <c r="B52" s="219"/>
      <c r="C52" s="219"/>
      <c r="D52" s="717" t="s">
        <v>676</v>
      </c>
      <c r="E52" s="375" t="str">
        <f>+VLOOKUP(F52,Resumen_Base!$C$8:$G$287,5,0)</f>
        <v>Fixed Asset's Payments (Investments) Mejoras/equipamiento Lodge</v>
      </c>
      <c r="F52" s="360" t="s">
        <v>50</v>
      </c>
      <c r="G52" s="219" t="s">
        <v>51</v>
      </c>
      <c r="H52" s="219" t="str">
        <f t="shared" si="0"/>
        <v>CAR12020103</v>
      </c>
      <c r="I52" s="718">
        <v>1136000</v>
      </c>
      <c r="J52" s="718">
        <v>800</v>
      </c>
      <c r="K52" s="718">
        <v>1420</v>
      </c>
      <c r="L52" s="719" t="s">
        <v>1205</v>
      </c>
      <c r="M52" s="219" t="s">
        <v>780</v>
      </c>
      <c r="N52" s="717" t="s">
        <v>1407</v>
      </c>
      <c r="O52" s="219" t="s">
        <v>1214</v>
      </c>
      <c r="P52" s="219" t="s">
        <v>892</v>
      </c>
      <c r="Q52" s="219" t="s">
        <v>1215</v>
      </c>
      <c r="R52" s="219" t="s">
        <v>2560</v>
      </c>
      <c r="S52" s="219" t="s">
        <v>1217</v>
      </c>
      <c r="T52" s="219" t="s">
        <v>786</v>
      </c>
    </row>
    <row r="53" spans="1:20" s="730" customFormat="1" ht="25">
      <c r="A53" s="734" t="s">
        <v>3389</v>
      </c>
      <c r="B53" s="219"/>
      <c r="C53" s="219"/>
      <c r="D53" s="717" t="s">
        <v>676</v>
      </c>
      <c r="E53" s="375" t="str">
        <f>+VLOOKUP(F53,Resumen_Base!$C$8:$G$287,5,0)</f>
        <v>Fixed Asset's Payments (Investments) Mejoras/equipamiento Lodge</v>
      </c>
      <c r="F53" s="360" t="s">
        <v>50</v>
      </c>
      <c r="G53" s="219" t="s">
        <v>51</v>
      </c>
      <c r="H53" s="219" t="str">
        <f t="shared" si="0"/>
        <v>CAR12020103</v>
      </c>
      <c r="I53" s="718">
        <v>984060</v>
      </c>
      <c r="J53" s="718">
        <v>693</v>
      </c>
      <c r="K53" s="718">
        <v>1420</v>
      </c>
      <c r="L53" s="719" t="s">
        <v>1205</v>
      </c>
      <c r="M53" s="219" t="s">
        <v>780</v>
      </c>
      <c r="N53" s="717" t="s">
        <v>1407</v>
      </c>
      <c r="O53" s="219" t="s">
        <v>1214</v>
      </c>
      <c r="P53" s="219" t="s">
        <v>892</v>
      </c>
      <c r="Q53" s="219" t="s">
        <v>1215</v>
      </c>
      <c r="R53" s="219" t="s">
        <v>2392</v>
      </c>
      <c r="S53" s="219" t="s">
        <v>1217</v>
      </c>
      <c r="T53" s="219" t="s">
        <v>786</v>
      </c>
    </row>
    <row r="54" spans="1:20" s="730" customFormat="1" ht="25">
      <c r="A54" s="734" t="s">
        <v>3389</v>
      </c>
      <c r="B54" s="219"/>
      <c r="C54" s="219"/>
      <c r="D54" s="717" t="s">
        <v>676</v>
      </c>
      <c r="E54" s="375" t="str">
        <f>+VLOOKUP(F54,Resumen_Base!$C$8:$G$287,5,0)</f>
        <v>Fixed Asset's Payments (Investments) Mejoras/equipamiento Lodge</v>
      </c>
      <c r="F54" s="360" t="s">
        <v>50</v>
      </c>
      <c r="G54" s="219" t="s">
        <v>51</v>
      </c>
      <c r="H54" s="219" t="str">
        <f t="shared" si="0"/>
        <v>CAR12020103</v>
      </c>
      <c r="I54" s="718">
        <v>1136000</v>
      </c>
      <c r="J54" s="718">
        <v>800</v>
      </c>
      <c r="K54" s="718">
        <v>1420</v>
      </c>
      <c r="L54" s="719" t="s">
        <v>1205</v>
      </c>
      <c r="M54" s="219" t="s">
        <v>780</v>
      </c>
      <c r="N54" s="717" t="s">
        <v>1407</v>
      </c>
      <c r="O54" s="219" t="s">
        <v>1214</v>
      </c>
      <c r="P54" s="219" t="s">
        <v>892</v>
      </c>
      <c r="Q54" s="219" t="s">
        <v>1215</v>
      </c>
      <c r="R54" s="219" t="s">
        <v>2560</v>
      </c>
      <c r="S54" s="219" t="s">
        <v>1217</v>
      </c>
      <c r="T54" s="219" t="s">
        <v>786</v>
      </c>
    </row>
    <row r="55" spans="1:20" customFormat="1" ht="25">
      <c r="A55" s="10"/>
      <c r="B55" s="4"/>
      <c r="C55" s="4"/>
      <c r="D55" s="133" t="s">
        <v>676</v>
      </c>
      <c r="E55" s="664" t="str">
        <f>+VLOOKUP(F55,Resumen_Base!$C$8:$G$287,5,0)</f>
        <v>Fixed Asset's Payments (Investments) Mejoras/equipamiento Lodge</v>
      </c>
      <c r="F55" s="152" t="s">
        <v>50</v>
      </c>
      <c r="G55" s="4" t="s">
        <v>51</v>
      </c>
      <c r="H55" s="4" t="str">
        <f t="shared" si="0"/>
        <v>CAR12020103</v>
      </c>
      <c r="I55" s="196">
        <v>1491000</v>
      </c>
      <c r="J55" s="196">
        <v>1050</v>
      </c>
      <c r="K55" s="196">
        <v>1420</v>
      </c>
      <c r="L55" s="454" t="s">
        <v>1205</v>
      </c>
      <c r="M55" s="4" t="s">
        <v>780</v>
      </c>
      <c r="N55" s="133" t="s">
        <v>1407</v>
      </c>
      <c r="O55" s="4" t="s">
        <v>1214</v>
      </c>
      <c r="P55" s="4" t="s">
        <v>892</v>
      </c>
      <c r="Q55" s="4" t="s">
        <v>1215</v>
      </c>
      <c r="R55" s="4" t="s">
        <v>2565</v>
      </c>
      <c r="S55" s="4" t="s">
        <v>1217</v>
      </c>
      <c r="T55" s="4" t="s">
        <v>786</v>
      </c>
    </row>
    <row r="56" spans="1:20" s="730" customFormat="1" ht="25">
      <c r="A56" s="734" t="s">
        <v>3389</v>
      </c>
      <c r="B56" s="219"/>
      <c r="C56" s="219"/>
      <c r="D56" s="717" t="s">
        <v>676</v>
      </c>
      <c r="E56" s="375" t="str">
        <f>+VLOOKUP(F56,Resumen_Base!$C$8:$G$287,5,0)</f>
        <v>Fixed Asset's Payments (Investments) Mejoras/equipamiento Lodge</v>
      </c>
      <c r="F56" s="360" t="s">
        <v>50</v>
      </c>
      <c r="G56" s="219" t="s">
        <v>51</v>
      </c>
      <c r="H56" s="219" t="str">
        <f t="shared" si="0"/>
        <v>CAR12020103</v>
      </c>
      <c r="I56" s="718">
        <v>1420000</v>
      </c>
      <c r="J56" s="718">
        <v>1000</v>
      </c>
      <c r="K56" s="718">
        <v>1420</v>
      </c>
      <c r="L56" s="719" t="s">
        <v>1205</v>
      </c>
      <c r="M56" s="219" t="s">
        <v>780</v>
      </c>
      <c r="N56" s="717" t="s">
        <v>1407</v>
      </c>
      <c r="O56" s="219" t="s">
        <v>1214</v>
      </c>
      <c r="P56" s="219" t="s">
        <v>892</v>
      </c>
      <c r="Q56" s="219" t="s">
        <v>1215</v>
      </c>
      <c r="R56" s="219" t="s">
        <v>2560</v>
      </c>
      <c r="S56" s="219" t="s">
        <v>1217</v>
      </c>
      <c r="T56" s="219" t="s">
        <v>786</v>
      </c>
    </row>
    <row r="57" spans="1:20" s="730" customFormat="1" ht="25">
      <c r="A57" s="734" t="s">
        <v>3389</v>
      </c>
      <c r="B57" s="219"/>
      <c r="C57" s="219"/>
      <c r="D57" s="717" t="s">
        <v>676</v>
      </c>
      <c r="E57" s="375" t="str">
        <f>+VLOOKUP(F57,Resumen_Base!$C$8:$G$287,5,0)</f>
        <v>Fixed Asset's Payments (Investments) Mejoras/equipamiento Lodge</v>
      </c>
      <c r="F57" s="360" t="s">
        <v>50</v>
      </c>
      <c r="G57" s="219" t="s">
        <v>51</v>
      </c>
      <c r="H57" s="219" t="str">
        <f t="shared" si="0"/>
        <v>CAR12020103</v>
      </c>
      <c r="I57" s="718">
        <v>471440</v>
      </c>
      <c r="J57" s="718">
        <v>332</v>
      </c>
      <c r="K57" s="718">
        <v>1420</v>
      </c>
      <c r="L57" s="719" t="s">
        <v>1205</v>
      </c>
      <c r="M57" s="219" t="s">
        <v>780</v>
      </c>
      <c r="N57" s="717" t="s">
        <v>1407</v>
      </c>
      <c r="O57" s="219" t="s">
        <v>1214</v>
      </c>
      <c r="P57" s="219" t="s">
        <v>892</v>
      </c>
      <c r="Q57" s="219" t="s">
        <v>1215</v>
      </c>
      <c r="R57" s="219" t="s">
        <v>2561</v>
      </c>
      <c r="S57" s="219" t="s">
        <v>1217</v>
      </c>
      <c r="T57" s="219" t="s">
        <v>786</v>
      </c>
    </row>
    <row r="58" spans="1:20" s="730" customFormat="1" ht="25">
      <c r="A58" s="734" t="s">
        <v>3389</v>
      </c>
      <c r="B58" s="219"/>
      <c r="C58" s="219"/>
      <c r="D58" s="717" t="s">
        <v>676</v>
      </c>
      <c r="E58" s="375" t="str">
        <f>+VLOOKUP(F58,Resumen_Base!$C$8:$G$287,5,0)</f>
        <v>Fixed Asset's Payments (Investments) Mejoras/equipamiento Lodge</v>
      </c>
      <c r="F58" s="360" t="s">
        <v>50</v>
      </c>
      <c r="G58" s="219" t="s">
        <v>51</v>
      </c>
      <c r="H58" s="219" t="str">
        <f t="shared" si="0"/>
        <v>CAR12020103</v>
      </c>
      <c r="I58" s="718">
        <v>1470000</v>
      </c>
      <c r="J58" s="718">
        <v>1000</v>
      </c>
      <c r="K58" s="718">
        <v>1470</v>
      </c>
      <c r="L58" s="719" t="s">
        <v>1239</v>
      </c>
      <c r="M58" s="219" t="s">
        <v>780</v>
      </c>
      <c r="N58" s="717" t="s">
        <v>1407</v>
      </c>
      <c r="O58" s="219" t="s">
        <v>2601</v>
      </c>
      <c r="P58" s="219" t="s">
        <v>892</v>
      </c>
      <c r="Q58" s="219" t="s">
        <v>2602</v>
      </c>
      <c r="R58" s="219" t="s">
        <v>2560</v>
      </c>
      <c r="S58" s="219" t="s">
        <v>2604</v>
      </c>
      <c r="T58" s="219" t="s">
        <v>786</v>
      </c>
    </row>
    <row r="59" spans="1:20" s="730" customFormat="1" ht="25">
      <c r="A59" s="734" t="s">
        <v>3389</v>
      </c>
      <c r="B59" s="219"/>
      <c r="C59" s="219"/>
      <c r="D59" s="717" t="s">
        <v>676</v>
      </c>
      <c r="E59" s="375" t="str">
        <f>+VLOOKUP(F59,Resumen_Base!$C$8:$G$287,5,0)</f>
        <v>Fixed Asset's Payments (Investments) Mejoras/equipamiento Lodge</v>
      </c>
      <c r="F59" s="360" t="s">
        <v>50</v>
      </c>
      <c r="G59" s="219" t="s">
        <v>51</v>
      </c>
      <c r="H59" s="219" t="str">
        <f t="shared" si="0"/>
        <v>CAR12020103</v>
      </c>
      <c r="I59" s="718">
        <v>3528000</v>
      </c>
      <c r="J59" s="718">
        <v>2400</v>
      </c>
      <c r="K59" s="718">
        <v>1470</v>
      </c>
      <c r="L59" s="719" t="s">
        <v>1239</v>
      </c>
      <c r="M59" s="219" t="s">
        <v>780</v>
      </c>
      <c r="N59" s="717" t="s">
        <v>1407</v>
      </c>
      <c r="O59" s="219" t="s">
        <v>2601</v>
      </c>
      <c r="P59" s="219" t="s">
        <v>892</v>
      </c>
      <c r="Q59" s="219" t="s">
        <v>2602</v>
      </c>
      <c r="R59" s="219" t="s">
        <v>2607</v>
      </c>
      <c r="S59" s="219" t="s">
        <v>2604</v>
      </c>
      <c r="T59" s="219" t="s">
        <v>786</v>
      </c>
    </row>
    <row r="60" spans="1:20" s="730" customFormat="1" ht="25">
      <c r="A60" s="734" t="s">
        <v>3389</v>
      </c>
      <c r="B60" s="219"/>
      <c r="C60" s="219"/>
      <c r="D60" s="717" t="s">
        <v>676</v>
      </c>
      <c r="E60" s="375" t="str">
        <f>+VLOOKUP(F60,Resumen_Base!$C$8:$G$287,5,0)</f>
        <v>Fixed Asset's Payments (Investments) Mejoras/equipamiento Lodge</v>
      </c>
      <c r="F60" s="360" t="s">
        <v>50</v>
      </c>
      <c r="G60" s="219" t="s">
        <v>51</v>
      </c>
      <c r="H60" s="219" t="str">
        <f t="shared" si="0"/>
        <v>CAR12020103</v>
      </c>
      <c r="I60" s="718">
        <v>313110</v>
      </c>
      <c r="J60" s="718">
        <v>213</v>
      </c>
      <c r="K60" s="718">
        <v>1470</v>
      </c>
      <c r="L60" s="719" t="s">
        <v>1239</v>
      </c>
      <c r="M60" s="219" t="s">
        <v>780</v>
      </c>
      <c r="N60" s="717" t="s">
        <v>1407</v>
      </c>
      <c r="O60" s="219" t="s">
        <v>2601</v>
      </c>
      <c r="P60" s="219" t="s">
        <v>892</v>
      </c>
      <c r="Q60" s="219" t="s">
        <v>2602</v>
      </c>
      <c r="R60" s="219" t="s">
        <v>2608</v>
      </c>
      <c r="S60" s="219" t="s">
        <v>2604</v>
      </c>
      <c r="T60" s="219" t="s">
        <v>786</v>
      </c>
    </row>
    <row r="61" spans="1:20" customFormat="1" ht="25">
      <c r="A61" s="10"/>
      <c r="B61" s="4"/>
      <c r="C61" s="4"/>
      <c r="D61" s="133" t="s">
        <v>676</v>
      </c>
      <c r="E61" s="664" t="str">
        <f>+VLOOKUP(F61,Resumen_Base!$C$8:$G$287,5,0)</f>
        <v>Fixed Asset's Payments (Investments) Mejoras/equipamiento Lodge</v>
      </c>
      <c r="F61" s="152" t="s">
        <v>50</v>
      </c>
      <c r="G61" s="4" t="s">
        <v>51</v>
      </c>
      <c r="H61" s="4" t="str">
        <f t="shared" si="0"/>
        <v>CAR12020103</v>
      </c>
      <c r="I61" s="196">
        <v>242550</v>
      </c>
      <c r="J61" s="196">
        <v>165</v>
      </c>
      <c r="K61" s="196">
        <v>1470</v>
      </c>
      <c r="L61" s="454" t="s">
        <v>1239</v>
      </c>
      <c r="M61" s="4" t="s">
        <v>780</v>
      </c>
      <c r="N61" s="133" t="s">
        <v>1407</v>
      </c>
      <c r="O61" s="4" t="s">
        <v>2601</v>
      </c>
      <c r="P61" s="4" t="s">
        <v>892</v>
      </c>
      <c r="Q61" s="4" t="s">
        <v>2602</v>
      </c>
      <c r="R61" s="4" t="s">
        <v>2609</v>
      </c>
      <c r="S61" s="4" t="s">
        <v>2604</v>
      </c>
      <c r="T61" s="4" t="s">
        <v>786</v>
      </c>
    </row>
    <row r="62" spans="1:20" customFormat="1" ht="25">
      <c r="A62" s="10"/>
      <c r="B62" s="4"/>
      <c r="C62" s="4"/>
      <c r="D62" s="133" t="s">
        <v>676</v>
      </c>
      <c r="E62" s="664" t="str">
        <f>+VLOOKUP(F62,Resumen_Base!$C$8:$G$287,5,0)</f>
        <v>Fixed Asset's Payments (Investments) Mejoras/equipamiento Lodge</v>
      </c>
      <c r="F62" s="152" t="s">
        <v>50</v>
      </c>
      <c r="G62" s="4" t="s">
        <v>51</v>
      </c>
      <c r="H62" s="4" t="str">
        <f t="shared" si="0"/>
        <v>CAR12020103</v>
      </c>
      <c r="I62" s="196">
        <v>735000</v>
      </c>
      <c r="J62" s="196">
        <v>500</v>
      </c>
      <c r="K62" s="196">
        <v>1470</v>
      </c>
      <c r="L62" s="454" t="s">
        <v>1239</v>
      </c>
      <c r="M62" s="4" t="s">
        <v>780</v>
      </c>
      <c r="N62" s="133" t="s">
        <v>1407</v>
      </c>
      <c r="O62" s="4" t="s">
        <v>2601</v>
      </c>
      <c r="P62" s="4" t="s">
        <v>892</v>
      </c>
      <c r="Q62" s="4" t="s">
        <v>2602</v>
      </c>
      <c r="R62" s="4" t="s">
        <v>2610</v>
      </c>
      <c r="S62" s="4" t="s">
        <v>2604</v>
      </c>
      <c r="T62" s="4" t="s">
        <v>786</v>
      </c>
    </row>
    <row r="63" spans="1:20" customFormat="1" ht="25">
      <c r="A63" s="10"/>
      <c r="B63" s="4"/>
      <c r="C63" s="4"/>
      <c r="D63" s="133" t="s">
        <v>676</v>
      </c>
      <c r="E63" s="664" t="str">
        <f>+VLOOKUP(F63,Resumen_Base!$C$8:$G$287,5,0)</f>
        <v>Fixed Asset's Payments (Investments) Mejoras/equipamiento Lodge</v>
      </c>
      <c r="F63" s="152" t="s">
        <v>6</v>
      </c>
      <c r="G63" s="4" t="s">
        <v>5</v>
      </c>
      <c r="H63" s="4" t="str">
        <f t="shared" si="0"/>
        <v>CAR12020301</v>
      </c>
      <c r="I63" s="196">
        <v>24131.99</v>
      </c>
      <c r="J63" s="196">
        <v>16.087993333333301</v>
      </c>
      <c r="K63" s="196">
        <v>1500</v>
      </c>
      <c r="L63" s="454" t="s">
        <v>1045</v>
      </c>
      <c r="M63" s="4" t="s">
        <v>780</v>
      </c>
      <c r="N63" s="133" t="s">
        <v>1407</v>
      </c>
      <c r="O63" s="4" t="s">
        <v>2169</v>
      </c>
      <c r="P63" s="4" t="s">
        <v>892</v>
      </c>
      <c r="Q63" s="4" t="s">
        <v>2170</v>
      </c>
      <c r="R63" s="4" t="s">
        <v>2173</v>
      </c>
      <c r="S63" s="4" t="s">
        <v>2172</v>
      </c>
      <c r="T63" s="4" t="s">
        <v>786</v>
      </c>
    </row>
    <row r="64" spans="1:20" customFormat="1" ht="25">
      <c r="A64" s="10"/>
      <c r="B64" s="4"/>
      <c r="C64" s="4"/>
      <c r="D64" s="133" t="s">
        <v>676</v>
      </c>
      <c r="E64" s="664" t="str">
        <f>+VLOOKUP(F64,Resumen_Base!$C$8:$G$287,5,0)</f>
        <v>Fixed Asset's Payments (Investments) Mejoras/equipamiento Lodge</v>
      </c>
      <c r="F64" s="152" t="s">
        <v>6</v>
      </c>
      <c r="G64" s="4" t="s">
        <v>5</v>
      </c>
      <c r="H64" s="4" t="str">
        <f t="shared" si="0"/>
        <v>CAR12020301</v>
      </c>
      <c r="I64" s="196">
        <v>383400</v>
      </c>
      <c r="J64" s="196">
        <v>270</v>
      </c>
      <c r="K64" s="196">
        <v>1420</v>
      </c>
      <c r="L64" s="454" t="s">
        <v>1113</v>
      </c>
      <c r="M64" s="4" t="s">
        <v>780</v>
      </c>
      <c r="N64" s="133" t="s">
        <v>1407</v>
      </c>
      <c r="O64" s="4" t="s">
        <v>1114</v>
      </c>
      <c r="P64" s="4" t="s">
        <v>892</v>
      </c>
      <c r="Q64" s="4" t="s">
        <v>1115</v>
      </c>
      <c r="R64" s="4" t="s">
        <v>2379</v>
      </c>
      <c r="S64" s="4" t="s">
        <v>1117</v>
      </c>
      <c r="T64" s="4" t="s">
        <v>786</v>
      </c>
    </row>
    <row r="65" spans="1:20" customFormat="1" ht="25">
      <c r="A65" s="10"/>
      <c r="B65" s="4"/>
      <c r="C65" s="4"/>
      <c r="D65" s="133" t="s">
        <v>676</v>
      </c>
      <c r="E65" s="664" t="str">
        <f>+VLOOKUP(F65,Resumen_Base!$C$8:$G$287,5,0)</f>
        <v>Fixed Asset's Payments (Investments) Mejoras/equipamiento Lodge</v>
      </c>
      <c r="F65" s="152" t="s">
        <v>6</v>
      </c>
      <c r="G65" s="4" t="s">
        <v>5</v>
      </c>
      <c r="H65" s="4" t="str">
        <f t="shared" si="0"/>
        <v>CAR12020301</v>
      </c>
      <c r="I65" s="196">
        <v>882000</v>
      </c>
      <c r="J65" s="196">
        <v>600</v>
      </c>
      <c r="K65" s="196">
        <v>1470</v>
      </c>
      <c r="L65" s="454" t="s">
        <v>1239</v>
      </c>
      <c r="M65" s="4" t="s">
        <v>780</v>
      </c>
      <c r="N65" s="133" t="s">
        <v>1407</v>
      </c>
      <c r="O65" s="4" t="s">
        <v>2601</v>
      </c>
      <c r="P65" s="4" t="s">
        <v>892</v>
      </c>
      <c r="Q65" s="4" t="s">
        <v>2602</v>
      </c>
      <c r="R65" s="4" t="s">
        <v>2606</v>
      </c>
      <c r="S65" s="4" t="s">
        <v>2604</v>
      </c>
      <c r="T65" s="4" t="s">
        <v>786</v>
      </c>
    </row>
    <row r="66" spans="1:20" customFormat="1" ht="25">
      <c r="A66" s="720" t="s">
        <v>2809</v>
      </c>
      <c r="B66" s="361" t="s">
        <v>2813</v>
      </c>
      <c r="C66" s="4"/>
      <c r="D66" s="133" t="s">
        <v>676</v>
      </c>
      <c r="E66" s="664" t="str">
        <f>+VLOOKUP(F66,Resumen_Base!$C$8:$G$287,5,0)</f>
        <v>Miscellaneous &amp; Shipping</v>
      </c>
      <c r="F66" s="607" t="s">
        <v>58</v>
      </c>
      <c r="G66" s="597" t="s">
        <v>59</v>
      </c>
      <c r="H66" s="4" t="str">
        <f t="shared" si="0"/>
        <v>CAR5219</v>
      </c>
      <c r="I66" s="196">
        <v>7057.4</v>
      </c>
      <c r="J66" s="196">
        <v>4.97</v>
      </c>
      <c r="K66" s="196">
        <v>1420</v>
      </c>
      <c r="L66" s="454" t="s">
        <v>899</v>
      </c>
      <c r="M66" s="4" t="s">
        <v>780</v>
      </c>
      <c r="N66" s="133" t="s">
        <v>1407</v>
      </c>
      <c r="O66" s="4" t="s">
        <v>1620</v>
      </c>
      <c r="P66" s="4" t="s">
        <v>892</v>
      </c>
      <c r="Q66" s="4" t="s">
        <v>1621</v>
      </c>
      <c r="R66" s="4" t="s">
        <v>1643</v>
      </c>
      <c r="S66" s="4" t="s">
        <v>1623</v>
      </c>
      <c r="T66" s="4" t="s">
        <v>786</v>
      </c>
    </row>
    <row r="67" spans="1:20" customFormat="1" ht="25">
      <c r="A67" s="10"/>
      <c r="B67" s="4"/>
      <c r="C67" s="4"/>
      <c r="D67" s="133" t="s">
        <v>676</v>
      </c>
      <c r="E67" s="664" t="str">
        <f>+VLOOKUP(F67,Resumen_Base!$C$8:$G$287,5,0)</f>
        <v>Fixed Asset's Payments (Investments) Mejoras/equipamiento Lodge</v>
      </c>
      <c r="F67" s="152" t="s">
        <v>129</v>
      </c>
      <c r="G67" s="4" t="s">
        <v>130</v>
      </c>
      <c r="H67" s="4" t="str">
        <f t="shared" si="0"/>
        <v>CAR12020901</v>
      </c>
      <c r="I67" s="196">
        <v>27888.799999999999</v>
      </c>
      <c r="J67" s="196">
        <v>19.64</v>
      </c>
      <c r="K67" s="196">
        <v>1420</v>
      </c>
      <c r="L67" s="454" t="s">
        <v>899</v>
      </c>
      <c r="M67" s="4" t="s">
        <v>780</v>
      </c>
      <c r="N67" s="133" t="s">
        <v>1407</v>
      </c>
      <c r="O67" s="4" t="s">
        <v>1620</v>
      </c>
      <c r="P67" s="4" t="s">
        <v>892</v>
      </c>
      <c r="Q67" s="4" t="s">
        <v>1621</v>
      </c>
      <c r="R67" s="4" t="s">
        <v>1652</v>
      </c>
      <c r="S67" s="4" t="s">
        <v>1623</v>
      </c>
      <c r="T67" s="4" t="s">
        <v>786</v>
      </c>
    </row>
    <row r="68" spans="1:20" customFormat="1" ht="25">
      <c r="A68" s="10"/>
      <c r="B68" s="4"/>
      <c r="C68" s="4"/>
      <c r="D68" s="133" t="s">
        <v>676</v>
      </c>
      <c r="E68" s="664" t="str">
        <f>+VLOOKUP(F68,Resumen_Base!$C$8:$G$287,5,0)</f>
        <v>Fixed Asset's Payments (Investments) Armas</v>
      </c>
      <c r="F68" s="152" t="s">
        <v>4</v>
      </c>
      <c r="G68" s="4" t="s">
        <v>1532</v>
      </c>
      <c r="H68" s="4" t="str">
        <f t="shared" si="0"/>
        <v>CAR120211</v>
      </c>
      <c r="I68" s="196">
        <v>26880.6</v>
      </c>
      <c r="J68" s="196">
        <v>18.93</v>
      </c>
      <c r="K68" s="196">
        <v>1420</v>
      </c>
      <c r="L68" s="454" t="s">
        <v>787</v>
      </c>
      <c r="M68" s="4" t="s">
        <v>780</v>
      </c>
      <c r="N68" s="133" t="s">
        <v>1407</v>
      </c>
      <c r="O68" s="4" t="s">
        <v>1490</v>
      </c>
      <c r="P68" s="4" t="s">
        <v>783</v>
      </c>
      <c r="Q68" s="4" t="s">
        <v>1491</v>
      </c>
      <c r="R68" s="4" t="s">
        <v>1533</v>
      </c>
      <c r="S68" s="4" t="s">
        <v>1493</v>
      </c>
      <c r="T68" s="4" t="s">
        <v>786</v>
      </c>
    </row>
    <row r="69" spans="1:20" customFormat="1" ht="25">
      <c r="A69" s="10"/>
      <c r="B69" s="4"/>
      <c r="C69" s="4"/>
      <c r="D69" s="133" t="s">
        <v>676</v>
      </c>
      <c r="E69" s="664" t="str">
        <f>+VLOOKUP(F69,Resumen_Base!$C$8:$G$287,5,0)</f>
        <v>Fixed Asset's Payments (Investments) Armas</v>
      </c>
      <c r="F69" s="152" t="s">
        <v>4</v>
      </c>
      <c r="G69" s="4" t="s">
        <v>1532</v>
      </c>
      <c r="H69" s="4" t="str">
        <f t="shared" si="0"/>
        <v>CAR120211</v>
      </c>
      <c r="I69" s="196">
        <v>381880.6</v>
      </c>
      <c r="J69" s="196">
        <v>268.93</v>
      </c>
      <c r="K69" s="196">
        <v>1420</v>
      </c>
      <c r="L69" s="454" t="s">
        <v>1239</v>
      </c>
      <c r="M69" s="4" t="s">
        <v>780</v>
      </c>
      <c r="N69" s="133" t="s">
        <v>1407</v>
      </c>
      <c r="O69" s="4" t="s">
        <v>2630</v>
      </c>
      <c r="P69" s="4" t="s">
        <v>892</v>
      </c>
      <c r="Q69" s="4" t="s">
        <v>2631</v>
      </c>
      <c r="R69" s="4" t="s">
        <v>2640</v>
      </c>
      <c r="S69" s="4" t="s">
        <v>2632</v>
      </c>
      <c r="T69" s="4" t="s">
        <v>786</v>
      </c>
    </row>
    <row r="70" spans="1:20" customFormat="1">
      <c r="A70" s="10"/>
      <c r="B70" s="4"/>
      <c r="C70" s="4"/>
      <c r="D70" s="133" t="s">
        <v>676</v>
      </c>
      <c r="E70" s="664" t="str">
        <f>+VLOOKUP(F70,Resumen_Base!$C$8:$G$287,5,0)</f>
        <v>Tips</v>
      </c>
      <c r="F70" s="152" t="s">
        <v>366</v>
      </c>
      <c r="G70" s="4" t="s">
        <v>367</v>
      </c>
      <c r="H70" s="4" t="str">
        <f t="shared" si="0"/>
        <v>CAR210609</v>
      </c>
      <c r="I70" s="196">
        <v>-568000</v>
      </c>
      <c r="J70" s="196">
        <v>-400</v>
      </c>
      <c r="K70" s="196">
        <v>1420</v>
      </c>
      <c r="L70" s="454" t="s">
        <v>787</v>
      </c>
      <c r="M70" s="4" t="s">
        <v>1566</v>
      </c>
      <c r="N70" s="133" t="s">
        <v>1407</v>
      </c>
      <c r="O70" s="4" t="s">
        <v>1567</v>
      </c>
      <c r="P70" s="4" t="s">
        <v>1568</v>
      </c>
      <c r="Q70" s="4" t="s">
        <v>1569</v>
      </c>
      <c r="R70" s="4" t="s">
        <v>1570</v>
      </c>
      <c r="S70" s="4" t="s">
        <v>1571</v>
      </c>
      <c r="T70" s="4" t="s">
        <v>786</v>
      </c>
    </row>
    <row r="71" spans="1:20" customFormat="1">
      <c r="A71" s="10"/>
      <c r="B71" s="4"/>
      <c r="C71" s="4"/>
      <c r="D71" s="133" t="s">
        <v>676</v>
      </c>
      <c r="E71" s="664" t="str">
        <f>+VLOOKUP(F71,Resumen_Base!$C$8:$G$287,5,0)</f>
        <v>Tips</v>
      </c>
      <c r="F71" s="152" t="s">
        <v>366</v>
      </c>
      <c r="G71" s="4" t="s">
        <v>367</v>
      </c>
      <c r="H71" s="4" t="str">
        <f t="shared" si="0"/>
        <v>CAR210609</v>
      </c>
      <c r="I71" s="196">
        <v>-852000</v>
      </c>
      <c r="J71" s="196">
        <v>-600</v>
      </c>
      <c r="K71" s="196">
        <v>1420</v>
      </c>
      <c r="L71" s="454" t="s">
        <v>787</v>
      </c>
      <c r="M71" s="4" t="s">
        <v>1566</v>
      </c>
      <c r="N71" s="133" t="s">
        <v>1407</v>
      </c>
      <c r="O71" s="4" t="s">
        <v>1567</v>
      </c>
      <c r="P71" s="4" t="s">
        <v>1568</v>
      </c>
      <c r="Q71" s="4" t="s">
        <v>1569</v>
      </c>
      <c r="R71" s="4" t="s">
        <v>1570</v>
      </c>
      <c r="S71" s="4" t="s">
        <v>1571</v>
      </c>
      <c r="T71" s="4" t="s">
        <v>786</v>
      </c>
    </row>
    <row r="72" spans="1:20" customFormat="1">
      <c r="A72" s="10"/>
      <c r="B72" s="4"/>
      <c r="C72" s="4"/>
      <c r="D72" s="133" t="s">
        <v>676</v>
      </c>
      <c r="E72" s="664" t="str">
        <f>+VLOOKUP(F72,Resumen_Base!$C$8:$G$287,5,0)</f>
        <v>Tips</v>
      </c>
      <c r="F72" s="152" t="s">
        <v>366</v>
      </c>
      <c r="G72" s="4" t="s">
        <v>367</v>
      </c>
      <c r="H72" s="4" t="str">
        <f t="shared" si="0"/>
        <v>CAR210609</v>
      </c>
      <c r="I72" s="196">
        <v>-568000</v>
      </c>
      <c r="J72" s="196">
        <v>-400</v>
      </c>
      <c r="K72" s="196">
        <v>1420</v>
      </c>
      <c r="L72" s="454" t="s">
        <v>787</v>
      </c>
      <c r="M72" s="4" t="s">
        <v>1566</v>
      </c>
      <c r="N72" s="133" t="s">
        <v>1407</v>
      </c>
      <c r="O72" s="4" t="s">
        <v>1572</v>
      </c>
      <c r="P72" s="4" t="s">
        <v>1568</v>
      </c>
      <c r="Q72" s="4" t="s">
        <v>1573</v>
      </c>
      <c r="R72" s="4" t="s">
        <v>1570</v>
      </c>
      <c r="S72" s="4" t="s">
        <v>1574</v>
      </c>
      <c r="T72" s="4" t="s">
        <v>786</v>
      </c>
    </row>
    <row r="73" spans="1:20" customFormat="1">
      <c r="A73" s="10"/>
      <c r="B73" s="4"/>
      <c r="C73" s="4"/>
      <c r="D73" s="133" t="s">
        <v>676</v>
      </c>
      <c r="E73" s="664" t="str">
        <f>+VLOOKUP(F73,Resumen_Base!$C$8:$G$287,5,0)</f>
        <v>Tips</v>
      </c>
      <c r="F73" s="152" t="s">
        <v>366</v>
      </c>
      <c r="G73" s="4" t="s">
        <v>367</v>
      </c>
      <c r="H73" s="4" t="str">
        <f t="shared" si="0"/>
        <v>CAR210609</v>
      </c>
      <c r="I73" s="196">
        <v>-142000</v>
      </c>
      <c r="J73" s="196">
        <v>-100</v>
      </c>
      <c r="K73" s="196">
        <v>1420</v>
      </c>
      <c r="L73" s="454" t="s">
        <v>787</v>
      </c>
      <c r="M73" s="4" t="s">
        <v>1566</v>
      </c>
      <c r="N73" s="133" t="s">
        <v>1407</v>
      </c>
      <c r="O73" s="4" t="s">
        <v>1572</v>
      </c>
      <c r="P73" s="4" t="s">
        <v>1568</v>
      </c>
      <c r="Q73" s="4" t="s">
        <v>1573</v>
      </c>
      <c r="R73" s="4" t="s">
        <v>1570</v>
      </c>
      <c r="S73" s="4" t="s">
        <v>1574</v>
      </c>
      <c r="T73" s="4" t="s">
        <v>786</v>
      </c>
    </row>
    <row r="74" spans="1:20" customFormat="1">
      <c r="A74" s="10"/>
      <c r="B74" s="4"/>
      <c r="C74" s="4"/>
      <c r="D74" s="133" t="s">
        <v>676</v>
      </c>
      <c r="E74" s="664" t="str">
        <f>+VLOOKUP(F74,Resumen_Base!$C$8:$G$287,5,0)</f>
        <v>Tips</v>
      </c>
      <c r="F74" s="152" t="s">
        <v>366</v>
      </c>
      <c r="G74" s="4" t="s">
        <v>367</v>
      </c>
      <c r="H74" s="4" t="str">
        <f t="shared" si="0"/>
        <v>CAR210609</v>
      </c>
      <c r="I74" s="196">
        <v>-568000</v>
      </c>
      <c r="J74" s="196">
        <v>-400</v>
      </c>
      <c r="K74" s="196">
        <v>1420</v>
      </c>
      <c r="L74" s="454" t="s">
        <v>787</v>
      </c>
      <c r="M74" s="4" t="s">
        <v>1566</v>
      </c>
      <c r="N74" s="133" t="s">
        <v>1407</v>
      </c>
      <c r="O74" s="4" t="s">
        <v>1575</v>
      </c>
      <c r="P74" s="4" t="s">
        <v>1568</v>
      </c>
      <c r="Q74" s="4" t="s">
        <v>1576</v>
      </c>
      <c r="R74" s="4" t="s">
        <v>1570</v>
      </c>
      <c r="S74" s="4" t="s">
        <v>1577</v>
      </c>
      <c r="T74" s="4" t="s">
        <v>786</v>
      </c>
    </row>
    <row r="75" spans="1:20" customFormat="1">
      <c r="A75" s="10"/>
      <c r="B75" s="4"/>
      <c r="C75" s="4"/>
      <c r="D75" s="133" t="s">
        <v>676</v>
      </c>
      <c r="E75" s="664" t="str">
        <f>+VLOOKUP(F75,Resumen_Base!$C$8:$G$287,5,0)</f>
        <v>Tips</v>
      </c>
      <c r="F75" s="152" t="s">
        <v>366</v>
      </c>
      <c r="G75" s="4" t="s">
        <v>367</v>
      </c>
      <c r="H75" s="4" t="str">
        <f t="shared" si="0"/>
        <v>CAR210609</v>
      </c>
      <c r="I75" s="196">
        <v>-467180</v>
      </c>
      <c r="J75" s="196">
        <v>-329</v>
      </c>
      <c r="K75" s="196">
        <v>1420</v>
      </c>
      <c r="L75" s="454" t="s">
        <v>787</v>
      </c>
      <c r="M75" s="4" t="s">
        <v>1566</v>
      </c>
      <c r="N75" s="133" t="s">
        <v>1407</v>
      </c>
      <c r="O75" s="4" t="s">
        <v>1578</v>
      </c>
      <c r="P75" s="4" t="s">
        <v>1568</v>
      </c>
      <c r="Q75" s="4" t="s">
        <v>1579</v>
      </c>
      <c r="R75" s="4" t="s">
        <v>1570</v>
      </c>
      <c r="S75" s="4" t="s">
        <v>1580</v>
      </c>
      <c r="T75" s="4" t="s">
        <v>786</v>
      </c>
    </row>
    <row r="76" spans="1:20" customFormat="1">
      <c r="A76" s="10"/>
      <c r="B76" s="4"/>
      <c r="C76" s="4"/>
      <c r="D76" s="133" t="s">
        <v>676</v>
      </c>
      <c r="E76" s="664" t="str">
        <f>+VLOOKUP(F76,Resumen_Base!$C$8:$G$287,5,0)</f>
        <v>Tips</v>
      </c>
      <c r="F76" s="152" t="s">
        <v>366</v>
      </c>
      <c r="G76" s="4" t="s">
        <v>367</v>
      </c>
      <c r="H76" s="4" t="str">
        <f t="shared" ref="H76:H139" si="1">+D76&amp;F76</f>
        <v>CAR210609</v>
      </c>
      <c r="I76" s="196">
        <v>-568000</v>
      </c>
      <c r="J76" s="196">
        <v>-400</v>
      </c>
      <c r="K76" s="196">
        <v>1420</v>
      </c>
      <c r="L76" s="454" t="s">
        <v>787</v>
      </c>
      <c r="M76" s="4" t="s">
        <v>1566</v>
      </c>
      <c r="N76" s="133" t="s">
        <v>1407</v>
      </c>
      <c r="O76" s="4" t="s">
        <v>1578</v>
      </c>
      <c r="P76" s="4" t="s">
        <v>1568</v>
      </c>
      <c r="Q76" s="4" t="s">
        <v>1579</v>
      </c>
      <c r="R76" s="4" t="s">
        <v>1570</v>
      </c>
      <c r="S76" s="4" t="s">
        <v>1580</v>
      </c>
      <c r="T76" s="4" t="s">
        <v>786</v>
      </c>
    </row>
    <row r="77" spans="1:20" customFormat="1">
      <c r="A77" s="10"/>
      <c r="B77" s="4"/>
      <c r="C77" s="4"/>
      <c r="D77" s="133" t="s">
        <v>676</v>
      </c>
      <c r="E77" s="664" t="str">
        <f>+VLOOKUP(F77,Resumen_Base!$C$8:$G$287,5,0)</f>
        <v>Tips</v>
      </c>
      <c r="F77" s="152" t="s">
        <v>366</v>
      </c>
      <c r="G77" s="4" t="s">
        <v>367</v>
      </c>
      <c r="H77" s="4" t="str">
        <f t="shared" si="1"/>
        <v>CAR210609</v>
      </c>
      <c r="I77" s="196">
        <v>-426000</v>
      </c>
      <c r="J77" s="196">
        <v>-300</v>
      </c>
      <c r="K77" s="196">
        <v>1420</v>
      </c>
      <c r="L77" s="454" t="s">
        <v>787</v>
      </c>
      <c r="M77" s="4" t="s">
        <v>1566</v>
      </c>
      <c r="N77" s="133" t="s">
        <v>1407</v>
      </c>
      <c r="O77" s="4" t="s">
        <v>1581</v>
      </c>
      <c r="P77" s="4" t="s">
        <v>1568</v>
      </c>
      <c r="Q77" s="4" t="s">
        <v>1582</v>
      </c>
      <c r="R77" s="4" t="s">
        <v>1570</v>
      </c>
      <c r="S77" s="4" t="s">
        <v>1583</v>
      </c>
      <c r="T77" s="4" t="s">
        <v>786</v>
      </c>
    </row>
    <row r="78" spans="1:20" customFormat="1">
      <c r="A78" s="10"/>
      <c r="B78" s="4"/>
      <c r="C78" s="4"/>
      <c r="D78" s="133" t="s">
        <v>676</v>
      </c>
      <c r="E78" s="664" t="str">
        <f>+VLOOKUP(F78,Resumen_Base!$C$8:$G$287,5,0)</f>
        <v>Tips</v>
      </c>
      <c r="F78" s="152" t="s">
        <v>366</v>
      </c>
      <c r="G78" s="4" t="s">
        <v>367</v>
      </c>
      <c r="H78" s="4" t="str">
        <f t="shared" si="1"/>
        <v>CAR210609</v>
      </c>
      <c r="I78" s="196">
        <v>-497000</v>
      </c>
      <c r="J78" s="196">
        <v>-350</v>
      </c>
      <c r="K78" s="196">
        <v>1420</v>
      </c>
      <c r="L78" s="454" t="s">
        <v>787</v>
      </c>
      <c r="M78" s="4" t="s">
        <v>1566</v>
      </c>
      <c r="N78" s="133" t="s">
        <v>1407</v>
      </c>
      <c r="O78" s="4" t="s">
        <v>1584</v>
      </c>
      <c r="P78" s="4" t="s">
        <v>1568</v>
      </c>
      <c r="Q78" s="4" t="s">
        <v>1585</v>
      </c>
      <c r="R78" s="4" t="s">
        <v>1570</v>
      </c>
      <c r="S78" s="4" t="s">
        <v>1586</v>
      </c>
      <c r="T78" s="4" t="s">
        <v>786</v>
      </c>
    </row>
    <row r="79" spans="1:20" customFormat="1">
      <c r="A79" s="10"/>
      <c r="B79" s="4"/>
      <c r="C79" s="4"/>
      <c r="D79" s="133" t="s">
        <v>676</v>
      </c>
      <c r="E79" s="664" t="str">
        <f>+VLOOKUP(F79,Resumen_Base!$C$8:$G$287,5,0)</f>
        <v>Tips</v>
      </c>
      <c r="F79" s="152" t="s">
        <v>366</v>
      </c>
      <c r="G79" s="4" t="s">
        <v>367</v>
      </c>
      <c r="H79" s="4" t="str">
        <f t="shared" si="1"/>
        <v>CAR210609</v>
      </c>
      <c r="I79" s="196">
        <v>-497000</v>
      </c>
      <c r="J79" s="196">
        <v>-350</v>
      </c>
      <c r="K79" s="196">
        <v>1420</v>
      </c>
      <c r="L79" s="454" t="s">
        <v>787</v>
      </c>
      <c r="M79" s="4" t="s">
        <v>1566</v>
      </c>
      <c r="N79" s="133" t="s">
        <v>1407</v>
      </c>
      <c r="O79" s="4" t="s">
        <v>1584</v>
      </c>
      <c r="P79" s="4" t="s">
        <v>1568</v>
      </c>
      <c r="Q79" s="4" t="s">
        <v>1585</v>
      </c>
      <c r="R79" s="4" t="s">
        <v>1570</v>
      </c>
      <c r="S79" s="4" t="s">
        <v>1586</v>
      </c>
      <c r="T79" s="4" t="s">
        <v>786</v>
      </c>
    </row>
    <row r="80" spans="1:20" customFormat="1">
      <c r="A80" s="10"/>
      <c r="B80" s="4"/>
      <c r="C80" s="4"/>
      <c r="D80" s="133" t="s">
        <v>676</v>
      </c>
      <c r="E80" s="664" t="str">
        <f>+VLOOKUP(F80,Resumen_Base!$C$8:$G$287,5,0)</f>
        <v>Tips</v>
      </c>
      <c r="F80" s="152" t="s">
        <v>366</v>
      </c>
      <c r="G80" s="4" t="s">
        <v>367</v>
      </c>
      <c r="H80" s="4" t="str">
        <f t="shared" si="1"/>
        <v>CAR210609</v>
      </c>
      <c r="I80" s="196">
        <v>-284000</v>
      </c>
      <c r="J80" s="196">
        <v>-200</v>
      </c>
      <c r="K80" s="196">
        <v>1420</v>
      </c>
      <c r="L80" s="454" t="s">
        <v>787</v>
      </c>
      <c r="M80" s="4" t="s">
        <v>1566</v>
      </c>
      <c r="N80" s="133" t="s">
        <v>1407</v>
      </c>
      <c r="O80" s="4" t="s">
        <v>1587</v>
      </c>
      <c r="P80" s="4" t="s">
        <v>1568</v>
      </c>
      <c r="Q80" s="4" t="s">
        <v>1588</v>
      </c>
      <c r="R80" s="4" t="s">
        <v>1570</v>
      </c>
      <c r="S80" s="4" t="s">
        <v>1589</v>
      </c>
      <c r="T80" s="4" t="s">
        <v>786</v>
      </c>
    </row>
    <row r="81" spans="1:20" customFormat="1">
      <c r="A81" s="10"/>
      <c r="B81" s="4"/>
      <c r="C81" s="4"/>
      <c r="D81" s="133" t="s">
        <v>676</v>
      </c>
      <c r="E81" s="664" t="str">
        <f>+VLOOKUP(F81,Resumen_Base!$C$8:$G$287,5,0)</f>
        <v>Tips</v>
      </c>
      <c r="F81" s="152" t="s">
        <v>366</v>
      </c>
      <c r="G81" s="4" t="s">
        <v>367</v>
      </c>
      <c r="H81" s="4" t="str">
        <f t="shared" si="1"/>
        <v>CAR210609</v>
      </c>
      <c r="I81" s="196">
        <v>-568000</v>
      </c>
      <c r="J81" s="196">
        <v>-400</v>
      </c>
      <c r="K81" s="196">
        <v>1420</v>
      </c>
      <c r="L81" s="454" t="s">
        <v>787</v>
      </c>
      <c r="M81" s="4" t="s">
        <v>1566</v>
      </c>
      <c r="N81" s="133" t="s">
        <v>1407</v>
      </c>
      <c r="O81" s="4" t="s">
        <v>1587</v>
      </c>
      <c r="P81" s="4" t="s">
        <v>1568</v>
      </c>
      <c r="Q81" s="4" t="s">
        <v>1588</v>
      </c>
      <c r="R81" s="4" t="s">
        <v>1570</v>
      </c>
      <c r="S81" s="4" t="s">
        <v>1589</v>
      </c>
      <c r="T81" s="4" t="s">
        <v>786</v>
      </c>
    </row>
    <row r="82" spans="1:20" customFormat="1">
      <c r="A82" s="10"/>
      <c r="B82" s="4"/>
      <c r="C82" s="4"/>
      <c r="D82" s="133" t="s">
        <v>676</v>
      </c>
      <c r="E82" s="664" t="str">
        <f>+VLOOKUP(F82,Resumen_Base!$C$8:$G$287,5,0)</f>
        <v>Tips</v>
      </c>
      <c r="F82" s="152" t="s">
        <v>366</v>
      </c>
      <c r="G82" s="4" t="s">
        <v>367</v>
      </c>
      <c r="H82" s="4" t="str">
        <f t="shared" si="1"/>
        <v>CAR210609</v>
      </c>
      <c r="I82" s="196">
        <v>-568000</v>
      </c>
      <c r="J82" s="196">
        <v>-400</v>
      </c>
      <c r="K82" s="196">
        <v>1420</v>
      </c>
      <c r="L82" s="454" t="s">
        <v>787</v>
      </c>
      <c r="M82" s="4" t="s">
        <v>1566</v>
      </c>
      <c r="N82" s="133" t="s">
        <v>1407</v>
      </c>
      <c r="O82" s="4" t="s">
        <v>1593</v>
      </c>
      <c r="P82" s="4" t="s">
        <v>1568</v>
      </c>
      <c r="Q82" s="4" t="s">
        <v>1594</v>
      </c>
      <c r="R82" s="4" t="s">
        <v>1570</v>
      </c>
      <c r="S82" s="4" t="s">
        <v>1595</v>
      </c>
      <c r="T82" s="4" t="s">
        <v>786</v>
      </c>
    </row>
    <row r="83" spans="1:20" customFormat="1">
      <c r="A83" s="10"/>
      <c r="B83" s="4"/>
      <c r="C83" s="4"/>
      <c r="D83" s="133" t="s">
        <v>676</v>
      </c>
      <c r="E83" s="664" t="str">
        <f>+VLOOKUP(F83,Resumen_Base!$C$8:$G$287,5,0)</f>
        <v>Tips</v>
      </c>
      <c r="F83" s="152" t="s">
        <v>366</v>
      </c>
      <c r="G83" s="4" t="s">
        <v>367</v>
      </c>
      <c r="H83" s="4" t="str">
        <f t="shared" si="1"/>
        <v>CAR210609</v>
      </c>
      <c r="I83" s="196">
        <v>-568000</v>
      </c>
      <c r="J83" s="196">
        <v>-400</v>
      </c>
      <c r="K83" s="196">
        <v>1420</v>
      </c>
      <c r="L83" s="454" t="s">
        <v>787</v>
      </c>
      <c r="M83" s="4" t="s">
        <v>1566</v>
      </c>
      <c r="N83" s="133" t="s">
        <v>1407</v>
      </c>
      <c r="O83" s="4" t="s">
        <v>1596</v>
      </c>
      <c r="P83" s="4" t="s">
        <v>1568</v>
      </c>
      <c r="Q83" s="4" t="s">
        <v>1597</v>
      </c>
      <c r="R83" s="4" t="s">
        <v>1570</v>
      </c>
      <c r="S83" s="4" t="s">
        <v>1598</v>
      </c>
      <c r="T83" s="4" t="s">
        <v>786</v>
      </c>
    </row>
    <row r="84" spans="1:20" customFormat="1">
      <c r="A84" s="10"/>
      <c r="B84" s="4"/>
      <c r="C84" s="4"/>
      <c r="D84" s="133" t="s">
        <v>676</v>
      </c>
      <c r="E84" s="664" t="str">
        <f>+VLOOKUP(F84,Resumen_Base!$C$8:$G$287,5,0)</f>
        <v>Tips</v>
      </c>
      <c r="F84" s="152" t="s">
        <v>366</v>
      </c>
      <c r="G84" s="4" t="s">
        <v>367</v>
      </c>
      <c r="H84" s="4" t="str">
        <f t="shared" si="1"/>
        <v>CAR210609</v>
      </c>
      <c r="I84" s="196">
        <v>-426000</v>
      </c>
      <c r="J84" s="196">
        <v>-300</v>
      </c>
      <c r="K84" s="196">
        <v>1420</v>
      </c>
      <c r="L84" s="454" t="s">
        <v>787</v>
      </c>
      <c r="M84" s="4" t="s">
        <v>1566</v>
      </c>
      <c r="N84" s="133" t="s">
        <v>1407</v>
      </c>
      <c r="O84" s="4" t="s">
        <v>1596</v>
      </c>
      <c r="P84" s="4" t="s">
        <v>1568</v>
      </c>
      <c r="Q84" s="4" t="s">
        <v>1597</v>
      </c>
      <c r="R84" s="4" t="s">
        <v>1570</v>
      </c>
      <c r="S84" s="4" t="s">
        <v>1598</v>
      </c>
      <c r="T84" s="4" t="s">
        <v>786</v>
      </c>
    </row>
    <row r="85" spans="1:20" customFormat="1">
      <c r="A85" s="10"/>
      <c r="B85" s="4"/>
      <c r="C85" s="4"/>
      <c r="D85" s="133" t="s">
        <v>676</v>
      </c>
      <c r="E85" s="664" t="str">
        <f>+VLOOKUP(F85,Resumen_Base!$C$8:$G$287,5,0)</f>
        <v>Tips</v>
      </c>
      <c r="F85" s="152" t="s">
        <v>366</v>
      </c>
      <c r="G85" s="4" t="s">
        <v>367</v>
      </c>
      <c r="H85" s="4" t="str">
        <f t="shared" si="1"/>
        <v>CAR210609</v>
      </c>
      <c r="I85" s="196">
        <v>-426000</v>
      </c>
      <c r="J85" s="196">
        <v>-300</v>
      </c>
      <c r="K85" s="196">
        <v>1420</v>
      </c>
      <c r="L85" s="454" t="s">
        <v>787</v>
      </c>
      <c r="M85" s="4" t="s">
        <v>1566</v>
      </c>
      <c r="N85" s="133" t="s">
        <v>1407</v>
      </c>
      <c r="O85" s="4" t="s">
        <v>1599</v>
      </c>
      <c r="P85" s="4" t="s">
        <v>1568</v>
      </c>
      <c r="Q85" s="4" t="s">
        <v>1600</v>
      </c>
      <c r="R85" s="4" t="s">
        <v>1570</v>
      </c>
      <c r="S85" s="4" t="s">
        <v>1601</v>
      </c>
      <c r="T85" s="4" t="s">
        <v>786</v>
      </c>
    </row>
    <row r="86" spans="1:20" customFormat="1">
      <c r="A86" s="10"/>
      <c r="B86" s="4"/>
      <c r="C86" s="4"/>
      <c r="D86" s="133" t="s">
        <v>676</v>
      </c>
      <c r="E86" s="664" t="str">
        <f>+VLOOKUP(F86,Resumen_Base!$C$8:$G$287,5,0)</f>
        <v>Tips</v>
      </c>
      <c r="F86" s="152" t="s">
        <v>366</v>
      </c>
      <c r="G86" s="4" t="s">
        <v>367</v>
      </c>
      <c r="H86" s="4" t="str">
        <f t="shared" si="1"/>
        <v>CAR210609</v>
      </c>
      <c r="I86" s="196">
        <v>-426000</v>
      </c>
      <c r="J86" s="196">
        <v>-300</v>
      </c>
      <c r="K86" s="196">
        <v>1420</v>
      </c>
      <c r="L86" s="454" t="s">
        <v>787</v>
      </c>
      <c r="M86" s="4" t="s">
        <v>1566</v>
      </c>
      <c r="N86" s="133" t="s">
        <v>1407</v>
      </c>
      <c r="O86" s="4" t="s">
        <v>1599</v>
      </c>
      <c r="P86" s="4" t="s">
        <v>1568</v>
      </c>
      <c r="Q86" s="4" t="s">
        <v>1600</v>
      </c>
      <c r="R86" s="4" t="s">
        <v>1570</v>
      </c>
      <c r="S86" s="4" t="s">
        <v>1601</v>
      </c>
      <c r="T86" s="4" t="s">
        <v>786</v>
      </c>
    </row>
    <row r="87" spans="1:20" customFormat="1">
      <c r="A87" s="10"/>
      <c r="B87" s="4"/>
      <c r="C87" s="4"/>
      <c r="D87" s="133" t="s">
        <v>676</v>
      </c>
      <c r="E87" s="664" t="str">
        <f>+VLOOKUP(F87,Resumen_Base!$C$8:$G$287,5,0)</f>
        <v>Tips</v>
      </c>
      <c r="F87" s="152" t="s">
        <v>366</v>
      </c>
      <c r="G87" s="4" t="s">
        <v>367</v>
      </c>
      <c r="H87" s="4" t="str">
        <f t="shared" si="1"/>
        <v>CAR210609</v>
      </c>
      <c r="I87" s="196">
        <v>-497000</v>
      </c>
      <c r="J87" s="196">
        <v>-350</v>
      </c>
      <c r="K87" s="196">
        <v>1420</v>
      </c>
      <c r="L87" s="454" t="s">
        <v>787</v>
      </c>
      <c r="M87" s="4" t="s">
        <v>1566</v>
      </c>
      <c r="N87" s="133" t="s">
        <v>1407</v>
      </c>
      <c r="O87" s="4" t="s">
        <v>1602</v>
      </c>
      <c r="P87" s="4" t="s">
        <v>1568</v>
      </c>
      <c r="Q87" s="4" t="s">
        <v>1603</v>
      </c>
      <c r="R87" s="4" t="s">
        <v>1570</v>
      </c>
      <c r="S87" s="4" t="s">
        <v>1604</v>
      </c>
      <c r="T87" s="4" t="s">
        <v>786</v>
      </c>
    </row>
    <row r="88" spans="1:20" customFormat="1">
      <c r="A88" s="10"/>
      <c r="B88" s="4"/>
      <c r="C88" s="4"/>
      <c r="D88" s="133" t="s">
        <v>676</v>
      </c>
      <c r="E88" s="664" t="str">
        <f>+VLOOKUP(F88,Resumen_Base!$C$8:$G$287,5,0)</f>
        <v>Tips</v>
      </c>
      <c r="F88" s="152" t="s">
        <v>366</v>
      </c>
      <c r="G88" s="4" t="s">
        <v>367</v>
      </c>
      <c r="H88" s="4" t="str">
        <f t="shared" si="1"/>
        <v>CAR210609</v>
      </c>
      <c r="I88" s="196">
        <v>-213000</v>
      </c>
      <c r="J88" s="196">
        <v>-150</v>
      </c>
      <c r="K88" s="196">
        <v>1420</v>
      </c>
      <c r="L88" s="454" t="s">
        <v>787</v>
      </c>
      <c r="M88" s="4" t="s">
        <v>1566</v>
      </c>
      <c r="N88" s="133" t="s">
        <v>1407</v>
      </c>
      <c r="O88" s="4" t="s">
        <v>1602</v>
      </c>
      <c r="P88" s="4" t="s">
        <v>1568</v>
      </c>
      <c r="Q88" s="4" t="s">
        <v>1603</v>
      </c>
      <c r="R88" s="4" t="s">
        <v>1570</v>
      </c>
      <c r="S88" s="4" t="s">
        <v>1604</v>
      </c>
      <c r="T88" s="4" t="s">
        <v>786</v>
      </c>
    </row>
    <row r="89" spans="1:20" customFormat="1">
      <c r="A89" s="10"/>
      <c r="B89" s="4"/>
      <c r="C89" s="4"/>
      <c r="D89" s="133" t="s">
        <v>676</v>
      </c>
      <c r="E89" s="664" t="str">
        <f>+VLOOKUP(F89,Resumen_Base!$C$8:$G$287,5,0)</f>
        <v>Tips</v>
      </c>
      <c r="F89" s="152" t="s">
        <v>366</v>
      </c>
      <c r="G89" s="4" t="s">
        <v>367</v>
      </c>
      <c r="H89" s="4" t="str">
        <f t="shared" si="1"/>
        <v>CAR210609</v>
      </c>
      <c r="I89" s="196">
        <v>1001100</v>
      </c>
      <c r="J89" s="196">
        <v>710</v>
      </c>
      <c r="K89" s="196">
        <v>1410</v>
      </c>
      <c r="L89" s="454" t="s">
        <v>919</v>
      </c>
      <c r="M89" s="4" t="s">
        <v>780</v>
      </c>
      <c r="N89" s="133" t="s">
        <v>1407</v>
      </c>
      <c r="O89" s="4" t="s">
        <v>920</v>
      </c>
      <c r="P89" s="4" t="s">
        <v>892</v>
      </c>
      <c r="Q89" s="4" t="s">
        <v>921</v>
      </c>
      <c r="R89" s="4" t="s">
        <v>1724</v>
      </c>
      <c r="S89" s="4" t="s">
        <v>923</v>
      </c>
      <c r="T89" s="4" t="s">
        <v>786</v>
      </c>
    </row>
    <row r="90" spans="1:20" customFormat="1">
      <c r="A90" s="10"/>
      <c r="B90" s="4"/>
      <c r="C90" s="4"/>
      <c r="D90" s="133" t="s">
        <v>676</v>
      </c>
      <c r="E90" s="664" t="str">
        <f>+VLOOKUP(F90,Resumen_Base!$C$8:$G$287,5,0)</f>
        <v>Tips</v>
      </c>
      <c r="F90" s="152" t="s">
        <v>366</v>
      </c>
      <c r="G90" s="4" t="s">
        <v>367</v>
      </c>
      <c r="H90" s="4" t="str">
        <f t="shared" si="1"/>
        <v>CAR210609</v>
      </c>
      <c r="I90" s="196">
        <v>-705000</v>
      </c>
      <c r="J90" s="196">
        <v>-500</v>
      </c>
      <c r="K90" s="196">
        <v>1410</v>
      </c>
      <c r="L90" s="454" t="s">
        <v>899</v>
      </c>
      <c r="M90" s="4" t="s">
        <v>1566</v>
      </c>
      <c r="N90" s="133" t="s">
        <v>1407</v>
      </c>
      <c r="O90" s="4" t="s">
        <v>1880</v>
      </c>
      <c r="P90" s="4" t="s">
        <v>1881</v>
      </c>
      <c r="Q90" s="4" t="s">
        <v>1882</v>
      </c>
      <c r="R90" s="4" t="s">
        <v>1883</v>
      </c>
      <c r="S90" s="4" t="s">
        <v>1884</v>
      </c>
      <c r="T90" s="4" t="s">
        <v>786</v>
      </c>
    </row>
    <row r="91" spans="1:20" customFormat="1">
      <c r="A91" s="10"/>
      <c r="B91" s="4"/>
      <c r="C91" s="4"/>
      <c r="D91" s="133" t="s">
        <v>676</v>
      </c>
      <c r="E91" s="664" t="str">
        <f>+VLOOKUP(F91,Resumen_Base!$C$8:$G$287,5,0)</f>
        <v>Tips</v>
      </c>
      <c r="F91" s="152" t="s">
        <v>366</v>
      </c>
      <c r="G91" s="4" t="s">
        <v>367</v>
      </c>
      <c r="H91" s="4" t="str">
        <f t="shared" si="1"/>
        <v>CAR210609</v>
      </c>
      <c r="I91" s="196">
        <v>-1410000</v>
      </c>
      <c r="J91" s="196">
        <v>-1000</v>
      </c>
      <c r="K91" s="196">
        <v>1410</v>
      </c>
      <c r="L91" s="454" t="s">
        <v>899</v>
      </c>
      <c r="M91" s="4" t="s">
        <v>1566</v>
      </c>
      <c r="N91" s="133" t="s">
        <v>1407</v>
      </c>
      <c r="O91" s="4" t="s">
        <v>1880</v>
      </c>
      <c r="P91" s="4" t="s">
        <v>1881</v>
      </c>
      <c r="Q91" s="4" t="s">
        <v>1882</v>
      </c>
      <c r="R91" s="4" t="s">
        <v>1883</v>
      </c>
      <c r="S91" s="4" t="s">
        <v>1884</v>
      </c>
      <c r="T91" s="4" t="s">
        <v>786</v>
      </c>
    </row>
    <row r="92" spans="1:20" customFormat="1">
      <c r="A92" s="10"/>
      <c r="B92" s="4"/>
      <c r="C92" s="4"/>
      <c r="D92" s="133" t="s">
        <v>676</v>
      </c>
      <c r="E92" s="664" t="str">
        <f>+VLOOKUP(F92,Resumen_Base!$C$8:$G$287,5,0)</f>
        <v>Tips</v>
      </c>
      <c r="F92" s="152" t="s">
        <v>366</v>
      </c>
      <c r="G92" s="4" t="s">
        <v>367</v>
      </c>
      <c r="H92" s="4" t="str">
        <f t="shared" si="1"/>
        <v>CAR210609</v>
      </c>
      <c r="I92" s="196">
        <v>-846000</v>
      </c>
      <c r="J92" s="196">
        <v>-600</v>
      </c>
      <c r="K92" s="196">
        <v>1410</v>
      </c>
      <c r="L92" s="454" t="s">
        <v>899</v>
      </c>
      <c r="M92" s="4" t="s">
        <v>1566</v>
      </c>
      <c r="N92" s="133" t="s">
        <v>1407</v>
      </c>
      <c r="O92" s="4" t="s">
        <v>1888</v>
      </c>
      <c r="P92" s="4" t="s">
        <v>1881</v>
      </c>
      <c r="Q92" s="4" t="s">
        <v>1889</v>
      </c>
      <c r="R92" s="4" t="s">
        <v>1883</v>
      </c>
      <c r="S92" s="4" t="s">
        <v>1890</v>
      </c>
      <c r="T92" s="4" t="s">
        <v>786</v>
      </c>
    </row>
    <row r="93" spans="1:20" customFormat="1">
      <c r="A93" s="10"/>
      <c r="B93" s="4"/>
      <c r="C93" s="4"/>
      <c r="D93" s="133" t="s">
        <v>676</v>
      </c>
      <c r="E93" s="664" t="str">
        <f>+VLOOKUP(F93,Resumen_Base!$C$8:$G$287,5,0)</f>
        <v>Tips</v>
      </c>
      <c r="F93" s="152" t="s">
        <v>366</v>
      </c>
      <c r="G93" s="4" t="s">
        <v>367</v>
      </c>
      <c r="H93" s="4" t="str">
        <f t="shared" si="1"/>
        <v>CAR210609</v>
      </c>
      <c r="I93" s="196">
        <v>-705000</v>
      </c>
      <c r="J93" s="196">
        <v>-500</v>
      </c>
      <c r="K93" s="196">
        <v>1410</v>
      </c>
      <c r="L93" s="454" t="s">
        <v>899</v>
      </c>
      <c r="M93" s="4" t="s">
        <v>1566</v>
      </c>
      <c r="N93" s="133" t="s">
        <v>1407</v>
      </c>
      <c r="O93" s="4" t="s">
        <v>1888</v>
      </c>
      <c r="P93" s="4" t="s">
        <v>1881</v>
      </c>
      <c r="Q93" s="4" t="s">
        <v>1889</v>
      </c>
      <c r="R93" s="4" t="s">
        <v>1883</v>
      </c>
      <c r="S93" s="4" t="s">
        <v>1890</v>
      </c>
      <c r="T93" s="4" t="s">
        <v>786</v>
      </c>
    </row>
    <row r="94" spans="1:20" customFormat="1">
      <c r="A94" s="10"/>
      <c r="B94" s="4"/>
      <c r="C94" s="4"/>
      <c r="D94" s="133" t="s">
        <v>676</v>
      </c>
      <c r="E94" s="664" t="str">
        <f>+VLOOKUP(F94,Resumen_Base!$C$8:$G$287,5,0)</f>
        <v>Tips</v>
      </c>
      <c r="F94" s="152" t="s">
        <v>366</v>
      </c>
      <c r="G94" s="4" t="s">
        <v>367</v>
      </c>
      <c r="H94" s="4" t="str">
        <f t="shared" si="1"/>
        <v>CAR210609</v>
      </c>
      <c r="I94" s="196">
        <v>-1128000</v>
      </c>
      <c r="J94" s="196">
        <v>-800</v>
      </c>
      <c r="K94" s="196">
        <v>1410</v>
      </c>
      <c r="L94" s="454" t="s">
        <v>899</v>
      </c>
      <c r="M94" s="4" t="s">
        <v>1566</v>
      </c>
      <c r="N94" s="133" t="s">
        <v>1407</v>
      </c>
      <c r="O94" s="4" t="s">
        <v>1894</v>
      </c>
      <c r="P94" s="4" t="s">
        <v>1881</v>
      </c>
      <c r="Q94" s="4" t="s">
        <v>1895</v>
      </c>
      <c r="R94" s="4" t="s">
        <v>1896</v>
      </c>
      <c r="S94" s="4" t="s">
        <v>1897</v>
      </c>
      <c r="T94" s="4" t="s">
        <v>786</v>
      </c>
    </row>
    <row r="95" spans="1:20" customFormat="1">
      <c r="A95" s="10"/>
      <c r="B95" s="4"/>
      <c r="C95" s="4"/>
      <c r="D95" s="133" t="s">
        <v>676</v>
      </c>
      <c r="E95" s="664" t="str">
        <f>+VLOOKUP(F95,Resumen_Base!$C$8:$G$287,5,0)</f>
        <v>Tips</v>
      </c>
      <c r="F95" s="152" t="s">
        <v>366</v>
      </c>
      <c r="G95" s="4" t="s">
        <v>367</v>
      </c>
      <c r="H95" s="4" t="str">
        <f t="shared" si="1"/>
        <v>CAR210609</v>
      </c>
      <c r="I95" s="196">
        <v>-564000</v>
      </c>
      <c r="J95" s="196">
        <v>-400</v>
      </c>
      <c r="K95" s="196">
        <v>1410</v>
      </c>
      <c r="L95" s="454" t="s">
        <v>899</v>
      </c>
      <c r="M95" s="4" t="s">
        <v>1566</v>
      </c>
      <c r="N95" s="133" t="s">
        <v>1407</v>
      </c>
      <c r="O95" s="4" t="s">
        <v>1894</v>
      </c>
      <c r="P95" s="4" t="s">
        <v>1881</v>
      </c>
      <c r="Q95" s="4" t="s">
        <v>1895</v>
      </c>
      <c r="R95" s="4" t="s">
        <v>1896</v>
      </c>
      <c r="S95" s="4" t="s">
        <v>1897</v>
      </c>
      <c r="T95" s="4" t="s">
        <v>786</v>
      </c>
    </row>
    <row r="96" spans="1:20" customFormat="1">
      <c r="A96" s="10"/>
      <c r="B96" s="4"/>
      <c r="C96" s="4"/>
      <c r="D96" s="133" t="s">
        <v>676</v>
      </c>
      <c r="E96" s="664" t="str">
        <f>+VLOOKUP(F96,Resumen_Base!$C$8:$G$287,5,0)</f>
        <v>Tips</v>
      </c>
      <c r="F96" s="152" t="s">
        <v>366</v>
      </c>
      <c r="G96" s="4" t="s">
        <v>367</v>
      </c>
      <c r="H96" s="4" t="str">
        <f t="shared" si="1"/>
        <v>CAR210609</v>
      </c>
      <c r="I96" s="196">
        <v>-564000</v>
      </c>
      <c r="J96" s="196">
        <v>-400</v>
      </c>
      <c r="K96" s="196">
        <v>1410</v>
      </c>
      <c r="L96" s="454" t="s">
        <v>899</v>
      </c>
      <c r="M96" s="4" t="s">
        <v>1566</v>
      </c>
      <c r="N96" s="133" t="s">
        <v>1407</v>
      </c>
      <c r="O96" s="4" t="s">
        <v>1898</v>
      </c>
      <c r="P96" s="4" t="s">
        <v>1881</v>
      </c>
      <c r="Q96" s="4" t="s">
        <v>1899</v>
      </c>
      <c r="R96" s="4" t="s">
        <v>1896</v>
      </c>
      <c r="S96" s="4" t="s">
        <v>1900</v>
      </c>
      <c r="T96" s="4" t="s">
        <v>786</v>
      </c>
    </row>
    <row r="97" spans="1:20" customFormat="1">
      <c r="A97" s="10"/>
      <c r="B97" s="4"/>
      <c r="C97" s="4"/>
      <c r="D97" s="133" t="s">
        <v>676</v>
      </c>
      <c r="E97" s="664" t="str">
        <f>+VLOOKUP(F97,Resumen_Base!$C$8:$G$287,5,0)</f>
        <v>Tips</v>
      </c>
      <c r="F97" s="152" t="s">
        <v>366</v>
      </c>
      <c r="G97" s="4" t="s">
        <v>367</v>
      </c>
      <c r="H97" s="4" t="str">
        <f t="shared" si="1"/>
        <v>CAR210609</v>
      </c>
      <c r="I97" s="196">
        <v>-1099800</v>
      </c>
      <c r="J97" s="196">
        <v>-780</v>
      </c>
      <c r="K97" s="196">
        <v>1410</v>
      </c>
      <c r="L97" s="454" t="s">
        <v>899</v>
      </c>
      <c r="M97" s="4" t="s">
        <v>1566</v>
      </c>
      <c r="N97" s="133" t="s">
        <v>1407</v>
      </c>
      <c r="O97" s="4" t="s">
        <v>1898</v>
      </c>
      <c r="P97" s="4" t="s">
        <v>1881</v>
      </c>
      <c r="Q97" s="4" t="s">
        <v>1899</v>
      </c>
      <c r="R97" s="4" t="s">
        <v>1896</v>
      </c>
      <c r="S97" s="4" t="s">
        <v>1900</v>
      </c>
      <c r="T97" s="4" t="s">
        <v>786</v>
      </c>
    </row>
    <row r="98" spans="1:20" customFormat="1">
      <c r="A98" s="10"/>
      <c r="B98" s="4"/>
      <c r="C98" s="4"/>
      <c r="D98" s="133" t="s">
        <v>676</v>
      </c>
      <c r="E98" s="664" t="str">
        <f>+VLOOKUP(F98,Resumen_Base!$C$8:$G$287,5,0)</f>
        <v>Tips</v>
      </c>
      <c r="F98" s="152" t="s">
        <v>366</v>
      </c>
      <c r="G98" s="4" t="s">
        <v>367</v>
      </c>
      <c r="H98" s="4" t="str">
        <f t="shared" si="1"/>
        <v>CAR210609</v>
      </c>
      <c r="I98" s="196">
        <v>-987000</v>
      </c>
      <c r="J98" s="196">
        <v>-700</v>
      </c>
      <c r="K98" s="196">
        <v>1410</v>
      </c>
      <c r="L98" s="454" t="s">
        <v>899</v>
      </c>
      <c r="M98" s="4" t="s">
        <v>1566</v>
      </c>
      <c r="N98" s="133" t="s">
        <v>1407</v>
      </c>
      <c r="O98" s="4" t="s">
        <v>1904</v>
      </c>
      <c r="P98" s="4" t="s">
        <v>1881</v>
      </c>
      <c r="Q98" s="4" t="s">
        <v>1905</v>
      </c>
      <c r="R98" s="4" t="s">
        <v>1906</v>
      </c>
      <c r="S98" s="4" t="s">
        <v>1907</v>
      </c>
      <c r="T98" s="4" t="s">
        <v>786</v>
      </c>
    </row>
    <row r="99" spans="1:20" customFormat="1">
      <c r="A99" s="10"/>
      <c r="B99" s="4"/>
      <c r="C99" s="4"/>
      <c r="D99" s="133" t="s">
        <v>676</v>
      </c>
      <c r="E99" s="664" t="str">
        <f>+VLOOKUP(F99,Resumen_Base!$C$8:$G$287,5,0)</f>
        <v>Tips</v>
      </c>
      <c r="F99" s="152" t="s">
        <v>366</v>
      </c>
      <c r="G99" s="4" t="s">
        <v>367</v>
      </c>
      <c r="H99" s="4" t="str">
        <f t="shared" si="1"/>
        <v>CAR210609</v>
      </c>
      <c r="I99" s="196">
        <v>585000</v>
      </c>
      <c r="J99" s="196">
        <v>390</v>
      </c>
      <c r="K99" s="196">
        <v>1500</v>
      </c>
      <c r="L99" s="454" t="s">
        <v>1017</v>
      </c>
      <c r="M99" s="4" t="s">
        <v>780</v>
      </c>
      <c r="N99" s="133" t="s">
        <v>1407</v>
      </c>
      <c r="O99" s="4" t="s">
        <v>1946</v>
      </c>
      <c r="P99" s="4" t="s">
        <v>892</v>
      </c>
      <c r="Q99" s="4" t="s">
        <v>1947</v>
      </c>
      <c r="R99" s="4" t="s">
        <v>1985</v>
      </c>
      <c r="S99" s="4" t="s">
        <v>1949</v>
      </c>
      <c r="T99" s="4" t="s">
        <v>786</v>
      </c>
    </row>
    <row r="100" spans="1:20" customFormat="1">
      <c r="A100" s="10"/>
      <c r="B100" s="4"/>
      <c r="C100" s="4"/>
      <c r="D100" s="133" t="s">
        <v>676</v>
      </c>
      <c r="E100" s="664" t="str">
        <f>+VLOOKUP(F100,Resumen_Base!$C$8:$G$287,5,0)</f>
        <v>Tips</v>
      </c>
      <c r="F100" s="152" t="s">
        <v>366</v>
      </c>
      <c r="G100" s="4" t="s">
        <v>367</v>
      </c>
      <c r="H100" s="4" t="str">
        <f t="shared" si="1"/>
        <v>CAR210609</v>
      </c>
      <c r="I100" s="196">
        <v>585000</v>
      </c>
      <c r="J100" s="196">
        <v>390</v>
      </c>
      <c r="K100" s="196">
        <v>1500</v>
      </c>
      <c r="L100" s="454" t="s">
        <v>1017</v>
      </c>
      <c r="M100" s="4" t="s">
        <v>780</v>
      </c>
      <c r="N100" s="133" t="s">
        <v>1407</v>
      </c>
      <c r="O100" s="4" t="s">
        <v>1946</v>
      </c>
      <c r="P100" s="4" t="s">
        <v>892</v>
      </c>
      <c r="Q100" s="4" t="s">
        <v>1947</v>
      </c>
      <c r="R100" s="4" t="s">
        <v>1986</v>
      </c>
      <c r="S100" s="4" t="s">
        <v>1949</v>
      </c>
      <c r="T100" s="4" t="s">
        <v>786</v>
      </c>
    </row>
    <row r="101" spans="1:20" customFormat="1">
      <c r="A101" s="10"/>
      <c r="B101" s="4"/>
      <c r="C101" s="4"/>
      <c r="D101" s="133" t="s">
        <v>676</v>
      </c>
      <c r="E101" s="664" t="str">
        <f>+VLOOKUP(F101,Resumen_Base!$C$8:$G$287,5,0)</f>
        <v>Tips</v>
      </c>
      <c r="F101" s="152" t="s">
        <v>366</v>
      </c>
      <c r="G101" s="4" t="s">
        <v>367</v>
      </c>
      <c r="H101" s="4" t="str">
        <f t="shared" si="1"/>
        <v>CAR210609</v>
      </c>
      <c r="I101" s="196">
        <v>810000</v>
      </c>
      <c r="J101" s="196">
        <v>540</v>
      </c>
      <c r="K101" s="196">
        <v>1500</v>
      </c>
      <c r="L101" s="454" t="s">
        <v>1017</v>
      </c>
      <c r="M101" s="4" t="s">
        <v>780</v>
      </c>
      <c r="N101" s="133" t="s">
        <v>1407</v>
      </c>
      <c r="O101" s="4" t="s">
        <v>1946</v>
      </c>
      <c r="P101" s="4" t="s">
        <v>892</v>
      </c>
      <c r="Q101" s="4" t="s">
        <v>1947</v>
      </c>
      <c r="R101" s="4" t="s">
        <v>1987</v>
      </c>
      <c r="S101" s="4" t="s">
        <v>1949</v>
      </c>
      <c r="T101" s="4" t="s">
        <v>786</v>
      </c>
    </row>
    <row r="102" spans="1:20" customFormat="1">
      <c r="A102" s="10"/>
      <c r="B102" s="4"/>
      <c r="C102" s="4"/>
      <c r="D102" s="133" t="s">
        <v>676</v>
      </c>
      <c r="E102" s="664" t="str">
        <f>+VLOOKUP(F102,Resumen_Base!$C$8:$G$287,5,0)</f>
        <v>Tips</v>
      </c>
      <c r="F102" s="152" t="s">
        <v>366</v>
      </c>
      <c r="G102" s="4" t="s">
        <v>367</v>
      </c>
      <c r="H102" s="4" t="str">
        <f t="shared" si="1"/>
        <v>CAR210609</v>
      </c>
      <c r="I102" s="196">
        <v>930000</v>
      </c>
      <c r="J102" s="196">
        <v>620</v>
      </c>
      <c r="K102" s="196">
        <v>1500</v>
      </c>
      <c r="L102" s="454" t="s">
        <v>1017</v>
      </c>
      <c r="M102" s="4" t="s">
        <v>780</v>
      </c>
      <c r="N102" s="133" t="s">
        <v>1407</v>
      </c>
      <c r="O102" s="4" t="s">
        <v>1946</v>
      </c>
      <c r="P102" s="4" t="s">
        <v>892</v>
      </c>
      <c r="Q102" s="4" t="s">
        <v>1947</v>
      </c>
      <c r="R102" s="4" t="s">
        <v>1988</v>
      </c>
      <c r="S102" s="4" t="s">
        <v>1949</v>
      </c>
      <c r="T102" s="4" t="s">
        <v>786</v>
      </c>
    </row>
    <row r="103" spans="1:20" customFormat="1">
      <c r="A103" s="10"/>
      <c r="B103" s="4"/>
      <c r="C103" s="4"/>
      <c r="D103" s="133" t="s">
        <v>676</v>
      </c>
      <c r="E103" s="664" t="str">
        <f>+VLOOKUP(F103,Resumen_Base!$C$8:$G$287,5,0)</f>
        <v>Tips</v>
      </c>
      <c r="F103" s="152" t="s">
        <v>366</v>
      </c>
      <c r="G103" s="4" t="s">
        <v>367</v>
      </c>
      <c r="H103" s="4" t="str">
        <f t="shared" si="1"/>
        <v>CAR210609</v>
      </c>
      <c r="I103" s="196">
        <v>465000</v>
      </c>
      <c r="J103" s="196">
        <v>310</v>
      </c>
      <c r="K103" s="196">
        <v>1500</v>
      </c>
      <c r="L103" s="454" t="s">
        <v>1017</v>
      </c>
      <c r="M103" s="4" t="s">
        <v>780</v>
      </c>
      <c r="N103" s="133" t="s">
        <v>1407</v>
      </c>
      <c r="O103" s="4" t="s">
        <v>1946</v>
      </c>
      <c r="P103" s="4" t="s">
        <v>892</v>
      </c>
      <c r="Q103" s="4" t="s">
        <v>1947</v>
      </c>
      <c r="R103" s="4" t="s">
        <v>1989</v>
      </c>
      <c r="S103" s="4" t="s">
        <v>1949</v>
      </c>
      <c r="T103" s="4" t="s">
        <v>786</v>
      </c>
    </row>
    <row r="104" spans="1:20" customFormat="1">
      <c r="A104" s="10"/>
      <c r="B104" s="4"/>
      <c r="C104" s="4"/>
      <c r="D104" s="133" t="s">
        <v>676</v>
      </c>
      <c r="E104" s="664" t="str">
        <f>+VLOOKUP(F104,Resumen_Base!$C$8:$G$287,5,0)</f>
        <v>Tips</v>
      </c>
      <c r="F104" s="152" t="s">
        <v>366</v>
      </c>
      <c r="G104" s="4" t="s">
        <v>367</v>
      </c>
      <c r="H104" s="4" t="str">
        <f t="shared" si="1"/>
        <v>CAR210609</v>
      </c>
      <c r="I104" s="196">
        <v>585000</v>
      </c>
      <c r="J104" s="196">
        <v>390</v>
      </c>
      <c r="K104" s="196">
        <v>1500</v>
      </c>
      <c r="L104" s="454" t="s">
        <v>1017</v>
      </c>
      <c r="M104" s="4" t="s">
        <v>780</v>
      </c>
      <c r="N104" s="133" t="s">
        <v>1407</v>
      </c>
      <c r="O104" s="4" t="s">
        <v>1946</v>
      </c>
      <c r="P104" s="4" t="s">
        <v>892</v>
      </c>
      <c r="Q104" s="4" t="s">
        <v>1947</v>
      </c>
      <c r="R104" s="4" t="s">
        <v>1990</v>
      </c>
      <c r="S104" s="4" t="s">
        <v>1949</v>
      </c>
      <c r="T104" s="4" t="s">
        <v>786</v>
      </c>
    </row>
    <row r="105" spans="1:20" customFormat="1">
      <c r="A105" s="10"/>
      <c r="B105" s="4"/>
      <c r="C105" s="4"/>
      <c r="D105" s="133" t="s">
        <v>676</v>
      </c>
      <c r="E105" s="664" t="str">
        <f>+VLOOKUP(F105,Resumen_Base!$C$8:$G$287,5,0)</f>
        <v>Tips</v>
      </c>
      <c r="F105" s="152" t="s">
        <v>366</v>
      </c>
      <c r="G105" s="4" t="s">
        <v>367</v>
      </c>
      <c r="H105" s="4" t="str">
        <f t="shared" si="1"/>
        <v>CAR210609</v>
      </c>
      <c r="I105" s="196">
        <v>585000</v>
      </c>
      <c r="J105" s="196">
        <v>390</v>
      </c>
      <c r="K105" s="196">
        <v>1500</v>
      </c>
      <c r="L105" s="454" t="s">
        <v>1017</v>
      </c>
      <c r="M105" s="4" t="s">
        <v>780</v>
      </c>
      <c r="N105" s="133" t="s">
        <v>1407</v>
      </c>
      <c r="O105" s="4" t="s">
        <v>1946</v>
      </c>
      <c r="P105" s="4" t="s">
        <v>892</v>
      </c>
      <c r="Q105" s="4" t="s">
        <v>1947</v>
      </c>
      <c r="R105" s="4" t="s">
        <v>1991</v>
      </c>
      <c r="S105" s="4" t="s">
        <v>1949</v>
      </c>
      <c r="T105" s="4" t="s">
        <v>786</v>
      </c>
    </row>
    <row r="106" spans="1:20" customFormat="1">
      <c r="A106" s="10"/>
      <c r="B106" s="4"/>
      <c r="C106" s="4"/>
      <c r="D106" s="133" t="s">
        <v>676</v>
      </c>
      <c r="E106" s="664" t="str">
        <f>+VLOOKUP(F106,Resumen_Base!$C$8:$G$287,5,0)</f>
        <v>Tips</v>
      </c>
      <c r="F106" s="152" t="s">
        <v>366</v>
      </c>
      <c r="G106" s="4" t="s">
        <v>367</v>
      </c>
      <c r="H106" s="4" t="str">
        <f t="shared" si="1"/>
        <v>CAR210609</v>
      </c>
      <c r="I106" s="196">
        <v>-750000</v>
      </c>
      <c r="J106" s="196">
        <v>-500</v>
      </c>
      <c r="K106" s="196">
        <v>1500</v>
      </c>
      <c r="L106" s="454" t="s">
        <v>1017</v>
      </c>
      <c r="M106" s="4" t="s">
        <v>1566</v>
      </c>
      <c r="N106" s="133" t="s">
        <v>1407</v>
      </c>
      <c r="O106" s="4" t="s">
        <v>2052</v>
      </c>
      <c r="P106" s="4" t="s">
        <v>1881</v>
      </c>
      <c r="Q106" s="4" t="s">
        <v>2053</v>
      </c>
      <c r="R106" s="4" t="s">
        <v>2054</v>
      </c>
      <c r="S106" s="4" t="s">
        <v>2055</v>
      </c>
      <c r="T106" s="4" t="s">
        <v>786</v>
      </c>
    </row>
    <row r="107" spans="1:20" customFormat="1">
      <c r="A107" s="10"/>
      <c r="B107" s="4"/>
      <c r="C107" s="4"/>
      <c r="D107" s="133" t="s">
        <v>676</v>
      </c>
      <c r="E107" s="664" t="str">
        <f>+VLOOKUP(F107,Resumen_Base!$C$8:$G$287,5,0)</f>
        <v>Tips</v>
      </c>
      <c r="F107" s="152" t="s">
        <v>366</v>
      </c>
      <c r="G107" s="4" t="s">
        <v>367</v>
      </c>
      <c r="H107" s="4" t="str">
        <f t="shared" si="1"/>
        <v>CAR210609</v>
      </c>
      <c r="I107" s="196">
        <v>-750000</v>
      </c>
      <c r="J107" s="196">
        <v>-500</v>
      </c>
      <c r="K107" s="196">
        <v>1500</v>
      </c>
      <c r="L107" s="454" t="s">
        <v>1017</v>
      </c>
      <c r="M107" s="4" t="s">
        <v>1566</v>
      </c>
      <c r="N107" s="133" t="s">
        <v>1407</v>
      </c>
      <c r="O107" s="4" t="s">
        <v>2052</v>
      </c>
      <c r="P107" s="4" t="s">
        <v>1881</v>
      </c>
      <c r="Q107" s="4" t="s">
        <v>2053</v>
      </c>
      <c r="R107" s="4" t="s">
        <v>2054</v>
      </c>
      <c r="S107" s="4" t="s">
        <v>2055</v>
      </c>
      <c r="T107" s="4" t="s">
        <v>786</v>
      </c>
    </row>
    <row r="108" spans="1:20" customFormat="1">
      <c r="A108" s="10"/>
      <c r="B108" s="4"/>
      <c r="C108" s="4"/>
      <c r="D108" s="133" t="s">
        <v>676</v>
      </c>
      <c r="E108" s="664" t="str">
        <f>+VLOOKUP(F108,Resumen_Base!$C$8:$G$287,5,0)</f>
        <v>Tips</v>
      </c>
      <c r="F108" s="152" t="s">
        <v>366</v>
      </c>
      <c r="G108" s="4" t="s">
        <v>367</v>
      </c>
      <c r="H108" s="4" t="str">
        <f t="shared" si="1"/>
        <v>CAR210609</v>
      </c>
      <c r="I108" s="196">
        <v>-720000</v>
      </c>
      <c r="J108" s="196">
        <v>-480</v>
      </c>
      <c r="K108" s="196">
        <v>1500</v>
      </c>
      <c r="L108" s="454" t="s">
        <v>1017</v>
      </c>
      <c r="M108" s="4" t="s">
        <v>1566</v>
      </c>
      <c r="N108" s="133" t="s">
        <v>1407</v>
      </c>
      <c r="O108" s="4" t="s">
        <v>2058</v>
      </c>
      <c r="P108" s="4" t="s">
        <v>1881</v>
      </c>
      <c r="Q108" s="4" t="s">
        <v>2059</v>
      </c>
      <c r="R108" s="4" t="s">
        <v>2054</v>
      </c>
      <c r="S108" s="4" t="s">
        <v>2060</v>
      </c>
      <c r="T108" s="4" t="s">
        <v>786</v>
      </c>
    </row>
    <row r="109" spans="1:20" customFormat="1">
      <c r="A109" s="10"/>
      <c r="B109" s="4"/>
      <c r="C109" s="4"/>
      <c r="D109" s="133" t="s">
        <v>676</v>
      </c>
      <c r="E109" s="664" t="str">
        <f>+VLOOKUP(F109,Resumen_Base!$C$8:$G$287,5,0)</f>
        <v>Tips</v>
      </c>
      <c r="F109" s="152" t="s">
        <v>366</v>
      </c>
      <c r="G109" s="4" t="s">
        <v>367</v>
      </c>
      <c r="H109" s="4" t="str">
        <f t="shared" si="1"/>
        <v>CAR210609</v>
      </c>
      <c r="I109" s="196">
        <v>-525000</v>
      </c>
      <c r="J109" s="196">
        <v>-350</v>
      </c>
      <c r="K109" s="196">
        <v>1500</v>
      </c>
      <c r="L109" s="454" t="s">
        <v>1017</v>
      </c>
      <c r="M109" s="4" t="s">
        <v>1566</v>
      </c>
      <c r="N109" s="133" t="s">
        <v>1407</v>
      </c>
      <c r="O109" s="4" t="s">
        <v>2058</v>
      </c>
      <c r="P109" s="4" t="s">
        <v>1881</v>
      </c>
      <c r="Q109" s="4" t="s">
        <v>2059</v>
      </c>
      <c r="R109" s="4" t="s">
        <v>2054</v>
      </c>
      <c r="S109" s="4" t="s">
        <v>2060</v>
      </c>
      <c r="T109" s="4" t="s">
        <v>786</v>
      </c>
    </row>
    <row r="110" spans="1:20" customFormat="1">
      <c r="A110" s="10"/>
      <c r="B110" s="4"/>
      <c r="C110" s="4"/>
      <c r="D110" s="133" t="s">
        <v>676</v>
      </c>
      <c r="E110" s="664" t="str">
        <f>+VLOOKUP(F110,Resumen_Base!$C$8:$G$287,5,0)</f>
        <v>Tips</v>
      </c>
      <c r="F110" s="152" t="s">
        <v>366</v>
      </c>
      <c r="G110" s="4" t="s">
        <v>367</v>
      </c>
      <c r="H110" s="4" t="str">
        <f t="shared" si="1"/>
        <v>CAR210609</v>
      </c>
      <c r="I110" s="196">
        <v>-720000</v>
      </c>
      <c r="J110" s="196">
        <v>-480</v>
      </c>
      <c r="K110" s="196">
        <v>1500</v>
      </c>
      <c r="L110" s="454" t="s">
        <v>1017</v>
      </c>
      <c r="M110" s="4" t="s">
        <v>1566</v>
      </c>
      <c r="N110" s="133" t="s">
        <v>1407</v>
      </c>
      <c r="O110" s="4" t="s">
        <v>2061</v>
      </c>
      <c r="P110" s="4" t="s">
        <v>1881</v>
      </c>
      <c r="Q110" s="4" t="s">
        <v>2062</v>
      </c>
      <c r="R110" s="4" t="s">
        <v>2054</v>
      </c>
      <c r="S110" s="4" t="s">
        <v>2063</v>
      </c>
      <c r="T110" s="4" t="s">
        <v>786</v>
      </c>
    </row>
    <row r="111" spans="1:20" customFormat="1">
      <c r="A111" s="10"/>
      <c r="B111" s="4"/>
      <c r="C111" s="4"/>
      <c r="D111" s="133" t="s">
        <v>676</v>
      </c>
      <c r="E111" s="664" t="str">
        <f>+VLOOKUP(F111,Resumen_Base!$C$8:$G$287,5,0)</f>
        <v>Tips</v>
      </c>
      <c r="F111" s="152" t="s">
        <v>366</v>
      </c>
      <c r="G111" s="4" t="s">
        <v>367</v>
      </c>
      <c r="H111" s="4" t="str">
        <f t="shared" si="1"/>
        <v>CAR210609</v>
      </c>
      <c r="I111" s="196">
        <v>-360000</v>
      </c>
      <c r="J111" s="196">
        <v>-240</v>
      </c>
      <c r="K111" s="196">
        <v>1500</v>
      </c>
      <c r="L111" s="454" t="s">
        <v>1017</v>
      </c>
      <c r="M111" s="4" t="s">
        <v>1566</v>
      </c>
      <c r="N111" s="133" t="s">
        <v>1407</v>
      </c>
      <c r="O111" s="4" t="s">
        <v>2061</v>
      </c>
      <c r="P111" s="4" t="s">
        <v>1881</v>
      </c>
      <c r="Q111" s="4" t="s">
        <v>2062</v>
      </c>
      <c r="R111" s="4" t="s">
        <v>2054</v>
      </c>
      <c r="S111" s="4" t="s">
        <v>2063</v>
      </c>
      <c r="T111" s="4" t="s">
        <v>786</v>
      </c>
    </row>
    <row r="112" spans="1:20" customFormat="1">
      <c r="A112" s="10"/>
      <c r="B112" s="4"/>
      <c r="C112" s="4"/>
      <c r="D112" s="133" t="s">
        <v>676</v>
      </c>
      <c r="E112" s="664" t="str">
        <f>+VLOOKUP(F112,Resumen_Base!$C$8:$G$287,5,0)</f>
        <v>Tips</v>
      </c>
      <c r="F112" s="152" t="s">
        <v>366</v>
      </c>
      <c r="G112" s="4" t="s">
        <v>367</v>
      </c>
      <c r="H112" s="4" t="str">
        <f t="shared" si="1"/>
        <v>CAR210609</v>
      </c>
      <c r="I112" s="196">
        <v>-720000</v>
      </c>
      <c r="J112" s="196">
        <v>-480</v>
      </c>
      <c r="K112" s="196">
        <v>1500</v>
      </c>
      <c r="L112" s="454" t="s">
        <v>1017</v>
      </c>
      <c r="M112" s="4" t="s">
        <v>1566</v>
      </c>
      <c r="N112" s="133" t="s">
        <v>1407</v>
      </c>
      <c r="O112" s="4" t="s">
        <v>2064</v>
      </c>
      <c r="P112" s="4" t="s">
        <v>1881</v>
      </c>
      <c r="Q112" s="4" t="s">
        <v>2065</v>
      </c>
      <c r="R112" s="4" t="s">
        <v>2054</v>
      </c>
      <c r="S112" s="4" t="s">
        <v>2066</v>
      </c>
      <c r="T112" s="4" t="s">
        <v>786</v>
      </c>
    </row>
    <row r="113" spans="1:20" customFormat="1">
      <c r="A113" s="10"/>
      <c r="B113" s="4"/>
      <c r="C113" s="4"/>
      <c r="D113" s="133" t="s">
        <v>676</v>
      </c>
      <c r="E113" s="664" t="str">
        <f>+VLOOKUP(F113,Resumen_Base!$C$8:$G$287,5,0)</f>
        <v>Tips</v>
      </c>
      <c r="F113" s="152" t="s">
        <v>366</v>
      </c>
      <c r="G113" s="4" t="s">
        <v>367</v>
      </c>
      <c r="H113" s="4" t="str">
        <f t="shared" si="1"/>
        <v>CAR210609</v>
      </c>
      <c r="I113" s="196">
        <v>-720000</v>
      </c>
      <c r="J113" s="196">
        <v>-480</v>
      </c>
      <c r="K113" s="196">
        <v>1500</v>
      </c>
      <c r="L113" s="454" t="s">
        <v>1017</v>
      </c>
      <c r="M113" s="4" t="s">
        <v>1566</v>
      </c>
      <c r="N113" s="133" t="s">
        <v>1407</v>
      </c>
      <c r="O113" s="4" t="s">
        <v>2064</v>
      </c>
      <c r="P113" s="4" t="s">
        <v>1881</v>
      </c>
      <c r="Q113" s="4" t="s">
        <v>2065</v>
      </c>
      <c r="R113" s="4" t="s">
        <v>2054</v>
      </c>
      <c r="S113" s="4" t="s">
        <v>2066</v>
      </c>
      <c r="T113" s="4" t="s">
        <v>786</v>
      </c>
    </row>
    <row r="114" spans="1:20" customFormat="1">
      <c r="A114" s="10"/>
      <c r="B114" s="4"/>
      <c r="C114" s="4"/>
      <c r="D114" s="133" t="s">
        <v>676</v>
      </c>
      <c r="E114" s="664" t="str">
        <f>+VLOOKUP(F114,Resumen_Base!$C$8:$G$287,5,0)</f>
        <v>Tips</v>
      </c>
      <c r="F114" s="152" t="s">
        <v>366</v>
      </c>
      <c r="G114" s="4" t="s">
        <v>367</v>
      </c>
      <c r="H114" s="4" t="str">
        <f t="shared" si="1"/>
        <v>CAR210609</v>
      </c>
      <c r="I114" s="196">
        <v>-450000</v>
      </c>
      <c r="J114" s="196">
        <v>-300</v>
      </c>
      <c r="K114" s="196">
        <v>1500</v>
      </c>
      <c r="L114" s="454" t="s">
        <v>1017</v>
      </c>
      <c r="M114" s="4" t="s">
        <v>1566</v>
      </c>
      <c r="N114" s="133" t="s">
        <v>1407</v>
      </c>
      <c r="O114" s="4" t="s">
        <v>2067</v>
      </c>
      <c r="P114" s="4" t="s">
        <v>1881</v>
      </c>
      <c r="Q114" s="4" t="s">
        <v>2068</v>
      </c>
      <c r="R114" s="4" t="s">
        <v>2069</v>
      </c>
      <c r="S114" s="4" t="s">
        <v>2070</v>
      </c>
      <c r="T114" s="4" t="s">
        <v>786</v>
      </c>
    </row>
    <row r="115" spans="1:20" customFormat="1">
      <c r="A115" s="10"/>
      <c r="B115" s="4"/>
      <c r="C115" s="4"/>
      <c r="D115" s="133" t="s">
        <v>676</v>
      </c>
      <c r="E115" s="664" t="str">
        <f>+VLOOKUP(F115,Resumen_Base!$C$8:$G$287,5,0)</f>
        <v>Tips</v>
      </c>
      <c r="F115" s="152" t="s">
        <v>366</v>
      </c>
      <c r="G115" s="4" t="s">
        <v>367</v>
      </c>
      <c r="H115" s="4" t="str">
        <f t="shared" si="1"/>
        <v>CAR210609</v>
      </c>
      <c r="I115" s="196">
        <v>-720000</v>
      </c>
      <c r="J115" s="196">
        <v>-480</v>
      </c>
      <c r="K115" s="196">
        <v>1500</v>
      </c>
      <c r="L115" s="454" t="s">
        <v>1017</v>
      </c>
      <c r="M115" s="4" t="s">
        <v>1566</v>
      </c>
      <c r="N115" s="133" t="s">
        <v>1407</v>
      </c>
      <c r="O115" s="4" t="s">
        <v>2067</v>
      </c>
      <c r="P115" s="4" t="s">
        <v>1881</v>
      </c>
      <c r="Q115" s="4" t="s">
        <v>2068</v>
      </c>
      <c r="R115" s="4" t="s">
        <v>2069</v>
      </c>
      <c r="S115" s="4" t="s">
        <v>2070</v>
      </c>
      <c r="T115" s="4" t="s">
        <v>786</v>
      </c>
    </row>
    <row r="116" spans="1:20" customFormat="1">
      <c r="A116" s="10"/>
      <c r="B116" s="4"/>
      <c r="C116" s="4"/>
      <c r="D116" s="133" t="s">
        <v>676</v>
      </c>
      <c r="E116" s="664" t="str">
        <f>+VLOOKUP(F116,Resumen_Base!$C$8:$G$287,5,0)</f>
        <v>Tips</v>
      </c>
      <c r="F116" s="152" t="s">
        <v>366</v>
      </c>
      <c r="G116" s="4" t="s">
        <v>367</v>
      </c>
      <c r="H116" s="4" t="str">
        <f t="shared" si="1"/>
        <v>CAR210609</v>
      </c>
      <c r="I116" s="196">
        <v>-600000</v>
      </c>
      <c r="J116" s="196">
        <v>-400</v>
      </c>
      <c r="K116" s="196">
        <v>1500</v>
      </c>
      <c r="L116" s="454" t="s">
        <v>1017</v>
      </c>
      <c r="M116" s="4" t="s">
        <v>1566</v>
      </c>
      <c r="N116" s="133" t="s">
        <v>1407</v>
      </c>
      <c r="O116" s="4" t="s">
        <v>2071</v>
      </c>
      <c r="P116" s="4" t="s">
        <v>1881</v>
      </c>
      <c r="Q116" s="4" t="s">
        <v>2072</v>
      </c>
      <c r="R116" s="4" t="s">
        <v>2069</v>
      </c>
      <c r="S116" s="4" t="s">
        <v>2073</v>
      </c>
      <c r="T116" s="4" t="s">
        <v>786</v>
      </c>
    </row>
    <row r="117" spans="1:20" customFormat="1">
      <c r="A117" s="10"/>
      <c r="B117" s="4"/>
      <c r="C117" s="4"/>
      <c r="D117" s="133" t="s">
        <v>676</v>
      </c>
      <c r="E117" s="664" t="str">
        <f>+VLOOKUP(F117,Resumen_Base!$C$8:$G$287,5,0)</f>
        <v>Tips</v>
      </c>
      <c r="F117" s="152" t="s">
        <v>366</v>
      </c>
      <c r="G117" s="4" t="s">
        <v>367</v>
      </c>
      <c r="H117" s="4" t="str">
        <f t="shared" si="1"/>
        <v>CAR210609</v>
      </c>
      <c r="I117" s="196">
        <v>-300000</v>
      </c>
      <c r="J117" s="196">
        <v>-200</v>
      </c>
      <c r="K117" s="196">
        <v>1500</v>
      </c>
      <c r="L117" s="454" t="s">
        <v>1017</v>
      </c>
      <c r="M117" s="4" t="s">
        <v>1566</v>
      </c>
      <c r="N117" s="133" t="s">
        <v>1407</v>
      </c>
      <c r="O117" s="4" t="s">
        <v>2071</v>
      </c>
      <c r="P117" s="4" t="s">
        <v>1881</v>
      </c>
      <c r="Q117" s="4" t="s">
        <v>2072</v>
      </c>
      <c r="R117" s="4" t="s">
        <v>2069</v>
      </c>
      <c r="S117" s="4" t="s">
        <v>2073</v>
      </c>
      <c r="T117" s="4" t="s">
        <v>786</v>
      </c>
    </row>
    <row r="118" spans="1:20" customFormat="1">
      <c r="A118" s="10"/>
      <c r="B118" s="4"/>
      <c r="C118" s="4"/>
      <c r="D118" s="133" t="s">
        <v>676</v>
      </c>
      <c r="E118" s="664" t="str">
        <f>+VLOOKUP(F118,Resumen_Base!$C$8:$G$287,5,0)</f>
        <v>Tips</v>
      </c>
      <c r="F118" s="152" t="s">
        <v>366</v>
      </c>
      <c r="G118" s="4" t="s">
        <v>367</v>
      </c>
      <c r="H118" s="4" t="str">
        <f t="shared" si="1"/>
        <v>CAR210609</v>
      </c>
      <c r="I118" s="196">
        <v>-600000</v>
      </c>
      <c r="J118" s="196">
        <v>-400</v>
      </c>
      <c r="K118" s="196">
        <v>1500</v>
      </c>
      <c r="L118" s="454" t="s">
        <v>1017</v>
      </c>
      <c r="M118" s="4" t="s">
        <v>1566</v>
      </c>
      <c r="N118" s="133" t="s">
        <v>1407</v>
      </c>
      <c r="O118" s="4" t="s">
        <v>2074</v>
      </c>
      <c r="P118" s="4" t="s">
        <v>1881</v>
      </c>
      <c r="Q118" s="4" t="s">
        <v>2075</v>
      </c>
      <c r="R118" s="4" t="s">
        <v>2069</v>
      </c>
      <c r="S118" s="4" t="s">
        <v>2076</v>
      </c>
      <c r="T118" s="4" t="s">
        <v>786</v>
      </c>
    </row>
    <row r="119" spans="1:20" customFormat="1">
      <c r="A119" s="10"/>
      <c r="B119" s="4"/>
      <c r="C119" s="4"/>
      <c r="D119" s="133" t="s">
        <v>676</v>
      </c>
      <c r="E119" s="664" t="str">
        <f>+VLOOKUP(F119,Resumen_Base!$C$8:$G$287,5,0)</f>
        <v>Tips</v>
      </c>
      <c r="F119" s="152" t="s">
        <v>366</v>
      </c>
      <c r="G119" s="4" t="s">
        <v>367</v>
      </c>
      <c r="H119" s="4" t="str">
        <f t="shared" si="1"/>
        <v>CAR210609</v>
      </c>
      <c r="I119" s="196">
        <v>-600000</v>
      </c>
      <c r="J119" s="196">
        <v>-400</v>
      </c>
      <c r="K119" s="196">
        <v>1500</v>
      </c>
      <c r="L119" s="454" t="s">
        <v>1017</v>
      </c>
      <c r="M119" s="4" t="s">
        <v>1566</v>
      </c>
      <c r="N119" s="133" t="s">
        <v>1407</v>
      </c>
      <c r="O119" s="4" t="s">
        <v>2074</v>
      </c>
      <c r="P119" s="4" t="s">
        <v>1881</v>
      </c>
      <c r="Q119" s="4" t="s">
        <v>2075</v>
      </c>
      <c r="R119" s="4" t="s">
        <v>2069</v>
      </c>
      <c r="S119" s="4" t="s">
        <v>2076</v>
      </c>
      <c r="T119" s="4" t="s">
        <v>786</v>
      </c>
    </row>
    <row r="120" spans="1:20" customFormat="1">
      <c r="A120" s="10"/>
      <c r="B120" s="4"/>
      <c r="C120" s="4"/>
      <c r="D120" s="133" t="s">
        <v>676</v>
      </c>
      <c r="E120" s="664" t="str">
        <f>+VLOOKUP(F120,Resumen_Base!$C$8:$G$287,5,0)</f>
        <v>Tips</v>
      </c>
      <c r="F120" s="152" t="s">
        <v>366</v>
      </c>
      <c r="G120" s="4" t="s">
        <v>367</v>
      </c>
      <c r="H120" s="4" t="str">
        <f t="shared" si="1"/>
        <v>CAR210609</v>
      </c>
      <c r="I120" s="196">
        <v>-2160000</v>
      </c>
      <c r="J120" s="196">
        <v>-1440</v>
      </c>
      <c r="K120" s="196">
        <v>1500</v>
      </c>
      <c r="L120" s="454" t="s">
        <v>1017</v>
      </c>
      <c r="M120" s="4" t="s">
        <v>1566</v>
      </c>
      <c r="N120" s="133" t="s">
        <v>1407</v>
      </c>
      <c r="O120" s="4" t="s">
        <v>2077</v>
      </c>
      <c r="P120" s="4" t="s">
        <v>1881</v>
      </c>
      <c r="Q120" s="4" t="s">
        <v>2078</v>
      </c>
      <c r="R120" s="4" t="s">
        <v>2079</v>
      </c>
      <c r="S120" s="4" t="s">
        <v>2080</v>
      </c>
      <c r="T120" s="4" t="s">
        <v>786</v>
      </c>
    </row>
    <row r="121" spans="1:20" customFormat="1">
      <c r="A121" s="10"/>
      <c r="B121" s="4"/>
      <c r="C121" s="4"/>
      <c r="D121" s="133" t="s">
        <v>676</v>
      </c>
      <c r="E121" s="664" t="str">
        <f>+VLOOKUP(F121,Resumen_Base!$C$8:$G$287,5,0)</f>
        <v>Tips</v>
      </c>
      <c r="F121" s="152" t="s">
        <v>366</v>
      </c>
      <c r="G121" s="4" t="s">
        <v>367</v>
      </c>
      <c r="H121" s="4" t="str">
        <f t="shared" si="1"/>
        <v>CAR210609</v>
      </c>
      <c r="I121" s="196">
        <v>-3600000</v>
      </c>
      <c r="J121" s="196">
        <v>-2400</v>
      </c>
      <c r="K121" s="196">
        <v>1500</v>
      </c>
      <c r="L121" s="454" t="s">
        <v>1017</v>
      </c>
      <c r="M121" s="4" t="s">
        <v>1566</v>
      </c>
      <c r="N121" s="133" t="s">
        <v>1407</v>
      </c>
      <c r="O121" s="4" t="s">
        <v>2077</v>
      </c>
      <c r="P121" s="4" t="s">
        <v>1881</v>
      </c>
      <c r="Q121" s="4" t="s">
        <v>2078</v>
      </c>
      <c r="R121" s="4" t="s">
        <v>2079</v>
      </c>
      <c r="S121" s="4" t="s">
        <v>2080</v>
      </c>
      <c r="T121" s="4" t="s">
        <v>786</v>
      </c>
    </row>
    <row r="122" spans="1:20" customFormat="1">
      <c r="A122" s="10"/>
      <c r="B122" s="4"/>
      <c r="C122" s="4"/>
      <c r="D122" s="133" t="s">
        <v>676</v>
      </c>
      <c r="E122" s="664" t="str">
        <f>+VLOOKUP(F122,Resumen_Base!$C$8:$G$287,5,0)</f>
        <v>Tips</v>
      </c>
      <c r="F122" s="152" t="s">
        <v>366</v>
      </c>
      <c r="G122" s="4" t="s">
        <v>367</v>
      </c>
      <c r="H122" s="4" t="str">
        <f t="shared" si="1"/>
        <v>CAR210609</v>
      </c>
      <c r="I122" s="196">
        <v>-720000</v>
      </c>
      <c r="J122" s="196">
        <v>-480</v>
      </c>
      <c r="K122" s="196">
        <v>1500</v>
      </c>
      <c r="L122" s="454" t="s">
        <v>1017</v>
      </c>
      <c r="M122" s="4" t="s">
        <v>1566</v>
      </c>
      <c r="N122" s="133" t="s">
        <v>1407</v>
      </c>
      <c r="O122" s="4" t="s">
        <v>2081</v>
      </c>
      <c r="P122" s="4" t="s">
        <v>1881</v>
      </c>
      <c r="Q122" s="4" t="s">
        <v>2082</v>
      </c>
      <c r="R122" s="4" t="s">
        <v>2083</v>
      </c>
      <c r="S122" s="4" t="s">
        <v>2084</v>
      </c>
      <c r="T122" s="4" t="s">
        <v>786</v>
      </c>
    </row>
    <row r="123" spans="1:20" customFormat="1">
      <c r="A123" s="10"/>
      <c r="B123" s="4"/>
      <c r="C123" s="4"/>
      <c r="D123" s="133" t="s">
        <v>676</v>
      </c>
      <c r="E123" s="664" t="str">
        <f>+VLOOKUP(F123,Resumen_Base!$C$8:$G$287,5,0)</f>
        <v>Tips</v>
      </c>
      <c r="F123" s="152" t="s">
        <v>366</v>
      </c>
      <c r="G123" s="4" t="s">
        <v>367</v>
      </c>
      <c r="H123" s="4" t="str">
        <f t="shared" si="1"/>
        <v>CAR210609</v>
      </c>
      <c r="I123" s="196">
        <v>-720000</v>
      </c>
      <c r="J123" s="196">
        <v>-480</v>
      </c>
      <c r="K123" s="196">
        <v>1500</v>
      </c>
      <c r="L123" s="454" t="s">
        <v>1017</v>
      </c>
      <c r="M123" s="4" t="s">
        <v>1566</v>
      </c>
      <c r="N123" s="133" t="s">
        <v>1407</v>
      </c>
      <c r="O123" s="4" t="s">
        <v>2085</v>
      </c>
      <c r="P123" s="4" t="s">
        <v>1881</v>
      </c>
      <c r="Q123" s="4" t="s">
        <v>2086</v>
      </c>
      <c r="R123" s="4" t="s">
        <v>2083</v>
      </c>
      <c r="S123" s="4" t="s">
        <v>2087</v>
      </c>
      <c r="T123" s="4" t="s">
        <v>786</v>
      </c>
    </row>
    <row r="124" spans="1:20" customFormat="1">
      <c r="A124" s="10"/>
      <c r="B124" s="4"/>
      <c r="C124" s="4"/>
      <c r="D124" s="133" t="s">
        <v>676</v>
      </c>
      <c r="E124" s="664" t="str">
        <f>+VLOOKUP(F124,Resumen_Base!$C$8:$G$287,5,0)</f>
        <v>Tips</v>
      </c>
      <c r="F124" s="152" t="s">
        <v>366</v>
      </c>
      <c r="G124" s="4" t="s">
        <v>367</v>
      </c>
      <c r="H124" s="4" t="str">
        <f t="shared" si="1"/>
        <v>CAR210609</v>
      </c>
      <c r="I124" s="196">
        <v>-180000</v>
      </c>
      <c r="J124" s="196">
        <v>-120</v>
      </c>
      <c r="K124" s="196">
        <v>1500</v>
      </c>
      <c r="L124" s="454" t="s">
        <v>1017</v>
      </c>
      <c r="M124" s="4" t="s">
        <v>1566</v>
      </c>
      <c r="N124" s="133" t="s">
        <v>1407</v>
      </c>
      <c r="O124" s="4" t="s">
        <v>2085</v>
      </c>
      <c r="P124" s="4" t="s">
        <v>1881</v>
      </c>
      <c r="Q124" s="4" t="s">
        <v>2086</v>
      </c>
      <c r="R124" s="4" t="s">
        <v>2083</v>
      </c>
      <c r="S124" s="4" t="s">
        <v>2087</v>
      </c>
      <c r="T124" s="4" t="s">
        <v>786</v>
      </c>
    </row>
    <row r="125" spans="1:20" customFormat="1">
      <c r="A125" s="10"/>
      <c r="B125" s="4"/>
      <c r="C125" s="4"/>
      <c r="D125" s="133" t="s">
        <v>676</v>
      </c>
      <c r="E125" s="664" t="str">
        <f>+VLOOKUP(F125,Resumen_Base!$C$8:$G$287,5,0)</f>
        <v>Tips</v>
      </c>
      <c r="F125" s="152" t="s">
        <v>366</v>
      </c>
      <c r="G125" s="4" t="s">
        <v>367</v>
      </c>
      <c r="H125" s="4" t="str">
        <f t="shared" si="1"/>
        <v>CAR210609</v>
      </c>
      <c r="I125" s="196">
        <v>-1499999.85</v>
      </c>
      <c r="J125" s="196">
        <v>-999.99990000000003</v>
      </c>
      <c r="K125" s="196">
        <v>1500</v>
      </c>
      <c r="L125" s="454" t="s">
        <v>1017</v>
      </c>
      <c r="M125" s="4" t="s">
        <v>1566</v>
      </c>
      <c r="N125" s="133" t="s">
        <v>1407</v>
      </c>
      <c r="O125" s="4" t="s">
        <v>2088</v>
      </c>
      <c r="P125" s="4" t="s">
        <v>1881</v>
      </c>
      <c r="Q125" s="4" t="s">
        <v>2089</v>
      </c>
      <c r="R125" s="4" t="s">
        <v>2083</v>
      </c>
      <c r="S125" s="4" t="s">
        <v>2090</v>
      </c>
      <c r="T125" s="4" t="s">
        <v>786</v>
      </c>
    </row>
    <row r="126" spans="1:20" customFormat="1">
      <c r="A126" s="10"/>
      <c r="B126" s="4"/>
      <c r="C126" s="4"/>
      <c r="D126" s="133" t="s">
        <v>676</v>
      </c>
      <c r="E126" s="664" t="str">
        <f>+VLOOKUP(F126,Resumen_Base!$C$8:$G$287,5,0)</f>
        <v>Tips</v>
      </c>
      <c r="F126" s="152" t="s">
        <v>366</v>
      </c>
      <c r="G126" s="4" t="s">
        <v>367</v>
      </c>
      <c r="H126" s="4" t="str">
        <f t="shared" si="1"/>
        <v>CAR210609</v>
      </c>
      <c r="I126" s="196">
        <v>-1440000</v>
      </c>
      <c r="J126" s="196">
        <v>-960</v>
      </c>
      <c r="K126" s="196">
        <v>1500</v>
      </c>
      <c r="L126" s="454" t="s">
        <v>1017</v>
      </c>
      <c r="M126" s="4" t="s">
        <v>1566</v>
      </c>
      <c r="N126" s="133" t="s">
        <v>1407</v>
      </c>
      <c r="O126" s="4" t="s">
        <v>2088</v>
      </c>
      <c r="P126" s="4" t="s">
        <v>1881</v>
      </c>
      <c r="Q126" s="4" t="s">
        <v>2089</v>
      </c>
      <c r="R126" s="4" t="s">
        <v>2083</v>
      </c>
      <c r="S126" s="4" t="s">
        <v>2090</v>
      </c>
      <c r="T126" s="4" t="s">
        <v>786</v>
      </c>
    </row>
    <row r="127" spans="1:20" customFormat="1">
      <c r="A127" s="10"/>
      <c r="B127" s="4"/>
      <c r="C127" s="4"/>
      <c r="D127" s="133" t="s">
        <v>676</v>
      </c>
      <c r="E127" s="664" t="str">
        <f>+VLOOKUP(F127,Resumen_Base!$C$8:$G$287,5,0)</f>
        <v>Tips</v>
      </c>
      <c r="F127" s="152" t="s">
        <v>366</v>
      </c>
      <c r="G127" s="4" t="s">
        <v>367</v>
      </c>
      <c r="H127" s="4" t="str">
        <f t="shared" si="1"/>
        <v>CAR210609</v>
      </c>
      <c r="I127" s="196">
        <v>-585000</v>
      </c>
      <c r="J127" s="196">
        <v>-390</v>
      </c>
      <c r="K127" s="196">
        <v>1500</v>
      </c>
      <c r="L127" s="454" t="s">
        <v>2094</v>
      </c>
      <c r="M127" s="4"/>
      <c r="N127" s="133" t="s">
        <v>1407</v>
      </c>
      <c r="O127" s="4"/>
      <c r="P127" s="4" t="s">
        <v>2095</v>
      </c>
      <c r="Q127" s="4" t="s">
        <v>2096</v>
      </c>
      <c r="R127" s="4" t="s">
        <v>367</v>
      </c>
      <c r="S127" s="4" t="s">
        <v>2097</v>
      </c>
      <c r="T127" s="4" t="s">
        <v>786</v>
      </c>
    </row>
    <row r="128" spans="1:20" customFormat="1">
      <c r="A128" s="10"/>
      <c r="B128" s="4"/>
      <c r="C128" s="4"/>
      <c r="D128" s="133" t="s">
        <v>676</v>
      </c>
      <c r="E128" s="664" t="str">
        <f>+VLOOKUP(F128,Resumen_Base!$C$8:$G$287,5,0)</f>
        <v>Tips</v>
      </c>
      <c r="F128" s="152" t="s">
        <v>366</v>
      </c>
      <c r="G128" s="4" t="s">
        <v>367</v>
      </c>
      <c r="H128" s="4" t="str">
        <f t="shared" si="1"/>
        <v>CAR210609</v>
      </c>
      <c r="I128" s="196">
        <v>-585000</v>
      </c>
      <c r="J128" s="196">
        <v>-390</v>
      </c>
      <c r="K128" s="196">
        <v>1500</v>
      </c>
      <c r="L128" s="454" t="s">
        <v>2094</v>
      </c>
      <c r="M128" s="4"/>
      <c r="N128" s="133" t="s">
        <v>1407</v>
      </c>
      <c r="O128" s="4"/>
      <c r="P128" s="4" t="s">
        <v>2095</v>
      </c>
      <c r="Q128" s="4" t="s">
        <v>2098</v>
      </c>
      <c r="R128" s="4" t="s">
        <v>367</v>
      </c>
      <c r="S128" s="4" t="s">
        <v>2097</v>
      </c>
      <c r="T128" s="4" t="s">
        <v>786</v>
      </c>
    </row>
    <row r="129" spans="1:20" customFormat="1">
      <c r="A129" s="10"/>
      <c r="B129" s="4"/>
      <c r="C129" s="4"/>
      <c r="D129" s="133" t="s">
        <v>676</v>
      </c>
      <c r="E129" s="664" t="str">
        <f>+VLOOKUP(F129,Resumen_Base!$C$8:$G$287,5,0)</f>
        <v>Tips</v>
      </c>
      <c r="F129" s="152" t="s">
        <v>366</v>
      </c>
      <c r="G129" s="4" t="s">
        <v>367</v>
      </c>
      <c r="H129" s="4" t="str">
        <f t="shared" si="1"/>
        <v>CAR210609</v>
      </c>
      <c r="I129" s="196">
        <v>-585000</v>
      </c>
      <c r="J129" s="196">
        <v>-390</v>
      </c>
      <c r="K129" s="196">
        <v>1500</v>
      </c>
      <c r="L129" s="454" t="s">
        <v>2094</v>
      </c>
      <c r="M129" s="4"/>
      <c r="N129" s="133" t="s">
        <v>1407</v>
      </c>
      <c r="O129" s="4"/>
      <c r="P129" s="4" t="s">
        <v>2095</v>
      </c>
      <c r="Q129" s="4" t="s">
        <v>2099</v>
      </c>
      <c r="R129" s="4" t="s">
        <v>367</v>
      </c>
      <c r="S129" s="4" t="s">
        <v>2097</v>
      </c>
      <c r="T129" s="4" t="s">
        <v>786</v>
      </c>
    </row>
    <row r="130" spans="1:20" customFormat="1">
      <c r="A130" s="10"/>
      <c r="B130" s="4"/>
      <c r="C130" s="4"/>
      <c r="D130" s="133" t="s">
        <v>676</v>
      </c>
      <c r="E130" s="664" t="str">
        <f>+VLOOKUP(F130,Resumen_Base!$C$8:$G$287,5,0)</f>
        <v>Tips</v>
      </c>
      <c r="F130" s="152" t="s">
        <v>366</v>
      </c>
      <c r="G130" s="4" t="s">
        <v>367</v>
      </c>
      <c r="H130" s="4" t="str">
        <f t="shared" si="1"/>
        <v>CAR210609</v>
      </c>
      <c r="I130" s="196">
        <v>-585000</v>
      </c>
      <c r="J130" s="196">
        <v>-390</v>
      </c>
      <c r="K130" s="196">
        <v>1500</v>
      </c>
      <c r="L130" s="454" t="s">
        <v>2094</v>
      </c>
      <c r="M130" s="4"/>
      <c r="N130" s="133" t="s">
        <v>1407</v>
      </c>
      <c r="O130" s="4"/>
      <c r="P130" s="4" t="s">
        <v>2095</v>
      </c>
      <c r="Q130" s="4" t="s">
        <v>2100</v>
      </c>
      <c r="R130" s="4" t="s">
        <v>367</v>
      </c>
      <c r="S130" s="4" t="s">
        <v>2097</v>
      </c>
      <c r="T130" s="4" t="s">
        <v>786</v>
      </c>
    </row>
    <row r="131" spans="1:20" customFormat="1">
      <c r="A131" s="10"/>
      <c r="B131" s="4"/>
      <c r="C131" s="4"/>
      <c r="D131" s="133" t="s">
        <v>676</v>
      </c>
      <c r="E131" s="664" t="str">
        <f>+VLOOKUP(F131,Resumen_Base!$C$8:$G$287,5,0)</f>
        <v>Tips</v>
      </c>
      <c r="F131" s="152" t="s">
        <v>366</v>
      </c>
      <c r="G131" s="4" t="s">
        <v>367</v>
      </c>
      <c r="H131" s="4" t="str">
        <f t="shared" si="1"/>
        <v>CAR210609</v>
      </c>
      <c r="I131" s="196">
        <v>-810000</v>
      </c>
      <c r="J131" s="196">
        <v>-540</v>
      </c>
      <c r="K131" s="196">
        <v>1500</v>
      </c>
      <c r="L131" s="454" t="s">
        <v>2094</v>
      </c>
      <c r="M131" s="4"/>
      <c r="N131" s="133" t="s">
        <v>1407</v>
      </c>
      <c r="O131" s="4"/>
      <c r="P131" s="4" t="s">
        <v>2095</v>
      </c>
      <c r="Q131" s="4" t="s">
        <v>2101</v>
      </c>
      <c r="R131" s="4" t="s">
        <v>367</v>
      </c>
      <c r="S131" s="4" t="s">
        <v>2097</v>
      </c>
      <c r="T131" s="4" t="s">
        <v>786</v>
      </c>
    </row>
    <row r="132" spans="1:20" customFormat="1">
      <c r="A132" s="10"/>
      <c r="B132" s="4"/>
      <c r="C132" s="4"/>
      <c r="D132" s="133" t="s">
        <v>676</v>
      </c>
      <c r="E132" s="664" t="str">
        <f>+VLOOKUP(F132,Resumen_Base!$C$8:$G$287,5,0)</f>
        <v>Tips</v>
      </c>
      <c r="F132" s="152" t="s">
        <v>366</v>
      </c>
      <c r="G132" s="4" t="s">
        <v>367</v>
      </c>
      <c r="H132" s="4" t="str">
        <f t="shared" si="1"/>
        <v>CAR210609</v>
      </c>
      <c r="I132" s="196">
        <v>-465000</v>
      </c>
      <c r="J132" s="196">
        <v>-310</v>
      </c>
      <c r="K132" s="196">
        <v>1500</v>
      </c>
      <c r="L132" s="454" t="s">
        <v>2094</v>
      </c>
      <c r="M132" s="4"/>
      <c r="N132" s="133" t="s">
        <v>1407</v>
      </c>
      <c r="O132" s="4"/>
      <c r="P132" s="4" t="s">
        <v>2095</v>
      </c>
      <c r="Q132" s="4" t="s">
        <v>2102</v>
      </c>
      <c r="R132" s="4" t="s">
        <v>367</v>
      </c>
      <c r="S132" s="4" t="s">
        <v>2097</v>
      </c>
      <c r="T132" s="4" t="s">
        <v>786</v>
      </c>
    </row>
    <row r="133" spans="1:20" customFormat="1">
      <c r="A133" s="10"/>
      <c r="B133" s="4"/>
      <c r="C133" s="4"/>
      <c r="D133" s="133" t="s">
        <v>676</v>
      </c>
      <c r="E133" s="664" t="str">
        <f>+VLOOKUP(F133,Resumen_Base!$C$8:$G$287,5,0)</f>
        <v>Tips</v>
      </c>
      <c r="F133" s="152" t="s">
        <v>366</v>
      </c>
      <c r="G133" s="4" t="s">
        <v>367</v>
      </c>
      <c r="H133" s="4" t="str">
        <f t="shared" si="1"/>
        <v>CAR210609</v>
      </c>
      <c r="I133" s="196">
        <v>-930000</v>
      </c>
      <c r="J133" s="196">
        <v>-620</v>
      </c>
      <c r="K133" s="196">
        <v>1500</v>
      </c>
      <c r="L133" s="454" t="s">
        <v>2094</v>
      </c>
      <c r="M133" s="4"/>
      <c r="N133" s="133" t="s">
        <v>1407</v>
      </c>
      <c r="O133" s="4"/>
      <c r="P133" s="4" t="s">
        <v>2095</v>
      </c>
      <c r="Q133" s="4" t="s">
        <v>2103</v>
      </c>
      <c r="R133" s="4" t="s">
        <v>367</v>
      </c>
      <c r="S133" s="4" t="s">
        <v>2097</v>
      </c>
      <c r="T133" s="4" t="s">
        <v>786</v>
      </c>
    </row>
    <row r="134" spans="1:20" customFormat="1">
      <c r="A134" s="10"/>
      <c r="B134" s="4"/>
      <c r="C134" s="4"/>
      <c r="D134" s="133" t="s">
        <v>676</v>
      </c>
      <c r="E134" s="664" t="str">
        <f>+VLOOKUP(F134,Resumen_Base!$C$8:$G$287,5,0)</f>
        <v>Extras</v>
      </c>
      <c r="F134" s="152" t="s">
        <v>291</v>
      </c>
      <c r="G134" s="4" t="s">
        <v>292</v>
      </c>
      <c r="H134" s="4" t="str">
        <f t="shared" si="1"/>
        <v>CAR4103</v>
      </c>
      <c r="I134" s="196">
        <v>-180000</v>
      </c>
      <c r="J134" s="196">
        <v>-120</v>
      </c>
      <c r="K134" s="196">
        <v>1500</v>
      </c>
      <c r="L134" s="454" t="s">
        <v>1017</v>
      </c>
      <c r="M134" s="4" t="s">
        <v>1566</v>
      </c>
      <c r="N134" s="133" t="s">
        <v>1407</v>
      </c>
      <c r="O134" s="4" t="s">
        <v>2061</v>
      </c>
      <c r="P134" s="4" t="s">
        <v>1881</v>
      </c>
      <c r="Q134" s="4" t="s">
        <v>2062</v>
      </c>
      <c r="R134" s="4" t="s">
        <v>2054</v>
      </c>
      <c r="S134" s="4" t="s">
        <v>2063</v>
      </c>
      <c r="T134" s="4" t="s">
        <v>786</v>
      </c>
    </row>
    <row r="135" spans="1:20" customFormat="1">
      <c r="A135" s="10"/>
      <c r="B135" s="4"/>
      <c r="C135" s="4"/>
      <c r="D135" s="133" t="s">
        <v>676</v>
      </c>
      <c r="E135" s="664" t="str">
        <f>+VLOOKUP(F135,Resumen_Base!$C$8:$G$287,5,0)</f>
        <v>Extras</v>
      </c>
      <c r="F135" s="152" t="s">
        <v>291</v>
      </c>
      <c r="G135" s="4" t="s">
        <v>292</v>
      </c>
      <c r="H135" s="4" t="str">
        <f t="shared" si="1"/>
        <v>CAR4103</v>
      </c>
      <c r="I135" s="196">
        <v>-40500</v>
      </c>
      <c r="J135" s="196">
        <v>-27</v>
      </c>
      <c r="K135" s="196">
        <v>1500</v>
      </c>
      <c r="L135" s="454" t="s">
        <v>1017</v>
      </c>
      <c r="M135" s="4" t="s">
        <v>1566</v>
      </c>
      <c r="N135" s="133" t="s">
        <v>1407</v>
      </c>
      <c r="O135" s="4" t="s">
        <v>2064</v>
      </c>
      <c r="P135" s="4" t="s">
        <v>1881</v>
      </c>
      <c r="Q135" s="4" t="s">
        <v>2065</v>
      </c>
      <c r="R135" s="4" t="s">
        <v>2054</v>
      </c>
      <c r="S135" s="4" t="s">
        <v>2066</v>
      </c>
      <c r="T135" s="4" t="s">
        <v>786</v>
      </c>
    </row>
    <row r="136" spans="1:20" customFormat="1">
      <c r="A136" s="10"/>
      <c r="B136" s="4"/>
      <c r="C136" s="4"/>
      <c r="D136" s="133" t="s">
        <v>676</v>
      </c>
      <c r="E136" s="664" t="str">
        <f>+VLOOKUP(F136,Resumen_Base!$C$8:$G$287,5,0)</f>
        <v>Extras</v>
      </c>
      <c r="F136" s="152" t="s">
        <v>291</v>
      </c>
      <c r="G136" s="4" t="s">
        <v>292</v>
      </c>
      <c r="H136" s="4" t="str">
        <f t="shared" si="1"/>
        <v>CAR4103</v>
      </c>
      <c r="I136" s="196">
        <v>-195000</v>
      </c>
      <c r="J136" s="196">
        <v>-130</v>
      </c>
      <c r="K136" s="196">
        <v>1500</v>
      </c>
      <c r="L136" s="454" t="s">
        <v>1017</v>
      </c>
      <c r="M136" s="4" t="s">
        <v>1566</v>
      </c>
      <c r="N136" s="133" t="s">
        <v>1407</v>
      </c>
      <c r="O136" s="4" t="s">
        <v>2077</v>
      </c>
      <c r="P136" s="4" t="s">
        <v>1881</v>
      </c>
      <c r="Q136" s="4" t="s">
        <v>2078</v>
      </c>
      <c r="R136" s="4" t="s">
        <v>2079</v>
      </c>
      <c r="S136" s="4" t="s">
        <v>2080</v>
      </c>
      <c r="T136" s="4" t="s">
        <v>786</v>
      </c>
    </row>
    <row r="137" spans="1:20" customFormat="1">
      <c r="A137" s="10"/>
      <c r="B137" s="4"/>
      <c r="C137" s="4"/>
      <c r="D137" s="133" t="s">
        <v>676</v>
      </c>
      <c r="E137" s="664" t="str">
        <f>+VLOOKUP(F137,Resumen_Base!$C$8:$G$287,5,0)</f>
        <v>Shop</v>
      </c>
      <c r="F137" s="152" t="s">
        <v>293</v>
      </c>
      <c r="G137" s="4" t="s">
        <v>294</v>
      </c>
      <c r="H137" s="4" t="str">
        <f t="shared" si="1"/>
        <v>CAR4104</v>
      </c>
      <c r="I137" s="196">
        <v>-56800</v>
      </c>
      <c r="J137" s="196">
        <v>-40</v>
      </c>
      <c r="K137" s="196">
        <v>1420</v>
      </c>
      <c r="L137" s="454" t="s">
        <v>787</v>
      </c>
      <c r="M137" s="4" t="s">
        <v>1566</v>
      </c>
      <c r="N137" s="133" t="s">
        <v>1407</v>
      </c>
      <c r="O137" s="4" t="s">
        <v>1578</v>
      </c>
      <c r="P137" s="4" t="s">
        <v>1568</v>
      </c>
      <c r="Q137" s="4" t="s">
        <v>1579</v>
      </c>
      <c r="R137" s="4" t="s">
        <v>1570</v>
      </c>
      <c r="S137" s="4" t="s">
        <v>1580</v>
      </c>
      <c r="T137" s="4" t="s">
        <v>786</v>
      </c>
    </row>
    <row r="138" spans="1:20" customFormat="1">
      <c r="A138" s="10"/>
      <c r="B138" s="4"/>
      <c r="C138" s="4"/>
      <c r="D138" s="133" t="s">
        <v>676</v>
      </c>
      <c r="E138" s="664" t="str">
        <f>+VLOOKUP(F138,Resumen_Base!$C$8:$G$287,5,0)</f>
        <v>Shop</v>
      </c>
      <c r="F138" s="152" t="s">
        <v>293</v>
      </c>
      <c r="G138" s="4" t="s">
        <v>294</v>
      </c>
      <c r="H138" s="4" t="str">
        <f t="shared" si="1"/>
        <v>CAR4104</v>
      </c>
      <c r="I138" s="196">
        <v>-56800</v>
      </c>
      <c r="J138" s="196">
        <v>-40</v>
      </c>
      <c r="K138" s="196">
        <v>1420</v>
      </c>
      <c r="L138" s="454" t="s">
        <v>787</v>
      </c>
      <c r="M138" s="4" t="s">
        <v>1566</v>
      </c>
      <c r="N138" s="133" t="s">
        <v>1407</v>
      </c>
      <c r="O138" s="4" t="s">
        <v>1596</v>
      </c>
      <c r="P138" s="4" t="s">
        <v>1568</v>
      </c>
      <c r="Q138" s="4" t="s">
        <v>1597</v>
      </c>
      <c r="R138" s="4" t="s">
        <v>1570</v>
      </c>
      <c r="S138" s="4" t="s">
        <v>1598</v>
      </c>
      <c r="T138" s="4" t="s">
        <v>786</v>
      </c>
    </row>
    <row r="139" spans="1:20" customFormat="1">
      <c r="A139" s="10"/>
      <c r="B139" s="4"/>
      <c r="C139" s="4"/>
      <c r="D139" s="133" t="s">
        <v>676</v>
      </c>
      <c r="E139" s="664" t="str">
        <f>+VLOOKUP(F139,Resumen_Base!$C$8:$G$287,5,0)</f>
        <v>Shop</v>
      </c>
      <c r="F139" s="152" t="s">
        <v>293</v>
      </c>
      <c r="G139" s="4" t="s">
        <v>294</v>
      </c>
      <c r="H139" s="4" t="str">
        <f t="shared" si="1"/>
        <v>CAR4104</v>
      </c>
      <c r="I139" s="196">
        <v>-324300</v>
      </c>
      <c r="J139" s="196">
        <v>-230</v>
      </c>
      <c r="K139" s="196">
        <v>1410</v>
      </c>
      <c r="L139" s="454" t="s">
        <v>899</v>
      </c>
      <c r="M139" s="4" t="s">
        <v>1566</v>
      </c>
      <c r="N139" s="133" t="s">
        <v>1407</v>
      </c>
      <c r="O139" s="4" t="s">
        <v>1885</v>
      </c>
      <c r="P139" s="4" t="s">
        <v>1881</v>
      </c>
      <c r="Q139" s="4" t="s">
        <v>1886</v>
      </c>
      <c r="R139" s="4" t="s">
        <v>1883</v>
      </c>
      <c r="S139" s="4" t="s">
        <v>1887</v>
      </c>
      <c r="T139" s="4" t="s">
        <v>786</v>
      </c>
    </row>
    <row r="140" spans="1:20" customFormat="1">
      <c r="A140" s="10"/>
      <c r="B140" s="4"/>
      <c r="C140" s="4"/>
      <c r="D140" s="133" t="s">
        <v>676</v>
      </c>
      <c r="E140" s="664" t="str">
        <f>+VLOOKUP(F140,Resumen_Base!$C$8:$G$287,5,0)</f>
        <v>Shop</v>
      </c>
      <c r="F140" s="152" t="s">
        <v>293</v>
      </c>
      <c r="G140" s="4" t="s">
        <v>294</v>
      </c>
      <c r="H140" s="4" t="str">
        <f t="shared" ref="H140:H203" si="2">+D140&amp;F140</f>
        <v>CAR4104</v>
      </c>
      <c r="I140" s="196">
        <v>-155100</v>
      </c>
      <c r="J140" s="196">
        <v>-110</v>
      </c>
      <c r="K140" s="196">
        <v>1410</v>
      </c>
      <c r="L140" s="454" t="s">
        <v>899</v>
      </c>
      <c r="M140" s="4" t="s">
        <v>1566</v>
      </c>
      <c r="N140" s="133" t="s">
        <v>1407</v>
      </c>
      <c r="O140" s="4" t="s">
        <v>1885</v>
      </c>
      <c r="P140" s="4" t="s">
        <v>1881</v>
      </c>
      <c r="Q140" s="4" t="s">
        <v>1886</v>
      </c>
      <c r="R140" s="4" t="s">
        <v>1883</v>
      </c>
      <c r="S140" s="4" t="s">
        <v>1887</v>
      </c>
      <c r="T140" s="4" t="s">
        <v>786</v>
      </c>
    </row>
    <row r="141" spans="1:20" customFormat="1">
      <c r="A141" s="10"/>
      <c r="B141" s="4"/>
      <c r="C141" s="4"/>
      <c r="D141" s="133" t="s">
        <v>676</v>
      </c>
      <c r="E141" s="664" t="str">
        <f>+VLOOKUP(F141,Resumen_Base!$C$8:$G$287,5,0)</f>
        <v>Shop</v>
      </c>
      <c r="F141" s="152" t="s">
        <v>293</v>
      </c>
      <c r="G141" s="4" t="s">
        <v>294</v>
      </c>
      <c r="H141" s="4" t="str">
        <f t="shared" si="2"/>
        <v>CAR4104</v>
      </c>
      <c r="I141" s="196">
        <v>-246750</v>
      </c>
      <c r="J141" s="196">
        <v>-175</v>
      </c>
      <c r="K141" s="196">
        <v>1410</v>
      </c>
      <c r="L141" s="454" t="s">
        <v>899</v>
      </c>
      <c r="M141" s="4" t="s">
        <v>1566</v>
      </c>
      <c r="N141" s="133" t="s">
        <v>1407</v>
      </c>
      <c r="O141" s="4" t="s">
        <v>1888</v>
      </c>
      <c r="P141" s="4" t="s">
        <v>1881</v>
      </c>
      <c r="Q141" s="4" t="s">
        <v>1889</v>
      </c>
      <c r="R141" s="4" t="s">
        <v>1883</v>
      </c>
      <c r="S141" s="4" t="s">
        <v>1890</v>
      </c>
      <c r="T141" s="4" t="s">
        <v>786</v>
      </c>
    </row>
    <row r="142" spans="1:20" customFormat="1">
      <c r="A142" s="10"/>
      <c r="B142" s="4"/>
      <c r="C142" s="4"/>
      <c r="D142" s="133" t="s">
        <v>676</v>
      </c>
      <c r="E142" s="664" t="str">
        <f>+VLOOKUP(F142,Resumen_Base!$C$8:$G$287,5,0)</f>
        <v>Shop</v>
      </c>
      <c r="F142" s="152" t="s">
        <v>293</v>
      </c>
      <c r="G142" s="4" t="s">
        <v>294</v>
      </c>
      <c r="H142" s="4" t="str">
        <f t="shared" si="2"/>
        <v>CAR4104</v>
      </c>
      <c r="I142" s="196">
        <v>-35250</v>
      </c>
      <c r="J142" s="196">
        <v>-25</v>
      </c>
      <c r="K142" s="196">
        <v>1410</v>
      </c>
      <c r="L142" s="454" t="s">
        <v>899</v>
      </c>
      <c r="M142" s="4" t="s">
        <v>1566</v>
      </c>
      <c r="N142" s="133" t="s">
        <v>1407</v>
      </c>
      <c r="O142" s="4" t="s">
        <v>1888</v>
      </c>
      <c r="P142" s="4" t="s">
        <v>1881</v>
      </c>
      <c r="Q142" s="4" t="s">
        <v>1889</v>
      </c>
      <c r="R142" s="4" t="s">
        <v>1883</v>
      </c>
      <c r="S142" s="4" t="s">
        <v>1890</v>
      </c>
      <c r="T142" s="4" t="s">
        <v>786</v>
      </c>
    </row>
    <row r="143" spans="1:20" customFormat="1">
      <c r="A143" s="10"/>
      <c r="B143" s="4"/>
      <c r="C143" s="4"/>
      <c r="D143" s="133" t="s">
        <v>676</v>
      </c>
      <c r="E143" s="664" t="str">
        <f>+VLOOKUP(F143,Resumen_Base!$C$8:$G$287,5,0)</f>
        <v>Shop</v>
      </c>
      <c r="F143" s="152" t="s">
        <v>293</v>
      </c>
      <c r="G143" s="4" t="s">
        <v>294</v>
      </c>
      <c r="H143" s="4" t="str">
        <f t="shared" si="2"/>
        <v>CAR4104</v>
      </c>
      <c r="I143" s="196">
        <v>-98700</v>
      </c>
      <c r="J143" s="196">
        <v>-70</v>
      </c>
      <c r="K143" s="196">
        <v>1410</v>
      </c>
      <c r="L143" s="454" t="s">
        <v>899</v>
      </c>
      <c r="M143" s="4" t="s">
        <v>1566</v>
      </c>
      <c r="N143" s="133" t="s">
        <v>1407</v>
      </c>
      <c r="O143" s="4" t="s">
        <v>1894</v>
      </c>
      <c r="P143" s="4" t="s">
        <v>1881</v>
      </c>
      <c r="Q143" s="4" t="s">
        <v>1895</v>
      </c>
      <c r="R143" s="4" t="s">
        <v>1896</v>
      </c>
      <c r="S143" s="4" t="s">
        <v>1897</v>
      </c>
      <c r="T143" s="4" t="s">
        <v>786</v>
      </c>
    </row>
    <row r="144" spans="1:20" customFormat="1">
      <c r="A144" s="10"/>
      <c r="B144" s="4"/>
      <c r="C144" s="4"/>
      <c r="D144" s="133" t="s">
        <v>676</v>
      </c>
      <c r="E144" s="664" t="str">
        <f>+VLOOKUP(F144,Resumen_Base!$C$8:$G$287,5,0)</f>
        <v>Shop</v>
      </c>
      <c r="F144" s="152" t="s">
        <v>293</v>
      </c>
      <c r="G144" s="4" t="s">
        <v>294</v>
      </c>
      <c r="H144" s="4" t="str">
        <f t="shared" si="2"/>
        <v>CAR4104</v>
      </c>
      <c r="I144" s="196">
        <v>-35250</v>
      </c>
      <c r="J144" s="196">
        <v>-25</v>
      </c>
      <c r="K144" s="196">
        <v>1410</v>
      </c>
      <c r="L144" s="454" t="s">
        <v>899</v>
      </c>
      <c r="M144" s="4" t="s">
        <v>1566</v>
      </c>
      <c r="N144" s="133" t="s">
        <v>1407</v>
      </c>
      <c r="O144" s="4" t="s">
        <v>1894</v>
      </c>
      <c r="P144" s="4" t="s">
        <v>1881</v>
      </c>
      <c r="Q144" s="4" t="s">
        <v>1895</v>
      </c>
      <c r="R144" s="4" t="s">
        <v>1896</v>
      </c>
      <c r="S144" s="4" t="s">
        <v>1897</v>
      </c>
      <c r="T144" s="4" t="s">
        <v>786</v>
      </c>
    </row>
    <row r="145" spans="1:20" customFormat="1">
      <c r="A145" s="10"/>
      <c r="B145" s="4"/>
      <c r="C145" s="4"/>
      <c r="D145" s="133" t="s">
        <v>676</v>
      </c>
      <c r="E145" s="664" t="str">
        <f>+VLOOKUP(F145,Resumen_Base!$C$8:$G$287,5,0)</f>
        <v>Shop</v>
      </c>
      <c r="F145" s="152" t="s">
        <v>293</v>
      </c>
      <c r="G145" s="4" t="s">
        <v>294</v>
      </c>
      <c r="H145" s="4" t="str">
        <f t="shared" si="2"/>
        <v>CAR4104</v>
      </c>
      <c r="I145" s="196">
        <v>-35250</v>
      </c>
      <c r="J145" s="196">
        <v>-25</v>
      </c>
      <c r="K145" s="196">
        <v>1410</v>
      </c>
      <c r="L145" s="454" t="s">
        <v>899</v>
      </c>
      <c r="M145" s="4" t="s">
        <v>1566</v>
      </c>
      <c r="N145" s="133" t="s">
        <v>1407</v>
      </c>
      <c r="O145" s="4" t="s">
        <v>1894</v>
      </c>
      <c r="P145" s="4" t="s">
        <v>1881</v>
      </c>
      <c r="Q145" s="4" t="s">
        <v>1895</v>
      </c>
      <c r="R145" s="4" t="s">
        <v>1896</v>
      </c>
      <c r="S145" s="4" t="s">
        <v>1897</v>
      </c>
      <c r="T145" s="4" t="s">
        <v>786</v>
      </c>
    </row>
    <row r="146" spans="1:20" customFormat="1">
      <c r="A146" s="10"/>
      <c r="B146" s="4"/>
      <c r="C146" s="4"/>
      <c r="D146" s="133" t="s">
        <v>676</v>
      </c>
      <c r="E146" s="664" t="str">
        <f>+VLOOKUP(F146,Resumen_Base!$C$8:$G$287,5,0)</f>
        <v>Shop</v>
      </c>
      <c r="F146" s="152" t="s">
        <v>293</v>
      </c>
      <c r="G146" s="4" t="s">
        <v>294</v>
      </c>
      <c r="H146" s="4" t="str">
        <f t="shared" si="2"/>
        <v>CAR4104</v>
      </c>
      <c r="I146" s="196">
        <v>-105750</v>
      </c>
      <c r="J146" s="196">
        <v>-75</v>
      </c>
      <c r="K146" s="196">
        <v>1410</v>
      </c>
      <c r="L146" s="454" t="s">
        <v>899</v>
      </c>
      <c r="M146" s="4" t="s">
        <v>1566</v>
      </c>
      <c r="N146" s="133" t="s">
        <v>1407</v>
      </c>
      <c r="O146" s="4" t="s">
        <v>1894</v>
      </c>
      <c r="P146" s="4" t="s">
        <v>1881</v>
      </c>
      <c r="Q146" s="4" t="s">
        <v>1895</v>
      </c>
      <c r="R146" s="4" t="s">
        <v>1896</v>
      </c>
      <c r="S146" s="4" t="s">
        <v>1897</v>
      </c>
      <c r="T146" s="4" t="s">
        <v>786</v>
      </c>
    </row>
    <row r="147" spans="1:20" customFormat="1">
      <c r="A147" s="10"/>
      <c r="B147" s="4"/>
      <c r="C147" s="4"/>
      <c r="D147" s="133" t="s">
        <v>676</v>
      </c>
      <c r="E147" s="664" t="str">
        <f>+VLOOKUP(F147,Resumen_Base!$C$8:$G$287,5,0)</f>
        <v>Shop</v>
      </c>
      <c r="F147" s="152" t="s">
        <v>293</v>
      </c>
      <c r="G147" s="4" t="s">
        <v>294</v>
      </c>
      <c r="H147" s="4" t="str">
        <f t="shared" si="2"/>
        <v>CAR4104</v>
      </c>
      <c r="I147" s="196">
        <v>-169200</v>
      </c>
      <c r="J147" s="196">
        <v>-120</v>
      </c>
      <c r="K147" s="196">
        <v>1410</v>
      </c>
      <c r="L147" s="454" t="s">
        <v>899</v>
      </c>
      <c r="M147" s="4" t="s">
        <v>1566</v>
      </c>
      <c r="N147" s="133" t="s">
        <v>1407</v>
      </c>
      <c r="O147" s="4" t="s">
        <v>1898</v>
      </c>
      <c r="P147" s="4" t="s">
        <v>1881</v>
      </c>
      <c r="Q147" s="4" t="s">
        <v>1899</v>
      </c>
      <c r="R147" s="4" t="s">
        <v>1896</v>
      </c>
      <c r="S147" s="4" t="s">
        <v>1900</v>
      </c>
      <c r="T147" s="4" t="s">
        <v>786</v>
      </c>
    </row>
    <row r="148" spans="1:20" customFormat="1">
      <c r="A148" s="10"/>
      <c r="B148" s="4"/>
      <c r="C148" s="4"/>
      <c r="D148" s="133" t="s">
        <v>676</v>
      </c>
      <c r="E148" s="664" t="str">
        <f>+VLOOKUP(F148,Resumen_Base!$C$8:$G$287,5,0)</f>
        <v>Shop</v>
      </c>
      <c r="F148" s="152" t="s">
        <v>293</v>
      </c>
      <c r="G148" s="4" t="s">
        <v>294</v>
      </c>
      <c r="H148" s="4" t="str">
        <f t="shared" si="2"/>
        <v>CAR4104</v>
      </c>
      <c r="I148" s="196">
        <v>-262500</v>
      </c>
      <c r="J148" s="196">
        <v>-175</v>
      </c>
      <c r="K148" s="196">
        <v>1500</v>
      </c>
      <c r="L148" s="454" t="s">
        <v>1017</v>
      </c>
      <c r="M148" s="4" t="s">
        <v>1566</v>
      </c>
      <c r="N148" s="133" t="s">
        <v>1407</v>
      </c>
      <c r="O148" s="4" t="s">
        <v>2052</v>
      </c>
      <c r="P148" s="4" t="s">
        <v>1881</v>
      </c>
      <c r="Q148" s="4" t="s">
        <v>2053</v>
      </c>
      <c r="R148" s="4" t="s">
        <v>2054</v>
      </c>
      <c r="S148" s="4" t="s">
        <v>2055</v>
      </c>
      <c r="T148" s="4" t="s">
        <v>786</v>
      </c>
    </row>
    <row r="149" spans="1:20" customFormat="1">
      <c r="A149" s="10"/>
      <c r="B149" s="4"/>
      <c r="C149" s="4"/>
      <c r="D149" s="133" t="s">
        <v>676</v>
      </c>
      <c r="E149" s="664" t="str">
        <f>+VLOOKUP(F149,Resumen_Base!$C$8:$G$287,5,0)</f>
        <v>Shop</v>
      </c>
      <c r="F149" s="152" t="s">
        <v>293</v>
      </c>
      <c r="G149" s="4" t="s">
        <v>294</v>
      </c>
      <c r="H149" s="4" t="str">
        <f t="shared" si="2"/>
        <v>CAR4104</v>
      </c>
      <c r="I149" s="196">
        <v>-105000</v>
      </c>
      <c r="J149" s="196">
        <v>-70</v>
      </c>
      <c r="K149" s="196">
        <v>1500</v>
      </c>
      <c r="L149" s="454" t="s">
        <v>1017</v>
      </c>
      <c r="M149" s="4" t="s">
        <v>1566</v>
      </c>
      <c r="N149" s="133" t="s">
        <v>1407</v>
      </c>
      <c r="O149" s="4" t="s">
        <v>2052</v>
      </c>
      <c r="P149" s="4" t="s">
        <v>1881</v>
      </c>
      <c r="Q149" s="4" t="s">
        <v>2053</v>
      </c>
      <c r="R149" s="4" t="s">
        <v>2054</v>
      </c>
      <c r="S149" s="4" t="s">
        <v>2055</v>
      </c>
      <c r="T149" s="4" t="s">
        <v>786</v>
      </c>
    </row>
    <row r="150" spans="1:20" customFormat="1">
      <c r="A150" s="10"/>
      <c r="B150" s="4"/>
      <c r="C150" s="4"/>
      <c r="D150" s="133" t="s">
        <v>676</v>
      </c>
      <c r="E150" s="664" t="str">
        <f>+VLOOKUP(F150,Resumen_Base!$C$8:$G$287,5,0)</f>
        <v>Shop</v>
      </c>
      <c r="F150" s="152" t="s">
        <v>293</v>
      </c>
      <c r="G150" s="4" t="s">
        <v>294</v>
      </c>
      <c r="H150" s="4" t="str">
        <f t="shared" si="2"/>
        <v>CAR4104</v>
      </c>
      <c r="I150" s="196">
        <v>-255000</v>
      </c>
      <c r="J150" s="196">
        <v>-170</v>
      </c>
      <c r="K150" s="196">
        <v>1500</v>
      </c>
      <c r="L150" s="454" t="s">
        <v>1017</v>
      </c>
      <c r="M150" s="4" t="s">
        <v>1566</v>
      </c>
      <c r="N150" s="133" t="s">
        <v>1407</v>
      </c>
      <c r="O150" s="4" t="s">
        <v>2052</v>
      </c>
      <c r="P150" s="4" t="s">
        <v>1881</v>
      </c>
      <c r="Q150" s="4" t="s">
        <v>2053</v>
      </c>
      <c r="R150" s="4" t="s">
        <v>2054</v>
      </c>
      <c r="S150" s="4" t="s">
        <v>2055</v>
      </c>
      <c r="T150" s="4" t="s">
        <v>786</v>
      </c>
    </row>
    <row r="151" spans="1:20" customFormat="1">
      <c r="A151" s="10"/>
      <c r="B151" s="4"/>
      <c r="C151" s="4"/>
      <c r="D151" s="133" t="s">
        <v>676</v>
      </c>
      <c r="E151" s="664" t="str">
        <f>+VLOOKUP(F151,Resumen_Base!$C$8:$G$287,5,0)</f>
        <v>Shop</v>
      </c>
      <c r="F151" s="152" t="s">
        <v>293</v>
      </c>
      <c r="G151" s="4" t="s">
        <v>294</v>
      </c>
      <c r="H151" s="4" t="str">
        <f t="shared" si="2"/>
        <v>CAR4104</v>
      </c>
      <c r="I151" s="196">
        <v>-37500</v>
      </c>
      <c r="J151" s="196">
        <v>-25</v>
      </c>
      <c r="K151" s="196">
        <v>1500</v>
      </c>
      <c r="L151" s="454" t="s">
        <v>1017</v>
      </c>
      <c r="M151" s="4" t="s">
        <v>1566</v>
      </c>
      <c r="N151" s="133" t="s">
        <v>1407</v>
      </c>
      <c r="O151" s="4" t="s">
        <v>2052</v>
      </c>
      <c r="P151" s="4" t="s">
        <v>1881</v>
      </c>
      <c r="Q151" s="4" t="s">
        <v>2053</v>
      </c>
      <c r="R151" s="4" t="s">
        <v>2054</v>
      </c>
      <c r="S151" s="4" t="s">
        <v>2055</v>
      </c>
      <c r="T151" s="4" t="s">
        <v>786</v>
      </c>
    </row>
    <row r="152" spans="1:20" customFormat="1">
      <c r="A152" s="10"/>
      <c r="B152" s="4"/>
      <c r="C152" s="4"/>
      <c r="D152" s="133" t="s">
        <v>676</v>
      </c>
      <c r="E152" s="664" t="str">
        <f>+VLOOKUP(F152,Resumen_Base!$C$8:$G$287,5,0)</f>
        <v>Shop</v>
      </c>
      <c r="F152" s="152" t="s">
        <v>293</v>
      </c>
      <c r="G152" s="4" t="s">
        <v>294</v>
      </c>
      <c r="H152" s="4" t="str">
        <f t="shared" si="2"/>
        <v>CAR4104</v>
      </c>
      <c r="I152" s="196">
        <v>-60000</v>
      </c>
      <c r="J152" s="196">
        <v>-40</v>
      </c>
      <c r="K152" s="196">
        <v>1500</v>
      </c>
      <c r="L152" s="454" t="s">
        <v>1017</v>
      </c>
      <c r="M152" s="4" t="s">
        <v>1566</v>
      </c>
      <c r="N152" s="133" t="s">
        <v>1407</v>
      </c>
      <c r="O152" s="4" t="s">
        <v>2052</v>
      </c>
      <c r="P152" s="4" t="s">
        <v>1881</v>
      </c>
      <c r="Q152" s="4" t="s">
        <v>2053</v>
      </c>
      <c r="R152" s="4" t="s">
        <v>2054</v>
      </c>
      <c r="S152" s="4" t="s">
        <v>2055</v>
      </c>
      <c r="T152" s="4" t="s">
        <v>786</v>
      </c>
    </row>
    <row r="153" spans="1:20" customFormat="1">
      <c r="A153" s="10"/>
      <c r="B153" s="4"/>
      <c r="C153" s="4"/>
      <c r="D153" s="133" t="s">
        <v>676</v>
      </c>
      <c r="E153" s="664" t="str">
        <f>+VLOOKUP(F153,Resumen_Base!$C$8:$G$287,5,0)</f>
        <v>Shop</v>
      </c>
      <c r="F153" s="152" t="s">
        <v>293</v>
      </c>
      <c r="G153" s="4" t="s">
        <v>294</v>
      </c>
      <c r="H153" s="4" t="str">
        <f t="shared" si="2"/>
        <v>CAR4104</v>
      </c>
      <c r="I153" s="196">
        <v>-322500</v>
      </c>
      <c r="J153" s="196">
        <v>-215</v>
      </c>
      <c r="K153" s="196">
        <v>1500</v>
      </c>
      <c r="L153" s="454" t="s">
        <v>1017</v>
      </c>
      <c r="M153" s="4" t="s">
        <v>1566</v>
      </c>
      <c r="N153" s="133" t="s">
        <v>1407</v>
      </c>
      <c r="O153" s="4" t="s">
        <v>2052</v>
      </c>
      <c r="P153" s="4" t="s">
        <v>1881</v>
      </c>
      <c r="Q153" s="4" t="s">
        <v>2053</v>
      </c>
      <c r="R153" s="4" t="s">
        <v>2054</v>
      </c>
      <c r="S153" s="4" t="s">
        <v>2055</v>
      </c>
      <c r="T153" s="4" t="s">
        <v>786</v>
      </c>
    </row>
    <row r="154" spans="1:20" customFormat="1">
      <c r="A154" s="10"/>
      <c r="B154" s="4"/>
      <c r="C154" s="4"/>
      <c r="D154" s="133" t="s">
        <v>676</v>
      </c>
      <c r="E154" s="664" t="str">
        <f>+VLOOKUP(F154,Resumen_Base!$C$8:$G$287,5,0)</f>
        <v>Shop</v>
      </c>
      <c r="F154" s="152" t="s">
        <v>293</v>
      </c>
      <c r="G154" s="4" t="s">
        <v>294</v>
      </c>
      <c r="H154" s="4" t="str">
        <f t="shared" si="2"/>
        <v>CAR4104</v>
      </c>
      <c r="I154" s="196">
        <v>-105000</v>
      </c>
      <c r="J154" s="196">
        <v>-70</v>
      </c>
      <c r="K154" s="196">
        <v>1500</v>
      </c>
      <c r="L154" s="454" t="s">
        <v>1017</v>
      </c>
      <c r="M154" s="4" t="s">
        <v>1566</v>
      </c>
      <c r="N154" s="133" t="s">
        <v>1407</v>
      </c>
      <c r="O154" s="4" t="s">
        <v>2058</v>
      </c>
      <c r="P154" s="4" t="s">
        <v>1881</v>
      </c>
      <c r="Q154" s="4" t="s">
        <v>2059</v>
      </c>
      <c r="R154" s="4" t="s">
        <v>2054</v>
      </c>
      <c r="S154" s="4" t="s">
        <v>2060</v>
      </c>
      <c r="T154" s="4" t="s">
        <v>786</v>
      </c>
    </row>
    <row r="155" spans="1:20" customFormat="1">
      <c r="A155" s="10"/>
      <c r="B155" s="4"/>
      <c r="C155" s="4"/>
      <c r="D155" s="133" t="s">
        <v>676</v>
      </c>
      <c r="E155" s="664" t="str">
        <f>+VLOOKUP(F155,Resumen_Base!$C$8:$G$287,5,0)</f>
        <v>Shop</v>
      </c>
      <c r="F155" s="152" t="s">
        <v>293</v>
      </c>
      <c r="G155" s="4" t="s">
        <v>294</v>
      </c>
      <c r="H155" s="4" t="str">
        <f t="shared" si="2"/>
        <v>CAR4104</v>
      </c>
      <c r="I155" s="196">
        <v>-120000</v>
      </c>
      <c r="J155" s="196">
        <v>-80</v>
      </c>
      <c r="K155" s="196">
        <v>1500</v>
      </c>
      <c r="L155" s="454" t="s">
        <v>1017</v>
      </c>
      <c r="M155" s="4" t="s">
        <v>1566</v>
      </c>
      <c r="N155" s="133" t="s">
        <v>1407</v>
      </c>
      <c r="O155" s="4" t="s">
        <v>2058</v>
      </c>
      <c r="P155" s="4" t="s">
        <v>1881</v>
      </c>
      <c r="Q155" s="4" t="s">
        <v>2059</v>
      </c>
      <c r="R155" s="4" t="s">
        <v>2054</v>
      </c>
      <c r="S155" s="4" t="s">
        <v>2060</v>
      </c>
      <c r="T155" s="4" t="s">
        <v>786</v>
      </c>
    </row>
    <row r="156" spans="1:20" customFormat="1">
      <c r="A156" s="10"/>
      <c r="B156" s="4"/>
      <c r="C156" s="4"/>
      <c r="D156" s="133" t="s">
        <v>676</v>
      </c>
      <c r="E156" s="664" t="str">
        <f>+VLOOKUP(F156,Resumen_Base!$C$8:$G$287,5,0)</f>
        <v>Shop</v>
      </c>
      <c r="F156" s="152" t="s">
        <v>293</v>
      </c>
      <c r="G156" s="4" t="s">
        <v>294</v>
      </c>
      <c r="H156" s="4" t="str">
        <f t="shared" si="2"/>
        <v>CAR4104</v>
      </c>
      <c r="I156" s="196">
        <v>-60000</v>
      </c>
      <c r="J156" s="196">
        <v>-40</v>
      </c>
      <c r="K156" s="196">
        <v>1500</v>
      </c>
      <c r="L156" s="454" t="s">
        <v>1017</v>
      </c>
      <c r="M156" s="4" t="s">
        <v>1566</v>
      </c>
      <c r="N156" s="133" t="s">
        <v>1407</v>
      </c>
      <c r="O156" s="4" t="s">
        <v>2058</v>
      </c>
      <c r="P156" s="4" t="s">
        <v>1881</v>
      </c>
      <c r="Q156" s="4" t="s">
        <v>2059</v>
      </c>
      <c r="R156" s="4" t="s">
        <v>2054</v>
      </c>
      <c r="S156" s="4" t="s">
        <v>2060</v>
      </c>
      <c r="T156" s="4" t="s">
        <v>786</v>
      </c>
    </row>
    <row r="157" spans="1:20" customFormat="1">
      <c r="A157" s="10"/>
      <c r="B157" s="4"/>
      <c r="C157" s="4"/>
      <c r="D157" s="133" t="s">
        <v>676</v>
      </c>
      <c r="E157" s="664" t="str">
        <f>+VLOOKUP(F157,Resumen_Base!$C$8:$G$287,5,0)</f>
        <v>Shop</v>
      </c>
      <c r="F157" s="152" t="s">
        <v>293</v>
      </c>
      <c r="G157" s="4" t="s">
        <v>294</v>
      </c>
      <c r="H157" s="4" t="str">
        <f t="shared" si="2"/>
        <v>CAR4104</v>
      </c>
      <c r="I157" s="196">
        <v>-37500</v>
      </c>
      <c r="J157" s="196">
        <v>-25</v>
      </c>
      <c r="K157" s="196">
        <v>1500</v>
      </c>
      <c r="L157" s="454" t="s">
        <v>1017</v>
      </c>
      <c r="M157" s="4" t="s">
        <v>1566</v>
      </c>
      <c r="N157" s="133" t="s">
        <v>1407</v>
      </c>
      <c r="O157" s="4" t="s">
        <v>2064</v>
      </c>
      <c r="P157" s="4" t="s">
        <v>1881</v>
      </c>
      <c r="Q157" s="4" t="s">
        <v>2065</v>
      </c>
      <c r="R157" s="4" t="s">
        <v>2054</v>
      </c>
      <c r="S157" s="4" t="s">
        <v>2066</v>
      </c>
      <c r="T157" s="4" t="s">
        <v>786</v>
      </c>
    </row>
    <row r="158" spans="1:20" customFormat="1">
      <c r="A158" s="10"/>
      <c r="B158" s="4"/>
      <c r="C158" s="4"/>
      <c r="D158" s="133" t="s">
        <v>676</v>
      </c>
      <c r="E158" s="664" t="str">
        <f>+VLOOKUP(F158,Resumen_Base!$C$8:$G$287,5,0)</f>
        <v>Shop</v>
      </c>
      <c r="F158" s="152" t="s">
        <v>293</v>
      </c>
      <c r="G158" s="4" t="s">
        <v>294</v>
      </c>
      <c r="H158" s="4" t="str">
        <f t="shared" si="2"/>
        <v>CAR4104</v>
      </c>
      <c r="I158" s="196">
        <v>-37500</v>
      </c>
      <c r="J158" s="196">
        <v>-25</v>
      </c>
      <c r="K158" s="196">
        <v>1500</v>
      </c>
      <c r="L158" s="454" t="s">
        <v>1017</v>
      </c>
      <c r="M158" s="4" t="s">
        <v>1566</v>
      </c>
      <c r="N158" s="133" t="s">
        <v>1407</v>
      </c>
      <c r="O158" s="4" t="s">
        <v>2064</v>
      </c>
      <c r="P158" s="4" t="s">
        <v>1881</v>
      </c>
      <c r="Q158" s="4" t="s">
        <v>2065</v>
      </c>
      <c r="R158" s="4" t="s">
        <v>2054</v>
      </c>
      <c r="S158" s="4" t="s">
        <v>2066</v>
      </c>
      <c r="T158" s="4" t="s">
        <v>786</v>
      </c>
    </row>
    <row r="159" spans="1:20" customFormat="1">
      <c r="A159" s="10"/>
      <c r="B159" s="4"/>
      <c r="C159" s="4"/>
      <c r="D159" s="133" t="s">
        <v>676</v>
      </c>
      <c r="E159" s="664" t="str">
        <f>+VLOOKUP(F159,Resumen_Base!$C$8:$G$287,5,0)</f>
        <v>Shop</v>
      </c>
      <c r="F159" s="152" t="s">
        <v>293</v>
      </c>
      <c r="G159" s="4" t="s">
        <v>294</v>
      </c>
      <c r="H159" s="4" t="str">
        <f t="shared" si="2"/>
        <v>CAR4104</v>
      </c>
      <c r="I159" s="196">
        <v>-37500</v>
      </c>
      <c r="J159" s="196">
        <v>-25</v>
      </c>
      <c r="K159" s="196">
        <v>1500</v>
      </c>
      <c r="L159" s="454" t="s">
        <v>1017</v>
      </c>
      <c r="M159" s="4" t="s">
        <v>1566</v>
      </c>
      <c r="N159" s="133" t="s">
        <v>1407</v>
      </c>
      <c r="O159" s="4" t="s">
        <v>2067</v>
      </c>
      <c r="P159" s="4" t="s">
        <v>1881</v>
      </c>
      <c r="Q159" s="4" t="s">
        <v>2068</v>
      </c>
      <c r="R159" s="4" t="s">
        <v>2069</v>
      </c>
      <c r="S159" s="4" t="s">
        <v>2070</v>
      </c>
      <c r="T159" s="4" t="s">
        <v>786</v>
      </c>
    </row>
    <row r="160" spans="1:20" customFormat="1">
      <c r="A160" s="10"/>
      <c r="B160" s="4"/>
      <c r="C160" s="4"/>
      <c r="D160" s="133" t="s">
        <v>676</v>
      </c>
      <c r="E160" s="664" t="str">
        <f>+VLOOKUP(F160,Resumen_Base!$C$8:$G$287,5,0)</f>
        <v>Shop</v>
      </c>
      <c r="F160" s="152" t="s">
        <v>293</v>
      </c>
      <c r="G160" s="4" t="s">
        <v>294</v>
      </c>
      <c r="H160" s="4" t="str">
        <f t="shared" si="2"/>
        <v>CAR4104</v>
      </c>
      <c r="I160" s="196">
        <v>-37500</v>
      </c>
      <c r="J160" s="196">
        <v>-25</v>
      </c>
      <c r="K160" s="196">
        <v>1500</v>
      </c>
      <c r="L160" s="454" t="s">
        <v>1017</v>
      </c>
      <c r="M160" s="4" t="s">
        <v>1566</v>
      </c>
      <c r="N160" s="133" t="s">
        <v>1407</v>
      </c>
      <c r="O160" s="4" t="s">
        <v>2071</v>
      </c>
      <c r="P160" s="4" t="s">
        <v>1881</v>
      </c>
      <c r="Q160" s="4" t="s">
        <v>2072</v>
      </c>
      <c r="R160" s="4" t="s">
        <v>2069</v>
      </c>
      <c r="S160" s="4" t="s">
        <v>2073</v>
      </c>
      <c r="T160" s="4" t="s">
        <v>786</v>
      </c>
    </row>
    <row r="161" spans="1:20" customFormat="1">
      <c r="A161" s="10"/>
      <c r="B161" s="4"/>
      <c r="C161" s="4"/>
      <c r="D161" s="133" t="s">
        <v>676</v>
      </c>
      <c r="E161" s="664" t="str">
        <f>+VLOOKUP(F161,Resumen_Base!$C$8:$G$287,5,0)</f>
        <v>Shop</v>
      </c>
      <c r="F161" s="152" t="s">
        <v>293</v>
      </c>
      <c r="G161" s="4" t="s">
        <v>294</v>
      </c>
      <c r="H161" s="4" t="str">
        <f t="shared" si="2"/>
        <v>CAR4104</v>
      </c>
      <c r="I161" s="196">
        <v>-37500</v>
      </c>
      <c r="J161" s="196">
        <v>-25</v>
      </c>
      <c r="K161" s="196">
        <v>1500</v>
      </c>
      <c r="L161" s="454" t="s">
        <v>1017</v>
      </c>
      <c r="M161" s="4" t="s">
        <v>1566</v>
      </c>
      <c r="N161" s="133" t="s">
        <v>1407</v>
      </c>
      <c r="O161" s="4" t="s">
        <v>2077</v>
      </c>
      <c r="P161" s="4" t="s">
        <v>1881</v>
      </c>
      <c r="Q161" s="4" t="s">
        <v>2078</v>
      </c>
      <c r="R161" s="4" t="s">
        <v>2079</v>
      </c>
      <c r="S161" s="4" t="s">
        <v>2080</v>
      </c>
      <c r="T161" s="4" t="s">
        <v>786</v>
      </c>
    </row>
    <row r="162" spans="1:20" customFormat="1">
      <c r="A162" s="10"/>
      <c r="B162" s="4"/>
      <c r="C162" s="4"/>
      <c r="D162" s="133" t="s">
        <v>676</v>
      </c>
      <c r="E162" s="664" t="str">
        <f>+VLOOKUP(F162,Resumen_Base!$C$8:$G$287,5,0)</f>
        <v>Shop</v>
      </c>
      <c r="F162" s="152" t="s">
        <v>293</v>
      </c>
      <c r="G162" s="4" t="s">
        <v>294</v>
      </c>
      <c r="H162" s="4" t="str">
        <f t="shared" si="2"/>
        <v>CAR4104</v>
      </c>
      <c r="I162" s="196">
        <v>-37500</v>
      </c>
      <c r="J162" s="196">
        <v>-25</v>
      </c>
      <c r="K162" s="196">
        <v>1500</v>
      </c>
      <c r="L162" s="454" t="s">
        <v>1017</v>
      </c>
      <c r="M162" s="4" t="s">
        <v>1566</v>
      </c>
      <c r="N162" s="133" t="s">
        <v>1407</v>
      </c>
      <c r="O162" s="4" t="s">
        <v>2077</v>
      </c>
      <c r="P162" s="4" t="s">
        <v>1881</v>
      </c>
      <c r="Q162" s="4" t="s">
        <v>2078</v>
      </c>
      <c r="R162" s="4" t="s">
        <v>2079</v>
      </c>
      <c r="S162" s="4" t="s">
        <v>2080</v>
      </c>
      <c r="T162" s="4" t="s">
        <v>786</v>
      </c>
    </row>
    <row r="163" spans="1:20" customFormat="1">
      <c r="A163" s="10"/>
      <c r="B163" s="4"/>
      <c r="C163" s="4"/>
      <c r="D163" s="133" t="s">
        <v>676</v>
      </c>
      <c r="E163" s="664" t="str">
        <f>+VLOOKUP(F163,Resumen_Base!$C$8:$G$287,5,0)</f>
        <v>Shop</v>
      </c>
      <c r="F163" s="152" t="s">
        <v>293</v>
      </c>
      <c r="G163" s="4" t="s">
        <v>294</v>
      </c>
      <c r="H163" s="4" t="str">
        <f t="shared" si="2"/>
        <v>CAR4104</v>
      </c>
      <c r="I163" s="196">
        <v>-67500</v>
      </c>
      <c r="J163" s="196">
        <v>-45</v>
      </c>
      <c r="K163" s="196">
        <v>1500</v>
      </c>
      <c r="L163" s="454" t="s">
        <v>1017</v>
      </c>
      <c r="M163" s="4" t="s">
        <v>1566</v>
      </c>
      <c r="N163" s="133" t="s">
        <v>1407</v>
      </c>
      <c r="O163" s="4" t="s">
        <v>2077</v>
      </c>
      <c r="P163" s="4" t="s">
        <v>1881</v>
      </c>
      <c r="Q163" s="4" t="s">
        <v>2078</v>
      </c>
      <c r="R163" s="4" t="s">
        <v>2079</v>
      </c>
      <c r="S163" s="4" t="s">
        <v>2080</v>
      </c>
      <c r="T163" s="4" t="s">
        <v>786</v>
      </c>
    </row>
    <row r="164" spans="1:20" customFormat="1">
      <c r="A164" s="10"/>
      <c r="B164" s="4"/>
      <c r="C164" s="4"/>
      <c r="D164" s="133" t="s">
        <v>676</v>
      </c>
      <c r="E164" s="664" t="str">
        <f>+VLOOKUP(F164,Resumen_Base!$C$8:$G$287,5,0)</f>
        <v>Shop</v>
      </c>
      <c r="F164" s="152" t="s">
        <v>293</v>
      </c>
      <c r="G164" s="4" t="s">
        <v>294</v>
      </c>
      <c r="H164" s="4" t="str">
        <f t="shared" si="2"/>
        <v>CAR4104</v>
      </c>
      <c r="I164" s="196">
        <v>-37500</v>
      </c>
      <c r="J164" s="196">
        <v>-25</v>
      </c>
      <c r="K164" s="196">
        <v>1500</v>
      </c>
      <c r="L164" s="454" t="s">
        <v>1017</v>
      </c>
      <c r="M164" s="4" t="s">
        <v>1566</v>
      </c>
      <c r="N164" s="133" t="s">
        <v>1407</v>
      </c>
      <c r="O164" s="4" t="s">
        <v>2077</v>
      </c>
      <c r="P164" s="4" t="s">
        <v>1881</v>
      </c>
      <c r="Q164" s="4" t="s">
        <v>2078</v>
      </c>
      <c r="R164" s="4" t="s">
        <v>2079</v>
      </c>
      <c r="S164" s="4" t="s">
        <v>2080</v>
      </c>
      <c r="T164" s="4" t="s">
        <v>786</v>
      </c>
    </row>
    <row r="165" spans="1:20" customFormat="1">
      <c r="A165" s="10"/>
      <c r="B165" s="4"/>
      <c r="C165" s="4"/>
      <c r="D165" s="133" t="s">
        <v>676</v>
      </c>
      <c r="E165" s="664" t="str">
        <f>+VLOOKUP(F165,Resumen_Base!$C$8:$G$287,5,0)</f>
        <v>Shop</v>
      </c>
      <c r="F165" s="152" t="s">
        <v>293</v>
      </c>
      <c r="G165" s="4" t="s">
        <v>294</v>
      </c>
      <c r="H165" s="4" t="str">
        <f t="shared" si="2"/>
        <v>CAR4104</v>
      </c>
      <c r="I165" s="196">
        <v>-37500</v>
      </c>
      <c r="J165" s="196">
        <v>-25</v>
      </c>
      <c r="K165" s="196">
        <v>1500</v>
      </c>
      <c r="L165" s="454" t="s">
        <v>1017</v>
      </c>
      <c r="M165" s="4" t="s">
        <v>1566</v>
      </c>
      <c r="N165" s="133" t="s">
        <v>1407</v>
      </c>
      <c r="O165" s="4" t="s">
        <v>2077</v>
      </c>
      <c r="P165" s="4" t="s">
        <v>1881</v>
      </c>
      <c r="Q165" s="4" t="s">
        <v>2078</v>
      </c>
      <c r="R165" s="4" t="s">
        <v>2079</v>
      </c>
      <c r="S165" s="4" t="s">
        <v>2080</v>
      </c>
      <c r="T165" s="4" t="s">
        <v>786</v>
      </c>
    </row>
    <row r="166" spans="1:20" customFormat="1">
      <c r="A166" s="10"/>
      <c r="B166" s="4"/>
      <c r="C166" s="4"/>
      <c r="D166" s="133" t="s">
        <v>676</v>
      </c>
      <c r="E166" s="664" t="str">
        <f>+VLOOKUP(F166,Resumen_Base!$C$8:$G$287,5,0)</f>
        <v>Shop</v>
      </c>
      <c r="F166" s="152" t="s">
        <v>293</v>
      </c>
      <c r="G166" s="4" t="s">
        <v>294</v>
      </c>
      <c r="H166" s="4" t="str">
        <f t="shared" si="2"/>
        <v>CAR4104</v>
      </c>
      <c r="I166" s="196">
        <v>-22500</v>
      </c>
      <c r="J166" s="196">
        <v>-15</v>
      </c>
      <c r="K166" s="196">
        <v>1500</v>
      </c>
      <c r="L166" s="454" t="s">
        <v>1017</v>
      </c>
      <c r="M166" s="4" t="s">
        <v>1566</v>
      </c>
      <c r="N166" s="133" t="s">
        <v>1407</v>
      </c>
      <c r="O166" s="4" t="s">
        <v>2077</v>
      </c>
      <c r="P166" s="4" t="s">
        <v>1881</v>
      </c>
      <c r="Q166" s="4" t="s">
        <v>2078</v>
      </c>
      <c r="R166" s="4" t="s">
        <v>2079</v>
      </c>
      <c r="S166" s="4" t="s">
        <v>2080</v>
      </c>
      <c r="T166" s="4" t="s">
        <v>786</v>
      </c>
    </row>
    <row r="167" spans="1:20" customFormat="1">
      <c r="A167" s="10"/>
      <c r="B167" s="4"/>
      <c r="C167" s="4"/>
      <c r="D167" s="133" t="s">
        <v>676</v>
      </c>
      <c r="E167" s="664" t="str">
        <f>+VLOOKUP(F167,Resumen_Base!$C$8:$G$287,5,0)</f>
        <v>Shop</v>
      </c>
      <c r="F167" s="152" t="s">
        <v>293</v>
      </c>
      <c r="G167" s="4" t="s">
        <v>294</v>
      </c>
      <c r="H167" s="4" t="str">
        <f t="shared" si="2"/>
        <v>CAR4104</v>
      </c>
      <c r="I167" s="196">
        <v>-37500</v>
      </c>
      <c r="J167" s="196">
        <v>-25</v>
      </c>
      <c r="K167" s="196">
        <v>1500</v>
      </c>
      <c r="L167" s="454" t="s">
        <v>1017</v>
      </c>
      <c r="M167" s="4" t="s">
        <v>1566</v>
      </c>
      <c r="N167" s="133" t="s">
        <v>1407</v>
      </c>
      <c r="O167" s="4" t="s">
        <v>2081</v>
      </c>
      <c r="P167" s="4" t="s">
        <v>1881</v>
      </c>
      <c r="Q167" s="4" t="s">
        <v>2082</v>
      </c>
      <c r="R167" s="4" t="s">
        <v>2083</v>
      </c>
      <c r="S167" s="4" t="s">
        <v>2084</v>
      </c>
      <c r="T167" s="4" t="s">
        <v>786</v>
      </c>
    </row>
    <row r="168" spans="1:20" customFormat="1">
      <c r="A168" s="10"/>
      <c r="B168" s="4"/>
      <c r="C168" s="4"/>
      <c r="D168" s="133" t="s">
        <v>676</v>
      </c>
      <c r="E168" s="664" t="str">
        <f>+VLOOKUP(F168,Resumen_Base!$C$8:$G$287,5,0)</f>
        <v>Shop</v>
      </c>
      <c r="F168" s="152" t="s">
        <v>293</v>
      </c>
      <c r="G168" s="4" t="s">
        <v>294</v>
      </c>
      <c r="H168" s="4" t="str">
        <f t="shared" si="2"/>
        <v>CAR4104</v>
      </c>
      <c r="I168" s="196">
        <v>-37500</v>
      </c>
      <c r="J168" s="196">
        <v>-25</v>
      </c>
      <c r="K168" s="196">
        <v>1500</v>
      </c>
      <c r="L168" s="454" t="s">
        <v>1017</v>
      </c>
      <c r="M168" s="4" t="s">
        <v>1566</v>
      </c>
      <c r="N168" s="133" t="s">
        <v>1407</v>
      </c>
      <c r="O168" s="4" t="s">
        <v>2081</v>
      </c>
      <c r="P168" s="4" t="s">
        <v>1881</v>
      </c>
      <c r="Q168" s="4" t="s">
        <v>2082</v>
      </c>
      <c r="R168" s="4" t="s">
        <v>2083</v>
      </c>
      <c r="S168" s="4" t="s">
        <v>2084</v>
      </c>
      <c r="T168" s="4" t="s">
        <v>786</v>
      </c>
    </row>
    <row r="169" spans="1:20" customFormat="1">
      <c r="A169" s="10"/>
      <c r="B169" s="4"/>
      <c r="C169" s="4"/>
      <c r="D169" s="133" t="s">
        <v>676</v>
      </c>
      <c r="E169" s="664" t="str">
        <f>+VLOOKUP(F169,Resumen_Base!$C$8:$G$287,5,0)</f>
        <v>Shop</v>
      </c>
      <c r="F169" s="152" t="s">
        <v>293</v>
      </c>
      <c r="G169" s="4" t="s">
        <v>294</v>
      </c>
      <c r="H169" s="4" t="str">
        <f t="shared" si="2"/>
        <v>CAR4104</v>
      </c>
      <c r="I169" s="196">
        <v>-154760</v>
      </c>
      <c r="J169" s="196">
        <v>-106</v>
      </c>
      <c r="K169" s="196">
        <v>1460</v>
      </c>
      <c r="L169" s="454" t="s">
        <v>1045</v>
      </c>
      <c r="M169" s="4" t="s">
        <v>780</v>
      </c>
      <c r="N169" s="133" t="s">
        <v>1407</v>
      </c>
      <c r="O169" s="4" t="s">
        <v>2239</v>
      </c>
      <c r="P169" s="4" t="s">
        <v>892</v>
      </c>
      <c r="Q169" s="4" t="s">
        <v>2240</v>
      </c>
      <c r="R169" s="4"/>
      <c r="S169" s="4" t="s">
        <v>2241</v>
      </c>
      <c r="T169" s="4" t="s">
        <v>786</v>
      </c>
    </row>
    <row r="170" spans="1:20" customFormat="1">
      <c r="A170" s="10"/>
      <c r="B170" s="4"/>
      <c r="C170" s="4"/>
      <c r="D170" s="133" t="s">
        <v>676</v>
      </c>
      <c r="E170" s="664" t="str">
        <f>+VLOOKUP(F170,Resumen_Base!$C$8:$G$287,5,0)</f>
        <v>Extras</v>
      </c>
      <c r="F170" s="152" t="s">
        <v>297</v>
      </c>
      <c r="G170" s="4" t="s">
        <v>298</v>
      </c>
      <c r="H170" s="4" t="str">
        <f t="shared" si="2"/>
        <v>CAR4110</v>
      </c>
      <c r="I170" s="196">
        <v>-75000</v>
      </c>
      <c r="J170" s="196">
        <v>-50</v>
      </c>
      <c r="K170" s="196">
        <v>1500</v>
      </c>
      <c r="L170" s="454" t="s">
        <v>1017</v>
      </c>
      <c r="M170" s="4" t="s">
        <v>1566</v>
      </c>
      <c r="N170" s="133" t="s">
        <v>1407</v>
      </c>
      <c r="O170" s="4" t="s">
        <v>2052</v>
      </c>
      <c r="P170" s="4" t="s">
        <v>1881</v>
      </c>
      <c r="Q170" s="4" t="s">
        <v>2053</v>
      </c>
      <c r="R170" s="4" t="s">
        <v>2054</v>
      </c>
      <c r="S170" s="4" t="s">
        <v>2055</v>
      </c>
      <c r="T170" s="4" t="s">
        <v>786</v>
      </c>
    </row>
    <row r="171" spans="1:20" customFormat="1">
      <c r="A171" s="10"/>
      <c r="B171" s="4"/>
      <c r="C171" s="4"/>
      <c r="D171" s="133" t="s">
        <v>676</v>
      </c>
      <c r="E171" s="664" t="str">
        <f>+VLOOKUP(F171,Resumen_Base!$C$8:$G$287,5,0)</f>
        <v>Extras</v>
      </c>
      <c r="F171" s="152" t="s">
        <v>297</v>
      </c>
      <c r="G171" s="4" t="s">
        <v>298</v>
      </c>
      <c r="H171" s="4" t="str">
        <f t="shared" si="2"/>
        <v>CAR4110</v>
      </c>
      <c r="I171" s="196">
        <v>-75000</v>
      </c>
      <c r="J171" s="196">
        <v>-50</v>
      </c>
      <c r="K171" s="196">
        <v>1500</v>
      </c>
      <c r="L171" s="454" t="s">
        <v>1017</v>
      </c>
      <c r="M171" s="4" t="s">
        <v>1566</v>
      </c>
      <c r="N171" s="133" t="s">
        <v>1407</v>
      </c>
      <c r="O171" s="4" t="s">
        <v>2058</v>
      </c>
      <c r="P171" s="4" t="s">
        <v>1881</v>
      </c>
      <c r="Q171" s="4" t="s">
        <v>2059</v>
      </c>
      <c r="R171" s="4" t="s">
        <v>2054</v>
      </c>
      <c r="S171" s="4" t="s">
        <v>2060</v>
      </c>
      <c r="T171" s="4" t="s">
        <v>786</v>
      </c>
    </row>
    <row r="172" spans="1:20" customFormat="1">
      <c r="A172" s="10"/>
      <c r="B172" s="4"/>
      <c r="C172" s="4"/>
      <c r="D172" s="133" t="s">
        <v>676</v>
      </c>
      <c r="E172" s="664" t="str">
        <f>+VLOOKUP(F172,Resumen_Base!$C$8:$G$287,5,0)</f>
        <v>Extras</v>
      </c>
      <c r="F172" s="152" t="s">
        <v>297</v>
      </c>
      <c r="G172" s="4" t="s">
        <v>298</v>
      </c>
      <c r="H172" s="4" t="str">
        <f t="shared" si="2"/>
        <v>CAR4110</v>
      </c>
      <c r="I172" s="196">
        <v>-60000</v>
      </c>
      <c r="J172" s="196">
        <v>-40</v>
      </c>
      <c r="K172" s="196">
        <v>1500</v>
      </c>
      <c r="L172" s="454" t="s">
        <v>1017</v>
      </c>
      <c r="M172" s="4" t="s">
        <v>1566</v>
      </c>
      <c r="N172" s="133" t="s">
        <v>1407</v>
      </c>
      <c r="O172" s="4" t="s">
        <v>2067</v>
      </c>
      <c r="P172" s="4" t="s">
        <v>1881</v>
      </c>
      <c r="Q172" s="4" t="s">
        <v>2068</v>
      </c>
      <c r="R172" s="4" t="s">
        <v>2069</v>
      </c>
      <c r="S172" s="4" t="s">
        <v>2070</v>
      </c>
      <c r="T172" s="4" t="s">
        <v>786</v>
      </c>
    </row>
    <row r="173" spans="1:20" customFormat="1">
      <c r="A173" s="10"/>
      <c r="B173" s="4"/>
      <c r="C173" s="4"/>
      <c r="D173" s="133" t="s">
        <v>676</v>
      </c>
      <c r="E173" s="664" t="str">
        <f>+VLOOKUP(F173,Resumen_Base!$C$8:$G$287,5,0)</f>
        <v>Extras</v>
      </c>
      <c r="F173" s="152" t="s">
        <v>297</v>
      </c>
      <c r="G173" s="4" t="s">
        <v>298</v>
      </c>
      <c r="H173" s="4" t="str">
        <f t="shared" si="2"/>
        <v>CAR4110</v>
      </c>
      <c r="I173" s="196">
        <v>-150000</v>
      </c>
      <c r="J173" s="196">
        <v>-100</v>
      </c>
      <c r="K173" s="196">
        <v>1500</v>
      </c>
      <c r="L173" s="454" t="s">
        <v>1017</v>
      </c>
      <c r="M173" s="4" t="s">
        <v>1566</v>
      </c>
      <c r="N173" s="133" t="s">
        <v>1407</v>
      </c>
      <c r="O173" s="4" t="s">
        <v>2074</v>
      </c>
      <c r="P173" s="4" t="s">
        <v>1881</v>
      </c>
      <c r="Q173" s="4" t="s">
        <v>2075</v>
      </c>
      <c r="R173" s="4" t="s">
        <v>2069</v>
      </c>
      <c r="S173" s="4" t="s">
        <v>2076</v>
      </c>
      <c r="T173" s="4" t="s">
        <v>786</v>
      </c>
    </row>
    <row r="174" spans="1:20" customFormat="1">
      <c r="A174" s="10"/>
      <c r="B174" s="4"/>
      <c r="C174" s="4"/>
      <c r="D174" s="133" t="s">
        <v>676</v>
      </c>
      <c r="E174" s="664" t="str">
        <f>+VLOOKUP(F174,Resumen_Base!$C$8:$G$287,5,0)</f>
        <v>Extras</v>
      </c>
      <c r="F174" s="152" t="s">
        <v>297</v>
      </c>
      <c r="G174" s="4" t="s">
        <v>298</v>
      </c>
      <c r="H174" s="4" t="str">
        <f t="shared" si="2"/>
        <v>CAR4110</v>
      </c>
      <c r="I174" s="196">
        <v>-105000</v>
      </c>
      <c r="J174" s="196">
        <v>-70</v>
      </c>
      <c r="K174" s="196">
        <v>1500</v>
      </c>
      <c r="L174" s="454" t="s">
        <v>1017</v>
      </c>
      <c r="M174" s="4" t="s">
        <v>1566</v>
      </c>
      <c r="N174" s="133" t="s">
        <v>1407</v>
      </c>
      <c r="O174" s="4" t="s">
        <v>2077</v>
      </c>
      <c r="P174" s="4" t="s">
        <v>1881</v>
      </c>
      <c r="Q174" s="4" t="s">
        <v>2078</v>
      </c>
      <c r="R174" s="4" t="s">
        <v>2079</v>
      </c>
      <c r="S174" s="4" t="s">
        <v>2080</v>
      </c>
      <c r="T174" s="4" t="s">
        <v>786</v>
      </c>
    </row>
    <row r="175" spans="1:20" customFormat="1">
      <c r="A175" s="10"/>
      <c r="B175" s="4"/>
      <c r="C175" s="4"/>
      <c r="D175" s="133" t="s">
        <v>676</v>
      </c>
      <c r="E175" s="664" t="str">
        <f>+VLOOKUP(F175,Resumen_Base!$C$8:$G$287,5,0)</f>
        <v>Extras</v>
      </c>
      <c r="F175" s="152" t="s">
        <v>299</v>
      </c>
      <c r="G175" s="4" t="s">
        <v>300</v>
      </c>
      <c r="H175" s="4" t="str">
        <f t="shared" si="2"/>
        <v>CAR4112</v>
      </c>
      <c r="I175" s="196">
        <v>-177500</v>
      </c>
      <c r="J175" s="196">
        <v>-125</v>
      </c>
      <c r="K175" s="196">
        <v>1420</v>
      </c>
      <c r="L175" s="454" t="s">
        <v>787</v>
      </c>
      <c r="M175" s="4" t="s">
        <v>1566</v>
      </c>
      <c r="N175" s="133" t="s">
        <v>1407</v>
      </c>
      <c r="O175" s="4" t="s">
        <v>1567</v>
      </c>
      <c r="P175" s="4" t="s">
        <v>1568</v>
      </c>
      <c r="Q175" s="4" t="s">
        <v>1569</v>
      </c>
      <c r="R175" s="4" t="s">
        <v>1570</v>
      </c>
      <c r="S175" s="4" t="s">
        <v>1571</v>
      </c>
      <c r="T175" s="4" t="s">
        <v>786</v>
      </c>
    </row>
    <row r="176" spans="1:20" customFormat="1">
      <c r="A176" s="10"/>
      <c r="B176" s="4"/>
      <c r="C176" s="4"/>
      <c r="D176" s="133" t="s">
        <v>676</v>
      </c>
      <c r="E176" s="664" t="str">
        <f>+VLOOKUP(F176,Resumen_Base!$C$8:$G$287,5,0)</f>
        <v>Extras</v>
      </c>
      <c r="F176" s="152" t="s">
        <v>299</v>
      </c>
      <c r="G176" s="4" t="s">
        <v>300</v>
      </c>
      <c r="H176" s="4" t="str">
        <f t="shared" si="2"/>
        <v>CAR4112</v>
      </c>
      <c r="I176" s="196">
        <v>-177500</v>
      </c>
      <c r="J176" s="196">
        <v>-125</v>
      </c>
      <c r="K176" s="196">
        <v>1420</v>
      </c>
      <c r="L176" s="454" t="s">
        <v>787</v>
      </c>
      <c r="M176" s="4" t="s">
        <v>1566</v>
      </c>
      <c r="N176" s="133" t="s">
        <v>1407</v>
      </c>
      <c r="O176" s="4" t="s">
        <v>1590</v>
      </c>
      <c r="P176" s="4" t="s">
        <v>1568</v>
      </c>
      <c r="Q176" s="4" t="s">
        <v>1591</v>
      </c>
      <c r="R176" s="4" t="s">
        <v>1570</v>
      </c>
      <c r="S176" s="4" t="s">
        <v>1592</v>
      </c>
      <c r="T176" s="4" t="s">
        <v>786</v>
      </c>
    </row>
    <row r="177" spans="1:20" customFormat="1">
      <c r="A177" s="10"/>
      <c r="B177" s="4"/>
      <c r="C177" s="4"/>
      <c r="D177" s="133" t="s">
        <v>676</v>
      </c>
      <c r="E177" s="664" t="str">
        <f>+VLOOKUP(F177,Resumen_Base!$C$8:$G$287,5,0)</f>
        <v>Extras</v>
      </c>
      <c r="F177" s="152" t="s">
        <v>299</v>
      </c>
      <c r="G177" s="4" t="s">
        <v>300</v>
      </c>
      <c r="H177" s="4" t="str">
        <f t="shared" si="2"/>
        <v>CAR4112</v>
      </c>
      <c r="I177" s="196">
        <v>-177500</v>
      </c>
      <c r="J177" s="196">
        <v>-125</v>
      </c>
      <c r="K177" s="196">
        <v>1420</v>
      </c>
      <c r="L177" s="454" t="s">
        <v>787</v>
      </c>
      <c r="M177" s="4" t="s">
        <v>1566</v>
      </c>
      <c r="N177" s="133" t="s">
        <v>1407</v>
      </c>
      <c r="O177" s="4" t="s">
        <v>1593</v>
      </c>
      <c r="P177" s="4" t="s">
        <v>1568</v>
      </c>
      <c r="Q177" s="4" t="s">
        <v>1594</v>
      </c>
      <c r="R177" s="4" t="s">
        <v>1570</v>
      </c>
      <c r="S177" s="4" t="s">
        <v>1595</v>
      </c>
      <c r="T177" s="4" t="s">
        <v>786</v>
      </c>
    </row>
    <row r="178" spans="1:20" customFormat="1">
      <c r="A178" s="10"/>
      <c r="B178" s="4"/>
      <c r="C178" s="4"/>
      <c r="D178" s="133" t="s">
        <v>676</v>
      </c>
      <c r="E178" s="664" t="str">
        <f>+VLOOKUP(F178,Resumen_Base!$C$8:$G$287,5,0)</f>
        <v>Extras</v>
      </c>
      <c r="F178" s="152" t="s">
        <v>299</v>
      </c>
      <c r="G178" s="4" t="s">
        <v>300</v>
      </c>
      <c r="H178" s="4" t="str">
        <f t="shared" si="2"/>
        <v>CAR4112</v>
      </c>
      <c r="I178" s="196">
        <v>-177500</v>
      </c>
      <c r="J178" s="196">
        <v>-125</v>
      </c>
      <c r="K178" s="196">
        <v>1420</v>
      </c>
      <c r="L178" s="454" t="s">
        <v>787</v>
      </c>
      <c r="M178" s="4" t="s">
        <v>1566</v>
      </c>
      <c r="N178" s="133" t="s">
        <v>1407</v>
      </c>
      <c r="O178" s="4" t="s">
        <v>1596</v>
      </c>
      <c r="P178" s="4" t="s">
        <v>1568</v>
      </c>
      <c r="Q178" s="4" t="s">
        <v>1597</v>
      </c>
      <c r="R178" s="4" t="s">
        <v>1570</v>
      </c>
      <c r="S178" s="4" t="s">
        <v>1598</v>
      </c>
      <c r="T178" s="4" t="s">
        <v>786</v>
      </c>
    </row>
    <row r="179" spans="1:20" customFormat="1">
      <c r="A179" s="10"/>
      <c r="B179" s="4"/>
      <c r="C179" s="4"/>
      <c r="D179" s="133" t="s">
        <v>676</v>
      </c>
      <c r="E179" s="664" t="str">
        <f>+VLOOKUP(F179,Resumen_Base!$C$8:$G$287,5,0)</f>
        <v>Extras</v>
      </c>
      <c r="F179" s="152" t="s">
        <v>299</v>
      </c>
      <c r="G179" s="4" t="s">
        <v>300</v>
      </c>
      <c r="H179" s="4" t="str">
        <f t="shared" si="2"/>
        <v>CAR4112</v>
      </c>
      <c r="I179" s="196">
        <v>-176250</v>
      </c>
      <c r="J179" s="196">
        <v>-125</v>
      </c>
      <c r="K179" s="196">
        <v>1410</v>
      </c>
      <c r="L179" s="454" t="s">
        <v>899</v>
      </c>
      <c r="M179" s="4" t="s">
        <v>1566</v>
      </c>
      <c r="N179" s="133" t="s">
        <v>1407</v>
      </c>
      <c r="O179" s="4" t="s">
        <v>1880</v>
      </c>
      <c r="P179" s="4" t="s">
        <v>1881</v>
      </c>
      <c r="Q179" s="4" t="s">
        <v>1882</v>
      </c>
      <c r="R179" s="4" t="s">
        <v>1883</v>
      </c>
      <c r="S179" s="4" t="s">
        <v>1884</v>
      </c>
      <c r="T179" s="4" t="s">
        <v>786</v>
      </c>
    </row>
    <row r="180" spans="1:20" customFormat="1">
      <c r="A180" s="10"/>
      <c r="B180" s="4"/>
      <c r="C180" s="4"/>
      <c r="D180" s="133" t="s">
        <v>676</v>
      </c>
      <c r="E180" s="664" t="str">
        <f>+VLOOKUP(F180,Resumen_Base!$C$8:$G$287,5,0)</f>
        <v>Extras</v>
      </c>
      <c r="F180" s="152" t="s">
        <v>299</v>
      </c>
      <c r="G180" s="4" t="s">
        <v>300</v>
      </c>
      <c r="H180" s="4" t="str">
        <f t="shared" si="2"/>
        <v>CAR4112</v>
      </c>
      <c r="I180" s="196">
        <v>-176250</v>
      </c>
      <c r="J180" s="196">
        <v>-125</v>
      </c>
      <c r="K180" s="196">
        <v>1410</v>
      </c>
      <c r="L180" s="454" t="s">
        <v>899</v>
      </c>
      <c r="M180" s="4" t="s">
        <v>1566</v>
      </c>
      <c r="N180" s="133" t="s">
        <v>1407</v>
      </c>
      <c r="O180" s="4" t="s">
        <v>1885</v>
      </c>
      <c r="P180" s="4" t="s">
        <v>1881</v>
      </c>
      <c r="Q180" s="4" t="s">
        <v>1886</v>
      </c>
      <c r="R180" s="4" t="s">
        <v>1883</v>
      </c>
      <c r="S180" s="4" t="s">
        <v>1887</v>
      </c>
      <c r="T180" s="4" t="s">
        <v>786</v>
      </c>
    </row>
    <row r="181" spans="1:20" customFormat="1">
      <c r="A181" s="10"/>
      <c r="B181" s="4"/>
      <c r="C181" s="4"/>
      <c r="D181" s="133" t="s">
        <v>676</v>
      </c>
      <c r="E181" s="664" t="str">
        <f>+VLOOKUP(F181,Resumen_Base!$C$8:$G$287,5,0)</f>
        <v>Extras</v>
      </c>
      <c r="F181" s="152" t="s">
        <v>299</v>
      </c>
      <c r="G181" s="4" t="s">
        <v>300</v>
      </c>
      <c r="H181" s="4" t="str">
        <f t="shared" si="2"/>
        <v>CAR4112</v>
      </c>
      <c r="I181" s="196">
        <v>-126900</v>
      </c>
      <c r="J181" s="196">
        <v>-90</v>
      </c>
      <c r="K181" s="196">
        <v>1410</v>
      </c>
      <c r="L181" s="454" t="s">
        <v>899</v>
      </c>
      <c r="M181" s="4" t="s">
        <v>1566</v>
      </c>
      <c r="N181" s="133" t="s">
        <v>1407</v>
      </c>
      <c r="O181" s="4" t="s">
        <v>1888</v>
      </c>
      <c r="P181" s="4" t="s">
        <v>1881</v>
      </c>
      <c r="Q181" s="4" t="s">
        <v>1889</v>
      </c>
      <c r="R181" s="4" t="s">
        <v>1883</v>
      </c>
      <c r="S181" s="4" t="s">
        <v>1890</v>
      </c>
      <c r="T181" s="4" t="s">
        <v>786</v>
      </c>
    </row>
    <row r="182" spans="1:20" customFormat="1">
      <c r="A182" s="10"/>
      <c r="B182" s="4"/>
      <c r="C182" s="4"/>
      <c r="D182" s="133" t="s">
        <v>676</v>
      </c>
      <c r="E182" s="664" t="str">
        <f>+VLOOKUP(F182,Resumen_Base!$C$8:$G$287,5,0)</f>
        <v>Extras</v>
      </c>
      <c r="F182" s="152" t="s">
        <v>299</v>
      </c>
      <c r="G182" s="4" t="s">
        <v>300</v>
      </c>
      <c r="H182" s="4" t="str">
        <f t="shared" si="2"/>
        <v>CAR4112</v>
      </c>
      <c r="I182" s="196">
        <v>-126900</v>
      </c>
      <c r="J182" s="196">
        <v>-90</v>
      </c>
      <c r="K182" s="196">
        <v>1410</v>
      </c>
      <c r="L182" s="454" t="s">
        <v>899</v>
      </c>
      <c r="M182" s="4" t="s">
        <v>1566</v>
      </c>
      <c r="N182" s="133" t="s">
        <v>1407</v>
      </c>
      <c r="O182" s="4" t="s">
        <v>1891</v>
      </c>
      <c r="P182" s="4" t="s">
        <v>1881</v>
      </c>
      <c r="Q182" s="4" t="s">
        <v>1892</v>
      </c>
      <c r="R182" s="4" t="s">
        <v>1883</v>
      </c>
      <c r="S182" s="4" t="s">
        <v>1893</v>
      </c>
      <c r="T182" s="4" t="s">
        <v>786</v>
      </c>
    </row>
    <row r="183" spans="1:20" customFormat="1">
      <c r="A183" s="10"/>
      <c r="B183" s="4"/>
      <c r="C183" s="4"/>
      <c r="D183" s="133" t="s">
        <v>676</v>
      </c>
      <c r="E183" s="664" t="str">
        <f>+VLOOKUP(F183,Resumen_Base!$C$8:$G$287,5,0)</f>
        <v>Extras</v>
      </c>
      <c r="F183" s="152" t="s">
        <v>299</v>
      </c>
      <c r="G183" s="4" t="s">
        <v>300</v>
      </c>
      <c r="H183" s="4" t="str">
        <f t="shared" si="2"/>
        <v>CAR4112</v>
      </c>
      <c r="I183" s="196">
        <v>-528750</v>
      </c>
      <c r="J183" s="196">
        <v>-375</v>
      </c>
      <c r="K183" s="196">
        <v>1410</v>
      </c>
      <c r="L183" s="454" t="s">
        <v>899</v>
      </c>
      <c r="M183" s="4" t="s">
        <v>1566</v>
      </c>
      <c r="N183" s="133" t="s">
        <v>1407</v>
      </c>
      <c r="O183" s="4" t="s">
        <v>1904</v>
      </c>
      <c r="P183" s="4" t="s">
        <v>1881</v>
      </c>
      <c r="Q183" s="4" t="s">
        <v>1905</v>
      </c>
      <c r="R183" s="4" t="s">
        <v>1906</v>
      </c>
      <c r="S183" s="4" t="s">
        <v>1907</v>
      </c>
      <c r="T183" s="4" t="s">
        <v>786</v>
      </c>
    </row>
    <row r="184" spans="1:20" customFormat="1">
      <c r="A184" s="10"/>
      <c r="B184" s="4"/>
      <c r="C184" s="4"/>
      <c r="D184" s="133" t="s">
        <v>676</v>
      </c>
      <c r="E184" s="664" t="str">
        <f>+VLOOKUP(F184,Resumen_Base!$C$8:$G$287,5,0)</f>
        <v>Extras</v>
      </c>
      <c r="F184" s="152" t="s">
        <v>299</v>
      </c>
      <c r="G184" s="4" t="s">
        <v>300</v>
      </c>
      <c r="H184" s="4" t="str">
        <f t="shared" si="2"/>
        <v>CAR4112</v>
      </c>
      <c r="I184" s="196">
        <v>266250</v>
      </c>
      <c r="J184" s="196">
        <v>187.5</v>
      </c>
      <c r="K184" s="196">
        <v>1420</v>
      </c>
      <c r="L184" s="454" t="s">
        <v>1012</v>
      </c>
      <c r="M184" s="4" t="s">
        <v>780</v>
      </c>
      <c r="N184" s="133" t="s">
        <v>1407</v>
      </c>
      <c r="O184" s="4" t="s">
        <v>1013</v>
      </c>
      <c r="P184" s="4" t="s">
        <v>892</v>
      </c>
      <c r="Q184" s="4" t="s">
        <v>1014</v>
      </c>
      <c r="R184" s="4" t="s">
        <v>1945</v>
      </c>
      <c r="S184" s="4" t="s">
        <v>1016</v>
      </c>
      <c r="T184" s="4" t="s">
        <v>786</v>
      </c>
    </row>
    <row r="185" spans="1:20" customFormat="1">
      <c r="A185" s="10"/>
      <c r="B185" s="4"/>
      <c r="C185" s="4"/>
      <c r="D185" s="133" t="s">
        <v>676</v>
      </c>
      <c r="E185" s="664" t="str">
        <f>+VLOOKUP(F185,Resumen_Base!$C$8:$G$287,5,0)</f>
        <v>Extras</v>
      </c>
      <c r="F185" s="152" t="s">
        <v>299</v>
      </c>
      <c r="G185" s="4" t="s">
        <v>300</v>
      </c>
      <c r="H185" s="4" t="str">
        <f t="shared" si="2"/>
        <v>CAR4112</v>
      </c>
      <c r="I185" s="196">
        <v>-562500</v>
      </c>
      <c r="J185" s="196">
        <v>-375</v>
      </c>
      <c r="K185" s="196">
        <v>1500</v>
      </c>
      <c r="L185" s="454" t="s">
        <v>1017</v>
      </c>
      <c r="M185" s="4" t="s">
        <v>1566</v>
      </c>
      <c r="N185" s="133" t="s">
        <v>1407</v>
      </c>
      <c r="O185" s="4" t="s">
        <v>2067</v>
      </c>
      <c r="P185" s="4" t="s">
        <v>1881</v>
      </c>
      <c r="Q185" s="4" t="s">
        <v>2068</v>
      </c>
      <c r="R185" s="4" t="s">
        <v>2069</v>
      </c>
      <c r="S185" s="4" t="s">
        <v>2070</v>
      </c>
      <c r="T185" s="4" t="s">
        <v>786</v>
      </c>
    </row>
    <row r="186" spans="1:20" customFormat="1">
      <c r="A186" s="10"/>
      <c r="B186" s="4"/>
      <c r="C186" s="4"/>
      <c r="D186" s="133" t="s">
        <v>676</v>
      </c>
      <c r="E186" s="664" t="str">
        <f>+VLOOKUP(F186,Resumen_Base!$C$8:$G$287,5,0)</f>
        <v>Extras</v>
      </c>
      <c r="F186" s="152" t="s">
        <v>299</v>
      </c>
      <c r="G186" s="4" t="s">
        <v>300</v>
      </c>
      <c r="H186" s="4" t="str">
        <f t="shared" si="2"/>
        <v>CAR4112</v>
      </c>
      <c r="I186" s="196">
        <v>-375000</v>
      </c>
      <c r="J186" s="196">
        <v>-250</v>
      </c>
      <c r="K186" s="196">
        <v>1500</v>
      </c>
      <c r="L186" s="454" t="s">
        <v>1017</v>
      </c>
      <c r="M186" s="4" t="s">
        <v>1566</v>
      </c>
      <c r="N186" s="133" t="s">
        <v>1407</v>
      </c>
      <c r="O186" s="4" t="s">
        <v>2071</v>
      </c>
      <c r="P186" s="4" t="s">
        <v>1881</v>
      </c>
      <c r="Q186" s="4" t="s">
        <v>2072</v>
      </c>
      <c r="R186" s="4" t="s">
        <v>2069</v>
      </c>
      <c r="S186" s="4" t="s">
        <v>2073</v>
      </c>
      <c r="T186" s="4" t="s">
        <v>786</v>
      </c>
    </row>
    <row r="187" spans="1:20" customFormat="1">
      <c r="A187" s="10"/>
      <c r="B187" s="4"/>
      <c r="C187" s="4"/>
      <c r="D187" s="133" t="s">
        <v>670</v>
      </c>
      <c r="E187" s="664" t="str">
        <f>+VLOOKUP(F187,Resumen_Base!$C$8:$G$287,5,0)</f>
        <v>Extras</v>
      </c>
      <c r="F187" s="152" t="s">
        <v>664</v>
      </c>
      <c r="G187" s="4" t="s">
        <v>665</v>
      </c>
      <c r="H187" s="4" t="str">
        <f t="shared" si="2"/>
        <v>SJ4117</v>
      </c>
      <c r="I187" s="196">
        <v>-213</v>
      </c>
      <c r="J187" s="196">
        <v>-0.15</v>
      </c>
      <c r="K187" s="196">
        <v>1420</v>
      </c>
      <c r="L187" s="454" t="s">
        <v>1098</v>
      </c>
      <c r="M187" s="4" t="s">
        <v>780</v>
      </c>
      <c r="N187" s="133" t="s">
        <v>781</v>
      </c>
      <c r="O187" s="4" t="s">
        <v>1102</v>
      </c>
      <c r="P187" s="4" t="s">
        <v>892</v>
      </c>
      <c r="Q187" s="4" t="s">
        <v>1103</v>
      </c>
      <c r="R187" s="4" t="s">
        <v>1104</v>
      </c>
      <c r="S187" s="4" t="s">
        <v>1105</v>
      </c>
      <c r="T187" s="4" t="s">
        <v>786</v>
      </c>
    </row>
    <row r="188" spans="1:20" customFormat="1">
      <c r="A188" s="10"/>
      <c r="B188" s="4"/>
      <c r="C188" s="4"/>
      <c r="D188" s="133" t="s">
        <v>676</v>
      </c>
      <c r="E188" s="664" t="str">
        <f>+VLOOKUP(F188,Resumen_Base!$C$8:$G$287,5,0)</f>
        <v>Gun Rental</v>
      </c>
      <c r="F188" s="152" t="s">
        <v>303</v>
      </c>
      <c r="G188" s="4" t="s">
        <v>304</v>
      </c>
      <c r="H188" s="4" t="str">
        <f t="shared" si="2"/>
        <v>CAR4120</v>
      </c>
      <c r="I188" s="196">
        <v>-553800</v>
      </c>
      <c r="J188" s="196">
        <v>-390</v>
      </c>
      <c r="K188" s="196">
        <v>1420</v>
      </c>
      <c r="L188" s="454" t="s">
        <v>787</v>
      </c>
      <c r="M188" s="4" t="s">
        <v>1566</v>
      </c>
      <c r="N188" s="133" t="s">
        <v>1407</v>
      </c>
      <c r="O188" s="4" t="s">
        <v>1567</v>
      </c>
      <c r="P188" s="4" t="s">
        <v>1568</v>
      </c>
      <c r="Q188" s="4" t="s">
        <v>1569</v>
      </c>
      <c r="R188" s="4" t="s">
        <v>1570</v>
      </c>
      <c r="S188" s="4" t="s">
        <v>1571</v>
      </c>
      <c r="T188" s="4" t="s">
        <v>786</v>
      </c>
    </row>
    <row r="189" spans="1:20" customFormat="1">
      <c r="A189" s="10"/>
      <c r="B189" s="4"/>
      <c r="C189" s="4"/>
      <c r="D189" s="133" t="s">
        <v>676</v>
      </c>
      <c r="E189" s="664" t="str">
        <f>+VLOOKUP(F189,Resumen_Base!$C$8:$G$287,5,0)</f>
        <v>Gun Rental</v>
      </c>
      <c r="F189" s="152" t="s">
        <v>303</v>
      </c>
      <c r="G189" s="4" t="s">
        <v>304</v>
      </c>
      <c r="H189" s="4" t="str">
        <f t="shared" si="2"/>
        <v>CAR4120</v>
      </c>
      <c r="I189" s="196">
        <v>-553800</v>
      </c>
      <c r="J189" s="196">
        <v>-390</v>
      </c>
      <c r="K189" s="196">
        <v>1420</v>
      </c>
      <c r="L189" s="454" t="s">
        <v>787</v>
      </c>
      <c r="M189" s="4" t="s">
        <v>1566</v>
      </c>
      <c r="N189" s="133" t="s">
        <v>1407</v>
      </c>
      <c r="O189" s="4" t="s">
        <v>1572</v>
      </c>
      <c r="P189" s="4" t="s">
        <v>1568</v>
      </c>
      <c r="Q189" s="4" t="s">
        <v>1573</v>
      </c>
      <c r="R189" s="4" t="s">
        <v>1570</v>
      </c>
      <c r="S189" s="4" t="s">
        <v>1574</v>
      </c>
      <c r="T189" s="4" t="s">
        <v>786</v>
      </c>
    </row>
    <row r="190" spans="1:20" customFormat="1">
      <c r="A190" s="10"/>
      <c r="B190" s="4"/>
      <c r="C190" s="4"/>
      <c r="D190" s="133" t="s">
        <v>676</v>
      </c>
      <c r="E190" s="664" t="str">
        <f>+VLOOKUP(F190,Resumen_Base!$C$8:$G$287,5,0)</f>
        <v>Gun Rental</v>
      </c>
      <c r="F190" s="152" t="s">
        <v>303</v>
      </c>
      <c r="G190" s="4" t="s">
        <v>304</v>
      </c>
      <c r="H190" s="4" t="str">
        <f t="shared" si="2"/>
        <v>CAR4120</v>
      </c>
      <c r="I190" s="196">
        <v>-553800</v>
      </c>
      <c r="J190" s="196">
        <v>-390</v>
      </c>
      <c r="K190" s="196">
        <v>1420</v>
      </c>
      <c r="L190" s="454" t="s">
        <v>787</v>
      </c>
      <c r="M190" s="4" t="s">
        <v>1566</v>
      </c>
      <c r="N190" s="133" t="s">
        <v>1407</v>
      </c>
      <c r="O190" s="4" t="s">
        <v>1575</v>
      </c>
      <c r="P190" s="4" t="s">
        <v>1568</v>
      </c>
      <c r="Q190" s="4" t="s">
        <v>1576</v>
      </c>
      <c r="R190" s="4" t="s">
        <v>1570</v>
      </c>
      <c r="S190" s="4" t="s">
        <v>1577</v>
      </c>
      <c r="T190" s="4" t="s">
        <v>786</v>
      </c>
    </row>
    <row r="191" spans="1:20" customFormat="1">
      <c r="A191" s="10"/>
      <c r="B191" s="4"/>
      <c r="C191" s="4"/>
      <c r="D191" s="133" t="s">
        <v>676</v>
      </c>
      <c r="E191" s="664" t="str">
        <f>+VLOOKUP(F191,Resumen_Base!$C$8:$G$287,5,0)</f>
        <v>Gun Rental</v>
      </c>
      <c r="F191" s="152" t="s">
        <v>303</v>
      </c>
      <c r="G191" s="4" t="s">
        <v>304</v>
      </c>
      <c r="H191" s="4" t="str">
        <f t="shared" si="2"/>
        <v>CAR4120</v>
      </c>
      <c r="I191" s="196">
        <v>-553800</v>
      </c>
      <c r="J191" s="196">
        <v>-390</v>
      </c>
      <c r="K191" s="196">
        <v>1420</v>
      </c>
      <c r="L191" s="454" t="s">
        <v>787</v>
      </c>
      <c r="M191" s="4" t="s">
        <v>1566</v>
      </c>
      <c r="N191" s="133" t="s">
        <v>1407</v>
      </c>
      <c r="O191" s="4" t="s">
        <v>1578</v>
      </c>
      <c r="P191" s="4" t="s">
        <v>1568</v>
      </c>
      <c r="Q191" s="4" t="s">
        <v>1579</v>
      </c>
      <c r="R191" s="4" t="s">
        <v>1570</v>
      </c>
      <c r="S191" s="4" t="s">
        <v>1580</v>
      </c>
      <c r="T191" s="4" t="s">
        <v>786</v>
      </c>
    </row>
    <row r="192" spans="1:20" customFormat="1">
      <c r="A192" s="10"/>
      <c r="B192" s="4"/>
      <c r="C192" s="4"/>
      <c r="D192" s="133" t="s">
        <v>676</v>
      </c>
      <c r="E192" s="664" t="str">
        <f>+VLOOKUP(F192,Resumen_Base!$C$8:$G$287,5,0)</f>
        <v>Gun Rental</v>
      </c>
      <c r="F192" s="152" t="s">
        <v>303</v>
      </c>
      <c r="G192" s="4" t="s">
        <v>304</v>
      </c>
      <c r="H192" s="4" t="str">
        <f t="shared" si="2"/>
        <v>CAR4120</v>
      </c>
      <c r="I192" s="196">
        <v>-553800</v>
      </c>
      <c r="J192" s="196">
        <v>-390</v>
      </c>
      <c r="K192" s="196">
        <v>1420</v>
      </c>
      <c r="L192" s="454" t="s">
        <v>787</v>
      </c>
      <c r="M192" s="4" t="s">
        <v>1566</v>
      </c>
      <c r="N192" s="133" t="s">
        <v>1407</v>
      </c>
      <c r="O192" s="4" t="s">
        <v>1581</v>
      </c>
      <c r="P192" s="4" t="s">
        <v>1568</v>
      </c>
      <c r="Q192" s="4" t="s">
        <v>1582</v>
      </c>
      <c r="R192" s="4" t="s">
        <v>1570</v>
      </c>
      <c r="S192" s="4" t="s">
        <v>1583</v>
      </c>
      <c r="T192" s="4" t="s">
        <v>786</v>
      </c>
    </row>
    <row r="193" spans="1:20" customFormat="1">
      <c r="A193" s="10"/>
      <c r="B193" s="4"/>
      <c r="C193" s="4"/>
      <c r="D193" s="133" t="s">
        <v>676</v>
      </c>
      <c r="E193" s="664" t="str">
        <f>+VLOOKUP(F193,Resumen_Base!$C$8:$G$287,5,0)</f>
        <v>Gun Rental</v>
      </c>
      <c r="F193" s="152" t="s">
        <v>303</v>
      </c>
      <c r="G193" s="4" t="s">
        <v>304</v>
      </c>
      <c r="H193" s="4" t="str">
        <f t="shared" si="2"/>
        <v>CAR4120</v>
      </c>
      <c r="I193" s="196">
        <v>-553800</v>
      </c>
      <c r="J193" s="196">
        <v>-390</v>
      </c>
      <c r="K193" s="196">
        <v>1420</v>
      </c>
      <c r="L193" s="454" t="s">
        <v>787</v>
      </c>
      <c r="M193" s="4" t="s">
        <v>1566</v>
      </c>
      <c r="N193" s="133" t="s">
        <v>1407</v>
      </c>
      <c r="O193" s="4" t="s">
        <v>1584</v>
      </c>
      <c r="P193" s="4" t="s">
        <v>1568</v>
      </c>
      <c r="Q193" s="4" t="s">
        <v>1585</v>
      </c>
      <c r="R193" s="4" t="s">
        <v>1570</v>
      </c>
      <c r="S193" s="4" t="s">
        <v>1586</v>
      </c>
      <c r="T193" s="4" t="s">
        <v>786</v>
      </c>
    </row>
    <row r="194" spans="1:20" customFormat="1">
      <c r="A194" s="10"/>
      <c r="B194" s="4"/>
      <c r="C194" s="4"/>
      <c r="D194" s="133" t="s">
        <v>676</v>
      </c>
      <c r="E194" s="664" t="str">
        <f>+VLOOKUP(F194,Resumen_Base!$C$8:$G$287,5,0)</f>
        <v>Gun Rental</v>
      </c>
      <c r="F194" s="152" t="s">
        <v>303</v>
      </c>
      <c r="G194" s="4" t="s">
        <v>304</v>
      </c>
      <c r="H194" s="4" t="str">
        <f t="shared" si="2"/>
        <v>CAR4120</v>
      </c>
      <c r="I194" s="196">
        <v>-553800</v>
      </c>
      <c r="J194" s="196">
        <v>-390</v>
      </c>
      <c r="K194" s="196">
        <v>1420</v>
      </c>
      <c r="L194" s="454" t="s">
        <v>787</v>
      </c>
      <c r="M194" s="4" t="s">
        <v>1566</v>
      </c>
      <c r="N194" s="133" t="s">
        <v>1407</v>
      </c>
      <c r="O194" s="4" t="s">
        <v>1587</v>
      </c>
      <c r="P194" s="4" t="s">
        <v>1568</v>
      </c>
      <c r="Q194" s="4" t="s">
        <v>1588</v>
      </c>
      <c r="R194" s="4" t="s">
        <v>1570</v>
      </c>
      <c r="S194" s="4" t="s">
        <v>1589</v>
      </c>
      <c r="T194" s="4" t="s">
        <v>786</v>
      </c>
    </row>
    <row r="195" spans="1:20" customFormat="1">
      <c r="A195" s="10"/>
      <c r="B195" s="4"/>
      <c r="C195" s="4"/>
      <c r="D195" s="133" t="s">
        <v>676</v>
      </c>
      <c r="E195" s="664" t="str">
        <f>+VLOOKUP(F195,Resumen_Base!$C$8:$G$287,5,0)</f>
        <v>Gun Rental</v>
      </c>
      <c r="F195" s="152" t="s">
        <v>303</v>
      </c>
      <c r="G195" s="4" t="s">
        <v>304</v>
      </c>
      <c r="H195" s="4" t="str">
        <f t="shared" si="2"/>
        <v>CAR4120</v>
      </c>
      <c r="I195" s="196">
        <v>-553800</v>
      </c>
      <c r="J195" s="196">
        <v>-390</v>
      </c>
      <c r="K195" s="196">
        <v>1420</v>
      </c>
      <c r="L195" s="454" t="s">
        <v>787</v>
      </c>
      <c r="M195" s="4" t="s">
        <v>1566</v>
      </c>
      <c r="N195" s="133" t="s">
        <v>1407</v>
      </c>
      <c r="O195" s="4" t="s">
        <v>1590</v>
      </c>
      <c r="P195" s="4" t="s">
        <v>1568</v>
      </c>
      <c r="Q195" s="4" t="s">
        <v>1591</v>
      </c>
      <c r="R195" s="4" t="s">
        <v>1570</v>
      </c>
      <c r="S195" s="4" t="s">
        <v>1592</v>
      </c>
      <c r="T195" s="4" t="s">
        <v>786</v>
      </c>
    </row>
    <row r="196" spans="1:20" customFormat="1">
      <c r="A196" s="10"/>
      <c r="B196" s="4"/>
      <c r="C196" s="4"/>
      <c r="D196" s="133" t="s">
        <v>676</v>
      </c>
      <c r="E196" s="664" t="str">
        <f>+VLOOKUP(F196,Resumen_Base!$C$8:$G$287,5,0)</f>
        <v>Gun Rental</v>
      </c>
      <c r="F196" s="152" t="s">
        <v>303</v>
      </c>
      <c r="G196" s="4" t="s">
        <v>304</v>
      </c>
      <c r="H196" s="4" t="str">
        <f t="shared" si="2"/>
        <v>CAR4120</v>
      </c>
      <c r="I196" s="196">
        <v>-553800</v>
      </c>
      <c r="J196" s="196">
        <v>-390</v>
      </c>
      <c r="K196" s="196">
        <v>1420</v>
      </c>
      <c r="L196" s="454" t="s">
        <v>787</v>
      </c>
      <c r="M196" s="4" t="s">
        <v>1566</v>
      </c>
      <c r="N196" s="133" t="s">
        <v>1407</v>
      </c>
      <c r="O196" s="4" t="s">
        <v>1593</v>
      </c>
      <c r="P196" s="4" t="s">
        <v>1568</v>
      </c>
      <c r="Q196" s="4" t="s">
        <v>1594</v>
      </c>
      <c r="R196" s="4" t="s">
        <v>1570</v>
      </c>
      <c r="S196" s="4" t="s">
        <v>1595</v>
      </c>
      <c r="T196" s="4" t="s">
        <v>786</v>
      </c>
    </row>
    <row r="197" spans="1:20" customFormat="1">
      <c r="A197" s="10"/>
      <c r="B197" s="4"/>
      <c r="C197" s="4"/>
      <c r="D197" s="133" t="s">
        <v>676</v>
      </c>
      <c r="E197" s="664" t="str">
        <f>+VLOOKUP(F197,Resumen_Base!$C$8:$G$287,5,0)</f>
        <v>Gun Rental</v>
      </c>
      <c r="F197" s="152" t="s">
        <v>303</v>
      </c>
      <c r="G197" s="4" t="s">
        <v>304</v>
      </c>
      <c r="H197" s="4" t="str">
        <f t="shared" si="2"/>
        <v>CAR4120</v>
      </c>
      <c r="I197" s="196">
        <v>-553800</v>
      </c>
      <c r="J197" s="196">
        <v>-390</v>
      </c>
      <c r="K197" s="196">
        <v>1420</v>
      </c>
      <c r="L197" s="454" t="s">
        <v>787</v>
      </c>
      <c r="M197" s="4" t="s">
        <v>1566</v>
      </c>
      <c r="N197" s="133" t="s">
        <v>1407</v>
      </c>
      <c r="O197" s="4" t="s">
        <v>1596</v>
      </c>
      <c r="P197" s="4" t="s">
        <v>1568</v>
      </c>
      <c r="Q197" s="4" t="s">
        <v>1597</v>
      </c>
      <c r="R197" s="4" t="s">
        <v>1570</v>
      </c>
      <c r="S197" s="4" t="s">
        <v>1598</v>
      </c>
      <c r="T197" s="4" t="s">
        <v>786</v>
      </c>
    </row>
    <row r="198" spans="1:20" customFormat="1">
      <c r="A198" s="10"/>
      <c r="B198" s="4"/>
      <c r="C198" s="4"/>
      <c r="D198" s="133" t="s">
        <v>676</v>
      </c>
      <c r="E198" s="664" t="str">
        <f>+VLOOKUP(F198,Resumen_Base!$C$8:$G$287,5,0)</f>
        <v>Gun Rental</v>
      </c>
      <c r="F198" s="152" t="s">
        <v>303</v>
      </c>
      <c r="G198" s="4" t="s">
        <v>304</v>
      </c>
      <c r="H198" s="4" t="str">
        <f t="shared" si="2"/>
        <v>CAR4120</v>
      </c>
      <c r="I198" s="196">
        <v>-553800</v>
      </c>
      <c r="J198" s="196">
        <v>-390</v>
      </c>
      <c r="K198" s="196">
        <v>1420</v>
      </c>
      <c r="L198" s="454" t="s">
        <v>787</v>
      </c>
      <c r="M198" s="4" t="s">
        <v>1566</v>
      </c>
      <c r="N198" s="133" t="s">
        <v>1407</v>
      </c>
      <c r="O198" s="4" t="s">
        <v>1599</v>
      </c>
      <c r="P198" s="4" t="s">
        <v>1568</v>
      </c>
      <c r="Q198" s="4" t="s">
        <v>1600</v>
      </c>
      <c r="R198" s="4" t="s">
        <v>1570</v>
      </c>
      <c r="S198" s="4" t="s">
        <v>1601</v>
      </c>
      <c r="T198" s="4" t="s">
        <v>786</v>
      </c>
    </row>
    <row r="199" spans="1:20" customFormat="1">
      <c r="A199" s="10"/>
      <c r="B199" s="4"/>
      <c r="C199" s="4"/>
      <c r="D199" s="133" t="s">
        <v>676</v>
      </c>
      <c r="E199" s="664" t="str">
        <f>+VLOOKUP(F199,Resumen_Base!$C$8:$G$287,5,0)</f>
        <v>Gun Rental</v>
      </c>
      <c r="F199" s="152" t="s">
        <v>303</v>
      </c>
      <c r="G199" s="4" t="s">
        <v>304</v>
      </c>
      <c r="H199" s="4" t="str">
        <f t="shared" si="2"/>
        <v>CAR4120</v>
      </c>
      <c r="I199" s="196">
        <v>-553800</v>
      </c>
      <c r="J199" s="196">
        <v>-390</v>
      </c>
      <c r="K199" s="196">
        <v>1420</v>
      </c>
      <c r="L199" s="454" t="s">
        <v>787</v>
      </c>
      <c r="M199" s="4" t="s">
        <v>1566</v>
      </c>
      <c r="N199" s="133" t="s">
        <v>1407</v>
      </c>
      <c r="O199" s="4" t="s">
        <v>1602</v>
      </c>
      <c r="P199" s="4" t="s">
        <v>1568</v>
      </c>
      <c r="Q199" s="4" t="s">
        <v>1603</v>
      </c>
      <c r="R199" s="4" t="s">
        <v>1570</v>
      </c>
      <c r="S199" s="4" t="s">
        <v>1604</v>
      </c>
      <c r="T199" s="4" t="s">
        <v>786</v>
      </c>
    </row>
    <row r="200" spans="1:20" customFormat="1">
      <c r="A200" s="10"/>
      <c r="B200" s="4"/>
      <c r="C200" s="4"/>
      <c r="D200" s="133" t="s">
        <v>676</v>
      </c>
      <c r="E200" s="664" t="str">
        <f>+VLOOKUP(F200,Resumen_Base!$C$8:$G$287,5,0)</f>
        <v>Gun Rental</v>
      </c>
      <c r="F200" s="152" t="s">
        <v>303</v>
      </c>
      <c r="G200" s="4" t="s">
        <v>304</v>
      </c>
      <c r="H200" s="4" t="str">
        <f t="shared" si="2"/>
        <v>CAR4120</v>
      </c>
      <c r="I200" s="196">
        <v>-458250</v>
      </c>
      <c r="J200" s="196">
        <v>-325</v>
      </c>
      <c r="K200" s="196">
        <v>1410</v>
      </c>
      <c r="L200" s="454" t="s">
        <v>899</v>
      </c>
      <c r="M200" s="4" t="s">
        <v>1566</v>
      </c>
      <c r="N200" s="133" t="s">
        <v>1407</v>
      </c>
      <c r="O200" s="4" t="s">
        <v>1880</v>
      </c>
      <c r="P200" s="4" t="s">
        <v>1881</v>
      </c>
      <c r="Q200" s="4" t="s">
        <v>1882</v>
      </c>
      <c r="R200" s="4" t="s">
        <v>1883</v>
      </c>
      <c r="S200" s="4" t="s">
        <v>1884</v>
      </c>
      <c r="T200" s="4" t="s">
        <v>786</v>
      </c>
    </row>
    <row r="201" spans="1:20" customFormat="1">
      <c r="A201" s="10"/>
      <c r="B201" s="4"/>
      <c r="C201" s="4"/>
      <c r="D201" s="133" t="s">
        <v>676</v>
      </c>
      <c r="E201" s="664" t="str">
        <f>+VLOOKUP(F201,Resumen_Base!$C$8:$G$287,5,0)</f>
        <v>Gun Rental</v>
      </c>
      <c r="F201" s="152" t="s">
        <v>303</v>
      </c>
      <c r="G201" s="4" t="s">
        <v>304</v>
      </c>
      <c r="H201" s="4" t="str">
        <f t="shared" si="2"/>
        <v>CAR4120</v>
      </c>
      <c r="I201" s="196">
        <v>-274950</v>
      </c>
      <c r="J201" s="196">
        <v>-195</v>
      </c>
      <c r="K201" s="196">
        <v>1410</v>
      </c>
      <c r="L201" s="454" t="s">
        <v>899</v>
      </c>
      <c r="M201" s="4" t="s">
        <v>1566</v>
      </c>
      <c r="N201" s="133" t="s">
        <v>1407</v>
      </c>
      <c r="O201" s="4" t="s">
        <v>1885</v>
      </c>
      <c r="P201" s="4" t="s">
        <v>1881</v>
      </c>
      <c r="Q201" s="4" t="s">
        <v>1886</v>
      </c>
      <c r="R201" s="4" t="s">
        <v>1883</v>
      </c>
      <c r="S201" s="4" t="s">
        <v>1887</v>
      </c>
      <c r="T201" s="4" t="s">
        <v>786</v>
      </c>
    </row>
    <row r="202" spans="1:20" customFormat="1">
      <c r="A202" s="10"/>
      <c r="B202" s="4"/>
      <c r="C202" s="4"/>
      <c r="D202" s="133" t="s">
        <v>676</v>
      </c>
      <c r="E202" s="664" t="str">
        <f>+VLOOKUP(F202,Resumen_Base!$C$8:$G$287,5,0)</f>
        <v>Gun Rental</v>
      </c>
      <c r="F202" s="152" t="s">
        <v>303</v>
      </c>
      <c r="G202" s="4" t="s">
        <v>304</v>
      </c>
      <c r="H202" s="4" t="str">
        <f t="shared" si="2"/>
        <v>CAR4120</v>
      </c>
      <c r="I202" s="196">
        <v>-641550</v>
      </c>
      <c r="J202" s="196">
        <v>-455</v>
      </c>
      <c r="K202" s="196">
        <v>1410</v>
      </c>
      <c r="L202" s="454" t="s">
        <v>899</v>
      </c>
      <c r="M202" s="4" t="s">
        <v>1566</v>
      </c>
      <c r="N202" s="133" t="s">
        <v>1407</v>
      </c>
      <c r="O202" s="4" t="s">
        <v>1888</v>
      </c>
      <c r="P202" s="4" t="s">
        <v>1881</v>
      </c>
      <c r="Q202" s="4" t="s">
        <v>1889</v>
      </c>
      <c r="R202" s="4" t="s">
        <v>1883</v>
      </c>
      <c r="S202" s="4" t="s">
        <v>1890</v>
      </c>
      <c r="T202" s="4" t="s">
        <v>786</v>
      </c>
    </row>
    <row r="203" spans="1:20" customFormat="1">
      <c r="A203" s="10"/>
      <c r="B203" s="4"/>
      <c r="C203" s="4"/>
      <c r="D203" s="133" t="s">
        <v>676</v>
      </c>
      <c r="E203" s="664" t="str">
        <f>+VLOOKUP(F203,Resumen_Base!$C$8:$G$287,5,0)</f>
        <v>Gun Rental</v>
      </c>
      <c r="F203" s="152" t="s">
        <v>303</v>
      </c>
      <c r="G203" s="4" t="s">
        <v>304</v>
      </c>
      <c r="H203" s="4" t="str">
        <f t="shared" si="2"/>
        <v>CAR4120</v>
      </c>
      <c r="I203" s="196">
        <v>-366600</v>
      </c>
      <c r="J203" s="196">
        <v>-260</v>
      </c>
      <c r="K203" s="196">
        <v>1410</v>
      </c>
      <c r="L203" s="454" t="s">
        <v>899</v>
      </c>
      <c r="M203" s="4" t="s">
        <v>1566</v>
      </c>
      <c r="N203" s="133" t="s">
        <v>1407</v>
      </c>
      <c r="O203" s="4" t="s">
        <v>1891</v>
      </c>
      <c r="P203" s="4" t="s">
        <v>1881</v>
      </c>
      <c r="Q203" s="4" t="s">
        <v>1892</v>
      </c>
      <c r="R203" s="4" t="s">
        <v>1883</v>
      </c>
      <c r="S203" s="4" t="s">
        <v>1893</v>
      </c>
      <c r="T203" s="4" t="s">
        <v>786</v>
      </c>
    </row>
    <row r="204" spans="1:20" customFormat="1">
      <c r="A204" s="10"/>
      <c r="B204" s="4"/>
      <c r="C204" s="4"/>
      <c r="D204" s="133" t="s">
        <v>676</v>
      </c>
      <c r="E204" s="664" t="str">
        <f>+VLOOKUP(F204,Resumen_Base!$C$8:$G$287,5,0)</f>
        <v>Gun Rental</v>
      </c>
      <c r="F204" s="152" t="s">
        <v>303</v>
      </c>
      <c r="G204" s="4" t="s">
        <v>304</v>
      </c>
      <c r="H204" s="4" t="str">
        <f t="shared" ref="H204:H267" si="3">+D204&amp;F204</f>
        <v>CAR4120</v>
      </c>
      <c r="I204" s="196">
        <v>-549900</v>
      </c>
      <c r="J204" s="196">
        <v>-390</v>
      </c>
      <c r="K204" s="196">
        <v>1410</v>
      </c>
      <c r="L204" s="454" t="s">
        <v>899</v>
      </c>
      <c r="M204" s="4" t="s">
        <v>1566</v>
      </c>
      <c r="N204" s="133" t="s">
        <v>1407</v>
      </c>
      <c r="O204" s="4" t="s">
        <v>1894</v>
      </c>
      <c r="P204" s="4" t="s">
        <v>1881</v>
      </c>
      <c r="Q204" s="4" t="s">
        <v>1895</v>
      </c>
      <c r="R204" s="4" t="s">
        <v>1896</v>
      </c>
      <c r="S204" s="4" t="s">
        <v>1897</v>
      </c>
      <c r="T204" s="4" t="s">
        <v>786</v>
      </c>
    </row>
    <row r="205" spans="1:20" customFormat="1">
      <c r="A205" s="10"/>
      <c r="B205" s="4"/>
      <c r="C205" s="4"/>
      <c r="D205" s="133" t="s">
        <v>676</v>
      </c>
      <c r="E205" s="664" t="str">
        <f>+VLOOKUP(F205,Resumen_Base!$C$8:$G$287,5,0)</f>
        <v>Gun Rental</v>
      </c>
      <c r="F205" s="152" t="s">
        <v>303</v>
      </c>
      <c r="G205" s="4" t="s">
        <v>304</v>
      </c>
      <c r="H205" s="4" t="str">
        <f t="shared" si="3"/>
        <v>CAR4120</v>
      </c>
      <c r="I205" s="196">
        <v>-549900</v>
      </c>
      <c r="J205" s="196">
        <v>-390</v>
      </c>
      <c r="K205" s="196">
        <v>1410</v>
      </c>
      <c r="L205" s="454" t="s">
        <v>899</v>
      </c>
      <c r="M205" s="4" t="s">
        <v>1566</v>
      </c>
      <c r="N205" s="133" t="s">
        <v>1407</v>
      </c>
      <c r="O205" s="4" t="s">
        <v>1898</v>
      </c>
      <c r="P205" s="4" t="s">
        <v>1881</v>
      </c>
      <c r="Q205" s="4" t="s">
        <v>1899</v>
      </c>
      <c r="R205" s="4" t="s">
        <v>1896</v>
      </c>
      <c r="S205" s="4" t="s">
        <v>1900</v>
      </c>
      <c r="T205" s="4" t="s">
        <v>786</v>
      </c>
    </row>
    <row r="206" spans="1:20" customFormat="1">
      <c r="A206" s="10"/>
      <c r="B206" s="4"/>
      <c r="C206" s="4"/>
      <c r="D206" s="133" t="s">
        <v>676</v>
      </c>
      <c r="E206" s="664" t="str">
        <f>+VLOOKUP(F206,Resumen_Base!$C$8:$G$287,5,0)</f>
        <v>Gun Rental</v>
      </c>
      <c r="F206" s="152" t="s">
        <v>303</v>
      </c>
      <c r="G206" s="4" t="s">
        <v>304</v>
      </c>
      <c r="H206" s="4" t="str">
        <f t="shared" si="3"/>
        <v>CAR4120</v>
      </c>
      <c r="I206" s="196">
        <v>-549900</v>
      </c>
      <c r="J206" s="196">
        <v>-390</v>
      </c>
      <c r="K206" s="196">
        <v>1410</v>
      </c>
      <c r="L206" s="454" t="s">
        <v>899</v>
      </c>
      <c r="M206" s="4" t="s">
        <v>1566</v>
      </c>
      <c r="N206" s="133" t="s">
        <v>1407</v>
      </c>
      <c r="O206" s="4" t="s">
        <v>1901</v>
      </c>
      <c r="P206" s="4" t="s">
        <v>1881</v>
      </c>
      <c r="Q206" s="4" t="s">
        <v>1902</v>
      </c>
      <c r="R206" s="4" t="s">
        <v>1896</v>
      </c>
      <c r="S206" s="4" t="s">
        <v>1903</v>
      </c>
      <c r="T206" s="4" t="s">
        <v>786</v>
      </c>
    </row>
    <row r="207" spans="1:20" customFormat="1">
      <c r="A207" s="10"/>
      <c r="B207" s="4"/>
      <c r="C207" s="4"/>
      <c r="D207" s="133" t="s">
        <v>676</v>
      </c>
      <c r="E207" s="664" t="str">
        <f>+VLOOKUP(F207,Resumen_Base!$C$8:$G$287,5,0)</f>
        <v>Gun Rental</v>
      </c>
      <c r="F207" s="152" t="s">
        <v>303</v>
      </c>
      <c r="G207" s="4" t="s">
        <v>304</v>
      </c>
      <c r="H207" s="4" t="str">
        <f t="shared" si="3"/>
        <v>CAR4120</v>
      </c>
      <c r="I207" s="196">
        <v>-1060320</v>
      </c>
      <c r="J207" s="196">
        <v>-752</v>
      </c>
      <c r="K207" s="196">
        <v>1410</v>
      </c>
      <c r="L207" s="454" t="s">
        <v>899</v>
      </c>
      <c r="M207" s="4" t="s">
        <v>1566</v>
      </c>
      <c r="N207" s="133" t="s">
        <v>1407</v>
      </c>
      <c r="O207" s="4" t="s">
        <v>1904</v>
      </c>
      <c r="P207" s="4" t="s">
        <v>1881</v>
      </c>
      <c r="Q207" s="4" t="s">
        <v>1905</v>
      </c>
      <c r="R207" s="4" t="s">
        <v>1906</v>
      </c>
      <c r="S207" s="4" t="s">
        <v>1907</v>
      </c>
      <c r="T207" s="4" t="s">
        <v>786</v>
      </c>
    </row>
    <row r="208" spans="1:20" customFormat="1">
      <c r="A208" s="10"/>
      <c r="B208" s="4"/>
      <c r="C208" s="4"/>
      <c r="D208" s="133" t="s">
        <v>676</v>
      </c>
      <c r="E208" s="664" t="str">
        <f>+VLOOKUP(F208,Resumen_Base!$C$8:$G$287,5,0)</f>
        <v>Gun Rental</v>
      </c>
      <c r="F208" s="152" t="s">
        <v>303</v>
      </c>
      <c r="G208" s="4" t="s">
        <v>304</v>
      </c>
      <c r="H208" s="4" t="str">
        <f t="shared" si="3"/>
        <v>CAR4120</v>
      </c>
      <c r="I208" s="196">
        <v>-682500</v>
      </c>
      <c r="J208" s="196">
        <v>-455</v>
      </c>
      <c r="K208" s="196">
        <v>1500</v>
      </c>
      <c r="L208" s="454" t="s">
        <v>1017</v>
      </c>
      <c r="M208" s="4" t="s">
        <v>1566</v>
      </c>
      <c r="N208" s="133" t="s">
        <v>1407</v>
      </c>
      <c r="O208" s="4" t="s">
        <v>2058</v>
      </c>
      <c r="P208" s="4" t="s">
        <v>1881</v>
      </c>
      <c r="Q208" s="4" t="s">
        <v>2059</v>
      </c>
      <c r="R208" s="4" t="s">
        <v>2054</v>
      </c>
      <c r="S208" s="4" t="s">
        <v>2060</v>
      </c>
      <c r="T208" s="4" t="s">
        <v>786</v>
      </c>
    </row>
    <row r="209" spans="1:20" customFormat="1">
      <c r="A209" s="10"/>
      <c r="B209" s="4"/>
      <c r="C209" s="4"/>
      <c r="D209" s="133" t="s">
        <v>676</v>
      </c>
      <c r="E209" s="664" t="str">
        <f>+VLOOKUP(F209,Resumen_Base!$C$8:$G$287,5,0)</f>
        <v>Gun Rental</v>
      </c>
      <c r="F209" s="152" t="s">
        <v>303</v>
      </c>
      <c r="G209" s="4" t="s">
        <v>304</v>
      </c>
      <c r="H209" s="4" t="str">
        <f t="shared" si="3"/>
        <v>CAR4120</v>
      </c>
      <c r="I209" s="196">
        <v>-390000</v>
      </c>
      <c r="J209" s="196">
        <v>-260</v>
      </c>
      <c r="K209" s="196">
        <v>1500</v>
      </c>
      <c r="L209" s="454" t="s">
        <v>1017</v>
      </c>
      <c r="M209" s="4" t="s">
        <v>1566</v>
      </c>
      <c r="N209" s="133" t="s">
        <v>1407</v>
      </c>
      <c r="O209" s="4" t="s">
        <v>2061</v>
      </c>
      <c r="P209" s="4" t="s">
        <v>1881</v>
      </c>
      <c r="Q209" s="4" t="s">
        <v>2062</v>
      </c>
      <c r="R209" s="4" t="s">
        <v>2054</v>
      </c>
      <c r="S209" s="4" t="s">
        <v>2063</v>
      </c>
      <c r="T209" s="4" t="s">
        <v>786</v>
      </c>
    </row>
    <row r="210" spans="1:20" customFormat="1">
      <c r="A210" s="10"/>
      <c r="B210" s="4"/>
      <c r="C210" s="4"/>
      <c r="D210" s="133" t="s">
        <v>676</v>
      </c>
      <c r="E210" s="664" t="str">
        <f>+VLOOKUP(F210,Resumen_Base!$C$8:$G$287,5,0)</f>
        <v>Gun Rental</v>
      </c>
      <c r="F210" s="152" t="s">
        <v>303</v>
      </c>
      <c r="G210" s="4" t="s">
        <v>304</v>
      </c>
      <c r="H210" s="4" t="str">
        <f t="shared" si="3"/>
        <v>CAR4120</v>
      </c>
      <c r="I210" s="196">
        <v>-487500</v>
      </c>
      <c r="J210" s="196">
        <v>-325</v>
      </c>
      <c r="K210" s="196">
        <v>1500</v>
      </c>
      <c r="L210" s="454" t="s">
        <v>1017</v>
      </c>
      <c r="M210" s="4" t="s">
        <v>1566</v>
      </c>
      <c r="N210" s="133" t="s">
        <v>1407</v>
      </c>
      <c r="O210" s="4" t="s">
        <v>2067</v>
      </c>
      <c r="P210" s="4" t="s">
        <v>1881</v>
      </c>
      <c r="Q210" s="4" t="s">
        <v>2068</v>
      </c>
      <c r="R210" s="4" t="s">
        <v>2069</v>
      </c>
      <c r="S210" s="4" t="s">
        <v>2070</v>
      </c>
      <c r="T210" s="4" t="s">
        <v>786</v>
      </c>
    </row>
    <row r="211" spans="1:20" customFormat="1">
      <c r="A211" s="10"/>
      <c r="B211" s="4"/>
      <c r="C211" s="4"/>
      <c r="D211" s="133" t="s">
        <v>676</v>
      </c>
      <c r="E211" s="664" t="str">
        <f>+VLOOKUP(F211,Resumen_Base!$C$8:$G$287,5,0)</f>
        <v>Gun Rental</v>
      </c>
      <c r="F211" s="152" t="s">
        <v>303</v>
      </c>
      <c r="G211" s="4" t="s">
        <v>304</v>
      </c>
      <c r="H211" s="4" t="str">
        <f t="shared" si="3"/>
        <v>CAR4120</v>
      </c>
      <c r="I211" s="196">
        <v>-390000</v>
      </c>
      <c r="J211" s="196">
        <v>-260</v>
      </c>
      <c r="K211" s="196">
        <v>1500</v>
      </c>
      <c r="L211" s="454" t="s">
        <v>1017</v>
      </c>
      <c r="M211" s="4" t="s">
        <v>1566</v>
      </c>
      <c r="N211" s="133" t="s">
        <v>1407</v>
      </c>
      <c r="O211" s="4" t="s">
        <v>2071</v>
      </c>
      <c r="P211" s="4" t="s">
        <v>1881</v>
      </c>
      <c r="Q211" s="4" t="s">
        <v>2072</v>
      </c>
      <c r="R211" s="4" t="s">
        <v>2069</v>
      </c>
      <c r="S211" s="4" t="s">
        <v>2073</v>
      </c>
      <c r="T211" s="4" t="s">
        <v>786</v>
      </c>
    </row>
    <row r="212" spans="1:20" customFormat="1">
      <c r="A212" s="10"/>
      <c r="B212" s="4"/>
      <c r="C212" s="4"/>
      <c r="D212" s="133" t="s">
        <v>676</v>
      </c>
      <c r="E212" s="664" t="str">
        <f>+VLOOKUP(F212,Resumen_Base!$C$8:$G$287,5,0)</f>
        <v>Gun Rental</v>
      </c>
      <c r="F212" s="152" t="s">
        <v>303</v>
      </c>
      <c r="G212" s="4" t="s">
        <v>304</v>
      </c>
      <c r="H212" s="4" t="str">
        <f t="shared" si="3"/>
        <v>CAR4120</v>
      </c>
      <c r="I212" s="196">
        <v>-780000</v>
      </c>
      <c r="J212" s="196">
        <v>-520</v>
      </c>
      <c r="K212" s="196">
        <v>1500</v>
      </c>
      <c r="L212" s="454" t="s">
        <v>1017</v>
      </c>
      <c r="M212" s="4" t="s">
        <v>1566</v>
      </c>
      <c r="N212" s="133" t="s">
        <v>1407</v>
      </c>
      <c r="O212" s="4" t="s">
        <v>2074</v>
      </c>
      <c r="P212" s="4" t="s">
        <v>1881</v>
      </c>
      <c r="Q212" s="4" t="s">
        <v>2075</v>
      </c>
      <c r="R212" s="4" t="s">
        <v>2069</v>
      </c>
      <c r="S212" s="4" t="s">
        <v>2076</v>
      </c>
      <c r="T212" s="4" t="s">
        <v>786</v>
      </c>
    </row>
    <row r="213" spans="1:20" customFormat="1">
      <c r="A213" s="10"/>
      <c r="B213" s="4"/>
      <c r="C213" s="4"/>
      <c r="D213" s="133" t="s">
        <v>676</v>
      </c>
      <c r="E213" s="664" t="str">
        <f>+VLOOKUP(F213,Resumen_Base!$C$8:$G$287,5,0)</f>
        <v>Gun Rental</v>
      </c>
      <c r="F213" s="152" t="s">
        <v>303</v>
      </c>
      <c r="G213" s="4" t="s">
        <v>304</v>
      </c>
      <c r="H213" s="4" t="str">
        <f t="shared" si="3"/>
        <v>CAR4120</v>
      </c>
      <c r="I213" s="196">
        <v>-195000</v>
      </c>
      <c r="J213" s="196">
        <v>-130</v>
      </c>
      <c r="K213" s="196">
        <v>1500</v>
      </c>
      <c r="L213" s="454" t="s">
        <v>1017</v>
      </c>
      <c r="M213" s="4" t="s">
        <v>1566</v>
      </c>
      <c r="N213" s="133" t="s">
        <v>1407</v>
      </c>
      <c r="O213" s="4" t="s">
        <v>2085</v>
      </c>
      <c r="P213" s="4" t="s">
        <v>1881</v>
      </c>
      <c r="Q213" s="4" t="s">
        <v>2086</v>
      </c>
      <c r="R213" s="4" t="s">
        <v>2083</v>
      </c>
      <c r="S213" s="4" t="s">
        <v>2087</v>
      </c>
      <c r="T213" s="4" t="s">
        <v>786</v>
      </c>
    </row>
    <row r="214" spans="1:20" customFormat="1">
      <c r="A214" s="10"/>
      <c r="B214" s="4"/>
      <c r="C214" s="4"/>
      <c r="D214" s="133" t="s">
        <v>676</v>
      </c>
      <c r="E214" s="664" t="str">
        <f>+VLOOKUP(F214,Resumen_Base!$C$8:$G$287,5,0)</f>
        <v>Gun Rental</v>
      </c>
      <c r="F214" s="152" t="s">
        <v>303</v>
      </c>
      <c r="G214" s="4" t="s">
        <v>304</v>
      </c>
      <c r="H214" s="4" t="str">
        <f t="shared" si="3"/>
        <v>CAR4120</v>
      </c>
      <c r="I214" s="196">
        <v>-1755000</v>
      </c>
      <c r="J214" s="196">
        <v>-1170</v>
      </c>
      <c r="K214" s="196">
        <v>1500</v>
      </c>
      <c r="L214" s="454" t="s">
        <v>1017</v>
      </c>
      <c r="M214" s="4" t="s">
        <v>1566</v>
      </c>
      <c r="N214" s="133" t="s">
        <v>1407</v>
      </c>
      <c r="O214" s="4" t="s">
        <v>2088</v>
      </c>
      <c r="P214" s="4" t="s">
        <v>1881</v>
      </c>
      <c r="Q214" s="4" t="s">
        <v>2089</v>
      </c>
      <c r="R214" s="4" t="s">
        <v>2083</v>
      </c>
      <c r="S214" s="4" t="s">
        <v>2090</v>
      </c>
      <c r="T214" s="4" t="s">
        <v>786</v>
      </c>
    </row>
    <row r="215" spans="1:20" customFormat="1">
      <c r="A215" s="10"/>
      <c r="B215" s="4"/>
      <c r="C215" s="4"/>
      <c r="D215" s="133" t="s">
        <v>676</v>
      </c>
      <c r="E215" s="664" t="str">
        <f>+VLOOKUP(F215,Resumen_Base!$C$8:$G$287,5,0)</f>
        <v>Extras</v>
      </c>
      <c r="F215" s="152" t="s">
        <v>307</v>
      </c>
      <c r="G215" s="4" t="s">
        <v>308</v>
      </c>
      <c r="H215" s="4" t="str">
        <f t="shared" si="3"/>
        <v>CAR5103</v>
      </c>
      <c r="I215" s="196">
        <v>99400</v>
      </c>
      <c r="J215" s="196">
        <v>70</v>
      </c>
      <c r="K215" s="196">
        <v>1420</v>
      </c>
      <c r="L215" s="454" t="s">
        <v>787</v>
      </c>
      <c r="M215" s="4" t="s">
        <v>780</v>
      </c>
      <c r="N215" s="133" t="s">
        <v>1407</v>
      </c>
      <c r="O215" s="4" t="s">
        <v>1446</v>
      </c>
      <c r="P215" s="4" t="s">
        <v>783</v>
      </c>
      <c r="Q215" s="4" t="s">
        <v>1447</v>
      </c>
      <c r="R215" s="4" t="s">
        <v>1477</v>
      </c>
      <c r="S215" s="4" t="s">
        <v>1449</v>
      </c>
      <c r="T215" s="4" t="s">
        <v>786</v>
      </c>
    </row>
    <row r="216" spans="1:20" customFormat="1">
      <c r="A216" s="10"/>
      <c r="B216" s="4"/>
      <c r="C216" s="4"/>
      <c r="D216" s="133" t="s">
        <v>676</v>
      </c>
      <c r="E216" s="664" t="str">
        <f>+VLOOKUP(F216,Resumen_Base!$C$8:$G$287,5,0)</f>
        <v>Extras</v>
      </c>
      <c r="F216" s="152" t="s">
        <v>310</v>
      </c>
      <c r="G216" s="4" t="s">
        <v>311</v>
      </c>
      <c r="H216" s="4" t="str">
        <f t="shared" si="3"/>
        <v>CAR5104</v>
      </c>
      <c r="I216" s="196">
        <v>430900</v>
      </c>
      <c r="J216" s="196">
        <v>310</v>
      </c>
      <c r="K216" s="196">
        <v>1390</v>
      </c>
      <c r="L216" s="454" t="s">
        <v>899</v>
      </c>
      <c r="M216" s="4" t="s">
        <v>780</v>
      </c>
      <c r="N216" s="133" t="s">
        <v>1407</v>
      </c>
      <c r="O216" s="4" t="s">
        <v>1620</v>
      </c>
      <c r="P216" s="4" t="s">
        <v>892</v>
      </c>
      <c r="Q216" s="4" t="s">
        <v>1621</v>
      </c>
      <c r="R216" s="4" t="s">
        <v>1662</v>
      </c>
      <c r="S216" s="4" t="s">
        <v>1623</v>
      </c>
      <c r="T216" s="4" t="s">
        <v>786</v>
      </c>
    </row>
    <row r="217" spans="1:20" customFormat="1">
      <c r="A217" s="10"/>
      <c r="B217" s="4"/>
      <c r="C217" s="4"/>
      <c r="D217" s="133" t="s">
        <v>676</v>
      </c>
      <c r="E217" s="664" t="str">
        <f>+VLOOKUP(F217,Resumen_Base!$C$8:$G$287,5,0)</f>
        <v>Extras</v>
      </c>
      <c r="F217" s="152" t="s">
        <v>310</v>
      </c>
      <c r="G217" s="4" t="s">
        <v>311</v>
      </c>
      <c r="H217" s="4" t="str">
        <f t="shared" si="3"/>
        <v>CAR5104</v>
      </c>
      <c r="I217" s="196">
        <v>375000</v>
      </c>
      <c r="J217" s="196">
        <v>250</v>
      </c>
      <c r="K217" s="196">
        <v>1500</v>
      </c>
      <c r="L217" s="454" t="s">
        <v>1017</v>
      </c>
      <c r="M217" s="4" t="s">
        <v>780</v>
      </c>
      <c r="N217" s="133" t="s">
        <v>1407</v>
      </c>
      <c r="O217" s="4" t="s">
        <v>1946</v>
      </c>
      <c r="P217" s="4" t="s">
        <v>892</v>
      </c>
      <c r="Q217" s="4" t="s">
        <v>1947</v>
      </c>
      <c r="R217" s="4" t="s">
        <v>1984</v>
      </c>
      <c r="S217" s="4" t="s">
        <v>1949</v>
      </c>
      <c r="T217" s="4" t="s">
        <v>786</v>
      </c>
    </row>
    <row r="218" spans="1:20" customFormat="1">
      <c r="A218" s="10"/>
      <c r="B218" s="4"/>
      <c r="C218" s="4"/>
      <c r="D218" s="133" t="s">
        <v>670</v>
      </c>
      <c r="E218" s="664" t="str">
        <f>+VLOOKUP(F218,Resumen_Base!$C$8:$G$287,5,0)</f>
        <v>Field:</v>
      </c>
      <c r="F218" s="152" t="s">
        <v>133</v>
      </c>
      <c r="G218" s="4" t="s">
        <v>312</v>
      </c>
      <c r="H218" s="4" t="str">
        <f t="shared" si="3"/>
        <v>SJ5207</v>
      </c>
      <c r="I218" s="196">
        <v>2712.2</v>
      </c>
      <c r="J218" s="196">
        <v>1.91</v>
      </c>
      <c r="K218" s="196">
        <v>1420</v>
      </c>
      <c r="L218" s="454" t="s">
        <v>787</v>
      </c>
      <c r="M218" s="4" t="s">
        <v>780</v>
      </c>
      <c r="N218" s="133" t="s">
        <v>781</v>
      </c>
      <c r="O218" s="4" t="s">
        <v>855</v>
      </c>
      <c r="P218" s="4" t="s">
        <v>783</v>
      </c>
      <c r="Q218" s="4" t="s">
        <v>856</v>
      </c>
      <c r="R218" s="4" t="s">
        <v>832</v>
      </c>
      <c r="S218" s="4" t="s">
        <v>857</v>
      </c>
      <c r="T218" s="4" t="s">
        <v>786</v>
      </c>
    </row>
    <row r="219" spans="1:20" customFormat="1">
      <c r="A219" s="10"/>
      <c r="B219" s="4"/>
      <c r="C219" s="4"/>
      <c r="D219" s="133" t="s">
        <v>670</v>
      </c>
      <c r="E219" s="664" t="str">
        <f>+VLOOKUP(F219,Resumen_Base!$C$8:$G$287,5,0)</f>
        <v>Field:</v>
      </c>
      <c r="F219" s="152" t="s">
        <v>133</v>
      </c>
      <c r="G219" s="4" t="s">
        <v>312</v>
      </c>
      <c r="H219" s="4" t="str">
        <f t="shared" si="3"/>
        <v>SJ5207</v>
      </c>
      <c r="I219" s="196">
        <v>622499.6</v>
      </c>
      <c r="J219" s="196">
        <v>438.38</v>
      </c>
      <c r="K219" s="196">
        <v>1420</v>
      </c>
      <c r="L219" s="454" t="s">
        <v>787</v>
      </c>
      <c r="M219" s="4" t="s">
        <v>780</v>
      </c>
      <c r="N219" s="133" t="s">
        <v>781</v>
      </c>
      <c r="O219" s="4" t="s">
        <v>855</v>
      </c>
      <c r="P219" s="4" t="s">
        <v>783</v>
      </c>
      <c r="Q219" s="4" t="s">
        <v>856</v>
      </c>
      <c r="R219" s="4" t="s">
        <v>868</v>
      </c>
      <c r="S219" s="4" t="s">
        <v>857</v>
      </c>
      <c r="T219" s="4" t="s">
        <v>786</v>
      </c>
    </row>
    <row r="220" spans="1:20" customFormat="1">
      <c r="A220" s="10"/>
      <c r="B220" s="4"/>
      <c r="C220" s="4"/>
      <c r="D220" s="133" t="s">
        <v>670</v>
      </c>
      <c r="E220" s="664" t="str">
        <f>+VLOOKUP(F220,Resumen_Base!$C$8:$G$287,5,0)</f>
        <v>Field:</v>
      </c>
      <c r="F220" s="152" t="s">
        <v>133</v>
      </c>
      <c r="G220" s="4" t="s">
        <v>312</v>
      </c>
      <c r="H220" s="4" t="str">
        <f t="shared" si="3"/>
        <v>SJ5207</v>
      </c>
      <c r="I220" s="196">
        <v>2698</v>
      </c>
      <c r="J220" s="196">
        <v>1.9</v>
      </c>
      <c r="K220" s="196">
        <v>1420</v>
      </c>
      <c r="L220" s="454" t="s">
        <v>1098</v>
      </c>
      <c r="M220" s="4" t="s">
        <v>780</v>
      </c>
      <c r="N220" s="133" t="s">
        <v>781</v>
      </c>
      <c r="O220" s="4" t="s">
        <v>1175</v>
      </c>
      <c r="P220" s="4" t="s">
        <v>892</v>
      </c>
      <c r="Q220" s="4" t="s">
        <v>1176</v>
      </c>
      <c r="R220" s="4" t="s">
        <v>953</v>
      </c>
      <c r="S220" s="4" t="s">
        <v>1178</v>
      </c>
      <c r="T220" s="4" t="s">
        <v>786</v>
      </c>
    </row>
    <row r="221" spans="1:20" customFormat="1">
      <c r="A221" s="10"/>
      <c r="B221" s="4"/>
      <c r="C221" s="4"/>
      <c r="D221" s="133" t="s">
        <v>670</v>
      </c>
      <c r="E221" s="664" t="str">
        <f>+VLOOKUP(F221,Resumen_Base!$C$8:$G$287,5,0)</f>
        <v>Field:</v>
      </c>
      <c r="F221" s="152" t="s">
        <v>133</v>
      </c>
      <c r="G221" s="4" t="s">
        <v>312</v>
      </c>
      <c r="H221" s="4" t="str">
        <f t="shared" si="3"/>
        <v>SJ5207</v>
      </c>
      <c r="I221" s="196">
        <v>1207000</v>
      </c>
      <c r="J221" s="196">
        <v>850</v>
      </c>
      <c r="K221" s="196">
        <v>1420</v>
      </c>
      <c r="L221" s="454" t="s">
        <v>1098</v>
      </c>
      <c r="M221" s="4" t="s">
        <v>780</v>
      </c>
      <c r="N221" s="133" t="s">
        <v>781</v>
      </c>
      <c r="O221" s="4" t="s">
        <v>1175</v>
      </c>
      <c r="P221" s="4" t="s">
        <v>892</v>
      </c>
      <c r="Q221" s="4" t="s">
        <v>1176</v>
      </c>
      <c r="R221" s="4" t="s">
        <v>1184</v>
      </c>
      <c r="S221" s="4" t="s">
        <v>1178</v>
      </c>
      <c r="T221" s="4" t="s">
        <v>786</v>
      </c>
    </row>
    <row r="222" spans="1:20" customFormat="1">
      <c r="A222" s="720" t="s">
        <v>2806</v>
      </c>
      <c r="B222" s="330"/>
      <c r="C222" s="330"/>
      <c r="D222" s="203" t="s">
        <v>676</v>
      </c>
      <c r="E222" s="714" t="str">
        <f>+VLOOKUP(F222,Resumen_Base!$C$8:$G$287,5,0)</f>
        <v>Field:</v>
      </c>
      <c r="F222" s="330" t="s">
        <v>133</v>
      </c>
      <c r="G222" s="330" t="s">
        <v>312</v>
      </c>
      <c r="H222" s="330" t="str">
        <f t="shared" si="3"/>
        <v>CAR5207</v>
      </c>
      <c r="I222" s="715">
        <v>639000</v>
      </c>
      <c r="J222" s="715">
        <v>450</v>
      </c>
      <c r="K222" s="715">
        <v>1420</v>
      </c>
      <c r="L222" s="456" t="s">
        <v>1098</v>
      </c>
      <c r="M222" s="330" t="s">
        <v>780</v>
      </c>
      <c r="N222" s="203" t="s">
        <v>781</v>
      </c>
      <c r="O222" s="330" t="s">
        <v>1175</v>
      </c>
      <c r="P222" s="330" t="s">
        <v>892</v>
      </c>
      <c r="Q222" s="330" t="s">
        <v>1176</v>
      </c>
      <c r="R222" s="330" t="s">
        <v>1185</v>
      </c>
      <c r="S222" s="330" t="s">
        <v>1178</v>
      </c>
      <c r="T222" s="330" t="s">
        <v>786</v>
      </c>
    </row>
    <row r="223" spans="1:20" customFormat="1">
      <c r="A223" s="10"/>
      <c r="B223" s="4"/>
      <c r="C223" s="4"/>
      <c r="D223" s="133" t="s">
        <v>670</v>
      </c>
      <c r="E223" s="664" t="str">
        <f>+VLOOKUP(F223,Resumen_Base!$C$8:$G$287,5,0)</f>
        <v>Field:</v>
      </c>
      <c r="F223" s="152" t="s">
        <v>133</v>
      </c>
      <c r="G223" s="4" t="s">
        <v>312</v>
      </c>
      <c r="H223" s="4" t="str">
        <f t="shared" si="3"/>
        <v>SJ5207</v>
      </c>
      <c r="I223" s="196">
        <v>2698</v>
      </c>
      <c r="J223" s="196">
        <v>1.9</v>
      </c>
      <c r="K223" s="196">
        <v>1420</v>
      </c>
      <c r="L223" s="454" t="s">
        <v>1098</v>
      </c>
      <c r="M223" s="4" t="s">
        <v>780</v>
      </c>
      <c r="N223" s="133" t="s">
        <v>781</v>
      </c>
      <c r="O223" s="4" t="s">
        <v>1175</v>
      </c>
      <c r="P223" s="4" t="s">
        <v>892</v>
      </c>
      <c r="Q223" s="4" t="s">
        <v>1176</v>
      </c>
      <c r="R223" s="4" t="s">
        <v>953</v>
      </c>
      <c r="S223" s="4" t="s">
        <v>1178</v>
      </c>
      <c r="T223" s="4" t="s">
        <v>786</v>
      </c>
    </row>
    <row r="224" spans="1:20" customFormat="1">
      <c r="A224" s="10"/>
      <c r="B224" s="4"/>
      <c r="C224" s="4"/>
      <c r="D224" s="133" t="s">
        <v>670</v>
      </c>
      <c r="E224" s="664" t="str">
        <f>+VLOOKUP(F224,Resumen_Base!$C$8:$G$287,5,0)</f>
        <v>Field:</v>
      </c>
      <c r="F224" s="152" t="s">
        <v>133</v>
      </c>
      <c r="G224" s="4" t="s">
        <v>312</v>
      </c>
      <c r="H224" s="4" t="str">
        <f t="shared" si="3"/>
        <v>SJ5207</v>
      </c>
      <c r="I224" s="196">
        <v>2698</v>
      </c>
      <c r="J224" s="196">
        <v>1.9</v>
      </c>
      <c r="K224" s="196">
        <v>1420</v>
      </c>
      <c r="L224" s="454" t="s">
        <v>1098</v>
      </c>
      <c r="M224" s="4" t="s">
        <v>780</v>
      </c>
      <c r="N224" s="133" t="s">
        <v>781</v>
      </c>
      <c r="O224" s="4" t="s">
        <v>1175</v>
      </c>
      <c r="P224" s="4" t="s">
        <v>892</v>
      </c>
      <c r="Q224" s="4" t="s">
        <v>1176</v>
      </c>
      <c r="R224" s="4" t="s">
        <v>953</v>
      </c>
      <c r="S224" s="4" t="s">
        <v>1178</v>
      </c>
      <c r="T224" s="4" t="s">
        <v>786</v>
      </c>
    </row>
    <row r="225" spans="1:20" customFormat="1">
      <c r="A225" s="10"/>
      <c r="B225" s="4"/>
      <c r="C225" s="4"/>
      <c r="D225" s="133" t="s">
        <v>670</v>
      </c>
      <c r="E225" s="664" t="str">
        <f>+VLOOKUP(F225,Resumen_Base!$C$8:$G$287,5,0)</f>
        <v>Field:</v>
      </c>
      <c r="F225" s="152" t="s">
        <v>133</v>
      </c>
      <c r="G225" s="4" t="s">
        <v>312</v>
      </c>
      <c r="H225" s="4" t="str">
        <f t="shared" si="3"/>
        <v>SJ5207</v>
      </c>
      <c r="I225" s="196">
        <v>142000</v>
      </c>
      <c r="J225" s="196">
        <v>100</v>
      </c>
      <c r="K225" s="196">
        <v>1420</v>
      </c>
      <c r="L225" s="454" t="s">
        <v>1098</v>
      </c>
      <c r="M225" s="4" t="s">
        <v>780</v>
      </c>
      <c r="N225" s="133" t="s">
        <v>781</v>
      </c>
      <c r="O225" s="4" t="s">
        <v>1175</v>
      </c>
      <c r="P225" s="4" t="s">
        <v>892</v>
      </c>
      <c r="Q225" s="4" t="s">
        <v>1176</v>
      </c>
      <c r="R225" s="4" t="s">
        <v>1186</v>
      </c>
      <c r="S225" s="4" t="s">
        <v>1178</v>
      </c>
      <c r="T225" s="4" t="s">
        <v>786</v>
      </c>
    </row>
    <row r="226" spans="1:20" customFormat="1">
      <c r="A226" s="10"/>
      <c r="B226" s="4"/>
      <c r="C226" s="4"/>
      <c r="D226" s="133" t="s">
        <v>670</v>
      </c>
      <c r="E226" s="664" t="str">
        <f>+VLOOKUP(F226,Resumen_Base!$C$8:$G$287,5,0)</f>
        <v>Field:</v>
      </c>
      <c r="F226" s="152" t="s">
        <v>133</v>
      </c>
      <c r="G226" s="4" t="s">
        <v>312</v>
      </c>
      <c r="H226" s="4" t="str">
        <f t="shared" si="3"/>
        <v>SJ5207</v>
      </c>
      <c r="I226" s="196">
        <v>2698</v>
      </c>
      <c r="J226" s="196">
        <v>1.9</v>
      </c>
      <c r="K226" s="196">
        <v>1420</v>
      </c>
      <c r="L226" s="454" t="s">
        <v>1098</v>
      </c>
      <c r="M226" s="4" t="s">
        <v>780</v>
      </c>
      <c r="N226" s="133" t="s">
        <v>781</v>
      </c>
      <c r="O226" s="4" t="s">
        <v>1175</v>
      </c>
      <c r="P226" s="4" t="s">
        <v>892</v>
      </c>
      <c r="Q226" s="4" t="s">
        <v>1176</v>
      </c>
      <c r="R226" s="4" t="s">
        <v>953</v>
      </c>
      <c r="S226" s="4" t="s">
        <v>1178</v>
      </c>
      <c r="T226" s="4" t="s">
        <v>786</v>
      </c>
    </row>
    <row r="227" spans="1:20" customFormat="1">
      <c r="A227" s="10"/>
      <c r="B227" s="4"/>
      <c r="C227" s="4"/>
      <c r="D227" s="133" t="s">
        <v>670</v>
      </c>
      <c r="E227" s="664" t="str">
        <f>+VLOOKUP(F227,Resumen_Base!$C$8:$G$287,5,0)</f>
        <v>Field:</v>
      </c>
      <c r="F227" s="152" t="s">
        <v>133</v>
      </c>
      <c r="G227" s="4" t="s">
        <v>312</v>
      </c>
      <c r="H227" s="4" t="str">
        <f t="shared" si="3"/>
        <v>SJ5207</v>
      </c>
      <c r="I227" s="196">
        <v>852000</v>
      </c>
      <c r="J227" s="196">
        <v>600</v>
      </c>
      <c r="K227" s="196">
        <v>1420</v>
      </c>
      <c r="L227" s="454" t="s">
        <v>1098</v>
      </c>
      <c r="M227" s="4" t="s">
        <v>780</v>
      </c>
      <c r="N227" s="133" t="s">
        <v>781</v>
      </c>
      <c r="O227" s="4" t="s">
        <v>1175</v>
      </c>
      <c r="P227" s="4" t="s">
        <v>892</v>
      </c>
      <c r="Q227" s="4" t="s">
        <v>1176</v>
      </c>
      <c r="R227" s="4" t="s">
        <v>1189</v>
      </c>
      <c r="S227" s="4" t="s">
        <v>1178</v>
      </c>
      <c r="T227" s="4" t="s">
        <v>786</v>
      </c>
    </row>
    <row r="228" spans="1:20" customFormat="1">
      <c r="A228" s="10"/>
      <c r="B228" s="4"/>
      <c r="C228" s="4"/>
      <c r="D228" s="133" t="s">
        <v>676</v>
      </c>
      <c r="E228" s="664" t="str">
        <f>+VLOOKUP(F228,Resumen_Base!$C$8:$G$287,5,0)</f>
        <v>Field:</v>
      </c>
      <c r="F228" s="152" t="s">
        <v>133</v>
      </c>
      <c r="G228" s="4" t="s">
        <v>312</v>
      </c>
      <c r="H228" s="4" t="str">
        <f t="shared" si="3"/>
        <v>CAR5207</v>
      </c>
      <c r="I228" s="196">
        <v>2698</v>
      </c>
      <c r="J228" s="196">
        <v>1.9</v>
      </c>
      <c r="K228" s="196">
        <v>1420</v>
      </c>
      <c r="L228" s="454" t="s">
        <v>787</v>
      </c>
      <c r="M228" s="4" t="s">
        <v>780</v>
      </c>
      <c r="N228" s="133" t="s">
        <v>1407</v>
      </c>
      <c r="O228" s="4" t="s">
        <v>1446</v>
      </c>
      <c r="P228" s="4" t="s">
        <v>783</v>
      </c>
      <c r="Q228" s="4" t="s">
        <v>1447</v>
      </c>
      <c r="R228" s="4" t="s">
        <v>1483</v>
      </c>
      <c r="S228" s="4" t="s">
        <v>1449</v>
      </c>
      <c r="T228" s="4" t="s">
        <v>786</v>
      </c>
    </row>
    <row r="229" spans="1:20" customFormat="1">
      <c r="A229" s="10"/>
      <c r="B229" s="4"/>
      <c r="C229" s="4"/>
      <c r="D229" s="133" t="s">
        <v>676</v>
      </c>
      <c r="E229" s="664" t="str">
        <f>+VLOOKUP(F229,Resumen_Base!$C$8:$G$287,5,0)</f>
        <v>Field:</v>
      </c>
      <c r="F229" s="152" t="s">
        <v>133</v>
      </c>
      <c r="G229" s="4" t="s">
        <v>312</v>
      </c>
      <c r="H229" s="4" t="str">
        <f t="shared" si="3"/>
        <v>CAR5207</v>
      </c>
      <c r="I229" s="196">
        <v>781000</v>
      </c>
      <c r="J229" s="196">
        <v>550</v>
      </c>
      <c r="K229" s="196">
        <v>1420</v>
      </c>
      <c r="L229" s="454" t="s">
        <v>787</v>
      </c>
      <c r="M229" s="4" t="s">
        <v>780</v>
      </c>
      <c r="N229" s="133" t="s">
        <v>1407</v>
      </c>
      <c r="O229" s="4" t="s">
        <v>1446</v>
      </c>
      <c r="P229" s="4" t="s">
        <v>783</v>
      </c>
      <c r="Q229" s="4" t="s">
        <v>1447</v>
      </c>
      <c r="R229" s="4" t="s">
        <v>1484</v>
      </c>
      <c r="S229" s="4" t="s">
        <v>1449</v>
      </c>
      <c r="T229" s="4" t="s">
        <v>786</v>
      </c>
    </row>
    <row r="230" spans="1:20" customFormat="1">
      <c r="A230" s="10"/>
      <c r="B230" s="4"/>
      <c r="C230" s="4"/>
      <c r="D230" s="133" t="s">
        <v>676</v>
      </c>
      <c r="E230" s="664" t="str">
        <f>+VLOOKUP(F230,Resumen_Base!$C$8:$G$287,5,0)</f>
        <v>Field:</v>
      </c>
      <c r="F230" s="152" t="s">
        <v>133</v>
      </c>
      <c r="G230" s="4" t="s">
        <v>312</v>
      </c>
      <c r="H230" s="4" t="str">
        <f t="shared" si="3"/>
        <v>CAR5207</v>
      </c>
      <c r="I230" s="196">
        <v>284000</v>
      </c>
      <c r="J230" s="196">
        <v>200</v>
      </c>
      <c r="K230" s="196">
        <v>1420</v>
      </c>
      <c r="L230" s="454" t="s">
        <v>787</v>
      </c>
      <c r="M230" s="4" t="s">
        <v>780</v>
      </c>
      <c r="N230" s="133" t="s">
        <v>1407</v>
      </c>
      <c r="O230" s="4" t="s">
        <v>1446</v>
      </c>
      <c r="P230" s="4" t="s">
        <v>783</v>
      </c>
      <c r="Q230" s="4" t="s">
        <v>1447</v>
      </c>
      <c r="R230" s="4" t="s">
        <v>1479</v>
      </c>
      <c r="S230" s="4" t="s">
        <v>1449</v>
      </c>
      <c r="T230" s="4" t="s">
        <v>786</v>
      </c>
    </row>
    <row r="231" spans="1:20" customFormat="1">
      <c r="A231" s="10"/>
      <c r="B231" s="4"/>
      <c r="C231" s="4"/>
      <c r="D231" s="133" t="s">
        <v>676</v>
      </c>
      <c r="E231" s="664" t="str">
        <f>+VLOOKUP(F231,Resumen_Base!$C$8:$G$287,5,0)</f>
        <v>Field:</v>
      </c>
      <c r="F231" s="152" t="s">
        <v>133</v>
      </c>
      <c r="G231" s="4" t="s">
        <v>312</v>
      </c>
      <c r="H231" s="4" t="str">
        <f t="shared" si="3"/>
        <v>CAR5207</v>
      </c>
      <c r="I231" s="196">
        <v>2698</v>
      </c>
      <c r="J231" s="196">
        <v>1.9</v>
      </c>
      <c r="K231" s="196">
        <v>1420</v>
      </c>
      <c r="L231" s="454" t="s">
        <v>787</v>
      </c>
      <c r="M231" s="4" t="s">
        <v>780</v>
      </c>
      <c r="N231" s="133" t="s">
        <v>1407</v>
      </c>
      <c r="O231" s="4" t="s">
        <v>1446</v>
      </c>
      <c r="P231" s="4" t="s">
        <v>783</v>
      </c>
      <c r="Q231" s="4" t="s">
        <v>1447</v>
      </c>
      <c r="R231" s="4" t="s">
        <v>1456</v>
      </c>
      <c r="S231" s="4" t="s">
        <v>1449</v>
      </c>
      <c r="T231" s="4" t="s">
        <v>786</v>
      </c>
    </row>
    <row r="232" spans="1:20" customFormat="1">
      <c r="A232" s="10"/>
      <c r="B232" s="4"/>
      <c r="C232" s="4"/>
      <c r="D232" s="133" t="s">
        <v>676</v>
      </c>
      <c r="E232" s="664" t="str">
        <f>+VLOOKUP(F232,Resumen_Base!$C$8:$G$287,5,0)</f>
        <v>Field:</v>
      </c>
      <c r="F232" s="152" t="s">
        <v>133</v>
      </c>
      <c r="G232" s="4" t="s">
        <v>312</v>
      </c>
      <c r="H232" s="4" t="str">
        <f t="shared" si="3"/>
        <v>CAR5207</v>
      </c>
      <c r="I232" s="196">
        <v>752600</v>
      </c>
      <c r="J232" s="196">
        <v>530</v>
      </c>
      <c r="K232" s="196">
        <v>1420</v>
      </c>
      <c r="L232" s="454" t="s">
        <v>787</v>
      </c>
      <c r="M232" s="4" t="s">
        <v>780</v>
      </c>
      <c r="N232" s="133" t="s">
        <v>1407</v>
      </c>
      <c r="O232" s="4" t="s">
        <v>1446</v>
      </c>
      <c r="P232" s="4" t="s">
        <v>783</v>
      </c>
      <c r="Q232" s="4" t="s">
        <v>1447</v>
      </c>
      <c r="R232" s="4" t="s">
        <v>1485</v>
      </c>
      <c r="S232" s="4" t="s">
        <v>1449</v>
      </c>
      <c r="T232" s="4" t="s">
        <v>786</v>
      </c>
    </row>
    <row r="233" spans="1:20" customFormat="1">
      <c r="A233" s="10"/>
      <c r="B233" s="4"/>
      <c r="C233" s="4"/>
      <c r="D233" s="133" t="s">
        <v>676</v>
      </c>
      <c r="E233" s="664" t="str">
        <f>+VLOOKUP(F233,Resumen_Base!$C$8:$G$287,5,0)</f>
        <v>Field:</v>
      </c>
      <c r="F233" s="152" t="s">
        <v>133</v>
      </c>
      <c r="G233" s="4" t="s">
        <v>312</v>
      </c>
      <c r="H233" s="4" t="str">
        <f t="shared" si="3"/>
        <v>CAR5207</v>
      </c>
      <c r="I233" s="196">
        <v>2698</v>
      </c>
      <c r="J233" s="196">
        <v>1.9</v>
      </c>
      <c r="K233" s="196">
        <v>1420</v>
      </c>
      <c r="L233" s="454" t="s">
        <v>787</v>
      </c>
      <c r="M233" s="4" t="s">
        <v>780</v>
      </c>
      <c r="N233" s="133" t="s">
        <v>1407</v>
      </c>
      <c r="O233" s="4" t="s">
        <v>1446</v>
      </c>
      <c r="P233" s="4" t="s">
        <v>783</v>
      </c>
      <c r="Q233" s="4" t="s">
        <v>1447</v>
      </c>
      <c r="R233" s="4" t="s">
        <v>1480</v>
      </c>
      <c r="S233" s="4" t="s">
        <v>1449</v>
      </c>
      <c r="T233" s="4" t="s">
        <v>786</v>
      </c>
    </row>
    <row r="234" spans="1:20" customFormat="1">
      <c r="A234" s="10"/>
      <c r="B234" s="4"/>
      <c r="C234" s="4"/>
      <c r="D234" s="133" t="s">
        <v>676</v>
      </c>
      <c r="E234" s="664" t="str">
        <f>+VLOOKUP(F234,Resumen_Base!$C$8:$G$287,5,0)</f>
        <v>Field:</v>
      </c>
      <c r="F234" s="152" t="s">
        <v>133</v>
      </c>
      <c r="G234" s="4" t="s">
        <v>312</v>
      </c>
      <c r="H234" s="4" t="str">
        <f t="shared" si="3"/>
        <v>CAR5207</v>
      </c>
      <c r="I234" s="196">
        <v>568000</v>
      </c>
      <c r="J234" s="196">
        <v>400</v>
      </c>
      <c r="K234" s="196">
        <v>1420</v>
      </c>
      <c r="L234" s="454" t="s">
        <v>787</v>
      </c>
      <c r="M234" s="4" t="s">
        <v>780</v>
      </c>
      <c r="N234" s="133" t="s">
        <v>1407</v>
      </c>
      <c r="O234" s="4" t="s">
        <v>1446</v>
      </c>
      <c r="P234" s="4" t="s">
        <v>783</v>
      </c>
      <c r="Q234" s="4" t="s">
        <v>1447</v>
      </c>
      <c r="R234" s="4" t="s">
        <v>1481</v>
      </c>
      <c r="S234" s="4" t="s">
        <v>1449</v>
      </c>
      <c r="T234" s="4" t="s">
        <v>786</v>
      </c>
    </row>
    <row r="235" spans="1:20" customFormat="1">
      <c r="A235" s="10"/>
      <c r="B235" s="4"/>
      <c r="C235" s="4"/>
      <c r="D235" s="133" t="s">
        <v>676</v>
      </c>
      <c r="E235" s="664" t="str">
        <f>+VLOOKUP(F235,Resumen_Base!$C$8:$G$287,5,0)</f>
        <v>Field:</v>
      </c>
      <c r="F235" s="152" t="s">
        <v>133</v>
      </c>
      <c r="G235" s="4" t="s">
        <v>312</v>
      </c>
      <c r="H235" s="4" t="str">
        <f t="shared" si="3"/>
        <v>CAR5207</v>
      </c>
      <c r="I235" s="196">
        <v>639000</v>
      </c>
      <c r="J235" s="196">
        <v>450</v>
      </c>
      <c r="K235" s="196">
        <v>1420</v>
      </c>
      <c r="L235" s="454" t="s">
        <v>787</v>
      </c>
      <c r="M235" s="4" t="s">
        <v>780</v>
      </c>
      <c r="N235" s="133" t="s">
        <v>1407</v>
      </c>
      <c r="O235" s="4" t="s">
        <v>1446</v>
      </c>
      <c r="P235" s="4" t="s">
        <v>783</v>
      </c>
      <c r="Q235" s="4" t="s">
        <v>1447</v>
      </c>
      <c r="R235" s="4" t="s">
        <v>1482</v>
      </c>
      <c r="S235" s="4" t="s">
        <v>1449</v>
      </c>
      <c r="T235" s="4" t="s">
        <v>786</v>
      </c>
    </row>
    <row r="236" spans="1:20" customFormat="1">
      <c r="A236" s="10"/>
      <c r="B236" s="4"/>
      <c r="C236" s="4"/>
      <c r="D236" s="133" t="s">
        <v>676</v>
      </c>
      <c r="E236" s="664" t="str">
        <f>+VLOOKUP(F236,Resumen_Base!$C$8:$G$287,5,0)</f>
        <v>Field:</v>
      </c>
      <c r="F236" s="152" t="s">
        <v>133</v>
      </c>
      <c r="G236" s="4" t="s">
        <v>312</v>
      </c>
      <c r="H236" s="4" t="str">
        <f t="shared" si="3"/>
        <v>CAR5207</v>
      </c>
      <c r="I236" s="196">
        <v>2698</v>
      </c>
      <c r="J236" s="196">
        <v>1.9</v>
      </c>
      <c r="K236" s="196">
        <v>1420</v>
      </c>
      <c r="L236" s="454" t="s">
        <v>787</v>
      </c>
      <c r="M236" s="4" t="s">
        <v>780</v>
      </c>
      <c r="N236" s="133" t="s">
        <v>1407</v>
      </c>
      <c r="O236" s="4" t="s">
        <v>1446</v>
      </c>
      <c r="P236" s="4" t="s">
        <v>783</v>
      </c>
      <c r="Q236" s="4" t="s">
        <v>1447</v>
      </c>
      <c r="R236" s="4" t="s">
        <v>1462</v>
      </c>
      <c r="S236" s="4" t="s">
        <v>1449</v>
      </c>
      <c r="T236" s="4" t="s">
        <v>786</v>
      </c>
    </row>
    <row r="237" spans="1:20" customFormat="1">
      <c r="A237" s="10"/>
      <c r="B237" s="4"/>
      <c r="C237" s="4"/>
      <c r="D237" s="133" t="s">
        <v>676</v>
      </c>
      <c r="E237" s="664" t="str">
        <f>+VLOOKUP(F237,Resumen_Base!$C$8:$G$287,5,0)</f>
        <v>Field:</v>
      </c>
      <c r="F237" s="152" t="s">
        <v>133</v>
      </c>
      <c r="G237" s="4" t="s">
        <v>312</v>
      </c>
      <c r="H237" s="4" t="str">
        <f t="shared" si="3"/>
        <v>CAR5207</v>
      </c>
      <c r="I237" s="196">
        <v>2698</v>
      </c>
      <c r="J237" s="196">
        <v>1.9</v>
      </c>
      <c r="K237" s="196">
        <v>1420</v>
      </c>
      <c r="L237" s="454" t="s">
        <v>787</v>
      </c>
      <c r="M237" s="4" t="s">
        <v>780</v>
      </c>
      <c r="N237" s="133" t="s">
        <v>1407</v>
      </c>
      <c r="O237" s="4" t="s">
        <v>1446</v>
      </c>
      <c r="P237" s="4" t="s">
        <v>783</v>
      </c>
      <c r="Q237" s="4" t="s">
        <v>1447</v>
      </c>
      <c r="R237" s="4" t="s">
        <v>1462</v>
      </c>
      <c r="S237" s="4" t="s">
        <v>1449</v>
      </c>
      <c r="T237" s="4" t="s">
        <v>786</v>
      </c>
    </row>
    <row r="238" spans="1:20" customFormat="1">
      <c r="A238" s="10"/>
      <c r="B238" s="4"/>
      <c r="C238" s="4"/>
      <c r="D238" s="133" t="s">
        <v>676</v>
      </c>
      <c r="E238" s="664" t="str">
        <f>+VLOOKUP(F238,Resumen_Base!$C$8:$G$287,5,0)</f>
        <v>Field:</v>
      </c>
      <c r="F238" s="152" t="s">
        <v>133</v>
      </c>
      <c r="G238" s="4" t="s">
        <v>312</v>
      </c>
      <c r="H238" s="4" t="str">
        <f t="shared" si="3"/>
        <v>CAR5207</v>
      </c>
      <c r="I238" s="196">
        <v>1491000</v>
      </c>
      <c r="J238" s="196">
        <v>1050</v>
      </c>
      <c r="K238" s="196">
        <v>1420</v>
      </c>
      <c r="L238" s="454" t="s">
        <v>787</v>
      </c>
      <c r="M238" s="4" t="s">
        <v>780</v>
      </c>
      <c r="N238" s="133" t="s">
        <v>1407</v>
      </c>
      <c r="O238" s="4" t="s">
        <v>1446</v>
      </c>
      <c r="P238" s="4" t="s">
        <v>783</v>
      </c>
      <c r="Q238" s="4" t="s">
        <v>1447</v>
      </c>
      <c r="R238" s="4" t="s">
        <v>1486</v>
      </c>
      <c r="S238" s="4" t="s">
        <v>1449</v>
      </c>
      <c r="T238" s="4" t="s">
        <v>786</v>
      </c>
    </row>
    <row r="239" spans="1:20" customFormat="1">
      <c r="A239" s="10"/>
      <c r="B239" s="4"/>
      <c r="C239" s="4"/>
      <c r="D239" s="133" t="s">
        <v>676</v>
      </c>
      <c r="E239" s="664" t="str">
        <f>+VLOOKUP(F239,Resumen_Base!$C$8:$G$287,5,0)</f>
        <v>Field:</v>
      </c>
      <c r="F239" s="152" t="s">
        <v>133</v>
      </c>
      <c r="G239" s="4" t="s">
        <v>312</v>
      </c>
      <c r="H239" s="4" t="str">
        <f t="shared" si="3"/>
        <v>CAR5207</v>
      </c>
      <c r="I239" s="196">
        <v>2698</v>
      </c>
      <c r="J239" s="196">
        <v>1.9</v>
      </c>
      <c r="K239" s="196">
        <v>1420</v>
      </c>
      <c r="L239" s="454" t="s">
        <v>787</v>
      </c>
      <c r="M239" s="4" t="s">
        <v>780</v>
      </c>
      <c r="N239" s="133" t="s">
        <v>1407</v>
      </c>
      <c r="O239" s="4" t="s">
        <v>1446</v>
      </c>
      <c r="P239" s="4" t="s">
        <v>783</v>
      </c>
      <c r="Q239" s="4" t="s">
        <v>1447</v>
      </c>
      <c r="R239" s="4" t="s">
        <v>1456</v>
      </c>
      <c r="S239" s="4" t="s">
        <v>1449</v>
      </c>
      <c r="T239" s="4" t="s">
        <v>786</v>
      </c>
    </row>
    <row r="240" spans="1:20" customFormat="1">
      <c r="A240" s="10"/>
      <c r="B240" s="4"/>
      <c r="C240" s="4"/>
      <c r="D240" s="133" t="s">
        <v>676</v>
      </c>
      <c r="E240" s="664" t="str">
        <f>+VLOOKUP(F240,Resumen_Base!$C$8:$G$287,5,0)</f>
        <v>Field:</v>
      </c>
      <c r="F240" s="152" t="s">
        <v>133</v>
      </c>
      <c r="G240" s="4" t="s">
        <v>312</v>
      </c>
      <c r="H240" s="4" t="str">
        <f t="shared" si="3"/>
        <v>CAR5207</v>
      </c>
      <c r="I240" s="196">
        <v>1260000</v>
      </c>
      <c r="J240" s="196">
        <v>900</v>
      </c>
      <c r="K240" s="196">
        <v>1400</v>
      </c>
      <c r="L240" s="454" t="s">
        <v>1017</v>
      </c>
      <c r="M240" s="4" t="s">
        <v>780</v>
      </c>
      <c r="N240" s="133" t="s">
        <v>1407</v>
      </c>
      <c r="O240" s="4" t="s">
        <v>1992</v>
      </c>
      <c r="P240" s="4" t="s">
        <v>892</v>
      </c>
      <c r="Q240" s="4" t="s">
        <v>1993</v>
      </c>
      <c r="R240" s="4" t="s">
        <v>1996</v>
      </c>
      <c r="S240" s="4" t="s">
        <v>1994</v>
      </c>
      <c r="T240" s="4" t="s">
        <v>786</v>
      </c>
    </row>
    <row r="241" spans="1:20" customFormat="1">
      <c r="A241" s="10"/>
      <c r="B241" s="4"/>
      <c r="C241" s="4"/>
      <c r="D241" s="133" t="s">
        <v>676</v>
      </c>
      <c r="E241" s="664" t="str">
        <f>+VLOOKUP(F241,Resumen_Base!$C$8:$G$287,5,0)</f>
        <v>Field:</v>
      </c>
      <c r="F241" s="152" t="s">
        <v>133</v>
      </c>
      <c r="G241" s="4" t="s">
        <v>312</v>
      </c>
      <c r="H241" s="4" t="str">
        <f t="shared" si="3"/>
        <v>CAR5207</v>
      </c>
      <c r="I241" s="196">
        <v>2660</v>
      </c>
      <c r="J241" s="196">
        <v>1.9</v>
      </c>
      <c r="K241" s="196">
        <v>1400</v>
      </c>
      <c r="L241" s="454" t="s">
        <v>1017</v>
      </c>
      <c r="M241" s="4" t="s">
        <v>780</v>
      </c>
      <c r="N241" s="133" t="s">
        <v>1407</v>
      </c>
      <c r="O241" s="4" t="s">
        <v>1992</v>
      </c>
      <c r="P241" s="4" t="s">
        <v>892</v>
      </c>
      <c r="Q241" s="4" t="s">
        <v>1993</v>
      </c>
      <c r="R241" s="4" t="s">
        <v>1515</v>
      </c>
      <c r="S241" s="4" t="s">
        <v>1994</v>
      </c>
      <c r="T241" s="4" t="s">
        <v>786</v>
      </c>
    </row>
    <row r="242" spans="1:20" customFormat="1">
      <c r="A242" s="10"/>
      <c r="B242" s="4"/>
      <c r="C242" s="4"/>
      <c r="D242" s="133" t="s">
        <v>676</v>
      </c>
      <c r="E242" s="664" t="str">
        <f>+VLOOKUP(F242,Resumen_Base!$C$8:$G$287,5,0)</f>
        <v>Field:</v>
      </c>
      <c r="F242" s="152" t="s">
        <v>133</v>
      </c>
      <c r="G242" s="4" t="s">
        <v>312</v>
      </c>
      <c r="H242" s="4" t="str">
        <f t="shared" si="3"/>
        <v>CAR5207</v>
      </c>
      <c r="I242" s="196">
        <v>2660</v>
      </c>
      <c r="J242" s="196">
        <v>1.9</v>
      </c>
      <c r="K242" s="196">
        <v>1400</v>
      </c>
      <c r="L242" s="454" t="s">
        <v>1017</v>
      </c>
      <c r="M242" s="4" t="s">
        <v>780</v>
      </c>
      <c r="N242" s="133" t="s">
        <v>1407</v>
      </c>
      <c r="O242" s="4" t="s">
        <v>1992</v>
      </c>
      <c r="P242" s="4" t="s">
        <v>892</v>
      </c>
      <c r="Q242" s="4" t="s">
        <v>1993</v>
      </c>
      <c r="R242" s="4" t="s">
        <v>1515</v>
      </c>
      <c r="S242" s="4" t="s">
        <v>1994</v>
      </c>
      <c r="T242" s="4" t="s">
        <v>786</v>
      </c>
    </row>
    <row r="243" spans="1:20" customFormat="1">
      <c r="A243" s="10"/>
      <c r="B243" s="4"/>
      <c r="C243" s="4"/>
      <c r="D243" s="133" t="s">
        <v>676</v>
      </c>
      <c r="E243" s="664" t="str">
        <f>+VLOOKUP(F243,Resumen_Base!$C$8:$G$287,5,0)</f>
        <v>Field:</v>
      </c>
      <c r="F243" s="152" t="s">
        <v>133</v>
      </c>
      <c r="G243" s="4" t="s">
        <v>312</v>
      </c>
      <c r="H243" s="4" t="str">
        <f t="shared" si="3"/>
        <v>CAR5207</v>
      </c>
      <c r="I243" s="196">
        <v>1092000</v>
      </c>
      <c r="J243" s="196">
        <v>780</v>
      </c>
      <c r="K243" s="196">
        <v>1400</v>
      </c>
      <c r="L243" s="454" t="s">
        <v>1017</v>
      </c>
      <c r="M243" s="4" t="s">
        <v>780</v>
      </c>
      <c r="N243" s="133" t="s">
        <v>1407</v>
      </c>
      <c r="O243" s="4" t="s">
        <v>1992</v>
      </c>
      <c r="P243" s="4" t="s">
        <v>892</v>
      </c>
      <c r="Q243" s="4" t="s">
        <v>1993</v>
      </c>
      <c r="R243" s="4" t="s">
        <v>2002</v>
      </c>
      <c r="S243" s="4" t="s">
        <v>1994</v>
      </c>
      <c r="T243" s="4" t="s">
        <v>786</v>
      </c>
    </row>
    <row r="244" spans="1:20" customFormat="1">
      <c r="A244" s="10"/>
      <c r="B244" s="4"/>
      <c r="C244" s="4"/>
      <c r="D244" s="133" t="s">
        <v>676</v>
      </c>
      <c r="E244" s="664" t="str">
        <f>+VLOOKUP(F244,Resumen_Base!$C$8:$G$287,5,0)</f>
        <v>Field:</v>
      </c>
      <c r="F244" s="152" t="s">
        <v>133</v>
      </c>
      <c r="G244" s="4" t="s">
        <v>312</v>
      </c>
      <c r="H244" s="4" t="str">
        <f t="shared" si="3"/>
        <v>CAR5207</v>
      </c>
      <c r="I244" s="196">
        <v>2660</v>
      </c>
      <c r="J244" s="196">
        <v>1.9</v>
      </c>
      <c r="K244" s="196">
        <v>1400</v>
      </c>
      <c r="L244" s="454" t="s">
        <v>1017</v>
      </c>
      <c r="M244" s="4" t="s">
        <v>780</v>
      </c>
      <c r="N244" s="133" t="s">
        <v>1407</v>
      </c>
      <c r="O244" s="4" t="s">
        <v>1992</v>
      </c>
      <c r="P244" s="4" t="s">
        <v>892</v>
      </c>
      <c r="Q244" s="4" t="s">
        <v>1993</v>
      </c>
      <c r="R244" s="4" t="s">
        <v>1515</v>
      </c>
      <c r="S244" s="4" t="s">
        <v>1994</v>
      </c>
      <c r="T244" s="4" t="s">
        <v>786</v>
      </c>
    </row>
    <row r="245" spans="1:20" customFormat="1">
      <c r="A245" s="10"/>
      <c r="B245" s="4"/>
      <c r="C245" s="4"/>
      <c r="D245" s="133" t="s">
        <v>676</v>
      </c>
      <c r="E245" s="664" t="str">
        <f>+VLOOKUP(F245,Resumen_Base!$C$8:$G$287,5,0)</f>
        <v>Field:</v>
      </c>
      <c r="F245" s="152" t="s">
        <v>133</v>
      </c>
      <c r="G245" s="4" t="s">
        <v>312</v>
      </c>
      <c r="H245" s="4" t="str">
        <f t="shared" si="3"/>
        <v>CAR5207</v>
      </c>
      <c r="I245" s="196">
        <v>560000</v>
      </c>
      <c r="J245" s="196">
        <v>400</v>
      </c>
      <c r="K245" s="196">
        <v>1400</v>
      </c>
      <c r="L245" s="454" t="s">
        <v>1017</v>
      </c>
      <c r="M245" s="4" t="s">
        <v>780</v>
      </c>
      <c r="N245" s="133" t="s">
        <v>1407</v>
      </c>
      <c r="O245" s="4" t="s">
        <v>1992</v>
      </c>
      <c r="P245" s="4" t="s">
        <v>892</v>
      </c>
      <c r="Q245" s="4" t="s">
        <v>1993</v>
      </c>
      <c r="R245" s="4" t="s">
        <v>2003</v>
      </c>
      <c r="S245" s="4" t="s">
        <v>1994</v>
      </c>
      <c r="T245" s="4" t="s">
        <v>786</v>
      </c>
    </row>
    <row r="246" spans="1:20" customFormat="1">
      <c r="A246" s="10"/>
      <c r="B246" s="4"/>
      <c r="C246" s="4"/>
      <c r="D246" s="133" t="s">
        <v>676</v>
      </c>
      <c r="E246" s="664" t="str">
        <f>+VLOOKUP(F246,Resumen_Base!$C$8:$G$287,5,0)</f>
        <v>Field:</v>
      </c>
      <c r="F246" s="152" t="s">
        <v>133</v>
      </c>
      <c r="G246" s="4" t="s">
        <v>312</v>
      </c>
      <c r="H246" s="4" t="str">
        <f t="shared" si="3"/>
        <v>CAR5207</v>
      </c>
      <c r="I246" s="196">
        <v>2660</v>
      </c>
      <c r="J246" s="196">
        <v>1.9</v>
      </c>
      <c r="K246" s="196">
        <v>1400</v>
      </c>
      <c r="L246" s="454" t="s">
        <v>1017</v>
      </c>
      <c r="M246" s="4" t="s">
        <v>780</v>
      </c>
      <c r="N246" s="133" t="s">
        <v>1407</v>
      </c>
      <c r="O246" s="4" t="s">
        <v>1992</v>
      </c>
      <c r="P246" s="4" t="s">
        <v>892</v>
      </c>
      <c r="Q246" s="4" t="s">
        <v>1993</v>
      </c>
      <c r="R246" s="4" t="s">
        <v>1515</v>
      </c>
      <c r="S246" s="4" t="s">
        <v>1994</v>
      </c>
      <c r="T246" s="4" t="s">
        <v>786</v>
      </c>
    </row>
    <row r="247" spans="1:20" customFormat="1">
      <c r="A247" s="10"/>
      <c r="B247" s="4"/>
      <c r="C247" s="4"/>
      <c r="D247" s="133" t="s">
        <v>676</v>
      </c>
      <c r="E247" s="664" t="str">
        <f>+VLOOKUP(F247,Resumen_Base!$C$8:$G$287,5,0)</f>
        <v>Field:</v>
      </c>
      <c r="F247" s="152" t="s">
        <v>133</v>
      </c>
      <c r="G247" s="4" t="s">
        <v>312</v>
      </c>
      <c r="H247" s="4" t="str">
        <f t="shared" si="3"/>
        <v>CAR5207</v>
      </c>
      <c r="I247" s="196">
        <v>350000</v>
      </c>
      <c r="J247" s="196">
        <v>250</v>
      </c>
      <c r="K247" s="196">
        <v>1400</v>
      </c>
      <c r="L247" s="454" t="s">
        <v>1017</v>
      </c>
      <c r="M247" s="4" t="s">
        <v>780</v>
      </c>
      <c r="N247" s="133" t="s">
        <v>1407</v>
      </c>
      <c r="O247" s="4" t="s">
        <v>1992</v>
      </c>
      <c r="P247" s="4" t="s">
        <v>892</v>
      </c>
      <c r="Q247" s="4" t="s">
        <v>1993</v>
      </c>
      <c r="R247" s="4" t="s">
        <v>1997</v>
      </c>
      <c r="S247" s="4" t="s">
        <v>1994</v>
      </c>
      <c r="T247" s="4" t="s">
        <v>786</v>
      </c>
    </row>
    <row r="248" spans="1:20" customFormat="1">
      <c r="A248" s="10"/>
      <c r="B248" s="4"/>
      <c r="C248" s="4"/>
      <c r="D248" s="133" t="s">
        <v>676</v>
      </c>
      <c r="E248" s="664" t="str">
        <f>+VLOOKUP(F248,Resumen_Base!$C$8:$G$287,5,0)</f>
        <v>Field:</v>
      </c>
      <c r="F248" s="152" t="s">
        <v>133</v>
      </c>
      <c r="G248" s="4" t="s">
        <v>312</v>
      </c>
      <c r="H248" s="4" t="str">
        <f t="shared" si="3"/>
        <v>CAR5207</v>
      </c>
      <c r="I248" s="196">
        <v>2688</v>
      </c>
      <c r="J248" s="196">
        <v>1.92</v>
      </c>
      <c r="K248" s="196">
        <v>1400</v>
      </c>
      <c r="L248" s="454" t="s">
        <v>1017</v>
      </c>
      <c r="M248" s="4" t="s">
        <v>780</v>
      </c>
      <c r="N248" s="133" t="s">
        <v>1407</v>
      </c>
      <c r="O248" s="4" t="s">
        <v>2006</v>
      </c>
      <c r="P248" s="4" t="s">
        <v>892</v>
      </c>
      <c r="Q248" s="4" t="s">
        <v>2007</v>
      </c>
      <c r="R248" s="4" t="s">
        <v>1515</v>
      </c>
      <c r="S248" s="4" t="s">
        <v>2009</v>
      </c>
      <c r="T248" s="4" t="s">
        <v>786</v>
      </c>
    </row>
    <row r="249" spans="1:20" customFormat="1">
      <c r="A249" s="10"/>
      <c r="B249" s="4"/>
      <c r="C249" s="4"/>
      <c r="D249" s="133" t="s">
        <v>676</v>
      </c>
      <c r="E249" s="664" t="str">
        <f>+VLOOKUP(F249,Resumen_Base!$C$8:$G$287,5,0)</f>
        <v>Field:</v>
      </c>
      <c r="F249" s="152" t="s">
        <v>133</v>
      </c>
      <c r="G249" s="4" t="s">
        <v>312</v>
      </c>
      <c r="H249" s="4" t="str">
        <f t="shared" si="3"/>
        <v>CAR5207</v>
      </c>
      <c r="I249" s="196">
        <v>9716</v>
      </c>
      <c r="J249" s="196">
        <v>6.94</v>
      </c>
      <c r="K249" s="196">
        <v>1400</v>
      </c>
      <c r="L249" s="454" t="s">
        <v>1017</v>
      </c>
      <c r="M249" s="4" t="s">
        <v>780</v>
      </c>
      <c r="N249" s="133" t="s">
        <v>1407</v>
      </c>
      <c r="O249" s="4" t="s">
        <v>2006</v>
      </c>
      <c r="P249" s="4" t="s">
        <v>892</v>
      </c>
      <c r="Q249" s="4" t="s">
        <v>2007</v>
      </c>
      <c r="R249" s="4" t="s">
        <v>2011</v>
      </c>
      <c r="S249" s="4" t="s">
        <v>2009</v>
      </c>
      <c r="T249" s="4" t="s">
        <v>786</v>
      </c>
    </row>
    <row r="250" spans="1:20" customFormat="1" ht="25">
      <c r="A250" s="10"/>
      <c r="B250" s="4"/>
      <c r="C250" s="4"/>
      <c r="D250" s="133" t="s">
        <v>670</v>
      </c>
      <c r="E250" s="664" t="str">
        <f>+VLOOKUP(F250,Resumen_Base!$C$8:$G$287,5,0)</f>
        <v>Communications - Phone, internet and satellite TV</v>
      </c>
      <c r="F250" s="152" t="s">
        <v>56</v>
      </c>
      <c r="G250" s="4" t="s">
        <v>315</v>
      </c>
      <c r="H250" s="4" t="str">
        <f t="shared" si="3"/>
        <v>SJ5209</v>
      </c>
      <c r="I250" s="196">
        <v>227200</v>
      </c>
      <c r="J250" s="196">
        <v>160</v>
      </c>
      <c r="K250" s="196">
        <v>1420</v>
      </c>
      <c r="L250" s="454" t="s">
        <v>787</v>
      </c>
      <c r="M250" s="4" t="s">
        <v>780</v>
      </c>
      <c r="N250" s="133" t="s">
        <v>781</v>
      </c>
      <c r="O250" s="4" t="s">
        <v>830</v>
      </c>
      <c r="P250" s="4" t="s">
        <v>783</v>
      </c>
      <c r="Q250" s="4" t="s">
        <v>831</v>
      </c>
      <c r="R250" s="4" t="s">
        <v>853</v>
      </c>
      <c r="S250" s="4" t="s">
        <v>833</v>
      </c>
      <c r="T250" s="4" t="s">
        <v>786</v>
      </c>
    </row>
    <row r="251" spans="1:20" customFormat="1" ht="25">
      <c r="A251" s="10"/>
      <c r="B251" s="4"/>
      <c r="C251" s="4"/>
      <c r="D251" s="133" t="s">
        <v>670</v>
      </c>
      <c r="E251" s="664" t="str">
        <f>+VLOOKUP(F251,Resumen_Base!$C$8:$G$287,5,0)</f>
        <v>Communications - Phone, internet and satellite TV</v>
      </c>
      <c r="F251" s="152" t="s">
        <v>56</v>
      </c>
      <c r="G251" s="4" t="s">
        <v>315</v>
      </c>
      <c r="H251" s="4" t="str">
        <f t="shared" si="3"/>
        <v>SJ5209</v>
      </c>
      <c r="I251" s="196">
        <v>2698</v>
      </c>
      <c r="J251" s="196">
        <v>1.9</v>
      </c>
      <c r="K251" s="196">
        <v>1420</v>
      </c>
      <c r="L251" s="454" t="s">
        <v>787</v>
      </c>
      <c r="M251" s="4" t="s">
        <v>780</v>
      </c>
      <c r="N251" s="133" t="s">
        <v>781</v>
      </c>
      <c r="O251" s="4" t="s">
        <v>830</v>
      </c>
      <c r="P251" s="4" t="s">
        <v>783</v>
      </c>
      <c r="Q251" s="4" t="s">
        <v>831</v>
      </c>
      <c r="R251" s="4" t="s">
        <v>832</v>
      </c>
      <c r="S251" s="4" t="s">
        <v>833</v>
      </c>
      <c r="T251" s="4" t="s">
        <v>786</v>
      </c>
    </row>
    <row r="252" spans="1:20" customFormat="1" ht="25">
      <c r="A252" s="10"/>
      <c r="B252" s="4"/>
      <c r="C252" s="4"/>
      <c r="D252" s="133" t="s">
        <v>670</v>
      </c>
      <c r="E252" s="664" t="str">
        <f>+VLOOKUP(F252,Resumen_Base!$C$8:$G$287,5,0)</f>
        <v>Communications - Phone, internet and satellite TV</v>
      </c>
      <c r="F252" s="152" t="s">
        <v>56</v>
      </c>
      <c r="G252" s="4" t="s">
        <v>315</v>
      </c>
      <c r="H252" s="4" t="str">
        <f t="shared" si="3"/>
        <v>SJ5209</v>
      </c>
      <c r="I252" s="196">
        <v>-1350</v>
      </c>
      <c r="J252" s="196">
        <v>-0.9</v>
      </c>
      <c r="K252" s="196">
        <v>1500</v>
      </c>
      <c r="L252" s="454" t="s">
        <v>1045</v>
      </c>
      <c r="M252" s="4" t="s">
        <v>780</v>
      </c>
      <c r="N252" s="133" t="s">
        <v>781</v>
      </c>
      <c r="O252" s="4" t="s">
        <v>1046</v>
      </c>
      <c r="P252" s="4" t="s">
        <v>892</v>
      </c>
      <c r="Q252" s="4" t="s">
        <v>1047</v>
      </c>
      <c r="R252" s="4"/>
      <c r="S252" s="4" t="s">
        <v>1048</v>
      </c>
      <c r="T252" s="4" t="s">
        <v>786</v>
      </c>
    </row>
    <row r="253" spans="1:20" customFormat="1" ht="25">
      <c r="A253" s="10"/>
      <c r="B253" s="4"/>
      <c r="C253" s="4"/>
      <c r="D253" s="133" t="s">
        <v>670</v>
      </c>
      <c r="E253" s="664" t="str">
        <f>+VLOOKUP(F253,Resumen_Base!$C$8:$G$287,5,0)</f>
        <v>Communications - Phone, internet and satellite TV</v>
      </c>
      <c r="F253" s="152" t="s">
        <v>56</v>
      </c>
      <c r="G253" s="4" t="s">
        <v>315</v>
      </c>
      <c r="H253" s="4" t="str">
        <f t="shared" si="3"/>
        <v>SJ5209</v>
      </c>
      <c r="I253" s="196">
        <v>82215</v>
      </c>
      <c r="J253" s="196">
        <v>54.81</v>
      </c>
      <c r="K253" s="196">
        <v>1500</v>
      </c>
      <c r="L253" s="454" t="s">
        <v>1045</v>
      </c>
      <c r="M253" s="4" t="s">
        <v>780</v>
      </c>
      <c r="N253" s="133" t="s">
        <v>781</v>
      </c>
      <c r="O253" s="4" t="s">
        <v>1062</v>
      </c>
      <c r="P253" s="4" t="s">
        <v>892</v>
      </c>
      <c r="Q253" s="4" t="s">
        <v>1063</v>
      </c>
      <c r="R253" s="4" t="s">
        <v>1065</v>
      </c>
      <c r="S253" s="4" t="s">
        <v>1064</v>
      </c>
      <c r="T253" s="4" t="s">
        <v>786</v>
      </c>
    </row>
    <row r="254" spans="1:20" customFormat="1" ht="25">
      <c r="A254" s="10"/>
      <c r="B254" s="4"/>
      <c r="C254" s="4"/>
      <c r="D254" s="133" t="s">
        <v>670</v>
      </c>
      <c r="E254" s="664" t="str">
        <f>+VLOOKUP(F254,Resumen_Base!$C$8:$G$287,5,0)</f>
        <v>Communications - Phone, internet and satellite TV</v>
      </c>
      <c r="F254" s="152" t="s">
        <v>56</v>
      </c>
      <c r="G254" s="4" t="s">
        <v>315</v>
      </c>
      <c r="H254" s="4" t="str">
        <f t="shared" si="3"/>
        <v>SJ5209</v>
      </c>
      <c r="I254" s="196">
        <v>-1292.2</v>
      </c>
      <c r="J254" s="196">
        <v>-0.91</v>
      </c>
      <c r="K254" s="196">
        <v>1420</v>
      </c>
      <c r="L254" s="454" t="s">
        <v>1098</v>
      </c>
      <c r="M254" s="4" t="s">
        <v>780</v>
      </c>
      <c r="N254" s="133" t="s">
        <v>781</v>
      </c>
      <c r="O254" s="4" t="s">
        <v>1102</v>
      </c>
      <c r="P254" s="4" t="s">
        <v>892</v>
      </c>
      <c r="Q254" s="4" t="s">
        <v>1103</v>
      </c>
      <c r="R254" s="4" t="s">
        <v>1106</v>
      </c>
      <c r="S254" s="4" t="s">
        <v>1105</v>
      </c>
      <c r="T254" s="4" t="s">
        <v>786</v>
      </c>
    </row>
    <row r="255" spans="1:20" customFormat="1" ht="25">
      <c r="A255" s="10"/>
      <c r="B255" s="4"/>
      <c r="C255" s="4"/>
      <c r="D255" s="133" t="s">
        <v>675</v>
      </c>
      <c r="E255" s="664" t="str">
        <f>+VLOOKUP(F255,Resumen_Base!$C$8:$G$287,5,0)</f>
        <v>Communications - Phone, internet and satellite TV</v>
      </c>
      <c r="F255" s="152" t="s">
        <v>56</v>
      </c>
      <c r="G255" s="4" t="s">
        <v>315</v>
      </c>
      <c r="H255" s="4" t="str">
        <f t="shared" si="3"/>
        <v>UL5209</v>
      </c>
      <c r="I255" s="196">
        <v>-1249.5999999999999</v>
      </c>
      <c r="J255" s="196">
        <v>-0.88</v>
      </c>
      <c r="K255" s="196">
        <v>1420</v>
      </c>
      <c r="L255" s="454" t="s">
        <v>787</v>
      </c>
      <c r="M255" s="4" t="s">
        <v>780</v>
      </c>
      <c r="N255" s="133" t="s">
        <v>1272</v>
      </c>
      <c r="O255" s="4" t="s">
        <v>1282</v>
      </c>
      <c r="P255" s="4" t="s">
        <v>783</v>
      </c>
      <c r="Q255" s="4" t="s">
        <v>1283</v>
      </c>
      <c r="R255" s="4" t="s">
        <v>1286</v>
      </c>
      <c r="S255" s="4" t="s">
        <v>1285</v>
      </c>
      <c r="T255" s="4" t="s">
        <v>786</v>
      </c>
    </row>
    <row r="256" spans="1:20" customFormat="1" ht="25">
      <c r="A256" s="10"/>
      <c r="B256" s="4"/>
      <c r="C256" s="4"/>
      <c r="D256" s="133" t="s">
        <v>675</v>
      </c>
      <c r="E256" s="664" t="str">
        <f>+VLOOKUP(F256,Resumen_Base!$C$8:$G$287,5,0)</f>
        <v>Communications - Phone, internet and satellite TV</v>
      </c>
      <c r="F256" s="152" t="s">
        <v>56</v>
      </c>
      <c r="G256" s="4" t="s">
        <v>315</v>
      </c>
      <c r="H256" s="4" t="str">
        <f t="shared" si="3"/>
        <v>UL5209</v>
      </c>
      <c r="I256" s="196">
        <v>67322.2</v>
      </c>
      <c r="J256" s="196">
        <v>47.41</v>
      </c>
      <c r="K256" s="196">
        <v>1420</v>
      </c>
      <c r="L256" s="454" t="s">
        <v>787</v>
      </c>
      <c r="M256" s="4" t="s">
        <v>780</v>
      </c>
      <c r="N256" s="133" t="s">
        <v>1272</v>
      </c>
      <c r="O256" s="4" t="s">
        <v>1287</v>
      </c>
      <c r="P256" s="4" t="s">
        <v>783</v>
      </c>
      <c r="Q256" s="4" t="s">
        <v>1288</v>
      </c>
      <c r="R256" s="4" t="s">
        <v>1289</v>
      </c>
      <c r="S256" s="4" t="s">
        <v>1290</v>
      </c>
      <c r="T256" s="4" t="s">
        <v>786</v>
      </c>
    </row>
    <row r="257" spans="1:20" customFormat="1" ht="25">
      <c r="A257" s="10"/>
      <c r="B257" s="4"/>
      <c r="C257" s="4"/>
      <c r="D257" s="133" t="s">
        <v>675</v>
      </c>
      <c r="E257" s="664" t="str">
        <f>+VLOOKUP(F257,Resumen_Base!$C$8:$G$287,5,0)</f>
        <v>Communications - Phone, internet and satellite TV</v>
      </c>
      <c r="F257" s="152" t="s">
        <v>56</v>
      </c>
      <c r="G257" s="4" t="s">
        <v>315</v>
      </c>
      <c r="H257" s="4" t="str">
        <f t="shared" si="3"/>
        <v>UL5209</v>
      </c>
      <c r="I257" s="196">
        <v>76623.199999999997</v>
      </c>
      <c r="J257" s="196">
        <v>53.96</v>
      </c>
      <c r="K257" s="196">
        <v>1420</v>
      </c>
      <c r="L257" s="454" t="s">
        <v>787</v>
      </c>
      <c r="M257" s="4" t="s">
        <v>780</v>
      </c>
      <c r="N257" s="133" t="s">
        <v>1272</v>
      </c>
      <c r="O257" s="4" t="s">
        <v>1287</v>
      </c>
      <c r="P257" s="4" t="s">
        <v>783</v>
      </c>
      <c r="Q257" s="4" t="s">
        <v>1288</v>
      </c>
      <c r="R257" s="4" t="s">
        <v>1293</v>
      </c>
      <c r="S257" s="4" t="s">
        <v>1290</v>
      </c>
      <c r="T257" s="4" t="s">
        <v>786</v>
      </c>
    </row>
    <row r="258" spans="1:20" customFormat="1" ht="25">
      <c r="A258" s="10"/>
      <c r="B258" s="4"/>
      <c r="C258" s="4"/>
      <c r="D258" s="133" t="s">
        <v>675</v>
      </c>
      <c r="E258" s="664" t="str">
        <f>+VLOOKUP(F258,Resumen_Base!$C$8:$G$287,5,0)</f>
        <v>Communications - Phone, internet and satellite TV</v>
      </c>
      <c r="F258" s="152" t="s">
        <v>56</v>
      </c>
      <c r="G258" s="4" t="s">
        <v>315</v>
      </c>
      <c r="H258" s="4" t="str">
        <f t="shared" si="3"/>
        <v>UL5209</v>
      </c>
      <c r="I258" s="196">
        <v>-1246</v>
      </c>
      <c r="J258" s="196">
        <v>-0.89</v>
      </c>
      <c r="K258" s="196">
        <v>1400</v>
      </c>
      <c r="L258" s="454" t="s">
        <v>1017</v>
      </c>
      <c r="M258" s="4" t="s">
        <v>780</v>
      </c>
      <c r="N258" s="133" t="s">
        <v>1272</v>
      </c>
      <c r="O258" s="4" t="s">
        <v>1310</v>
      </c>
      <c r="P258" s="4" t="s">
        <v>892</v>
      </c>
      <c r="Q258" s="4" t="s">
        <v>1311</v>
      </c>
      <c r="R258" s="4" t="s">
        <v>1312</v>
      </c>
      <c r="S258" s="4" t="s">
        <v>1313</v>
      </c>
      <c r="T258" s="4" t="s">
        <v>786</v>
      </c>
    </row>
    <row r="259" spans="1:20" customFormat="1" ht="25">
      <c r="A259" s="10"/>
      <c r="B259" s="4"/>
      <c r="C259" s="4"/>
      <c r="D259" s="133" t="s">
        <v>675</v>
      </c>
      <c r="E259" s="664" t="str">
        <f>+VLOOKUP(F259,Resumen_Base!$C$8:$G$287,5,0)</f>
        <v>Communications - Phone, internet and satellite TV</v>
      </c>
      <c r="F259" s="152" t="s">
        <v>56</v>
      </c>
      <c r="G259" s="4" t="s">
        <v>315</v>
      </c>
      <c r="H259" s="4" t="str">
        <f t="shared" si="3"/>
        <v>UL5209</v>
      </c>
      <c r="I259" s="196">
        <v>-88665.8</v>
      </c>
      <c r="J259" s="196">
        <v>-60.73</v>
      </c>
      <c r="K259" s="196">
        <v>1460</v>
      </c>
      <c r="L259" s="454" t="s">
        <v>1049</v>
      </c>
      <c r="M259" s="4" t="s">
        <v>780</v>
      </c>
      <c r="N259" s="133" t="s">
        <v>1272</v>
      </c>
      <c r="O259" s="4" t="s">
        <v>1329</v>
      </c>
      <c r="P259" s="4" t="s">
        <v>892</v>
      </c>
      <c r="Q259" s="4" t="s">
        <v>1330</v>
      </c>
      <c r="R259" s="4"/>
      <c r="S259" s="4" t="s">
        <v>1331</v>
      </c>
      <c r="T259" s="4" t="s">
        <v>786</v>
      </c>
    </row>
    <row r="260" spans="1:20" customFormat="1" ht="25">
      <c r="A260" s="10"/>
      <c r="B260" s="4"/>
      <c r="C260" s="4"/>
      <c r="D260" s="133" t="s">
        <v>675</v>
      </c>
      <c r="E260" s="664" t="str">
        <f>+VLOOKUP(F260,Resumen_Base!$C$8:$G$287,5,0)</f>
        <v>Communications - Phone, internet and satellite TV</v>
      </c>
      <c r="F260" s="152" t="s">
        <v>56</v>
      </c>
      <c r="G260" s="4" t="s">
        <v>315</v>
      </c>
      <c r="H260" s="4" t="str">
        <f t="shared" si="3"/>
        <v>UL5209</v>
      </c>
      <c r="I260" s="196">
        <v>88665.8</v>
      </c>
      <c r="J260" s="196">
        <v>60.73</v>
      </c>
      <c r="K260" s="196">
        <v>1460</v>
      </c>
      <c r="L260" s="454" t="s">
        <v>1049</v>
      </c>
      <c r="M260" s="4" t="s">
        <v>780</v>
      </c>
      <c r="N260" s="133" t="s">
        <v>1272</v>
      </c>
      <c r="O260" s="4" t="s">
        <v>1336</v>
      </c>
      <c r="P260" s="4" t="s">
        <v>892</v>
      </c>
      <c r="Q260" s="4" t="s">
        <v>1337</v>
      </c>
      <c r="R260" s="4"/>
      <c r="S260" s="4" t="s">
        <v>1338</v>
      </c>
      <c r="T260" s="4" t="s">
        <v>786</v>
      </c>
    </row>
    <row r="261" spans="1:20" customFormat="1" ht="25">
      <c r="A261" s="10"/>
      <c r="B261" s="4"/>
      <c r="C261" s="4"/>
      <c r="D261" s="133" t="s">
        <v>675</v>
      </c>
      <c r="E261" s="664" t="str">
        <f>+VLOOKUP(F261,Resumen_Base!$C$8:$G$287,5,0)</f>
        <v>Communications - Phone, internet and satellite TV</v>
      </c>
      <c r="F261" s="152" t="s">
        <v>56</v>
      </c>
      <c r="G261" s="4" t="s">
        <v>315</v>
      </c>
      <c r="H261" s="4" t="str">
        <f t="shared" si="3"/>
        <v>UL5209</v>
      </c>
      <c r="I261" s="196">
        <v>88665.8</v>
      </c>
      <c r="J261" s="196">
        <v>60.73</v>
      </c>
      <c r="K261" s="196">
        <v>1460</v>
      </c>
      <c r="L261" s="454" t="s">
        <v>1049</v>
      </c>
      <c r="M261" s="4" t="s">
        <v>780</v>
      </c>
      <c r="N261" s="133" t="s">
        <v>1272</v>
      </c>
      <c r="O261" s="4" t="s">
        <v>1339</v>
      </c>
      <c r="P261" s="4" t="s">
        <v>892</v>
      </c>
      <c r="Q261" s="4" t="s">
        <v>1340</v>
      </c>
      <c r="R261" s="4"/>
      <c r="S261" s="4" t="s">
        <v>1341</v>
      </c>
      <c r="T261" s="4" t="s">
        <v>786</v>
      </c>
    </row>
    <row r="262" spans="1:20" customFormat="1" ht="25">
      <c r="A262" s="10"/>
      <c r="B262" s="4"/>
      <c r="C262" s="4"/>
      <c r="D262" s="133" t="s">
        <v>675</v>
      </c>
      <c r="E262" s="664" t="str">
        <f>+VLOOKUP(F262,Resumen_Base!$C$8:$G$287,5,0)</f>
        <v>Communications - Phone, internet and satellite TV</v>
      </c>
      <c r="F262" s="152" t="s">
        <v>56</v>
      </c>
      <c r="G262" s="4" t="s">
        <v>315</v>
      </c>
      <c r="H262" s="4" t="str">
        <f t="shared" si="3"/>
        <v>UL5209</v>
      </c>
      <c r="I262" s="196">
        <v>-1292.2</v>
      </c>
      <c r="J262" s="196">
        <v>-0.91</v>
      </c>
      <c r="K262" s="196">
        <v>1420</v>
      </c>
      <c r="L262" s="454" t="s">
        <v>1081</v>
      </c>
      <c r="M262" s="4" t="s">
        <v>780</v>
      </c>
      <c r="N262" s="133" t="s">
        <v>1272</v>
      </c>
      <c r="O262" s="4" t="s">
        <v>1342</v>
      </c>
      <c r="P262" s="4" t="s">
        <v>892</v>
      </c>
      <c r="Q262" s="4" t="s">
        <v>1343</v>
      </c>
      <c r="R262" s="4" t="s">
        <v>1344</v>
      </c>
      <c r="S262" s="4" t="s">
        <v>1345</v>
      </c>
      <c r="T262" s="4" t="s">
        <v>786</v>
      </c>
    </row>
    <row r="263" spans="1:20" customFormat="1" ht="25">
      <c r="A263" s="10"/>
      <c r="B263" s="4"/>
      <c r="C263" s="4"/>
      <c r="D263" s="133" t="s">
        <v>675</v>
      </c>
      <c r="E263" s="664" t="str">
        <f>+VLOOKUP(F263,Resumen_Base!$C$8:$G$287,5,0)</f>
        <v>Communications - Phone, internet and satellite TV</v>
      </c>
      <c r="F263" s="152" t="s">
        <v>56</v>
      </c>
      <c r="G263" s="4" t="s">
        <v>315</v>
      </c>
      <c r="H263" s="4" t="str">
        <f t="shared" si="3"/>
        <v>UL5209</v>
      </c>
      <c r="I263" s="196">
        <v>86137.2</v>
      </c>
      <c r="J263" s="196">
        <v>60.66</v>
      </c>
      <c r="K263" s="196">
        <v>1420</v>
      </c>
      <c r="L263" s="454" t="s">
        <v>1093</v>
      </c>
      <c r="M263" s="4" t="s">
        <v>780</v>
      </c>
      <c r="N263" s="133" t="s">
        <v>1272</v>
      </c>
      <c r="O263" s="4" t="s">
        <v>1369</v>
      </c>
      <c r="P263" s="4" t="s">
        <v>892</v>
      </c>
      <c r="Q263" s="4" t="s">
        <v>1370</v>
      </c>
      <c r="R263" s="4" t="s">
        <v>1289</v>
      </c>
      <c r="S263" s="4" t="s">
        <v>1371</v>
      </c>
      <c r="T263" s="4" t="s">
        <v>786</v>
      </c>
    </row>
    <row r="264" spans="1:20" customFormat="1" ht="25">
      <c r="A264" s="10"/>
      <c r="B264" s="4"/>
      <c r="C264" s="4"/>
      <c r="D264" s="133" t="s">
        <v>675</v>
      </c>
      <c r="E264" s="664" t="str">
        <f>+VLOOKUP(F264,Resumen_Base!$C$8:$G$287,5,0)</f>
        <v>Communications - Phone, internet and satellite TV</v>
      </c>
      <c r="F264" s="152" t="s">
        <v>56</v>
      </c>
      <c r="G264" s="4" t="s">
        <v>315</v>
      </c>
      <c r="H264" s="4" t="str">
        <f t="shared" si="3"/>
        <v>UL5209</v>
      </c>
      <c r="I264" s="196">
        <v>78426.600000000006</v>
      </c>
      <c r="J264" s="196">
        <v>55.23</v>
      </c>
      <c r="K264" s="196">
        <v>1420</v>
      </c>
      <c r="L264" s="454" t="s">
        <v>1205</v>
      </c>
      <c r="M264" s="4" t="s">
        <v>780</v>
      </c>
      <c r="N264" s="133" t="s">
        <v>1272</v>
      </c>
      <c r="O264" s="4" t="s">
        <v>1387</v>
      </c>
      <c r="P264" s="4" t="s">
        <v>892</v>
      </c>
      <c r="Q264" s="4" t="s">
        <v>1388</v>
      </c>
      <c r="R264" s="4" t="s">
        <v>1389</v>
      </c>
      <c r="S264" s="4" t="s">
        <v>1390</v>
      </c>
      <c r="T264" s="4" t="s">
        <v>786</v>
      </c>
    </row>
    <row r="265" spans="1:20" customFormat="1" ht="25">
      <c r="A265" s="10"/>
      <c r="B265" s="4"/>
      <c r="C265" s="4"/>
      <c r="D265" s="133" t="s">
        <v>676</v>
      </c>
      <c r="E265" s="664" t="str">
        <f>+VLOOKUP(F265,Resumen_Base!$C$8:$G$287,5,0)</f>
        <v>Communications - Phone, internet and satellite TV</v>
      </c>
      <c r="F265" s="152" t="s">
        <v>56</v>
      </c>
      <c r="G265" s="4" t="s">
        <v>315</v>
      </c>
      <c r="H265" s="4" t="str">
        <f t="shared" si="3"/>
        <v>CAR5209</v>
      </c>
      <c r="I265" s="196">
        <v>126578.8</v>
      </c>
      <c r="J265" s="196">
        <v>89.14</v>
      </c>
      <c r="K265" s="196">
        <v>1420</v>
      </c>
      <c r="L265" s="454" t="s">
        <v>1205</v>
      </c>
      <c r="M265" s="4" t="s">
        <v>780</v>
      </c>
      <c r="N265" s="133" t="s">
        <v>1407</v>
      </c>
      <c r="O265" s="4" t="s">
        <v>2626</v>
      </c>
      <c r="P265" s="4" t="s">
        <v>892</v>
      </c>
      <c r="Q265" s="4" t="s">
        <v>2627</v>
      </c>
      <c r="R265" s="4" t="s">
        <v>2628</v>
      </c>
      <c r="S265" s="4" t="s">
        <v>2629</v>
      </c>
      <c r="T265" s="4" t="s">
        <v>786</v>
      </c>
    </row>
    <row r="266" spans="1:20" customFormat="1">
      <c r="A266" s="10"/>
      <c r="B266" s="4"/>
      <c r="C266" s="4"/>
      <c r="D266" s="133" t="s">
        <v>670</v>
      </c>
      <c r="E266" s="664" t="str">
        <f>+VLOOKUP(F266,Resumen_Base!$C$8:$G$287,5,0)</f>
        <v>Food &amp; Wine</v>
      </c>
      <c r="F266" s="152" t="s">
        <v>45</v>
      </c>
      <c r="G266" s="4" t="s">
        <v>44</v>
      </c>
      <c r="H266" s="4" t="str">
        <f t="shared" si="3"/>
        <v>SJ5213</v>
      </c>
      <c r="I266" s="196">
        <v>679441.6</v>
      </c>
      <c r="J266" s="196">
        <v>478.48</v>
      </c>
      <c r="K266" s="196">
        <v>1420</v>
      </c>
      <c r="L266" s="454" t="s">
        <v>787</v>
      </c>
      <c r="M266" s="4" t="s">
        <v>780</v>
      </c>
      <c r="N266" s="133" t="s">
        <v>781</v>
      </c>
      <c r="O266" s="4" t="s">
        <v>855</v>
      </c>
      <c r="P266" s="4" t="s">
        <v>783</v>
      </c>
      <c r="Q266" s="4" t="s">
        <v>856</v>
      </c>
      <c r="R266" s="4" t="s">
        <v>875</v>
      </c>
      <c r="S266" s="4" t="s">
        <v>857</v>
      </c>
      <c r="T266" s="4" t="s">
        <v>786</v>
      </c>
    </row>
    <row r="267" spans="1:20" customFormat="1">
      <c r="A267" s="10"/>
      <c r="B267" s="4"/>
      <c r="C267" s="4"/>
      <c r="D267" s="133" t="s">
        <v>670</v>
      </c>
      <c r="E267" s="664" t="str">
        <f>+VLOOKUP(F267,Resumen_Base!$C$8:$G$287,5,0)</f>
        <v>Food &amp; Wine</v>
      </c>
      <c r="F267" s="152" t="s">
        <v>45</v>
      </c>
      <c r="G267" s="4" t="s">
        <v>44</v>
      </c>
      <c r="H267" s="4" t="str">
        <f t="shared" si="3"/>
        <v>SJ5213</v>
      </c>
      <c r="I267" s="196">
        <v>841414</v>
      </c>
      <c r="J267" s="196">
        <v>601.01</v>
      </c>
      <c r="K267" s="196">
        <v>1400</v>
      </c>
      <c r="L267" s="454" t="s">
        <v>1017</v>
      </c>
      <c r="M267" s="4" t="s">
        <v>780</v>
      </c>
      <c r="N267" s="133" t="s">
        <v>781</v>
      </c>
      <c r="O267" s="4" t="s">
        <v>1022</v>
      </c>
      <c r="P267" s="4" t="s">
        <v>892</v>
      </c>
      <c r="Q267" s="4" t="s">
        <v>1023</v>
      </c>
      <c r="R267" s="4" t="s">
        <v>1025</v>
      </c>
      <c r="S267" s="4" t="s">
        <v>1024</v>
      </c>
      <c r="T267" s="4" t="s">
        <v>786</v>
      </c>
    </row>
    <row r="268" spans="1:20" customFormat="1">
      <c r="A268" s="10"/>
      <c r="B268" s="4"/>
      <c r="C268" s="4"/>
      <c r="D268" s="133" t="s">
        <v>670</v>
      </c>
      <c r="E268" s="664" t="str">
        <f>+VLOOKUP(F268,Resumen_Base!$C$8:$G$287,5,0)</f>
        <v>Food &amp; Wine</v>
      </c>
      <c r="F268" s="152" t="s">
        <v>45</v>
      </c>
      <c r="G268" s="4" t="s">
        <v>44</v>
      </c>
      <c r="H268" s="4" t="str">
        <f t="shared" ref="H268:H331" si="4">+D268&amp;F268</f>
        <v>SJ5213</v>
      </c>
      <c r="I268" s="196">
        <v>76328</v>
      </c>
      <c r="J268" s="196">
        <v>54.52</v>
      </c>
      <c r="K268" s="196">
        <v>1400</v>
      </c>
      <c r="L268" s="454" t="s">
        <v>1017</v>
      </c>
      <c r="M268" s="4" t="s">
        <v>780</v>
      </c>
      <c r="N268" s="133" t="s">
        <v>781</v>
      </c>
      <c r="O268" s="4" t="s">
        <v>1022</v>
      </c>
      <c r="P268" s="4" t="s">
        <v>892</v>
      </c>
      <c r="Q268" s="4" t="s">
        <v>1023</v>
      </c>
      <c r="R268" s="4" t="s">
        <v>1026</v>
      </c>
      <c r="S268" s="4" t="s">
        <v>1024</v>
      </c>
      <c r="T268" s="4" t="s">
        <v>786</v>
      </c>
    </row>
    <row r="269" spans="1:20" customFormat="1">
      <c r="A269" s="10"/>
      <c r="B269" s="4"/>
      <c r="C269" s="4"/>
      <c r="D269" s="133" t="s">
        <v>670</v>
      </c>
      <c r="E269" s="664" t="str">
        <f>+VLOOKUP(F269,Resumen_Base!$C$8:$G$287,5,0)</f>
        <v>Food &amp; Wine</v>
      </c>
      <c r="F269" s="152" t="s">
        <v>45</v>
      </c>
      <c r="G269" s="4" t="s">
        <v>44</v>
      </c>
      <c r="H269" s="4" t="str">
        <f t="shared" si="4"/>
        <v>SJ5213</v>
      </c>
      <c r="I269" s="196">
        <v>2688</v>
      </c>
      <c r="J269" s="196">
        <v>1.92</v>
      </c>
      <c r="K269" s="196">
        <v>1400</v>
      </c>
      <c r="L269" s="454" t="s">
        <v>1017</v>
      </c>
      <c r="M269" s="4" t="s">
        <v>780</v>
      </c>
      <c r="N269" s="133" t="s">
        <v>781</v>
      </c>
      <c r="O269" s="4" t="s">
        <v>1022</v>
      </c>
      <c r="P269" s="4" t="s">
        <v>892</v>
      </c>
      <c r="Q269" s="4" t="s">
        <v>1023</v>
      </c>
      <c r="R269" s="4" t="s">
        <v>953</v>
      </c>
      <c r="S269" s="4" t="s">
        <v>1024</v>
      </c>
      <c r="T269" s="4" t="s">
        <v>786</v>
      </c>
    </row>
    <row r="270" spans="1:20" customFormat="1">
      <c r="A270" s="10"/>
      <c r="B270" s="4"/>
      <c r="C270" s="4"/>
      <c r="D270" s="133" t="s">
        <v>670</v>
      </c>
      <c r="E270" s="664" t="str">
        <f>+VLOOKUP(F270,Resumen_Base!$C$8:$G$287,5,0)</f>
        <v>Food &amp; Wine</v>
      </c>
      <c r="F270" s="152" t="s">
        <v>45</v>
      </c>
      <c r="G270" s="4" t="s">
        <v>44</v>
      </c>
      <c r="H270" s="4" t="str">
        <f t="shared" si="4"/>
        <v>SJ5213</v>
      </c>
      <c r="I270" s="196">
        <v>2688</v>
      </c>
      <c r="J270" s="196">
        <v>1.92</v>
      </c>
      <c r="K270" s="196">
        <v>1400</v>
      </c>
      <c r="L270" s="454" t="s">
        <v>1017</v>
      </c>
      <c r="M270" s="4" t="s">
        <v>780</v>
      </c>
      <c r="N270" s="133" t="s">
        <v>781</v>
      </c>
      <c r="O270" s="4" t="s">
        <v>1022</v>
      </c>
      <c r="P270" s="4" t="s">
        <v>892</v>
      </c>
      <c r="Q270" s="4" t="s">
        <v>1023</v>
      </c>
      <c r="R270" s="4" t="s">
        <v>953</v>
      </c>
      <c r="S270" s="4" t="s">
        <v>1024</v>
      </c>
      <c r="T270" s="4" t="s">
        <v>786</v>
      </c>
    </row>
    <row r="271" spans="1:20" customFormat="1">
      <c r="A271" s="10"/>
      <c r="B271" s="4"/>
      <c r="C271" s="4"/>
      <c r="D271" s="133" t="s">
        <v>670</v>
      </c>
      <c r="E271" s="664" t="str">
        <f>+VLOOKUP(F271,Resumen_Base!$C$8:$G$287,5,0)</f>
        <v>Food &amp; Wine</v>
      </c>
      <c r="F271" s="152" t="s">
        <v>45</v>
      </c>
      <c r="G271" s="4" t="s">
        <v>44</v>
      </c>
      <c r="H271" s="4" t="str">
        <f t="shared" si="4"/>
        <v>SJ5213</v>
      </c>
      <c r="I271" s="196">
        <v>2698</v>
      </c>
      <c r="J271" s="196">
        <v>1.9</v>
      </c>
      <c r="K271" s="196">
        <v>1420</v>
      </c>
      <c r="L271" s="454" t="s">
        <v>1081</v>
      </c>
      <c r="M271" s="4" t="s">
        <v>780</v>
      </c>
      <c r="N271" s="133" t="s">
        <v>781</v>
      </c>
      <c r="O271" s="4" t="s">
        <v>1141</v>
      </c>
      <c r="P271" s="4" t="s">
        <v>892</v>
      </c>
      <c r="Q271" s="4" t="s">
        <v>1142</v>
      </c>
      <c r="R271" s="4" t="s">
        <v>953</v>
      </c>
      <c r="S271" s="4" t="s">
        <v>1144</v>
      </c>
      <c r="T271" s="4" t="s">
        <v>786</v>
      </c>
    </row>
    <row r="272" spans="1:20" customFormat="1">
      <c r="A272" s="10"/>
      <c r="B272" s="4"/>
      <c r="C272" s="4"/>
      <c r="D272" s="133" t="s">
        <v>670</v>
      </c>
      <c r="E272" s="664" t="str">
        <f>+VLOOKUP(F272,Resumen_Base!$C$8:$G$287,5,0)</f>
        <v>Food &amp; Wine</v>
      </c>
      <c r="F272" s="152" t="s">
        <v>45</v>
      </c>
      <c r="G272" s="4" t="s">
        <v>44</v>
      </c>
      <c r="H272" s="4" t="str">
        <f t="shared" si="4"/>
        <v>SJ5213</v>
      </c>
      <c r="I272" s="196">
        <v>867662.6</v>
      </c>
      <c r="J272" s="196">
        <v>611.03</v>
      </c>
      <c r="K272" s="196">
        <v>1420</v>
      </c>
      <c r="L272" s="454" t="s">
        <v>1081</v>
      </c>
      <c r="M272" s="4" t="s">
        <v>780</v>
      </c>
      <c r="N272" s="133" t="s">
        <v>781</v>
      </c>
      <c r="O272" s="4" t="s">
        <v>1141</v>
      </c>
      <c r="P272" s="4" t="s">
        <v>892</v>
      </c>
      <c r="Q272" s="4" t="s">
        <v>1142</v>
      </c>
      <c r="R272" s="4" t="s">
        <v>1145</v>
      </c>
      <c r="S272" s="4" t="s">
        <v>1144</v>
      </c>
      <c r="T272" s="4" t="s">
        <v>786</v>
      </c>
    </row>
    <row r="273" spans="1:20" customFormat="1">
      <c r="A273" s="10"/>
      <c r="B273" s="4"/>
      <c r="C273" s="4"/>
      <c r="D273" s="133" t="s">
        <v>676</v>
      </c>
      <c r="E273" s="664" t="str">
        <f>+VLOOKUP(F273,Resumen_Base!$C$8:$G$287,5,0)</f>
        <v>Food &amp; Wine</v>
      </c>
      <c r="F273" s="152" t="s">
        <v>45</v>
      </c>
      <c r="G273" s="4" t="s">
        <v>44</v>
      </c>
      <c r="H273" s="4" t="str">
        <f t="shared" si="4"/>
        <v>CAR5213</v>
      </c>
      <c r="I273" s="196">
        <v>2671.5</v>
      </c>
      <c r="J273" s="196">
        <v>1.95</v>
      </c>
      <c r="K273" s="196">
        <v>1370</v>
      </c>
      <c r="L273" s="454" t="s">
        <v>787</v>
      </c>
      <c r="M273" s="4" t="s">
        <v>780</v>
      </c>
      <c r="N273" s="133" t="s">
        <v>1407</v>
      </c>
      <c r="O273" s="4" t="s">
        <v>1490</v>
      </c>
      <c r="P273" s="4" t="s">
        <v>783</v>
      </c>
      <c r="Q273" s="4" t="s">
        <v>1491</v>
      </c>
      <c r="R273" s="4" t="s">
        <v>1487</v>
      </c>
      <c r="S273" s="4" t="s">
        <v>1493</v>
      </c>
      <c r="T273" s="4" t="s">
        <v>786</v>
      </c>
    </row>
    <row r="274" spans="1:20" customFormat="1">
      <c r="A274" s="10"/>
      <c r="B274" s="4"/>
      <c r="C274" s="4"/>
      <c r="D274" s="133" t="s">
        <v>676</v>
      </c>
      <c r="E274" s="664" t="str">
        <f>+VLOOKUP(F274,Resumen_Base!$C$8:$G$287,5,0)</f>
        <v>Food &amp; Wine</v>
      </c>
      <c r="F274" s="152" t="s">
        <v>45</v>
      </c>
      <c r="G274" s="4" t="s">
        <v>44</v>
      </c>
      <c r="H274" s="4" t="str">
        <f t="shared" si="4"/>
        <v>CAR5213</v>
      </c>
      <c r="I274" s="196">
        <v>843070.6</v>
      </c>
      <c r="J274" s="196">
        <v>615.38</v>
      </c>
      <c r="K274" s="196">
        <v>1370</v>
      </c>
      <c r="L274" s="454" t="s">
        <v>787</v>
      </c>
      <c r="M274" s="4" t="s">
        <v>780</v>
      </c>
      <c r="N274" s="133" t="s">
        <v>1407</v>
      </c>
      <c r="O274" s="4" t="s">
        <v>1490</v>
      </c>
      <c r="P274" s="4" t="s">
        <v>783</v>
      </c>
      <c r="Q274" s="4" t="s">
        <v>1491</v>
      </c>
      <c r="R274" s="4" t="s">
        <v>1530</v>
      </c>
      <c r="S274" s="4" t="s">
        <v>1493</v>
      </c>
      <c r="T274" s="4" t="s">
        <v>786</v>
      </c>
    </row>
    <row r="275" spans="1:20" customFormat="1">
      <c r="A275" s="10"/>
      <c r="B275" s="4"/>
      <c r="C275" s="4"/>
      <c r="D275" s="133" t="s">
        <v>676</v>
      </c>
      <c r="E275" s="664" t="str">
        <f>+VLOOKUP(F275,Resumen_Base!$C$8:$G$287,5,0)</f>
        <v>Food &amp; Wine</v>
      </c>
      <c r="F275" s="152" t="s">
        <v>45</v>
      </c>
      <c r="G275" s="4" t="s">
        <v>44</v>
      </c>
      <c r="H275" s="4" t="str">
        <f t="shared" si="4"/>
        <v>CAR5213</v>
      </c>
      <c r="I275" s="196">
        <v>745430.7</v>
      </c>
      <c r="J275" s="196">
        <v>544.11</v>
      </c>
      <c r="K275" s="196">
        <v>1370</v>
      </c>
      <c r="L275" s="454" t="s">
        <v>787</v>
      </c>
      <c r="M275" s="4" t="s">
        <v>780</v>
      </c>
      <c r="N275" s="133" t="s">
        <v>1407</v>
      </c>
      <c r="O275" s="4" t="s">
        <v>1490</v>
      </c>
      <c r="P275" s="4" t="s">
        <v>783</v>
      </c>
      <c r="Q275" s="4" t="s">
        <v>1491</v>
      </c>
      <c r="R275" s="4" t="s">
        <v>1531</v>
      </c>
      <c r="S275" s="4" t="s">
        <v>1493</v>
      </c>
      <c r="T275" s="4" t="s">
        <v>786</v>
      </c>
    </row>
    <row r="276" spans="1:20" customFormat="1">
      <c r="A276" s="10"/>
      <c r="B276" s="4"/>
      <c r="C276" s="4"/>
      <c r="D276" s="133" t="s">
        <v>676</v>
      </c>
      <c r="E276" s="664" t="str">
        <f>+VLOOKUP(F276,Resumen_Base!$C$8:$G$287,5,0)</f>
        <v>Food &amp; Wine</v>
      </c>
      <c r="F276" s="152" t="s">
        <v>45</v>
      </c>
      <c r="G276" s="4" t="s">
        <v>44</v>
      </c>
      <c r="H276" s="4" t="str">
        <f t="shared" si="4"/>
        <v>CAR5213</v>
      </c>
      <c r="I276" s="196">
        <v>2698</v>
      </c>
      <c r="J276" s="196">
        <v>1.9</v>
      </c>
      <c r="K276" s="196">
        <v>1420</v>
      </c>
      <c r="L276" s="454" t="s">
        <v>1081</v>
      </c>
      <c r="M276" s="4" t="s">
        <v>780</v>
      </c>
      <c r="N276" s="133" t="s">
        <v>1407</v>
      </c>
      <c r="O276" s="4" t="s">
        <v>2407</v>
      </c>
      <c r="P276" s="4" t="s">
        <v>892</v>
      </c>
      <c r="Q276" s="4" t="s">
        <v>2408</v>
      </c>
      <c r="R276" s="4" t="s">
        <v>1456</v>
      </c>
      <c r="S276" s="4" t="s">
        <v>2409</v>
      </c>
      <c r="T276" s="4" t="s">
        <v>786</v>
      </c>
    </row>
    <row r="277" spans="1:20" customFormat="1">
      <c r="A277" s="10"/>
      <c r="B277" s="4"/>
      <c r="C277" s="4"/>
      <c r="D277" s="133" t="s">
        <v>676</v>
      </c>
      <c r="E277" s="664" t="str">
        <f>+VLOOKUP(F277,Resumen_Base!$C$8:$G$287,5,0)</f>
        <v>Food &amp; Wine</v>
      </c>
      <c r="F277" s="152" t="s">
        <v>45</v>
      </c>
      <c r="G277" s="4" t="s">
        <v>44</v>
      </c>
      <c r="H277" s="4" t="str">
        <f t="shared" si="4"/>
        <v>CAR5213</v>
      </c>
      <c r="I277" s="196">
        <v>495807.2</v>
      </c>
      <c r="J277" s="196">
        <v>349.16</v>
      </c>
      <c r="K277" s="196">
        <v>1420</v>
      </c>
      <c r="L277" s="454" t="s">
        <v>1081</v>
      </c>
      <c r="M277" s="4" t="s">
        <v>780</v>
      </c>
      <c r="N277" s="133" t="s">
        <v>1407</v>
      </c>
      <c r="O277" s="4" t="s">
        <v>2407</v>
      </c>
      <c r="P277" s="4" t="s">
        <v>892</v>
      </c>
      <c r="Q277" s="4" t="s">
        <v>2408</v>
      </c>
      <c r="R277" s="4" t="s">
        <v>2414</v>
      </c>
      <c r="S277" s="4" t="s">
        <v>2409</v>
      </c>
      <c r="T277" s="4" t="s">
        <v>786</v>
      </c>
    </row>
    <row r="278" spans="1:20" customFormat="1">
      <c r="A278" s="10"/>
      <c r="B278" s="4"/>
      <c r="C278" s="4"/>
      <c r="D278" s="133" t="s">
        <v>670</v>
      </c>
      <c r="E278" s="664" t="str">
        <f>+VLOOKUP(F278,Resumen_Base!$C$8:$G$287,5,0)</f>
        <v>Insurance for lodge and boats</v>
      </c>
      <c r="F278" s="152" t="s">
        <v>316</v>
      </c>
      <c r="G278" s="4" t="s">
        <v>317</v>
      </c>
      <c r="H278" s="4" t="str">
        <f t="shared" si="4"/>
        <v>SJ5215</v>
      </c>
      <c r="I278" s="196">
        <v>721984.8</v>
      </c>
      <c r="J278" s="196">
        <v>508.44</v>
      </c>
      <c r="K278" s="196">
        <v>1420</v>
      </c>
      <c r="L278" s="454" t="s">
        <v>787</v>
      </c>
      <c r="M278" s="4" t="s">
        <v>780</v>
      </c>
      <c r="N278" s="133" t="s">
        <v>781</v>
      </c>
      <c r="O278" s="4" t="s">
        <v>830</v>
      </c>
      <c r="P278" s="4" t="s">
        <v>783</v>
      </c>
      <c r="Q278" s="4" t="s">
        <v>831</v>
      </c>
      <c r="R278" s="4" t="s">
        <v>854</v>
      </c>
      <c r="S278" s="4" t="s">
        <v>833</v>
      </c>
      <c r="T278" s="4" t="s">
        <v>786</v>
      </c>
    </row>
    <row r="279" spans="1:20" customFormat="1">
      <c r="A279" s="10"/>
      <c r="B279" s="4"/>
      <c r="C279" s="4"/>
      <c r="D279" s="133" t="s">
        <v>670</v>
      </c>
      <c r="E279" s="664" t="str">
        <f>+VLOOKUP(F279,Resumen_Base!$C$8:$G$287,5,0)</f>
        <v>Insurance for lodge and boats</v>
      </c>
      <c r="F279" s="152" t="s">
        <v>316</v>
      </c>
      <c r="G279" s="4" t="s">
        <v>317</v>
      </c>
      <c r="H279" s="4" t="str">
        <f t="shared" si="4"/>
        <v>SJ5215</v>
      </c>
      <c r="I279" s="196">
        <v>741782.2</v>
      </c>
      <c r="J279" s="196">
        <v>508.07</v>
      </c>
      <c r="K279" s="196">
        <v>1460</v>
      </c>
      <c r="L279" s="454" t="s">
        <v>1049</v>
      </c>
      <c r="M279" s="4" t="s">
        <v>780</v>
      </c>
      <c r="N279" s="133" t="s">
        <v>781</v>
      </c>
      <c r="O279" s="4" t="s">
        <v>1066</v>
      </c>
      <c r="P279" s="4" t="s">
        <v>892</v>
      </c>
      <c r="Q279" s="4" t="s">
        <v>1067</v>
      </c>
      <c r="R279" s="4" t="s">
        <v>1068</v>
      </c>
      <c r="S279" s="4" t="s">
        <v>1069</v>
      </c>
      <c r="T279" s="4" t="s">
        <v>786</v>
      </c>
    </row>
    <row r="280" spans="1:20" customFormat="1">
      <c r="A280" s="10"/>
      <c r="B280" s="4"/>
      <c r="C280" s="4"/>
      <c r="D280" s="133" t="s">
        <v>670</v>
      </c>
      <c r="E280" s="664" t="str">
        <f>+VLOOKUP(F280,Resumen_Base!$C$8:$G$287,5,0)</f>
        <v>Insurance for lodge and boats</v>
      </c>
      <c r="F280" s="152" t="s">
        <v>316</v>
      </c>
      <c r="G280" s="4" t="s">
        <v>317</v>
      </c>
      <c r="H280" s="4" t="str">
        <f t="shared" si="4"/>
        <v>SJ5215</v>
      </c>
      <c r="I280" s="196">
        <v>742672.8</v>
      </c>
      <c r="J280" s="196">
        <v>508.68</v>
      </c>
      <c r="K280" s="196">
        <v>1460</v>
      </c>
      <c r="L280" s="454" t="s">
        <v>1049</v>
      </c>
      <c r="M280" s="4" t="s">
        <v>780</v>
      </c>
      <c r="N280" s="133" t="s">
        <v>781</v>
      </c>
      <c r="O280" s="4" t="s">
        <v>1066</v>
      </c>
      <c r="P280" s="4" t="s">
        <v>892</v>
      </c>
      <c r="Q280" s="4" t="s">
        <v>1067</v>
      </c>
      <c r="R280" s="4" t="s">
        <v>1071</v>
      </c>
      <c r="S280" s="4" t="s">
        <v>1069</v>
      </c>
      <c r="T280" s="4" t="s">
        <v>786</v>
      </c>
    </row>
    <row r="281" spans="1:20" customFormat="1">
      <c r="A281" s="10"/>
      <c r="B281" s="4"/>
      <c r="C281" s="4"/>
      <c r="D281" s="133" t="s">
        <v>670</v>
      </c>
      <c r="E281" s="664" t="str">
        <f>+VLOOKUP(F281,Resumen_Base!$C$8:$G$287,5,0)</f>
        <v>Insurance for lodge and boats</v>
      </c>
      <c r="F281" s="152" t="s">
        <v>316</v>
      </c>
      <c r="G281" s="4" t="s">
        <v>317</v>
      </c>
      <c r="H281" s="4" t="str">
        <f t="shared" si="4"/>
        <v>SJ5215</v>
      </c>
      <c r="I281" s="196">
        <v>725577.4</v>
      </c>
      <c r="J281" s="196">
        <v>510.97</v>
      </c>
      <c r="K281" s="196">
        <v>1420</v>
      </c>
      <c r="L281" s="454" t="s">
        <v>1205</v>
      </c>
      <c r="M281" s="4" t="s">
        <v>780</v>
      </c>
      <c r="N281" s="133" t="s">
        <v>781</v>
      </c>
      <c r="O281" s="4" t="s">
        <v>1233</v>
      </c>
      <c r="P281" s="4" t="s">
        <v>892</v>
      </c>
      <c r="Q281" s="4" t="s">
        <v>1234</v>
      </c>
      <c r="R281" s="4" t="s">
        <v>1238</v>
      </c>
      <c r="S281" s="4" t="s">
        <v>1236</v>
      </c>
      <c r="T281" s="4" t="s">
        <v>786</v>
      </c>
    </row>
    <row r="282" spans="1:20" customFormat="1">
      <c r="A282" s="720" t="s">
        <v>2806</v>
      </c>
      <c r="B282" s="330"/>
      <c r="C282" s="330"/>
      <c r="D282" s="203" t="s">
        <v>676</v>
      </c>
      <c r="E282" s="714" t="str">
        <f>+VLOOKUP(F282,Resumen_Base!$C$8:$G$287,5,0)</f>
        <v>Insurance for lodge and boats</v>
      </c>
      <c r="F282" s="330" t="s">
        <v>316</v>
      </c>
      <c r="G282" s="330" t="s">
        <v>317</v>
      </c>
      <c r="H282" s="330" t="str">
        <f t="shared" si="4"/>
        <v>CAR5215</v>
      </c>
      <c r="I282" s="715">
        <v>691909.2</v>
      </c>
      <c r="J282" s="715">
        <v>487.26</v>
      </c>
      <c r="K282" s="715">
        <v>1420</v>
      </c>
      <c r="L282" s="456" t="s">
        <v>1239</v>
      </c>
      <c r="M282" s="330" t="s">
        <v>780</v>
      </c>
      <c r="N282" s="203" t="s">
        <v>781</v>
      </c>
      <c r="O282" s="330" t="s">
        <v>1245</v>
      </c>
      <c r="P282" s="330" t="s">
        <v>892</v>
      </c>
      <c r="Q282" s="330" t="s">
        <v>1246</v>
      </c>
      <c r="R282" s="330" t="s">
        <v>1247</v>
      </c>
      <c r="S282" s="330" t="s">
        <v>1248</v>
      </c>
      <c r="T282" s="330" t="s">
        <v>786</v>
      </c>
    </row>
    <row r="283" spans="1:20" customFormat="1">
      <c r="A283" s="10"/>
      <c r="B283" s="4"/>
      <c r="C283" s="4"/>
      <c r="D283" s="133" t="s">
        <v>670</v>
      </c>
      <c r="E283" s="664" t="str">
        <f>+VLOOKUP(F283,Resumen_Base!$C$8:$G$287,5,0)</f>
        <v>Insurance for lodge and boats</v>
      </c>
      <c r="F283" s="152" t="s">
        <v>316</v>
      </c>
      <c r="G283" s="4" t="s">
        <v>317</v>
      </c>
      <c r="H283" s="4" t="str">
        <f t="shared" si="4"/>
        <v>SJ5215</v>
      </c>
      <c r="I283" s="196">
        <v>96403.8</v>
      </c>
      <c r="J283" s="196">
        <v>67.89</v>
      </c>
      <c r="K283" s="196">
        <v>1420</v>
      </c>
      <c r="L283" s="454" t="s">
        <v>1239</v>
      </c>
      <c r="M283" s="4" t="s">
        <v>780</v>
      </c>
      <c r="N283" s="133" t="s">
        <v>781</v>
      </c>
      <c r="O283" s="4" t="s">
        <v>1245</v>
      </c>
      <c r="P283" s="4" t="s">
        <v>892</v>
      </c>
      <c r="Q283" s="4" t="s">
        <v>1246</v>
      </c>
      <c r="R283" s="4" t="s">
        <v>1252</v>
      </c>
      <c r="S283" s="4" t="s">
        <v>1248</v>
      </c>
      <c r="T283" s="4" t="s">
        <v>786</v>
      </c>
    </row>
    <row r="284" spans="1:20" customFormat="1">
      <c r="A284" s="720" t="s">
        <v>2806</v>
      </c>
      <c r="B284" s="330"/>
      <c r="C284" s="330"/>
      <c r="D284" s="203" t="s">
        <v>676</v>
      </c>
      <c r="E284" s="714" t="str">
        <f>+VLOOKUP(F284,Resumen_Base!$C$8:$G$287,5,0)</f>
        <v>Insurance for lodge and boats</v>
      </c>
      <c r="F284" s="330" t="s">
        <v>316</v>
      </c>
      <c r="G284" s="330" t="s">
        <v>317</v>
      </c>
      <c r="H284" s="330" t="str">
        <f t="shared" si="4"/>
        <v>CAR5215</v>
      </c>
      <c r="I284" s="715">
        <v>185082.8</v>
      </c>
      <c r="J284" s="715">
        <v>130.34</v>
      </c>
      <c r="K284" s="715">
        <v>1420</v>
      </c>
      <c r="L284" s="456" t="s">
        <v>1239</v>
      </c>
      <c r="M284" s="330" t="s">
        <v>780</v>
      </c>
      <c r="N284" s="203" t="s">
        <v>781</v>
      </c>
      <c r="O284" s="330" t="s">
        <v>1245</v>
      </c>
      <c r="P284" s="330" t="s">
        <v>892</v>
      </c>
      <c r="Q284" s="330" t="s">
        <v>1246</v>
      </c>
      <c r="R284" s="330" t="s">
        <v>1253</v>
      </c>
      <c r="S284" s="330" t="s">
        <v>1248</v>
      </c>
      <c r="T284" s="330" t="s">
        <v>786</v>
      </c>
    </row>
    <row r="285" spans="1:20" customFormat="1">
      <c r="A285" s="10"/>
      <c r="B285" s="4"/>
      <c r="C285" s="4"/>
      <c r="D285" s="133" t="s">
        <v>676</v>
      </c>
      <c r="E285" s="664" t="str">
        <f>+VLOOKUP(F285,Resumen_Base!$C$8:$G$287,5,0)</f>
        <v>Insurance for lodge and boats</v>
      </c>
      <c r="F285" s="152" t="s">
        <v>316</v>
      </c>
      <c r="G285" s="4" t="s">
        <v>317</v>
      </c>
      <c r="H285" s="4" t="str">
        <f t="shared" si="4"/>
        <v>CAR5215</v>
      </c>
      <c r="I285" s="196">
        <v>629798.40000000002</v>
      </c>
      <c r="J285" s="196">
        <v>443.52</v>
      </c>
      <c r="K285" s="196">
        <v>1420</v>
      </c>
      <c r="L285" s="454" t="s">
        <v>787</v>
      </c>
      <c r="M285" s="4" t="s">
        <v>780</v>
      </c>
      <c r="N285" s="133" t="s">
        <v>1407</v>
      </c>
      <c r="O285" s="4" t="s">
        <v>1490</v>
      </c>
      <c r="P285" s="4" t="s">
        <v>783</v>
      </c>
      <c r="Q285" s="4" t="s">
        <v>1491</v>
      </c>
      <c r="R285" s="4" t="s">
        <v>1526</v>
      </c>
      <c r="S285" s="4" t="s">
        <v>1493</v>
      </c>
      <c r="T285" s="4" t="s">
        <v>786</v>
      </c>
    </row>
    <row r="286" spans="1:20" customFormat="1">
      <c r="A286" s="10"/>
      <c r="B286" s="4"/>
      <c r="C286" s="4"/>
      <c r="D286" s="133" t="s">
        <v>676</v>
      </c>
      <c r="E286" s="664" t="str">
        <f>+VLOOKUP(F286,Resumen_Base!$C$8:$G$287,5,0)</f>
        <v>Insurance for lodge and boats</v>
      </c>
      <c r="F286" s="152" t="s">
        <v>316</v>
      </c>
      <c r="G286" s="4" t="s">
        <v>317</v>
      </c>
      <c r="H286" s="4" t="str">
        <f t="shared" si="4"/>
        <v>CAR5215</v>
      </c>
      <c r="I286" s="196">
        <v>2769</v>
      </c>
      <c r="J286" s="196">
        <v>1.95</v>
      </c>
      <c r="K286" s="196">
        <v>1420</v>
      </c>
      <c r="L286" s="454" t="s">
        <v>787</v>
      </c>
      <c r="M286" s="4" t="s">
        <v>780</v>
      </c>
      <c r="N286" s="133" t="s">
        <v>1407</v>
      </c>
      <c r="O286" s="4" t="s">
        <v>1490</v>
      </c>
      <c r="P286" s="4" t="s">
        <v>783</v>
      </c>
      <c r="Q286" s="4" t="s">
        <v>1491</v>
      </c>
      <c r="R286" s="4" t="s">
        <v>1456</v>
      </c>
      <c r="S286" s="4" t="s">
        <v>1493</v>
      </c>
      <c r="T286" s="4" t="s">
        <v>786</v>
      </c>
    </row>
    <row r="287" spans="1:20" customFormat="1">
      <c r="A287" s="10"/>
      <c r="B287" s="4"/>
      <c r="C287" s="4"/>
      <c r="D287" s="133" t="s">
        <v>676</v>
      </c>
      <c r="E287" s="664" t="str">
        <f>+VLOOKUP(F287,Resumen_Base!$C$8:$G$287,5,0)</f>
        <v>Insurance for lodge and boats</v>
      </c>
      <c r="F287" s="152" t="s">
        <v>316</v>
      </c>
      <c r="G287" s="4" t="s">
        <v>317</v>
      </c>
      <c r="H287" s="4" t="str">
        <f t="shared" si="4"/>
        <v>CAR5215</v>
      </c>
      <c r="I287" s="196">
        <v>45456.6</v>
      </c>
      <c r="J287" s="196">
        <v>33.18</v>
      </c>
      <c r="K287" s="196">
        <v>1370</v>
      </c>
      <c r="L287" s="454" t="s">
        <v>787</v>
      </c>
      <c r="M287" s="4" t="s">
        <v>780</v>
      </c>
      <c r="N287" s="133" t="s">
        <v>1407</v>
      </c>
      <c r="O287" s="4" t="s">
        <v>1490</v>
      </c>
      <c r="P287" s="4" t="s">
        <v>783</v>
      </c>
      <c r="Q287" s="4" t="s">
        <v>1491</v>
      </c>
      <c r="R287" s="4" t="s">
        <v>1527</v>
      </c>
      <c r="S287" s="4" t="s">
        <v>1493</v>
      </c>
      <c r="T287" s="4" t="s">
        <v>786</v>
      </c>
    </row>
    <row r="288" spans="1:20" customFormat="1">
      <c r="A288" s="10"/>
      <c r="B288" s="4"/>
      <c r="C288" s="4"/>
      <c r="D288" s="133" t="s">
        <v>676</v>
      </c>
      <c r="E288" s="664" t="str">
        <f>+VLOOKUP(F288,Resumen_Base!$C$8:$G$287,5,0)</f>
        <v>Insurance for lodge and boats</v>
      </c>
      <c r="F288" s="152" t="s">
        <v>316</v>
      </c>
      <c r="G288" s="4" t="s">
        <v>317</v>
      </c>
      <c r="H288" s="4" t="str">
        <f t="shared" si="4"/>
        <v>CAR5215</v>
      </c>
      <c r="I288" s="196">
        <v>90981.7</v>
      </c>
      <c r="J288" s="196">
        <v>66.41</v>
      </c>
      <c r="K288" s="196">
        <v>1370</v>
      </c>
      <c r="L288" s="454" t="s">
        <v>787</v>
      </c>
      <c r="M288" s="4" t="s">
        <v>780</v>
      </c>
      <c r="N288" s="133" t="s">
        <v>1407</v>
      </c>
      <c r="O288" s="4" t="s">
        <v>1490</v>
      </c>
      <c r="P288" s="4" t="s">
        <v>783</v>
      </c>
      <c r="Q288" s="4" t="s">
        <v>1491</v>
      </c>
      <c r="R288" s="4" t="s">
        <v>1528</v>
      </c>
      <c r="S288" s="4" t="s">
        <v>1493</v>
      </c>
      <c r="T288" s="4" t="s">
        <v>786</v>
      </c>
    </row>
    <row r="289" spans="1:20" customFormat="1">
      <c r="A289" s="10"/>
      <c r="B289" s="4"/>
      <c r="C289" s="4"/>
      <c r="D289" s="133" t="s">
        <v>676</v>
      </c>
      <c r="E289" s="664" t="str">
        <f>+VLOOKUP(F289,Resumen_Base!$C$8:$G$287,5,0)</f>
        <v>Insurance for lodge and boats</v>
      </c>
      <c r="F289" s="152" t="s">
        <v>316</v>
      </c>
      <c r="G289" s="4" t="s">
        <v>317</v>
      </c>
      <c r="H289" s="4" t="str">
        <f t="shared" si="4"/>
        <v>CAR5215</v>
      </c>
      <c r="I289" s="196">
        <v>174688.7</v>
      </c>
      <c r="J289" s="196">
        <v>127.51</v>
      </c>
      <c r="K289" s="196">
        <v>1370</v>
      </c>
      <c r="L289" s="454" t="s">
        <v>787</v>
      </c>
      <c r="M289" s="4" t="s">
        <v>780</v>
      </c>
      <c r="N289" s="133" t="s">
        <v>1407</v>
      </c>
      <c r="O289" s="4" t="s">
        <v>1490</v>
      </c>
      <c r="P289" s="4" t="s">
        <v>783</v>
      </c>
      <c r="Q289" s="4" t="s">
        <v>1491</v>
      </c>
      <c r="R289" s="4" t="s">
        <v>1529</v>
      </c>
      <c r="S289" s="4" t="s">
        <v>1493</v>
      </c>
      <c r="T289" s="4" t="s">
        <v>786</v>
      </c>
    </row>
    <row r="290" spans="1:20" customFormat="1">
      <c r="A290" s="10"/>
      <c r="B290" s="4"/>
      <c r="C290" s="4"/>
      <c r="D290" s="133" t="s">
        <v>676</v>
      </c>
      <c r="E290" s="664" t="str">
        <f>+VLOOKUP(F290,Resumen_Base!$C$8:$G$287,5,0)</f>
        <v>Insurance for lodge and boats</v>
      </c>
      <c r="F290" s="152" t="s">
        <v>316</v>
      </c>
      <c r="G290" s="4" t="s">
        <v>317</v>
      </c>
      <c r="H290" s="4" t="str">
        <f t="shared" si="4"/>
        <v>CAR5215</v>
      </c>
      <c r="I290" s="196">
        <v>91726.1</v>
      </c>
      <c r="J290" s="196">
        <v>65.989999999999995</v>
      </c>
      <c r="K290" s="196">
        <v>1390</v>
      </c>
      <c r="L290" s="454" t="s">
        <v>899</v>
      </c>
      <c r="M290" s="4" t="s">
        <v>780</v>
      </c>
      <c r="N290" s="133" t="s">
        <v>1407</v>
      </c>
      <c r="O290" s="4" t="s">
        <v>1749</v>
      </c>
      <c r="P290" s="4" t="s">
        <v>892</v>
      </c>
      <c r="Q290" s="4" t="s">
        <v>1750</v>
      </c>
      <c r="R290" s="4" t="s">
        <v>1751</v>
      </c>
      <c r="S290" s="4" t="s">
        <v>1752</v>
      </c>
      <c r="T290" s="4" t="s">
        <v>786</v>
      </c>
    </row>
    <row r="291" spans="1:20" customFormat="1">
      <c r="A291" s="10"/>
      <c r="B291" s="4"/>
      <c r="C291" s="4"/>
      <c r="D291" s="133" t="s">
        <v>676</v>
      </c>
      <c r="E291" s="664" t="str">
        <f>+VLOOKUP(F291,Resumen_Base!$C$8:$G$287,5,0)</f>
        <v>Insurance for lodge and boats</v>
      </c>
      <c r="F291" s="152" t="s">
        <v>316</v>
      </c>
      <c r="G291" s="4" t="s">
        <v>317</v>
      </c>
      <c r="H291" s="4" t="str">
        <f t="shared" si="4"/>
        <v>CAR5215</v>
      </c>
      <c r="I291" s="196">
        <v>176252</v>
      </c>
      <c r="J291" s="196">
        <v>126.8</v>
      </c>
      <c r="K291" s="196">
        <v>1390</v>
      </c>
      <c r="L291" s="454" t="s">
        <v>899</v>
      </c>
      <c r="M291" s="4" t="s">
        <v>780</v>
      </c>
      <c r="N291" s="133" t="s">
        <v>1407</v>
      </c>
      <c r="O291" s="4" t="s">
        <v>1749</v>
      </c>
      <c r="P291" s="4" t="s">
        <v>892</v>
      </c>
      <c r="Q291" s="4" t="s">
        <v>1750</v>
      </c>
      <c r="R291" s="4" t="s">
        <v>1758</v>
      </c>
      <c r="S291" s="4" t="s">
        <v>1752</v>
      </c>
      <c r="T291" s="4" t="s">
        <v>786</v>
      </c>
    </row>
    <row r="292" spans="1:20" customFormat="1">
      <c r="A292" s="10"/>
      <c r="B292" s="4"/>
      <c r="C292" s="4"/>
      <c r="D292" s="133" t="s">
        <v>676</v>
      </c>
      <c r="E292" s="664" t="str">
        <f>+VLOOKUP(F292,Resumen_Base!$C$8:$G$287,5,0)</f>
        <v>Insurance for lodge and boats</v>
      </c>
      <c r="F292" s="152" t="s">
        <v>316</v>
      </c>
      <c r="G292" s="4" t="s">
        <v>317</v>
      </c>
      <c r="H292" s="4" t="str">
        <f t="shared" si="4"/>
        <v>CAR5215</v>
      </c>
      <c r="I292" s="196">
        <v>171710</v>
      </c>
      <c r="J292" s="196">
        <v>122.65</v>
      </c>
      <c r="K292" s="196">
        <v>1400</v>
      </c>
      <c r="L292" s="454" t="s">
        <v>994</v>
      </c>
      <c r="M292" s="4" t="s">
        <v>780</v>
      </c>
      <c r="N292" s="133" t="s">
        <v>1407</v>
      </c>
      <c r="O292" s="4" t="s">
        <v>1912</v>
      </c>
      <c r="P292" s="4" t="s">
        <v>892</v>
      </c>
      <c r="Q292" s="4" t="s">
        <v>1913</v>
      </c>
      <c r="R292" s="4" t="s">
        <v>1920</v>
      </c>
      <c r="S292" s="4" t="s">
        <v>1914</v>
      </c>
      <c r="T292" s="4" t="s">
        <v>786</v>
      </c>
    </row>
    <row r="293" spans="1:20" customFormat="1">
      <c r="A293" s="10"/>
      <c r="B293" s="4"/>
      <c r="C293" s="4"/>
      <c r="D293" s="133" t="s">
        <v>676</v>
      </c>
      <c r="E293" s="664" t="str">
        <f>+VLOOKUP(F293,Resumen_Base!$C$8:$G$287,5,0)</f>
        <v>Insurance for lodge and boats</v>
      </c>
      <c r="F293" s="152" t="s">
        <v>316</v>
      </c>
      <c r="G293" s="4" t="s">
        <v>317</v>
      </c>
      <c r="H293" s="4" t="str">
        <f t="shared" si="4"/>
        <v>CAR5215</v>
      </c>
      <c r="I293" s="196">
        <v>89432</v>
      </c>
      <c r="J293" s="196">
        <v>63.88</v>
      </c>
      <c r="K293" s="196">
        <v>1400</v>
      </c>
      <c r="L293" s="454" t="s">
        <v>994</v>
      </c>
      <c r="M293" s="4" t="s">
        <v>780</v>
      </c>
      <c r="N293" s="133" t="s">
        <v>1407</v>
      </c>
      <c r="O293" s="4" t="s">
        <v>1912</v>
      </c>
      <c r="P293" s="4" t="s">
        <v>892</v>
      </c>
      <c r="Q293" s="4" t="s">
        <v>1913</v>
      </c>
      <c r="R293" s="4" t="s">
        <v>1924</v>
      </c>
      <c r="S293" s="4" t="s">
        <v>1914</v>
      </c>
      <c r="T293" s="4" t="s">
        <v>786</v>
      </c>
    </row>
    <row r="294" spans="1:20" customFormat="1">
      <c r="A294" s="10"/>
      <c r="B294" s="4"/>
      <c r="C294" s="4"/>
      <c r="D294" s="133" t="s">
        <v>676</v>
      </c>
      <c r="E294" s="664" t="str">
        <f>+VLOOKUP(F294,Resumen_Base!$C$8:$G$287,5,0)</f>
        <v>Insurance for lodge and boats</v>
      </c>
      <c r="F294" s="152" t="s">
        <v>316</v>
      </c>
      <c r="G294" s="4" t="s">
        <v>317</v>
      </c>
      <c r="H294" s="4" t="str">
        <f t="shared" si="4"/>
        <v>CAR5215</v>
      </c>
      <c r="I294" s="196">
        <v>-48691</v>
      </c>
      <c r="J294" s="196">
        <v>-33.35</v>
      </c>
      <c r="K294" s="196">
        <v>1460</v>
      </c>
      <c r="L294" s="454" t="s">
        <v>1049</v>
      </c>
      <c r="M294" s="4" t="s">
        <v>780</v>
      </c>
      <c r="N294" s="133" t="s">
        <v>1407</v>
      </c>
      <c r="O294" s="4" t="s">
        <v>2127</v>
      </c>
      <c r="P294" s="4" t="s">
        <v>892</v>
      </c>
      <c r="Q294" s="4" t="s">
        <v>2128</v>
      </c>
      <c r="R294" s="4" t="s">
        <v>2157</v>
      </c>
      <c r="S294" s="4" t="s">
        <v>2129</v>
      </c>
      <c r="T294" s="4" t="s">
        <v>786</v>
      </c>
    </row>
    <row r="295" spans="1:20" customFormat="1">
      <c r="A295" s="10"/>
      <c r="B295" s="4"/>
      <c r="C295" s="4"/>
      <c r="D295" s="133" t="s">
        <v>676</v>
      </c>
      <c r="E295" s="664" t="str">
        <f>+VLOOKUP(F295,Resumen_Base!$C$8:$G$287,5,0)</f>
        <v>Insurance for lodge and boats</v>
      </c>
      <c r="F295" s="152" t="s">
        <v>316</v>
      </c>
      <c r="G295" s="4" t="s">
        <v>317</v>
      </c>
      <c r="H295" s="4" t="str">
        <f t="shared" si="4"/>
        <v>CAR5215</v>
      </c>
      <c r="I295" s="196">
        <v>-321127</v>
      </c>
      <c r="J295" s="196">
        <v>-219.95</v>
      </c>
      <c r="K295" s="196">
        <v>1460</v>
      </c>
      <c r="L295" s="454" t="s">
        <v>1049</v>
      </c>
      <c r="M295" s="4" t="s">
        <v>780</v>
      </c>
      <c r="N295" s="133" t="s">
        <v>1407</v>
      </c>
      <c r="O295" s="4" t="s">
        <v>2127</v>
      </c>
      <c r="P295" s="4" t="s">
        <v>892</v>
      </c>
      <c r="Q295" s="4" t="s">
        <v>2128</v>
      </c>
      <c r="R295" s="4" t="s">
        <v>2148</v>
      </c>
      <c r="S295" s="4" t="s">
        <v>2129</v>
      </c>
      <c r="T295" s="4" t="s">
        <v>786</v>
      </c>
    </row>
    <row r="296" spans="1:20" customFormat="1">
      <c r="A296" s="10"/>
      <c r="B296" s="4"/>
      <c r="C296" s="4"/>
      <c r="D296" s="133" t="s">
        <v>676</v>
      </c>
      <c r="E296" s="664" t="str">
        <f>+VLOOKUP(F296,Resumen_Base!$C$8:$G$287,5,0)</f>
        <v>Insurance for lodge and boats</v>
      </c>
      <c r="F296" s="152" t="s">
        <v>316</v>
      </c>
      <c r="G296" s="4" t="s">
        <v>317</v>
      </c>
      <c r="H296" s="4" t="str">
        <f t="shared" si="4"/>
        <v>CAR5215</v>
      </c>
      <c r="I296" s="196">
        <v>48880.800000000003</v>
      </c>
      <c r="J296" s="196">
        <v>33.479999999999997</v>
      </c>
      <c r="K296" s="196">
        <v>1460</v>
      </c>
      <c r="L296" s="454" t="s">
        <v>1049</v>
      </c>
      <c r="M296" s="4" t="s">
        <v>780</v>
      </c>
      <c r="N296" s="133" t="s">
        <v>1407</v>
      </c>
      <c r="O296" s="4" t="s">
        <v>2220</v>
      </c>
      <c r="P296" s="4" t="s">
        <v>892</v>
      </c>
      <c r="Q296" s="4" t="s">
        <v>2221</v>
      </c>
      <c r="R296" s="4" t="s">
        <v>2230</v>
      </c>
      <c r="S296" s="4" t="s">
        <v>2223</v>
      </c>
      <c r="T296" s="4" t="s">
        <v>786</v>
      </c>
    </row>
    <row r="297" spans="1:20" customFormat="1">
      <c r="A297" s="10"/>
      <c r="B297" s="4"/>
      <c r="C297" s="4"/>
      <c r="D297" s="133" t="s">
        <v>676</v>
      </c>
      <c r="E297" s="664" t="str">
        <f>+VLOOKUP(F297,Resumen_Base!$C$8:$G$287,5,0)</f>
        <v>Insurance for lodge and boats</v>
      </c>
      <c r="F297" s="152" t="s">
        <v>316</v>
      </c>
      <c r="G297" s="4" t="s">
        <v>317</v>
      </c>
      <c r="H297" s="4" t="str">
        <f t="shared" si="4"/>
        <v>CAR5215</v>
      </c>
      <c r="I297" s="196">
        <v>321127</v>
      </c>
      <c r="J297" s="196">
        <v>219.95</v>
      </c>
      <c r="K297" s="196">
        <v>1460</v>
      </c>
      <c r="L297" s="454" t="s">
        <v>1049</v>
      </c>
      <c r="M297" s="4" t="s">
        <v>780</v>
      </c>
      <c r="N297" s="133" t="s">
        <v>1407</v>
      </c>
      <c r="O297" s="4" t="s">
        <v>2233</v>
      </c>
      <c r="P297" s="4" t="s">
        <v>892</v>
      </c>
      <c r="Q297" s="4" t="s">
        <v>2234</v>
      </c>
      <c r="R297" s="4" t="s">
        <v>2148</v>
      </c>
      <c r="S297" s="4" t="s">
        <v>2235</v>
      </c>
      <c r="T297" s="4" t="s">
        <v>786</v>
      </c>
    </row>
    <row r="298" spans="1:20" customFormat="1">
      <c r="A298" s="10"/>
      <c r="B298" s="4"/>
      <c r="C298" s="4"/>
      <c r="D298" s="133" t="s">
        <v>676</v>
      </c>
      <c r="E298" s="664" t="str">
        <f>+VLOOKUP(F298,Resumen_Base!$C$8:$G$287,5,0)</f>
        <v>Insurance for lodge and boats</v>
      </c>
      <c r="F298" s="152" t="s">
        <v>316</v>
      </c>
      <c r="G298" s="4" t="s">
        <v>317</v>
      </c>
      <c r="H298" s="4" t="str">
        <f t="shared" si="4"/>
        <v>CAR5215</v>
      </c>
      <c r="I298" s="196">
        <v>48691</v>
      </c>
      <c r="J298" s="196">
        <v>33.35</v>
      </c>
      <c r="K298" s="196">
        <v>1460</v>
      </c>
      <c r="L298" s="454" t="s">
        <v>1049</v>
      </c>
      <c r="M298" s="4" t="s">
        <v>780</v>
      </c>
      <c r="N298" s="133" t="s">
        <v>1407</v>
      </c>
      <c r="O298" s="4" t="s">
        <v>2233</v>
      </c>
      <c r="P298" s="4" t="s">
        <v>892</v>
      </c>
      <c r="Q298" s="4" t="s">
        <v>2234</v>
      </c>
      <c r="R298" s="4" t="s">
        <v>2157</v>
      </c>
      <c r="S298" s="4" t="s">
        <v>2235</v>
      </c>
      <c r="T298" s="4" t="s">
        <v>786</v>
      </c>
    </row>
    <row r="299" spans="1:20" customFormat="1">
      <c r="A299" s="10"/>
      <c r="B299" s="4"/>
      <c r="C299" s="4"/>
      <c r="D299" s="133" t="s">
        <v>676</v>
      </c>
      <c r="E299" s="664" t="str">
        <f>+VLOOKUP(F299,Resumen_Base!$C$8:$G$287,5,0)</f>
        <v>Insurance for lodge and boats</v>
      </c>
      <c r="F299" s="152" t="s">
        <v>316</v>
      </c>
      <c r="G299" s="4" t="s">
        <v>317</v>
      </c>
      <c r="H299" s="4" t="str">
        <f t="shared" si="4"/>
        <v>CAR5215</v>
      </c>
      <c r="I299" s="196">
        <v>321127</v>
      </c>
      <c r="J299" s="196">
        <v>219.95</v>
      </c>
      <c r="K299" s="196">
        <v>1460</v>
      </c>
      <c r="L299" s="454" t="s">
        <v>1049</v>
      </c>
      <c r="M299" s="4" t="s">
        <v>780</v>
      </c>
      <c r="N299" s="133" t="s">
        <v>1407</v>
      </c>
      <c r="O299" s="4" t="s">
        <v>2236</v>
      </c>
      <c r="P299" s="4" t="s">
        <v>892</v>
      </c>
      <c r="Q299" s="4" t="s">
        <v>2237</v>
      </c>
      <c r="R299" s="4" t="s">
        <v>2148</v>
      </c>
      <c r="S299" s="4" t="s">
        <v>2238</v>
      </c>
      <c r="T299" s="4" t="s">
        <v>786</v>
      </c>
    </row>
    <row r="300" spans="1:20" customFormat="1">
      <c r="A300" s="10"/>
      <c r="B300" s="4"/>
      <c r="C300" s="4"/>
      <c r="D300" s="133" t="s">
        <v>676</v>
      </c>
      <c r="E300" s="664" t="str">
        <f>+VLOOKUP(F300,Resumen_Base!$C$8:$G$287,5,0)</f>
        <v>Insurance for lodge and boats</v>
      </c>
      <c r="F300" s="152" t="s">
        <v>316</v>
      </c>
      <c r="G300" s="4" t="s">
        <v>317</v>
      </c>
      <c r="H300" s="4" t="str">
        <f t="shared" si="4"/>
        <v>CAR5215</v>
      </c>
      <c r="I300" s="196">
        <v>48691</v>
      </c>
      <c r="J300" s="196">
        <v>33.35</v>
      </c>
      <c r="K300" s="196">
        <v>1460</v>
      </c>
      <c r="L300" s="454" t="s">
        <v>1049</v>
      </c>
      <c r="M300" s="4" t="s">
        <v>780</v>
      </c>
      <c r="N300" s="133" t="s">
        <v>1407</v>
      </c>
      <c r="O300" s="4" t="s">
        <v>2236</v>
      </c>
      <c r="P300" s="4" t="s">
        <v>892</v>
      </c>
      <c r="Q300" s="4" t="s">
        <v>2237</v>
      </c>
      <c r="R300" s="4" t="s">
        <v>2157</v>
      </c>
      <c r="S300" s="4" t="s">
        <v>2238</v>
      </c>
      <c r="T300" s="4" t="s">
        <v>786</v>
      </c>
    </row>
    <row r="301" spans="1:20" customFormat="1">
      <c r="A301" s="10"/>
      <c r="B301" s="4"/>
      <c r="C301" s="4"/>
      <c r="D301" s="133" t="s">
        <v>676</v>
      </c>
      <c r="E301" s="664" t="str">
        <f>+VLOOKUP(F301,Resumen_Base!$C$8:$G$287,5,0)</f>
        <v>Insurance for lodge and boats</v>
      </c>
      <c r="F301" s="152" t="s">
        <v>316</v>
      </c>
      <c r="G301" s="4" t="s">
        <v>317</v>
      </c>
      <c r="H301" s="4" t="str">
        <f t="shared" si="4"/>
        <v>CAR5215</v>
      </c>
      <c r="I301" s="196">
        <v>94898.6</v>
      </c>
      <c r="J301" s="196">
        <v>66.83</v>
      </c>
      <c r="K301" s="196">
        <v>1420</v>
      </c>
      <c r="L301" s="454" t="s">
        <v>1113</v>
      </c>
      <c r="M301" s="4" t="s">
        <v>780</v>
      </c>
      <c r="N301" s="133" t="s">
        <v>1407</v>
      </c>
      <c r="O301" s="4" t="s">
        <v>2417</v>
      </c>
      <c r="P301" s="4" t="s">
        <v>892</v>
      </c>
      <c r="Q301" s="4" t="s">
        <v>2418</v>
      </c>
      <c r="R301" s="4" t="s">
        <v>2420</v>
      </c>
      <c r="S301" s="4" t="s">
        <v>2419</v>
      </c>
      <c r="T301" s="4" t="s">
        <v>786</v>
      </c>
    </row>
    <row r="302" spans="1:20" customFormat="1">
      <c r="A302" s="10"/>
      <c r="B302" s="4"/>
      <c r="C302" s="4"/>
      <c r="D302" s="133" t="s">
        <v>676</v>
      </c>
      <c r="E302" s="664" t="str">
        <f>+VLOOKUP(F302,Resumen_Base!$C$8:$G$287,5,0)</f>
        <v>Insurance for lodge and boats</v>
      </c>
      <c r="F302" s="152" t="s">
        <v>316</v>
      </c>
      <c r="G302" s="4" t="s">
        <v>317</v>
      </c>
      <c r="H302" s="4" t="str">
        <f t="shared" si="4"/>
        <v>CAR5215</v>
      </c>
      <c r="I302" s="196">
        <v>179658.4</v>
      </c>
      <c r="J302" s="196">
        <v>126.52</v>
      </c>
      <c r="K302" s="196">
        <v>1420</v>
      </c>
      <c r="L302" s="454" t="s">
        <v>1113</v>
      </c>
      <c r="M302" s="4" t="s">
        <v>780</v>
      </c>
      <c r="N302" s="133" t="s">
        <v>1407</v>
      </c>
      <c r="O302" s="4" t="s">
        <v>2417</v>
      </c>
      <c r="P302" s="4" t="s">
        <v>892</v>
      </c>
      <c r="Q302" s="4" t="s">
        <v>2418</v>
      </c>
      <c r="R302" s="4" t="s">
        <v>1515</v>
      </c>
      <c r="S302" s="4" t="s">
        <v>2419</v>
      </c>
      <c r="T302" s="4" t="s">
        <v>786</v>
      </c>
    </row>
    <row r="303" spans="1:20" customFormat="1">
      <c r="A303" s="10"/>
      <c r="B303" s="4"/>
      <c r="C303" s="4"/>
      <c r="D303" s="133" t="s">
        <v>676</v>
      </c>
      <c r="E303" s="664" t="str">
        <f>+VLOOKUP(F303,Resumen_Base!$C$8:$G$287,5,0)</f>
        <v>Insurance for lodge and boats</v>
      </c>
      <c r="F303" s="152" t="s">
        <v>316</v>
      </c>
      <c r="G303" s="4" t="s">
        <v>317</v>
      </c>
      <c r="H303" s="4" t="str">
        <f t="shared" si="4"/>
        <v>CAR5215</v>
      </c>
      <c r="I303" s="196">
        <v>1383122.6</v>
      </c>
      <c r="J303" s="196">
        <v>974.03</v>
      </c>
      <c r="K303" s="196">
        <v>1420</v>
      </c>
      <c r="L303" s="454" t="s">
        <v>1113</v>
      </c>
      <c r="M303" s="4" t="s">
        <v>780</v>
      </c>
      <c r="N303" s="133" t="s">
        <v>1407</v>
      </c>
      <c r="O303" s="4" t="s">
        <v>2417</v>
      </c>
      <c r="P303" s="4" t="s">
        <v>892</v>
      </c>
      <c r="Q303" s="4" t="s">
        <v>2418</v>
      </c>
      <c r="R303" s="4" t="s">
        <v>2421</v>
      </c>
      <c r="S303" s="4" t="s">
        <v>2419</v>
      </c>
      <c r="T303" s="4" t="s">
        <v>786</v>
      </c>
    </row>
    <row r="304" spans="1:20" customFormat="1">
      <c r="A304" s="10"/>
      <c r="B304" s="4"/>
      <c r="C304" s="4"/>
      <c r="D304" s="133" t="s">
        <v>676</v>
      </c>
      <c r="E304" s="664" t="str">
        <f>+VLOOKUP(F304,Resumen_Base!$C$8:$G$287,5,0)</f>
        <v>Insurance for lodge and boats</v>
      </c>
      <c r="F304" s="152" t="s">
        <v>316</v>
      </c>
      <c r="G304" s="4" t="s">
        <v>317</v>
      </c>
      <c r="H304" s="4" t="str">
        <f t="shared" si="4"/>
        <v>CAR5215</v>
      </c>
      <c r="I304" s="196">
        <v>289651.59999999998</v>
      </c>
      <c r="J304" s="196">
        <v>203.98</v>
      </c>
      <c r="K304" s="196">
        <v>1420</v>
      </c>
      <c r="L304" s="454" t="s">
        <v>1098</v>
      </c>
      <c r="M304" s="4" t="s">
        <v>780</v>
      </c>
      <c r="N304" s="133" t="s">
        <v>1407</v>
      </c>
      <c r="O304" s="4" t="s">
        <v>2423</v>
      </c>
      <c r="P304" s="4" t="s">
        <v>892</v>
      </c>
      <c r="Q304" s="4" t="s">
        <v>2424</v>
      </c>
      <c r="R304" s="4" t="s">
        <v>2425</v>
      </c>
      <c r="S304" s="4" t="s">
        <v>2426</v>
      </c>
      <c r="T304" s="4" t="s">
        <v>786</v>
      </c>
    </row>
    <row r="305" spans="1:20" customFormat="1">
      <c r="A305" s="10"/>
      <c r="B305" s="4"/>
      <c r="C305" s="4"/>
      <c r="D305" s="133" t="s">
        <v>676</v>
      </c>
      <c r="E305" s="664" t="str">
        <f>+VLOOKUP(F305,Resumen_Base!$C$8:$G$287,5,0)</f>
        <v>Insurance for lodge and boats</v>
      </c>
      <c r="F305" s="152" t="s">
        <v>316</v>
      </c>
      <c r="G305" s="4" t="s">
        <v>317</v>
      </c>
      <c r="H305" s="4" t="str">
        <f t="shared" si="4"/>
        <v>CAR5215</v>
      </c>
      <c r="I305" s="196">
        <v>47868.2</v>
      </c>
      <c r="J305" s="196">
        <v>33.71</v>
      </c>
      <c r="K305" s="196">
        <v>1420</v>
      </c>
      <c r="L305" s="454" t="s">
        <v>1098</v>
      </c>
      <c r="M305" s="4" t="s">
        <v>780</v>
      </c>
      <c r="N305" s="133" t="s">
        <v>1407</v>
      </c>
      <c r="O305" s="4" t="s">
        <v>2423</v>
      </c>
      <c r="P305" s="4" t="s">
        <v>892</v>
      </c>
      <c r="Q305" s="4" t="s">
        <v>2424</v>
      </c>
      <c r="R305" s="4" t="s">
        <v>2435</v>
      </c>
      <c r="S305" s="4" t="s">
        <v>2426</v>
      </c>
      <c r="T305" s="4" t="s">
        <v>786</v>
      </c>
    </row>
    <row r="306" spans="1:20" customFormat="1">
      <c r="A306" s="607"/>
      <c r="B306" s="597"/>
      <c r="C306" s="4"/>
      <c r="D306" s="133" t="s">
        <v>676</v>
      </c>
      <c r="E306" s="664" t="str">
        <f>+VLOOKUP(F306,Resumen_Base!$C$8:$G$287,5,0)</f>
        <v>Insurance for lodge and boats</v>
      </c>
      <c r="F306" s="152" t="s">
        <v>316</v>
      </c>
      <c r="G306" s="4" t="s">
        <v>317</v>
      </c>
      <c r="H306" s="4" t="str">
        <f t="shared" si="4"/>
        <v>CAR5215</v>
      </c>
      <c r="I306" s="196">
        <v>146856.4</v>
      </c>
      <c r="J306" s="196">
        <v>103.42</v>
      </c>
      <c r="K306" s="196">
        <v>1420</v>
      </c>
      <c r="L306" s="454" t="s">
        <v>1239</v>
      </c>
      <c r="M306" s="4" t="s">
        <v>780</v>
      </c>
      <c r="N306" s="133" t="s">
        <v>1407</v>
      </c>
      <c r="O306" s="4" t="s">
        <v>2630</v>
      </c>
      <c r="P306" s="4" t="s">
        <v>892</v>
      </c>
      <c r="Q306" s="4" t="s">
        <v>2631</v>
      </c>
      <c r="R306" s="4" t="s">
        <v>2636</v>
      </c>
      <c r="S306" s="4" t="s">
        <v>2632</v>
      </c>
      <c r="T306" s="4" t="s">
        <v>786</v>
      </c>
    </row>
    <row r="307" spans="1:20" customFormat="1">
      <c r="A307" s="10"/>
      <c r="B307" s="4"/>
      <c r="C307" s="4"/>
      <c r="D307" s="133" t="s">
        <v>676</v>
      </c>
      <c r="E307" s="664" t="str">
        <f>+VLOOKUP(F307,Resumen_Base!$C$8:$G$287,5,0)</f>
        <v>Vehicles Taxes</v>
      </c>
      <c r="F307" s="152" t="s">
        <v>318</v>
      </c>
      <c r="G307" s="4" t="s">
        <v>319</v>
      </c>
      <c r="H307" s="4" t="str">
        <f t="shared" si="4"/>
        <v>CAR5217</v>
      </c>
      <c r="I307" s="196">
        <v>5810228.2000000002</v>
      </c>
      <c r="J307" s="196">
        <v>4091.71</v>
      </c>
      <c r="K307" s="196">
        <v>1420</v>
      </c>
      <c r="L307" s="454" t="s">
        <v>1098</v>
      </c>
      <c r="M307" s="4" t="s">
        <v>780</v>
      </c>
      <c r="N307" s="133" t="s">
        <v>1407</v>
      </c>
      <c r="O307" s="4" t="s">
        <v>2423</v>
      </c>
      <c r="P307" s="4" t="s">
        <v>892</v>
      </c>
      <c r="Q307" s="4" t="s">
        <v>2424</v>
      </c>
      <c r="R307" s="4" t="s">
        <v>2427</v>
      </c>
      <c r="S307" s="4" t="s">
        <v>2426</v>
      </c>
      <c r="T307" s="4" t="s">
        <v>786</v>
      </c>
    </row>
    <row r="308" spans="1:20" customFormat="1">
      <c r="A308" s="10"/>
      <c r="B308" s="4"/>
      <c r="C308" s="4"/>
      <c r="D308" s="133" t="s">
        <v>676</v>
      </c>
      <c r="E308" s="664" t="str">
        <f>+VLOOKUP(F308,Resumen_Base!$C$8:$G$287,5,0)</f>
        <v>Miscellaneous &amp; Shipping</v>
      </c>
      <c r="F308" s="152" t="s">
        <v>43</v>
      </c>
      <c r="G308" s="4" t="s">
        <v>42</v>
      </c>
      <c r="H308" s="4" t="str">
        <f t="shared" si="4"/>
        <v>CAR5218</v>
      </c>
      <c r="I308" s="196">
        <v>5935.3</v>
      </c>
      <c r="J308" s="196">
        <v>4.2699999999999996</v>
      </c>
      <c r="K308" s="196">
        <v>1390</v>
      </c>
      <c r="L308" s="454" t="s">
        <v>899</v>
      </c>
      <c r="M308" s="4" t="s">
        <v>780</v>
      </c>
      <c r="N308" s="133" t="s">
        <v>1407</v>
      </c>
      <c r="O308" s="4" t="s">
        <v>1620</v>
      </c>
      <c r="P308" s="4" t="s">
        <v>892</v>
      </c>
      <c r="Q308" s="4" t="s">
        <v>1621</v>
      </c>
      <c r="R308" s="4" t="s">
        <v>1698</v>
      </c>
      <c r="S308" s="4" t="s">
        <v>1623</v>
      </c>
      <c r="T308" s="4" t="s">
        <v>786</v>
      </c>
    </row>
    <row r="309" spans="1:20" customFormat="1">
      <c r="A309" s="736" t="s">
        <v>3390</v>
      </c>
      <c r="B309" s="361" t="s">
        <v>3396</v>
      </c>
      <c r="C309" s="4"/>
      <c r="D309" s="133" t="s">
        <v>676</v>
      </c>
      <c r="E309" s="664" t="str">
        <f>+VLOOKUP(F309,Resumen_Base!$C$8:$G$287,5,0)</f>
        <v>Food &amp; Wine</v>
      </c>
      <c r="F309" s="607" t="s">
        <v>37</v>
      </c>
      <c r="G309" s="597" t="s">
        <v>457</v>
      </c>
      <c r="H309" s="4" t="str">
        <f t="shared" si="4"/>
        <v>CAR5250</v>
      </c>
      <c r="I309" s="196">
        <v>10053.6</v>
      </c>
      <c r="J309" s="196">
        <v>7.08</v>
      </c>
      <c r="K309" s="196">
        <v>1420</v>
      </c>
      <c r="L309" s="454" t="s">
        <v>899</v>
      </c>
      <c r="M309" s="4" t="s">
        <v>780</v>
      </c>
      <c r="N309" s="133" t="s">
        <v>1407</v>
      </c>
      <c r="O309" s="4" t="s">
        <v>1620</v>
      </c>
      <c r="P309" s="4" t="s">
        <v>892</v>
      </c>
      <c r="Q309" s="4" t="s">
        <v>1621</v>
      </c>
      <c r="R309" s="4" t="s">
        <v>1683</v>
      </c>
      <c r="S309" s="4" t="s">
        <v>1623</v>
      </c>
      <c r="T309" s="4" t="s">
        <v>786</v>
      </c>
    </row>
    <row r="310" spans="1:20" customFormat="1">
      <c r="A310" s="880" t="s">
        <v>2810</v>
      </c>
      <c r="B310" s="721" t="s">
        <v>2814</v>
      </c>
      <c r="C310" s="4"/>
      <c r="D310" s="133" t="s">
        <v>670</v>
      </c>
      <c r="E310" s="664" t="str">
        <f>+VLOOKUP(F310,Resumen_Base!$C$8:$G$287,5,0)</f>
        <v>Miscellaneous &amp; Shipping</v>
      </c>
      <c r="F310" s="152" t="s">
        <v>58</v>
      </c>
      <c r="G310" s="4" t="s">
        <v>59</v>
      </c>
      <c r="H310" s="4" t="str">
        <f t="shared" si="4"/>
        <v>SJ5219</v>
      </c>
      <c r="I310" s="196">
        <v>2668.8</v>
      </c>
      <c r="J310" s="722">
        <v>1.92</v>
      </c>
      <c r="K310" s="196">
        <v>1390</v>
      </c>
      <c r="L310" s="454" t="s">
        <v>899</v>
      </c>
      <c r="M310" s="4" t="s">
        <v>780</v>
      </c>
      <c r="N310" s="133" t="s">
        <v>781</v>
      </c>
      <c r="O310" s="4" t="s">
        <v>933</v>
      </c>
      <c r="P310" s="4" t="s">
        <v>892</v>
      </c>
      <c r="Q310" s="4" t="s">
        <v>934</v>
      </c>
      <c r="R310" s="4" t="s">
        <v>832</v>
      </c>
      <c r="S310" s="4" t="s">
        <v>935</v>
      </c>
      <c r="T310" s="4" t="s">
        <v>786</v>
      </c>
    </row>
    <row r="311" spans="1:20" customFormat="1">
      <c r="A311" s="881"/>
      <c r="B311" s="721" t="s">
        <v>2814</v>
      </c>
      <c r="C311" s="4"/>
      <c r="D311" s="133" t="s">
        <v>670</v>
      </c>
      <c r="E311" s="664" t="str">
        <f>+VLOOKUP(F311,Resumen_Base!$C$8:$G$287,5,0)</f>
        <v>Miscellaneous &amp; Shipping</v>
      </c>
      <c r="F311" s="152" t="s">
        <v>58</v>
      </c>
      <c r="G311" s="4" t="s">
        <v>59</v>
      </c>
      <c r="H311" s="4" t="str">
        <f t="shared" si="4"/>
        <v>SJ5219</v>
      </c>
      <c r="I311" s="196">
        <v>213087</v>
      </c>
      <c r="J311" s="722">
        <v>153.30000000000001</v>
      </c>
      <c r="K311" s="196">
        <v>1390</v>
      </c>
      <c r="L311" s="454" t="s">
        <v>899</v>
      </c>
      <c r="M311" s="4" t="s">
        <v>780</v>
      </c>
      <c r="N311" s="133" t="s">
        <v>781</v>
      </c>
      <c r="O311" s="4" t="s">
        <v>933</v>
      </c>
      <c r="P311" s="4" t="s">
        <v>892</v>
      </c>
      <c r="Q311" s="4" t="s">
        <v>934</v>
      </c>
      <c r="R311" s="4" t="s">
        <v>938</v>
      </c>
      <c r="S311" s="4" t="s">
        <v>935</v>
      </c>
      <c r="T311" s="4" t="s">
        <v>786</v>
      </c>
    </row>
    <row r="312" spans="1:20" customFormat="1">
      <c r="A312" s="881"/>
      <c r="B312" s="721" t="s">
        <v>2814</v>
      </c>
      <c r="C312" s="4"/>
      <c r="D312" s="133" t="s">
        <v>670</v>
      </c>
      <c r="E312" s="664" t="str">
        <f>+VLOOKUP(F312,Resumen_Base!$C$8:$G$287,5,0)</f>
        <v>Miscellaneous &amp; Shipping</v>
      </c>
      <c r="F312" s="152" t="s">
        <v>58</v>
      </c>
      <c r="G312" s="4" t="s">
        <v>59</v>
      </c>
      <c r="H312" s="4" t="str">
        <f t="shared" si="4"/>
        <v>SJ5219</v>
      </c>
      <c r="I312" s="196">
        <v>43924</v>
      </c>
      <c r="J312" s="722">
        <v>31.6</v>
      </c>
      <c r="K312" s="196">
        <v>1390</v>
      </c>
      <c r="L312" s="454" t="s">
        <v>899</v>
      </c>
      <c r="M312" s="4" t="s">
        <v>780</v>
      </c>
      <c r="N312" s="133" t="s">
        <v>781</v>
      </c>
      <c r="O312" s="4" t="s">
        <v>933</v>
      </c>
      <c r="P312" s="4" t="s">
        <v>892</v>
      </c>
      <c r="Q312" s="4" t="s">
        <v>934</v>
      </c>
      <c r="R312" s="4" t="s">
        <v>939</v>
      </c>
      <c r="S312" s="4" t="s">
        <v>935</v>
      </c>
      <c r="T312" s="4" t="s">
        <v>786</v>
      </c>
    </row>
    <row r="313" spans="1:20" customFormat="1">
      <c r="A313" s="881"/>
      <c r="B313" s="721" t="s">
        <v>2814</v>
      </c>
      <c r="C313" s="4"/>
      <c r="D313" s="133" t="s">
        <v>670</v>
      </c>
      <c r="E313" s="664" t="str">
        <f>+VLOOKUP(F313,Resumen_Base!$C$8:$G$287,5,0)</f>
        <v>Miscellaneous &amp; Shipping</v>
      </c>
      <c r="F313" s="152" t="s">
        <v>58</v>
      </c>
      <c r="G313" s="4" t="s">
        <v>59</v>
      </c>
      <c r="H313" s="4" t="str">
        <f t="shared" si="4"/>
        <v>SJ5219</v>
      </c>
      <c r="I313" s="196">
        <v>2668.8</v>
      </c>
      <c r="J313" s="722">
        <v>1.92</v>
      </c>
      <c r="K313" s="196">
        <v>1390</v>
      </c>
      <c r="L313" s="454" t="s">
        <v>899</v>
      </c>
      <c r="M313" s="4" t="s">
        <v>780</v>
      </c>
      <c r="N313" s="133" t="s">
        <v>781</v>
      </c>
      <c r="O313" s="4" t="s">
        <v>933</v>
      </c>
      <c r="P313" s="4" t="s">
        <v>892</v>
      </c>
      <c r="Q313" s="4" t="s">
        <v>934</v>
      </c>
      <c r="R313" s="4" t="s">
        <v>942</v>
      </c>
      <c r="S313" s="4" t="s">
        <v>935</v>
      </c>
      <c r="T313" s="4" t="s">
        <v>786</v>
      </c>
    </row>
    <row r="314" spans="1:20" customFormat="1">
      <c r="A314" s="881"/>
      <c r="B314" s="721" t="s">
        <v>2814</v>
      </c>
      <c r="C314" s="4"/>
      <c r="D314" s="133" t="s">
        <v>670</v>
      </c>
      <c r="E314" s="664" t="str">
        <f>+VLOOKUP(F314,Resumen_Base!$C$8:$G$287,5,0)</f>
        <v>Miscellaneous &amp; Shipping</v>
      </c>
      <c r="F314" s="152" t="s">
        <v>58</v>
      </c>
      <c r="G314" s="4" t="s">
        <v>59</v>
      </c>
      <c r="H314" s="4" t="str">
        <f t="shared" si="4"/>
        <v>SJ5219</v>
      </c>
      <c r="I314" s="196">
        <v>1123120</v>
      </c>
      <c r="J314" s="722">
        <v>808</v>
      </c>
      <c r="K314" s="196">
        <v>1390</v>
      </c>
      <c r="L314" s="454" t="s">
        <v>899</v>
      </c>
      <c r="M314" s="4" t="s">
        <v>780</v>
      </c>
      <c r="N314" s="133" t="s">
        <v>781</v>
      </c>
      <c r="O314" s="4" t="s">
        <v>943</v>
      </c>
      <c r="P314" s="4" t="s">
        <v>892</v>
      </c>
      <c r="Q314" s="4" t="s">
        <v>944</v>
      </c>
      <c r="R314" s="4" t="s">
        <v>949</v>
      </c>
      <c r="S314" s="4" t="s">
        <v>946</v>
      </c>
      <c r="T314" s="4" t="s">
        <v>786</v>
      </c>
    </row>
    <row r="315" spans="1:20" customFormat="1">
      <c r="A315" s="881"/>
      <c r="B315" s="721" t="s">
        <v>2814</v>
      </c>
      <c r="C315" s="4"/>
      <c r="D315" s="133" t="s">
        <v>670</v>
      </c>
      <c r="E315" s="664" t="str">
        <f>+VLOOKUP(F315,Resumen_Base!$C$8:$G$287,5,0)</f>
        <v>Miscellaneous &amp; Shipping</v>
      </c>
      <c r="F315" s="152" t="s">
        <v>58</v>
      </c>
      <c r="G315" s="4" t="s">
        <v>59</v>
      </c>
      <c r="H315" s="4" t="str">
        <f t="shared" si="4"/>
        <v>SJ5219</v>
      </c>
      <c r="I315" s="196">
        <v>2641</v>
      </c>
      <c r="J315" s="722">
        <v>1.9</v>
      </c>
      <c r="K315" s="196">
        <v>1390</v>
      </c>
      <c r="L315" s="454" t="s">
        <v>899</v>
      </c>
      <c r="M315" s="4" t="s">
        <v>780</v>
      </c>
      <c r="N315" s="133" t="s">
        <v>781</v>
      </c>
      <c r="O315" s="4" t="s">
        <v>943</v>
      </c>
      <c r="P315" s="4" t="s">
        <v>892</v>
      </c>
      <c r="Q315" s="4" t="s">
        <v>944</v>
      </c>
      <c r="R315" s="4" t="s">
        <v>832</v>
      </c>
      <c r="S315" s="4" t="s">
        <v>946</v>
      </c>
      <c r="T315" s="4" t="s">
        <v>786</v>
      </c>
    </row>
    <row r="316" spans="1:20" customFormat="1">
      <c r="A316" s="881"/>
      <c r="B316" s="721" t="s">
        <v>2814</v>
      </c>
      <c r="C316" s="4"/>
      <c r="D316" s="133" t="s">
        <v>670</v>
      </c>
      <c r="E316" s="664" t="str">
        <f>+VLOOKUP(F316,Resumen_Base!$C$8:$G$287,5,0)</f>
        <v>Miscellaneous &amp; Shipping</v>
      </c>
      <c r="F316" s="152" t="s">
        <v>58</v>
      </c>
      <c r="G316" s="4" t="s">
        <v>59</v>
      </c>
      <c r="H316" s="4" t="str">
        <f t="shared" si="4"/>
        <v>SJ5219</v>
      </c>
      <c r="I316" s="196">
        <v>2641</v>
      </c>
      <c r="J316" s="722">
        <v>1.9</v>
      </c>
      <c r="K316" s="196">
        <v>1390</v>
      </c>
      <c r="L316" s="454" t="s">
        <v>899</v>
      </c>
      <c r="M316" s="4" t="s">
        <v>780</v>
      </c>
      <c r="N316" s="133" t="s">
        <v>781</v>
      </c>
      <c r="O316" s="4" t="s">
        <v>943</v>
      </c>
      <c r="P316" s="4" t="s">
        <v>892</v>
      </c>
      <c r="Q316" s="4" t="s">
        <v>944</v>
      </c>
      <c r="R316" s="4" t="s">
        <v>945</v>
      </c>
      <c r="S316" s="4" t="s">
        <v>946</v>
      </c>
      <c r="T316" s="4" t="s">
        <v>786</v>
      </c>
    </row>
    <row r="317" spans="1:20" customFormat="1">
      <c r="A317" s="881"/>
      <c r="B317" s="721" t="s">
        <v>2814</v>
      </c>
      <c r="C317" s="4"/>
      <c r="D317" s="133" t="s">
        <v>670</v>
      </c>
      <c r="E317" s="664" t="str">
        <f>+VLOOKUP(F317,Resumen_Base!$C$8:$G$287,5,0)</f>
        <v>Miscellaneous &amp; Shipping</v>
      </c>
      <c r="F317" s="152" t="s">
        <v>58</v>
      </c>
      <c r="G317" s="4" t="s">
        <v>59</v>
      </c>
      <c r="H317" s="4" t="str">
        <f t="shared" si="4"/>
        <v>SJ5219</v>
      </c>
      <c r="I317" s="196">
        <v>796470</v>
      </c>
      <c r="J317" s="722">
        <v>573</v>
      </c>
      <c r="K317" s="196">
        <v>1390</v>
      </c>
      <c r="L317" s="454" t="s">
        <v>899</v>
      </c>
      <c r="M317" s="4" t="s">
        <v>780</v>
      </c>
      <c r="N317" s="133" t="s">
        <v>781</v>
      </c>
      <c r="O317" s="4" t="s">
        <v>943</v>
      </c>
      <c r="P317" s="4" t="s">
        <v>892</v>
      </c>
      <c r="Q317" s="4" t="s">
        <v>944</v>
      </c>
      <c r="R317" s="4" t="s">
        <v>947</v>
      </c>
      <c r="S317" s="4" t="s">
        <v>946</v>
      </c>
      <c r="T317" s="4" t="s">
        <v>786</v>
      </c>
    </row>
    <row r="318" spans="1:20" customFormat="1">
      <c r="A318" s="881"/>
      <c r="B318" s="721" t="s">
        <v>2814</v>
      </c>
      <c r="C318" s="4"/>
      <c r="D318" s="133" t="s">
        <v>670</v>
      </c>
      <c r="E318" s="664" t="str">
        <f>+VLOOKUP(F318,Resumen_Base!$C$8:$G$287,5,0)</f>
        <v>Miscellaneous &amp; Shipping</v>
      </c>
      <c r="F318" s="152" t="s">
        <v>58</v>
      </c>
      <c r="G318" s="4" t="s">
        <v>59</v>
      </c>
      <c r="H318" s="4" t="str">
        <f t="shared" si="4"/>
        <v>SJ5219</v>
      </c>
      <c r="I318" s="196">
        <v>-2630.4</v>
      </c>
      <c r="J318" s="722">
        <v>-1.92</v>
      </c>
      <c r="K318" s="196">
        <v>1370</v>
      </c>
      <c r="L318" s="454" t="s">
        <v>899</v>
      </c>
      <c r="M318" s="4"/>
      <c r="N318" s="133" t="s">
        <v>781</v>
      </c>
      <c r="O318" s="4"/>
      <c r="P318" s="4" t="s">
        <v>1032</v>
      </c>
      <c r="Q318" s="4" t="s">
        <v>1036</v>
      </c>
      <c r="R318" s="4"/>
      <c r="S318" s="4" t="s">
        <v>1034</v>
      </c>
      <c r="T318" s="4" t="s">
        <v>786</v>
      </c>
    </row>
    <row r="319" spans="1:20" customFormat="1">
      <c r="A319" s="881"/>
      <c r="B319" s="721" t="s">
        <v>2814</v>
      </c>
      <c r="C319" s="4"/>
      <c r="D319" s="133" t="s">
        <v>670</v>
      </c>
      <c r="E319" s="664" t="str">
        <f>+VLOOKUP(F319,Resumen_Base!$C$8:$G$287,5,0)</f>
        <v>Miscellaneous &amp; Shipping</v>
      </c>
      <c r="F319" s="152" t="s">
        <v>58</v>
      </c>
      <c r="G319" s="4" t="s">
        <v>59</v>
      </c>
      <c r="H319" s="4" t="str">
        <f t="shared" si="4"/>
        <v>SJ5219</v>
      </c>
      <c r="I319" s="196">
        <v>-43292</v>
      </c>
      <c r="J319" s="722">
        <v>-31.6</v>
      </c>
      <c r="K319" s="196">
        <v>1370</v>
      </c>
      <c r="L319" s="454" t="s">
        <v>899</v>
      </c>
      <c r="M319" s="4"/>
      <c r="N319" s="133" t="s">
        <v>781</v>
      </c>
      <c r="O319" s="4"/>
      <c r="P319" s="4" t="s">
        <v>1032</v>
      </c>
      <c r="Q319" s="4" t="s">
        <v>1033</v>
      </c>
      <c r="R319" s="4"/>
      <c r="S319" s="4" t="s">
        <v>1034</v>
      </c>
      <c r="T319" s="4" t="s">
        <v>786</v>
      </c>
    </row>
    <row r="320" spans="1:20" customFormat="1">
      <c r="A320" s="881"/>
      <c r="B320" s="721" t="s">
        <v>2814</v>
      </c>
      <c r="C320" s="4"/>
      <c r="D320" s="133" t="s">
        <v>670</v>
      </c>
      <c r="E320" s="664" t="str">
        <f>+VLOOKUP(F320,Resumen_Base!$C$8:$G$287,5,0)</f>
        <v>Miscellaneous &amp; Shipping</v>
      </c>
      <c r="F320" s="152" t="s">
        <v>58</v>
      </c>
      <c r="G320" s="4" t="s">
        <v>59</v>
      </c>
      <c r="H320" s="4" t="str">
        <f t="shared" si="4"/>
        <v>SJ5219</v>
      </c>
      <c r="I320" s="196">
        <v>-2630.4</v>
      </c>
      <c r="J320" s="722">
        <v>-1.92</v>
      </c>
      <c r="K320" s="196">
        <v>1370</v>
      </c>
      <c r="L320" s="454" t="s">
        <v>899</v>
      </c>
      <c r="M320" s="4"/>
      <c r="N320" s="133" t="s">
        <v>781</v>
      </c>
      <c r="O320" s="4"/>
      <c r="P320" s="4" t="s">
        <v>1032</v>
      </c>
      <c r="Q320" s="4" t="s">
        <v>1035</v>
      </c>
      <c r="R320" s="4"/>
      <c r="S320" s="4" t="s">
        <v>1034</v>
      </c>
      <c r="T320" s="4" t="s">
        <v>786</v>
      </c>
    </row>
    <row r="321" spans="1:20" customFormat="1">
      <c r="A321" s="881"/>
      <c r="B321" s="721" t="s">
        <v>2814</v>
      </c>
      <c r="C321" s="4"/>
      <c r="D321" s="133" t="s">
        <v>670</v>
      </c>
      <c r="E321" s="664" t="str">
        <f>+VLOOKUP(F321,Resumen_Base!$C$8:$G$287,5,0)</f>
        <v>Miscellaneous &amp; Shipping</v>
      </c>
      <c r="F321" s="152" t="s">
        <v>58</v>
      </c>
      <c r="G321" s="4" t="s">
        <v>59</v>
      </c>
      <c r="H321" s="4" t="str">
        <f t="shared" si="4"/>
        <v>SJ5219</v>
      </c>
      <c r="I321" s="196">
        <v>-210021</v>
      </c>
      <c r="J321" s="722">
        <v>-153.30000000000001</v>
      </c>
      <c r="K321" s="196">
        <v>1370</v>
      </c>
      <c r="L321" s="454" t="s">
        <v>899</v>
      </c>
      <c r="M321" s="4"/>
      <c r="N321" s="133" t="s">
        <v>781</v>
      </c>
      <c r="O321" s="4"/>
      <c r="P321" s="4" t="s">
        <v>1032</v>
      </c>
      <c r="Q321" s="4" t="s">
        <v>1037</v>
      </c>
      <c r="R321" s="4"/>
      <c r="S321" s="4" t="s">
        <v>1034</v>
      </c>
      <c r="T321" s="4" t="s">
        <v>786</v>
      </c>
    </row>
    <row r="322" spans="1:20" customFormat="1">
      <c r="A322" s="881"/>
      <c r="B322" s="721" t="s">
        <v>2814</v>
      </c>
      <c r="C322" s="4"/>
      <c r="D322" s="133" t="s">
        <v>670</v>
      </c>
      <c r="E322" s="664" t="str">
        <f>+VLOOKUP(F322,Resumen_Base!$C$8:$G$287,5,0)</f>
        <v>Miscellaneous &amp; Shipping</v>
      </c>
      <c r="F322" s="152" t="s">
        <v>58</v>
      </c>
      <c r="G322" s="4" t="s">
        <v>59</v>
      </c>
      <c r="H322" s="4" t="str">
        <f t="shared" si="4"/>
        <v>SJ5219</v>
      </c>
      <c r="I322" s="196">
        <v>-2603</v>
      </c>
      <c r="J322" s="722">
        <v>-1.9</v>
      </c>
      <c r="K322" s="196">
        <v>1370</v>
      </c>
      <c r="L322" s="454" t="s">
        <v>899</v>
      </c>
      <c r="M322" s="4"/>
      <c r="N322" s="133" t="s">
        <v>781</v>
      </c>
      <c r="O322" s="4"/>
      <c r="P322" s="4" t="s">
        <v>1032</v>
      </c>
      <c r="Q322" s="4" t="s">
        <v>1035</v>
      </c>
      <c r="R322" s="4"/>
      <c r="S322" s="4" t="s">
        <v>1034</v>
      </c>
      <c r="T322" s="4" t="s">
        <v>786</v>
      </c>
    </row>
    <row r="323" spans="1:20" customFormat="1">
      <c r="A323" s="881"/>
      <c r="B323" s="721" t="s">
        <v>2814</v>
      </c>
      <c r="C323" s="4"/>
      <c r="D323" s="133" t="s">
        <v>670</v>
      </c>
      <c r="E323" s="664" t="str">
        <f>+VLOOKUP(F323,Resumen_Base!$C$8:$G$287,5,0)</f>
        <v>Miscellaneous &amp; Shipping</v>
      </c>
      <c r="F323" s="152" t="s">
        <v>58</v>
      </c>
      <c r="G323" s="4" t="s">
        <v>59</v>
      </c>
      <c r="H323" s="4" t="str">
        <f t="shared" si="4"/>
        <v>SJ5219</v>
      </c>
      <c r="I323" s="196">
        <v>-785010</v>
      </c>
      <c r="J323" s="722">
        <v>-573</v>
      </c>
      <c r="K323" s="196">
        <v>1370</v>
      </c>
      <c r="L323" s="454" t="s">
        <v>899</v>
      </c>
      <c r="M323" s="4"/>
      <c r="N323" s="133" t="s">
        <v>781</v>
      </c>
      <c r="O323" s="4"/>
      <c r="P323" s="4" t="s">
        <v>1032</v>
      </c>
      <c r="Q323" s="4" t="s">
        <v>1038</v>
      </c>
      <c r="R323" s="4"/>
      <c r="S323" s="4" t="s">
        <v>1034</v>
      </c>
      <c r="T323" s="4" t="s">
        <v>786</v>
      </c>
    </row>
    <row r="324" spans="1:20" customFormat="1">
      <c r="A324" s="881"/>
      <c r="B324" s="721" t="s">
        <v>2814</v>
      </c>
      <c r="C324" s="4"/>
      <c r="D324" s="133" t="s">
        <v>670</v>
      </c>
      <c r="E324" s="664" t="str">
        <f>+VLOOKUP(F324,Resumen_Base!$C$8:$G$287,5,0)</f>
        <v>Miscellaneous &amp; Shipping</v>
      </c>
      <c r="F324" s="152" t="s">
        <v>58</v>
      </c>
      <c r="G324" s="4" t="s">
        <v>59</v>
      </c>
      <c r="H324" s="4" t="str">
        <f t="shared" si="4"/>
        <v>SJ5219</v>
      </c>
      <c r="I324" s="196">
        <v>-2603</v>
      </c>
      <c r="J324" s="722">
        <v>-1.9</v>
      </c>
      <c r="K324" s="196">
        <v>1370</v>
      </c>
      <c r="L324" s="454" t="s">
        <v>899</v>
      </c>
      <c r="M324" s="4"/>
      <c r="N324" s="133" t="s">
        <v>781</v>
      </c>
      <c r="O324" s="4"/>
      <c r="P324" s="4" t="s">
        <v>1032</v>
      </c>
      <c r="Q324" s="4" t="s">
        <v>1039</v>
      </c>
      <c r="R324" s="4"/>
      <c r="S324" s="4" t="s">
        <v>1034</v>
      </c>
      <c r="T324" s="4" t="s">
        <v>786</v>
      </c>
    </row>
    <row r="325" spans="1:20" customFormat="1">
      <c r="A325" s="881"/>
      <c r="B325" s="721" t="s">
        <v>2814</v>
      </c>
      <c r="C325" s="4"/>
      <c r="D325" s="133" t="s">
        <v>670</v>
      </c>
      <c r="E325" s="664" t="str">
        <f>+VLOOKUP(F325,Resumen_Base!$C$8:$G$287,5,0)</f>
        <v>Miscellaneous &amp; Shipping</v>
      </c>
      <c r="F325" s="152" t="s">
        <v>58</v>
      </c>
      <c r="G325" s="4" t="s">
        <v>59</v>
      </c>
      <c r="H325" s="4" t="str">
        <f t="shared" si="4"/>
        <v>SJ5219</v>
      </c>
      <c r="I325" s="196">
        <v>-1106960</v>
      </c>
      <c r="J325" s="722">
        <v>-808</v>
      </c>
      <c r="K325" s="196">
        <v>1370</v>
      </c>
      <c r="L325" s="454" t="s">
        <v>899</v>
      </c>
      <c r="M325" s="4"/>
      <c r="N325" s="133" t="s">
        <v>781</v>
      </c>
      <c r="O325" s="4"/>
      <c r="P325" s="4" t="s">
        <v>1032</v>
      </c>
      <c r="Q325" s="4" t="s">
        <v>1040</v>
      </c>
      <c r="R325" s="4"/>
      <c r="S325" s="4" t="s">
        <v>1034</v>
      </c>
      <c r="T325" s="4" t="s">
        <v>786</v>
      </c>
    </row>
    <row r="326" spans="1:20" customFormat="1">
      <c r="A326" s="10"/>
      <c r="B326" s="4"/>
      <c r="C326" s="4"/>
      <c r="D326" s="133" t="s">
        <v>676</v>
      </c>
      <c r="E326" s="664" t="str">
        <f>+VLOOKUP(F326,Resumen_Base!$C$8:$G$287,5,0)</f>
        <v>Miscellaneous &amp; Shipping</v>
      </c>
      <c r="F326" s="152" t="s">
        <v>58</v>
      </c>
      <c r="G326" s="4" t="s">
        <v>59</v>
      </c>
      <c r="H326" s="4" t="str">
        <f t="shared" si="4"/>
        <v>CAR5219</v>
      </c>
      <c r="I326" s="196">
        <v>14706.2</v>
      </c>
      <c r="J326" s="196">
        <v>10.58</v>
      </c>
      <c r="K326" s="196">
        <v>1390</v>
      </c>
      <c r="L326" s="454" t="s">
        <v>899</v>
      </c>
      <c r="M326" s="4" t="s">
        <v>780</v>
      </c>
      <c r="N326" s="133" t="s">
        <v>1407</v>
      </c>
      <c r="O326" s="4" t="s">
        <v>1620</v>
      </c>
      <c r="P326" s="4" t="s">
        <v>892</v>
      </c>
      <c r="Q326" s="4" t="s">
        <v>1621</v>
      </c>
      <c r="R326" s="4" t="s">
        <v>1622</v>
      </c>
      <c r="S326" s="4" t="s">
        <v>1623</v>
      </c>
      <c r="T326" s="4" t="s">
        <v>786</v>
      </c>
    </row>
    <row r="327" spans="1:20" customFormat="1">
      <c r="A327" s="10"/>
      <c r="B327" s="4"/>
      <c r="C327" s="4"/>
      <c r="D327" s="133" t="s">
        <v>676</v>
      </c>
      <c r="E327" s="664" t="str">
        <f>+VLOOKUP(F327,Resumen_Base!$C$8:$G$287,5,0)</f>
        <v>Miscellaneous &amp; Shipping</v>
      </c>
      <c r="F327" s="152" t="s">
        <v>58</v>
      </c>
      <c r="G327" s="4" t="s">
        <v>59</v>
      </c>
      <c r="H327" s="4" t="str">
        <f t="shared" si="4"/>
        <v>CAR5219</v>
      </c>
      <c r="I327" s="196">
        <v>11189.6</v>
      </c>
      <c r="J327" s="196">
        <v>7.88</v>
      </c>
      <c r="K327" s="196">
        <v>1420</v>
      </c>
      <c r="L327" s="454" t="s">
        <v>899</v>
      </c>
      <c r="M327" s="4" t="s">
        <v>780</v>
      </c>
      <c r="N327" s="133" t="s">
        <v>1407</v>
      </c>
      <c r="O327" s="4" t="s">
        <v>1620</v>
      </c>
      <c r="P327" s="4" t="s">
        <v>892</v>
      </c>
      <c r="Q327" s="4" t="s">
        <v>1621</v>
      </c>
      <c r="R327" s="4" t="s">
        <v>1681</v>
      </c>
      <c r="S327" s="4" t="s">
        <v>1623</v>
      </c>
      <c r="T327" s="4" t="s">
        <v>786</v>
      </c>
    </row>
    <row r="328" spans="1:20" customFormat="1">
      <c r="A328" s="10"/>
      <c r="B328" s="4"/>
      <c r="C328" s="4"/>
      <c r="D328" s="133" t="s">
        <v>676</v>
      </c>
      <c r="E328" s="664" t="str">
        <f>+VLOOKUP(F328,Resumen_Base!$C$8:$G$287,5,0)</f>
        <v>Miscellaneous &amp; Shipping</v>
      </c>
      <c r="F328" s="152" t="s">
        <v>58</v>
      </c>
      <c r="G328" s="4" t="s">
        <v>59</v>
      </c>
      <c r="H328" s="4" t="str">
        <f t="shared" si="4"/>
        <v>CAR5219</v>
      </c>
      <c r="I328" s="196">
        <v>2668.8</v>
      </c>
      <c r="J328" s="196">
        <v>1.92</v>
      </c>
      <c r="K328" s="196">
        <v>1390</v>
      </c>
      <c r="L328" s="454" t="s">
        <v>899</v>
      </c>
      <c r="M328" s="4" t="s">
        <v>780</v>
      </c>
      <c r="N328" s="133" t="s">
        <v>1407</v>
      </c>
      <c r="O328" s="4" t="s">
        <v>1749</v>
      </c>
      <c r="P328" s="4" t="s">
        <v>892</v>
      </c>
      <c r="Q328" s="4" t="s">
        <v>1750</v>
      </c>
      <c r="R328" s="4" t="s">
        <v>1462</v>
      </c>
      <c r="S328" s="4" t="s">
        <v>1752</v>
      </c>
      <c r="T328" s="4" t="s">
        <v>786</v>
      </c>
    </row>
    <row r="329" spans="1:20" customFormat="1">
      <c r="A329" s="729"/>
      <c r="B329" s="219"/>
      <c r="C329" s="219"/>
      <c r="D329" s="717" t="s">
        <v>676</v>
      </c>
      <c r="E329" s="375" t="str">
        <f>+VLOOKUP(F329,Resumen_Base!$C$8:$G$287,5,0)</f>
        <v>Miscellaneous &amp; Shipping</v>
      </c>
      <c r="F329" s="360" t="s">
        <v>58</v>
      </c>
      <c r="G329" s="219" t="s">
        <v>59</v>
      </c>
      <c r="H329" s="219" t="str">
        <f t="shared" si="4"/>
        <v>CAR5219</v>
      </c>
      <c r="I329" s="718">
        <v>213087</v>
      </c>
      <c r="J329" s="718">
        <v>153.30000000000001</v>
      </c>
      <c r="K329" s="718">
        <v>1390</v>
      </c>
      <c r="L329" s="719" t="s">
        <v>899</v>
      </c>
      <c r="M329" s="219" t="s">
        <v>780</v>
      </c>
      <c r="N329" s="717" t="s">
        <v>1407</v>
      </c>
      <c r="O329" s="219" t="s">
        <v>1749</v>
      </c>
      <c r="P329" s="219" t="s">
        <v>892</v>
      </c>
      <c r="Q329" s="219" t="s">
        <v>1750</v>
      </c>
      <c r="R329" s="219" t="s">
        <v>1756</v>
      </c>
      <c r="S329" s="219" t="s">
        <v>1752</v>
      </c>
      <c r="T329" s="219" t="s">
        <v>786</v>
      </c>
    </row>
    <row r="330" spans="1:20" customFormat="1">
      <c r="A330" s="729"/>
      <c r="B330" s="219"/>
      <c r="C330" s="219"/>
      <c r="D330" s="717" t="s">
        <v>676</v>
      </c>
      <c r="E330" s="375" t="str">
        <f>+VLOOKUP(F330,Resumen_Base!$C$8:$G$287,5,0)</f>
        <v>Miscellaneous &amp; Shipping</v>
      </c>
      <c r="F330" s="360" t="s">
        <v>58</v>
      </c>
      <c r="G330" s="219" t="s">
        <v>59</v>
      </c>
      <c r="H330" s="219" t="str">
        <f t="shared" si="4"/>
        <v>CAR5219</v>
      </c>
      <c r="I330" s="718">
        <v>1123120</v>
      </c>
      <c r="J330" s="718">
        <v>808</v>
      </c>
      <c r="K330" s="718">
        <v>1390</v>
      </c>
      <c r="L330" s="719" t="s">
        <v>899</v>
      </c>
      <c r="M330" s="219" t="s">
        <v>780</v>
      </c>
      <c r="N330" s="717" t="s">
        <v>1407</v>
      </c>
      <c r="O330" s="219" t="s">
        <v>1759</v>
      </c>
      <c r="P330" s="219" t="s">
        <v>892</v>
      </c>
      <c r="Q330" s="219" t="s">
        <v>1760</v>
      </c>
      <c r="R330" s="219" t="s">
        <v>1762</v>
      </c>
      <c r="S330" s="219" t="s">
        <v>1761</v>
      </c>
      <c r="T330" s="219" t="s">
        <v>786</v>
      </c>
    </row>
    <row r="331" spans="1:20" customFormat="1">
      <c r="A331" s="10"/>
      <c r="B331" s="4"/>
      <c r="C331" s="4"/>
      <c r="D331" s="133" t="s">
        <v>676</v>
      </c>
      <c r="E331" s="664" t="str">
        <f>+VLOOKUP(F331,Resumen_Base!$C$8:$G$287,5,0)</f>
        <v>Miscellaneous &amp; Shipping</v>
      </c>
      <c r="F331" s="152" t="s">
        <v>58</v>
      </c>
      <c r="G331" s="4" t="s">
        <v>59</v>
      </c>
      <c r="H331" s="4" t="str">
        <f t="shared" si="4"/>
        <v>CAR5219</v>
      </c>
      <c r="I331" s="196">
        <v>2641</v>
      </c>
      <c r="J331" s="196">
        <v>1.9</v>
      </c>
      <c r="K331" s="196">
        <v>1390</v>
      </c>
      <c r="L331" s="454" t="s">
        <v>899</v>
      </c>
      <c r="M331" s="4" t="s">
        <v>780</v>
      </c>
      <c r="N331" s="133" t="s">
        <v>1407</v>
      </c>
      <c r="O331" s="4" t="s">
        <v>1759</v>
      </c>
      <c r="P331" s="4" t="s">
        <v>892</v>
      </c>
      <c r="Q331" s="4" t="s">
        <v>1760</v>
      </c>
      <c r="R331" s="4" t="s">
        <v>1456</v>
      </c>
      <c r="S331" s="4" t="s">
        <v>1761</v>
      </c>
      <c r="T331" s="4" t="s">
        <v>786</v>
      </c>
    </row>
    <row r="332" spans="1:20" customFormat="1">
      <c r="A332" s="10"/>
      <c r="B332" s="4"/>
      <c r="C332" s="4"/>
      <c r="D332" s="133" t="s">
        <v>676</v>
      </c>
      <c r="E332" s="664" t="str">
        <f>+VLOOKUP(F332,Resumen_Base!$C$8:$G$287,5,0)</f>
        <v>Miscellaneous &amp; Shipping</v>
      </c>
      <c r="F332" s="152" t="s">
        <v>58</v>
      </c>
      <c r="G332" s="4" t="s">
        <v>59</v>
      </c>
      <c r="H332" s="4" t="str">
        <f t="shared" ref="H332:H395" si="5">+D332&amp;F332</f>
        <v>CAR5219</v>
      </c>
      <c r="I332" s="196">
        <v>2717</v>
      </c>
      <c r="J332" s="196">
        <v>1.9</v>
      </c>
      <c r="K332" s="196">
        <v>1430</v>
      </c>
      <c r="L332" s="454" t="s">
        <v>890</v>
      </c>
      <c r="M332" s="4" t="s">
        <v>780</v>
      </c>
      <c r="N332" s="133" t="s">
        <v>1407</v>
      </c>
      <c r="O332" s="4" t="s">
        <v>1789</v>
      </c>
      <c r="P332" s="4" t="s">
        <v>892</v>
      </c>
      <c r="Q332" s="4" t="s">
        <v>1790</v>
      </c>
      <c r="R332" s="4" t="s">
        <v>1456</v>
      </c>
      <c r="S332" s="4" t="s">
        <v>1792</v>
      </c>
      <c r="T332" s="4" t="s">
        <v>786</v>
      </c>
    </row>
    <row r="333" spans="1:20" customFormat="1">
      <c r="A333" s="729"/>
      <c r="B333" s="219"/>
      <c r="C333" s="219"/>
      <c r="D333" s="717" t="s">
        <v>676</v>
      </c>
      <c r="E333" s="375" t="str">
        <f>+VLOOKUP(F333,Resumen_Base!$C$8:$G$287,5,0)</f>
        <v>Miscellaneous &amp; Shipping</v>
      </c>
      <c r="F333" s="360" t="s">
        <v>58</v>
      </c>
      <c r="G333" s="219" t="s">
        <v>59</v>
      </c>
      <c r="H333" s="219" t="str">
        <f t="shared" si="5"/>
        <v>CAR5219</v>
      </c>
      <c r="I333" s="718">
        <v>915200</v>
      </c>
      <c r="J333" s="718">
        <v>640</v>
      </c>
      <c r="K333" s="718">
        <v>1430</v>
      </c>
      <c r="L333" s="719" t="s">
        <v>890</v>
      </c>
      <c r="M333" s="219" t="s">
        <v>780</v>
      </c>
      <c r="N333" s="717" t="s">
        <v>1407</v>
      </c>
      <c r="O333" s="219" t="s">
        <v>1789</v>
      </c>
      <c r="P333" s="219" t="s">
        <v>892</v>
      </c>
      <c r="Q333" s="219" t="s">
        <v>1790</v>
      </c>
      <c r="R333" s="219" t="s">
        <v>1796</v>
      </c>
      <c r="S333" s="219" t="s">
        <v>1792</v>
      </c>
      <c r="T333" s="219" t="s">
        <v>786</v>
      </c>
    </row>
    <row r="334" spans="1:20" customFormat="1">
      <c r="A334" s="736" t="s">
        <v>3391</v>
      </c>
      <c r="B334" s="361" t="s">
        <v>3397</v>
      </c>
      <c r="C334" s="4"/>
      <c r="D334" s="133" t="s">
        <v>676</v>
      </c>
      <c r="E334" s="664" t="str">
        <f>+VLOOKUP(F334,Resumen_Base!$C$8:$G$287,5,0)</f>
        <v>Extras</v>
      </c>
      <c r="F334" s="607" t="s">
        <v>337</v>
      </c>
      <c r="G334" s="597" t="s">
        <v>447</v>
      </c>
      <c r="H334" s="4" t="str">
        <f t="shared" si="5"/>
        <v>CAR5285</v>
      </c>
      <c r="I334" s="196">
        <v>12990</v>
      </c>
      <c r="J334" s="196">
        <v>8.66</v>
      </c>
      <c r="K334" s="196">
        <v>1500</v>
      </c>
      <c r="L334" s="454" t="s">
        <v>1017</v>
      </c>
      <c r="M334" s="4" t="s">
        <v>780</v>
      </c>
      <c r="N334" s="133" t="s">
        <v>1407</v>
      </c>
      <c r="O334" s="4" t="s">
        <v>1946</v>
      </c>
      <c r="P334" s="4" t="s">
        <v>892</v>
      </c>
      <c r="Q334" s="4" t="s">
        <v>1947</v>
      </c>
      <c r="R334" s="4" t="s">
        <v>1979</v>
      </c>
      <c r="S334" s="4" t="s">
        <v>1949</v>
      </c>
      <c r="T334" s="4" t="s">
        <v>786</v>
      </c>
    </row>
    <row r="335" spans="1:20" customFormat="1">
      <c r="A335" s="736" t="s">
        <v>3391</v>
      </c>
      <c r="B335" s="361" t="s">
        <v>3397</v>
      </c>
      <c r="C335" s="4"/>
      <c r="D335" s="133" t="s">
        <v>676</v>
      </c>
      <c r="E335" s="664" t="str">
        <f>+VLOOKUP(F335,Resumen_Base!$C$8:$G$287,5,0)</f>
        <v>Extras</v>
      </c>
      <c r="F335" s="607" t="s">
        <v>337</v>
      </c>
      <c r="G335" s="597" t="s">
        <v>447</v>
      </c>
      <c r="H335" s="4" t="str">
        <f t="shared" si="5"/>
        <v>CAR5285</v>
      </c>
      <c r="I335" s="196">
        <v>113385</v>
      </c>
      <c r="J335" s="196">
        <v>75.59</v>
      </c>
      <c r="K335" s="196">
        <v>1500</v>
      </c>
      <c r="L335" s="454" t="s">
        <v>1017</v>
      </c>
      <c r="M335" s="4" t="s">
        <v>780</v>
      </c>
      <c r="N335" s="133" t="s">
        <v>1407</v>
      </c>
      <c r="O335" s="4" t="s">
        <v>1946</v>
      </c>
      <c r="P335" s="4" t="s">
        <v>892</v>
      </c>
      <c r="Q335" s="4" t="s">
        <v>1947</v>
      </c>
      <c r="R335" s="4" t="s">
        <v>1980</v>
      </c>
      <c r="S335" s="4" t="s">
        <v>1949</v>
      </c>
      <c r="T335" s="4" t="s">
        <v>786</v>
      </c>
    </row>
    <row r="336" spans="1:20" customFormat="1">
      <c r="A336" s="736" t="s">
        <v>3391</v>
      </c>
      <c r="B336" s="361" t="s">
        <v>3397</v>
      </c>
      <c r="C336" s="4"/>
      <c r="D336" s="133" t="s">
        <v>676</v>
      </c>
      <c r="E336" s="664" t="str">
        <f>+VLOOKUP(F336,Resumen_Base!$C$8:$G$287,5,0)</f>
        <v>Extras</v>
      </c>
      <c r="F336" s="607" t="s">
        <v>337</v>
      </c>
      <c r="G336" s="597" t="s">
        <v>447</v>
      </c>
      <c r="H336" s="4" t="str">
        <f t="shared" si="5"/>
        <v>CAR5285</v>
      </c>
      <c r="I336" s="196">
        <v>19080</v>
      </c>
      <c r="J336" s="196">
        <v>12.72</v>
      </c>
      <c r="K336" s="196">
        <v>1500</v>
      </c>
      <c r="L336" s="454" t="s">
        <v>1017</v>
      </c>
      <c r="M336" s="4" t="s">
        <v>780</v>
      </c>
      <c r="N336" s="133" t="s">
        <v>1407</v>
      </c>
      <c r="O336" s="4" t="s">
        <v>1946</v>
      </c>
      <c r="P336" s="4" t="s">
        <v>892</v>
      </c>
      <c r="Q336" s="4" t="s">
        <v>1947</v>
      </c>
      <c r="R336" s="4" t="s">
        <v>1981</v>
      </c>
      <c r="S336" s="4" t="s">
        <v>1949</v>
      </c>
      <c r="T336" s="4" t="s">
        <v>786</v>
      </c>
    </row>
    <row r="337" spans="1:20" customFormat="1">
      <c r="A337" s="736" t="s">
        <v>3391</v>
      </c>
      <c r="B337" s="361" t="s">
        <v>3397</v>
      </c>
      <c r="C337" s="4"/>
      <c r="D337" s="133" t="s">
        <v>676</v>
      </c>
      <c r="E337" s="664" t="str">
        <f>+VLOOKUP(F337,Resumen_Base!$C$8:$G$287,5,0)</f>
        <v>Extras</v>
      </c>
      <c r="F337" s="607" t="s">
        <v>337</v>
      </c>
      <c r="G337" s="597" t="s">
        <v>447</v>
      </c>
      <c r="H337" s="4" t="str">
        <f t="shared" si="5"/>
        <v>CAR5285</v>
      </c>
      <c r="I337" s="196">
        <v>38535</v>
      </c>
      <c r="J337" s="196">
        <v>25.69</v>
      </c>
      <c r="K337" s="196">
        <v>1500</v>
      </c>
      <c r="L337" s="454" t="s">
        <v>1017</v>
      </c>
      <c r="M337" s="4" t="s">
        <v>780</v>
      </c>
      <c r="N337" s="133" t="s">
        <v>1407</v>
      </c>
      <c r="O337" s="4" t="s">
        <v>1946</v>
      </c>
      <c r="P337" s="4" t="s">
        <v>892</v>
      </c>
      <c r="Q337" s="4" t="s">
        <v>1947</v>
      </c>
      <c r="R337" s="4" t="s">
        <v>1982</v>
      </c>
      <c r="S337" s="4" t="s">
        <v>1949</v>
      </c>
      <c r="T337" s="4" t="s">
        <v>786</v>
      </c>
    </row>
    <row r="338" spans="1:20" customFormat="1">
      <c r="A338" s="736" t="s">
        <v>3391</v>
      </c>
      <c r="B338" s="361" t="s">
        <v>3397</v>
      </c>
      <c r="C338" s="4"/>
      <c r="D338" s="133" t="s">
        <v>676</v>
      </c>
      <c r="E338" s="664" t="str">
        <f>+VLOOKUP(F338,Resumen_Base!$C$8:$G$287,5,0)</f>
        <v>Extras</v>
      </c>
      <c r="F338" s="607" t="s">
        <v>337</v>
      </c>
      <c r="G338" s="597" t="s">
        <v>447</v>
      </c>
      <c r="H338" s="4" t="str">
        <f t="shared" si="5"/>
        <v>CAR5285</v>
      </c>
      <c r="I338" s="196">
        <v>49350</v>
      </c>
      <c r="J338" s="196">
        <v>32.9</v>
      </c>
      <c r="K338" s="196">
        <v>1500</v>
      </c>
      <c r="L338" s="454" t="s">
        <v>1017</v>
      </c>
      <c r="M338" s="4" t="s">
        <v>780</v>
      </c>
      <c r="N338" s="133" t="s">
        <v>1407</v>
      </c>
      <c r="O338" s="4" t="s">
        <v>1946</v>
      </c>
      <c r="P338" s="4" t="s">
        <v>892</v>
      </c>
      <c r="Q338" s="4" t="s">
        <v>1947</v>
      </c>
      <c r="R338" s="4" t="s">
        <v>1983</v>
      </c>
      <c r="S338" s="4" t="s">
        <v>1949</v>
      </c>
      <c r="T338" s="4" t="s">
        <v>786</v>
      </c>
    </row>
    <row r="339" spans="1:20" customFormat="1">
      <c r="A339" s="729"/>
      <c r="B339" s="219"/>
      <c r="C339" s="219"/>
      <c r="D339" s="717" t="s">
        <v>676</v>
      </c>
      <c r="E339" s="375" t="str">
        <f>+VLOOKUP(F339,Resumen_Base!$C$8:$G$287,5,0)</f>
        <v>Miscellaneous &amp; Shipping</v>
      </c>
      <c r="F339" s="360" t="s">
        <v>58</v>
      </c>
      <c r="G339" s="219" t="s">
        <v>59</v>
      </c>
      <c r="H339" s="219" t="str">
        <f t="shared" si="5"/>
        <v>CAR5219</v>
      </c>
      <c r="I339" s="718">
        <v>-2630.4</v>
      </c>
      <c r="J339" s="718">
        <v>-1.92</v>
      </c>
      <c r="K339" s="718">
        <v>1370</v>
      </c>
      <c r="L339" s="719" t="s">
        <v>899</v>
      </c>
      <c r="M339" s="219"/>
      <c r="N339" s="717" t="s">
        <v>1407</v>
      </c>
      <c r="O339" s="219"/>
      <c r="P339" s="219" t="s">
        <v>1032</v>
      </c>
      <c r="Q339" s="219" t="s">
        <v>2091</v>
      </c>
      <c r="R339" s="219"/>
      <c r="S339" s="219" t="s">
        <v>1034</v>
      </c>
      <c r="T339" s="219" t="s">
        <v>786</v>
      </c>
    </row>
    <row r="340" spans="1:20" customFormat="1">
      <c r="A340" s="729"/>
      <c r="B340" s="219"/>
      <c r="C340" s="219"/>
      <c r="D340" s="717" t="s">
        <v>676</v>
      </c>
      <c r="E340" s="375" t="str">
        <f>+VLOOKUP(F340,Resumen_Base!$C$8:$G$287,5,0)</f>
        <v>Miscellaneous &amp; Shipping</v>
      </c>
      <c r="F340" s="360" t="s">
        <v>58</v>
      </c>
      <c r="G340" s="219" t="s">
        <v>59</v>
      </c>
      <c r="H340" s="219" t="str">
        <f t="shared" si="5"/>
        <v>CAR5219</v>
      </c>
      <c r="I340" s="718">
        <v>-210021</v>
      </c>
      <c r="J340" s="718">
        <v>-153.30000000000001</v>
      </c>
      <c r="K340" s="718">
        <v>1370</v>
      </c>
      <c r="L340" s="719" t="s">
        <v>899</v>
      </c>
      <c r="M340" s="219"/>
      <c r="N340" s="717" t="s">
        <v>1407</v>
      </c>
      <c r="O340" s="219"/>
      <c r="P340" s="219" t="s">
        <v>1032</v>
      </c>
      <c r="Q340" s="219" t="s">
        <v>2092</v>
      </c>
      <c r="R340" s="219"/>
      <c r="S340" s="219" t="s">
        <v>1034</v>
      </c>
      <c r="T340" s="219" t="s">
        <v>786</v>
      </c>
    </row>
    <row r="341" spans="1:20" customFormat="1">
      <c r="A341" s="729"/>
      <c r="B341" s="219"/>
      <c r="C341" s="219"/>
      <c r="D341" s="717" t="s">
        <v>676</v>
      </c>
      <c r="E341" s="375" t="str">
        <f>+VLOOKUP(F341,Resumen_Base!$C$8:$G$287,5,0)</f>
        <v>Miscellaneous &amp; Shipping</v>
      </c>
      <c r="F341" s="360" t="s">
        <v>58</v>
      </c>
      <c r="G341" s="219" t="s">
        <v>59</v>
      </c>
      <c r="H341" s="219" t="str">
        <f t="shared" si="5"/>
        <v>CAR5219</v>
      </c>
      <c r="I341" s="718">
        <v>-2603</v>
      </c>
      <c r="J341" s="718">
        <v>-1.9</v>
      </c>
      <c r="K341" s="718">
        <v>1370</v>
      </c>
      <c r="L341" s="719" t="s">
        <v>899</v>
      </c>
      <c r="M341" s="219"/>
      <c r="N341" s="717" t="s">
        <v>1407</v>
      </c>
      <c r="O341" s="219"/>
      <c r="P341" s="219" t="s">
        <v>1032</v>
      </c>
      <c r="Q341" s="219" t="s">
        <v>1035</v>
      </c>
      <c r="R341" s="219"/>
      <c r="S341" s="219" t="s">
        <v>1034</v>
      </c>
      <c r="T341" s="219" t="s">
        <v>786</v>
      </c>
    </row>
    <row r="342" spans="1:20" customFormat="1">
      <c r="A342" s="729"/>
      <c r="B342" s="219"/>
      <c r="C342" s="219"/>
      <c r="D342" s="717" t="s">
        <v>676</v>
      </c>
      <c r="E342" s="375" t="str">
        <f>+VLOOKUP(F342,Resumen_Base!$C$8:$G$287,5,0)</f>
        <v>Miscellaneous &amp; Shipping</v>
      </c>
      <c r="F342" s="360" t="s">
        <v>58</v>
      </c>
      <c r="G342" s="219" t="s">
        <v>59</v>
      </c>
      <c r="H342" s="219" t="str">
        <f t="shared" si="5"/>
        <v>CAR5219</v>
      </c>
      <c r="I342" s="718">
        <v>-1106960</v>
      </c>
      <c r="J342" s="718">
        <v>-808</v>
      </c>
      <c r="K342" s="718">
        <v>1370</v>
      </c>
      <c r="L342" s="719" t="s">
        <v>899</v>
      </c>
      <c r="M342" s="219"/>
      <c r="N342" s="717" t="s">
        <v>1407</v>
      </c>
      <c r="O342" s="219"/>
      <c r="P342" s="219" t="s">
        <v>1032</v>
      </c>
      <c r="Q342" s="219" t="s">
        <v>2093</v>
      </c>
      <c r="R342" s="219"/>
      <c r="S342" s="219" t="s">
        <v>1034</v>
      </c>
      <c r="T342" s="219" t="s">
        <v>786</v>
      </c>
    </row>
    <row r="343" spans="1:20" customFormat="1" ht="25">
      <c r="A343" s="10"/>
      <c r="B343" s="4"/>
      <c r="C343" s="4"/>
      <c r="D343" s="133" t="s">
        <v>676</v>
      </c>
      <c r="E343" s="664" t="str">
        <f>+VLOOKUP(F343,Resumen_Base!$C$8:$G$287,5,0)</f>
        <v>Work uniforms for personnel (employees)</v>
      </c>
      <c r="F343" s="152" t="s">
        <v>60</v>
      </c>
      <c r="G343" s="4" t="s">
        <v>61</v>
      </c>
      <c r="H343" s="4" t="str">
        <f t="shared" si="5"/>
        <v>CAR5220</v>
      </c>
      <c r="I343" s="196">
        <v>68074.8</v>
      </c>
      <c r="J343" s="196">
        <v>47.94</v>
      </c>
      <c r="K343" s="196">
        <v>1420</v>
      </c>
      <c r="L343" s="454" t="s">
        <v>787</v>
      </c>
      <c r="M343" s="4" t="s">
        <v>780</v>
      </c>
      <c r="N343" s="133" t="s">
        <v>1407</v>
      </c>
      <c r="O343" s="4" t="s">
        <v>1446</v>
      </c>
      <c r="P343" s="4" t="s">
        <v>783</v>
      </c>
      <c r="Q343" s="4" t="s">
        <v>1447</v>
      </c>
      <c r="R343" s="4" t="s">
        <v>1448</v>
      </c>
      <c r="S343" s="4" t="s">
        <v>1449</v>
      </c>
      <c r="T343" s="4" t="s">
        <v>786</v>
      </c>
    </row>
    <row r="344" spans="1:20" customFormat="1" ht="25">
      <c r="A344" s="10"/>
      <c r="B344" s="4"/>
      <c r="C344" s="4"/>
      <c r="D344" s="133" t="s">
        <v>676</v>
      </c>
      <c r="E344" s="664" t="str">
        <f>+VLOOKUP(F344,Resumen_Base!$C$8:$G$287,5,0)</f>
        <v>Work uniforms for personnel (employees)</v>
      </c>
      <c r="F344" s="152" t="s">
        <v>60</v>
      </c>
      <c r="G344" s="4" t="s">
        <v>61</v>
      </c>
      <c r="H344" s="4" t="str">
        <f t="shared" si="5"/>
        <v>CAR5220</v>
      </c>
      <c r="I344" s="196">
        <v>71000</v>
      </c>
      <c r="J344" s="196">
        <v>50</v>
      </c>
      <c r="K344" s="196">
        <v>1420</v>
      </c>
      <c r="L344" s="454" t="s">
        <v>787</v>
      </c>
      <c r="M344" s="4" t="s">
        <v>780</v>
      </c>
      <c r="N344" s="133" t="s">
        <v>1407</v>
      </c>
      <c r="O344" s="4" t="s">
        <v>1446</v>
      </c>
      <c r="P344" s="4" t="s">
        <v>783</v>
      </c>
      <c r="Q344" s="4" t="s">
        <v>1447</v>
      </c>
      <c r="R344" s="4" t="s">
        <v>1450</v>
      </c>
      <c r="S344" s="4" t="s">
        <v>1449</v>
      </c>
      <c r="T344" s="4" t="s">
        <v>786</v>
      </c>
    </row>
    <row r="345" spans="1:20" customFormat="1" ht="25">
      <c r="A345" s="10"/>
      <c r="B345" s="4"/>
      <c r="C345" s="4"/>
      <c r="D345" s="133" t="s">
        <v>676</v>
      </c>
      <c r="E345" s="664" t="str">
        <f>+VLOOKUP(F345,Resumen_Base!$C$8:$G$287,5,0)</f>
        <v>Work uniforms for personnel (employees)</v>
      </c>
      <c r="F345" s="152" t="s">
        <v>60</v>
      </c>
      <c r="G345" s="4" t="s">
        <v>61</v>
      </c>
      <c r="H345" s="4" t="str">
        <f t="shared" si="5"/>
        <v>CAR5220</v>
      </c>
      <c r="I345" s="196">
        <v>55402.8</v>
      </c>
      <c r="J345" s="196">
        <v>40.44</v>
      </c>
      <c r="K345" s="196">
        <v>1370</v>
      </c>
      <c r="L345" s="454" t="s">
        <v>787</v>
      </c>
      <c r="M345" s="4" t="s">
        <v>780</v>
      </c>
      <c r="N345" s="133" t="s">
        <v>1407</v>
      </c>
      <c r="O345" s="4" t="s">
        <v>1446</v>
      </c>
      <c r="P345" s="4" t="s">
        <v>783</v>
      </c>
      <c r="Q345" s="4" t="s">
        <v>1447</v>
      </c>
      <c r="R345" s="4" t="s">
        <v>1465</v>
      </c>
      <c r="S345" s="4" t="s">
        <v>1449</v>
      </c>
      <c r="T345" s="4" t="s">
        <v>786</v>
      </c>
    </row>
    <row r="346" spans="1:20" customFormat="1" ht="25">
      <c r="A346" s="10"/>
      <c r="B346" s="4"/>
      <c r="C346" s="4"/>
      <c r="D346" s="133" t="s">
        <v>676</v>
      </c>
      <c r="E346" s="664" t="str">
        <f>+VLOOKUP(F346,Resumen_Base!$C$8:$G$287,5,0)</f>
        <v>Work uniforms for personnel (employees)</v>
      </c>
      <c r="F346" s="152" t="s">
        <v>60</v>
      </c>
      <c r="G346" s="4" t="s">
        <v>61</v>
      </c>
      <c r="H346" s="4" t="str">
        <f t="shared" si="5"/>
        <v>CAR5220</v>
      </c>
      <c r="I346" s="196">
        <v>355000</v>
      </c>
      <c r="J346" s="196">
        <v>250</v>
      </c>
      <c r="K346" s="196">
        <v>1420</v>
      </c>
      <c r="L346" s="454" t="s">
        <v>787</v>
      </c>
      <c r="M346" s="4" t="s">
        <v>780</v>
      </c>
      <c r="N346" s="133" t="s">
        <v>1407</v>
      </c>
      <c r="O346" s="4" t="s">
        <v>1446</v>
      </c>
      <c r="P346" s="4" t="s">
        <v>783</v>
      </c>
      <c r="Q346" s="4" t="s">
        <v>1447</v>
      </c>
      <c r="R346" s="4" t="s">
        <v>1450</v>
      </c>
      <c r="S346" s="4" t="s">
        <v>1449</v>
      </c>
      <c r="T346" s="4" t="s">
        <v>786</v>
      </c>
    </row>
    <row r="347" spans="1:20" customFormat="1" ht="25">
      <c r="A347" s="10"/>
      <c r="B347" s="4"/>
      <c r="C347" s="4"/>
      <c r="D347" s="133" t="s">
        <v>676</v>
      </c>
      <c r="E347" s="664" t="str">
        <f>+VLOOKUP(F347,Resumen_Base!$C$8:$G$287,5,0)</f>
        <v>Work uniforms for personnel (employees)</v>
      </c>
      <c r="F347" s="152" t="s">
        <v>60</v>
      </c>
      <c r="G347" s="4" t="s">
        <v>61</v>
      </c>
      <c r="H347" s="4" t="str">
        <f t="shared" si="5"/>
        <v>CAR5220</v>
      </c>
      <c r="I347" s="196">
        <v>198729</v>
      </c>
      <c r="J347" s="196">
        <v>139.94999999999999</v>
      </c>
      <c r="K347" s="196">
        <v>1420</v>
      </c>
      <c r="L347" s="454" t="s">
        <v>787</v>
      </c>
      <c r="M347" s="4" t="s">
        <v>780</v>
      </c>
      <c r="N347" s="133" t="s">
        <v>1407</v>
      </c>
      <c r="O347" s="4" t="s">
        <v>1490</v>
      </c>
      <c r="P347" s="4" t="s">
        <v>783</v>
      </c>
      <c r="Q347" s="4" t="s">
        <v>1491</v>
      </c>
      <c r="R347" s="4" t="s">
        <v>1525</v>
      </c>
      <c r="S347" s="4" t="s">
        <v>1493</v>
      </c>
      <c r="T347" s="4" t="s">
        <v>786</v>
      </c>
    </row>
    <row r="348" spans="1:20" customFormat="1" ht="25">
      <c r="A348" s="10"/>
      <c r="B348" s="4"/>
      <c r="C348" s="4"/>
      <c r="D348" s="133" t="s">
        <v>676</v>
      </c>
      <c r="E348" s="664" t="str">
        <f>+VLOOKUP(F348,Resumen_Base!$C$8:$G$287,5,0)</f>
        <v>Work uniforms for personnel (employees)</v>
      </c>
      <c r="F348" s="152" t="s">
        <v>60</v>
      </c>
      <c r="G348" s="4" t="s">
        <v>61</v>
      </c>
      <c r="H348" s="4" t="str">
        <f t="shared" si="5"/>
        <v>CAR5220</v>
      </c>
      <c r="I348" s="196">
        <v>55850.2</v>
      </c>
      <c r="J348" s="196">
        <v>40.18</v>
      </c>
      <c r="K348" s="196">
        <v>1390</v>
      </c>
      <c r="L348" s="454" t="s">
        <v>899</v>
      </c>
      <c r="M348" s="4" t="s">
        <v>780</v>
      </c>
      <c r="N348" s="133" t="s">
        <v>1407</v>
      </c>
      <c r="O348" s="4" t="s">
        <v>1620</v>
      </c>
      <c r="P348" s="4" t="s">
        <v>892</v>
      </c>
      <c r="Q348" s="4" t="s">
        <v>1621</v>
      </c>
      <c r="R348" s="4" t="s">
        <v>1651</v>
      </c>
      <c r="S348" s="4" t="s">
        <v>1623</v>
      </c>
      <c r="T348" s="4" t="s">
        <v>786</v>
      </c>
    </row>
    <row r="349" spans="1:20" customFormat="1" ht="25">
      <c r="A349" s="10"/>
      <c r="B349" s="4"/>
      <c r="C349" s="4"/>
      <c r="D349" s="133" t="s">
        <v>676</v>
      </c>
      <c r="E349" s="664" t="str">
        <f>+VLOOKUP(F349,Resumen_Base!$C$8:$G$287,5,0)</f>
        <v>Work uniforms for personnel (employees)</v>
      </c>
      <c r="F349" s="152" t="s">
        <v>60</v>
      </c>
      <c r="G349" s="4" t="s">
        <v>61</v>
      </c>
      <c r="H349" s="4" t="str">
        <f t="shared" si="5"/>
        <v>CAR5220</v>
      </c>
      <c r="I349" s="196">
        <v>52790.400000000001</v>
      </c>
      <c r="J349" s="196">
        <v>37.44</v>
      </c>
      <c r="K349" s="196">
        <v>1410</v>
      </c>
      <c r="L349" s="454" t="s">
        <v>890</v>
      </c>
      <c r="M349" s="4" t="s">
        <v>780</v>
      </c>
      <c r="N349" s="133" t="s">
        <v>1407</v>
      </c>
      <c r="O349" s="4" t="s">
        <v>1789</v>
      </c>
      <c r="P349" s="4" t="s">
        <v>892</v>
      </c>
      <c r="Q349" s="4" t="s">
        <v>1790</v>
      </c>
      <c r="R349" s="4" t="s">
        <v>1795</v>
      </c>
      <c r="S349" s="4" t="s">
        <v>1792</v>
      </c>
      <c r="T349" s="4" t="s">
        <v>786</v>
      </c>
    </row>
    <row r="350" spans="1:20" customFormat="1" ht="25">
      <c r="A350" s="10"/>
      <c r="B350" s="4"/>
      <c r="C350" s="4"/>
      <c r="D350" s="133" t="s">
        <v>676</v>
      </c>
      <c r="E350" s="664" t="str">
        <f>+VLOOKUP(F350,Resumen_Base!$C$8:$G$287,5,0)</f>
        <v>Work uniforms for personnel (employees)</v>
      </c>
      <c r="F350" s="152" t="s">
        <v>60</v>
      </c>
      <c r="G350" s="4" t="s">
        <v>61</v>
      </c>
      <c r="H350" s="4" t="str">
        <f t="shared" si="5"/>
        <v>CAR5220</v>
      </c>
      <c r="I350" s="196">
        <v>484699</v>
      </c>
      <c r="J350" s="196">
        <v>341.337323943662</v>
      </c>
      <c r="K350" s="196">
        <v>1420</v>
      </c>
      <c r="L350" s="454" t="s">
        <v>1210</v>
      </c>
      <c r="M350" s="4" t="s">
        <v>780</v>
      </c>
      <c r="N350" s="133" t="s">
        <v>1407</v>
      </c>
      <c r="O350" s="4" t="s">
        <v>2593</v>
      </c>
      <c r="P350" s="4" t="s">
        <v>892</v>
      </c>
      <c r="Q350" s="4" t="s">
        <v>2594</v>
      </c>
      <c r="R350" s="4" t="s">
        <v>2595</v>
      </c>
      <c r="S350" s="4" t="s">
        <v>2596</v>
      </c>
      <c r="T350" s="4" t="s">
        <v>786</v>
      </c>
    </row>
    <row r="351" spans="1:20" customFormat="1" ht="25">
      <c r="A351" s="10"/>
      <c r="B351" s="4"/>
      <c r="C351" s="4"/>
      <c r="D351" s="133" t="s">
        <v>676</v>
      </c>
      <c r="E351" s="664" t="str">
        <f>+VLOOKUP(F351,Resumen_Base!$C$8:$G$287,5,0)</f>
        <v>Work uniforms for personnel (employees)</v>
      </c>
      <c r="F351" s="152" t="s">
        <v>60</v>
      </c>
      <c r="G351" s="4" t="s">
        <v>61</v>
      </c>
      <c r="H351" s="4" t="str">
        <f t="shared" si="5"/>
        <v>CAR5220</v>
      </c>
      <c r="I351" s="196">
        <v>50402.05</v>
      </c>
      <c r="J351" s="196">
        <v>34.287108843537403</v>
      </c>
      <c r="K351" s="196">
        <v>1470</v>
      </c>
      <c r="L351" s="454" t="s">
        <v>1267</v>
      </c>
      <c r="M351" s="4" t="s">
        <v>780</v>
      </c>
      <c r="N351" s="133" t="s">
        <v>1407</v>
      </c>
      <c r="O351" s="4" t="s">
        <v>2597</v>
      </c>
      <c r="P351" s="4" t="s">
        <v>892</v>
      </c>
      <c r="Q351" s="4" t="s">
        <v>2598</v>
      </c>
      <c r="R351" s="4" t="s">
        <v>2599</v>
      </c>
      <c r="S351" s="4" t="s">
        <v>2600</v>
      </c>
      <c r="T351" s="4" t="s">
        <v>786</v>
      </c>
    </row>
    <row r="352" spans="1:20" customFormat="1" ht="25">
      <c r="A352" s="10"/>
      <c r="B352" s="4"/>
      <c r="C352" s="4"/>
      <c r="D352" s="133" t="s">
        <v>670</v>
      </c>
      <c r="E352" s="664" t="str">
        <f>+VLOOKUP(F352,Resumen_Base!$C$8:$G$287,5,0)</f>
        <v>Licenses / Permits (Fishing and Shooting)</v>
      </c>
      <c r="F352" s="152" t="s">
        <v>62</v>
      </c>
      <c r="G352" s="4" t="s">
        <v>63</v>
      </c>
      <c r="H352" s="4" t="str">
        <f t="shared" si="5"/>
        <v>SJ5221</v>
      </c>
      <c r="I352" s="196">
        <v>139160</v>
      </c>
      <c r="J352" s="196">
        <v>98</v>
      </c>
      <c r="K352" s="196">
        <v>1420</v>
      </c>
      <c r="L352" s="454" t="s">
        <v>1098</v>
      </c>
      <c r="M352" s="4" t="s">
        <v>780</v>
      </c>
      <c r="N352" s="133" t="s">
        <v>781</v>
      </c>
      <c r="O352" s="4" t="s">
        <v>1175</v>
      </c>
      <c r="P352" s="4" t="s">
        <v>892</v>
      </c>
      <c r="Q352" s="4" t="s">
        <v>1176</v>
      </c>
      <c r="R352" s="4" t="s">
        <v>1183</v>
      </c>
      <c r="S352" s="4" t="s">
        <v>1178</v>
      </c>
      <c r="T352" s="4" t="s">
        <v>786</v>
      </c>
    </row>
    <row r="353" spans="1:20" customFormat="1" ht="25">
      <c r="A353" s="10"/>
      <c r="B353" s="4"/>
      <c r="C353" s="4"/>
      <c r="D353" s="133" t="s">
        <v>676</v>
      </c>
      <c r="E353" s="664" t="str">
        <f>+VLOOKUP(F353,Resumen_Base!$C$8:$G$287,5,0)</f>
        <v>Licenses / Permits (Fishing and Shooting)</v>
      </c>
      <c r="F353" s="152" t="s">
        <v>62</v>
      </c>
      <c r="G353" s="4" t="s">
        <v>63</v>
      </c>
      <c r="H353" s="4" t="str">
        <f t="shared" si="5"/>
        <v>CAR5221</v>
      </c>
      <c r="I353" s="196">
        <v>1192800</v>
      </c>
      <c r="J353" s="196">
        <v>840</v>
      </c>
      <c r="K353" s="196">
        <v>1420</v>
      </c>
      <c r="L353" s="454" t="s">
        <v>787</v>
      </c>
      <c r="M353" s="4" t="s">
        <v>780</v>
      </c>
      <c r="N353" s="133" t="s">
        <v>1407</v>
      </c>
      <c r="O353" s="4" t="s">
        <v>1446</v>
      </c>
      <c r="P353" s="4" t="s">
        <v>783</v>
      </c>
      <c r="Q353" s="4" t="s">
        <v>1447</v>
      </c>
      <c r="R353" s="4" t="s">
        <v>1451</v>
      </c>
      <c r="S353" s="4" t="s">
        <v>1449</v>
      </c>
      <c r="T353" s="4" t="s">
        <v>786</v>
      </c>
    </row>
    <row r="354" spans="1:20" customFormat="1" ht="25">
      <c r="A354" s="10"/>
      <c r="B354" s="4"/>
      <c r="C354" s="4"/>
      <c r="D354" s="133" t="s">
        <v>676</v>
      </c>
      <c r="E354" s="664" t="str">
        <f>+VLOOKUP(F354,Resumen_Base!$C$8:$G$287,5,0)</f>
        <v>Licenses / Permits (Fishing and Shooting)</v>
      </c>
      <c r="F354" s="152" t="s">
        <v>62</v>
      </c>
      <c r="G354" s="4" t="s">
        <v>63</v>
      </c>
      <c r="H354" s="4" t="str">
        <f t="shared" si="5"/>
        <v>CAR5221</v>
      </c>
      <c r="I354" s="196">
        <v>19013.8</v>
      </c>
      <c r="J354" s="196">
        <v>13.39</v>
      </c>
      <c r="K354" s="196">
        <v>1420</v>
      </c>
      <c r="L354" s="454" t="s">
        <v>787</v>
      </c>
      <c r="M354" s="4" t="s">
        <v>780</v>
      </c>
      <c r="N354" s="133" t="s">
        <v>1407</v>
      </c>
      <c r="O354" s="4" t="s">
        <v>1490</v>
      </c>
      <c r="P354" s="4" t="s">
        <v>783</v>
      </c>
      <c r="Q354" s="4" t="s">
        <v>1491</v>
      </c>
      <c r="R354" s="4" t="s">
        <v>1492</v>
      </c>
      <c r="S354" s="4" t="s">
        <v>1493</v>
      </c>
      <c r="T354" s="4" t="s">
        <v>786</v>
      </c>
    </row>
    <row r="355" spans="1:20" customFormat="1" ht="25">
      <c r="A355" s="10"/>
      <c r="B355" s="4"/>
      <c r="C355" s="4"/>
      <c r="D355" s="133" t="s">
        <v>676</v>
      </c>
      <c r="E355" s="664" t="str">
        <f>+VLOOKUP(F355,Resumen_Base!$C$8:$G$287,5,0)</f>
        <v>Licenses / Permits (Fishing and Shooting)</v>
      </c>
      <c r="F355" s="152" t="s">
        <v>62</v>
      </c>
      <c r="G355" s="4" t="s">
        <v>63</v>
      </c>
      <c r="H355" s="4" t="str">
        <f t="shared" si="5"/>
        <v>CAR5221</v>
      </c>
      <c r="I355" s="196">
        <v>1086016</v>
      </c>
      <c r="J355" s="196">
        <v>764.8</v>
      </c>
      <c r="K355" s="196">
        <v>1420</v>
      </c>
      <c r="L355" s="454" t="s">
        <v>899</v>
      </c>
      <c r="M355" s="4" t="s">
        <v>780</v>
      </c>
      <c r="N355" s="133" t="s">
        <v>1407</v>
      </c>
      <c r="O355" s="4" t="s">
        <v>1620</v>
      </c>
      <c r="P355" s="4" t="s">
        <v>892</v>
      </c>
      <c r="Q355" s="4" t="s">
        <v>1621</v>
      </c>
      <c r="R355" s="4" t="s">
        <v>1696</v>
      </c>
      <c r="S355" s="4" t="s">
        <v>1623</v>
      </c>
      <c r="T355" s="4" t="s">
        <v>786</v>
      </c>
    </row>
    <row r="356" spans="1:20" customFormat="1" ht="25">
      <c r="A356" s="10"/>
      <c r="B356" s="4"/>
      <c r="C356" s="4"/>
      <c r="D356" s="133" t="s">
        <v>676</v>
      </c>
      <c r="E356" s="664" t="str">
        <f>+VLOOKUP(F356,Resumen_Base!$C$8:$G$287,5,0)</f>
        <v>Licenses / Permits (Fishing and Shooting)</v>
      </c>
      <c r="F356" s="152" t="s">
        <v>62</v>
      </c>
      <c r="G356" s="4" t="s">
        <v>63</v>
      </c>
      <c r="H356" s="4" t="str">
        <f t="shared" si="5"/>
        <v>CAR5221</v>
      </c>
      <c r="I356" s="196">
        <v>1042500</v>
      </c>
      <c r="J356" s="196">
        <v>750</v>
      </c>
      <c r="K356" s="196">
        <v>1390</v>
      </c>
      <c r="L356" s="454" t="s">
        <v>899</v>
      </c>
      <c r="M356" s="4" t="s">
        <v>780</v>
      </c>
      <c r="N356" s="133" t="s">
        <v>1407</v>
      </c>
      <c r="O356" s="4" t="s">
        <v>1620</v>
      </c>
      <c r="P356" s="4" t="s">
        <v>892</v>
      </c>
      <c r="Q356" s="4" t="s">
        <v>1621</v>
      </c>
      <c r="R356" s="4" t="s">
        <v>1654</v>
      </c>
      <c r="S356" s="4" t="s">
        <v>1623</v>
      </c>
      <c r="T356" s="4" t="s">
        <v>786</v>
      </c>
    </row>
    <row r="357" spans="1:20" customFormat="1" ht="25">
      <c r="A357" s="10"/>
      <c r="B357" s="4"/>
      <c r="C357" s="4"/>
      <c r="D357" s="133" t="s">
        <v>676</v>
      </c>
      <c r="E357" s="664" t="str">
        <f>+VLOOKUP(F357,Resumen_Base!$C$8:$G$287,5,0)</f>
        <v>Licenses / Permits (Fishing and Shooting)</v>
      </c>
      <c r="F357" s="152" t="s">
        <v>62</v>
      </c>
      <c r="G357" s="4" t="s">
        <v>63</v>
      </c>
      <c r="H357" s="4" t="str">
        <f t="shared" si="5"/>
        <v>CAR5221</v>
      </c>
      <c r="I357" s="196">
        <v>957070.6</v>
      </c>
      <c r="J357" s="196">
        <v>688.54</v>
      </c>
      <c r="K357" s="196">
        <v>1390</v>
      </c>
      <c r="L357" s="454" t="s">
        <v>899</v>
      </c>
      <c r="M357" s="4" t="s">
        <v>780</v>
      </c>
      <c r="N357" s="133" t="s">
        <v>1407</v>
      </c>
      <c r="O357" s="4" t="s">
        <v>1620</v>
      </c>
      <c r="P357" s="4" t="s">
        <v>892</v>
      </c>
      <c r="Q357" s="4" t="s">
        <v>1621</v>
      </c>
      <c r="R357" s="4" t="s">
        <v>1629</v>
      </c>
      <c r="S357" s="4" t="s">
        <v>1623</v>
      </c>
      <c r="T357" s="4" t="s">
        <v>786</v>
      </c>
    </row>
    <row r="358" spans="1:20" customFormat="1" ht="25">
      <c r="A358" s="10"/>
      <c r="B358" s="4"/>
      <c r="C358" s="4"/>
      <c r="D358" s="133" t="s">
        <v>676</v>
      </c>
      <c r="E358" s="664" t="str">
        <f>+VLOOKUP(F358,Resumen_Base!$C$8:$G$287,5,0)</f>
        <v>Licenses / Permits (Fishing and Shooting)</v>
      </c>
      <c r="F358" s="152" t="s">
        <v>62</v>
      </c>
      <c r="G358" s="4" t="s">
        <v>63</v>
      </c>
      <c r="H358" s="4" t="str">
        <f t="shared" si="5"/>
        <v>CAR5221</v>
      </c>
      <c r="I358" s="196">
        <v>577100.19999999995</v>
      </c>
      <c r="J358" s="196">
        <v>415.18</v>
      </c>
      <c r="K358" s="196">
        <v>1390</v>
      </c>
      <c r="L358" s="454" t="s">
        <v>899</v>
      </c>
      <c r="M358" s="4" t="s">
        <v>780</v>
      </c>
      <c r="N358" s="133" t="s">
        <v>1407</v>
      </c>
      <c r="O358" s="4" t="s">
        <v>1620</v>
      </c>
      <c r="P358" s="4" t="s">
        <v>892</v>
      </c>
      <c r="Q358" s="4" t="s">
        <v>1621</v>
      </c>
      <c r="R358" s="4" t="s">
        <v>1710</v>
      </c>
      <c r="S358" s="4" t="s">
        <v>1623</v>
      </c>
      <c r="T358" s="4" t="s">
        <v>786</v>
      </c>
    </row>
    <row r="359" spans="1:20" customFormat="1" ht="25">
      <c r="A359" s="10"/>
      <c r="B359" s="4"/>
      <c r="C359" s="4"/>
      <c r="D359" s="133" t="s">
        <v>676</v>
      </c>
      <c r="E359" s="664" t="str">
        <f>+VLOOKUP(F359,Resumen_Base!$C$8:$G$287,5,0)</f>
        <v>Licenses / Permits (Fishing and Shooting)</v>
      </c>
      <c r="F359" s="152" t="s">
        <v>62</v>
      </c>
      <c r="G359" s="4" t="s">
        <v>63</v>
      </c>
      <c r="H359" s="4" t="str">
        <f t="shared" si="5"/>
        <v>CAR5221</v>
      </c>
      <c r="I359" s="196">
        <v>2030</v>
      </c>
      <c r="J359" s="196">
        <v>1.45</v>
      </c>
      <c r="K359" s="196">
        <v>1400</v>
      </c>
      <c r="L359" s="454" t="s">
        <v>994</v>
      </c>
      <c r="M359" s="4" t="s">
        <v>780</v>
      </c>
      <c r="N359" s="133" t="s">
        <v>1407</v>
      </c>
      <c r="O359" s="4" t="s">
        <v>1912</v>
      </c>
      <c r="P359" s="4" t="s">
        <v>892</v>
      </c>
      <c r="Q359" s="4" t="s">
        <v>1913</v>
      </c>
      <c r="R359" s="4" t="s">
        <v>1919</v>
      </c>
      <c r="S359" s="4" t="s">
        <v>1914</v>
      </c>
      <c r="T359" s="4" t="s">
        <v>786</v>
      </c>
    </row>
    <row r="360" spans="1:20" customFormat="1" ht="25">
      <c r="A360" s="10"/>
      <c r="B360" s="4"/>
      <c r="C360" s="4"/>
      <c r="D360" s="133" t="s">
        <v>676</v>
      </c>
      <c r="E360" s="664" t="str">
        <f>+VLOOKUP(F360,Resumen_Base!$C$8:$G$287,5,0)</f>
        <v>Licenses / Permits (Fishing and Shooting)</v>
      </c>
      <c r="F360" s="152" t="s">
        <v>62</v>
      </c>
      <c r="G360" s="4" t="s">
        <v>63</v>
      </c>
      <c r="H360" s="4" t="str">
        <f t="shared" si="5"/>
        <v>CAR5221</v>
      </c>
      <c r="I360" s="196">
        <v>895380</v>
      </c>
      <c r="J360" s="196">
        <v>596.91999999999996</v>
      </c>
      <c r="K360" s="196">
        <v>1500</v>
      </c>
      <c r="L360" s="454" t="s">
        <v>1017</v>
      </c>
      <c r="M360" s="4" t="s">
        <v>780</v>
      </c>
      <c r="N360" s="133" t="s">
        <v>1407</v>
      </c>
      <c r="O360" s="4" t="s">
        <v>1946</v>
      </c>
      <c r="P360" s="4" t="s">
        <v>892</v>
      </c>
      <c r="Q360" s="4" t="s">
        <v>1947</v>
      </c>
      <c r="R360" s="4" t="s">
        <v>1978</v>
      </c>
      <c r="S360" s="4" t="s">
        <v>1949</v>
      </c>
      <c r="T360" s="4" t="s">
        <v>786</v>
      </c>
    </row>
    <row r="361" spans="1:20" customFormat="1" ht="25">
      <c r="A361" s="10"/>
      <c r="B361" s="4"/>
      <c r="C361" s="4"/>
      <c r="D361" s="133" t="s">
        <v>676</v>
      </c>
      <c r="E361" s="664" t="str">
        <f>+VLOOKUP(F361,Resumen_Base!$C$8:$G$287,5,0)</f>
        <v>Licenses / Permits (Fishing and Shooting)</v>
      </c>
      <c r="F361" s="152" t="s">
        <v>62</v>
      </c>
      <c r="G361" s="4" t="s">
        <v>63</v>
      </c>
      <c r="H361" s="4" t="str">
        <f t="shared" si="5"/>
        <v>CAR5221</v>
      </c>
      <c r="I361" s="196">
        <v>490000</v>
      </c>
      <c r="J361" s="196">
        <v>350</v>
      </c>
      <c r="K361" s="196">
        <v>1400</v>
      </c>
      <c r="L361" s="454" t="s">
        <v>1017</v>
      </c>
      <c r="M361" s="4" t="s">
        <v>780</v>
      </c>
      <c r="N361" s="133" t="s">
        <v>1407</v>
      </c>
      <c r="O361" s="4" t="s">
        <v>1992</v>
      </c>
      <c r="P361" s="4" t="s">
        <v>892</v>
      </c>
      <c r="Q361" s="4" t="s">
        <v>1993</v>
      </c>
      <c r="R361" s="4" t="s">
        <v>2004</v>
      </c>
      <c r="S361" s="4" t="s">
        <v>1994</v>
      </c>
      <c r="T361" s="4" t="s">
        <v>786</v>
      </c>
    </row>
    <row r="362" spans="1:20" customFormat="1" ht="25">
      <c r="A362" s="10"/>
      <c r="B362" s="4"/>
      <c r="C362" s="4"/>
      <c r="D362" s="133" t="s">
        <v>676</v>
      </c>
      <c r="E362" s="664" t="str">
        <f>+VLOOKUP(F362,Resumen_Base!$C$8:$G$287,5,0)</f>
        <v>Licenses / Permits (Fishing and Shooting)</v>
      </c>
      <c r="F362" s="152" t="s">
        <v>62</v>
      </c>
      <c r="G362" s="4" t="s">
        <v>63</v>
      </c>
      <c r="H362" s="4" t="str">
        <f t="shared" si="5"/>
        <v>CAR5221</v>
      </c>
      <c r="I362" s="196">
        <v>1484854</v>
      </c>
      <c r="J362" s="196">
        <v>1060.6099999999999</v>
      </c>
      <c r="K362" s="196">
        <v>1400</v>
      </c>
      <c r="L362" s="454" t="s">
        <v>1017</v>
      </c>
      <c r="M362" s="4" t="s">
        <v>780</v>
      </c>
      <c r="N362" s="133" t="s">
        <v>1407</v>
      </c>
      <c r="O362" s="4" t="s">
        <v>2006</v>
      </c>
      <c r="P362" s="4" t="s">
        <v>892</v>
      </c>
      <c r="Q362" s="4" t="s">
        <v>2007</v>
      </c>
      <c r="R362" s="4" t="s">
        <v>2008</v>
      </c>
      <c r="S362" s="4" t="s">
        <v>2009</v>
      </c>
      <c r="T362" s="4" t="s">
        <v>786</v>
      </c>
    </row>
    <row r="363" spans="1:20" customFormat="1" ht="25">
      <c r="A363" s="10"/>
      <c r="B363" s="4"/>
      <c r="C363" s="4"/>
      <c r="D363" s="133" t="s">
        <v>676</v>
      </c>
      <c r="E363" s="664" t="str">
        <f>+VLOOKUP(F363,Resumen_Base!$C$8:$G$287,5,0)</f>
        <v>Licenses / Permits (Fishing and Shooting)</v>
      </c>
      <c r="F363" s="152" t="s">
        <v>62</v>
      </c>
      <c r="G363" s="4" t="s">
        <v>63</v>
      </c>
      <c r="H363" s="4" t="str">
        <f t="shared" si="5"/>
        <v>CAR5221</v>
      </c>
      <c r="I363" s="196">
        <v>1617450</v>
      </c>
      <c r="J363" s="196">
        <v>1078.3</v>
      </c>
      <c r="K363" s="196">
        <v>1500</v>
      </c>
      <c r="L363" s="454" t="s">
        <v>1045</v>
      </c>
      <c r="M363" s="4" t="s">
        <v>780</v>
      </c>
      <c r="N363" s="133" t="s">
        <v>1407</v>
      </c>
      <c r="O363" s="4" t="s">
        <v>2214</v>
      </c>
      <c r="P363" s="4" t="s">
        <v>892</v>
      </c>
      <c r="Q363" s="4" t="s">
        <v>2215</v>
      </c>
      <c r="R363" s="4" t="s">
        <v>2216</v>
      </c>
      <c r="S363" s="4" t="s">
        <v>2217</v>
      </c>
      <c r="T363" s="4" t="s">
        <v>786</v>
      </c>
    </row>
    <row r="364" spans="1:20" customFormat="1" ht="25">
      <c r="A364" s="10"/>
      <c r="B364" s="4"/>
      <c r="C364" s="4"/>
      <c r="D364" s="133" t="s">
        <v>676</v>
      </c>
      <c r="E364" s="664" t="str">
        <f>+VLOOKUP(F364,Resumen_Base!$C$8:$G$287,5,0)</f>
        <v>Licenses / Permits (Fishing and Shooting)</v>
      </c>
      <c r="F364" s="152" t="s">
        <v>62</v>
      </c>
      <c r="G364" s="4" t="s">
        <v>63</v>
      </c>
      <c r="H364" s="4" t="str">
        <f t="shared" si="5"/>
        <v>CAR5221</v>
      </c>
      <c r="I364" s="196">
        <v>2774</v>
      </c>
      <c r="J364" s="196">
        <v>1.9</v>
      </c>
      <c r="K364" s="196">
        <v>1460</v>
      </c>
      <c r="L364" s="454" t="s">
        <v>1049</v>
      </c>
      <c r="M364" s="4" t="s">
        <v>780</v>
      </c>
      <c r="N364" s="133" t="s">
        <v>1407</v>
      </c>
      <c r="O364" s="4" t="s">
        <v>2220</v>
      </c>
      <c r="P364" s="4" t="s">
        <v>892</v>
      </c>
      <c r="Q364" s="4" t="s">
        <v>2221</v>
      </c>
      <c r="R364" s="4" t="s">
        <v>1515</v>
      </c>
      <c r="S364" s="4" t="s">
        <v>2223</v>
      </c>
      <c r="T364" s="4" t="s">
        <v>786</v>
      </c>
    </row>
    <row r="365" spans="1:20" customFormat="1" ht="25">
      <c r="A365" s="10"/>
      <c r="B365" s="4"/>
      <c r="C365" s="4"/>
      <c r="D365" s="133" t="s">
        <v>676</v>
      </c>
      <c r="E365" s="664" t="str">
        <f>+VLOOKUP(F365,Resumen_Base!$C$8:$G$287,5,0)</f>
        <v>Licenses / Permits (Fishing and Shooting)</v>
      </c>
      <c r="F365" s="152" t="s">
        <v>62</v>
      </c>
      <c r="G365" s="4" t="s">
        <v>63</v>
      </c>
      <c r="H365" s="4" t="str">
        <f t="shared" si="5"/>
        <v>CAR5221</v>
      </c>
      <c r="I365" s="196">
        <v>356240</v>
      </c>
      <c r="J365" s="196">
        <v>244</v>
      </c>
      <c r="K365" s="196">
        <v>1460</v>
      </c>
      <c r="L365" s="454" t="s">
        <v>1049</v>
      </c>
      <c r="M365" s="4" t="s">
        <v>780</v>
      </c>
      <c r="N365" s="133" t="s">
        <v>1407</v>
      </c>
      <c r="O365" s="4" t="s">
        <v>2220</v>
      </c>
      <c r="P365" s="4" t="s">
        <v>892</v>
      </c>
      <c r="Q365" s="4" t="s">
        <v>2221</v>
      </c>
      <c r="R365" s="4" t="s">
        <v>2232</v>
      </c>
      <c r="S365" s="4" t="s">
        <v>2223</v>
      </c>
      <c r="T365" s="4" t="s">
        <v>786</v>
      </c>
    </row>
    <row r="366" spans="1:20" customFormat="1" ht="25">
      <c r="A366" s="10"/>
      <c r="B366" s="4"/>
      <c r="C366" s="4"/>
      <c r="D366" s="133" t="s">
        <v>676</v>
      </c>
      <c r="E366" s="664" t="str">
        <f>+VLOOKUP(F366,Resumen_Base!$C$8:$G$287,5,0)</f>
        <v>Licenses / Permits (Fishing and Shooting)</v>
      </c>
      <c r="F366" s="152" t="s">
        <v>62</v>
      </c>
      <c r="G366" s="4" t="s">
        <v>63</v>
      </c>
      <c r="H366" s="4" t="str">
        <f t="shared" si="5"/>
        <v>CAR5221</v>
      </c>
      <c r="I366" s="196">
        <v>-681600</v>
      </c>
      <c r="J366" s="196">
        <v>-480</v>
      </c>
      <c r="K366" s="196">
        <v>1420</v>
      </c>
      <c r="L366" s="454" t="s">
        <v>2332</v>
      </c>
      <c r="M366" s="4" t="s">
        <v>780</v>
      </c>
      <c r="N366" s="133" t="s">
        <v>1407</v>
      </c>
      <c r="O366" s="4" t="s">
        <v>2333</v>
      </c>
      <c r="P366" s="4" t="s">
        <v>892</v>
      </c>
      <c r="Q366" s="4" t="s">
        <v>2334</v>
      </c>
      <c r="R366" s="4" t="s">
        <v>2337</v>
      </c>
      <c r="S366" s="4" t="s">
        <v>2336</v>
      </c>
      <c r="T366" s="4" t="s">
        <v>786</v>
      </c>
    </row>
    <row r="367" spans="1:20" customFormat="1" ht="25">
      <c r="A367" s="10"/>
      <c r="B367" s="4"/>
      <c r="C367" s="4"/>
      <c r="D367" s="133" t="s">
        <v>676</v>
      </c>
      <c r="E367" s="664" t="str">
        <f>+VLOOKUP(F367,Resumen_Base!$C$8:$G$287,5,0)</f>
        <v>Licenses / Permits (Fishing and Shooting)</v>
      </c>
      <c r="F367" s="152" t="s">
        <v>62</v>
      </c>
      <c r="G367" s="4" t="s">
        <v>63</v>
      </c>
      <c r="H367" s="4" t="str">
        <f t="shared" si="5"/>
        <v>CAR5221</v>
      </c>
      <c r="I367" s="196">
        <v>681600</v>
      </c>
      <c r="J367" s="196">
        <v>480</v>
      </c>
      <c r="K367" s="196">
        <v>1420</v>
      </c>
      <c r="L367" s="454" t="s">
        <v>2332</v>
      </c>
      <c r="M367" s="4" t="s">
        <v>780</v>
      </c>
      <c r="N367" s="133" t="s">
        <v>1407</v>
      </c>
      <c r="O367" s="4" t="s">
        <v>2436</v>
      </c>
      <c r="P367" s="4" t="s">
        <v>892</v>
      </c>
      <c r="Q367" s="4" t="s">
        <v>2437</v>
      </c>
      <c r="R367" s="4" t="s">
        <v>2337</v>
      </c>
      <c r="S367" s="4" t="s">
        <v>2438</v>
      </c>
      <c r="T367" s="4" t="s">
        <v>786</v>
      </c>
    </row>
    <row r="368" spans="1:20" customFormat="1" ht="25">
      <c r="A368" s="10"/>
      <c r="B368" s="4"/>
      <c r="C368" s="4"/>
      <c r="D368" s="133" t="s">
        <v>676</v>
      </c>
      <c r="E368" s="664" t="str">
        <f>+VLOOKUP(F368,Resumen_Base!$C$8:$G$287,5,0)</f>
        <v>Licenses / Permits (Fishing and Shooting)</v>
      </c>
      <c r="F368" s="152" t="s">
        <v>62</v>
      </c>
      <c r="G368" s="4" t="s">
        <v>63</v>
      </c>
      <c r="H368" s="4" t="str">
        <f t="shared" si="5"/>
        <v>CAR5221</v>
      </c>
      <c r="I368" s="196">
        <v>681600</v>
      </c>
      <c r="J368" s="196">
        <v>480</v>
      </c>
      <c r="K368" s="196">
        <v>1420</v>
      </c>
      <c r="L368" s="454" t="s">
        <v>1093</v>
      </c>
      <c r="M368" s="4" t="s">
        <v>780</v>
      </c>
      <c r="N368" s="133" t="s">
        <v>1407</v>
      </c>
      <c r="O368" s="4" t="s">
        <v>2439</v>
      </c>
      <c r="P368" s="4" t="s">
        <v>892</v>
      </c>
      <c r="Q368" s="4" t="s">
        <v>2440</v>
      </c>
      <c r="R368" s="4" t="s">
        <v>2337</v>
      </c>
      <c r="S368" s="4" t="s">
        <v>2441</v>
      </c>
      <c r="T368" s="4" t="s">
        <v>786</v>
      </c>
    </row>
    <row r="369" spans="1:20" customFormat="1" ht="25">
      <c r="A369" s="10"/>
      <c r="B369" s="4"/>
      <c r="C369" s="4"/>
      <c r="D369" s="133" t="s">
        <v>670</v>
      </c>
      <c r="E369" s="664" t="str">
        <f>+VLOOKUP(F369,Resumen_Base!$C$8:$G$287,5,0)</f>
        <v>Transfer to and from the airport (local taxi) - Vehicle Rental</v>
      </c>
      <c r="F369" s="152" t="s">
        <v>138</v>
      </c>
      <c r="G369" s="4" t="s">
        <v>202</v>
      </c>
      <c r="H369" s="4" t="str">
        <f t="shared" si="5"/>
        <v>SJ5225</v>
      </c>
      <c r="I369" s="196">
        <v>308140</v>
      </c>
      <c r="J369" s="196">
        <v>217</v>
      </c>
      <c r="K369" s="196">
        <v>1420</v>
      </c>
      <c r="L369" s="454" t="s">
        <v>787</v>
      </c>
      <c r="M369" s="4" t="s">
        <v>780</v>
      </c>
      <c r="N369" s="133" t="s">
        <v>781</v>
      </c>
      <c r="O369" s="4" t="s">
        <v>830</v>
      </c>
      <c r="P369" s="4" t="s">
        <v>783</v>
      </c>
      <c r="Q369" s="4" t="s">
        <v>831</v>
      </c>
      <c r="R369" s="4" t="s">
        <v>838</v>
      </c>
      <c r="S369" s="4" t="s">
        <v>833</v>
      </c>
      <c r="T369" s="4" t="s">
        <v>786</v>
      </c>
    </row>
    <row r="370" spans="1:20" customFormat="1" ht="25">
      <c r="A370" s="10"/>
      <c r="B370" s="4"/>
      <c r="C370" s="4"/>
      <c r="D370" s="133" t="s">
        <v>676</v>
      </c>
      <c r="E370" s="664" t="str">
        <f>+VLOOKUP(F370,Resumen_Base!$C$8:$G$287,5,0)</f>
        <v>Transfer to and from the airport (local taxi) - Vehicle Rental</v>
      </c>
      <c r="F370" s="152" t="s">
        <v>138</v>
      </c>
      <c r="G370" s="4" t="s">
        <v>202</v>
      </c>
      <c r="H370" s="4" t="str">
        <f t="shared" si="5"/>
        <v>CAR5225</v>
      </c>
      <c r="I370" s="196">
        <v>18119200</v>
      </c>
      <c r="J370" s="196">
        <v>12760</v>
      </c>
      <c r="K370" s="196">
        <v>1420</v>
      </c>
      <c r="L370" s="454" t="s">
        <v>1135</v>
      </c>
      <c r="M370" s="4" t="s">
        <v>780</v>
      </c>
      <c r="N370" s="133" t="s">
        <v>1407</v>
      </c>
      <c r="O370" s="4" t="s">
        <v>1136</v>
      </c>
      <c r="P370" s="4" t="s">
        <v>892</v>
      </c>
      <c r="Q370" s="4" t="s">
        <v>1137</v>
      </c>
      <c r="R370" s="4" t="s">
        <v>2402</v>
      </c>
      <c r="S370" s="4" t="s">
        <v>1139</v>
      </c>
      <c r="T370" s="4" t="s">
        <v>786</v>
      </c>
    </row>
    <row r="371" spans="1:20" customFormat="1">
      <c r="A371" s="720" t="s">
        <v>2806</v>
      </c>
      <c r="B371" s="330"/>
      <c r="C371" s="330"/>
      <c r="D371" s="203" t="s">
        <v>676</v>
      </c>
      <c r="E371" s="714" t="str">
        <f>+VLOOKUP(F371,Resumen_Base!$C$8:$G$287,5,0)</f>
        <v>Services/House</v>
      </c>
      <c r="F371" s="330" t="s">
        <v>321</v>
      </c>
      <c r="G371" s="330" t="s">
        <v>322</v>
      </c>
      <c r="H371" s="330" t="str">
        <f t="shared" si="5"/>
        <v>CAR5226</v>
      </c>
      <c r="I371" s="715">
        <v>4979940</v>
      </c>
      <c r="J371" s="715">
        <v>3507</v>
      </c>
      <c r="K371" s="715">
        <v>1420</v>
      </c>
      <c r="L371" s="456" t="s">
        <v>1205</v>
      </c>
      <c r="M371" s="330" t="s">
        <v>780</v>
      </c>
      <c r="N371" s="203" t="s">
        <v>781</v>
      </c>
      <c r="O371" s="330" t="s">
        <v>1214</v>
      </c>
      <c r="P371" s="330" t="s">
        <v>892</v>
      </c>
      <c r="Q371" s="330" t="s">
        <v>1215</v>
      </c>
      <c r="R371" s="330" t="s">
        <v>1220</v>
      </c>
      <c r="S371" s="330" t="s">
        <v>1217</v>
      </c>
      <c r="T371" s="330" t="s">
        <v>786</v>
      </c>
    </row>
    <row r="372" spans="1:20" customFormat="1">
      <c r="A372" s="10"/>
      <c r="B372" s="4"/>
      <c r="C372" s="4"/>
      <c r="D372" s="133" t="s">
        <v>676</v>
      </c>
      <c r="E372" s="664" t="str">
        <f>+VLOOKUP(F372,Resumen_Base!$C$8:$G$287,5,0)</f>
        <v>Services/House</v>
      </c>
      <c r="F372" s="152" t="s">
        <v>321</v>
      </c>
      <c r="G372" s="4" t="s">
        <v>322</v>
      </c>
      <c r="H372" s="4" t="str">
        <f t="shared" si="5"/>
        <v>CAR5226</v>
      </c>
      <c r="I372" s="196">
        <v>1168966.2</v>
      </c>
      <c r="J372" s="196">
        <v>853.26</v>
      </c>
      <c r="K372" s="196">
        <v>1370</v>
      </c>
      <c r="L372" s="454" t="s">
        <v>787</v>
      </c>
      <c r="M372" s="4" t="s">
        <v>780</v>
      </c>
      <c r="N372" s="133" t="s">
        <v>1407</v>
      </c>
      <c r="O372" s="4" t="s">
        <v>1446</v>
      </c>
      <c r="P372" s="4" t="s">
        <v>783</v>
      </c>
      <c r="Q372" s="4" t="s">
        <v>1447</v>
      </c>
      <c r="R372" s="4" t="s">
        <v>1452</v>
      </c>
      <c r="S372" s="4" t="s">
        <v>1449</v>
      </c>
      <c r="T372" s="4" t="s">
        <v>786</v>
      </c>
    </row>
    <row r="373" spans="1:20" customFormat="1">
      <c r="A373" s="10"/>
      <c r="B373" s="4"/>
      <c r="C373" s="4"/>
      <c r="D373" s="133" t="s">
        <v>676</v>
      </c>
      <c r="E373" s="664" t="str">
        <f>+VLOOKUP(F373,Resumen_Base!$C$8:$G$287,5,0)</f>
        <v>Services/House</v>
      </c>
      <c r="F373" s="152" t="s">
        <v>321</v>
      </c>
      <c r="G373" s="4" t="s">
        <v>322</v>
      </c>
      <c r="H373" s="4" t="str">
        <f t="shared" si="5"/>
        <v>CAR5226</v>
      </c>
      <c r="I373" s="196">
        <v>1191187.6000000001</v>
      </c>
      <c r="J373" s="196">
        <v>869.48</v>
      </c>
      <c r="K373" s="196">
        <v>1370</v>
      </c>
      <c r="L373" s="454" t="s">
        <v>787</v>
      </c>
      <c r="M373" s="4" t="s">
        <v>780</v>
      </c>
      <c r="N373" s="133" t="s">
        <v>1407</v>
      </c>
      <c r="O373" s="4" t="s">
        <v>1446</v>
      </c>
      <c r="P373" s="4" t="s">
        <v>783</v>
      </c>
      <c r="Q373" s="4" t="s">
        <v>1447</v>
      </c>
      <c r="R373" s="4" t="s">
        <v>1453</v>
      </c>
      <c r="S373" s="4" t="s">
        <v>1449</v>
      </c>
      <c r="T373" s="4" t="s">
        <v>786</v>
      </c>
    </row>
    <row r="374" spans="1:20" customFormat="1">
      <c r="A374" s="10"/>
      <c r="B374" s="4"/>
      <c r="C374" s="4"/>
      <c r="D374" s="133" t="s">
        <v>676</v>
      </c>
      <c r="E374" s="664" t="str">
        <f>+VLOOKUP(F374,Resumen_Base!$C$8:$G$287,5,0)</f>
        <v>Services/House</v>
      </c>
      <c r="F374" s="152" t="s">
        <v>321</v>
      </c>
      <c r="G374" s="4" t="s">
        <v>322</v>
      </c>
      <c r="H374" s="4" t="str">
        <f t="shared" si="5"/>
        <v>CAR5226</v>
      </c>
      <c r="I374" s="196">
        <v>1168966.2</v>
      </c>
      <c r="J374" s="196">
        <v>853.26</v>
      </c>
      <c r="K374" s="196">
        <v>1370</v>
      </c>
      <c r="L374" s="454" t="s">
        <v>787</v>
      </c>
      <c r="M374" s="4" t="s">
        <v>780</v>
      </c>
      <c r="N374" s="133" t="s">
        <v>1407</v>
      </c>
      <c r="O374" s="4" t="s">
        <v>1446</v>
      </c>
      <c r="P374" s="4" t="s">
        <v>783</v>
      </c>
      <c r="Q374" s="4" t="s">
        <v>1447</v>
      </c>
      <c r="R374" s="4" t="s">
        <v>1454</v>
      </c>
      <c r="S374" s="4" t="s">
        <v>1449</v>
      </c>
      <c r="T374" s="4" t="s">
        <v>786</v>
      </c>
    </row>
    <row r="375" spans="1:20" customFormat="1">
      <c r="A375" s="10"/>
      <c r="B375" s="4"/>
      <c r="C375" s="4"/>
      <c r="D375" s="133" t="s">
        <v>676</v>
      </c>
      <c r="E375" s="664" t="str">
        <f>+VLOOKUP(F375,Resumen_Base!$C$8:$G$287,5,0)</f>
        <v>Services/House</v>
      </c>
      <c r="F375" s="152" t="s">
        <v>321</v>
      </c>
      <c r="G375" s="4" t="s">
        <v>322</v>
      </c>
      <c r="H375" s="4" t="str">
        <f t="shared" si="5"/>
        <v>CAR5226</v>
      </c>
      <c r="I375" s="196">
        <v>1168966.2</v>
      </c>
      <c r="J375" s="196">
        <v>853.26</v>
      </c>
      <c r="K375" s="196">
        <v>1370</v>
      </c>
      <c r="L375" s="454" t="s">
        <v>787</v>
      </c>
      <c r="M375" s="4" t="s">
        <v>780</v>
      </c>
      <c r="N375" s="133" t="s">
        <v>1407</v>
      </c>
      <c r="O375" s="4" t="s">
        <v>1446</v>
      </c>
      <c r="P375" s="4" t="s">
        <v>783</v>
      </c>
      <c r="Q375" s="4" t="s">
        <v>1447</v>
      </c>
      <c r="R375" s="4" t="s">
        <v>1455</v>
      </c>
      <c r="S375" s="4" t="s">
        <v>1449</v>
      </c>
      <c r="T375" s="4" t="s">
        <v>786</v>
      </c>
    </row>
    <row r="376" spans="1:20" customFormat="1">
      <c r="A376" s="10"/>
      <c r="B376" s="4"/>
      <c r="C376" s="4"/>
      <c r="D376" s="133" t="s">
        <v>676</v>
      </c>
      <c r="E376" s="664" t="str">
        <f>+VLOOKUP(F376,Resumen_Base!$C$8:$G$287,5,0)</f>
        <v>Services/House</v>
      </c>
      <c r="F376" s="152" t="s">
        <v>321</v>
      </c>
      <c r="G376" s="4" t="s">
        <v>322</v>
      </c>
      <c r="H376" s="4" t="str">
        <f t="shared" si="5"/>
        <v>CAR5226</v>
      </c>
      <c r="I376" s="196">
        <v>1278000</v>
      </c>
      <c r="J376" s="196">
        <v>900</v>
      </c>
      <c r="K376" s="196">
        <v>1420</v>
      </c>
      <c r="L376" s="454" t="s">
        <v>899</v>
      </c>
      <c r="M376" s="4" t="s">
        <v>780</v>
      </c>
      <c r="N376" s="133" t="s">
        <v>1407</v>
      </c>
      <c r="O376" s="4" t="s">
        <v>1620</v>
      </c>
      <c r="P376" s="4" t="s">
        <v>892</v>
      </c>
      <c r="Q376" s="4" t="s">
        <v>1621</v>
      </c>
      <c r="R376" s="4" t="s">
        <v>1709</v>
      </c>
      <c r="S376" s="4" t="s">
        <v>1623</v>
      </c>
      <c r="T376" s="4" t="s">
        <v>786</v>
      </c>
    </row>
    <row r="377" spans="1:20" customFormat="1">
      <c r="A377" s="10"/>
      <c r="B377" s="4"/>
      <c r="C377" s="4"/>
      <c r="D377" s="133" t="s">
        <v>676</v>
      </c>
      <c r="E377" s="664" t="str">
        <f>+VLOOKUP(F377,Resumen_Base!$C$8:$G$287,5,0)</f>
        <v>Services/House</v>
      </c>
      <c r="F377" s="152" t="s">
        <v>321</v>
      </c>
      <c r="G377" s="4" t="s">
        <v>322</v>
      </c>
      <c r="H377" s="4" t="str">
        <f t="shared" si="5"/>
        <v>CAR5226</v>
      </c>
      <c r="I377" s="196">
        <v>624800</v>
      </c>
      <c r="J377" s="196">
        <v>440</v>
      </c>
      <c r="K377" s="196">
        <v>1420</v>
      </c>
      <c r="L377" s="454" t="s">
        <v>899</v>
      </c>
      <c r="M377" s="4" t="s">
        <v>780</v>
      </c>
      <c r="N377" s="133" t="s">
        <v>1407</v>
      </c>
      <c r="O377" s="4" t="s">
        <v>1620</v>
      </c>
      <c r="P377" s="4" t="s">
        <v>892</v>
      </c>
      <c r="Q377" s="4" t="s">
        <v>1621</v>
      </c>
      <c r="R377" s="4" t="s">
        <v>1642</v>
      </c>
      <c r="S377" s="4" t="s">
        <v>1623</v>
      </c>
      <c r="T377" s="4" t="s">
        <v>786</v>
      </c>
    </row>
    <row r="378" spans="1:20" customFormat="1">
      <c r="A378" s="10"/>
      <c r="B378" s="4"/>
      <c r="C378" s="4"/>
      <c r="D378" s="133" t="s">
        <v>676</v>
      </c>
      <c r="E378" s="664" t="str">
        <f>+VLOOKUP(F378,Resumen_Base!$C$8:$G$287,5,0)</f>
        <v>Services/House</v>
      </c>
      <c r="F378" s="152" t="s">
        <v>321</v>
      </c>
      <c r="G378" s="4" t="s">
        <v>322</v>
      </c>
      <c r="H378" s="4" t="str">
        <f t="shared" si="5"/>
        <v>CAR5226</v>
      </c>
      <c r="I378" s="196">
        <v>624800</v>
      </c>
      <c r="J378" s="196">
        <v>440</v>
      </c>
      <c r="K378" s="196">
        <v>1420</v>
      </c>
      <c r="L378" s="454" t="s">
        <v>899</v>
      </c>
      <c r="M378" s="4" t="s">
        <v>780</v>
      </c>
      <c r="N378" s="133" t="s">
        <v>1407</v>
      </c>
      <c r="O378" s="4" t="s">
        <v>1620</v>
      </c>
      <c r="P378" s="4" t="s">
        <v>892</v>
      </c>
      <c r="Q378" s="4" t="s">
        <v>1621</v>
      </c>
      <c r="R378" s="4" t="s">
        <v>1644</v>
      </c>
      <c r="S378" s="4" t="s">
        <v>1623</v>
      </c>
      <c r="T378" s="4" t="s">
        <v>786</v>
      </c>
    </row>
    <row r="379" spans="1:20" customFormat="1">
      <c r="A379" s="10"/>
      <c r="B379" s="4"/>
      <c r="C379" s="4"/>
      <c r="D379" s="133" t="s">
        <v>676</v>
      </c>
      <c r="E379" s="664" t="str">
        <f>+VLOOKUP(F379,Resumen_Base!$C$8:$G$287,5,0)</f>
        <v>Services/House</v>
      </c>
      <c r="F379" s="152" t="s">
        <v>321</v>
      </c>
      <c r="G379" s="4" t="s">
        <v>322</v>
      </c>
      <c r="H379" s="4" t="str">
        <f t="shared" si="5"/>
        <v>CAR5226</v>
      </c>
      <c r="I379" s="196">
        <v>1251000</v>
      </c>
      <c r="J379" s="196">
        <v>900</v>
      </c>
      <c r="K379" s="196">
        <v>1390</v>
      </c>
      <c r="L379" s="454" t="s">
        <v>899</v>
      </c>
      <c r="M379" s="4" t="s">
        <v>780</v>
      </c>
      <c r="N379" s="133" t="s">
        <v>1407</v>
      </c>
      <c r="O379" s="4" t="s">
        <v>1620</v>
      </c>
      <c r="P379" s="4" t="s">
        <v>892</v>
      </c>
      <c r="Q379" s="4" t="s">
        <v>1621</v>
      </c>
      <c r="R379" s="4" t="s">
        <v>1633</v>
      </c>
      <c r="S379" s="4" t="s">
        <v>1623</v>
      </c>
      <c r="T379" s="4" t="s">
        <v>786</v>
      </c>
    </row>
    <row r="380" spans="1:20" customFormat="1">
      <c r="A380" s="10"/>
      <c r="B380" s="4"/>
      <c r="C380" s="4"/>
      <c r="D380" s="133" t="s">
        <v>676</v>
      </c>
      <c r="E380" s="664" t="str">
        <f>+VLOOKUP(F380,Resumen_Base!$C$8:$G$287,5,0)</f>
        <v>Services/House</v>
      </c>
      <c r="F380" s="152" t="s">
        <v>321</v>
      </c>
      <c r="G380" s="4" t="s">
        <v>322</v>
      </c>
      <c r="H380" s="4" t="str">
        <f t="shared" si="5"/>
        <v>CAR5226</v>
      </c>
      <c r="I380" s="196">
        <v>624800</v>
      </c>
      <c r="J380" s="196">
        <v>440</v>
      </c>
      <c r="K380" s="196">
        <v>1420</v>
      </c>
      <c r="L380" s="454" t="s">
        <v>899</v>
      </c>
      <c r="M380" s="4" t="s">
        <v>780</v>
      </c>
      <c r="N380" s="133" t="s">
        <v>1407</v>
      </c>
      <c r="O380" s="4" t="s">
        <v>1620</v>
      </c>
      <c r="P380" s="4" t="s">
        <v>892</v>
      </c>
      <c r="Q380" s="4" t="s">
        <v>1621</v>
      </c>
      <c r="R380" s="4" t="s">
        <v>1646</v>
      </c>
      <c r="S380" s="4" t="s">
        <v>1623</v>
      </c>
      <c r="T380" s="4" t="s">
        <v>786</v>
      </c>
    </row>
    <row r="381" spans="1:20" customFormat="1">
      <c r="A381" s="10"/>
      <c r="B381" s="4"/>
      <c r="C381" s="4"/>
      <c r="D381" s="133" t="s">
        <v>676</v>
      </c>
      <c r="E381" s="664" t="str">
        <f>+VLOOKUP(F381,Resumen_Base!$C$8:$G$287,5,0)</f>
        <v>Services/House</v>
      </c>
      <c r="F381" s="152" t="s">
        <v>321</v>
      </c>
      <c r="G381" s="4" t="s">
        <v>322</v>
      </c>
      <c r="H381" s="4" t="str">
        <f t="shared" si="5"/>
        <v>CAR5226</v>
      </c>
      <c r="I381" s="196">
        <v>624800</v>
      </c>
      <c r="J381" s="196">
        <v>440</v>
      </c>
      <c r="K381" s="196">
        <v>1420</v>
      </c>
      <c r="L381" s="454" t="s">
        <v>899</v>
      </c>
      <c r="M381" s="4" t="s">
        <v>780</v>
      </c>
      <c r="N381" s="133" t="s">
        <v>1407</v>
      </c>
      <c r="O381" s="4" t="s">
        <v>1620</v>
      </c>
      <c r="P381" s="4" t="s">
        <v>892</v>
      </c>
      <c r="Q381" s="4" t="s">
        <v>1621</v>
      </c>
      <c r="R381" s="4" t="s">
        <v>1647</v>
      </c>
      <c r="S381" s="4" t="s">
        <v>1623</v>
      </c>
      <c r="T381" s="4" t="s">
        <v>786</v>
      </c>
    </row>
    <row r="382" spans="1:20" customFormat="1">
      <c r="A382" s="10"/>
      <c r="B382" s="4"/>
      <c r="C382" s="4"/>
      <c r="D382" s="133" t="s">
        <v>676</v>
      </c>
      <c r="E382" s="664" t="str">
        <f>+VLOOKUP(F382,Resumen_Base!$C$8:$G$287,5,0)</f>
        <v>Services/House</v>
      </c>
      <c r="F382" s="152" t="s">
        <v>321</v>
      </c>
      <c r="G382" s="4" t="s">
        <v>322</v>
      </c>
      <c r="H382" s="4" t="str">
        <f t="shared" si="5"/>
        <v>CAR5226</v>
      </c>
      <c r="I382" s="196">
        <v>511200</v>
      </c>
      <c r="J382" s="196">
        <v>360</v>
      </c>
      <c r="K382" s="196">
        <v>1420</v>
      </c>
      <c r="L382" s="454" t="s">
        <v>899</v>
      </c>
      <c r="M382" s="4" t="s">
        <v>780</v>
      </c>
      <c r="N382" s="133" t="s">
        <v>1407</v>
      </c>
      <c r="O382" s="4" t="s">
        <v>1620</v>
      </c>
      <c r="P382" s="4" t="s">
        <v>892</v>
      </c>
      <c r="Q382" s="4" t="s">
        <v>1621</v>
      </c>
      <c r="R382" s="4" t="s">
        <v>1640</v>
      </c>
      <c r="S382" s="4" t="s">
        <v>1623</v>
      </c>
      <c r="T382" s="4" t="s">
        <v>786</v>
      </c>
    </row>
    <row r="383" spans="1:20" customFormat="1">
      <c r="A383" s="10"/>
      <c r="B383" s="4"/>
      <c r="C383" s="4"/>
      <c r="D383" s="133" t="s">
        <v>676</v>
      </c>
      <c r="E383" s="664" t="str">
        <f>+VLOOKUP(F383,Resumen_Base!$C$8:$G$287,5,0)</f>
        <v>Services/House</v>
      </c>
      <c r="F383" s="152" t="s">
        <v>321</v>
      </c>
      <c r="G383" s="4" t="s">
        <v>322</v>
      </c>
      <c r="H383" s="4" t="str">
        <f t="shared" si="5"/>
        <v>CAR5226</v>
      </c>
      <c r="I383" s="196">
        <v>247080</v>
      </c>
      <c r="J383" s="196">
        <v>174</v>
      </c>
      <c r="K383" s="196">
        <v>1420</v>
      </c>
      <c r="L383" s="454" t="s">
        <v>899</v>
      </c>
      <c r="M383" s="4" t="s">
        <v>780</v>
      </c>
      <c r="N383" s="133" t="s">
        <v>1407</v>
      </c>
      <c r="O383" s="4" t="s">
        <v>1620</v>
      </c>
      <c r="P383" s="4" t="s">
        <v>892</v>
      </c>
      <c r="Q383" s="4" t="s">
        <v>1621</v>
      </c>
      <c r="R383" s="4" t="s">
        <v>1674</v>
      </c>
      <c r="S383" s="4" t="s">
        <v>1623</v>
      </c>
      <c r="T383" s="4" t="s">
        <v>786</v>
      </c>
    </row>
    <row r="384" spans="1:20" customFormat="1">
      <c r="A384" s="10"/>
      <c r="B384" s="4"/>
      <c r="C384" s="4"/>
      <c r="D384" s="133" t="s">
        <v>676</v>
      </c>
      <c r="E384" s="664" t="str">
        <f>+VLOOKUP(F384,Resumen_Base!$C$8:$G$287,5,0)</f>
        <v>Services/House</v>
      </c>
      <c r="F384" s="152" t="s">
        <v>321</v>
      </c>
      <c r="G384" s="4" t="s">
        <v>322</v>
      </c>
      <c r="H384" s="4" t="str">
        <f t="shared" si="5"/>
        <v>CAR5226</v>
      </c>
      <c r="I384" s="196">
        <v>264600.40000000002</v>
      </c>
      <c r="J384" s="196">
        <v>190.36</v>
      </c>
      <c r="K384" s="196">
        <v>1390</v>
      </c>
      <c r="L384" s="454" t="s">
        <v>899</v>
      </c>
      <c r="M384" s="4" t="s">
        <v>780</v>
      </c>
      <c r="N384" s="133" t="s">
        <v>1407</v>
      </c>
      <c r="O384" s="4" t="s">
        <v>1620</v>
      </c>
      <c r="P384" s="4" t="s">
        <v>892</v>
      </c>
      <c r="Q384" s="4" t="s">
        <v>1621</v>
      </c>
      <c r="R384" s="4" t="s">
        <v>1658</v>
      </c>
      <c r="S384" s="4" t="s">
        <v>1623</v>
      </c>
      <c r="T384" s="4" t="s">
        <v>786</v>
      </c>
    </row>
    <row r="385" spans="1:20" customFormat="1">
      <c r="A385" s="10"/>
      <c r="B385" s="4"/>
      <c r="C385" s="4"/>
      <c r="D385" s="133" t="s">
        <v>676</v>
      </c>
      <c r="E385" s="664" t="str">
        <f>+VLOOKUP(F385,Resumen_Base!$C$8:$G$287,5,0)</f>
        <v>Services/House</v>
      </c>
      <c r="F385" s="152" t="s">
        <v>321</v>
      </c>
      <c r="G385" s="4" t="s">
        <v>322</v>
      </c>
      <c r="H385" s="4" t="str">
        <f t="shared" si="5"/>
        <v>CAR5226</v>
      </c>
      <c r="I385" s="196">
        <v>417000</v>
      </c>
      <c r="J385" s="196">
        <v>300</v>
      </c>
      <c r="K385" s="196">
        <v>1390</v>
      </c>
      <c r="L385" s="454" t="s">
        <v>899</v>
      </c>
      <c r="M385" s="4" t="s">
        <v>780</v>
      </c>
      <c r="N385" s="133" t="s">
        <v>1407</v>
      </c>
      <c r="O385" s="4" t="s">
        <v>1620</v>
      </c>
      <c r="P385" s="4" t="s">
        <v>892</v>
      </c>
      <c r="Q385" s="4" t="s">
        <v>1621</v>
      </c>
      <c r="R385" s="4" t="s">
        <v>1684</v>
      </c>
      <c r="S385" s="4" t="s">
        <v>1623</v>
      </c>
      <c r="T385" s="4" t="s">
        <v>786</v>
      </c>
    </row>
    <row r="386" spans="1:20" customFormat="1">
      <c r="A386" s="10"/>
      <c r="B386" s="4"/>
      <c r="C386" s="4"/>
      <c r="D386" s="133" t="s">
        <v>676</v>
      </c>
      <c r="E386" s="664" t="str">
        <f>+VLOOKUP(F386,Resumen_Base!$C$8:$G$287,5,0)</f>
        <v>Services/House</v>
      </c>
      <c r="F386" s="152" t="s">
        <v>321</v>
      </c>
      <c r="G386" s="4" t="s">
        <v>322</v>
      </c>
      <c r="H386" s="4" t="str">
        <f t="shared" si="5"/>
        <v>CAR5226</v>
      </c>
      <c r="I386" s="196">
        <v>880400</v>
      </c>
      <c r="J386" s="196">
        <v>620</v>
      </c>
      <c r="K386" s="196">
        <v>1420</v>
      </c>
      <c r="L386" s="454" t="s">
        <v>899</v>
      </c>
      <c r="M386" s="4" t="s">
        <v>780</v>
      </c>
      <c r="N386" s="133" t="s">
        <v>1407</v>
      </c>
      <c r="O386" s="4" t="s">
        <v>1620</v>
      </c>
      <c r="P386" s="4" t="s">
        <v>892</v>
      </c>
      <c r="Q386" s="4" t="s">
        <v>1621</v>
      </c>
      <c r="R386" s="4" t="s">
        <v>1638</v>
      </c>
      <c r="S386" s="4" t="s">
        <v>1623</v>
      </c>
      <c r="T386" s="4" t="s">
        <v>786</v>
      </c>
    </row>
    <row r="387" spans="1:20" customFormat="1">
      <c r="A387" s="10"/>
      <c r="B387" s="4"/>
      <c r="C387" s="4"/>
      <c r="D387" s="133" t="s">
        <v>676</v>
      </c>
      <c r="E387" s="664" t="str">
        <f>+VLOOKUP(F387,Resumen_Base!$C$8:$G$287,5,0)</f>
        <v>Services/House</v>
      </c>
      <c r="F387" s="152" t="s">
        <v>321</v>
      </c>
      <c r="G387" s="4" t="s">
        <v>322</v>
      </c>
      <c r="H387" s="4" t="str">
        <f t="shared" si="5"/>
        <v>CAR5226</v>
      </c>
      <c r="I387" s="196">
        <v>1668000</v>
      </c>
      <c r="J387" s="196">
        <v>1200</v>
      </c>
      <c r="K387" s="196">
        <v>1390</v>
      </c>
      <c r="L387" s="454" t="s">
        <v>899</v>
      </c>
      <c r="M387" s="4" t="s">
        <v>780</v>
      </c>
      <c r="N387" s="133" t="s">
        <v>1407</v>
      </c>
      <c r="O387" s="4" t="s">
        <v>1620</v>
      </c>
      <c r="P387" s="4" t="s">
        <v>892</v>
      </c>
      <c r="Q387" s="4" t="s">
        <v>1621</v>
      </c>
      <c r="R387" s="4" t="s">
        <v>1648</v>
      </c>
      <c r="S387" s="4" t="s">
        <v>1623</v>
      </c>
      <c r="T387" s="4" t="s">
        <v>786</v>
      </c>
    </row>
    <row r="388" spans="1:20" customFormat="1">
      <c r="A388" s="10"/>
      <c r="B388" s="4"/>
      <c r="C388" s="4"/>
      <c r="D388" s="133" t="s">
        <v>676</v>
      </c>
      <c r="E388" s="664" t="str">
        <f>+VLOOKUP(F388,Resumen_Base!$C$8:$G$287,5,0)</f>
        <v>Services/House</v>
      </c>
      <c r="F388" s="152" t="s">
        <v>321</v>
      </c>
      <c r="G388" s="4" t="s">
        <v>322</v>
      </c>
      <c r="H388" s="4" t="str">
        <f t="shared" si="5"/>
        <v>CAR5226</v>
      </c>
      <c r="I388" s="196">
        <v>261931.6</v>
      </c>
      <c r="J388" s="196">
        <v>188.44</v>
      </c>
      <c r="K388" s="196">
        <v>1390</v>
      </c>
      <c r="L388" s="454" t="s">
        <v>899</v>
      </c>
      <c r="M388" s="4" t="s">
        <v>780</v>
      </c>
      <c r="N388" s="133" t="s">
        <v>1407</v>
      </c>
      <c r="O388" s="4" t="s">
        <v>1620</v>
      </c>
      <c r="P388" s="4" t="s">
        <v>892</v>
      </c>
      <c r="Q388" s="4" t="s">
        <v>1621</v>
      </c>
      <c r="R388" s="4" t="s">
        <v>1693</v>
      </c>
      <c r="S388" s="4" t="s">
        <v>1623</v>
      </c>
      <c r="T388" s="4" t="s">
        <v>786</v>
      </c>
    </row>
    <row r="389" spans="1:20" customFormat="1">
      <c r="A389" s="10"/>
      <c r="B389" s="4"/>
      <c r="C389" s="4"/>
      <c r="D389" s="133" t="s">
        <v>676</v>
      </c>
      <c r="E389" s="664" t="str">
        <f>+VLOOKUP(F389,Resumen_Base!$C$8:$G$287,5,0)</f>
        <v>Services/House</v>
      </c>
      <c r="F389" s="152" t="s">
        <v>321</v>
      </c>
      <c r="G389" s="4" t="s">
        <v>322</v>
      </c>
      <c r="H389" s="4" t="str">
        <f t="shared" si="5"/>
        <v>CAR5226</v>
      </c>
      <c r="I389" s="196">
        <v>1704000</v>
      </c>
      <c r="J389" s="196">
        <v>1200</v>
      </c>
      <c r="K389" s="196">
        <v>1420</v>
      </c>
      <c r="L389" s="454" t="s">
        <v>899</v>
      </c>
      <c r="M389" s="4" t="s">
        <v>780</v>
      </c>
      <c r="N389" s="133" t="s">
        <v>1407</v>
      </c>
      <c r="O389" s="4" t="s">
        <v>1620</v>
      </c>
      <c r="P389" s="4" t="s">
        <v>892</v>
      </c>
      <c r="Q389" s="4" t="s">
        <v>1621</v>
      </c>
      <c r="R389" s="4" t="s">
        <v>1713</v>
      </c>
      <c r="S389" s="4" t="s">
        <v>1623</v>
      </c>
      <c r="T389" s="4" t="s">
        <v>786</v>
      </c>
    </row>
    <row r="390" spans="1:20" customFormat="1">
      <c r="A390" s="10"/>
      <c r="B390" s="4"/>
      <c r="C390" s="4"/>
      <c r="D390" s="133" t="s">
        <v>676</v>
      </c>
      <c r="E390" s="664" t="str">
        <f>+VLOOKUP(F390,Resumen_Base!$C$8:$G$287,5,0)</f>
        <v>Services/House</v>
      </c>
      <c r="F390" s="152" t="s">
        <v>321</v>
      </c>
      <c r="G390" s="4" t="s">
        <v>322</v>
      </c>
      <c r="H390" s="4" t="str">
        <f t="shared" si="5"/>
        <v>CAR5226</v>
      </c>
      <c r="I390" s="196">
        <v>1833000</v>
      </c>
      <c r="J390" s="196">
        <v>1300</v>
      </c>
      <c r="K390" s="196">
        <v>1410</v>
      </c>
      <c r="L390" s="454" t="s">
        <v>919</v>
      </c>
      <c r="M390" s="4" t="s">
        <v>780</v>
      </c>
      <c r="N390" s="133" t="s">
        <v>1407</v>
      </c>
      <c r="O390" s="4" t="s">
        <v>920</v>
      </c>
      <c r="P390" s="4" t="s">
        <v>892</v>
      </c>
      <c r="Q390" s="4" t="s">
        <v>921</v>
      </c>
      <c r="R390" s="4" t="s">
        <v>1740</v>
      </c>
      <c r="S390" s="4" t="s">
        <v>923</v>
      </c>
      <c r="T390" s="4" t="s">
        <v>786</v>
      </c>
    </row>
    <row r="391" spans="1:20" customFormat="1">
      <c r="A391" s="10"/>
      <c r="B391" s="4"/>
      <c r="C391" s="4"/>
      <c r="D391" s="133" t="s">
        <v>676</v>
      </c>
      <c r="E391" s="664" t="str">
        <f>+VLOOKUP(F391,Resumen_Base!$C$8:$G$287,5,0)</f>
        <v>Services/House</v>
      </c>
      <c r="F391" s="152" t="s">
        <v>321</v>
      </c>
      <c r="G391" s="4" t="s">
        <v>322</v>
      </c>
      <c r="H391" s="4" t="str">
        <f t="shared" si="5"/>
        <v>CAR5226</v>
      </c>
      <c r="I391" s="196">
        <v>357500</v>
      </c>
      <c r="J391" s="196">
        <v>250</v>
      </c>
      <c r="K391" s="196">
        <v>1430</v>
      </c>
      <c r="L391" s="454" t="s">
        <v>927</v>
      </c>
      <c r="M391" s="4" t="s">
        <v>780</v>
      </c>
      <c r="N391" s="133" t="s">
        <v>1407</v>
      </c>
      <c r="O391" s="4" t="s">
        <v>928</v>
      </c>
      <c r="P391" s="4" t="s">
        <v>892</v>
      </c>
      <c r="Q391" s="4" t="s">
        <v>929</v>
      </c>
      <c r="R391" s="4" t="s">
        <v>1748</v>
      </c>
      <c r="S391" s="4" t="s">
        <v>931</v>
      </c>
      <c r="T391" s="4" t="s">
        <v>786</v>
      </c>
    </row>
    <row r="392" spans="1:20" customFormat="1">
      <c r="A392" s="10"/>
      <c r="B392" s="4"/>
      <c r="C392" s="4"/>
      <c r="D392" s="133" t="s">
        <v>676</v>
      </c>
      <c r="E392" s="664" t="str">
        <f>+VLOOKUP(F392,Resumen_Base!$C$8:$G$287,5,0)</f>
        <v>Services/House</v>
      </c>
      <c r="F392" s="152" t="s">
        <v>321</v>
      </c>
      <c r="G392" s="4" t="s">
        <v>322</v>
      </c>
      <c r="H392" s="4" t="str">
        <f t="shared" si="5"/>
        <v>CAR5226</v>
      </c>
      <c r="I392" s="196">
        <v>1204803.6000000001</v>
      </c>
      <c r="J392" s="196">
        <v>842.52</v>
      </c>
      <c r="K392" s="196">
        <v>1430</v>
      </c>
      <c r="L392" s="454" t="s">
        <v>890</v>
      </c>
      <c r="M392" s="4" t="s">
        <v>780</v>
      </c>
      <c r="N392" s="133" t="s">
        <v>1407</v>
      </c>
      <c r="O392" s="4" t="s">
        <v>1763</v>
      </c>
      <c r="P392" s="4" t="s">
        <v>892</v>
      </c>
      <c r="Q392" s="4" t="s">
        <v>1764</v>
      </c>
      <c r="R392" s="4" t="s">
        <v>1778</v>
      </c>
      <c r="S392" s="4" t="s">
        <v>1765</v>
      </c>
      <c r="T392" s="4" t="s">
        <v>786</v>
      </c>
    </row>
    <row r="393" spans="1:20" customFormat="1">
      <c r="A393" s="10"/>
      <c r="B393" s="4"/>
      <c r="C393" s="4"/>
      <c r="D393" s="133" t="s">
        <v>676</v>
      </c>
      <c r="E393" s="664" t="str">
        <f>+VLOOKUP(F393,Resumen_Base!$C$8:$G$287,5,0)</f>
        <v>Services/House</v>
      </c>
      <c r="F393" s="152" t="s">
        <v>321</v>
      </c>
      <c r="G393" s="4" t="s">
        <v>322</v>
      </c>
      <c r="H393" s="4" t="str">
        <f t="shared" si="5"/>
        <v>CAR5226</v>
      </c>
      <c r="I393" s="196">
        <v>1227712.2</v>
      </c>
      <c r="J393" s="196">
        <v>858.54</v>
      </c>
      <c r="K393" s="196">
        <v>1430</v>
      </c>
      <c r="L393" s="454" t="s">
        <v>890</v>
      </c>
      <c r="M393" s="4" t="s">
        <v>780</v>
      </c>
      <c r="N393" s="133" t="s">
        <v>1407</v>
      </c>
      <c r="O393" s="4" t="s">
        <v>1763</v>
      </c>
      <c r="P393" s="4" t="s">
        <v>892</v>
      </c>
      <c r="Q393" s="4" t="s">
        <v>1764</v>
      </c>
      <c r="R393" s="4" t="s">
        <v>1777</v>
      </c>
      <c r="S393" s="4" t="s">
        <v>1765</v>
      </c>
      <c r="T393" s="4" t="s">
        <v>786</v>
      </c>
    </row>
    <row r="394" spans="1:20" customFormat="1">
      <c r="A394" s="10"/>
      <c r="B394" s="4"/>
      <c r="C394" s="4"/>
      <c r="D394" s="133" t="s">
        <v>676</v>
      </c>
      <c r="E394" s="664" t="str">
        <f>+VLOOKUP(F394,Resumen_Base!$C$8:$G$287,5,0)</f>
        <v>Services/House</v>
      </c>
      <c r="F394" s="152" t="s">
        <v>321</v>
      </c>
      <c r="G394" s="4" t="s">
        <v>322</v>
      </c>
      <c r="H394" s="4" t="str">
        <f t="shared" si="5"/>
        <v>CAR5226</v>
      </c>
      <c r="I394" s="196">
        <v>1227712.2</v>
      </c>
      <c r="J394" s="196">
        <v>858.54</v>
      </c>
      <c r="K394" s="196">
        <v>1430</v>
      </c>
      <c r="L394" s="454" t="s">
        <v>890</v>
      </c>
      <c r="M394" s="4" t="s">
        <v>780</v>
      </c>
      <c r="N394" s="133" t="s">
        <v>1407</v>
      </c>
      <c r="O394" s="4" t="s">
        <v>1763</v>
      </c>
      <c r="P394" s="4" t="s">
        <v>892</v>
      </c>
      <c r="Q394" s="4" t="s">
        <v>1764</v>
      </c>
      <c r="R394" s="4" t="s">
        <v>1783</v>
      </c>
      <c r="S394" s="4" t="s">
        <v>1765</v>
      </c>
      <c r="T394" s="4" t="s">
        <v>786</v>
      </c>
    </row>
    <row r="395" spans="1:20" customFormat="1">
      <c r="A395" s="10"/>
      <c r="B395" s="4"/>
      <c r="C395" s="4"/>
      <c r="D395" s="133" t="s">
        <v>676</v>
      </c>
      <c r="E395" s="664" t="str">
        <f>+VLOOKUP(F395,Resumen_Base!$C$8:$G$287,5,0)</f>
        <v>Services/House</v>
      </c>
      <c r="F395" s="152" t="s">
        <v>321</v>
      </c>
      <c r="G395" s="4" t="s">
        <v>322</v>
      </c>
      <c r="H395" s="4" t="str">
        <f t="shared" si="5"/>
        <v>CAR5226</v>
      </c>
      <c r="I395" s="196">
        <v>1204803.6000000001</v>
      </c>
      <c r="J395" s="196">
        <v>842.52</v>
      </c>
      <c r="K395" s="196">
        <v>1430</v>
      </c>
      <c r="L395" s="454" t="s">
        <v>890</v>
      </c>
      <c r="M395" s="4" t="s">
        <v>780</v>
      </c>
      <c r="N395" s="133" t="s">
        <v>1407</v>
      </c>
      <c r="O395" s="4" t="s">
        <v>1763</v>
      </c>
      <c r="P395" s="4" t="s">
        <v>892</v>
      </c>
      <c r="Q395" s="4" t="s">
        <v>1764</v>
      </c>
      <c r="R395" s="4" t="s">
        <v>1779</v>
      </c>
      <c r="S395" s="4" t="s">
        <v>1765</v>
      </c>
      <c r="T395" s="4" t="s">
        <v>786</v>
      </c>
    </row>
    <row r="396" spans="1:20" customFormat="1">
      <c r="A396" s="10"/>
      <c r="B396" s="4"/>
      <c r="C396" s="4"/>
      <c r="D396" s="133" t="s">
        <v>676</v>
      </c>
      <c r="E396" s="664" t="str">
        <f>+VLOOKUP(F396,Resumen_Base!$C$8:$G$287,5,0)</f>
        <v>Services/House</v>
      </c>
      <c r="F396" s="152" t="s">
        <v>321</v>
      </c>
      <c r="G396" s="4" t="s">
        <v>322</v>
      </c>
      <c r="H396" s="4" t="str">
        <f t="shared" ref="H396:H459" si="6">+D396&amp;F396</f>
        <v>CAR5226</v>
      </c>
      <c r="I396" s="196">
        <v>566745</v>
      </c>
      <c r="J396" s="196">
        <v>377.83</v>
      </c>
      <c r="K396" s="196">
        <v>1500</v>
      </c>
      <c r="L396" s="454" t="s">
        <v>1017</v>
      </c>
      <c r="M396" s="4" t="s">
        <v>780</v>
      </c>
      <c r="N396" s="133" t="s">
        <v>1407</v>
      </c>
      <c r="O396" s="4" t="s">
        <v>1946</v>
      </c>
      <c r="P396" s="4" t="s">
        <v>892</v>
      </c>
      <c r="Q396" s="4" t="s">
        <v>1947</v>
      </c>
      <c r="R396" s="4" t="s">
        <v>1977</v>
      </c>
      <c r="S396" s="4" t="s">
        <v>1949</v>
      </c>
      <c r="T396" s="4" t="s">
        <v>786</v>
      </c>
    </row>
    <row r="397" spans="1:20" customFormat="1">
      <c r="A397" s="10"/>
      <c r="B397" s="4"/>
      <c r="C397" s="4"/>
      <c r="D397" s="133" t="s">
        <v>676</v>
      </c>
      <c r="E397" s="664" t="str">
        <f>+VLOOKUP(F397,Resumen_Base!$C$8:$G$287,5,0)</f>
        <v>Services/House</v>
      </c>
      <c r="F397" s="152" t="s">
        <v>321</v>
      </c>
      <c r="G397" s="4" t="s">
        <v>322</v>
      </c>
      <c r="H397" s="4" t="str">
        <f t="shared" si="6"/>
        <v>CAR5226</v>
      </c>
      <c r="I397" s="196">
        <v>585000</v>
      </c>
      <c r="J397" s="196">
        <v>390</v>
      </c>
      <c r="K397" s="196">
        <v>1500</v>
      </c>
      <c r="L397" s="454" t="s">
        <v>2094</v>
      </c>
      <c r="M397" s="4"/>
      <c r="N397" s="133" t="s">
        <v>1407</v>
      </c>
      <c r="O397" s="4"/>
      <c r="P397" s="4" t="s">
        <v>2095</v>
      </c>
      <c r="Q397" s="4" t="s">
        <v>2096</v>
      </c>
      <c r="R397" s="4"/>
      <c r="S397" s="4" t="s">
        <v>2097</v>
      </c>
      <c r="T397" s="4" t="s">
        <v>786</v>
      </c>
    </row>
    <row r="398" spans="1:20" customFormat="1">
      <c r="A398" s="10"/>
      <c r="B398" s="4"/>
      <c r="C398" s="4"/>
      <c r="D398" s="133" t="s">
        <v>676</v>
      </c>
      <c r="E398" s="664" t="str">
        <f>+VLOOKUP(F398,Resumen_Base!$C$8:$G$287,5,0)</f>
        <v>Services/House</v>
      </c>
      <c r="F398" s="152" t="s">
        <v>321</v>
      </c>
      <c r="G398" s="4" t="s">
        <v>322</v>
      </c>
      <c r="H398" s="4" t="str">
        <f t="shared" si="6"/>
        <v>CAR5226</v>
      </c>
      <c r="I398" s="196">
        <v>585000</v>
      </c>
      <c r="J398" s="196">
        <v>390</v>
      </c>
      <c r="K398" s="196">
        <v>1500</v>
      </c>
      <c r="L398" s="454" t="s">
        <v>2094</v>
      </c>
      <c r="M398" s="4"/>
      <c r="N398" s="133" t="s">
        <v>1407</v>
      </c>
      <c r="O398" s="4"/>
      <c r="P398" s="4" t="s">
        <v>2095</v>
      </c>
      <c r="Q398" s="4" t="s">
        <v>2098</v>
      </c>
      <c r="R398" s="4"/>
      <c r="S398" s="4" t="s">
        <v>2097</v>
      </c>
      <c r="T398" s="4" t="s">
        <v>786</v>
      </c>
    </row>
    <row r="399" spans="1:20" customFormat="1">
      <c r="A399" s="10"/>
      <c r="B399" s="4"/>
      <c r="C399" s="4"/>
      <c r="D399" s="133" t="s">
        <v>676</v>
      </c>
      <c r="E399" s="664" t="str">
        <f>+VLOOKUP(F399,Resumen_Base!$C$8:$G$287,5,0)</f>
        <v>Services/House</v>
      </c>
      <c r="F399" s="152" t="s">
        <v>321</v>
      </c>
      <c r="G399" s="4" t="s">
        <v>322</v>
      </c>
      <c r="H399" s="4" t="str">
        <f t="shared" si="6"/>
        <v>CAR5226</v>
      </c>
      <c r="I399" s="196">
        <v>585000</v>
      </c>
      <c r="J399" s="196">
        <v>390</v>
      </c>
      <c r="K399" s="196">
        <v>1500</v>
      </c>
      <c r="L399" s="454" t="s">
        <v>2094</v>
      </c>
      <c r="M399" s="4"/>
      <c r="N399" s="133" t="s">
        <v>1407</v>
      </c>
      <c r="O399" s="4"/>
      <c r="P399" s="4" t="s">
        <v>2095</v>
      </c>
      <c r="Q399" s="4" t="s">
        <v>2099</v>
      </c>
      <c r="R399" s="4"/>
      <c r="S399" s="4" t="s">
        <v>2097</v>
      </c>
      <c r="T399" s="4" t="s">
        <v>786</v>
      </c>
    </row>
    <row r="400" spans="1:20" customFormat="1">
      <c r="A400" s="10"/>
      <c r="B400" s="4"/>
      <c r="C400" s="4"/>
      <c r="D400" s="133" t="s">
        <v>676</v>
      </c>
      <c r="E400" s="664" t="str">
        <f>+VLOOKUP(F400,Resumen_Base!$C$8:$G$287,5,0)</f>
        <v>Services/House</v>
      </c>
      <c r="F400" s="152" t="s">
        <v>321</v>
      </c>
      <c r="G400" s="4" t="s">
        <v>322</v>
      </c>
      <c r="H400" s="4" t="str">
        <f t="shared" si="6"/>
        <v>CAR5226</v>
      </c>
      <c r="I400" s="196">
        <v>585000</v>
      </c>
      <c r="J400" s="196">
        <v>390</v>
      </c>
      <c r="K400" s="196">
        <v>1500</v>
      </c>
      <c r="L400" s="454" t="s">
        <v>2094</v>
      </c>
      <c r="M400" s="4"/>
      <c r="N400" s="133" t="s">
        <v>1407</v>
      </c>
      <c r="O400" s="4"/>
      <c r="P400" s="4" t="s">
        <v>2095</v>
      </c>
      <c r="Q400" s="4" t="s">
        <v>2100</v>
      </c>
      <c r="R400" s="4"/>
      <c r="S400" s="4" t="s">
        <v>2097</v>
      </c>
      <c r="T400" s="4" t="s">
        <v>786</v>
      </c>
    </row>
    <row r="401" spans="1:20" customFormat="1">
      <c r="A401" s="10"/>
      <c r="B401" s="4"/>
      <c r="C401" s="4"/>
      <c r="D401" s="133" t="s">
        <v>676</v>
      </c>
      <c r="E401" s="664" t="str">
        <f>+VLOOKUP(F401,Resumen_Base!$C$8:$G$287,5,0)</f>
        <v>Services/House</v>
      </c>
      <c r="F401" s="152" t="s">
        <v>321</v>
      </c>
      <c r="G401" s="4" t="s">
        <v>322</v>
      </c>
      <c r="H401" s="4" t="str">
        <f t="shared" si="6"/>
        <v>CAR5226</v>
      </c>
      <c r="I401" s="196">
        <v>810000</v>
      </c>
      <c r="J401" s="196">
        <v>540</v>
      </c>
      <c r="K401" s="196">
        <v>1500</v>
      </c>
      <c r="L401" s="454" t="s">
        <v>2094</v>
      </c>
      <c r="M401" s="4"/>
      <c r="N401" s="133" t="s">
        <v>1407</v>
      </c>
      <c r="O401" s="4"/>
      <c r="P401" s="4" t="s">
        <v>2095</v>
      </c>
      <c r="Q401" s="4" t="s">
        <v>2101</v>
      </c>
      <c r="R401" s="4"/>
      <c r="S401" s="4" t="s">
        <v>2097</v>
      </c>
      <c r="T401" s="4" t="s">
        <v>786</v>
      </c>
    </row>
    <row r="402" spans="1:20" customFormat="1">
      <c r="A402" s="10"/>
      <c r="B402" s="4"/>
      <c r="C402" s="4"/>
      <c r="D402" s="133" t="s">
        <v>676</v>
      </c>
      <c r="E402" s="664" t="str">
        <f>+VLOOKUP(F402,Resumen_Base!$C$8:$G$287,5,0)</f>
        <v>Services/House</v>
      </c>
      <c r="F402" s="152" t="s">
        <v>321</v>
      </c>
      <c r="G402" s="4" t="s">
        <v>322</v>
      </c>
      <c r="H402" s="4" t="str">
        <f t="shared" si="6"/>
        <v>CAR5226</v>
      </c>
      <c r="I402" s="196">
        <v>465000</v>
      </c>
      <c r="J402" s="196">
        <v>310</v>
      </c>
      <c r="K402" s="196">
        <v>1500</v>
      </c>
      <c r="L402" s="454" t="s">
        <v>2094</v>
      </c>
      <c r="M402" s="4"/>
      <c r="N402" s="133" t="s">
        <v>1407</v>
      </c>
      <c r="O402" s="4"/>
      <c r="P402" s="4" t="s">
        <v>2095</v>
      </c>
      <c r="Q402" s="4" t="s">
        <v>2102</v>
      </c>
      <c r="R402" s="4"/>
      <c r="S402" s="4" t="s">
        <v>2097</v>
      </c>
      <c r="T402" s="4" t="s">
        <v>786</v>
      </c>
    </row>
    <row r="403" spans="1:20" customFormat="1">
      <c r="A403" s="10"/>
      <c r="B403" s="4"/>
      <c r="C403" s="4"/>
      <c r="D403" s="133" t="s">
        <v>676</v>
      </c>
      <c r="E403" s="664" t="str">
        <f>+VLOOKUP(F403,Resumen_Base!$C$8:$G$287,5,0)</f>
        <v>Services/House</v>
      </c>
      <c r="F403" s="152" t="s">
        <v>321</v>
      </c>
      <c r="G403" s="4" t="s">
        <v>322</v>
      </c>
      <c r="H403" s="4" t="str">
        <f t="shared" si="6"/>
        <v>CAR5226</v>
      </c>
      <c r="I403" s="196">
        <v>930000</v>
      </c>
      <c r="J403" s="196">
        <v>620</v>
      </c>
      <c r="K403" s="196">
        <v>1500</v>
      </c>
      <c r="L403" s="454" t="s">
        <v>2094</v>
      </c>
      <c r="M403" s="4"/>
      <c r="N403" s="133" t="s">
        <v>1407</v>
      </c>
      <c r="O403" s="4"/>
      <c r="P403" s="4" t="s">
        <v>2095</v>
      </c>
      <c r="Q403" s="4" t="s">
        <v>2103</v>
      </c>
      <c r="R403" s="4"/>
      <c r="S403" s="4" t="s">
        <v>2097</v>
      </c>
      <c r="T403" s="4" t="s">
        <v>786</v>
      </c>
    </row>
    <row r="404" spans="1:20" customFormat="1">
      <c r="A404" s="10"/>
      <c r="B404" s="4"/>
      <c r="C404" s="4"/>
      <c r="D404" s="133" t="s">
        <v>676</v>
      </c>
      <c r="E404" s="664" t="str">
        <f>+VLOOKUP(F404,Resumen_Base!$C$8:$G$287,5,0)</f>
        <v>Services/House</v>
      </c>
      <c r="F404" s="152" t="s">
        <v>321</v>
      </c>
      <c r="G404" s="4" t="s">
        <v>322</v>
      </c>
      <c r="H404" s="4" t="str">
        <f t="shared" si="6"/>
        <v>CAR5226</v>
      </c>
      <c r="I404" s="196">
        <v>-1253760.3999999999</v>
      </c>
      <c r="J404" s="196">
        <v>-858.74</v>
      </c>
      <c r="K404" s="196">
        <v>1460</v>
      </c>
      <c r="L404" s="454" t="s">
        <v>1049</v>
      </c>
      <c r="M404" s="4" t="s">
        <v>780</v>
      </c>
      <c r="N404" s="133" t="s">
        <v>1407</v>
      </c>
      <c r="O404" s="4" t="s">
        <v>2127</v>
      </c>
      <c r="P404" s="4" t="s">
        <v>892</v>
      </c>
      <c r="Q404" s="4" t="s">
        <v>2128</v>
      </c>
      <c r="R404" s="4" t="s">
        <v>2130</v>
      </c>
      <c r="S404" s="4" t="s">
        <v>2129</v>
      </c>
      <c r="T404" s="4" t="s">
        <v>786</v>
      </c>
    </row>
    <row r="405" spans="1:20" customFormat="1">
      <c r="A405" s="10"/>
      <c r="B405" s="4"/>
      <c r="C405" s="4"/>
      <c r="D405" s="133" t="s">
        <v>676</v>
      </c>
      <c r="E405" s="664" t="str">
        <f>+VLOOKUP(F405,Resumen_Base!$C$8:$G$287,5,0)</f>
        <v>Services/House</v>
      </c>
      <c r="F405" s="152" t="s">
        <v>321</v>
      </c>
      <c r="G405" s="4" t="s">
        <v>322</v>
      </c>
      <c r="H405" s="4" t="str">
        <f t="shared" si="6"/>
        <v>CAR5226</v>
      </c>
      <c r="I405" s="196">
        <v>-1277602.2</v>
      </c>
      <c r="J405" s="196">
        <v>-875.07</v>
      </c>
      <c r="K405" s="196">
        <v>1460</v>
      </c>
      <c r="L405" s="454" t="s">
        <v>1049</v>
      </c>
      <c r="M405" s="4" t="s">
        <v>780</v>
      </c>
      <c r="N405" s="133" t="s">
        <v>1407</v>
      </c>
      <c r="O405" s="4" t="s">
        <v>2127</v>
      </c>
      <c r="P405" s="4" t="s">
        <v>892</v>
      </c>
      <c r="Q405" s="4" t="s">
        <v>2128</v>
      </c>
      <c r="R405" s="4" t="s">
        <v>2150</v>
      </c>
      <c r="S405" s="4" t="s">
        <v>2129</v>
      </c>
      <c r="T405" s="4" t="s">
        <v>786</v>
      </c>
    </row>
    <row r="406" spans="1:20" customFormat="1">
      <c r="A406" s="10"/>
      <c r="B406" s="4"/>
      <c r="C406" s="4"/>
      <c r="D406" s="133" t="s">
        <v>676</v>
      </c>
      <c r="E406" s="664" t="str">
        <f>+VLOOKUP(F406,Resumen_Base!$C$8:$G$287,5,0)</f>
        <v>Services/House</v>
      </c>
      <c r="F406" s="152" t="s">
        <v>321</v>
      </c>
      <c r="G406" s="4" t="s">
        <v>322</v>
      </c>
      <c r="H406" s="4" t="str">
        <f t="shared" si="6"/>
        <v>CAR5226</v>
      </c>
      <c r="I406" s="196">
        <v>-1253760.3999999999</v>
      </c>
      <c r="J406" s="196">
        <v>-858.74</v>
      </c>
      <c r="K406" s="196">
        <v>1460</v>
      </c>
      <c r="L406" s="454" t="s">
        <v>1049</v>
      </c>
      <c r="M406" s="4" t="s">
        <v>780</v>
      </c>
      <c r="N406" s="133" t="s">
        <v>1407</v>
      </c>
      <c r="O406" s="4" t="s">
        <v>2127</v>
      </c>
      <c r="P406" s="4" t="s">
        <v>892</v>
      </c>
      <c r="Q406" s="4" t="s">
        <v>2128</v>
      </c>
      <c r="R406" s="4" t="s">
        <v>2134</v>
      </c>
      <c r="S406" s="4" t="s">
        <v>2129</v>
      </c>
      <c r="T406" s="4" t="s">
        <v>786</v>
      </c>
    </row>
    <row r="407" spans="1:20" customFormat="1">
      <c r="A407" s="10"/>
      <c r="B407" s="4"/>
      <c r="C407" s="4"/>
      <c r="D407" s="133" t="s">
        <v>676</v>
      </c>
      <c r="E407" s="664" t="str">
        <f>+VLOOKUP(F407,Resumen_Base!$C$8:$G$287,5,0)</f>
        <v>Services/House</v>
      </c>
      <c r="F407" s="152" t="s">
        <v>321</v>
      </c>
      <c r="G407" s="4" t="s">
        <v>322</v>
      </c>
      <c r="H407" s="4" t="str">
        <f t="shared" si="6"/>
        <v>CAR5226</v>
      </c>
      <c r="I407" s="196">
        <v>-1277602.2</v>
      </c>
      <c r="J407" s="196">
        <v>-875.07</v>
      </c>
      <c r="K407" s="196">
        <v>1460</v>
      </c>
      <c r="L407" s="454" t="s">
        <v>1049</v>
      </c>
      <c r="M407" s="4" t="s">
        <v>780</v>
      </c>
      <c r="N407" s="133" t="s">
        <v>1407</v>
      </c>
      <c r="O407" s="4" t="s">
        <v>2127</v>
      </c>
      <c r="P407" s="4" t="s">
        <v>892</v>
      </c>
      <c r="Q407" s="4" t="s">
        <v>2128</v>
      </c>
      <c r="R407" s="4" t="s">
        <v>2132</v>
      </c>
      <c r="S407" s="4" t="s">
        <v>2129</v>
      </c>
      <c r="T407" s="4" t="s">
        <v>786</v>
      </c>
    </row>
    <row r="408" spans="1:20" customFormat="1">
      <c r="A408" s="10"/>
      <c r="B408" s="4"/>
      <c r="C408" s="4"/>
      <c r="D408" s="133" t="s">
        <v>676</v>
      </c>
      <c r="E408" s="664" t="str">
        <f>+VLOOKUP(F408,Resumen_Base!$C$8:$G$287,5,0)</f>
        <v>Services/House</v>
      </c>
      <c r="F408" s="152" t="s">
        <v>321</v>
      </c>
      <c r="G408" s="4" t="s">
        <v>322</v>
      </c>
      <c r="H408" s="4" t="str">
        <f t="shared" si="6"/>
        <v>CAR5226</v>
      </c>
      <c r="I408" s="196">
        <v>1253760.3999999999</v>
      </c>
      <c r="J408" s="196">
        <v>858.74</v>
      </c>
      <c r="K408" s="196">
        <v>1460</v>
      </c>
      <c r="L408" s="454" t="s">
        <v>1049</v>
      </c>
      <c r="M408" s="4" t="s">
        <v>780</v>
      </c>
      <c r="N408" s="133" t="s">
        <v>1407</v>
      </c>
      <c r="O408" s="4" t="s">
        <v>2233</v>
      </c>
      <c r="P408" s="4" t="s">
        <v>892</v>
      </c>
      <c r="Q408" s="4" t="s">
        <v>2234</v>
      </c>
      <c r="R408" s="4" t="s">
        <v>2134</v>
      </c>
      <c r="S408" s="4" t="s">
        <v>2235</v>
      </c>
      <c r="T408" s="4" t="s">
        <v>786</v>
      </c>
    </row>
    <row r="409" spans="1:20" customFormat="1">
      <c r="A409" s="10"/>
      <c r="B409" s="4"/>
      <c r="C409" s="4"/>
      <c r="D409" s="133" t="s">
        <v>676</v>
      </c>
      <c r="E409" s="664" t="str">
        <f>+VLOOKUP(F409,Resumen_Base!$C$8:$G$287,5,0)</f>
        <v>Services/House</v>
      </c>
      <c r="F409" s="152" t="s">
        <v>321</v>
      </c>
      <c r="G409" s="4" t="s">
        <v>322</v>
      </c>
      <c r="H409" s="4" t="str">
        <f t="shared" si="6"/>
        <v>CAR5226</v>
      </c>
      <c r="I409" s="196">
        <v>1253760.3999999999</v>
      </c>
      <c r="J409" s="196">
        <v>858.74</v>
      </c>
      <c r="K409" s="196">
        <v>1460</v>
      </c>
      <c r="L409" s="454" t="s">
        <v>1049</v>
      </c>
      <c r="M409" s="4" t="s">
        <v>780</v>
      </c>
      <c r="N409" s="133" t="s">
        <v>1407</v>
      </c>
      <c r="O409" s="4" t="s">
        <v>2233</v>
      </c>
      <c r="P409" s="4" t="s">
        <v>892</v>
      </c>
      <c r="Q409" s="4" t="s">
        <v>2234</v>
      </c>
      <c r="R409" s="4" t="s">
        <v>2130</v>
      </c>
      <c r="S409" s="4" t="s">
        <v>2235</v>
      </c>
      <c r="T409" s="4" t="s">
        <v>786</v>
      </c>
    </row>
    <row r="410" spans="1:20" customFormat="1">
      <c r="A410" s="10"/>
      <c r="B410" s="4"/>
      <c r="C410" s="4"/>
      <c r="D410" s="133" t="s">
        <v>676</v>
      </c>
      <c r="E410" s="664" t="str">
        <f>+VLOOKUP(F410,Resumen_Base!$C$8:$G$287,5,0)</f>
        <v>Services/House</v>
      </c>
      <c r="F410" s="152" t="s">
        <v>321</v>
      </c>
      <c r="G410" s="4" t="s">
        <v>322</v>
      </c>
      <c r="H410" s="4" t="str">
        <f t="shared" si="6"/>
        <v>CAR5226</v>
      </c>
      <c r="I410" s="196">
        <v>1277602.2</v>
      </c>
      <c r="J410" s="196">
        <v>875.07</v>
      </c>
      <c r="K410" s="196">
        <v>1460</v>
      </c>
      <c r="L410" s="454" t="s">
        <v>1049</v>
      </c>
      <c r="M410" s="4" t="s">
        <v>780</v>
      </c>
      <c r="N410" s="133" t="s">
        <v>1407</v>
      </c>
      <c r="O410" s="4" t="s">
        <v>2233</v>
      </c>
      <c r="P410" s="4" t="s">
        <v>892</v>
      </c>
      <c r="Q410" s="4" t="s">
        <v>2234</v>
      </c>
      <c r="R410" s="4" t="s">
        <v>2150</v>
      </c>
      <c r="S410" s="4" t="s">
        <v>2235</v>
      </c>
      <c r="T410" s="4" t="s">
        <v>786</v>
      </c>
    </row>
    <row r="411" spans="1:20" customFormat="1">
      <c r="A411" s="10"/>
      <c r="B411" s="4"/>
      <c r="C411" s="4"/>
      <c r="D411" s="133" t="s">
        <v>676</v>
      </c>
      <c r="E411" s="664" t="str">
        <f>+VLOOKUP(F411,Resumen_Base!$C$8:$G$287,5,0)</f>
        <v>Services/House</v>
      </c>
      <c r="F411" s="152" t="s">
        <v>321</v>
      </c>
      <c r="G411" s="4" t="s">
        <v>322</v>
      </c>
      <c r="H411" s="4" t="str">
        <f t="shared" si="6"/>
        <v>CAR5226</v>
      </c>
      <c r="I411" s="196">
        <v>1277602.2</v>
      </c>
      <c r="J411" s="196">
        <v>875.07</v>
      </c>
      <c r="K411" s="196">
        <v>1460</v>
      </c>
      <c r="L411" s="454" t="s">
        <v>1049</v>
      </c>
      <c r="M411" s="4" t="s">
        <v>780</v>
      </c>
      <c r="N411" s="133" t="s">
        <v>1407</v>
      </c>
      <c r="O411" s="4" t="s">
        <v>2233</v>
      </c>
      <c r="P411" s="4" t="s">
        <v>892</v>
      </c>
      <c r="Q411" s="4" t="s">
        <v>2234</v>
      </c>
      <c r="R411" s="4" t="s">
        <v>2132</v>
      </c>
      <c r="S411" s="4" t="s">
        <v>2235</v>
      </c>
      <c r="T411" s="4" t="s">
        <v>786</v>
      </c>
    </row>
    <row r="412" spans="1:20" customFormat="1">
      <c r="A412" s="10"/>
      <c r="B412" s="4"/>
      <c r="C412" s="4"/>
      <c r="D412" s="133" t="s">
        <v>676</v>
      </c>
      <c r="E412" s="664" t="str">
        <f>+VLOOKUP(F412,Resumen_Base!$C$8:$G$287,5,0)</f>
        <v>Services/House</v>
      </c>
      <c r="F412" s="152" t="s">
        <v>321</v>
      </c>
      <c r="G412" s="4" t="s">
        <v>322</v>
      </c>
      <c r="H412" s="4" t="str">
        <f t="shared" si="6"/>
        <v>CAR5226</v>
      </c>
      <c r="I412" s="196">
        <v>1277602.2</v>
      </c>
      <c r="J412" s="196">
        <v>875.07</v>
      </c>
      <c r="K412" s="196">
        <v>1460</v>
      </c>
      <c r="L412" s="454" t="s">
        <v>1049</v>
      </c>
      <c r="M412" s="4" t="s">
        <v>780</v>
      </c>
      <c r="N412" s="133" t="s">
        <v>1407</v>
      </c>
      <c r="O412" s="4" t="s">
        <v>2236</v>
      </c>
      <c r="P412" s="4" t="s">
        <v>892</v>
      </c>
      <c r="Q412" s="4" t="s">
        <v>2237</v>
      </c>
      <c r="R412" s="4" t="s">
        <v>2150</v>
      </c>
      <c r="S412" s="4" t="s">
        <v>2238</v>
      </c>
      <c r="T412" s="4" t="s">
        <v>786</v>
      </c>
    </row>
    <row r="413" spans="1:20" customFormat="1">
      <c r="A413" s="10"/>
      <c r="B413" s="4"/>
      <c r="C413" s="4"/>
      <c r="D413" s="133" t="s">
        <v>676</v>
      </c>
      <c r="E413" s="664" t="str">
        <f>+VLOOKUP(F413,Resumen_Base!$C$8:$G$287,5,0)</f>
        <v>Services/House</v>
      </c>
      <c r="F413" s="152" t="s">
        <v>321</v>
      </c>
      <c r="G413" s="4" t="s">
        <v>322</v>
      </c>
      <c r="H413" s="4" t="str">
        <f t="shared" si="6"/>
        <v>CAR5226</v>
      </c>
      <c r="I413" s="196">
        <v>1253760.3999999999</v>
      </c>
      <c r="J413" s="196">
        <v>858.74</v>
      </c>
      <c r="K413" s="196">
        <v>1460</v>
      </c>
      <c r="L413" s="454" t="s">
        <v>1049</v>
      </c>
      <c r="M413" s="4" t="s">
        <v>780</v>
      </c>
      <c r="N413" s="133" t="s">
        <v>1407</v>
      </c>
      <c r="O413" s="4" t="s">
        <v>2236</v>
      </c>
      <c r="P413" s="4" t="s">
        <v>892</v>
      </c>
      <c r="Q413" s="4" t="s">
        <v>2237</v>
      </c>
      <c r="R413" s="4" t="s">
        <v>2130</v>
      </c>
      <c r="S413" s="4" t="s">
        <v>2238</v>
      </c>
      <c r="T413" s="4" t="s">
        <v>786</v>
      </c>
    </row>
    <row r="414" spans="1:20" customFormat="1">
      <c r="A414" s="10"/>
      <c r="B414" s="4"/>
      <c r="C414" s="4"/>
      <c r="D414" s="133" t="s">
        <v>676</v>
      </c>
      <c r="E414" s="664" t="str">
        <f>+VLOOKUP(F414,Resumen_Base!$C$8:$G$287,5,0)</f>
        <v>Services/House</v>
      </c>
      <c r="F414" s="152" t="s">
        <v>321</v>
      </c>
      <c r="G414" s="4" t="s">
        <v>322</v>
      </c>
      <c r="H414" s="4" t="str">
        <f t="shared" si="6"/>
        <v>CAR5226</v>
      </c>
      <c r="I414" s="196">
        <v>1277602.2</v>
      </c>
      <c r="J414" s="196">
        <v>875.07</v>
      </c>
      <c r="K414" s="196">
        <v>1460</v>
      </c>
      <c r="L414" s="454" t="s">
        <v>1049</v>
      </c>
      <c r="M414" s="4" t="s">
        <v>780</v>
      </c>
      <c r="N414" s="133" t="s">
        <v>1407</v>
      </c>
      <c r="O414" s="4" t="s">
        <v>2236</v>
      </c>
      <c r="P414" s="4" t="s">
        <v>892</v>
      </c>
      <c r="Q414" s="4" t="s">
        <v>2237</v>
      </c>
      <c r="R414" s="4" t="s">
        <v>2132</v>
      </c>
      <c r="S414" s="4" t="s">
        <v>2238</v>
      </c>
      <c r="T414" s="4" t="s">
        <v>786</v>
      </c>
    </row>
    <row r="415" spans="1:20" customFormat="1">
      <c r="A415" s="10"/>
      <c r="B415" s="4"/>
      <c r="C415" s="4"/>
      <c r="D415" s="133" t="s">
        <v>676</v>
      </c>
      <c r="E415" s="664" t="str">
        <f>+VLOOKUP(F415,Resumen_Base!$C$8:$G$287,5,0)</f>
        <v>Services/House</v>
      </c>
      <c r="F415" s="152" t="s">
        <v>321</v>
      </c>
      <c r="G415" s="4" t="s">
        <v>322</v>
      </c>
      <c r="H415" s="4" t="str">
        <f t="shared" si="6"/>
        <v>CAR5226</v>
      </c>
      <c r="I415" s="196">
        <v>1253760.3999999999</v>
      </c>
      <c r="J415" s="196">
        <v>858.74</v>
      </c>
      <c r="K415" s="196">
        <v>1460</v>
      </c>
      <c r="L415" s="454" t="s">
        <v>1049</v>
      </c>
      <c r="M415" s="4" t="s">
        <v>780</v>
      </c>
      <c r="N415" s="133" t="s">
        <v>1407</v>
      </c>
      <c r="O415" s="4" t="s">
        <v>2236</v>
      </c>
      <c r="P415" s="4" t="s">
        <v>892</v>
      </c>
      <c r="Q415" s="4" t="s">
        <v>2237</v>
      </c>
      <c r="R415" s="4" t="s">
        <v>2134</v>
      </c>
      <c r="S415" s="4" t="s">
        <v>2238</v>
      </c>
      <c r="T415" s="4" t="s">
        <v>786</v>
      </c>
    </row>
    <row r="416" spans="1:20" customFormat="1">
      <c r="A416" s="10"/>
      <c r="B416" s="4"/>
      <c r="C416" s="4"/>
      <c r="D416" s="133" t="s">
        <v>676</v>
      </c>
      <c r="E416" s="664" t="str">
        <f>+VLOOKUP(F416,Resumen_Base!$C$8:$G$287,5,0)</f>
        <v>Services/House</v>
      </c>
      <c r="F416" s="152" t="s">
        <v>321</v>
      </c>
      <c r="G416" s="4" t="s">
        <v>322</v>
      </c>
      <c r="H416" s="4" t="str">
        <f t="shared" si="6"/>
        <v>CAR5226</v>
      </c>
      <c r="I416" s="196">
        <v>2272000</v>
      </c>
      <c r="J416" s="196">
        <v>1600</v>
      </c>
      <c r="K416" s="196">
        <v>1420</v>
      </c>
      <c r="L416" s="454" t="s">
        <v>1109</v>
      </c>
      <c r="M416" s="4" t="s">
        <v>780</v>
      </c>
      <c r="N416" s="133" t="s">
        <v>1407</v>
      </c>
      <c r="O416" s="4" t="s">
        <v>2347</v>
      </c>
      <c r="P416" s="4" t="s">
        <v>892</v>
      </c>
      <c r="Q416" s="4" t="s">
        <v>2348</v>
      </c>
      <c r="R416" s="4" t="s">
        <v>2352</v>
      </c>
      <c r="S416" s="4" t="s">
        <v>2350</v>
      </c>
      <c r="T416" s="4" t="s">
        <v>786</v>
      </c>
    </row>
    <row r="417" spans="1:20" customFormat="1">
      <c r="A417" s="10"/>
      <c r="B417" s="4"/>
      <c r="C417" s="4"/>
      <c r="D417" s="133" t="s">
        <v>676</v>
      </c>
      <c r="E417" s="664" t="str">
        <f>+VLOOKUP(F417,Resumen_Base!$C$8:$G$287,5,0)</f>
        <v>Services/House</v>
      </c>
      <c r="F417" s="152" t="s">
        <v>321</v>
      </c>
      <c r="G417" s="4" t="s">
        <v>322</v>
      </c>
      <c r="H417" s="4" t="str">
        <f t="shared" si="6"/>
        <v>CAR5226</v>
      </c>
      <c r="I417" s="196">
        <v>355000</v>
      </c>
      <c r="J417" s="196">
        <v>250</v>
      </c>
      <c r="K417" s="196">
        <v>1420</v>
      </c>
      <c r="L417" s="454" t="s">
        <v>1109</v>
      </c>
      <c r="M417" s="4" t="s">
        <v>780</v>
      </c>
      <c r="N417" s="133" t="s">
        <v>1407</v>
      </c>
      <c r="O417" s="4" t="s">
        <v>2347</v>
      </c>
      <c r="P417" s="4" t="s">
        <v>892</v>
      </c>
      <c r="Q417" s="4" t="s">
        <v>2348</v>
      </c>
      <c r="R417" s="4" t="s">
        <v>2349</v>
      </c>
      <c r="S417" s="4" t="s">
        <v>2350</v>
      </c>
      <c r="T417" s="4" t="s">
        <v>786</v>
      </c>
    </row>
    <row r="418" spans="1:20" customFormat="1">
      <c r="A418" s="10"/>
      <c r="B418" s="4"/>
      <c r="C418" s="4"/>
      <c r="D418" s="133" t="s">
        <v>676</v>
      </c>
      <c r="E418" s="664" t="str">
        <f>+VLOOKUP(F418,Resumen_Base!$C$8:$G$287,5,0)</f>
        <v>Services/House</v>
      </c>
      <c r="F418" s="152" t="s">
        <v>321</v>
      </c>
      <c r="G418" s="4" t="s">
        <v>322</v>
      </c>
      <c r="H418" s="4" t="str">
        <f t="shared" si="6"/>
        <v>CAR5226</v>
      </c>
      <c r="I418" s="196">
        <v>428840</v>
      </c>
      <c r="J418" s="196">
        <v>302</v>
      </c>
      <c r="K418" s="196">
        <v>1420</v>
      </c>
      <c r="L418" s="454" t="s">
        <v>1113</v>
      </c>
      <c r="M418" s="4" t="s">
        <v>780</v>
      </c>
      <c r="N418" s="133" t="s">
        <v>1407</v>
      </c>
      <c r="O418" s="4" t="s">
        <v>1114</v>
      </c>
      <c r="P418" s="4" t="s">
        <v>892</v>
      </c>
      <c r="Q418" s="4" t="s">
        <v>1115</v>
      </c>
      <c r="R418" s="4" t="s">
        <v>2377</v>
      </c>
      <c r="S418" s="4" t="s">
        <v>1117</v>
      </c>
      <c r="T418" s="4" t="s">
        <v>786</v>
      </c>
    </row>
    <row r="419" spans="1:20" customFormat="1">
      <c r="A419" s="10"/>
      <c r="B419" s="4"/>
      <c r="C419" s="4"/>
      <c r="D419" s="133" t="s">
        <v>676</v>
      </c>
      <c r="E419" s="664" t="str">
        <f>+VLOOKUP(F419,Resumen_Base!$C$8:$G$287,5,0)</f>
        <v>Services/House</v>
      </c>
      <c r="F419" s="152" t="s">
        <v>321</v>
      </c>
      <c r="G419" s="4" t="s">
        <v>322</v>
      </c>
      <c r="H419" s="4" t="str">
        <f t="shared" si="6"/>
        <v>CAR5226</v>
      </c>
      <c r="I419" s="196">
        <v>2141360</v>
      </c>
      <c r="J419" s="196">
        <v>1508</v>
      </c>
      <c r="K419" s="196">
        <v>1420</v>
      </c>
      <c r="L419" s="454" t="s">
        <v>1113</v>
      </c>
      <c r="M419" s="4" t="s">
        <v>780</v>
      </c>
      <c r="N419" s="133" t="s">
        <v>1407</v>
      </c>
      <c r="O419" s="4" t="s">
        <v>1114</v>
      </c>
      <c r="P419" s="4" t="s">
        <v>892</v>
      </c>
      <c r="Q419" s="4" t="s">
        <v>1115</v>
      </c>
      <c r="R419" s="4" t="s">
        <v>2376</v>
      </c>
      <c r="S419" s="4" t="s">
        <v>1117</v>
      </c>
      <c r="T419" s="4" t="s">
        <v>786</v>
      </c>
    </row>
    <row r="420" spans="1:20" customFormat="1">
      <c r="A420" s="10"/>
      <c r="B420" s="4"/>
      <c r="C420" s="4"/>
      <c r="D420" s="133" t="s">
        <v>676</v>
      </c>
      <c r="E420" s="664" t="str">
        <f>+VLOOKUP(F420,Resumen_Base!$C$8:$G$287,5,0)</f>
        <v>Services/House</v>
      </c>
      <c r="F420" s="152" t="s">
        <v>321</v>
      </c>
      <c r="G420" s="4" t="s">
        <v>322</v>
      </c>
      <c r="H420" s="4" t="str">
        <f t="shared" si="6"/>
        <v>CAR5226</v>
      </c>
      <c r="I420" s="196">
        <v>72817.600000000006</v>
      </c>
      <c r="J420" s="196">
        <v>51.28</v>
      </c>
      <c r="K420" s="196">
        <v>1420</v>
      </c>
      <c r="L420" s="454" t="s">
        <v>1113</v>
      </c>
      <c r="M420" s="4" t="s">
        <v>780</v>
      </c>
      <c r="N420" s="133" t="s">
        <v>1407</v>
      </c>
      <c r="O420" s="4" t="s">
        <v>1114</v>
      </c>
      <c r="P420" s="4" t="s">
        <v>892</v>
      </c>
      <c r="Q420" s="4" t="s">
        <v>1115</v>
      </c>
      <c r="R420" s="4" t="s">
        <v>2378</v>
      </c>
      <c r="S420" s="4" t="s">
        <v>1117</v>
      </c>
      <c r="T420" s="4" t="s">
        <v>786</v>
      </c>
    </row>
    <row r="421" spans="1:20" customFormat="1">
      <c r="A421" s="10"/>
      <c r="B421" s="4"/>
      <c r="C421" s="4"/>
      <c r="D421" s="133" t="s">
        <v>676</v>
      </c>
      <c r="E421" s="664" t="str">
        <f>+VLOOKUP(F421,Resumen_Base!$C$8:$G$287,5,0)</f>
        <v>Services/House</v>
      </c>
      <c r="F421" s="152" t="s">
        <v>321</v>
      </c>
      <c r="G421" s="4" t="s">
        <v>322</v>
      </c>
      <c r="H421" s="4" t="str">
        <f t="shared" si="6"/>
        <v>CAR5226</v>
      </c>
      <c r="I421" s="196">
        <v>200262.6</v>
      </c>
      <c r="J421" s="196">
        <v>141.03</v>
      </c>
      <c r="K421" s="196">
        <v>1420</v>
      </c>
      <c r="L421" s="454" t="s">
        <v>1093</v>
      </c>
      <c r="M421" s="4" t="s">
        <v>780</v>
      </c>
      <c r="N421" s="133" t="s">
        <v>1407</v>
      </c>
      <c r="O421" s="4" t="s">
        <v>1129</v>
      </c>
      <c r="P421" s="4" t="s">
        <v>892</v>
      </c>
      <c r="Q421" s="4" t="s">
        <v>1130</v>
      </c>
      <c r="R421" s="4" t="s">
        <v>2393</v>
      </c>
      <c r="S421" s="4" t="s">
        <v>1132</v>
      </c>
      <c r="T421" s="4" t="s">
        <v>786</v>
      </c>
    </row>
    <row r="422" spans="1:20" customFormat="1">
      <c r="A422" s="10"/>
      <c r="B422" s="4"/>
      <c r="C422" s="4"/>
      <c r="D422" s="133" t="s">
        <v>676</v>
      </c>
      <c r="E422" s="664" t="str">
        <f>+VLOOKUP(F422,Resumen_Base!$C$8:$G$287,5,0)</f>
        <v>Services/House</v>
      </c>
      <c r="F422" s="152" t="s">
        <v>321</v>
      </c>
      <c r="G422" s="4" t="s">
        <v>322</v>
      </c>
      <c r="H422" s="4" t="str">
        <f t="shared" si="6"/>
        <v>CAR5226</v>
      </c>
      <c r="I422" s="196">
        <v>852000</v>
      </c>
      <c r="J422" s="196">
        <v>600</v>
      </c>
      <c r="K422" s="196">
        <v>1420</v>
      </c>
      <c r="L422" s="454" t="s">
        <v>1093</v>
      </c>
      <c r="M422" s="4" t="s">
        <v>780</v>
      </c>
      <c r="N422" s="133" t="s">
        <v>1407</v>
      </c>
      <c r="O422" s="4" t="s">
        <v>2397</v>
      </c>
      <c r="P422" s="4" t="s">
        <v>892</v>
      </c>
      <c r="Q422" s="4" t="s">
        <v>2398</v>
      </c>
      <c r="R422" s="4" t="s">
        <v>2399</v>
      </c>
      <c r="S422" s="4" t="s">
        <v>2400</v>
      </c>
      <c r="T422" s="4" t="s">
        <v>786</v>
      </c>
    </row>
    <row r="423" spans="1:20" customFormat="1">
      <c r="A423" s="10"/>
      <c r="B423" s="4"/>
      <c r="C423" s="4"/>
      <c r="D423" s="133" t="s">
        <v>676</v>
      </c>
      <c r="E423" s="664" t="str">
        <f>+VLOOKUP(F423,Resumen_Base!$C$8:$G$287,5,0)</f>
        <v>Services/House</v>
      </c>
      <c r="F423" s="152" t="s">
        <v>321</v>
      </c>
      <c r="G423" s="4" t="s">
        <v>322</v>
      </c>
      <c r="H423" s="4" t="str">
        <f t="shared" si="6"/>
        <v>CAR5226</v>
      </c>
      <c r="I423" s="196">
        <v>2698</v>
      </c>
      <c r="J423" s="196">
        <v>1.9</v>
      </c>
      <c r="K423" s="196">
        <v>1420</v>
      </c>
      <c r="L423" s="454" t="s">
        <v>1081</v>
      </c>
      <c r="M423" s="4" t="s">
        <v>780</v>
      </c>
      <c r="N423" s="133" t="s">
        <v>1407</v>
      </c>
      <c r="O423" s="4" t="s">
        <v>2407</v>
      </c>
      <c r="P423" s="4" t="s">
        <v>892</v>
      </c>
      <c r="Q423" s="4" t="s">
        <v>2408</v>
      </c>
      <c r="R423" s="4" t="s">
        <v>2001</v>
      </c>
      <c r="S423" s="4" t="s">
        <v>2409</v>
      </c>
      <c r="T423" s="4" t="s">
        <v>786</v>
      </c>
    </row>
    <row r="424" spans="1:20" customFormat="1">
      <c r="A424" s="10"/>
      <c r="B424" s="4"/>
      <c r="C424" s="4"/>
      <c r="D424" s="133" t="s">
        <v>676</v>
      </c>
      <c r="E424" s="664" t="str">
        <f>+VLOOKUP(F424,Resumen_Base!$C$8:$G$287,5,0)</f>
        <v>Services/House</v>
      </c>
      <c r="F424" s="152" t="s">
        <v>321</v>
      </c>
      <c r="G424" s="4" t="s">
        <v>322</v>
      </c>
      <c r="H424" s="4" t="str">
        <f t="shared" si="6"/>
        <v>CAR5226</v>
      </c>
      <c r="I424" s="196">
        <v>828371.2</v>
      </c>
      <c r="J424" s="196">
        <v>583.36</v>
      </c>
      <c r="K424" s="196">
        <v>1420</v>
      </c>
      <c r="L424" s="454" t="s">
        <v>1081</v>
      </c>
      <c r="M424" s="4" t="s">
        <v>780</v>
      </c>
      <c r="N424" s="133" t="s">
        <v>1407</v>
      </c>
      <c r="O424" s="4" t="s">
        <v>2407</v>
      </c>
      <c r="P424" s="4" t="s">
        <v>892</v>
      </c>
      <c r="Q424" s="4" t="s">
        <v>2408</v>
      </c>
      <c r="R424" s="4" t="s">
        <v>2415</v>
      </c>
      <c r="S424" s="4" t="s">
        <v>2409</v>
      </c>
      <c r="T424" s="4" t="s">
        <v>786</v>
      </c>
    </row>
    <row r="425" spans="1:20" customFormat="1">
      <c r="A425" s="10"/>
      <c r="B425" s="4"/>
      <c r="C425" s="4"/>
      <c r="D425" s="133" t="s">
        <v>676</v>
      </c>
      <c r="E425" s="664" t="str">
        <f>+VLOOKUP(F425,Resumen_Base!$C$8:$G$287,5,0)</f>
        <v>Services/House</v>
      </c>
      <c r="F425" s="152" t="s">
        <v>321</v>
      </c>
      <c r="G425" s="4" t="s">
        <v>322</v>
      </c>
      <c r="H425" s="4" t="str">
        <f t="shared" si="6"/>
        <v>CAR5226</v>
      </c>
      <c r="I425" s="196">
        <v>828371.2</v>
      </c>
      <c r="J425" s="196">
        <v>583.36</v>
      </c>
      <c r="K425" s="196">
        <v>1420</v>
      </c>
      <c r="L425" s="454" t="s">
        <v>1081</v>
      </c>
      <c r="M425" s="4" t="s">
        <v>780</v>
      </c>
      <c r="N425" s="133" t="s">
        <v>1407</v>
      </c>
      <c r="O425" s="4" t="s">
        <v>2407</v>
      </c>
      <c r="P425" s="4" t="s">
        <v>892</v>
      </c>
      <c r="Q425" s="4" t="s">
        <v>2408</v>
      </c>
      <c r="R425" s="4" t="s">
        <v>2410</v>
      </c>
      <c r="S425" s="4" t="s">
        <v>2409</v>
      </c>
      <c r="T425" s="4" t="s">
        <v>786</v>
      </c>
    </row>
    <row r="426" spans="1:20" customFormat="1">
      <c r="A426" s="10"/>
      <c r="B426" s="4"/>
      <c r="C426" s="4"/>
      <c r="D426" s="133" t="s">
        <v>676</v>
      </c>
      <c r="E426" s="664" t="str">
        <f>+VLOOKUP(F426,Resumen_Base!$C$8:$G$287,5,0)</f>
        <v>Services/House</v>
      </c>
      <c r="F426" s="152" t="s">
        <v>321</v>
      </c>
      <c r="G426" s="4" t="s">
        <v>322</v>
      </c>
      <c r="H426" s="4" t="str">
        <f t="shared" si="6"/>
        <v>CAR5226</v>
      </c>
      <c r="I426" s="196">
        <v>812907.4</v>
      </c>
      <c r="J426" s="196">
        <v>572.47</v>
      </c>
      <c r="K426" s="196">
        <v>1420</v>
      </c>
      <c r="L426" s="454" t="s">
        <v>1081</v>
      </c>
      <c r="M426" s="4" t="s">
        <v>780</v>
      </c>
      <c r="N426" s="133" t="s">
        <v>1407</v>
      </c>
      <c r="O426" s="4" t="s">
        <v>2407</v>
      </c>
      <c r="P426" s="4" t="s">
        <v>892</v>
      </c>
      <c r="Q426" s="4" t="s">
        <v>2408</v>
      </c>
      <c r="R426" s="4" t="s">
        <v>2412</v>
      </c>
      <c r="S426" s="4" t="s">
        <v>2409</v>
      </c>
      <c r="T426" s="4" t="s">
        <v>786</v>
      </c>
    </row>
    <row r="427" spans="1:20" customFormat="1">
      <c r="A427" s="10"/>
      <c r="B427" s="4"/>
      <c r="C427" s="4"/>
      <c r="D427" s="133" t="s">
        <v>676</v>
      </c>
      <c r="E427" s="664" t="str">
        <f>+VLOOKUP(F427,Resumen_Base!$C$8:$G$287,5,0)</f>
        <v>Services/House</v>
      </c>
      <c r="F427" s="152" t="s">
        <v>321</v>
      </c>
      <c r="G427" s="4" t="s">
        <v>322</v>
      </c>
      <c r="H427" s="4" t="str">
        <f t="shared" si="6"/>
        <v>CAR5226</v>
      </c>
      <c r="I427" s="196">
        <v>2698</v>
      </c>
      <c r="J427" s="196">
        <v>1.9</v>
      </c>
      <c r="K427" s="196">
        <v>1420</v>
      </c>
      <c r="L427" s="454" t="s">
        <v>1081</v>
      </c>
      <c r="M427" s="4" t="s">
        <v>780</v>
      </c>
      <c r="N427" s="133" t="s">
        <v>1407</v>
      </c>
      <c r="O427" s="4" t="s">
        <v>2407</v>
      </c>
      <c r="P427" s="4" t="s">
        <v>892</v>
      </c>
      <c r="Q427" s="4" t="s">
        <v>2408</v>
      </c>
      <c r="R427" s="4" t="s">
        <v>1456</v>
      </c>
      <c r="S427" s="4" t="s">
        <v>2409</v>
      </c>
      <c r="T427" s="4" t="s">
        <v>786</v>
      </c>
    </row>
    <row r="428" spans="1:20" customFormat="1">
      <c r="A428" s="10"/>
      <c r="B428" s="4"/>
      <c r="C428" s="4"/>
      <c r="D428" s="133" t="s">
        <v>676</v>
      </c>
      <c r="E428" s="664" t="str">
        <f>+VLOOKUP(F428,Resumen_Base!$C$8:$G$287,5,0)</f>
        <v>Services/House</v>
      </c>
      <c r="F428" s="152" t="s">
        <v>321</v>
      </c>
      <c r="G428" s="4" t="s">
        <v>322</v>
      </c>
      <c r="H428" s="4" t="str">
        <f t="shared" si="6"/>
        <v>CAR5226</v>
      </c>
      <c r="I428" s="196">
        <v>812907.4</v>
      </c>
      <c r="J428" s="196">
        <v>572.47</v>
      </c>
      <c r="K428" s="196">
        <v>1420</v>
      </c>
      <c r="L428" s="454" t="s">
        <v>1081</v>
      </c>
      <c r="M428" s="4" t="s">
        <v>780</v>
      </c>
      <c r="N428" s="133" t="s">
        <v>1407</v>
      </c>
      <c r="O428" s="4" t="s">
        <v>2407</v>
      </c>
      <c r="P428" s="4" t="s">
        <v>892</v>
      </c>
      <c r="Q428" s="4" t="s">
        <v>2408</v>
      </c>
      <c r="R428" s="4" t="s">
        <v>2413</v>
      </c>
      <c r="S428" s="4" t="s">
        <v>2409</v>
      </c>
      <c r="T428" s="4" t="s">
        <v>786</v>
      </c>
    </row>
    <row r="429" spans="1:20" customFormat="1">
      <c r="A429" s="10"/>
      <c r="B429" s="4"/>
      <c r="C429" s="4"/>
      <c r="D429" s="133" t="s">
        <v>676</v>
      </c>
      <c r="E429" s="664" t="str">
        <f>+VLOOKUP(F429,Resumen_Base!$C$8:$G$287,5,0)</f>
        <v>Services/House</v>
      </c>
      <c r="F429" s="152" t="s">
        <v>321</v>
      </c>
      <c r="G429" s="4" t="s">
        <v>322</v>
      </c>
      <c r="H429" s="4" t="str">
        <f t="shared" si="6"/>
        <v>CAR5226</v>
      </c>
      <c r="I429" s="196">
        <v>2698</v>
      </c>
      <c r="J429" s="196">
        <v>1.9</v>
      </c>
      <c r="K429" s="196">
        <v>1420</v>
      </c>
      <c r="L429" s="454" t="s">
        <v>1081</v>
      </c>
      <c r="M429" s="4" t="s">
        <v>780</v>
      </c>
      <c r="N429" s="133" t="s">
        <v>1407</v>
      </c>
      <c r="O429" s="4" t="s">
        <v>2407</v>
      </c>
      <c r="P429" s="4" t="s">
        <v>892</v>
      </c>
      <c r="Q429" s="4" t="s">
        <v>2408</v>
      </c>
      <c r="R429" s="4" t="s">
        <v>1456</v>
      </c>
      <c r="S429" s="4" t="s">
        <v>2409</v>
      </c>
      <c r="T429" s="4" t="s">
        <v>786</v>
      </c>
    </row>
    <row r="430" spans="1:20" customFormat="1">
      <c r="A430" s="10"/>
      <c r="B430" s="4"/>
      <c r="C430" s="4"/>
      <c r="D430" s="133" t="s">
        <v>676</v>
      </c>
      <c r="E430" s="664" t="str">
        <f>+VLOOKUP(F430,Resumen_Base!$C$8:$G$287,5,0)</f>
        <v>Services/House</v>
      </c>
      <c r="F430" s="152" t="s">
        <v>321</v>
      </c>
      <c r="G430" s="4" t="s">
        <v>322</v>
      </c>
      <c r="H430" s="4" t="str">
        <f t="shared" si="6"/>
        <v>CAR5226</v>
      </c>
      <c r="I430" s="196">
        <v>2698</v>
      </c>
      <c r="J430" s="196">
        <v>1.9</v>
      </c>
      <c r="K430" s="196">
        <v>1420</v>
      </c>
      <c r="L430" s="454" t="s">
        <v>1081</v>
      </c>
      <c r="M430" s="4" t="s">
        <v>780</v>
      </c>
      <c r="N430" s="133" t="s">
        <v>1407</v>
      </c>
      <c r="O430" s="4" t="s">
        <v>2407</v>
      </c>
      <c r="P430" s="4" t="s">
        <v>892</v>
      </c>
      <c r="Q430" s="4" t="s">
        <v>2408</v>
      </c>
      <c r="R430" s="4" t="s">
        <v>1515</v>
      </c>
      <c r="S430" s="4" t="s">
        <v>2409</v>
      </c>
      <c r="T430" s="4" t="s">
        <v>786</v>
      </c>
    </row>
    <row r="431" spans="1:20" customFormat="1">
      <c r="A431" s="10"/>
      <c r="B431" s="4"/>
      <c r="C431" s="4"/>
      <c r="D431" s="133" t="s">
        <v>676</v>
      </c>
      <c r="E431" s="664" t="str">
        <f>+VLOOKUP(F431,Resumen_Base!$C$8:$G$287,5,0)</f>
        <v>Services/House</v>
      </c>
      <c r="F431" s="152" t="s">
        <v>321</v>
      </c>
      <c r="G431" s="4" t="s">
        <v>322</v>
      </c>
      <c r="H431" s="4" t="str">
        <f t="shared" si="6"/>
        <v>CAR5226</v>
      </c>
      <c r="I431" s="196">
        <v>766800</v>
      </c>
      <c r="J431" s="196">
        <v>540</v>
      </c>
      <c r="K431" s="196">
        <v>1420</v>
      </c>
      <c r="L431" s="454" t="s">
        <v>1093</v>
      </c>
      <c r="M431" s="4" t="s">
        <v>780</v>
      </c>
      <c r="N431" s="133" t="s">
        <v>1407</v>
      </c>
      <c r="O431" s="4" t="s">
        <v>2549</v>
      </c>
      <c r="P431" s="4" t="s">
        <v>892</v>
      </c>
      <c r="Q431" s="4" t="s">
        <v>2550</v>
      </c>
      <c r="R431" s="4" t="s">
        <v>2551</v>
      </c>
      <c r="S431" s="4" t="s">
        <v>2552</v>
      </c>
      <c r="T431" s="4" t="s">
        <v>786</v>
      </c>
    </row>
    <row r="432" spans="1:20" customFormat="1">
      <c r="A432" s="10"/>
      <c r="B432" s="4"/>
      <c r="C432" s="4"/>
      <c r="D432" s="133" t="s">
        <v>676</v>
      </c>
      <c r="E432" s="664" t="str">
        <f>+VLOOKUP(F432,Resumen_Base!$C$8:$G$287,5,0)</f>
        <v>Services/House</v>
      </c>
      <c r="F432" s="152" t="s">
        <v>321</v>
      </c>
      <c r="G432" s="4" t="s">
        <v>322</v>
      </c>
      <c r="H432" s="4" t="str">
        <f t="shared" si="6"/>
        <v>CAR5226</v>
      </c>
      <c r="I432" s="196">
        <v>1752000</v>
      </c>
      <c r="J432" s="196">
        <v>1200</v>
      </c>
      <c r="K432" s="196">
        <v>1460</v>
      </c>
      <c r="L432" s="454" t="s">
        <v>1093</v>
      </c>
      <c r="M432" s="4" t="s">
        <v>780</v>
      </c>
      <c r="N432" s="133" t="s">
        <v>1407</v>
      </c>
      <c r="O432" s="4" t="s">
        <v>2549</v>
      </c>
      <c r="P432" s="4" t="s">
        <v>892</v>
      </c>
      <c r="Q432" s="4" t="s">
        <v>2550</v>
      </c>
      <c r="R432" s="4" t="s">
        <v>2553</v>
      </c>
      <c r="S432" s="4" t="s">
        <v>2552</v>
      </c>
      <c r="T432" s="4" t="s">
        <v>786</v>
      </c>
    </row>
    <row r="433" spans="1:20" customFormat="1">
      <c r="A433" s="10"/>
      <c r="B433" s="4"/>
      <c r="C433" s="4"/>
      <c r="D433" s="133" t="s">
        <v>676</v>
      </c>
      <c r="E433" s="664" t="str">
        <f>+VLOOKUP(F433,Resumen_Base!$C$8:$G$287,5,0)</f>
        <v>Services/House</v>
      </c>
      <c r="F433" s="152" t="s">
        <v>321</v>
      </c>
      <c r="G433" s="4" t="s">
        <v>322</v>
      </c>
      <c r="H433" s="4" t="str">
        <f t="shared" si="6"/>
        <v>CAR5226</v>
      </c>
      <c r="I433" s="196">
        <v>273080.2</v>
      </c>
      <c r="J433" s="196">
        <v>192.31</v>
      </c>
      <c r="K433" s="196">
        <v>1420</v>
      </c>
      <c r="L433" s="454" t="s">
        <v>1205</v>
      </c>
      <c r="M433" s="4" t="s">
        <v>780</v>
      </c>
      <c r="N433" s="133" t="s">
        <v>1407</v>
      </c>
      <c r="O433" s="4" t="s">
        <v>1214</v>
      </c>
      <c r="P433" s="4" t="s">
        <v>892</v>
      </c>
      <c r="Q433" s="4" t="s">
        <v>1215</v>
      </c>
      <c r="R433" s="4" t="s">
        <v>2562</v>
      </c>
      <c r="S433" s="4" t="s">
        <v>1217</v>
      </c>
      <c r="T433" s="4" t="s">
        <v>786</v>
      </c>
    </row>
    <row r="434" spans="1:20" customFormat="1">
      <c r="A434" s="10"/>
      <c r="B434" s="4"/>
      <c r="C434" s="4"/>
      <c r="D434" s="133" t="s">
        <v>676</v>
      </c>
      <c r="E434" s="664" t="str">
        <f>+VLOOKUP(F434,Resumen_Base!$C$8:$G$287,5,0)</f>
        <v>Services/House</v>
      </c>
      <c r="F434" s="152" t="s">
        <v>321</v>
      </c>
      <c r="G434" s="4" t="s">
        <v>322</v>
      </c>
      <c r="H434" s="4" t="str">
        <f t="shared" si="6"/>
        <v>CAR5226</v>
      </c>
      <c r="I434" s="196">
        <v>282695.7</v>
      </c>
      <c r="J434" s="196">
        <v>192.31</v>
      </c>
      <c r="K434" s="196">
        <v>1470</v>
      </c>
      <c r="L434" s="454" t="s">
        <v>1239</v>
      </c>
      <c r="M434" s="4" t="s">
        <v>780</v>
      </c>
      <c r="N434" s="133" t="s">
        <v>1407</v>
      </c>
      <c r="O434" s="4" t="s">
        <v>2601</v>
      </c>
      <c r="P434" s="4" t="s">
        <v>892</v>
      </c>
      <c r="Q434" s="4" t="s">
        <v>2602</v>
      </c>
      <c r="R434" s="4" t="s">
        <v>2603</v>
      </c>
      <c r="S434" s="4" t="s">
        <v>2604</v>
      </c>
      <c r="T434" s="4" t="s">
        <v>786</v>
      </c>
    </row>
    <row r="435" spans="1:20" customFormat="1">
      <c r="A435" s="10"/>
      <c r="B435" s="4"/>
      <c r="C435" s="4"/>
      <c r="D435" s="133" t="s">
        <v>676</v>
      </c>
      <c r="E435" s="664" t="str">
        <f>+VLOOKUP(F435,Resumen_Base!$C$8:$G$287,5,0)</f>
        <v>Services/House</v>
      </c>
      <c r="F435" s="152" t="s">
        <v>321</v>
      </c>
      <c r="G435" s="4" t="s">
        <v>322</v>
      </c>
      <c r="H435" s="4" t="str">
        <f t="shared" si="6"/>
        <v>CAR5226</v>
      </c>
      <c r="I435" s="196">
        <v>272934.90000000002</v>
      </c>
      <c r="J435" s="196">
        <v>185.67</v>
      </c>
      <c r="K435" s="196">
        <v>1470</v>
      </c>
      <c r="L435" s="454" t="s">
        <v>1239</v>
      </c>
      <c r="M435" s="4" t="s">
        <v>780</v>
      </c>
      <c r="N435" s="133" t="s">
        <v>1407</v>
      </c>
      <c r="O435" s="4" t="s">
        <v>2601</v>
      </c>
      <c r="P435" s="4" t="s">
        <v>892</v>
      </c>
      <c r="Q435" s="4" t="s">
        <v>2602</v>
      </c>
      <c r="R435" s="4" t="s">
        <v>2605</v>
      </c>
      <c r="S435" s="4" t="s">
        <v>2604</v>
      </c>
      <c r="T435" s="4" t="s">
        <v>786</v>
      </c>
    </row>
    <row r="436" spans="1:20" customFormat="1">
      <c r="A436" s="10"/>
      <c r="B436" s="4"/>
      <c r="C436" s="4"/>
      <c r="D436" s="133" t="s">
        <v>676</v>
      </c>
      <c r="E436" s="664" t="str">
        <f>+VLOOKUP(F436,Resumen_Base!$C$8:$G$287,5,0)</f>
        <v>Services/House</v>
      </c>
      <c r="F436" s="152" t="s">
        <v>321</v>
      </c>
      <c r="G436" s="4" t="s">
        <v>322</v>
      </c>
      <c r="H436" s="4" t="str">
        <f t="shared" si="6"/>
        <v>CAR5226</v>
      </c>
      <c r="I436" s="196">
        <v>2754.8</v>
      </c>
      <c r="J436" s="196">
        <v>1.94</v>
      </c>
      <c r="K436" s="196">
        <v>1420</v>
      </c>
      <c r="L436" s="454" t="s">
        <v>1239</v>
      </c>
      <c r="M436" s="4" t="s">
        <v>780</v>
      </c>
      <c r="N436" s="133" t="s">
        <v>1407</v>
      </c>
      <c r="O436" s="4" t="s">
        <v>2630</v>
      </c>
      <c r="P436" s="4" t="s">
        <v>892</v>
      </c>
      <c r="Q436" s="4" t="s">
        <v>2631</v>
      </c>
      <c r="R436" s="4" t="s">
        <v>1515</v>
      </c>
      <c r="S436" s="4" t="s">
        <v>2632</v>
      </c>
      <c r="T436" s="4" t="s">
        <v>786</v>
      </c>
    </row>
    <row r="437" spans="1:20" customFormat="1">
      <c r="A437" s="10"/>
      <c r="B437" s="4"/>
      <c r="C437" s="4"/>
      <c r="D437" s="133" t="s">
        <v>676</v>
      </c>
      <c r="E437" s="664" t="str">
        <f>+VLOOKUP(F437,Resumen_Base!$C$8:$G$287,5,0)</f>
        <v>Services/House</v>
      </c>
      <c r="F437" s="152" t="s">
        <v>321</v>
      </c>
      <c r="G437" s="4" t="s">
        <v>322</v>
      </c>
      <c r="H437" s="4" t="str">
        <f t="shared" si="6"/>
        <v>CAR5226</v>
      </c>
      <c r="I437" s="196">
        <v>620909.19999999995</v>
      </c>
      <c r="J437" s="196">
        <v>437.26</v>
      </c>
      <c r="K437" s="196">
        <v>1420</v>
      </c>
      <c r="L437" s="454" t="s">
        <v>1239</v>
      </c>
      <c r="M437" s="4" t="s">
        <v>780</v>
      </c>
      <c r="N437" s="133" t="s">
        <v>1407</v>
      </c>
      <c r="O437" s="4" t="s">
        <v>2630</v>
      </c>
      <c r="P437" s="4" t="s">
        <v>892</v>
      </c>
      <c r="Q437" s="4" t="s">
        <v>2631</v>
      </c>
      <c r="R437" s="4" t="s">
        <v>2633</v>
      </c>
      <c r="S437" s="4" t="s">
        <v>2632</v>
      </c>
      <c r="T437" s="4" t="s">
        <v>786</v>
      </c>
    </row>
    <row r="438" spans="1:20" customFormat="1">
      <c r="A438" s="10"/>
      <c r="B438" s="4"/>
      <c r="C438" s="4"/>
      <c r="D438" s="133" t="s">
        <v>676</v>
      </c>
      <c r="E438" s="664" t="str">
        <f>+VLOOKUP(F438,Resumen_Base!$C$8:$G$287,5,0)</f>
        <v>Services/House</v>
      </c>
      <c r="F438" s="152" t="s">
        <v>321</v>
      </c>
      <c r="G438" s="4" t="s">
        <v>322</v>
      </c>
      <c r="H438" s="4" t="str">
        <f t="shared" si="6"/>
        <v>CAR5226</v>
      </c>
      <c r="I438" s="196">
        <v>2754.8</v>
      </c>
      <c r="J438" s="196">
        <v>1.94</v>
      </c>
      <c r="K438" s="196">
        <v>1420</v>
      </c>
      <c r="L438" s="454" t="s">
        <v>1239</v>
      </c>
      <c r="M438" s="4" t="s">
        <v>780</v>
      </c>
      <c r="N438" s="133" t="s">
        <v>1407</v>
      </c>
      <c r="O438" s="4" t="s">
        <v>2630</v>
      </c>
      <c r="P438" s="4" t="s">
        <v>892</v>
      </c>
      <c r="Q438" s="4" t="s">
        <v>2631</v>
      </c>
      <c r="R438" s="4" t="s">
        <v>1515</v>
      </c>
      <c r="S438" s="4" t="s">
        <v>2632</v>
      </c>
      <c r="T438" s="4" t="s">
        <v>786</v>
      </c>
    </row>
    <row r="439" spans="1:20" customFormat="1">
      <c r="A439" s="10"/>
      <c r="B439" s="4"/>
      <c r="C439" s="4"/>
      <c r="D439" s="133" t="s">
        <v>676</v>
      </c>
      <c r="E439" s="664" t="str">
        <f>+VLOOKUP(F439,Resumen_Base!$C$8:$G$287,5,0)</f>
        <v>Services/House</v>
      </c>
      <c r="F439" s="152" t="s">
        <v>321</v>
      </c>
      <c r="G439" s="4" t="s">
        <v>322</v>
      </c>
      <c r="H439" s="4" t="str">
        <f t="shared" si="6"/>
        <v>CAR5226</v>
      </c>
      <c r="I439" s="196">
        <v>620909.19999999995</v>
      </c>
      <c r="J439" s="196">
        <v>437.26</v>
      </c>
      <c r="K439" s="196">
        <v>1420</v>
      </c>
      <c r="L439" s="454" t="s">
        <v>1239</v>
      </c>
      <c r="M439" s="4" t="s">
        <v>780</v>
      </c>
      <c r="N439" s="133" t="s">
        <v>1407</v>
      </c>
      <c r="O439" s="4" t="s">
        <v>2630</v>
      </c>
      <c r="P439" s="4" t="s">
        <v>892</v>
      </c>
      <c r="Q439" s="4" t="s">
        <v>2631</v>
      </c>
      <c r="R439" s="4" t="s">
        <v>2635</v>
      </c>
      <c r="S439" s="4" t="s">
        <v>2632</v>
      </c>
      <c r="T439" s="4" t="s">
        <v>786</v>
      </c>
    </row>
    <row r="440" spans="1:20" customFormat="1">
      <c r="A440" s="10"/>
      <c r="B440" s="4"/>
      <c r="C440" s="4"/>
      <c r="D440" s="133" t="s">
        <v>676</v>
      </c>
      <c r="E440" s="664" t="str">
        <f>+VLOOKUP(F440,Resumen_Base!$C$8:$G$287,5,0)</f>
        <v>Services/House</v>
      </c>
      <c r="F440" s="152" t="s">
        <v>321</v>
      </c>
      <c r="G440" s="4" t="s">
        <v>322</v>
      </c>
      <c r="H440" s="4" t="str">
        <f t="shared" si="6"/>
        <v>CAR5226</v>
      </c>
      <c r="I440" s="196">
        <v>2754.8</v>
      </c>
      <c r="J440" s="196">
        <v>1.94</v>
      </c>
      <c r="K440" s="196">
        <v>1420</v>
      </c>
      <c r="L440" s="454" t="s">
        <v>1239</v>
      </c>
      <c r="M440" s="4" t="s">
        <v>780</v>
      </c>
      <c r="N440" s="133" t="s">
        <v>1407</v>
      </c>
      <c r="O440" s="4" t="s">
        <v>2630</v>
      </c>
      <c r="P440" s="4" t="s">
        <v>892</v>
      </c>
      <c r="Q440" s="4" t="s">
        <v>2631</v>
      </c>
      <c r="R440" s="4" t="s">
        <v>1515</v>
      </c>
      <c r="S440" s="4" t="s">
        <v>2632</v>
      </c>
      <c r="T440" s="4" t="s">
        <v>786</v>
      </c>
    </row>
    <row r="441" spans="1:20" customFormat="1">
      <c r="A441" s="10"/>
      <c r="B441" s="4"/>
      <c r="C441" s="4"/>
      <c r="D441" s="133" t="s">
        <v>676</v>
      </c>
      <c r="E441" s="664" t="str">
        <f>+VLOOKUP(F441,Resumen_Base!$C$8:$G$287,5,0)</f>
        <v>Services/House</v>
      </c>
      <c r="F441" s="152" t="s">
        <v>321</v>
      </c>
      <c r="G441" s="4" t="s">
        <v>322</v>
      </c>
      <c r="H441" s="4" t="str">
        <f t="shared" si="6"/>
        <v>CAR5226</v>
      </c>
      <c r="I441" s="196">
        <v>2754.8</v>
      </c>
      <c r="J441" s="196">
        <v>1.94</v>
      </c>
      <c r="K441" s="196">
        <v>1420</v>
      </c>
      <c r="L441" s="454" t="s">
        <v>1239</v>
      </c>
      <c r="M441" s="4" t="s">
        <v>780</v>
      </c>
      <c r="N441" s="133" t="s">
        <v>1407</v>
      </c>
      <c r="O441" s="4" t="s">
        <v>2630</v>
      </c>
      <c r="P441" s="4" t="s">
        <v>892</v>
      </c>
      <c r="Q441" s="4" t="s">
        <v>2631</v>
      </c>
      <c r="R441" s="4" t="s">
        <v>1515</v>
      </c>
      <c r="S441" s="4" t="s">
        <v>2632</v>
      </c>
      <c r="T441" s="4" t="s">
        <v>786</v>
      </c>
    </row>
    <row r="442" spans="1:20" customFormat="1">
      <c r="A442" s="10"/>
      <c r="B442" s="4"/>
      <c r="C442" s="4"/>
      <c r="D442" s="133" t="s">
        <v>676</v>
      </c>
      <c r="E442" s="664" t="str">
        <f>+VLOOKUP(F442,Resumen_Base!$C$8:$G$287,5,0)</f>
        <v>Services/House</v>
      </c>
      <c r="F442" s="152" t="s">
        <v>321</v>
      </c>
      <c r="G442" s="4" t="s">
        <v>322</v>
      </c>
      <c r="H442" s="4" t="str">
        <f t="shared" si="6"/>
        <v>CAR5226</v>
      </c>
      <c r="I442" s="196">
        <v>630735.6</v>
      </c>
      <c r="J442" s="196">
        <v>444.18</v>
      </c>
      <c r="K442" s="196">
        <v>1420</v>
      </c>
      <c r="L442" s="454" t="s">
        <v>1239</v>
      </c>
      <c r="M442" s="4" t="s">
        <v>780</v>
      </c>
      <c r="N442" s="133" t="s">
        <v>1407</v>
      </c>
      <c r="O442" s="4" t="s">
        <v>2630</v>
      </c>
      <c r="P442" s="4" t="s">
        <v>892</v>
      </c>
      <c r="Q442" s="4" t="s">
        <v>2631</v>
      </c>
      <c r="R442" s="4" t="s">
        <v>2638</v>
      </c>
      <c r="S442" s="4" t="s">
        <v>2632</v>
      </c>
      <c r="T442" s="4" t="s">
        <v>786</v>
      </c>
    </row>
    <row r="443" spans="1:20" customFormat="1">
      <c r="A443" s="10"/>
      <c r="B443" s="4"/>
      <c r="C443" s="4"/>
      <c r="D443" s="133" t="s">
        <v>676</v>
      </c>
      <c r="E443" s="664" t="str">
        <f>+VLOOKUP(F443,Resumen_Base!$C$8:$G$287,5,0)</f>
        <v>Services/House</v>
      </c>
      <c r="F443" s="152" t="s">
        <v>321</v>
      </c>
      <c r="G443" s="4" t="s">
        <v>322</v>
      </c>
      <c r="H443" s="4" t="str">
        <f t="shared" si="6"/>
        <v>CAR5226</v>
      </c>
      <c r="I443" s="196">
        <v>630735.6</v>
      </c>
      <c r="J443" s="196">
        <v>444.18</v>
      </c>
      <c r="K443" s="196">
        <v>1420</v>
      </c>
      <c r="L443" s="454" t="s">
        <v>1239</v>
      </c>
      <c r="M443" s="4" t="s">
        <v>780</v>
      </c>
      <c r="N443" s="133" t="s">
        <v>1407</v>
      </c>
      <c r="O443" s="4" t="s">
        <v>2630</v>
      </c>
      <c r="P443" s="4" t="s">
        <v>892</v>
      </c>
      <c r="Q443" s="4" t="s">
        <v>2631</v>
      </c>
      <c r="R443" s="4" t="s">
        <v>2639</v>
      </c>
      <c r="S443" s="4" t="s">
        <v>2632</v>
      </c>
      <c r="T443" s="4" t="s">
        <v>786</v>
      </c>
    </row>
    <row r="444" spans="1:20" customFormat="1">
      <c r="A444" s="10"/>
      <c r="B444" s="4"/>
      <c r="C444" s="4"/>
      <c r="D444" s="133" t="s">
        <v>670</v>
      </c>
      <c r="E444" s="664" t="str">
        <f>+VLOOKUP(F444,Resumen_Base!$C$8:$G$287,5,0)</f>
        <v>Guides</v>
      </c>
      <c r="F444" s="152" t="s">
        <v>323</v>
      </c>
      <c r="G444" s="4" t="s">
        <v>324</v>
      </c>
      <c r="H444" s="4" t="str">
        <f t="shared" si="6"/>
        <v>SJ5227</v>
      </c>
      <c r="I444" s="196">
        <v>181121</v>
      </c>
      <c r="J444" s="196">
        <v>127.55</v>
      </c>
      <c r="K444" s="196">
        <v>1420</v>
      </c>
      <c r="L444" s="454" t="s">
        <v>787</v>
      </c>
      <c r="M444" s="4" t="s">
        <v>780</v>
      </c>
      <c r="N444" s="133" t="s">
        <v>781</v>
      </c>
      <c r="O444" s="4" t="s">
        <v>830</v>
      </c>
      <c r="P444" s="4" t="s">
        <v>783</v>
      </c>
      <c r="Q444" s="4" t="s">
        <v>831</v>
      </c>
      <c r="R444" s="4" t="s">
        <v>846</v>
      </c>
      <c r="S444" s="4" t="s">
        <v>833</v>
      </c>
      <c r="T444" s="4" t="s">
        <v>786</v>
      </c>
    </row>
    <row r="445" spans="1:20" customFormat="1">
      <c r="A445" s="10"/>
      <c r="B445" s="4"/>
      <c r="C445" s="4"/>
      <c r="D445" s="133" t="s">
        <v>670</v>
      </c>
      <c r="E445" s="664" t="str">
        <f>+VLOOKUP(F445,Resumen_Base!$C$8:$G$287,5,0)</f>
        <v>Guides</v>
      </c>
      <c r="F445" s="152" t="s">
        <v>323</v>
      </c>
      <c r="G445" s="4" t="s">
        <v>324</v>
      </c>
      <c r="H445" s="4" t="str">
        <f t="shared" si="6"/>
        <v>SJ5227</v>
      </c>
      <c r="I445" s="196">
        <v>795200</v>
      </c>
      <c r="J445" s="196">
        <v>560</v>
      </c>
      <c r="K445" s="196">
        <v>1420</v>
      </c>
      <c r="L445" s="454" t="s">
        <v>787</v>
      </c>
      <c r="M445" s="4" t="s">
        <v>780</v>
      </c>
      <c r="N445" s="133" t="s">
        <v>781</v>
      </c>
      <c r="O445" s="4" t="s">
        <v>830</v>
      </c>
      <c r="P445" s="4" t="s">
        <v>783</v>
      </c>
      <c r="Q445" s="4" t="s">
        <v>831</v>
      </c>
      <c r="R445" s="4" t="s">
        <v>847</v>
      </c>
      <c r="S445" s="4" t="s">
        <v>833</v>
      </c>
      <c r="T445" s="4" t="s">
        <v>786</v>
      </c>
    </row>
    <row r="446" spans="1:20" customFormat="1">
      <c r="A446" s="10"/>
      <c r="B446" s="4"/>
      <c r="C446" s="4"/>
      <c r="D446" s="133" t="s">
        <v>670</v>
      </c>
      <c r="E446" s="664" t="str">
        <f>+VLOOKUP(F446,Resumen_Base!$C$8:$G$287,5,0)</f>
        <v>Guides</v>
      </c>
      <c r="F446" s="152" t="s">
        <v>323</v>
      </c>
      <c r="G446" s="4" t="s">
        <v>324</v>
      </c>
      <c r="H446" s="4" t="str">
        <f t="shared" si="6"/>
        <v>SJ5227</v>
      </c>
      <c r="I446" s="196">
        <v>1576981</v>
      </c>
      <c r="J446" s="196">
        <v>1110.55</v>
      </c>
      <c r="K446" s="196">
        <v>1420</v>
      </c>
      <c r="L446" s="454" t="s">
        <v>787</v>
      </c>
      <c r="M446" s="4" t="s">
        <v>780</v>
      </c>
      <c r="N446" s="133" t="s">
        <v>781</v>
      </c>
      <c r="O446" s="4" t="s">
        <v>855</v>
      </c>
      <c r="P446" s="4" t="s">
        <v>783</v>
      </c>
      <c r="Q446" s="4" t="s">
        <v>856</v>
      </c>
      <c r="R446" s="4" t="s">
        <v>872</v>
      </c>
      <c r="S446" s="4" t="s">
        <v>857</v>
      </c>
      <c r="T446" s="4" t="s">
        <v>786</v>
      </c>
    </row>
    <row r="447" spans="1:20" customFormat="1">
      <c r="A447" s="10"/>
      <c r="B447" s="4"/>
      <c r="C447" s="4"/>
      <c r="D447" s="133" t="s">
        <v>670</v>
      </c>
      <c r="E447" s="664" t="str">
        <f>+VLOOKUP(F447,Resumen_Base!$C$8:$G$287,5,0)</f>
        <v>Guides</v>
      </c>
      <c r="F447" s="152" t="s">
        <v>323</v>
      </c>
      <c r="G447" s="4" t="s">
        <v>324</v>
      </c>
      <c r="H447" s="4" t="str">
        <f t="shared" si="6"/>
        <v>SJ5227</v>
      </c>
      <c r="I447" s="196">
        <v>932073.8</v>
      </c>
      <c r="J447" s="196">
        <v>656.39</v>
      </c>
      <c r="K447" s="196">
        <v>1420</v>
      </c>
      <c r="L447" s="454" t="s">
        <v>787</v>
      </c>
      <c r="M447" s="4" t="s">
        <v>780</v>
      </c>
      <c r="N447" s="133" t="s">
        <v>781</v>
      </c>
      <c r="O447" s="4" t="s">
        <v>855</v>
      </c>
      <c r="P447" s="4" t="s">
        <v>783</v>
      </c>
      <c r="Q447" s="4" t="s">
        <v>856</v>
      </c>
      <c r="R447" s="4" t="s">
        <v>867</v>
      </c>
      <c r="S447" s="4" t="s">
        <v>857</v>
      </c>
      <c r="T447" s="4" t="s">
        <v>786</v>
      </c>
    </row>
    <row r="448" spans="1:20" customFormat="1">
      <c r="A448" s="720" t="s">
        <v>2806</v>
      </c>
      <c r="B448" s="330"/>
      <c r="C448" s="330"/>
      <c r="D448" s="203" t="s">
        <v>676</v>
      </c>
      <c r="E448" s="714" t="str">
        <f>+VLOOKUP(F448,Resumen_Base!$C$8:$G$287,5,0)</f>
        <v>Guides</v>
      </c>
      <c r="F448" s="330" t="s">
        <v>323</v>
      </c>
      <c r="G448" s="330" t="s">
        <v>324</v>
      </c>
      <c r="H448" s="330" t="str">
        <f t="shared" si="6"/>
        <v>CAR5227</v>
      </c>
      <c r="I448" s="715">
        <v>728204.4</v>
      </c>
      <c r="J448" s="715">
        <v>512.82000000000005</v>
      </c>
      <c r="K448" s="715">
        <v>1420</v>
      </c>
      <c r="L448" s="456" t="s">
        <v>1205</v>
      </c>
      <c r="M448" s="330" t="s">
        <v>780</v>
      </c>
      <c r="N448" s="203" t="s">
        <v>781</v>
      </c>
      <c r="O448" s="330" t="s">
        <v>1226</v>
      </c>
      <c r="P448" s="330" t="s">
        <v>892</v>
      </c>
      <c r="Q448" s="330" t="s">
        <v>1227</v>
      </c>
      <c r="R448" s="330" t="s">
        <v>1229</v>
      </c>
      <c r="S448" s="330" t="s">
        <v>1228</v>
      </c>
      <c r="T448" s="330" t="s">
        <v>786</v>
      </c>
    </row>
    <row r="449" spans="1:20" customFormat="1">
      <c r="A449" s="720" t="s">
        <v>2806</v>
      </c>
      <c r="B449" s="330"/>
      <c r="C449" s="330"/>
      <c r="D449" s="203" t="s">
        <v>676</v>
      </c>
      <c r="E449" s="714" t="str">
        <f>+VLOOKUP(F449,Resumen_Base!$C$8:$G$287,5,0)</f>
        <v>Guides</v>
      </c>
      <c r="F449" s="330" t="s">
        <v>323</v>
      </c>
      <c r="G449" s="330" t="s">
        <v>324</v>
      </c>
      <c r="H449" s="330" t="str">
        <f t="shared" si="6"/>
        <v>CAR5227</v>
      </c>
      <c r="I449" s="715">
        <v>371727.6</v>
      </c>
      <c r="J449" s="715">
        <v>261.77999999999997</v>
      </c>
      <c r="K449" s="715">
        <v>1420</v>
      </c>
      <c r="L449" s="456" t="s">
        <v>1205</v>
      </c>
      <c r="M449" s="330" t="s">
        <v>780</v>
      </c>
      <c r="N449" s="203" t="s">
        <v>781</v>
      </c>
      <c r="O449" s="330" t="s">
        <v>1233</v>
      </c>
      <c r="P449" s="330" t="s">
        <v>892</v>
      </c>
      <c r="Q449" s="330" t="s">
        <v>1234</v>
      </c>
      <c r="R449" s="330" t="s">
        <v>1237</v>
      </c>
      <c r="S449" s="330" t="s">
        <v>1236</v>
      </c>
      <c r="T449" s="330" t="s">
        <v>786</v>
      </c>
    </row>
    <row r="450" spans="1:20" customFormat="1">
      <c r="A450" s="10"/>
      <c r="B450" s="4"/>
      <c r="C450" s="4"/>
      <c r="D450" s="133" t="s">
        <v>676</v>
      </c>
      <c r="E450" s="664" t="str">
        <f>+VLOOKUP(F450,Resumen_Base!$C$8:$G$287,5,0)</f>
        <v>Guides</v>
      </c>
      <c r="F450" s="152" t="s">
        <v>323</v>
      </c>
      <c r="G450" s="4" t="s">
        <v>324</v>
      </c>
      <c r="H450" s="4" t="str">
        <f t="shared" si="6"/>
        <v>CAR5227</v>
      </c>
      <c r="I450" s="196">
        <v>2603</v>
      </c>
      <c r="J450" s="196">
        <v>1.9</v>
      </c>
      <c r="K450" s="196">
        <v>1370</v>
      </c>
      <c r="L450" s="454" t="s">
        <v>787</v>
      </c>
      <c r="M450" s="4" t="s">
        <v>780</v>
      </c>
      <c r="N450" s="133" t="s">
        <v>1407</v>
      </c>
      <c r="O450" s="4" t="s">
        <v>1446</v>
      </c>
      <c r="P450" s="4" t="s">
        <v>783</v>
      </c>
      <c r="Q450" s="4" t="s">
        <v>1447</v>
      </c>
      <c r="R450" s="4" t="s">
        <v>1456</v>
      </c>
      <c r="S450" s="4" t="s">
        <v>1449</v>
      </c>
      <c r="T450" s="4" t="s">
        <v>786</v>
      </c>
    </row>
    <row r="451" spans="1:20" customFormat="1">
      <c r="A451" s="10"/>
      <c r="B451" s="4"/>
      <c r="C451" s="4"/>
      <c r="D451" s="133" t="s">
        <v>676</v>
      </c>
      <c r="E451" s="664" t="str">
        <f>+VLOOKUP(F451,Resumen_Base!$C$8:$G$287,5,0)</f>
        <v>Guides</v>
      </c>
      <c r="F451" s="152" t="s">
        <v>323</v>
      </c>
      <c r="G451" s="4" t="s">
        <v>324</v>
      </c>
      <c r="H451" s="4" t="str">
        <f t="shared" si="6"/>
        <v>CAR5227</v>
      </c>
      <c r="I451" s="196">
        <v>118820.1</v>
      </c>
      <c r="J451" s="196">
        <v>86.73</v>
      </c>
      <c r="K451" s="196">
        <v>1370</v>
      </c>
      <c r="L451" s="454" t="s">
        <v>787</v>
      </c>
      <c r="M451" s="4" t="s">
        <v>780</v>
      </c>
      <c r="N451" s="133" t="s">
        <v>1407</v>
      </c>
      <c r="O451" s="4" t="s">
        <v>1446</v>
      </c>
      <c r="P451" s="4" t="s">
        <v>783</v>
      </c>
      <c r="Q451" s="4" t="s">
        <v>1447</v>
      </c>
      <c r="R451" s="4" t="s">
        <v>1457</v>
      </c>
      <c r="S451" s="4" t="s">
        <v>1449</v>
      </c>
      <c r="T451" s="4" t="s">
        <v>786</v>
      </c>
    </row>
    <row r="452" spans="1:20" customFormat="1">
      <c r="A452" s="10"/>
      <c r="B452" s="4"/>
      <c r="C452" s="4"/>
      <c r="D452" s="133" t="s">
        <v>676</v>
      </c>
      <c r="E452" s="664" t="str">
        <f>+VLOOKUP(F452,Resumen_Base!$C$8:$G$287,5,0)</f>
        <v>Guides</v>
      </c>
      <c r="F452" s="152" t="s">
        <v>323</v>
      </c>
      <c r="G452" s="4" t="s">
        <v>324</v>
      </c>
      <c r="H452" s="4" t="str">
        <f t="shared" si="6"/>
        <v>CAR5227</v>
      </c>
      <c r="I452" s="196">
        <v>2603</v>
      </c>
      <c r="J452" s="196">
        <v>1.9</v>
      </c>
      <c r="K452" s="196">
        <v>1370</v>
      </c>
      <c r="L452" s="454" t="s">
        <v>787</v>
      </c>
      <c r="M452" s="4" t="s">
        <v>780</v>
      </c>
      <c r="N452" s="133" t="s">
        <v>1407</v>
      </c>
      <c r="O452" s="4" t="s">
        <v>1446</v>
      </c>
      <c r="P452" s="4" t="s">
        <v>783</v>
      </c>
      <c r="Q452" s="4" t="s">
        <v>1447</v>
      </c>
      <c r="R452" s="4" t="s">
        <v>1456</v>
      </c>
      <c r="S452" s="4" t="s">
        <v>1449</v>
      </c>
      <c r="T452" s="4" t="s">
        <v>786</v>
      </c>
    </row>
    <row r="453" spans="1:20" customFormat="1">
      <c r="A453" s="10"/>
      <c r="B453" s="4"/>
      <c r="C453" s="4"/>
      <c r="D453" s="133" t="s">
        <v>676</v>
      </c>
      <c r="E453" s="664" t="str">
        <f>+VLOOKUP(F453,Resumen_Base!$C$8:$G$287,5,0)</f>
        <v>Guides</v>
      </c>
      <c r="F453" s="152" t="s">
        <v>323</v>
      </c>
      <c r="G453" s="4" t="s">
        <v>324</v>
      </c>
      <c r="H453" s="4" t="str">
        <f t="shared" si="6"/>
        <v>CAR5227</v>
      </c>
      <c r="I453" s="196">
        <v>73390.899999999994</v>
      </c>
      <c r="J453" s="196">
        <v>53.57</v>
      </c>
      <c r="K453" s="196">
        <v>1370</v>
      </c>
      <c r="L453" s="454" t="s">
        <v>787</v>
      </c>
      <c r="M453" s="4" t="s">
        <v>780</v>
      </c>
      <c r="N453" s="133" t="s">
        <v>1407</v>
      </c>
      <c r="O453" s="4" t="s">
        <v>1446</v>
      </c>
      <c r="P453" s="4" t="s">
        <v>783</v>
      </c>
      <c r="Q453" s="4" t="s">
        <v>1447</v>
      </c>
      <c r="R453" s="4" t="s">
        <v>1458</v>
      </c>
      <c r="S453" s="4" t="s">
        <v>1449</v>
      </c>
      <c r="T453" s="4" t="s">
        <v>786</v>
      </c>
    </row>
    <row r="454" spans="1:20" customFormat="1">
      <c r="A454" s="10"/>
      <c r="B454" s="4"/>
      <c r="C454" s="4"/>
      <c r="D454" s="133" t="s">
        <v>676</v>
      </c>
      <c r="E454" s="664" t="str">
        <f>+VLOOKUP(F454,Resumen_Base!$C$8:$G$287,5,0)</f>
        <v>Guides</v>
      </c>
      <c r="F454" s="152" t="s">
        <v>323</v>
      </c>
      <c r="G454" s="4" t="s">
        <v>324</v>
      </c>
      <c r="H454" s="4" t="str">
        <f t="shared" si="6"/>
        <v>CAR5227</v>
      </c>
      <c r="I454" s="196">
        <v>2603</v>
      </c>
      <c r="J454" s="196">
        <v>1.9</v>
      </c>
      <c r="K454" s="196">
        <v>1370</v>
      </c>
      <c r="L454" s="454" t="s">
        <v>787</v>
      </c>
      <c r="M454" s="4" t="s">
        <v>780</v>
      </c>
      <c r="N454" s="133" t="s">
        <v>1407</v>
      </c>
      <c r="O454" s="4" t="s">
        <v>1446</v>
      </c>
      <c r="P454" s="4" t="s">
        <v>783</v>
      </c>
      <c r="Q454" s="4" t="s">
        <v>1447</v>
      </c>
      <c r="R454" s="4" t="s">
        <v>1456</v>
      </c>
      <c r="S454" s="4" t="s">
        <v>1449</v>
      </c>
      <c r="T454" s="4" t="s">
        <v>786</v>
      </c>
    </row>
    <row r="455" spans="1:20" customFormat="1">
      <c r="A455" s="10"/>
      <c r="B455" s="4"/>
      <c r="C455" s="4"/>
      <c r="D455" s="133" t="s">
        <v>676</v>
      </c>
      <c r="E455" s="664" t="str">
        <f>+VLOOKUP(F455,Resumen_Base!$C$8:$G$287,5,0)</f>
        <v>Guides</v>
      </c>
      <c r="F455" s="152" t="s">
        <v>323</v>
      </c>
      <c r="G455" s="4" t="s">
        <v>324</v>
      </c>
      <c r="H455" s="4" t="str">
        <f t="shared" si="6"/>
        <v>CAR5227</v>
      </c>
      <c r="I455" s="196">
        <v>2046601.9</v>
      </c>
      <c r="J455" s="196">
        <v>1493.87</v>
      </c>
      <c r="K455" s="196">
        <v>1370</v>
      </c>
      <c r="L455" s="454" t="s">
        <v>787</v>
      </c>
      <c r="M455" s="4" t="s">
        <v>780</v>
      </c>
      <c r="N455" s="133" t="s">
        <v>1407</v>
      </c>
      <c r="O455" s="4" t="s">
        <v>1446</v>
      </c>
      <c r="P455" s="4" t="s">
        <v>783</v>
      </c>
      <c r="Q455" s="4" t="s">
        <v>1447</v>
      </c>
      <c r="R455" s="4" t="s">
        <v>1459</v>
      </c>
      <c r="S455" s="4" t="s">
        <v>1449</v>
      </c>
      <c r="T455" s="4" t="s">
        <v>786</v>
      </c>
    </row>
    <row r="456" spans="1:20" customFormat="1">
      <c r="A456" s="10"/>
      <c r="B456" s="4"/>
      <c r="C456" s="4"/>
      <c r="D456" s="133" t="s">
        <v>676</v>
      </c>
      <c r="E456" s="664" t="str">
        <f>+VLOOKUP(F456,Resumen_Base!$C$8:$G$287,5,0)</f>
        <v>Guides</v>
      </c>
      <c r="F456" s="152" t="s">
        <v>323</v>
      </c>
      <c r="G456" s="4" t="s">
        <v>324</v>
      </c>
      <c r="H456" s="4" t="str">
        <f t="shared" si="6"/>
        <v>CAR5227</v>
      </c>
      <c r="I456" s="196">
        <v>148521.70000000001</v>
      </c>
      <c r="J456" s="196">
        <v>108.41</v>
      </c>
      <c r="K456" s="196">
        <v>1370</v>
      </c>
      <c r="L456" s="454" t="s">
        <v>787</v>
      </c>
      <c r="M456" s="4" t="s">
        <v>780</v>
      </c>
      <c r="N456" s="133" t="s">
        <v>1407</v>
      </c>
      <c r="O456" s="4" t="s">
        <v>1446</v>
      </c>
      <c r="P456" s="4" t="s">
        <v>783</v>
      </c>
      <c r="Q456" s="4" t="s">
        <v>1447</v>
      </c>
      <c r="R456" s="4" t="s">
        <v>1460</v>
      </c>
      <c r="S456" s="4" t="s">
        <v>1449</v>
      </c>
      <c r="T456" s="4" t="s">
        <v>786</v>
      </c>
    </row>
    <row r="457" spans="1:20" customFormat="1">
      <c r="A457" s="10"/>
      <c r="B457" s="4"/>
      <c r="C457" s="4"/>
      <c r="D457" s="133" t="s">
        <v>676</v>
      </c>
      <c r="E457" s="664" t="str">
        <f>+VLOOKUP(F457,Resumen_Base!$C$8:$G$287,5,0)</f>
        <v>Guides</v>
      </c>
      <c r="F457" s="152" t="s">
        <v>323</v>
      </c>
      <c r="G457" s="4" t="s">
        <v>324</v>
      </c>
      <c r="H457" s="4" t="str">
        <f t="shared" si="6"/>
        <v>CAR5227</v>
      </c>
      <c r="I457" s="196">
        <v>2603</v>
      </c>
      <c r="J457" s="196">
        <v>1.9</v>
      </c>
      <c r="K457" s="196">
        <v>1370</v>
      </c>
      <c r="L457" s="454" t="s">
        <v>787</v>
      </c>
      <c r="M457" s="4" t="s">
        <v>780</v>
      </c>
      <c r="N457" s="133" t="s">
        <v>1407</v>
      </c>
      <c r="O457" s="4" t="s">
        <v>1446</v>
      </c>
      <c r="P457" s="4" t="s">
        <v>783</v>
      </c>
      <c r="Q457" s="4" t="s">
        <v>1447</v>
      </c>
      <c r="R457" s="4" t="s">
        <v>1461</v>
      </c>
      <c r="S457" s="4" t="s">
        <v>1449</v>
      </c>
      <c r="T457" s="4" t="s">
        <v>786</v>
      </c>
    </row>
    <row r="458" spans="1:20" customFormat="1">
      <c r="A458" s="10"/>
      <c r="B458" s="4"/>
      <c r="C458" s="4"/>
      <c r="D458" s="133" t="s">
        <v>676</v>
      </c>
      <c r="E458" s="664" t="str">
        <f>+VLOOKUP(F458,Resumen_Base!$C$8:$G$287,5,0)</f>
        <v>Guides</v>
      </c>
      <c r="F458" s="152" t="s">
        <v>323</v>
      </c>
      <c r="G458" s="4" t="s">
        <v>324</v>
      </c>
      <c r="H458" s="4" t="str">
        <f t="shared" si="6"/>
        <v>CAR5227</v>
      </c>
      <c r="I458" s="196">
        <v>168277.1</v>
      </c>
      <c r="J458" s="196">
        <v>122.83</v>
      </c>
      <c r="K458" s="196">
        <v>1370</v>
      </c>
      <c r="L458" s="454" t="s">
        <v>787</v>
      </c>
      <c r="M458" s="4" t="s">
        <v>780</v>
      </c>
      <c r="N458" s="133" t="s">
        <v>1407</v>
      </c>
      <c r="O458" s="4" t="s">
        <v>1446</v>
      </c>
      <c r="P458" s="4" t="s">
        <v>783</v>
      </c>
      <c r="Q458" s="4" t="s">
        <v>1447</v>
      </c>
      <c r="R458" s="4" t="s">
        <v>1463</v>
      </c>
      <c r="S458" s="4" t="s">
        <v>1449</v>
      </c>
      <c r="T458" s="4" t="s">
        <v>786</v>
      </c>
    </row>
    <row r="459" spans="1:20" customFormat="1">
      <c r="A459" s="10"/>
      <c r="B459" s="4"/>
      <c r="C459" s="4"/>
      <c r="D459" s="133" t="s">
        <v>676</v>
      </c>
      <c r="E459" s="664" t="str">
        <f>+VLOOKUP(F459,Resumen_Base!$C$8:$G$287,5,0)</f>
        <v>Guides</v>
      </c>
      <c r="F459" s="152" t="s">
        <v>323</v>
      </c>
      <c r="G459" s="4" t="s">
        <v>324</v>
      </c>
      <c r="H459" s="4" t="str">
        <f t="shared" si="6"/>
        <v>CAR5227</v>
      </c>
      <c r="I459" s="196">
        <v>2603</v>
      </c>
      <c r="J459" s="196">
        <v>1.9</v>
      </c>
      <c r="K459" s="196">
        <v>1370</v>
      </c>
      <c r="L459" s="454" t="s">
        <v>787</v>
      </c>
      <c r="M459" s="4" t="s">
        <v>780</v>
      </c>
      <c r="N459" s="133" t="s">
        <v>1407</v>
      </c>
      <c r="O459" s="4" t="s">
        <v>1446</v>
      </c>
      <c r="P459" s="4" t="s">
        <v>783</v>
      </c>
      <c r="Q459" s="4" t="s">
        <v>1447</v>
      </c>
      <c r="R459" s="4" t="s">
        <v>1456</v>
      </c>
      <c r="S459" s="4" t="s">
        <v>1449</v>
      </c>
      <c r="T459" s="4" t="s">
        <v>786</v>
      </c>
    </row>
    <row r="460" spans="1:20" customFormat="1">
      <c r="A460" s="10"/>
      <c r="B460" s="4"/>
      <c r="C460" s="4"/>
      <c r="D460" s="133" t="s">
        <v>676</v>
      </c>
      <c r="E460" s="664" t="str">
        <f>+VLOOKUP(F460,Resumen_Base!$C$8:$G$287,5,0)</f>
        <v>Guides</v>
      </c>
      <c r="F460" s="152" t="s">
        <v>323</v>
      </c>
      <c r="G460" s="4" t="s">
        <v>324</v>
      </c>
      <c r="H460" s="4" t="str">
        <f t="shared" ref="H460:H523" si="7">+D460&amp;F460</f>
        <v>CAR5227</v>
      </c>
      <c r="I460" s="196">
        <v>148521.70000000001</v>
      </c>
      <c r="J460" s="196">
        <v>108.41</v>
      </c>
      <c r="K460" s="196">
        <v>1370</v>
      </c>
      <c r="L460" s="454" t="s">
        <v>787</v>
      </c>
      <c r="M460" s="4" t="s">
        <v>780</v>
      </c>
      <c r="N460" s="133" t="s">
        <v>1407</v>
      </c>
      <c r="O460" s="4" t="s">
        <v>1446</v>
      </c>
      <c r="P460" s="4" t="s">
        <v>783</v>
      </c>
      <c r="Q460" s="4" t="s">
        <v>1447</v>
      </c>
      <c r="R460" s="4" t="s">
        <v>1464</v>
      </c>
      <c r="S460" s="4" t="s">
        <v>1449</v>
      </c>
      <c r="T460" s="4" t="s">
        <v>786</v>
      </c>
    </row>
    <row r="461" spans="1:20" customFormat="1">
      <c r="A461" s="10"/>
      <c r="B461" s="4"/>
      <c r="C461" s="4"/>
      <c r="D461" s="133" t="s">
        <v>676</v>
      </c>
      <c r="E461" s="664" t="str">
        <f>+VLOOKUP(F461,Resumen_Base!$C$8:$G$287,5,0)</f>
        <v>Guides</v>
      </c>
      <c r="F461" s="152" t="s">
        <v>323</v>
      </c>
      <c r="G461" s="4" t="s">
        <v>324</v>
      </c>
      <c r="H461" s="4" t="str">
        <f t="shared" si="7"/>
        <v>CAR5227</v>
      </c>
      <c r="I461" s="196">
        <v>2603</v>
      </c>
      <c r="J461" s="196">
        <v>1.9</v>
      </c>
      <c r="K461" s="196">
        <v>1370</v>
      </c>
      <c r="L461" s="454" t="s">
        <v>787</v>
      </c>
      <c r="M461" s="4" t="s">
        <v>780</v>
      </c>
      <c r="N461" s="133" t="s">
        <v>1407</v>
      </c>
      <c r="O461" s="4" t="s">
        <v>1446</v>
      </c>
      <c r="P461" s="4" t="s">
        <v>783</v>
      </c>
      <c r="Q461" s="4" t="s">
        <v>1447</v>
      </c>
      <c r="R461" s="4" t="s">
        <v>1461</v>
      </c>
      <c r="S461" s="4" t="s">
        <v>1449</v>
      </c>
      <c r="T461" s="4" t="s">
        <v>786</v>
      </c>
    </row>
    <row r="462" spans="1:20" customFormat="1">
      <c r="A462" s="10"/>
      <c r="B462" s="4"/>
      <c r="C462" s="4"/>
      <c r="D462" s="133" t="s">
        <v>676</v>
      </c>
      <c r="E462" s="664" t="str">
        <f>+VLOOKUP(F462,Resumen_Base!$C$8:$G$287,5,0)</f>
        <v>Guides</v>
      </c>
      <c r="F462" s="152" t="s">
        <v>323</v>
      </c>
      <c r="G462" s="4" t="s">
        <v>324</v>
      </c>
      <c r="H462" s="4" t="str">
        <f t="shared" si="7"/>
        <v>CAR5227</v>
      </c>
      <c r="I462" s="196">
        <v>148521.70000000001</v>
      </c>
      <c r="J462" s="196">
        <v>108.41</v>
      </c>
      <c r="K462" s="196">
        <v>1370</v>
      </c>
      <c r="L462" s="454" t="s">
        <v>787</v>
      </c>
      <c r="M462" s="4" t="s">
        <v>780</v>
      </c>
      <c r="N462" s="133" t="s">
        <v>1407</v>
      </c>
      <c r="O462" s="4" t="s">
        <v>1446</v>
      </c>
      <c r="P462" s="4" t="s">
        <v>783</v>
      </c>
      <c r="Q462" s="4" t="s">
        <v>1447</v>
      </c>
      <c r="R462" s="4" t="s">
        <v>1469</v>
      </c>
      <c r="S462" s="4" t="s">
        <v>1449</v>
      </c>
      <c r="T462" s="4" t="s">
        <v>786</v>
      </c>
    </row>
    <row r="463" spans="1:20" customFormat="1">
      <c r="A463" s="10"/>
      <c r="B463" s="4"/>
      <c r="C463" s="4"/>
      <c r="D463" s="133" t="s">
        <v>676</v>
      </c>
      <c r="E463" s="664" t="str">
        <f>+VLOOKUP(F463,Resumen_Base!$C$8:$G$287,5,0)</f>
        <v>Guides</v>
      </c>
      <c r="F463" s="152" t="s">
        <v>323</v>
      </c>
      <c r="G463" s="4" t="s">
        <v>324</v>
      </c>
      <c r="H463" s="4" t="str">
        <f t="shared" si="7"/>
        <v>CAR5227</v>
      </c>
      <c r="I463" s="196">
        <v>2603</v>
      </c>
      <c r="J463" s="196">
        <v>1.9</v>
      </c>
      <c r="K463" s="196">
        <v>1370</v>
      </c>
      <c r="L463" s="454" t="s">
        <v>787</v>
      </c>
      <c r="M463" s="4" t="s">
        <v>780</v>
      </c>
      <c r="N463" s="133" t="s">
        <v>1407</v>
      </c>
      <c r="O463" s="4" t="s">
        <v>1446</v>
      </c>
      <c r="P463" s="4" t="s">
        <v>783</v>
      </c>
      <c r="Q463" s="4" t="s">
        <v>1447</v>
      </c>
      <c r="R463" s="4" t="s">
        <v>1468</v>
      </c>
      <c r="S463" s="4" t="s">
        <v>1449</v>
      </c>
      <c r="T463" s="4" t="s">
        <v>786</v>
      </c>
    </row>
    <row r="464" spans="1:20" customFormat="1">
      <c r="A464" s="10"/>
      <c r="B464" s="4"/>
      <c r="C464" s="4"/>
      <c r="D464" s="133" t="s">
        <v>676</v>
      </c>
      <c r="E464" s="664" t="str">
        <f>+VLOOKUP(F464,Resumen_Base!$C$8:$G$287,5,0)</f>
        <v>Guides</v>
      </c>
      <c r="F464" s="152" t="s">
        <v>323</v>
      </c>
      <c r="G464" s="4" t="s">
        <v>324</v>
      </c>
      <c r="H464" s="4" t="str">
        <f t="shared" si="7"/>
        <v>CAR5227</v>
      </c>
      <c r="I464" s="196">
        <v>148521.70000000001</v>
      </c>
      <c r="J464" s="196">
        <v>108.41</v>
      </c>
      <c r="K464" s="196">
        <v>1370</v>
      </c>
      <c r="L464" s="454" t="s">
        <v>787</v>
      </c>
      <c r="M464" s="4" t="s">
        <v>780</v>
      </c>
      <c r="N464" s="133" t="s">
        <v>1407</v>
      </c>
      <c r="O464" s="4" t="s">
        <v>1446</v>
      </c>
      <c r="P464" s="4" t="s">
        <v>783</v>
      </c>
      <c r="Q464" s="4" t="s">
        <v>1447</v>
      </c>
      <c r="R464" s="4" t="s">
        <v>1467</v>
      </c>
      <c r="S464" s="4" t="s">
        <v>1449</v>
      </c>
      <c r="T464" s="4" t="s">
        <v>786</v>
      </c>
    </row>
    <row r="465" spans="1:20" customFormat="1">
      <c r="A465" s="10"/>
      <c r="B465" s="4"/>
      <c r="C465" s="4"/>
      <c r="D465" s="133" t="s">
        <v>676</v>
      </c>
      <c r="E465" s="664" t="str">
        <f>+VLOOKUP(F465,Resumen_Base!$C$8:$G$287,5,0)</f>
        <v>Guides</v>
      </c>
      <c r="F465" s="152" t="s">
        <v>323</v>
      </c>
      <c r="G465" s="4" t="s">
        <v>324</v>
      </c>
      <c r="H465" s="4" t="str">
        <f t="shared" si="7"/>
        <v>CAR5227</v>
      </c>
      <c r="I465" s="196">
        <v>1438500</v>
      </c>
      <c r="J465" s="196">
        <v>1050</v>
      </c>
      <c r="K465" s="196">
        <v>1370</v>
      </c>
      <c r="L465" s="454" t="s">
        <v>787</v>
      </c>
      <c r="M465" s="4" t="s">
        <v>780</v>
      </c>
      <c r="N465" s="133" t="s">
        <v>1407</v>
      </c>
      <c r="O465" s="4" t="s">
        <v>1446</v>
      </c>
      <c r="P465" s="4" t="s">
        <v>783</v>
      </c>
      <c r="Q465" s="4" t="s">
        <v>1447</v>
      </c>
      <c r="R465" s="4" t="s">
        <v>1473</v>
      </c>
      <c r="S465" s="4" t="s">
        <v>1449</v>
      </c>
      <c r="T465" s="4" t="s">
        <v>786</v>
      </c>
    </row>
    <row r="466" spans="1:20" customFormat="1">
      <c r="A466" s="10"/>
      <c r="B466" s="4"/>
      <c r="C466" s="4"/>
      <c r="D466" s="133" t="s">
        <v>676</v>
      </c>
      <c r="E466" s="664" t="str">
        <f>+VLOOKUP(F466,Resumen_Base!$C$8:$G$287,5,0)</f>
        <v>Guides</v>
      </c>
      <c r="F466" s="152" t="s">
        <v>323</v>
      </c>
      <c r="G466" s="4" t="s">
        <v>324</v>
      </c>
      <c r="H466" s="4" t="str">
        <f t="shared" si="7"/>
        <v>CAR5227</v>
      </c>
      <c r="I466" s="196">
        <v>1572691.5</v>
      </c>
      <c r="J466" s="196">
        <v>1147.95</v>
      </c>
      <c r="K466" s="196">
        <v>1370</v>
      </c>
      <c r="L466" s="454" t="s">
        <v>787</v>
      </c>
      <c r="M466" s="4" t="s">
        <v>780</v>
      </c>
      <c r="N466" s="133" t="s">
        <v>1407</v>
      </c>
      <c r="O466" s="4" t="s">
        <v>1446</v>
      </c>
      <c r="P466" s="4" t="s">
        <v>783</v>
      </c>
      <c r="Q466" s="4" t="s">
        <v>1447</v>
      </c>
      <c r="R466" s="4" t="s">
        <v>1472</v>
      </c>
      <c r="S466" s="4" t="s">
        <v>1449</v>
      </c>
      <c r="T466" s="4" t="s">
        <v>786</v>
      </c>
    </row>
    <row r="467" spans="1:20" customFormat="1">
      <c r="A467" s="10"/>
      <c r="B467" s="4"/>
      <c r="C467" s="4"/>
      <c r="D467" s="133" t="s">
        <v>676</v>
      </c>
      <c r="E467" s="664" t="str">
        <f>+VLOOKUP(F467,Resumen_Base!$C$8:$G$287,5,0)</f>
        <v>Guides</v>
      </c>
      <c r="F467" s="152" t="s">
        <v>323</v>
      </c>
      <c r="G467" s="4" t="s">
        <v>324</v>
      </c>
      <c r="H467" s="4" t="str">
        <f t="shared" si="7"/>
        <v>CAR5227</v>
      </c>
      <c r="I467" s="196">
        <v>3488965.3</v>
      </c>
      <c r="J467" s="196">
        <v>2546.69</v>
      </c>
      <c r="K467" s="196">
        <v>1370</v>
      </c>
      <c r="L467" s="454" t="s">
        <v>787</v>
      </c>
      <c r="M467" s="4" t="s">
        <v>780</v>
      </c>
      <c r="N467" s="133" t="s">
        <v>1407</v>
      </c>
      <c r="O467" s="4" t="s">
        <v>1446</v>
      </c>
      <c r="P467" s="4" t="s">
        <v>783</v>
      </c>
      <c r="Q467" s="4" t="s">
        <v>1447</v>
      </c>
      <c r="R467" s="4" t="s">
        <v>1471</v>
      </c>
      <c r="S467" s="4" t="s">
        <v>1449</v>
      </c>
      <c r="T467" s="4" t="s">
        <v>786</v>
      </c>
    </row>
    <row r="468" spans="1:20" customFormat="1">
      <c r="A468" s="10"/>
      <c r="B468" s="4"/>
      <c r="C468" s="4"/>
      <c r="D468" s="133" t="s">
        <v>676</v>
      </c>
      <c r="E468" s="664" t="str">
        <f>+VLOOKUP(F468,Resumen_Base!$C$8:$G$287,5,0)</f>
        <v>Guides</v>
      </c>
      <c r="F468" s="152" t="s">
        <v>323</v>
      </c>
      <c r="G468" s="4" t="s">
        <v>324</v>
      </c>
      <c r="H468" s="4" t="str">
        <f t="shared" si="7"/>
        <v>CAR5227</v>
      </c>
      <c r="I468" s="196">
        <v>2603</v>
      </c>
      <c r="J468" s="196">
        <v>1.9</v>
      </c>
      <c r="K468" s="196">
        <v>1370</v>
      </c>
      <c r="L468" s="454" t="s">
        <v>787</v>
      </c>
      <c r="M468" s="4" t="s">
        <v>780</v>
      </c>
      <c r="N468" s="133" t="s">
        <v>1407</v>
      </c>
      <c r="O468" s="4" t="s">
        <v>1446</v>
      </c>
      <c r="P468" s="4" t="s">
        <v>783</v>
      </c>
      <c r="Q468" s="4" t="s">
        <v>1447</v>
      </c>
      <c r="R468" s="4" t="s">
        <v>1456</v>
      </c>
      <c r="S468" s="4" t="s">
        <v>1449</v>
      </c>
      <c r="T468" s="4" t="s">
        <v>786</v>
      </c>
    </row>
    <row r="469" spans="1:20" customFormat="1">
      <c r="A469" s="10"/>
      <c r="B469" s="4"/>
      <c r="C469" s="4"/>
      <c r="D469" s="133" t="s">
        <v>676</v>
      </c>
      <c r="E469" s="664" t="str">
        <f>+VLOOKUP(F469,Resumen_Base!$C$8:$G$287,5,0)</f>
        <v>Guides</v>
      </c>
      <c r="F469" s="152" t="s">
        <v>323</v>
      </c>
      <c r="G469" s="4" t="s">
        <v>324</v>
      </c>
      <c r="H469" s="4" t="str">
        <f t="shared" si="7"/>
        <v>CAR5227</v>
      </c>
      <c r="I469" s="196">
        <v>17467.5</v>
      </c>
      <c r="J469" s="196">
        <v>12.75</v>
      </c>
      <c r="K469" s="196">
        <v>1370</v>
      </c>
      <c r="L469" s="454" t="s">
        <v>787</v>
      </c>
      <c r="M469" s="4" t="s">
        <v>780</v>
      </c>
      <c r="N469" s="133" t="s">
        <v>1407</v>
      </c>
      <c r="O469" s="4" t="s">
        <v>1446</v>
      </c>
      <c r="P469" s="4" t="s">
        <v>783</v>
      </c>
      <c r="Q469" s="4" t="s">
        <v>1447</v>
      </c>
      <c r="R469" s="4" t="s">
        <v>1470</v>
      </c>
      <c r="S469" s="4" t="s">
        <v>1449</v>
      </c>
      <c r="T469" s="4" t="s">
        <v>786</v>
      </c>
    </row>
    <row r="470" spans="1:20" customFormat="1">
      <c r="A470" s="10"/>
      <c r="B470" s="4"/>
      <c r="C470" s="4"/>
      <c r="D470" s="133" t="s">
        <v>676</v>
      </c>
      <c r="E470" s="664" t="str">
        <f>+VLOOKUP(F470,Resumen_Base!$C$8:$G$287,5,0)</f>
        <v>Guides</v>
      </c>
      <c r="F470" s="152" t="s">
        <v>323</v>
      </c>
      <c r="G470" s="4" t="s">
        <v>324</v>
      </c>
      <c r="H470" s="4" t="str">
        <f t="shared" si="7"/>
        <v>CAR5227</v>
      </c>
      <c r="I470" s="196">
        <v>215541.8</v>
      </c>
      <c r="J470" s="196">
        <v>151.79</v>
      </c>
      <c r="K470" s="196">
        <v>1420</v>
      </c>
      <c r="L470" s="454" t="s">
        <v>787</v>
      </c>
      <c r="M470" s="4" t="s">
        <v>780</v>
      </c>
      <c r="N470" s="133" t="s">
        <v>1407</v>
      </c>
      <c r="O470" s="4" t="s">
        <v>1490</v>
      </c>
      <c r="P470" s="4" t="s">
        <v>783</v>
      </c>
      <c r="Q470" s="4" t="s">
        <v>1491</v>
      </c>
      <c r="R470" s="4" t="s">
        <v>1514</v>
      </c>
      <c r="S470" s="4" t="s">
        <v>1493</v>
      </c>
      <c r="T470" s="4" t="s">
        <v>786</v>
      </c>
    </row>
    <row r="471" spans="1:20" customFormat="1">
      <c r="A471" s="10"/>
      <c r="B471" s="4"/>
      <c r="C471" s="4"/>
      <c r="D471" s="133" t="s">
        <v>676</v>
      </c>
      <c r="E471" s="664" t="str">
        <f>+VLOOKUP(F471,Resumen_Base!$C$8:$G$287,5,0)</f>
        <v>Guides</v>
      </c>
      <c r="F471" s="152" t="s">
        <v>323</v>
      </c>
      <c r="G471" s="4" t="s">
        <v>324</v>
      </c>
      <c r="H471" s="4" t="str">
        <f t="shared" si="7"/>
        <v>CAR5227</v>
      </c>
      <c r="I471" s="196">
        <v>2740.6</v>
      </c>
      <c r="J471" s="196">
        <v>1.93</v>
      </c>
      <c r="K471" s="196">
        <v>1420</v>
      </c>
      <c r="L471" s="454" t="s">
        <v>787</v>
      </c>
      <c r="M471" s="4" t="s">
        <v>780</v>
      </c>
      <c r="N471" s="133" t="s">
        <v>1407</v>
      </c>
      <c r="O471" s="4" t="s">
        <v>1490</v>
      </c>
      <c r="P471" s="4" t="s">
        <v>783</v>
      </c>
      <c r="Q471" s="4" t="s">
        <v>1491</v>
      </c>
      <c r="R471" s="4" t="s">
        <v>1515</v>
      </c>
      <c r="S471" s="4" t="s">
        <v>1493</v>
      </c>
      <c r="T471" s="4" t="s">
        <v>786</v>
      </c>
    </row>
    <row r="472" spans="1:20" customFormat="1">
      <c r="A472" s="10"/>
      <c r="B472" s="4"/>
      <c r="C472" s="4"/>
      <c r="D472" s="133" t="s">
        <v>676</v>
      </c>
      <c r="E472" s="664" t="str">
        <f>+VLOOKUP(F472,Resumen_Base!$C$8:$G$287,5,0)</f>
        <v>Guides</v>
      </c>
      <c r="F472" s="152" t="s">
        <v>323</v>
      </c>
      <c r="G472" s="4" t="s">
        <v>324</v>
      </c>
      <c r="H472" s="4" t="str">
        <f t="shared" si="7"/>
        <v>CAR5227</v>
      </c>
      <c r="I472" s="196">
        <v>215541.8</v>
      </c>
      <c r="J472" s="196">
        <v>151.79</v>
      </c>
      <c r="K472" s="196">
        <v>1420</v>
      </c>
      <c r="L472" s="454" t="s">
        <v>787</v>
      </c>
      <c r="M472" s="4" t="s">
        <v>780</v>
      </c>
      <c r="N472" s="133" t="s">
        <v>1407</v>
      </c>
      <c r="O472" s="4" t="s">
        <v>1490</v>
      </c>
      <c r="P472" s="4" t="s">
        <v>783</v>
      </c>
      <c r="Q472" s="4" t="s">
        <v>1491</v>
      </c>
      <c r="R472" s="4" t="s">
        <v>1516</v>
      </c>
      <c r="S472" s="4" t="s">
        <v>1493</v>
      </c>
      <c r="T472" s="4" t="s">
        <v>786</v>
      </c>
    </row>
    <row r="473" spans="1:20" customFormat="1">
      <c r="A473" s="10"/>
      <c r="B473" s="4"/>
      <c r="C473" s="4"/>
      <c r="D473" s="133" t="s">
        <v>676</v>
      </c>
      <c r="E473" s="664" t="str">
        <f>+VLOOKUP(F473,Resumen_Base!$C$8:$G$287,5,0)</f>
        <v>Guides</v>
      </c>
      <c r="F473" s="152" t="s">
        <v>323</v>
      </c>
      <c r="G473" s="4" t="s">
        <v>324</v>
      </c>
      <c r="H473" s="4" t="str">
        <f t="shared" si="7"/>
        <v>CAR5227</v>
      </c>
      <c r="I473" s="196">
        <v>2740.6</v>
      </c>
      <c r="J473" s="196">
        <v>1.93</v>
      </c>
      <c r="K473" s="196">
        <v>1420</v>
      </c>
      <c r="L473" s="454" t="s">
        <v>787</v>
      </c>
      <c r="M473" s="4" t="s">
        <v>780</v>
      </c>
      <c r="N473" s="133" t="s">
        <v>1407</v>
      </c>
      <c r="O473" s="4" t="s">
        <v>1490</v>
      </c>
      <c r="P473" s="4" t="s">
        <v>783</v>
      </c>
      <c r="Q473" s="4" t="s">
        <v>1491</v>
      </c>
      <c r="R473" s="4" t="s">
        <v>1515</v>
      </c>
      <c r="S473" s="4" t="s">
        <v>1493</v>
      </c>
      <c r="T473" s="4" t="s">
        <v>786</v>
      </c>
    </row>
    <row r="474" spans="1:20" customFormat="1">
      <c r="A474" s="10"/>
      <c r="B474" s="4"/>
      <c r="C474" s="4"/>
      <c r="D474" s="133" t="s">
        <v>676</v>
      </c>
      <c r="E474" s="664" t="str">
        <f>+VLOOKUP(F474,Resumen_Base!$C$8:$G$287,5,0)</f>
        <v>Guides</v>
      </c>
      <c r="F474" s="152" t="s">
        <v>323</v>
      </c>
      <c r="G474" s="4" t="s">
        <v>324</v>
      </c>
      <c r="H474" s="4" t="str">
        <f t="shared" si="7"/>
        <v>CAR5227</v>
      </c>
      <c r="I474" s="196">
        <v>215541.8</v>
      </c>
      <c r="J474" s="196">
        <v>151.79</v>
      </c>
      <c r="K474" s="196">
        <v>1420</v>
      </c>
      <c r="L474" s="454" t="s">
        <v>787</v>
      </c>
      <c r="M474" s="4" t="s">
        <v>780</v>
      </c>
      <c r="N474" s="133" t="s">
        <v>1407</v>
      </c>
      <c r="O474" s="4" t="s">
        <v>1490</v>
      </c>
      <c r="P474" s="4" t="s">
        <v>783</v>
      </c>
      <c r="Q474" s="4" t="s">
        <v>1491</v>
      </c>
      <c r="R474" s="4" t="s">
        <v>1517</v>
      </c>
      <c r="S474" s="4" t="s">
        <v>1493</v>
      </c>
      <c r="T474" s="4" t="s">
        <v>786</v>
      </c>
    </row>
    <row r="475" spans="1:20" customFormat="1">
      <c r="A475" s="10"/>
      <c r="B475" s="4"/>
      <c r="C475" s="4"/>
      <c r="D475" s="133" t="s">
        <v>676</v>
      </c>
      <c r="E475" s="664" t="str">
        <f>+VLOOKUP(F475,Resumen_Base!$C$8:$G$287,5,0)</f>
        <v>Guides</v>
      </c>
      <c r="F475" s="152" t="s">
        <v>323</v>
      </c>
      <c r="G475" s="4" t="s">
        <v>324</v>
      </c>
      <c r="H475" s="4" t="str">
        <f t="shared" si="7"/>
        <v>CAR5227</v>
      </c>
      <c r="I475" s="196">
        <v>215541.8</v>
      </c>
      <c r="J475" s="196">
        <v>151.79</v>
      </c>
      <c r="K475" s="196">
        <v>1420</v>
      </c>
      <c r="L475" s="454" t="s">
        <v>787</v>
      </c>
      <c r="M475" s="4" t="s">
        <v>780</v>
      </c>
      <c r="N475" s="133" t="s">
        <v>1407</v>
      </c>
      <c r="O475" s="4" t="s">
        <v>1490</v>
      </c>
      <c r="P475" s="4" t="s">
        <v>783</v>
      </c>
      <c r="Q475" s="4" t="s">
        <v>1491</v>
      </c>
      <c r="R475" s="4" t="s">
        <v>1518</v>
      </c>
      <c r="S475" s="4" t="s">
        <v>1493</v>
      </c>
      <c r="T475" s="4" t="s">
        <v>786</v>
      </c>
    </row>
    <row r="476" spans="1:20" customFormat="1">
      <c r="A476" s="10"/>
      <c r="B476" s="4"/>
      <c r="C476" s="4"/>
      <c r="D476" s="133" t="s">
        <v>676</v>
      </c>
      <c r="E476" s="664" t="str">
        <f>+VLOOKUP(F476,Resumen_Base!$C$8:$G$287,5,0)</f>
        <v>Guides</v>
      </c>
      <c r="F476" s="152" t="s">
        <v>323</v>
      </c>
      <c r="G476" s="4" t="s">
        <v>324</v>
      </c>
      <c r="H476" s="4" t="str">
        <f t="shared" si="7"/>
        <v>CAR5227</v>
      </c>
      <c r="I476" s="196">
        <v>2740.6</v>
      </c>
      <c r="J476" s="196">
        <v>1.93</v>
      </c>
      <c r="K476" s="196">
        <v>1420</v>
      </c>
      <c r="L476" s="454" t="s">
        <v>787</v>
      </c>
      <c r="M476" s="4" t="s">
        <v>780</v>
      </c>
      <c r="N476" s="133" t="s">
        <v>1407</v>
      </c>
      <c r="O476" s="4" t="s">
        <v>1490</v>
      </c>
      <c r="P476" s="4" t="s">
        <v>783</v>
      </c>
      <c r="Q476" s="4" t="s">
        <v>1491</v>
      </c>
      <c r="R476" s="4" t="s">
        <v>1515</v>
      </c>
      <c r="S476" s="4" t="s">
        <v>1493</v>
      </c>
      <c r="T476" s="4" t="s">
        <v>786</v>
      </c>
    </row>
    <row r="477" spans="1:20" customFormat="1">
      <c r="A477" s="10"/>
      <c r="B477" s="4"/>
      <c r="C477" s="4"/>
      <c r="D477" s="133" t="s">
        <v>676</v>
      </c>
      <c r="E477" s="664" t="str">
        <f>+VLOOKUP(F477,Resumen_Base!$C$8:$G$287,5,0)</f>
        <v>Guides</v>
      </c>
      <c r="F477" s="152" t="s">
        <v>323</v>
      </c>
      <c r="G477" s="4" t="s">
        <v>324</v>
      </c>
      <c r="H477" s="4" t="str">
        <f t="shared" si="7"/>
        <v>CAR5227</v>
      </c>
      <c r="I477" s="196">
        <v>92371</v>
      </c>
      <c r="J477" s="196">
        <v>65.05</v>
      </c>
      <c r="K477" s="196">
        <v>1420</v>
      </c>
      <c r="L477" s="454" t="s">
        <v>787</v>
      </c>
      <c r="M477" s="4" t="s">
        <v>780</v>
      </c>
      <c r="N477" s="133" t="s">
        <v>1407</v>
      </c>
      <c r="O477" s="4" t="s">
        <v>1490</v>
      </c>
      <c r="P477" s="4" t="s">
        <v>783</v>
      </c>
      <c r="Q477" s="4" t="s">
        <v>1491</v>
      </c>
      <c r="R477" s="4" t="s">
        <v>1519</v>
      </c>
      <c r="S477" s="4" t="s">
        <v>1493</v>
      </c>
      <c r="T477" s="4" t="s">
        <v>786</v>
      </c>
    </row>
    <row r="478" spans="1:20" customFormat="1">
      <c r="A478" s="10"/>
      <c r="B478" s="4"/>
      <c r="C478" s="4"/>
      <c r="D478" s="133" t="s">
        <v>676</v>
      </c>
      <c r="E478" s="664" t="str">
        <f>+VLOOKUP(F478,Resumen_Base!$C$8:$G$287,5,0)</f>
        <v>Guides</v>
      </c>
      <c r="F478" s="152" t="s">
        <v>323</v>
      </c>
      <c r="G478" s="4" t="s">
        <v>324</v>
      </c>
      <c r="H478" s="4" t="str">
        <f t="shared" si="7"/>
        <v>CAR5227</v>
      </c>
      <c r="I478" s="196">
        <v>2740.6</v>
      </c>
      <c r="J478" s="196">
        <v>1.93</v>
      </c>
      <c r="K478" s="196">
        <v>1420</v>
      </c>
      <c r="L478" s="454" t="s">
        <v>787</v>
      </c>
      <c r="M478" s="4" t="s">
        <v>780</v>
      </c>
      <c r="N478" s="133" t="s">
        <v>1407</v>
      </c>
      <c r="O478" s="4" t="s">
        <v>1490</v>
      </c>
      <c r="P478" s="4" t="s">
        <v>783</v>
      </c>
      <c r="Q478" s="4" t="s">
        <v>1491</v>
      </c>
      <c r="R478" s="4" t="s">
        <v>1515</v>
      </c>
      <c r="S478" s="4" t="s">
        <v>1493</v>
      </c>
      <c r="T478" s="4" t="s">
        <v>786</v>
      </c>
    </row>
    <row r="479" spans="1:20" customFormat="1">
      <c r="A479" s="10"/>
      <c r="B479" s="4"/>
      <c r="C479" s="4"/>
      <c r="D479" s="133" t="s">
        <v>676</v>
      </c>
      <c r="E479" s="664" t="str">
        <f>+VLOOKUP(F479,Resumen_Base!$C$8:$G$287,5,0)</f>
        <v>Guides</v>
      </c>
      <c r="F479" s="152" t="s">
        <v>323</v>
      </c>
      <c r="G479" s="4" t="s">
        <v>324</v>
      </c>
      <c r="H479" s="4" t="str">
        <f t="shared" si="7"/>
        <v>CAR5227</v>
      </c>
      <c r="I479" s="196">
        <v>215541.8</v>
      </c>
      <c r="J479" s="196">
        <v>151.79</v>
      </c>
      <c r="K479" s="196">
        <v>1420</v>
      </c>
      <c r="L479" s="454" t="s">
        <v>787</v>
      </c>
      <c r="M479" s="4" t="s">
        <v>780</v>
      </c>
      <c r="N479" s="133" t="s">
        <v>1407</v>
      </c>
      <c r="O479" s="4" t="s">
        <v>1490</v>
      </c>
      <c r="P479" s="4" t="s">
        <v>783</v>
      </c>
      <c r="Q479" s="4" t="s">
        <v>1491</v>
      </c>
      <c r="R479" s="4" t="s">
        <v>1520</v>
      </c>
      <c r="S479" s="4" t="s">
        <v>1493</v>
      </c>
      <c r="T479" s="4" t="s">
        <v>786</v>
      </c>
    </row>
    <row r="480" spans="1:20" customFormat="1">
      <c r="A480" s="10"/>
      <c r="B480" s="4"/>
      <c r="C480" s="4"/>
      <c r="D480" s="133" t="s">
        <v>676</v>
      </c>
      <c r="E480" s="664" t="str">
        <f>+VLOOKUP(F480,Resumen_Base!$C$8:$G$287,5,0)</f>
        <v>Guides</v>
      </c>
      <c r="F480" s="152" t="s">
        <v>323</v>
      </c>
      <c r="G480" s="4" t="s">
        <v>324</v>
      </c>
      <c r="H480" s="4" t="str">
        <f t="shared" si="7"/>
        <v>CAR5227</v>
      </c>
      <c r="I480" s="196">
        <v>2740.6</v>
      </c>
      <c r="J480" s="196">
        <v>1.93</v>
      </c>
      <c r="K480" s="196">
        <v>1420</v>
      </c>
      <c r="L480" s="454" t="s">
        <v>787</v>
      </c>
      <c r="M480" s="4" t="s">
        <v>780</v>
      </c>
      <c r="N480" s="133" t="s">
        <v>1407</v>
      </c>
      <c r="O480" s="4" t="s">
        <v>1490</v>
      </c>
      <c r="P480" s="4" t="s">
        <v>783</v>
      </c>
      <c r="Q480" s="4" t="s">
        <v>1491</v>
      </c>
      <c r="R480" s="4" t="s">
        <v>1515</v>
      </c>
      <c r="S480" s="4" t="s">
        <v>1493</v>
      </c>
      <c r="T480" s="4" t="s">
        <v>786</v>
      </c>
    </row>
    <row r="481" spans="1:20" customFormat="1">
      <c r="A481" s="10"/>
      <c r="B481" s="4"/>
      <c r="C481" s="4"/>
      <c r="D481" s="133" t="s">
        <v>676</v>
      </c>
      <c r="E481" s="664" t="str">
        <f>+VLOOKUP(F481,Resumen_Base!$C$8:$G$287,5,0)</f>
        <v>Guides</v>
      </c>
      <c r="F481" s="152" t="s">
        <v>323</v>
      </c>
      <c r="G481" s="4" t="s">
        <v>324</v>
      </c>
      <c r="H481" s="4" t="str">
        <f t="shared" si="7"/>
        <v>CAR5227</v>
      </c>
      <c r="I481" s="196">
        <v>215541.8</v>
      </c>
      <c r="J481" s="196">
        <v>151.79</v>
      </c>
      <c r="K481" s="196">
        <v>1420</v>
      </c>
      <c r="L481" s="454" t="s">
        <v>787</v>
      </c>
      <c r="M481" s="4" t="s">
        <v>780</v>
      </c>
      <c r="N481" s="133" t="s">
        <v>1407</v>
      </c>
      <c r="O481" s="4" t="s">
        <v>1490</v>
      </c>
      <c r="P481" s="4" t="s">
        <v>783</v>
      </c>
      <c r="Q481" s="4" t="s">
        <v>1491</v>
      </c>
      <c r="R481" s="4" t="s">
        <v>1521</v>
      </c>
      <c r="S481" s="4" t="s">
        <v>1493</v>
      </c>
      <c r="T481" s="4" t="s">
        <v>786</v>
      </c>
    </row>
    <row r="482" spans="1:20" customFormat="1">
      <c r="A482" s="10"/>
      <c r="B482" s="4"/>
      <c r="C482" s="4"/>
      <c r="D482" s="133" t="s">
        <v>676</v>
      </c>
      <c r="E482" s="664" t="str">
        <f>+VLOOKUP(F482,Resumen_Base!$C$8:$G$287,5,0)</f>
        <v>Guides</v>
      </c>
      <c r="F482" s="152" t="s">
        <v>323</v>
      </c>
      <c r="G482" s="4" t="s">
        <v>324</v>
      </c>
      <c r="H482" s="4" t="str">
        <f t="shared" si="7"/>
        <v>CAR5227</v>
      </c>
      <c r="I482" s="196">
        <v>2740.6</v>
      </c>
      <c r="J482" s="196">
        <v>1.93</v>
      </c>
      <c r="K482" s="196">
        <v>1420</v>
      </c>
      <c r="L482" s="454" t="s">
        <v>787</v>
      </c>
      <c r="M482" s="4" t="s">
        <v>780</v>
      </c>
      <c r="N482" s="133" t="s">
        <v>1407</v>
      </c>
      <c r="O482" s="4" t="s">
        <v>1490</v>
      </c>
      <c r="P482" s="4" t="s">
        <v>783</v>
      </c>
      <c r="Q482" s="4" t="s">
        <v>1491</v>
      </c>
      <c r="R482" s="4" t="s">
        <v>1515</v>
      </c>
      <c r="S482" s="4" t="s">
        <v>1493</v>
      </c>
      <c r="T482" s="4" t="s">
        <v>786</v>
      </c>
    </row>
    <row r="483" spans="1:20" customFormat="1">
      <c r="A483" s="10"/>
      <c r="B483" s="4"/>
      <c r="C483" s="4"/>
      <c r="D483" s="133" t="s">
        <v>676</v>
      </c>
      <c r="E483" s="664" t="str">
        <f>+VLOOKUP(F483,Resumen_Base!$C$8:$G$287,5,0)</f>
        <v>Guides</v>
      </c>
      <c r="F483" s="152" t="s">
        <v>323</v>
      </c>
      <c r="G483" s="4" t="s">
        <v>324</v>
      </c>
      <c r="H483" s="4" t="str">
        <f t="shared" si="7"/>
        <v>CAR5227</v>
      </c>
      <c r="I483" s="196">
        <v>184742</v>
      </c>
      <c r="J483" s="196">
        <v>130.1</v>
      </c>
      <c r="K483" s="196">
        <v>1420</v>
      </c>
      <c r="L483" s="454" t="s">
        <v>787</v>
      </c>
      <c r="M483" s="4" t="s">
        <v>780</v>
      </c>
      <c r="N483" s="133" t="s">
        <v>1407</v>
      </c>
      <c r="O483" s="4" t="s">
        <v>1490</v>
      </c>
      <c r="P483" s="4" t="s">
        <v>783</v>
      </c>
      <c r="Q483" s="4" t="s">
        <v>1491</v>
      </c>
      <c r="R483" s="4" t="s">
        <v>1522</v>
      </c>
      <c r="S483" s="4" t="s">
        <v>1493</v>
      </c>
      <c r="T483" s="4" t="s">
        <v>786</v>
      </c>
    </row>
    <row r="484" spans="1:20" customFormat="1">
      <c r="A484" s="10"/>
      <c r="B484" s="4"/>
      <c r="C484" s="4"/>
      <c r="D484" s="133" t="s">
        <v>676</v>
      </c>
      <c r="E484" s="664" t="str">
        <f>+VLOOKUP(F484,Resumen_Base!$C$8:$G$287,5,0)</f>
        <v>Guides</v>
      </c>
      <c r="F484" s="152" t="s">
        <v>323</v>
      </c>
      <c r="G484" s="4" t="s">
        <v>324</v>
      </c>
      <c r="H484" s="4" t="str">
        <f t="shared" si="7"/>
        <v>CAR5227</v>
      </c>
      <c r="I484" s="196">
        <v>2740.6</v>
      </c>
      <c r="J484" s="196">
        <v>1.93</v>
      </c>
      <c r="K484" s="196">
        <v>1420</v>
      </c>
      <c r="L484" s="454" t="s">
        <v>787</v>
      </c>
      <c r="M484" s="4" t="s">
        <v>780</v>
      </c>
      <c r="N484" s="133" t="s">
        <v>1407</v>
      </c>
      <c r="O484" s="4" t="s">
        <v>1490</v>
      </c>
      <c r="P484" s="4" t="s">
        <v>783</v>
      </c>
      <c r="Q484" s="4" t="s">
        <v>1491</v>
      </c>
      <c r="R484" s="4" t="s">
        <v>1515</v>
      </c>
      <c r="S484" s="4" t="s">
        <v>1493</v>
      </c>
      <c r="T484" s="4" t="s">
        <v>786</v>
      </c>
    </row>
    <row r="485" spans="1:20" customFormat="1">
      <c r="A485" s="10"/>
      <c r="B485" s="4"/>
      <c r="C485" s="4"/>
      <c r="D485" s="133" t="s">
        <v>676</v>
      </c>
      <c r="E485" s="664" t="str">
        <f>+VLOOKUP(F485,Resumen_Base!$C$8:$G$287,5,0)</f>
        <v>Guides</v>
      </c>
      <c r="F485" s="152" t="s">
        <v>323</v>
      </c>
      <c r="G485" s="4" t="s">
        <v>324</v>
      </c>
      <c r="H485" s="4" t="str">
        <f t="shared" si="7"/>
        <v>CAR5227</v>
      </c>
      <c r="I485" s="196">
        <v>302474.2</v>
      </c>
      <c r="J485" s="196">
        <v>213.01</v>
      </c>
      <c r="K485" s="196">
        <v>1420</v>
      </c>
      <c r="L485" s="454" t="s">
        <v>787</v>
      </c>
      <c r="M485" s="4" t="s">
        <v>780</v>
      </c>
      <c r="N485" s="133" t="s">
        <v>1407</v>
      </c>
      <c r="O485" s="4" t="s">
        <v>1490</v>
      </c>
      <c r="P485" s="4" t="s">
        <v>783</v>
      </c>
      <c r="Q485" s="4" t="s">
        <v>1491</v>
      </c>
      <c r="R485" s="4" t="s">
        <v>1523</v>
      </c>
      <c r="S485" s="4" t="s">
        <v>1493</v>
      </c>
      <c r="T485" s="4" t="s">
        <v>786</v>
      </c>
    </row>
    <row r="486" spans="1:20" customFormat="1">
      <c r="A486" s="10"/>
      <c r="B486" s="4"/>
      <c r="C486" s="4"/>
      <c r="D486" s="133" t="s">
        <v>676</v>
      </c>
      <c r="E486" s="664" t="str">
        <f>+VLOOKUP(F486,Resumen_Base!$C$8:$G$287,5,0)</f>
        <v>Guides</v>
      </c>
      <c r="F486" s="152" t="s">
        <v>323</v>
      </c>
      <c r="G486" s="4" t="s">
        <v>324</v>
      </c>
      <c r="H486" s="4" t="str">
        <f t="shared" si="7"/>
        <v>CAR5227</v>
      </c>
      <c r="I486" s="196">
        <v>2740.6</v>
      </c>
      <c r="J486" s="196">
        <v>1.93</v>
      </c>
      <c r="K486" s="196">
        <v>1420</v>
      </c>
      <c r="L486" s="454" t="s">
        <v>787</v>
      </c>
      <c r="M486" s="4" t="s">
        <v>780</v>
      </c>
      <c r="N486" s="133" t="s">
        <v>1407</v>
      </c>
      <c r="O486" s="4" t="s">
        <v>1490</v>
      </c>
      <c r="P486" s="4" t="s">
        <v>783</v>
      </c>
      <c r="Q486" s="4" t="s">
        <v>1491</v>
      </c>
      <c r="R486" s="4" t="s">
        <v>1515</v>
      </c>
      <c r="S486" s="4" t="s">
        <v>1493</v>
      </c>
      <c r="T486" s="4" t="s">
        <v>786</v>
      </c>
    </row>
    <row r="487" spans="1:20" customFormat="1">
      <c r="A487" s="10"/>
      <c r="B487" s="4"/>
      <c r="C487" s="4"/>
      <c r="D487" s="133" t="s">
        <v>676</v>
      </c>
      <c r="E487" s="664" t="str">
        <f>+VLOOKUP(F487,Resumen_Base!$C$8:$G$287,5,0)</f>
        <v>Guides</v>
      </c>
      <c r="F487" s="152" t="s">
        <v>323</v>
      </c>
      <c r="G487" s="4" t="s">
        <v>324</v>
      </c>
      <c r="H487" s="4" t="str">
        <f t="shared" si="7"/>
        <v>CAR5227</v>
      </c>
      <c r="I487" s="196">
        <v>628624.5</v>
      </c>
      <c r="J487" s="196">
        <v>458.85</v>
      </c>
      <c r="K487" s="196">
        <v>1370</v>
      </c>
      <c r="L487" s="454" t="s">
        <v>787</v>
      </c>
      <c r="M487" s="4" t="s">
        <v>780</v>
      </c>
      <c r="N487" s="133" t="s">
        <v>1407</v>
      </c>
      <c r="O487" s="4" t="s">
        <v>1490</v>
      </c>
      <c r="P487" s="4" t="s">
        <v>783</v>
      </c>
      <c r="Q487" s="4" t="s">
        <v>1491</v>
      </c>
      <c r="R487" s="4" t="s">
        <v>1524</v>
      </c>
      <c r="S487" s="4" t="s">
        <v>1493</v>
      </c>
      <c r="T487" s="4" t="s">
        <v>786</v>
      </c>
    </row>
    <row r="488" spans="1:20" customFormat="1">
      <c r="A488" s="10"/>
      <c r="B488" s="4"/>
      <c r="C488" s="4"/>
      <c r="D488" s="133" t="s">
        <v>676</v>
      </c>
      <c r="E488" s="664" t="str">
        <f>+VLOOKUP(F488,Resumen_Base!$C$8:$G$287,5,0)</f>
        <v>Guides</v>
      </c>
      <c r="F488" s="152" t="s">
        <v>323</v>
      </c>
      <c r="G488" s="4" t="s">
        <v>324</v>
      </c>
      <c r="H488" s="4" t="str">
        <f t="shared" si="7"/>
        <v>CAR5227</v>
      </c>
      <c r="I488" s="196">
        <v>2740.6</v>
      </c>
      <c r="J488" s="196">
        <v>1.93</v>
      </c>
      <c r="K488" s="196">
        <v>1420</v>
      </c>
      <c r="L488" s="454" t="s">
        <v>787</v>
      </c>
      <c r="M488" s="4" t="s">
        <v>780</v>
      </c>
      <c r="N488" s="133" t="s">
        <v>1407</v>
      </c>
      <c r="O488" s="4" t="s">
        <v>1490</v>
      </c>
      <c r="P488" s="4" t="s">
        <v>783</v>
      </c>
      <c r="Q488" s="4" t="s">
        <v>1491</v>
      </c>
      <c r="R488" s="4" t="s">
        <v>1515</v>
      </c>
      <c r="S488" s="4" t="s">
        <v>1493</v>
      </c>
      <c r="T488" s="4" t="s">
        <v>786</v>
      </c>
    </row>
    <row r="489" spans="1:20" customFormat="1">
      <c r="A489" s="10"/>
      <c r="B489" s="4"/>
      <c r="C489" s="4"/>
      <c r="D489" s="133" t="s">
        <v>676</v>
      </c>
      <c r="E489" s="664" t="str">
        <f>+VLOOKUP(F489,Resumen_Base!$C$8:$G$287,5,0)</f>
        <v>Guides</v>
      </c>
      <c r="F489" s="152" t="s">
        <v>323</v>
      </c>
      <c r="G489" s="4" t="s">
        <v>324</v>
      </c>
      <c r="H489" s="4" t="str">
        <f t="shared" si="7"/>
        <v>CAR5227</v>
      </c>
      <c r="I489" s="196">
        <v>646100</v>
      </c>
      <c r="J489" s="196">
        <v>455</v>
      </c>
      <c r="K489" s="196">
        <v>1420</v>
      </c>
      <c r="L489" s="454" t="s">
        <v>899</v>
      </c>
      <c r="M489" s="4" t="s">
        <v>780</v>
      </c>
      <c r="N489" s="133" t="s">
        <v>1407</v>
      </c>
      <c r="O489" s="4" t="s">
        <v>1620</v>
      </c>
      <c r="P489" s="4" t="s">
        <v>892</v>
      </c>
      <c r="Q489" s="4" t="s">
        <v>1621</v>
      </c>
      <c r="R489" s="4" t="s">
        <v>1716</v>
      </c>
      <c r="S489" s="4" t="s">
        <v>1623</v>
      </c>
      <c r="T489" s="4" t="s">
        <v>786</v>
      </c>
    </row>
    <row r="490" spans="1:20" customFormat="1">
      <c r="A490" s="10"/>
      <c r="B490" s="4"/>
      <c r="C490" s="4"/>
      <c r="D490" s="133" t="s">
        <v>676</v>
      </c>
      <c r="E490" s="664" t="str">
        <f>+VLOOKUP(F490,Resumen_Base!$C$8:$G$287,5,0)</f>
        <v>Guides</v>
      </c>
      <c r="F490" s="152" t="s">
        <v>323</v>
      </c>
      <c r="G490" s="4" t="s">
        <v>324</v>
      </c>
      <c r="H490" s="4" t="str">
        <f t="shared" si="7"/>
        <v>CAR5227</v>
      </c>
      <c r="I490" s="196">
        <v>1491000</v>
      </c>
      <c r="J490" s="196">
        <v>1050</v>
      </c>
      <c r="K490" s="196">
        <v>1420</v>
      </c>
      <c r="L490" s="454" t="s">
        <v>899</v>
      </c>
      <c r="M490" s="4" t="s">
        <v>780</v>
      </c>
      <c r="N490" s="133" t="s">
        <v>1407</v>
      </c>
      <c r="O490" s="4" t="s">
        <v>1620</v>
      </c>
      <c r="P490" s="4" t="s">
        <v>892</v>
      </c>
      <c r="Q490" s="4" t="s">
        <v>1621</v>
      </c>
      <c r="R490" s="4" t="s">
        <v>1632</v>
      </c>
      <c r="S490" s="4" t="s">
        <v>1623</v>
      </c>
      <c r="T490" s="4" t="s">
        <v>786</v>
      </c>
    </row>
    <row r="491" spans="1:20" customFormat="1">
      <c r="A491" s="10"/>
      <c r="B491" s="4"/>
      <c r="C491" s="4"/>
      <c r="D491" s="133" t="s">
        <v>676</v>
      </c>
      <c r="E491" s="664" t="str">
        <f>+VLOOKUP(F491,Resumen_Base!$C$8:$G$287,5,0)</f>
        <v>Guides</v>
      </c>
      <c r="F491" s="152" t="s">
        <v>323</v>
      </c>
      <c r="G491" s="4" t="s">
        <v>324</v>
      </c>
      <c r="H491" s="4" t="str">
        <f t="shared" si="7"/>
        <v>CAR5227</v>
      </c>
      <c r="I491" s="196">
        <v>1349000</v>
      </c>
      <c r="J491" s="196">
        <v>950</v>
      </c>
      <c r="K491" s="196">
        <v>1420</v>
      </c>
      <c r="L491" s="454" t="s">
        <v>899</v>
      </c>
      <c r="M491" s="4" t="s">
        <v>780</v>
      </c>
      <c r="N491" s="133" t="s">
        <v>1407</v>
      </c>
      <c r="O491" s="4" t="s">
        <v>1620</v>
      </c>
      <c r="P491" s="4" t="s">
        <v>892</v>
      </c>
      <c r="Q491" s="4" t="s">
        <v>1621</v>
      </c>
      <c r="R491" s="4" t="s">
        <v>1634</v>
      </c>
      <c r="S491" s="4" t="s">
        <v>1623</v>
      </c>
      <c r="T491" s="4" t="s">
        <v>786</v>
      </c>
    </row>
    <row r="492" spans="1:20" customFormat="1">
      <c r="A492" s="10"/>
      <c r="B492" s="4"/>
      <c r="C492" s="4"/>
      <c r="D492" s="133" t="s">
        <v>676</v>
      </c>
      <c r="E492" s="664" t="str">
        <f>+VLOOKUP(F492,Resumen_Base!$C$8:$G$287,5,0)</f>
        <v>Guides</v>
      </c>
      <c r="F492" s="152" t="s">
        <v>323</v>
      </c>
      <c r="G492" s="4" t="s">
        <v>324</v>
      </c>
      <c r="H492" s="4" t="str">
        <f t="shared" si="7"/>
        <v>CAR5227</v>
      </c>
      <c r="I492" s="196">
        <v>1349000</v>
      </c>
      <c r="J492" s="196">
        <v>950</v>
      </c>
      <c r="K492" s="196">
        <v>1420</v>
      </c>
      <c r="L492" s="454" t="s">
        <v>899</v>
      </c>
      <c r="M492" s="4" t="s">
        <v>780</v>
      </c>
      <c r="N492" s="133" t="s">
        <v>1407</v>
      </c>
      <c r="O492" s="4" t="s">
        <v>1620</v>
      </c>
      <c r="P492" s="4" t="s">
        <v>892</v>
      </c>
      <c r="Q492" s="4" t="s">
        <v>1621</v>
      </c>
      <c r="R492" s="4" t="s">
        <v>1636</v>
      </c>
      <c r="S492" s="4" t="s">
        <v>1623</v>
      </c>
      <c r="T492" s="4" t="s">
        <v>786</v>
      </c>
    </row>
    <row r="493" spans="1:20" customFormat="1">
      <c r="A493" s="10"/>
      <c r="B493" s="4"/>
      <c r="C493" s="4"/>
      <c r="D493" s="133" t="s">
        <v>676</v>
      </c>
      <c r="E493" s="664" t="str">
        <f>+VLOOKUP(F493,Resumen_Base!$C$8:$G$287,5,0)</f>
        <v>Guides</v>
      </c>
      <c r="F493" s="152" t="s">
        <v>323</v>
      </c>
      <c r="G493" s="4" t="s">
        <v>324</v>
      </c>
      <c r="H493" s="4" t="str">
        <f t="shared" si="7"/>
        <v>CAR5227</v>
      </c>
      <c r="I493" s="196">
        <v>2432500</v>
      </c>
      <c r="J493" s="196">
        <v>1750</v>
      </c>
      <c r="K493" s="196">
        <v>1390</v>
      </c>
      <c r="L493" s="454" t="s">
        <v>899</v>
      </c>
      <c r="M493" s="4" t="s">
        <v>780</v>
      </c>
      <c r="N493" s="133" t="s">
        <v>1407</v>
      </c>
      <c r="O493" s="4" t="s">
        <v>1620</v>
      </c>
      <c r="P493" s="4" t="s">
        <v>892</v>
      </c>
      <c r="Q493" s="4" t="s">
        <v>1621</v>
      </c>
      <c r="R493" s="4" t="s">
        <v>1682</v>
      </c>
      <c r="S493" s="4" t="s">
        <v>1623</v>
      </c>
      <c r="T493" s="4" t="s">
        <v>786</v>
      </c>
    </row>
    <row r="494" spans="1:20" customFormat="1">
      <c r="A494" s="10"/>
      <c r="B494" s="4"/>
      <c r="C494" s="4"/>
      <c r="D494" s="133" t="s">
        <v>676</v>
      </c>
      <c r="E494" s="664" t="str">
        <f>+VLOOKUP(F494,Resumen_Base!$C$8:$G$287,5,0)</f>
        <v>Guides</v>
      </c>
      <c r="F494" s="152" t="s">
        <v>323</v>
      </c>
      <c r="G494" s="4" t="s">
        <v>324</v>
      </c>
      <c r="H494" s="4" t="str">
        <f t="shared" si="7"/>
        <v>CAR5227</v>
      </c>
      <c r="I494" s="196">
        <v>1491000</v>
      </c>
      <c r="J494" s="196">
        <v>1050</v>
      </c>
      <c r="K494" s="196">
        <v>1420</v>
      </c>
      <c r="L494" s="454" t="s">
        <v>899</v>
      </c>
      <c r="M494" s="4" t="s">
        <v>780</v>
      </c>
      <c r="N494" s="133" t="s">
        <v>1407</v>
      </c>
      <c r="O494" s="4" t="s">
        <v>1620</v>
      </c>
      <c r="P494" s="4" t="s">
        <v>892</v>
      </c>
      <c r="Q494" s="4" t="s">
        <v>1621</v>
      </c>
      <c r="R494" s="4" t="s">
        <v>1715</v>
      </c>
      <c r="S494" s="4" t="s">
        <v>1623</v>
      </c>
      <c r="T494" s="4" t="s">
        <v>786</v>
      </c>
    </row>
    <row r="495" spans="1:20" customFormat="1">
      <c r="A495" s="10"/>
      <c r="B495" s="4"/>
      <c r="C495" s="4"/>
      <c r="D495" s="133" t="s">
        <v>676</v>
      </c>
      <c r="E495" s="664" t="str">
        <f>+VLOOKUP(F495,Resumen_Base!$C$8:$G$287,5,0)</f>
        <v>Guides</v>
      </c>
      <c r="F495" s="152" t="s">
        <v>323</v>
      </c>
      <c r="G495" s="4" t="s">
        <v>324</v>
      </c>
      <c r="H495" s="4" t="str">
        <f t="shared" si="7"/>
        <v>CAR5227</v>
      </c>
      <c r="I495" s="196">
        <v>2731.3</v>
      </c>
      <c r="J495" s="196">
        <v>1.91</v>
      </c>
      <c r="K495" s="196">
        <v>1430</v>
      </c>
      <c r="L495" s="454" t="s">
        <v>890</v>
      </c>
      <c r="M495" s="4" t="s">
        <v>780</v>
      </c>
      <c r="N495" s="133" t="s">
        <v>1407</v>
      </c>
      <c r="O495" s="4" t="s">
        <v>1763</v>
      </c>
      <c r="P495" s="4" t="s">
        <v>892</v>
      </c>
      <c r="Q495" s="4" t="s">
        <v>1764</v>
      </c>
      <c r="R495" s="4" t="s">
        <v>1515</v>
      </c>
      <c r="S495" s="4" t="s">
        <v>1765</v>
      </c>
      <c r="T495" s="4" t="s">
        <v>786</v>
      </c>
    </row>
    <row r="496" spans="1:20" customFormat="1">
      <c r="A496" s="10"/>
      <c r="B496" s="4"/>
      <c r="C496" s="4"/>
      <c r="D496" s="133" t="s">
        <v>676</v>
      </c>
      <c r="E496" s="664" t="str">
        <f>+VLOOKUP(F496,Resumen_Base!$C$8:$G$287,5,0)</f>
        <v>Guides</v>
      </c>
      <c r="F496" s="152" t="s">
        <v>323</v>
      </c>
      <c r="G496" s="4" t="s">
        <v>324</v>
      </c>
      <c r="H496" s="4" t="str">
        <f t="shared" si="7"/>
        <v>CAR5227</v>
      </c>
      <c r="I496" s="196">
        <v>118861.6</v>
      </c>
      <c r="J496" s="196">
        <v>83.12</v>
      </c>
      <c r="K496" s="196">
        <v>1430</v>
      </c>
      <c r="L496" s="454" t="s">
        <v>890</v>
      </c>
      <c r="M496" s="4" t="s">
        <v>780</v>
      </c>
      <c r="N496" s="133" t="s">
        <v>1407</v>
      </c>
      <c r="O496" s="4" t="s">
        <v>1763</v>
      </c>
      <c r="P496" s="4" t="s">
        <v>892</v>
      </c>
      <c r="Q496" s="4" t="s">
        <v>1764</v>
      </c>
      <c r="R496" s="4" t="s">
        <v>1766</v>
      </c>
      <c r="S496" s="4" t="s">
        <v>1765</v>
      </c>
      <c r="T496" s="4" t="s">
        <v>786</v>
      </c>
    </row>
    <row r="497" spans="1:20" customFormat="1">
      <c r="A497" s="10"/>
      <c r="B497" s="4"/>
      <c r="C497" s="4"/>
      <c r="D497" s="133" t="s">
        <v>676</v>
      </c>
      <c r="E497" s="664" t="str">
        <f>+VLOOKUP(F497,Resumen_Base!$C$8:$G$287,5,0)</f>
        <v>Guides</v>
      </c>
      <c r="F497" s="152" t="s">
        <v>323</v>
      </c>
      <c r="G497" s="4" t="s">
        <v>324</v>
      </c>
      <c r="H497" s="4" t="str">
        <f t="shared" si="7"/>
        <v>CAR5227</v>
      </c>
      <c r="I497" s="196">
        <v>988759.2</v>
      </c>
      <c r="J497" s="196">
        <v>691.44</v>
      </c>
      <c r="K497" s="196">
        <v>1430</v>
      </c>
      <c r="L497" s="454" t="s">
        <v>890</v>
      </c>
      <c r="M497" s="4" t="s">
        <v>780</v>
      </c>
      <c r="N497" s="133" t="s">
        <v>1407</v>
      </c>
      <c r="O497" s="4" t="s">
        <v>1763</v>
      </c>
      <c r="P497" s="4" t="s">
        <v>892</v>
      </c>
      <c r="Q497" s="4" t="s">
        <v>1764</v>
      </c>
      <c r="R497" s="4" t="s">
        <v>1767</v>
      </c>
      <c r="S497" s="4" t="s">
        <v>1765</v>
      </c>
      <c r="T497" s="4" t="s">
        <v>786</v>
      </c>
    </row>
    <row r="498" spans="1:20" customFormat="1">
      <c r="A498" s="10"/>
      <c r="B498" s="4"/>
      <c r="C498" s="4"/>
      <c r="D498" s="133" t="s">
        <v>676</v>
      </c>
      <c r="E498" s="664" t="str">
        <f>+VLOOKUP(F498,Resumen_Base!$C$8:$G$287,5,0)</f>
        <v>Guides</v>
      </c>
      <c r="F498" s="152" t="s">
        <v>323</v>
      </c>
      <c r="G498" s="4" t="s">
        <v>324</v>
      </c>
      <c r="H498" s="4" t="str">
        <f t="shared" si="7"/>
        <v>CAR5227</v>
      </c>
      <c r="I498" s="196">
        <v>2731.3</v>
      </c>
      <c r="J498" s="196">
        <v>1.91</v>
      </c>
      <c r="K498" s="196">
        <v>1430</v>
      </c>
      <c r="L498" s="454" t="s">
        <v>890</v>
      </c>
      <c r="M498" s="4" t="s">
        <v>780</v>
      </c>
      <c r="N498" s="133" t="s">
        <v>1407</v>
      </c>
      <c r="O498" s="4" t="s">
        <v>1763</v>
      </c>
      <c r="P498" s="4" t="s">
        <v>892</v>
      </c>
      <c r="Q498" s="4" t="s">
        <v>1764</v>
      </c>
      <c r="R498" s="4" t="s">
        <v>1515</v>
      </c>
      <c r="S498" s="4" t="s">
        <v>1765</v>
      </c>
      <c r="T498" s="4" t="s">
        <v>786</v>
      </c>
    </row>
    <row r="499" spans="1:20" customFormat="1">
      <c r="A499" s="10"/>
      <c r="B499" s="4"/>
      <c r="C499" s="4"/>
      <c r="D499" s="133" t="s">
        <v>676</v>
      </c>
      <c r="E499" s="664" t="str">
        <f>+VLOOKUP(F499,Resumen_Base!$C$8:$G$287,5,0)</f>
        <v>Guides</v>
      </c>
      <c r="F499" s="152" t="s">
        <v>323</v>
      </c>
      <c r="G499" s="4" t="s">
        <v>324</v>
      </c>
      <c r="H499" s="4" t="str">
        <f t="shared" si="7"/>
        <v>CAR5227</v>
      </c>
      <c r="I499" s="196">
        <v>1801013.5</v>
      </c>
      <c r="J499" s="196">
        <v>1259.45</v>
      </c>
      <c r="K499" s="196">
        <v>1430</v>
      </c>
      <c r="L499" s="454" t="s">
        <v>890</v>
      </c>
      <c r="M499" s="4" t="s">
        <v>780</v>
      </c>
      <c r="N499" s="133" t="s">
        <v>1407</v>
      </c>
      <c r="O499" s="4" t="s">
        <v>1763</v>
      </c>
      <c r="P499" s="4" t="s">
        <v>892</v>
      </c>
      <c r="Q499" s="4" t="s">
        <v>1764</v>
      </c>
      <c r="R499" s="4" t="s">
        <v>1769</v>
      </c>
      <c r="S499" s="4" t="s">
        <v>1765</v>
      </c>
      <c r="T499" s="4" t="s">
        <v>786</v>
      </c>
    </row>
    <row r="500" spans="1:20" customFormat="1">
      <c r="A500" s="10"/>
      <c r="B500" s="4"/>
      <c r="C500" s="4"/>
      <c r="D500" s="133" t="s">
        <v>676</v>
      </c>
      <c r="E500" s="664" t="str">
        <f>+VLOOKUP(F500,Resumen_Base!$C$8:$G$287,5,0)</f>
        <v>Guides</v>
      </c>
      <c r="F500" s="152" t="s">
        <v>323</v>
      </c>
      <c r="G500" s="4" t="s">
        <v>324</v>
      </c>
      <c r="H500" s="4" t="str">
        <f t="shared" si="7"/>
        <v>CAR5227</v>
      </c>
      <c r="I500" s="196">
        <v>214314.1</v>
      </c>
      <c r="J500" s="196">
        <v>149.87</v>
      </c>
      <c r="K500" s="196">
        <v>1430</v>
      </c>
      <c r="L500" s="454" t="s">
        <v>890</v>
      </c>
      <c r="M500" s="4" t="s">
        <v>780</v>
      </c>
      <c r="N500" s="133" t="s">
        <v>1407</v>
      </c>
      <c r="O500" s="4" t="s">
        <v>1763</v>
      </c>
      <c r="P500" s="4" t="s">
        <v>892</v>
      </c>
      <c r="Q500" s="4" t="s">
        <v>1764</v>
      </c>
      <c r="R500" s="4" t="s">
        <v>1770</v>
      </c>
      <c r="S500" s="4" t="s">
        <v>1765</v>
      </c>
      <c r="T500" s="4" t="s">
        <v>786</v>
      </c>
    </row>
    <row r="501" spans="1:20" customFormat="1">
      <c r="A501" s="10"/>
      <c r="B501" s="4"/>
      <c r="C501" s="4"/>
      <c r="D501" s="133" t="s">
        <v>676</v>
      </c>
      <c r="E501" s="664" t="str">
        <f>+VLOOKUP(F501,Resumen_Base!$C$8:$G$287,5,0)</f>
        <v>Guides</v>
      </c>
      <c r="F501" s="152" t="s">
        <v>323</v>
      </c>
      <c r="G501" s="4" t="s">
        <v>324</v>
      </c>
      <c r="H501" s="4" t="str">
        <f t="shared" si="7"/>
        <v>CAR5227</v>
      </c>
      <c r="I501" s="196">
        <v>1988858.3</v>
      </c>
      <c r="J501" s="196">
        <v>1390.81</v>
      </c>
      <c r="K501" s="196">
        <v>1430</v>
      </c>
      <c r="L501" s="454" t="s">
        <v>890</v>
      </c>
      <c r="M501" s="4" t="s">
        <v>780</v>
      </c>
      <c r="N501" s="133" t="s">
        <v>1407</v>
      </c>
      <c r="O501" s="4" t="s">
        <v>1763</v>
      </c>
      <c r="P501" s="4" t="s">
        <v>892</v>
      </c>
      <c r="Q501" s="4" t="s">
        <v>1764</v>
      </c>
      <c r="R501" s="4" t="s">
        <v>1771</v>
      </c>
      <c r="S501" s="4" t="s">
        <v>1765</v>
      </c>
      <c r="T501" s="4" t="s">
        <v>786</v>
      </c>
    </row>
    <row r="502" spans="1:20" customFormat="1">
      <c r="A502" s="10"/>
      <c r="B502" s="4"/>
      <c r="C502" s="4"/>
      <c r="D502" s="133" t="s">
        <v>676</v>
      </c>
      <c r="E502" s="664" t="str">
        <f>+VLOOKUP(F502,Resumen_Base!$C$8:$G$287,5,0)</f>
        <v>Guides</v>
      </c>
      <c r="F502" s="152" t="s">
        <v>323</v>
      </c>
      <c r="G502" s="4" t="s">
        <v>324</v>
      </c>
      <c r="H502" s="4" t="str">
        <f t="shared" si="7"/>
        <v>CAR5227</v>
      </c>
      <c r="I502" s="196">
        <v>2731.3</v>
      </c>
      <c r="J502" s="196">
        <v>1.91</v>
      </c>
      <c r="K502" s="196">
        <v>1430</v>
      </c>
      <c r="L502" s="454" t="s">
        <v>890</v>
      </c>
      <c r="M502" s="4" t="s">
        <v>780</v>
      </c>
      <c r="N502" s="133" t="s">
        <v>1407</v>
      </c>
      <c r="O502" s="4" t="s">
        <v>1763</v>
      </c>
      <c r="P502" s="4" t="s">
        <v>892</v>
      </c>
      <c r="Q502" s="4" t="s">
        <v>1764</v>
      </c>
      <c r="R502" s="4" t="s">
        <v>1515</v>
      </c>
      <c r="S502" s="4" t="s">
        <v>1765</v>
      </c>
      <c r="T502" s="4" t="s">
        <v>786</v>
      </c>
    </row>
    <row r="503" spans="1:20" customFormat="1">
      <c r="A503" s="10"/>
      <c r="B503" s="4"/>
      <c r="C503" s="4"/>
      <c r="D503" s="133" t="s">
        <v>676</v>
      </c>
      <c r="E503" s="664" t="str">
        <f>+VLOOKUP(F503,Resumen_Base!$C$8:$G$287,5,0)</f>
        <v>Guides</v>
      </c>
      <c r="F503" s="152" t="s">
        <v>323</v>
      </c>
      <c r="G503" s="4" t="s">
        <v>324</v>
      </c>
      <c r="H503" s="4" t="str">
        <f t="shared" si="7"/>
        <v>CAR5227</v>
      </c>
      <c r="I503" s="196">
        <v>3602012.7</v>
      </c>
      <c r="J503" s="196">
        <v>2518.89</v>
      </c>
      <c r="K503" s="196">
        <v>1430</v>
      </c>
      <c r="L503" s="454" t="s">
        <v>890</v>
      </c>
      <c r="M503" s="4" t="s">
        <v>780</v>
      </c>
      <c r="N503" s="133" t="s">
        <v>1407</v>
      </c>
      <c r="O503" s="4" t="s">
        <v>1763</v>
      </c>
      <c r="P503" s="4" t="s">
        <v>892</v>
      </c>
      <c r="Q503" s="4" t="s">
        <v>1764</v>
      </c>
      <c r="R503" s="4" t="s">
        <v>1773</v>
      </c>
      <c r="S503" s="4" t="s">
        <v>1765</v>
      </c>
      <c r="T503" s="4" t="s">
        <v>786</v>
      </c>
    </row>
    <row r="504" spans="1:20" customFormat="1">
      <c r="A504" s="10"/>
      <c r="B504" s="4"/>
      <c r="C504" s="4"/>
      <c r="D504" s="133" t="s">
        <v>676</v>
      </c>
      <c r="E504" s="664" t="str">
        <f>+VLOOKUP(F504,Resumen_Base!$C$8:$G$287,5,0)</f>
        <v>Guides</v>
      </c>
      <c r="F504" s="152" t="s">
        <v>323</v>
      </c>
      <c r="G504" s="4" t="s">
        <v>324</v>
      </c>
      <c r="H504" s="4" t="str">
        <f t="shared" si="7"/>
        <v>CAR5227</v>
      </c>
      <c r="I504" s="196">
        <v>2731.3</v>
      </c>
      <c r="J504" s="196">
        <v>1.91</v>
      </c>
      <c r="K504" s="196">
        <v>1430</v>
      </c>
      <c r="L504" s="454" t="s">
        <v>890</v>
      </c>
      <c r="M504" s="4" t="s">
        <v>780</v>
      </c>
      <c r="N504" s="133" t="s">
        <v>1407</v>
      </c>
      <c r="O504" s="4" t="s">
        <v>1763</v>
      </c>
      <c r="P504" s="4" t="s">
        <v>892</v>
      </c>
      <c r="Q504" s="4" t="s">
        <v>1764</v>
      </c>
      <c r="R504" s="4" t="s">
        <v>1515</v>
      </c>
      <c r="S504" s="4" t="s">
        <v>1765</v>
      </c>
      <c r="T504" s="4" t="s">
        <v>786</v>
      </c>
    </row>
    <row r="505" spans="1:20" customFormat="1">
      <c r="A505" s="10"/>
      <c r="B505" s="4"/>
      <c r="C505" s="4"/>
      <c r="D505" s="133" t="s">
        <v>676</v>
      </c>
      <c r="E505" s="664" t="str">
        <f>+VLOOKUP(F505,Resumen_Base!$C$8:$G$287,5,0)</f>
        <v>Guides</v>
      </c>
      <c r="F505" s="152" t="s">
        <v>323</v>
      </c>
      <c r="G505" s="4" t="s">
        <v>324</v>
      </c>
      <c r="H505" s="4" t="str">
        <f t="shared" si="7"/>
        <v>CAR5227</v>
      </c>
      <c r="I505" s="196">
        <v>244930.4</v>
      </c>
      <c r="J505" s="196">
        <v>171.28</v>
      </c>
      <c r="K505" s="196">
        <v>1430</v>
      </c>
      <c r="L505" s="454" t="s">
        <v>890</v>
      </c>
      <c r="M505" s="4" t="s">
        <v>780</v>
      </c>
      <c r="N505" s="133" t="s">
        <v>1407</v>
      </c>
      <c r="O505" s="4" t="s">
        <v>1763</v>
      </c>
      <c r="P505" s="4" t="s">
        <v>892</v>
      </c>
      <c r="Q505" s="4" t="s">
        <v>1764</v>
      </c>
      <c r="R505" s="4" t="s">
        <v>1775</v>
      </c>
      <c r="S505" s="4" t="s">
        <v>1765</v>
      </c>
      <c r="T505" s="4" t="s">
        <v>786</v>
      </c>
    </row>
    <row r="506" spans="1:20" customFormat="1">
      <c r="A506" s="10"/>
      <c r="B506" s="4"/>
      <c r="C506" s="4"/>
      <c r="D506" s="133" t="s">
        <v>676</v>
      </c>
      <c r="E506" s="664" t="str">
        <f>+VLOOKUP(F506,Resumen_Base!$C$8:$G$287,5,0)</f>
        <v>Guides</v>
      </c>
      <c r="F506" s="152" t="s">
        <v>323</v>
      </c>
      <c r="G506" s="4" t="s">
        <v>324</v>
      </c>
      <c r="H506" s="4" t="str">
        <f t="shared" si="7"/>
        <v>CAR5227</v>
      </c>
      <c r="I506" s="196">
        <v>2731.3</v>
      </c>
      <c r="J506" s="196">
        <v>1.91</v>
      </c>
      <c r="K506" s="196">
        <v>1430</v>
      </c>
      <c r="L506" s="454" t="s">
        <v>890</v>
      </c>
      <c r="M506" s="4" t="s">
        <v>780</v>
      </c>
      <c r="N506" s="133" t="s">
        <v>1407</v>
      </c>
      <c r="O506" s="4" t="s">
        <v>1763</v>
      </c>
      <c r="P506" s="4" t="s">
        <v>892</v>
      </c>
      <c r="Q506" s="4" t="s">
        <v>1764</v>
      </c>
      <c r="R506" s="4" t="s">
        <v>1515</v>
      </c>
      <c r="S506" s="4" t="s">
        <v>1765</v>
      </c>
      <c r="T506" s="4" t="s">
        <v>786</v>
      </c>
    </row>
    <row r="507" spans="1:20" customFormat="1">
      <c r="A507" s="10"/>
      <c r="B507" s="4"/>
      <c r="C507" s="4"/>
      <c r="D507" s="133" t="s">
        <v>676</v>
      </c>
      <c r="E507" s="664" t="str">
        <f>+VLOOKUP(F507,Resumen_Base!$C$8:$G$287,5,0)</f>
        <v>Guides</v>
      </c>
      <c r="F507" s="152" t="s">
        <v>323</v>
      </c>
      <c r="G507" s="4" t="s">
        <v>324</v>
      </c>
      <c r="H507" s="4" t="str">
        <f t="shared" si="7"/>
        <v>CAR5227</v>
      </c>
      <c r="I507" s="196">
        <v>214314.1</v>
      </c>
      <c r="J507" s="196">
        <v>149.87</v>
      </c>
      <c r="K507" s="196">
        <v>1430</v>
      </c>
      <c r="L507" s="454" t="s">
        <v>890</v>
      </c>
      <c r="M507" s="4" t="s">
        <v>780</v>
      </c>
      <c r="N507" s="133" t="s">
        <v>1407</v>
      </c>
      <c r="O507" s="4" t="s">
        <v>1763</v>
      </c>
      <c r="P507" s="4" t="s">
        <v>892</v>
      </c>
      <c r="Q507" s="4" t="s">
        <v>1764</v>
      </c>
      <c r="R507" s="4" t="s">
        <v>1780</v>
      </c>
      <c r="S507" s="4" t="s">
        <v>1765</v>
      </c>
      <c r="T507" s="4" t="s">
        <v>786</v>
      </c>
    </row>
    <row r="508" spans="1:20" customFormat="1">
      <c r="A508" s="10"/>
      <c r="B508" s="4"/>
      <c r="C508" s="4"/>
      <c r="D508" s="133" t="s">
        <v>676</v>
      </c>
      <c r="E508" s="664" t="str">
        <f>+VLOOKUP(F508,Resumen_Base!$C$8:$G$287,5,0)</f>
        <v>Guides</v>
      </c>
      <c r="F508" s="152" t="s">
        <v>323</v>
      </c>
      <c r="G508" s="4" t="s">
        <v>324</v>
      </c>
      <c r="H508" s="4" t="str">
        <f t="shared" si="7"/>
        <v>CAR5227</v>
      </c>
      <c r="I508" s="196">
        <v>2731.3</v>
      </c>
      <c r="J508" s="196">
        <v>1.91</v>
      </c>
      <c r="K508" s="196">
        <v>1430</v>
      </c>
      <c r="L508" s="454" t="s">
        <v>890</v>
      </c>
      <c r="M508" s="4" t="s">
        <v>780</v>
      </c>
      <c r="N508" s="133" t="s">
        <v>1407</v>
      </c>
      <c r="O508" s="4" t="s">
        <v>1763</v>
      </c>
      <c r="P508" s="4" t="s">
        <v>892</v>
      </c>
      <c r="Q508" s="4" t="s">
        <v>1764</v>
      </c>
      <c r="R508" s="4" t="s">
        <v>1515</v>
      </c>
      <c r="S508" s="4" t="s">
        <v>1765</v>
      </c>
      <c r="T508" s="4" t="s">
        <v>786</v>
      </c>
    </row>
    <row r="509" spans="1:20" customFormat="1">
      <c r="A509" s="10"/>
      <c r="B509" s="4"/>
      <c r="C509" s="4"/>
      <c r="D509" s="133" t="s">
        <v>676</v>
      </c>
      <c r="E509" s="664" t="str">
        <f>+VLOOKUP(F509,Resumen_Base!$C$8:$G$287,5,0)</f>
        <v>Guides</v>
      </c>
      <c r="F509" s="152" t="s">
        <v>323</v>
      </c>
      <c r="G509" s="4" t="s">
        <v>324</v>
      </c>
      <c r="H509" s="4" t="str">
        <f t="shared" si="7"/>
        <v>CAR5227</v>
      </c>
      <c r="I509" s="196">
        <v>214314.1</v>
      </c>
      <c r="J509" s="196">
        <v>149.87</v>
      </c>
      <c r="K509" s="196">
        <v>1430</v>
      </c>
      <c r="L509" s="454" t="s">
        <v>890</v>
      </c>
      <c r="M509" s="4" t="s">
        <v>780</v>
      </c>
      <c r="N509" s="133" t="s">
        <v>1407</v>
      </c>
      <c r="O509" s="4" t="s">
        <v>1763</v>
      </c>
      <c r="P509" s="4" t="s">
        <v>892</v>
      </c>
      <c r="Q509" s="4" t="s">
        <v>1764</v>
      </c>
      <c r="R509" s="4" t="s">
        <v>1782</v>
      </c>
      <c r="S509" s="4" t="s">
        <v>1765</v>
      </c>
      <c r="T509" s="4" t="s">
        <v>786</v>
      </c>
    </row>
    <row r="510" spans="1:20" customFormat="1">
      <c r="A510" s="10"/>
      <c r="B510" s="4"/>
      <c r="C510" s="4"/>
      <c r="D510" s="133" t="s">
        <v>676</v>
      </c>
      <c r="E510" s="664" t="str">
        <f>+VLOOKUP(F510,Resumen_Base!$C$8:$G$287,5,0)</f>
        <v>Guides</v>
      </c>
      <c r="F510" s="152" t="s">
        <v>323</v>
      </c>
      <c r="G510" s="4" t="s">
        <v>324</v>
      </c>
      <c r="H510" s="4" t="str">
        <f t="shared" si="7"/>
        <v>CAR5227</v>
      </c>
      <c r="I510" s="196">
        <v>214314.1</v>
      </c>
      <c r="J510" s="196">
        <v>149.87</v>
      </c>
      <c r="K510" s="196">
        <v>1430</v>
      </c>
      <c r="L510" s="454" t="s">
        <v>890</v>
      </c>
      <c r="M510" s="4" t="s">
        <v>780</v>
      </c>
      <c r="N510" s="133" t="s">
        <v>1407</v>
      </c>
      <c r="O510" s="4" t="s">
        <v>1763</v>
      </c>
      <c r="P510" s="4" t="s">
        <v>892</v>
      </c>
      <c r="Q510" s="4" t="s">
        <v>1764</v>
      </c>
      <c r="R510" s="4" t="s">
        <v>1785</v>
      </c>
      <c r="S510" s="4" t="s">
        <v>1765</v>
      </c>
      <c r="T510" s="4" t="s">
        <v>786</v>
      </c>
    </row>
    <row r="511" spans="1:20" customFormat="1">
      <c r="A511" s="10"/>
      <c r="B511" s="4"/>
      <c r="C511" s="4"/>
      <c r="D511" s="133" t="s">
        <v>676</v>
      </c>
      <c r="E511" s="664" t="str">
        <f>+VLOOKUP(F511,Resumen_Base!$C$8:$G$287,5,0)</f>
        <v>Guides</v>
      </c>
      <c r="F511" s="152" t="s">
        <v>323</v>
      </c>
      <c r="G511" s="4" t="s">
        <v>324</v>
      </c>
      <c r="H511" s="4" t="str">
        <f t="shared" si="7"/>
        <v>CAR5227</v>
      </c>
      <c r="I511" s="196">
        <v>2731.3</v>
      </c>
      <c r="J511" s="196">
        <v>1.91</v>
      </c>
      <c r="K511" s="196">
        <v>1430</v>
      </c>
      <c r="L511" s="454" t="s">
        <v>890</v>
      </c>
      <c r="M511" s="4" t="s">
        <v>780</v>
      </c>
      <c r="N511" s="133" t="s">
        <v>1407</v>
      </c>
      <c r="O511" s="4" t="s">
        <v>1763</v>
      </c>
      <c r="P511" s="4" t="s">
        <v>892</v>
      </c>
      <c r="Q511" s="4" t="s">
        <v>1764</v>
      </c>
      <c r="R511" s="4" t="s">
        <v>1515</v>
      </c>
      <c r="S511" s="4" t="s">
        <v>1765</v>
      </c>
      <c r="T511" s="4" t="s">
        <v>786</v>
      </c>
    </row>
    <row r="512" spans="1:20" customFormat="1">
      <c r="A512" s="10"/>
      <c r="B512" s="4"/>
      <c r="C512" s="4"/>
      <c r="D512" s="133" t="s">
        <v>676</v>
      </c>
      <c r="E512" s="664" t="str">
        <f>+VLOOKUP(F512,Resumen_Base!$C$8:$G$287,5,0)</f>
        <v>Guides</v>
      </c>
      <c r="F512" s="152" t="s">
        <v>323</v>
      </c>
      <c r="G512" s="4" t="s">
        <v>324</v>
      </c>
      <c r="H512" s="4" t="str">
        <f t="shared" si="7"/>
        <v>CAR5227</v>
      </c>
      <c r="I512" s="196">
        <v>291762.90000000002</v>
      </c>
      <c r="J512" s="196">
        <v>204.03</v>
      </c>
      <c r="K512" s="196">
        <v>1430</v>
      </c>
      <c r="L512" s="454" t="s">
        <v>890</v>
      </c>
      <c r="M512" s="4" t="s">
        <v>780</v>
      </c>
      <c r="N512" s="133" t="s">
        <v>1407</v>
      </c>
      <c r="O512" s="4" t="s">
        <v>1763</v>
      </c>
      <c r="P512" s="4" t="s">
        <v>892</v>
      </c>
      <c r="Q512" s="4" t="s">
        <v>1764</v>
      </c>
      <c r="R512" s="4" t="s">
        <v>1772</v>
      </c>
      <c r="S512" s="4" t="s">
        <v>1765</v>
      </c>
      <c r="T512" s="4" t="s">
        <v>786</v>
      </c>
    </row>
    <row r="513" spans="1:20" customFormat="1">
      <c r="A513" s="10"/>
      <c r="B513" s="4"/>
      <c r="C513" s="4"/>
      <c r="D513" s="133" t="s">
        <v>676</v>
      </c>
      <c r="E513" s="664" t="str">
        <f>+VLOOKUP(F513,Resumen_Base!$C$8:$G$287,5,0)</f>
        <v>Guides</v>
      </c>
      <c r="F513" s="152" t="s">
        <v>323</v>
      </c>
      <c r="G513" s="4" t="s">
        <v>324</v>
      </c>
      <c r="H513" s="4" t="str">
        <f t="shared" si="7"/>
        <v>CAR5227</v>
      </c>
      <c r="I513" s="196">
        <v>1501500</v>
      </c>
      <c r="J513" s="196">
        <v>1050</v>
      </c>
      <c r="K513" s="196">
        <v>1430</v>
      </c>
      <c r="L513" s="454" t="s">
        <v>890</v>
      </c>
      <c r="M513" s="4" t="s">
        <v>780</v>
      </c>
      <c r="N513" s="133" t="s">
        <v>1407</v>
      </c>
      <c r="O513" s="4" t="s">
        <v>1789</v>
      </c>
      <c r="P513" s="4" t="s">
        <v>892</v>
      </c>
      <c r="Q513" s="4" t="s">
        <v>1790</v>
      </c>
      <c r="R513" s="4" t="s">
        <v>1798</v>
      </c>
      <c r="S513" s="4" t="s">
        <v>1792</v>
      </c>
      <c r="T513" s="4" t="s">
        <v>786</v>
      </c>
    </row>
    <row r="514" spans="1:20" customFormat="1">
      <c r="A514" s="10"/>
      <c r="B514" s="4"/>
      <c r="C514" s="4"/>
      <c r="D514" s="133" t="s">
        <v>676</v>
      </c>
      <c r="E514" s="664" t="str">
        <f>+VLOOKUP(F514,Resumen_Base!$C$8:$G$287,5,0)</f>
        <v>Guides</v>
      </c>
      <c r="F514" s="152" t="s">
        <v>323</v>
      </c>
      <c r="G514" s="4" t="s">
        <v>324</v>
      </c>
      <c r="H514" s="4" t="str">
        <f t="shared" si="7"/>
        <v>CAR5227</v>
      </c>
      <c r="I514" s="196">
        <v>1470000</v>
      </c>
      <c r="J514" s="196">
        <v>1050</v>
      </c>
      <c r="K514" s="196">
        <v>1400</v>
      </c>
      <c r="L514" s="454" t="s">
        <v>1017</v>
      </c>
      <c r="M514" s="4" t="s">
        <v>780</v>
      </c>
      <c r="N514" s="133" t="s">
        <v>1407</v>
      </c>
      <c r="O514" s="4" t="s">
        <v>1992</v>
      </c>
      <c r="P514" s="4" t="s">
        <v>892</v>
      </c>
      <c r="Q514" s="4" t="s">
        <v>1993</v>
      </c>
      <c r="R514" s="4" t="s">
        <v>1995</v>
      </c>
      <c r="S514" s="4" t="s">
        <v>1994</v>
      </c>
      <c r="T514" s="4" t="s">
        <v>786</v>
      </c>
    </row>
    <row r="515" spans="1:20" customFormat="1">
      <c r="A515" s="10"/>
      <c r="B515" s="4"/>
      <c r="C515" s="4"/>
      <c r="D515" s="133" t="s">
        <v>676</v>
      </c>
      <c r="E515" s="664" t="str">
        <f>+VLOOKUP(F515,Resumen_Base!$C$8:$G$287,5,0)</f>
        <v>Guides</v>
      </c>
      <c r="F515" s="152" t="s">
        <v>323</v>
      </c>
      <c r="G515" s="4" t="s">
        <v>324</v>
      </c>
      <c r="H515" s="4" t="str">
        <f t="shared" si="7"/>
        <v>CAR5227</v>
      </c>
      <c r="I515" s="196">
        <v>1330000</v>
      </c>
      <c r="J515" s="196">
        <v>950</v>
      </c>
      <c r="K515" s="196">
        <v>1400</v>
      </c>
      <c r="L515" s="454" t="s">
        <v>1017</v>
      </c>
      <c r="M515" s="4" t="s">
        <v>780</v>
      </c>
      <c r="N515" s="133" t="s">
        <v>1407</v>
      </c>
      <c r="O515" s="4" t="s">
        <v>1992</v>
      </c>
      <c r="P515" s="4" t="s">
        <v>892</v>
      </c>
      <c r="Q515" s="4" t="s">
        <v>1993</v>
      </c>
      <c r="R515" s="4" t="s">
        <v>1998</v>
      </c>
      <c r="S515" s="4" t="s">
        <v>1994</v>
      </c>
      <c r="T515" s="4" t="s">
        <v>786</v>
      </c>
    </row>
    <row r="516" spans="1:20" customFormat="1">
      <c r="A516" s="10"/>
      <c r="B516" s="4"/>
      <c r="C516" s="4"/>
      <c r="D516" s="133" t="s">
        <v>676</v>
      </c>
      <c r="E516" s="664" t="str">
        <f>+VLOOKUP(F516,Resumen_Base!$C$8:$G$287,5,0)</f>
        <v>Guides</v>
      </c>
      <c r="F516" s="152" t="s">
        <v>323</v>
      </c>
      <c r="G516" s="4" t="s">
        <v>324</v>
      </c>
      <c r="H516" s="4" t="str">
        <f t="shared" si="7"/>
        <v>CAR5227</v>
      </c>
      <c r="I516" s="196">
        <v>2660</v>
      </c>
      <c r="J516" s="196">
        <v>1.9</v>
      </c>
      <c r="K516" s="196">
        <v>1400</v>
      </c>
      <c r="L516" s="454" t="s">
        <v>1017</v>
      </c>
      <c r="M516" s="4" t="s">
        <v>780</v>
      </c>
      <c r="N516" s="133" t="s">
        <v>1407</v>
      </c>
      <c r="O516" s="4" t="s">
        <v>1992</v>
      </c>
      <c r="P516" s="4" t="s">
        <v>892</v>
      </c>
      <c r="Q516" s="4" t="s">
        <v>1993</v>
      </c>
      <c r="R516" s="4" t="s">
        <v>1515</v>
      </c>
      <c r="S516" s="4" t="s">
        <v>1994</v>
      </c>
      <c r="T516" s="4" t="s">
        <v>786</v>
      </c>
    </row>
    <row r="517" spans="1:20" customFormat="1">
      <c r="A517" s="10"/>
      <c r="B517" s="4"/>
      <c r="C517" s="4"/>
      <c r="D517" s="133" t="s">
        <v>676</v>
      </c>
      <c r="E517" s="664" t="str">
        <f>+VLOOKUP(F517,Resumen_Base!$C$8:$G$287,5,0)</f>
        <v>Guides</v>
      </c>
      <c r="F517" s="152" t="s">
        <v>323</v>
      </c>
      <c r="G517" s="4" t="s">
        <v>324</v>
      </c>
      <c r="H517" s="4" t="str">
        <f t="shared" si="7"/>
        <v>CAR5227</v>
      </c>
      <c r="I517" s="196">
        <v>2660</v>
      </c>
      <c r="J517" s="196">
        <v>1.9</v>
      </c>
      <c r="K517" s="196">
        <v>1400</v>
      </c>
      <c r="L517" s="454" t="s">
        <v>1017</v>
      </c>
      <c r="M517" s="4" t="s">
        <v>780</v>
      </c>
      <c r="N517" s="133" t="s">
        <v>1407</v>
      </c>
      <c r="O517" s="4" t="s">
        <v>1992</v>
      </c>
      <c r="P517" s="4" t="s">
        <v>892</v>
      </c>
      <c r="Q517" s="4" t="s">
        <v>1993</v>
      </c>
      <c r="R517" s="4" t="s">
        <v>1515</v>
      </c>
      <c r="S517" s="4" t="s">
        <v>1994</v>
      </c>
      <c r="T517" s="4" t="s">
        <v>786</v>
      </c>
    </row>
    <row r="518" spans="1:20" customFormat="1">
      <c r="A518" s="10"/>
      <c r="B518" s="4"/>
      <c r="C518" s="4"/>
      <c r="D518" s="133" t="s">
        <v>676</v>
      </c>
      <c r="E518" s="664" t="str">
        <f>+VLOOKUP(F518,Resumen_Base!$C$8:$G$287,5,0)</f>
        <v>Guides</v>
      </c>
      <c r="F518" s="152" t="s">
        <v>323</v>
      </c>
      <c r="G518" s="4" t="s">
        <v>324</v>
      </c>
      <c r="H518" s="4" t="str">
        <f t="shared" si="7"/>
        <v>CAR5227</v>
      </c>
      <c r="I518" s="196">
        <v>1330000</v>
      </c>
      <c r="J518" s="196">
        <v>950</v>
      </c>
      <c r="K518" s="196">
        <v>1400</v>
      </c>
      <c r="L518" s="454" t="s">
        <v>1017</v>
      </c>
      <c r="M518" s="4" t="s">
        <v>780</v>
      </c>
      <c r="N518" s="133" t="s">
        <v>1407</v>
      </c>
      <c r="O518" s="4" t="s">
        <v>1992</v>
      </c>
      <c r="P518" s="4" t="s">
        <v>892</v>
      </c>
      <c r="Q518" s="4" t="s">
        <v>1993</v>
      </c>
      <c r="R518" s="4" t="s">
        <v>2000</v>
      </c>
      <c r="S518" s="4" t="s">
        <v>1994</v>
      </c>
      <c r="T518" s="4" t="s">
        <v>786</v>
      </c>
    </row>
    <row r="519" spans="1:20" customFormat="1">
      <c r="A519" s="10"/>
      <c r="B519" s="4"/>
      <c r="C519" s="4"/>
      <c r="D519" s="133" t="s">
        <v>676</v>
      </c>
      <c r="E519" s="664" t="str">
        <f>+VLOOKUP(F519,Resumen_Base!$C$8:$G$287,5,0)</f>
        <v>Guides</v>
      </c>
      <c r="F519" s="152" t="s">
        <v>323</v>
      </c>
      <c r="G519" s="4" t="s">
        <v>324</v>
      </c>
      <c r="H519" s="4" t="str">
        <f t="shared" si="7"/>
        <v>CAR5227</v>
      </c>
      <c r="I519" s="196">
        <v>2660</v>
      </c>
      <c r="J519" s="196">
        <v>1.9</v>
      </c>
      <c r="K519" s="196">
        <v>1400</v>
      </c>
      <c r="L519" s="454" t="s">
        <v>1017</v>
      </c>
      <c r="M519" s="4" t="s">
        <v>780</v>
      </c>
      <c r="N519" s="133" t="s">
        <v>1407</v>
      </c>
      <c r="O519" s="4" t="s">
        <v>1992</v>
      </c>
      <c r="P519" s="4" t="s">
        <v>892</v>
      </c>
      <c r="Q519" s="4" t="s">
        <v>1993</v>
      </c>
      <c r="R519" s="4" t="s">
        <v>2001</v>
      </c>
      <c r="S519" s="4" t="s">
        <v>1994</v>
      </c>
      <c r="T519" s="4" t="s">
        <v>786</v>
      </c>
    </row>
    <row r="520" spans="1:20" customFormat="1">
      <c r="A520" s="10"/>
      <c r="B520" s="4"/>
      <c r="C520" s="4"/>
      <c r="D520" s="133" t="s">
        <v>676</v>
      </c>
      <c r="E520" s="664" t="str">
        <f>+VLOOKUP(F520,Resumen_Base!$C$8:$G$287,5,0)</f>
        <v>Guides</v>
      </c>
      <c r="F520" s="152" t="s">
        <v>323</v>
      </c>
      <c r="G520" s="4" t="s">
        <v>324</v>
      </c>
      <c r="H520" s="4" t="str">
        <f t="shared" si="7"/>
        <v>CAR5227</v>
      </c>
      <c r="I520" s="196">
        <v>2660</v>
      </c>
      <c r="J520" s="196">
        <v>1.9</v>
      </c>
      <c r="K520" s="196">
        <v>1400</v>
      </c>
      <c r="L520" s="454" t="s">
        <v>1017</v>
      </c>
      <c r="M520" s="4" t="s">
        <v>780</v>
      </c>
      <c r="N520" s="133" t="s">
        <v>1407</v>
      </c>
      <c r="O520" s="4" t="s">
        <v>1992</v>
      </c>
      <c r="P520" s="4" t="s">
        <v>892</v>
      </c>
      <c r="Q520" s="4" t="s">
        <v>1993</v>
      </c>
      <c r="R520" s="4" t="s">
        <v>1515</v>
      </c>
      <c r="S520" s="4" t="s">
        <v>1994</v>
      </c>
      <c r="T520" s="4" t="s">
        <v>786</v>
      </c>
    </row>
    <row r="521" spans="1:20" customFormat="1">
      <c r="A521" s="10"/>
      <c r="B521" s="4"/>
      <c r="C521" s="4"/>
      <c r="D521" s="133" t="s">
        <v>676</v>
      </c>
      <c r="E521" s="664" t="str">
        <f>+VLOOKUP(F521,Resumen_Base!$C$8:$G$287,5,0)</f>
        <v>Guides</v>
      </c>
      <c r="F521" s="152" t="s">
        <v>323</v>
      </c>
      <c r="G521" s="4" t="s">
        <v>324</v>
      </c>
      <c r="H521" s="4" t="str">
        <f t="shared" si="7"/>
        <v>CAR5227</v>
      </c>
      <c r="I521" s="196">
        <v>1470000</v>
      </c>
      <c r="J521" s="196">
        <v>1050</v>
      </c>
      <c r="K521" s="196">
        <v>1400</v>
      </c>
      <c r="L521" s="454" t="s">
        <v>1017</v>
      </c>
      <c r="M521" s="4" t="s">
        <v>780</v>
      </c>
      <c r="N521" s="133" t="s">
        <v>1407</v>
      </c>
      <c r="O521" s="4" t="s">
        <v>1992</v>
      </c>
      <c r="P521" s="4" t="s">
        <v>892</v>
      </c>
      <c r="Q521" s="4" t="s">
        <v>1993</v>
      </c>
      <c r="R521" s="4" t="s">
        <v>2005</v>
      </c>
      <c r="S521" s="4" t="s">
        <v>1994</v>
      </c>
      <c r="T521" s="4" t="s">
        <v>786</v>
      </c>
    </row>
    <row r="522" spans="1:20" customFormat="1">
      <c r="A522" s="10"/>
      <c r="B522" s="4"/>
      <c r="C522" s="4"/>
      <c r="D522" s="133" t="s">
        <v>676</v>
      </c>
      <c r="E522" s="664" t="str">
        <f>+VLOOKUP(F522,Resumen_Base!$C$8:$G$287,5,0)</f>
        <v>Guides</v>
      </c>
      <c r="F522" s="152" t="s">
        <v>323</v>
      </c>
      <c r="G522" s="4" t="s">
        <v>324</v>
      </c>
      <c r="H522" s="4" t="str">
        <f t="shared" si="7"/>
        <v>CAR5227</v>
      </c>
      <c r="I522" s="196">
        <v>63630</v>
      </c>
      <c r="J522" s="196">
        <v>45.45</v>
      </c>
      <c r="K522" s="196">
        <v>1400</v>
      </c>
      <c r="L522" s="454" t="s">
        <v>1017</v>
      </c>
      <c r="M522" s="4" t="s">
        <v>780</v>
      </c>
      <c r="N522" s="133" t="s">
        <v>1407</v>
      </c>
      <c r="O522" s="4" t="s">
        <v>2006</v>
      </c>
      <c r="P522" s="4" t="s">
        <v>892</v>
      </c>
      <c r="Q522" s="4" t="s">
        <v>2007</v>
      </c>
      <c r="R522" s="4" t="s">
        <v>2012</v>
      </c>
      <c r="S522" s="4" t="s">
        <v>2009</v>
      </c>
      <c r="T522" s="4" t="s">
        <v>786</v>
      </c>
    </row>
    <row r="523" spans="1:20" customFormat="1">
      <c r="A523" s="10"/>
      <c r="B523" s="4"/>
      <c r="C523" s="4"/>
      <c r="D523" s="133" t="s">
        <v>676</v>
      </c>
      <c r="E523" s="664" t="str">
        <f>+VLOOKUP(F523,Resumen_Base!$C$8:$G$287,5,0)</f>
        <v>Guides</v>
      </c>
      <c r="F523" s="152" t="s">
        <v>323</v>
      </c>
      <c r="G523" s="4" t="s">
        <v>324</v>
      </c>
      <c r="H523" s="4" t="str">
        <f t="shared" si="7"/>
        <v>CAR5227</v>
      </c>
      <c r="I523" s="196">
        <v>2688</v>
      </c>
      <c r="J523" s="196">
        <v>1.92</v>
      </c>
      <c r="K523" s="196">
        <v>1400</v>
      </c>
      <c r="L523" s="454" t="s">
        <v>1017</v>
      </c>
      <c r="M523" s="4" t="s">
        <v>780</v>
      </c>
      <c r="N523" s="133" t="s">
        <v>1407</v>
      </c>
      <c r="O523" s="4" t="s">
        <v>2006</v>
      </c>
      <c r="P523" s="4" t="s">
        <v>892</v>
      </c>
      <c r="Q523" s="4" t="s">
        <v>2007</v>
      </c>
      <c r="R523" s="4" t="s">
        <v>1515</v>
      </c>
      <c r="S523" s="4" t="s">
        <v>2009</v>
      </c>
      <c r="T523" s="4" t="s">
        <v>786</v>
      </c>
    </row>
    <row r="524" spans="1:20" customFormat="1">
      <c r="A524" s="10"/>
      <c r="B524" s="4"/>
      <c r="C524" s="4"/>
      <c r="D524" s="133" t="s">
        <v>676</v>
      </c>
      <c r="E524" s="664" t="str">
        <f>+VLOOKUP(F524,Resumen_Base!$C$8:$G$287,5,0)</f>
        <v>Guides</v>
      </c>
      <c r="F524" s="152" t="s">
        <v>323</v>
      </c>
      <c r="G524" s="4" t="s">
        <v>324</v>
      </c>
      <c r="H524" s="4" t="str">
        <f t="shared" ref="H524:H587" si="8">+D524&amp;F524</f>
        <v>CAR5227</v>
      </c>
      <c r="I524" s="196">
        <v>-1124521.2</v>
      </c>
      <c r="J524" s="196">
        <v>-770.22</v>
      </c>
      <c r="K524" s="196">
        <v>1460</v>
      </c>
      <c r="L524" s="454" t="s">
        <v>1049</v>
      </c>
      <c r="M524" s="4" t="s">
        <v>780</v>
      </c>
      <c r="N524" s="133" t="s">
        <v>1407</v>
      </c>
      <c r="O524" s="4" t="s">
        <v>2127</v>
      </c>
      <c r="P524" s="4" t="s">
        <v>892</v>
      </c>
      <c r="Q524" s="4" t="s">
        <v>2128</v>
      </c>
      <c r="R524" s="4" t="s">
        <v>2131</v>
      </c>
      <c r="S524" s="4" t="s">
        <v>2129</v>
      </c>
      <c r="T524" s="4" t="s">
        <v>786</v>
      </c>
    </row>
    <row r="525" spans="1:20" customFormat="1">
      <c r="A525" s="10"/>
      <c r="B525" s="4"/>
      <c r="C525" s="4"/>
      <c r="D525" s="133" t="s">
        <v>676</v>
      </c>
      <c r="E525" s="664" t="str">
        <f>+VLOOKUP(F525,Resumen_Base!$C$8:$G$287,5,0)</f>
        <v>Guides</v>
      </c>
      <c r="F525" s="152" t="s">
        <v>323</v>
      </c>
      <c r="G525" s="4" t="s">
        <v>324</v>
      </c>
      <c r="H525" s="4" t="str">
        <f t="shared" si="8"/>
        <v>CAR5227</v>
      </c>
      <c r="I525" s="196">
        <v>-2169311.7999999998</v>
      </c>
      <c r="J525" s="196">
        <v>-1485.83</v>
      </c>
      <c r="K525" s="196">
        <v>1460</v>
      </c>
      <c r="L525" s="454" t="s">
        <v>1049</v>
      </c>
      <c r="M525" s="4" t="s">
        <v>780</v>
      </c>
      <c r="N525" s="133" t="s">
        <v>1407</v>
      </c>
      <c r="O525" s="4" t="s">
        <v>2127</v>
      </c>
      <c r="P525" s="4" t="s">
        <v>892</v>
      </c>
      <c r="Q525" s="4" t="s">
        <v>2128</v>
      </c>
      <c r="R525" s="4" t="s">
        <v>2133</v>
      </c>
      <c r="S525" s="4" t="s">
        <v>2129</v>
      </c>
      <c r="T525" s="4" t="s">
        <v>786</v>
      </c>
    </row>
    <row r="526" spans="1:20" customFormat="1">
      <c r="A526" s="10"/>
      <c r="B526" s="4"/>
      <c r="C526" s="4"/>
      <c r="D526" s="133" t="s">
        <v>676</v>
      </c>
      <c r="E526" s="664" t="str">
        <f>+VLOOKUP(F526,Resumen_Base!$C$8:$G$287,5,0)</f>
        <v>Guides</v>
      </c>
      <c r="F526" s="152" t="s">
        <v>323</v>
      </c>
      <c r="G526" s="4" t="s">
        <v>324</v>
      </c>
      <c r="H526" s="4" t="str">
        <f t="shared" si="8"/>
        <v>CAR5227</v>
      </c>
      <c r="I526" s="196">
        <v>-1874202</v>
      </c>
      <c r="J526" s="196">
        <v>-1283.7</v>
      </c>
      <c r="K526" s="196">
        <v>1460</v>
      </c>
      <c r="L526" s="454" t="s">
        <v>1049</v>
      </c>
      <c r="M526" s="4" t="s">
        <v>780</v>
      </c>
      <c r="N526" s="133" t="s">
        <v>1407</v>
      </c>
      <c r="O526" s="4" t="s">
        <v>2127</v>
      </c>
      <c r="P526" s="4" t="s">
        <v>892</v>
      </c>
      <c r="Q526" s="4" t="s">
        <v>2128</v>
      </c>
      <c r="R526" s="4" t="s">
        <v>2135</v>
      </c>
      <c r="S526" s="4" t="s">
        <v>2129</v>
      </c>
      <c r="T526" s="4" t="s">
        <v>786</v>
      </c>
    </row>
    <row r="527" spans="1:20" customFormat="1">
      <c r="A527" s="10"/>
      <c r="B527" s="4"/>
      <c r="C527" s="4"/>
      <c r="D527" s="133" t="s">
        <v>676</v>
      </c>
      <c r="E527" s="664" t="str">
        <f>+VLOOKUP(F527,Resumen_Base!$C$8:$G$287,5,0)</f>
        <v>Guides</v>
      </c>
      <c r="F527" s="152" t="s">
        <v>323</v>
      </c>
      <c r="G527" s="4" t="s">
        <v>324</v>
      </c>
      <c r="H527" s="4" t="str">
        <f t="shared" si="8"/>
        <v>CAR5227</v>
      </c>
      <c r="I527" s="196">
        <v>-3748389.4</v>
      </c>
      <c r="J527" s="196">
        <v>-2567.39</v>
      </c>
      <c r="K527" s="196">
        <v>1460</v>
      </c>
      <c r="L527" s="454" t="s">
        <v>1049</v>
      </c>
      <c r="M527" s="4" t="s">
        <v>780</v>
      </c>
      <c r="N527" s="133" t="s">
        <v>1407</v>
      </c>
      <c r="O527" s="4" t="s">
        <v>2127</v>
      </c>
      <c r="P527" s="4" t="s">
        <v>892</v>
      </c>
      <c r="Q527" s="4" t="s">
        <v>2128</v>
      </c>
      <c r="R527" s="4" t="s">
        <v>2137</v>
      </c>
      <c r="S527" s="4" t="s">
        <v>2129</v>
      </c>
      <c r="T527" s="4" t="s">
        <v>786</v>
      </c>
    </row>
    <row r="528" spans="1:20" customFormat="1">
      <c r="A528" s="10"/>
      <c r="B528" s="4"/>
      <c r="C528" s="4"/>
      <c r="D528" s="133" t="s">
        <v>676</v>
      </c>
      <c r="E528" s="664" t="str">
        <f>+VLOOKUP(F528,Resumen_Base!$C$8:$G$287,5,0)</f>
        <v>Guides</v>
      </c>
      <c r="F528" s="152" t="s">
        <v>323</v>
      </c>
      <c r="G528" s="4" t="s">
        <v>324</v>
      </c>
      <c r="H528" s="4" t="str">
        <f t="shared" si="8"/>
        <v>CAR5227</v>
      </c>
      <c r="I528" s="196">
        <v>-446059.2</v>
      </c>
      <c r="J528" s="196">
        <v>-305.52</v>
      </c>
      <c r="K528" s="196">
        <v>1460</v>
      </c>
      <c r="L528" s="454" t="s">
        <v>1049</v>
      </c>
      <c r="M528" s="4" t="s">
        <v>780</v>
      </c>
      <c r="N528" s="133" t="s">
        <v>1407</v>
      </c>
      <c r="O528" s="4" t="s">
        <v>2127</v>
      </c>
      <c r="P528" s="4" t="s">
        <v>892</v>
      </c>
      <c r="Q528" s="4" t="s">
        <v>2128</v>
      </c>
      <c r="R528" s="4" t="s">
        <v>2140</v>
      </c>
      <c r="S528" s="4" t="s">
        <v>2129</v>
      </c>
      <c r="T528" s="4" t="s">
        <v>786</v>
      </c>
    </row>
    <row r="529" spans="1:20" customFormat="1">
      <c r="A529" s="10"/>
      <c r="B529" s="4"/>
      <c r="C529" s="4"/>
      <c r="D529" s="133" t="s">
        <v>676</v>
      </c>
      <c r="E529" s="664" t="str">
        <f>+VLOOKUP(F529,Resumen_Base!$C$8:$G$287,5,0)</f>
        <v>Guides</v>
      </c>
      <c r="F529" s="152" t="s">
        <v>323</v>
      </c>
      <c r="G529" s="4" t="s">
        <v>324</v>
      </c>
      <c r="H529" s="4" t="str">
        <f t="shared" si="8"/>
        <v>CAR5227</v>
      </c>
      <c r="I529" s="196">
        <v>-2832.4</v>
      </c>
      <c r="J529" s="196">
        <v>-1.94</v>
      </c>
      <c r="K529" s="196">
        <v>1460</v>
      </c>
      <c r="L529" s="454" t="s">
        <v>1049</v>
      </c>
      <c r="M529" s="4" t="s">
        <v>780</v>
      </c>
      <c r="N529" s="133" t="s">
        <v>1407</v>
      </c>
      <c r="O529" s="4" t="s">
        <v>2127</v>
      </c>
      <c r="P529" s="4" t="s">
        <v>892</v>
      </c>
      <c r="Q529" s="4" t="s">
        <v>2128</v>
      </c>
      <c r="R529" s="4" t="s">
        <v>1515</v>
      </c>
      <c r="S529" s="4" t="s">
        <v>2129</v>
      </c>
      <c r="T529" s="4" t="s">
        <v>786</v>
      </c>
    </row>
    <row r="530" spans="1:20" customFormat="1">
      <c r="A530" s="10"/>
      <c r="B530" s="4"/>
      <c r="C530" s="4"/>
      <c r="D530" s="133" t="s">
        <v>676</v>
      </c>
      <c r="E530" s="664" t="str">
        <f>+VLOOKUP(F530,Resumen_Base!$C$8:$G$287,5,0)</f>
        <v>Guides</v>
      </c>
      <c r="F530" s="152" t="s">
        <v>323</v>
      </c>
      <c r="G530" s="4" t="s">
        <v>324</v>
      </c>
      <c r="H530" s="4" t="str">
        <f t="shared" si="8"/>
        <v>CAR5227</v>
      </c>
      <c r="I530" s="196">
        <v>-254886.8</v>
      </c>
      <c r="J530" s="196">
        <v>-174.58</v>
      </c>
      <c r="K530" s="196">
        <v>1460</v>
      </c>
      <c r="L530" s="454" t="s">
        <v>1049</v>
      </c>
      <c r="M530" s="4" t="s">
        <v>780</v>
      </c>
      <c r="N530" s="133" t="s">
        <v>1407</v>
      </c>
      <c r="O530" s="4" t="s">
        <v>2127</v>
      </c>
      <c r="P530" s="4" t="s">
        <v>892</v>
      </c>
      <c r="Q530" s="4" t="s">
        <v>2128</v>
      </c>
      <c r="R530" s="4" t="s">
        <v>2142</v>
      </c>
      <c r="S530" s="4" t="s">
        <v>2129</v>
      </c>
      <c r="T530" s="4" t="s">
        <v>786</v>
      </c>
    </row>
    <row r="531" spans="1:20" customFormat="1">
      <c r="A531" s="10"/>
      <c r="B531" s="4"/>
      <c r="C531" s="4"/>
      <c r="D531" s="133" t="s">
        <v>676</v>
      </c>
      <c r="E531" s="664" t="str">
        <f>+VLOOKUP(F531,Resumen_Base!$C$8:$G$287,5,0)</f>
        <v>Guides</v>
      </c>
      <c r="F531" s="152" t="s">
        <v>323</v>
      </c>
      <c r="G531" s="4" t="s">
        <v>324</v>
      </c>
      <c r="H531" s="4" t="str">
        <f t="shared" si="8"/>
        <v>CAR5227</v>
      </c>
      <c r="I531" s="196">
        <v>-2832.4</v>
      </c>
      <c r="J531" s="196">
        <v>-1.94</v>
      </c>
      <c r="K531" s="196">
        <v>1460</v>
      </c>
      <c r="L531" s="454" t="s">
        <v>1049</v>
      </c>
      <c r="M531" s="4" t="s">
        <v>780</v>
      </c>
      <c r="N531" s="133" t="s">
        <v>1407</v>
      </c>
      <c r="O531" s="4" t="s">
        <v>2127</v>
      </c>
      <c r="P531" s="4" t="s">
        <v>892</v>
      </c>
      <c r="Q531" s="4" t="s">
        <v>2128</v>
      </c>
      <c r="R531" s="4" t="s">
        <v>1515</v>
      </c>
      <c r="S531" s="4" t="s">
        <v>2129</v>
      </c>
      <c r="T531" s="4" t="s">
        <v>786</v>
      </c>
    </row>
    <row r="532" spans="1:20" customFormat="1">
      <c r="A532" s="10"/>
      <c r="B532" s="4"/>
      <c r="C532" s="4"/>
      <c r="D532" s="133" t="s">
        <v>676</v>
      </c>
      <c r="E532" s="664" t="str">
        <f>+VLOOKUP(F532,Resumen_Base!$C$8:$G$287,5,0)</f>
        <v>Guides</v>
      </c>
      <c r="F532" s="152" t="s">
        <v>323</v>
      </c>
      <c r="G532" s="4" t="s">
        <v>324</v>
      </c>
      <c r="H532" s="4" t="str">
        <f t="shared" si="8"/>
        <v>CAR5227</v>
      </c>
      <c r="I532" s="196">
        <v>-715940.2</v>
      </c>
      <c r="J532" s="196">
        <v>-490.37</v>
      </c>
      <c r="K532" s="196">
        <v>1460</v>
      </c>
      <c r="L532" s="454" t="s">
        <v>1049</v>
      </c>
      <c r="M532" s="4" t="s">
        <v>780</v>
      </c>
      <c r="N532" s="133" t="s">
        <v>1407</v>
      </c>
      <c r="O532" s="4" t="s">
        <v>2127</v>
      </c>
      <c r="P532" s="4" t="s">
        <v>892</v>
      </c>
      <c r="Q532" s="4" t="s">
        <v>2128</v>
      </c>
      <c r="R532" s="4" t="s">
        <v>2158</v>
      </c>
      <c r="S532" s="4" t="s">
        <v>2129</v>
      </c>
      <c r="T532" s="4" t="s">
        <v>786</v>
      </c>
    </row>
    <row r="533" spans="1:20" customFormat="1">
      <c r="A533" s="10"/>
      <c r="B533" s="4"/>
      <c r="C533" s="4"/>
      <c r="D533" s="133" t="s">
        <v>676</v>
      </c>
      <c r="E533" s="664" t="str">
        <f>+VLOOKUP(F533,Resumen_Base!$C$8:$G$287,5,0)</f>
        <v>Guides</v>
      </c>
      <c r="F533" s="152" t="s">
        <v>323</v>
      </c>
      <c r="G533" s="4" t="s">
        <v>324</v>
      </c>
      <c r="H533" s="4" t="str">
        <f t="shared" si="8"/>
        <v>CAR5227</v>
      </c>
      <c r="I533" s="196">
        <v>-2832.4</v>
      </c>
      <c r="J533" s="196">
        <v>-1.94</v>
      </c>
      <c r="K533" s="196">
        <v>1460</v>
      </c>
      <c r="L533" s="454" t="s">
        <v>1049</v>
      </c>
      <c r="M533" s="4" t="s">
        <v>780</v>
      </c>
      <c r="N533" s="133" t="s">
        <v>1407</v>
      </c>
      <c r="O533" s="4" t="s">
        <v>2127</v>
      </c>
      <c r="P533" s="4" t="s">
        <v>892</v>
      </c>
      <c r="Q533" s="4" t="s">
        <v>2128</v>
      </c>
      <c r="R533" s="4" t="s">
        <v>1515</v>
      </c>
      <c r="S533" s="4" t="s">
        <v>2129</v>
      </c>
      <c r="T533" s="4" t="s">
        <v>786</v>
      </c>
    </row>
    <row r="534" spans="1:20" customFormat="1">
      <c r="A534" s="10"/>
      <c r="B534" s="4"/>
      <c r="C534" s="4"/>
      <c r="D534" s="133" t="s">
        <v>676</v>
      </c>
      <c r="E534" s="664" t="str">
        <f>+VLOOKUP(F534,Resumen_Base!$C$8:$G$287,5,0)</f>
        <v>Guides</v>
      </c>
      <c r="F534" s="152" t="s">
        <v>323</v>
      </c>
      <c r="G534" s="4" t="s">
        <v>324</v>
      </c>
      <c r="H534" s="4" t="str">
        <f t="shared" si="8"/>
        <v>CAR5227</v>
      </c>
      <c r="I534" s="196">
        <v>-260507.8</v>
      </c>
      <c r="J534" s="196">
        <v>-178.43</v>
      </c>
      <c r="K534" s="196">
        <v>1460</v>
      </c>
      <c r="L534" s="454" t="s">
        <v>1049</v>
      </c>
      <c r="M534" s="4" t="s">
        <v>780</v>
      </c>
      <c r="N534" s="133" t="s">
        <v>1407</v>
      </c>
      <c r="O534" s="4" t="s">
        <v>2127</v>
      </c>
      <c r="P534" s="4" t="s">
        <v>892</v>
      </c>
      <c r="Q534" s="4" t="s">
        <v>2128</v>
      </c>
      <c r="R534" s="4" t="s">
        <v>2159</v>
      </c>
      <c r="S534" s="4" t="s">
        <v>2129</v>
      </c>
      <c r="T534" s="4" t="s">
        <v>786</v>
      </c>
    </row>
    <row r="535" spans="1:20" customFormat="1">
      <c r="A535" s="10"/>
      <c r="B535" s="4"/>
      <c r="C535" s="4"/>
      <c r="D535" s="133" t="s">
        <v>676</v>
      </c>
      <c r="E535" s="664" t="str">
        <f>+VLOOKUP(F535,Resumen_Base!$C$8:$G$287,5,0)</f>
        <v>Guides</v>
      </c>
      <c r="F535" s="152" t="s">
        <v>323</v>
      </c>
      <c r="G535" s="4" t="s">
        <v>324</v>
      </c>
      <c r="H535" s="4" t="str">
        <f t="shared" si="8"/>
        <v>CAR5227</v>
      </c>
      <c r="I535" s="196">
        <v>-2832.4</v>
      </c>
      <c r="J535" s="196">
        <v>-1.94</v>
      </c>
      <c r="K535" s="196">
        <v>1460</v>
      </c>
      <c r="L535" s="454" t="s">
        <v>1049</v>
      </c>
      <c r="M535" s="4" t="s">
        <v>780</v>
      </c>
      <c r="N535" s="133" t="s">
        <v>1407</v>
      </c>
      <c r="O535" s="4" t="s">
        <v>2127</v>
      </c>
      <c r="P535" s="4" t="s">
        <v>892</v>
      </c>
      <c r="Q535" s="4" t="s">
        <v>2128</v>
      </c>
      <c r="R535" s="4" t="s">
        <v>1515</v>
      </c>
      <c r="S535" s="4" t="s">
        <v>2129</v>
      </c>
      <c r="T535" s="4" t="s">
        <v>786</v>
      </c>
    </row>
    <row r="536" spans="1:20" customFormat="1">
      <c r="A536" s="10"/>
      <c r="B536" s="4"/>
      <c r="C536" s="4"/>
      <c r="D536" s="133" t="s">
        <v>676</v>
      </c>
      <c r="E536" s="664" t="str">
        <f>+VLOOKUP(F536,Resumen_Base!$C$8:$G$287,5,0)</f>
        <v>Guides</v>
      </c>
      <c r="F536" s="152" t="s">
        <v>323</v>
      </c>
      <c r="G536" s="4" t="s">
        <v>324</v>
      </c>
      <c r="H536" s="4" t="str">
        <f t="shared" si="8"/>
        <v>CAR5227</v>
      </c>
      <c r="I536" s="196">
        <v>-85278.6</v>
      </c>
      <c r="J536" s="196">
        <v>-58.41</v>
      </c>
      <c r="K536" s="196">
        <v>1460</v>
      </c>
      <c r="L536" s="454" t="s">
        <v>1049</v>
      </c>
      <c r="M536" s="4" t="s">
        <v>780</v>
      </c>
      <c r="N536" s="133" t="s">
        <v>1407</v>
      </c>
      <c r="O536" s="4" t="s">
        <v>2127</v>
      </c>
      <c r="P536" s="4" t="s">
        <v>892</v>
      </c>
      <c r="Q536" s="4" t="s">
        <v>2128</v>
      </c>
      <c r="R536" s="4" t="s">
        <v>2144</v>
      </c>
      <c r="S536" s="4" t="s">
        <v>2129</v>
      </c>
      <c r="T536" s="4" t="s">
        <v>786</v>
      </c>
    </row>
    <row r="537" spans="1:20" customFormat="1">
      <c r="A537" s="10"/>
      <c r="B537" s="4"/>
      <c r="C537" s="4"/>
      <c r="D537" s="133" t="s">
        <v>676</v>
      </c>
      <c r="E537" s="664" t="str">
        <f>+VLOOKUP(F537,Resumen_Base!$C$8:$G$287,5,0)</f>
        <v>Guides</v>
      </c>
      <c r="F537" s="152" t="s">
        <v>323</v>
      </c>
      <c r="G537" s="4" t="s">
        <v>324</v>
      </c>
      <c r="H537" s="4" t="str">
        <f t="shared" si="8"/>
        <v>CAR5227</v>
      </c>
      <c r="I537" s="196">
        <v>-2832.4</v>
      </c>
      <c r="J537" s="196">
        <v>-1.94</v>
      </c>
      <c r="K537" s="196">
        <v>1460</v>
      </c>
      <c r="L537" s="454" t="s">
        <v>1049</v>
      </c>
      <c r="M537" s="4" t="s">
        <v>780</v>
      </c>
      <c r="N537" s="133" t="s">
        <v>1407</v>
      </c>
      <c r="O537" s="4" t="s">
        <v>2127</v>
      </c>
      <c r="P537" s="4" t="s">
        <v>892</v>
      </c>
      <c r="Q537" s="4" t="s">
        <v>2128</v>
      </c>
      <c r="R537" s="4" t="s">
        <v>1515</v>
      </c>
      <c r="S537" s="4" t="s">
        <v>2129</v>
      </c>
      <c r="T537" s="4" t="s">
        <v>786</v>
      </c>
    </row>
    <row r="538" spans="1:20" customFormat="1">
      <c r="A538" s="10"/>
      <c r="B538" s="4"/>
      <c r="C538" s="4"/>
      <c r="D538" s="133" t="s">
        <v>676</v>
      </c>
      <c r="E538" s="664" t="str">
        <f>+VLOOKUP(F538,Resumen_Base!$C$8:$G$287,5,0)</f>
        <v>Guides</v>
      </c>
      <c r="F538" s="152" t="s">
        <v>323</v>
      </c>
      <c r="G538" s="4" t="s">
        <v>324</v>
      </c>
      <c r="H538" s="4" t="str">
        <f t="shared" si="8"/>
        <v>CAR5227</v>
      </c>
      <c r="I538" s="196">
        <v>-446059.2</v>
      </c>
      <c r="J538" s="196">
        <v>-305.52</v>
      </c>
      <c r="K538" s="196">
        <v>1460</v>
      </c>
      <c r="L538" s="454" t="s">
        <v>1049</v>
      </c>
      <c r="M538" s="4" t="s">
        <v>780</v>
      </c>
      <c r="N538" s="133" t="s">
        <v>1407</v>
      </c>
      <c r="O538" s="4" t="s">
        <v>2127</v>
      </c>
      <c r="P538" s="4" t="s">
        <v>892</v>
      </c>
      <c r="Q538" s="4" t="s">
        <v>2128</v>
      </c>
      <c r="R538" s="4" t="s">
        <v>2145</v>
      </c>
      <c r="S538" s="4" t="s">
        <v>2129</v>
      </c>
      <c r="T538" s="4" t="s">
        <v>786</v>
      </c>
    </row>
    <row r="539" spans="1:20" customFormat="1">
      <c r="A539" s="10"/>
      <c r="B539" s="4"/>
      <c r="C539" s="4"/>
      <c r="D539" s="133" t="s">
        <v>676</v>
      </c>
      <c r="E539" s="664" t="str">
        <f>+VLOOKUP(F539,Resumen_Base!$C$8:$G$287,5,0)</f>
        <v>Guides</v>
      </c>
      <c r="F539" s="152" t="s">
        <v>323</v>
      </c>
      <c r="G539" s="4" t="s">
        <v>324</v>
      </c>
      <c r="H539" s="4" t="str">
        <f t="shared" si="8"/>
        <v>CAR5227</v>
      </c>
      <c r="I539" s="196">
        <v>-2832.4</v>
      </c>
      <c r="J539" s="196">
        <v>-1.94</v>
      </c>
      <c r="K539" s="196">
        <v>1460</v>
      </c>
      <c r="L539" s="454" t="s">
        <v>1049</v>
      </c>
      <c r="M539" s="4" t="s">
        <v>780</v>
      </c>
      <c r="N539" s="133" t="s">
        <v>1407</v>
      </c>
      <c r="O539" s="4" t="s">
        <v>2127</v>
      </c>
      <c r="P539" s="4" t="s">
        <v>892</v>
      </c>
      <c r="Q539" s="4" t="s">
        <v>2128</v>
      </c>
      <c r="R539" s="4" t="s">
        <v>1515</v>
      </c>
      <c r="S539" s="4" t="s">
        <v>2129</v>
      </c>
      <c r="T539" s="4" t="s">
        <v>786</v>
      </c>
    </row>
    <row r="540" spans="1:20" customFormat="1">
      <c r="A540" s="10"/>
      <c r="B540" s="4"/>
      <c r="C540" s="4"/>
      <c r="D540" s="133" t="s">
        <v>676</v>
      </c>
      <c r="E540" s="664" t="str">
        <f>+VLOOKUP(F540,Resumen_Base!$C$8:$G$287,5,0)</f>
        <v>Guides</v>
      </c>
      <c r="F540" s="152" t="s">
        <v>323</v>
      </c>
      <c r="G540" s="4" t="s">
        <v>324</v>
      </c>
      <c r="H540" s="4" t="str">
        <f t="shared" si="8"/>
        <v>CAR5227</v>
      </c>
      <c r="I540" s="196">
        <v>-477916.4</v>
      </c>
      <c r="J540" s="196">
        <v>-327.33999999999997</v>
      </c>
      <c r="K540" s="196">
        <v>1460</v>
      </c>
      <c r="L540" s="454" t="s">
        <v>1049</v>
      </c>
      <c r="M540" s="4" t="s">
        <v>780</v>
      </c>
      <c r="N540" s="133" t="s">
        <v>1407</v>
      </c>
      <c r="O540" s="4" t="s">
        <v>2127</v>
      </c>
      <c r="P540" s="4" t="s">
        <v>892</v>
      </c>
      <c r="Q540" s="4" t="s">
        <v>2128</v>
      </c>
      <c r="R540" s="4" t="s">
        <v>2147</v>
      </c>
      <c r="S540" s="4" t="s">
        <v>2129</v>
      </c>
      <c r="T540" s="4" t="s">
        <v>786</v>
      </c>
    </row>
    <row r="541" spans="1:20" customFormat="1">
      <c r="A541" s="10"/>
      <c r="B541" s="4"/>
      <c r="C541" s="4"/>
      <c r="D541" s="133" t="s">
        <v>676</v>
      </c>
      <c r="E541" s="664" t="str">
        <f>+VLOOKUP(F541,Resumen_Base!$C$8:$G$287,5,0)</f>
        <v>Guides</v>
      </c>
      <c r="F541" s="152" t="s">
        <v>323</v>
      </c>
      <c r="G541" s="4" t="s">
        <v>324</v>
      </c>
      <c r="H541" s="4" t="str">
        <f t="shared" si="8"/>
        <v>CAR5227</v>
      </c>
      <c r="I541" s="196">
        <v>-2832.4</v>
      </c>
      <c r="J541" s="196">
        <v>-1.94</v>
      </c>
      <c r="K541" s="196">
        <v>1460</v>
      </c>
      <c r="L541" s="454" t="s">
        <v>1049</v>
      </c>
      <c r="M541" s="4" t="s">
        <v>780</v>
      </c>
      <c r="N541" s="133" t="s">
        <v>1407</v>
      </c>
      <c r="O541" s="4" t="s">
        <v>2127</v>
      </c>
      <c r="P541" s="4" t="s">
        <v>892</v>
      </c>
      <c r="Q541" s="4" t="s">
        <v>2128</v>
      </c>
      <c r="R541" s="4" t="s">
        <v>1515</v>
      </c>
      <c r="S541" s="4" t="s">
        <v>2129</v>
      </c>
      <c r="T541" s="4" t="s">
        <v>786</v>
      </c>
    </row>
    <row r="542" spans="1:20" customFormat="1">
      <c r="A542" s="10"/>
      <c r="B542" s="4"/>
      <c r="C542" s="4"/>
      <c r="D542" s="133" t="s">
        <v>676</v>
      </c>
      <c r="E542" s="664" t="str">
        <f>+VLOOKUP(F542,Resumen_Base!$C$8:$G$287,5,0)</f>
        <v>Guides</v>
      </c>
      <c r="F542" s="152" t="s">
        <v>323</v>
      </c>
      <c r="G542" s="4" t="s">
        <v>324</v>
      </c>
      <c r="H542" s="4" t="str">
        <f t="shared" si="8"/>
        <v>CAR5227</v>
      </c>
      <c r="I542" s="196">
        <v>-509788.2</v>
      </c>
      <c r="J542" s="196">
        <v>-349.17</v>
      </c>
      <c r="K542" s="196">
        <v>1460</v>
      </c>
      <c r="L542" s="454" t="s">
        <v>1049</v>
      </c>
      <c r="M542" s="4" t="s">
        <v>780</v>
      </c>
      <c r="N542" s="133" t="s">
        <v>1407</v>
      </c>
      <c r="O542" s="4" t="s">
        <v>2127</v>
      </c>
      <c r="P542" s="4" t="s">
        <v>892</v>
      </c>
      <c r="Q542" s="4" t="s">
        <v>2128</v>
      </c>
      <c r="R542" s="4" t="s">
        <v>2149</v>
      </c>
      <c r="S542" s="4" t="s">
        <v>2129</v>
      </c>
      <c r="T542" s="4" t="s">
        <v>786</v>
      </c>
    </row>
    <row r="543" spans="1:20" customFormat="1">
      <c r="A543" s="10"/>
      <c r="B543" s="4"/>
      <c r="C543" s="4"/>
      <c r="D543" s="133" t="s">
        <v>676</v>
      </c>
      <c r="E543" s="664" t="str">
        <f>+VLOOKUP(F543,Resumen_Base!$C$8:$G$287,5,0)</f>
        <v>Guides</v>
      </c>
      <c r="F543" s="152" t="s">
        <v>323</v>
      </c>
      <c r="G543" s="4" t="s">
        <v>324</v>
      </c>
      <c r="H543" s="4" t="str">
        <f t="shared" si="8"/>
        <v>CAR5227</v>
      </c>
      <c r="I543" s="196">
        <v>-2832.4</v>
      </c>
      <c r="J543" s="196">
        <v>-1.94</v>
      </c>
      <c r="K543" s="196">
        <v>1460</v>
      </c>
      <c r="L543" s="454" t="s">
        <v>1049</v>
      </c>
      <c r="M543" s="4" t="s">
        <v>780</v>
      </c>
      <c r="N543" s="133" t="s">
        <v>1407</v>
      </c>
      <c r="O543" s="4" t="s">
        <v>2127</v>
      </c>
      <c r="P543" s="4" t="s">
        <v>892</v>
      </c>
      <c r="Q543" s="4" t="s">
        <v>2128</v>
      </c>
      <c r="R543" s="4" t="s">
        <v>1515</v>
      </c>
      <c r="S543" s="4" t="s">
        <v>2129</v>
      </c>
      <c r="T543" s="4" t="s">
        <v>786</v>
      </c>
    </row>
    <row r="544" spans="1:20" customFormat="1">
      <c r="A544" s="10"/>
      <c r="B544" s="4"/>
      <c r="C544" s="4"/>
      <c r="D544" s="133" t="s">
        <v>676</v>
      </c>
      <c r="E544" s="664" t="str">
        <f>+VLOOKUP(F544,Resumen_Base!$C$8:$G$287,5,0)</f>
        <v>Guides</v>
      </c>
      <c r="F544" s="152" t="s">
        <v>323</v>
      </c>
      <c r="G544" s="4" t="s">
        <v>324</v>
      </c>
      <c r="H544" s="4" t="str">
        <f t="shared" si="8"/>
        <v>CAR5227</v>
      </c>
      <c r="I544" s="196">
        <v>259545</v>
      </c>
      <c r="J544" s="196">
        <v>173.03</v>
      </c>
      <c r="K544" s="196">
        <v>1500</v>
      </c>
      <c r="L544" s="454" t="s">
        <v>1045</v>
      </c>
      <c r="M544" s="4" t="s">
        <v>780</v>
      </c>
      <c r="N544" s="133" t="s">
        <v>1407</v>
      </c>
      <c r="O544" s="4" t="s">
        <v>2206</v>
      </c>
      <c r="P544" s="4" t="s">
        <v>892</v>
      </c>
      <c r="Q544" s="4" t="s">
        <v>2207</v>
      </c>
      <c r="R544" s="4" t="s">
        <v>2208</v>
      </c>
      <c r="S544" s="4" t="s">
        <v>2209</v>
      </c>
      <c r="T544" s="4" t="s">
        <v>786</v>
      </c>
    </row>
    <row r="545" spans="1:20" customFormat="1">
      <c r="A545" s="10"/>
      <c r="B545" s="4"/>
      <c r="C545" s="4"/>
      <c r="D545" s="133" t="s">
        <v>676</v>
      </c>
      <c r="E545" s="664" t="str">
        <f>+VLOOKUP(F545,Resumen_Base!$C$8:$G$287,5,0)</f>
        <v>Guides</v>
      </c>
      <c r="F545" s="152" t="s">
        <v>323</v>
      </c>
      <c r="G545" s="4" t="s">
        <v>324</v>
      </c>
      <c r="H545" s="4" t="str">
        <f t="shared" si="8"/>
        <v>CAR5227</v>
      </c>
      <c r="I545" s="196">
        <v>129765</v>
      </c>
      <c r="J545" s="196">
        <v>86.51</v>
      </c>
      <c r="K545" s="196">
        <v>1500</v>
      </c>
      <c r="L545" s="454" t="s">
        <v>1045</v>
      </c>
      <c r="M545" s="4" t="s">
        <v>780</v>
      </c>
      <c r="N545" s="133" t="s">
        <v>1407</v>
      </c>
      <c r="O545" s="4" t="s">
        <v>2206</v>
      </c>
      <c r="P545" s="4" t="s">
        <v>892</v>
      </c>
      <c r="Q545" s="4" t="s">
        <v>2207</v>
      </c>
      <c r="R545" s="4" t="s">
        <v>2210</v>
      </c>
      <c r="S545" s="4" t="s">
        <v>2209</v>
      </c>
      <c r="T545" s="4" t="s">
        <v>786</v>
      </c>
    </row>
    <row r="546" spans="1:20" customFormat="1">
      <c r="A546" s="10"/>
      <c r="B546" s="4"/>
      <c r="C546" s="4"/>
      <c r="D546" s="133" t="s">
        <v>676</v>
      </c>
      <c r="E546" s="664" t="str">
        <f>+VLOOKUP(F546,Resumen_Base!$C$8:$G$287,5,0)</f>
        <v>Guides</v>
      </c>
      <c r="F546" s="152" t="s">
        <v>323</v>
      </c>
      <c r="G546" s="4" t="s">
        <v>324</v>
      </c>
      <c r="H546" s="4" t="str">
        <f t="shared" si="8"/>
        <v>CAR5227</v>
      </c>
      <c r="I546" s="196">
        <v>2880</v>
      </c>
      <c r="J546" s="196">
        <v>1.92</v>
      </c>
      <c r="K546" s="196">
        <v>1500</v>
      </c>
      <c r="L546" s="454" t="s">
        <v>1045</v>
      </c>
      <c r="M546" s="4" t="s">
        <v>780</v>
      </c>
      <c r="N546" s="133" t="s">
        <v>1407</v>
      </c>
      <c r="O546" s="4" t="s">
        <v>2206</v>
      </c>
      <c r="P546" s="4" t="s">
        <v>892</v>
      </c>
      <c r="Q546" s="4" t="s">
        <v>2207</v>
      </c>
      <c r="R546" s="4" t="s">
        <v>1515</v>
      </c>
      <c r="S546" s="4" t="s">
        <v>2209</v>
      </c>
      <c r="T546" s="4" t="s">
        <v>786</v>
      </c>
    </row>
    <row r="547" spans="1:20" customFormat="1">
      <c r="A547" s="10"/>
      <c r="B547" s="4"/>
      <c r="C547" s="4"/>
      <c r="D547" s="133" t="s">
        <v>676</v>
      </c>
      <c r="E547" s="664" t="str">
        <f>+VLOOKUP(F547,Resumen_Base!$C$8:$G$287,5,0)</f>
        <v>Guides</v>
      </c>
      <c r="F547" s="152" t="s">
        <v>323</v>
      </c>
      <c r="G547" s="4" t="s">
        <v>324</v>
      </c>
      <c r="H547" s="4" t="str">
        <f t="shared" si="8"/>
        <v>CAR5227</v>
      </c>
      <c r="I547" s="196">
        <v>129765</v>
      </c>
      <c r="J547" s="196">
        <v>86.51</v>
      </c>
      <c r="K547" s="196">
        <v>1500</v>
      </c>
      <c r="L547" s="454" t="s">
        <v>1045</v>
      </c>
      <c r="M547" s="4" t="s">
        <v>780</v>
      </c>
      <c r="N547" s="133" t="s">
        <v>1407</v>
      </c>
      <c r="O547" s="4" t="s">
        <v>2206</v>
      </c>
      <c r="P547" s="4" t="s">
        <v>892</v>
      </c>
      <c r="Q547" s="4" t="s">
        <v>2207</v>
      </c>
      <c r="R547" s="4" t="s">
        <v>2147</v>
      </c>
      <c r="S547" s="4" t="s">
        <v>2209</v>
      </c>
      <c r="T547" s="4" t="s">
        <v>786</v>
      </c>
    </row>
    <row r="548" spans="1:20" customFormat="1">
      <c r="A548" s="10"/>
      <c r="B548" s="4"/>
      <c r="C548" s="4"/>
      <c r="D548" s="133" t="s">
        <v>676</v>
      </c>
      <c r="E548" s="664" t="str">
        <f>+VLOOKUP(F548,Resumen_Base!$C$8:$G$287,5,0)</f>
        <v>Guides</v>
      </c>
      <c r="F548" s="152" t="s">
        <v>323</v>
      </c>
      <c r="G548" s="4" t="s">
        <v>324</v>
      </c>
      <c r="H548" s="4" t="str">
        <f t="shared" si="8"/>
        <v>CAR5227</v>
      </c>
      <c r="I548" s="196">
        <v>194655</v>
      </c>
      <c r="J548" s="196">
        <v>129.77000000000001</v>
      </c>
      <c r="K548" s="196">
        <v>1500</v>
      </c>
      <c r="L548" s="454" t="s">
        <v>1045</v>
      </c>
      <c r="M548" s="4" t="s">
        <v>780</v>
      </c>
      <c r="N548" s="133" t="s">
        <v>1407</v>
      </c>
      <c r="O548" s="4" t="s">
        <v>2206</v>
      </c>
      <c r="P548" s="4" t="s">
        <v>892</v>
      </c>
      <c r="Q548" s="4" t="s">
        <v>2207</v>
      </c>
      <c r="R548" s="4" t="s">
        <v>2211</v>
      </c>
      <c r="S548" s="4" t="s">
        <v>2209</v>
      </c>
      <c r="T548" s="4" t="s">
        <v>786</v>
      </c>
    </row>
    <row r="549" spans="1:20" customFormat="1">
      <c r="A549" s="10"/>
      <c r="B549" s="4"/>
      <c r="C549" s="4"/>
      <c r="D549" s="133" t="s">
        <v>676</v>
      </c>
      <c r="E549" s="664" t="str">
        <f>+VLOOKUP(F549,Resumen_Base!$C$8:$G$287,5,0)</f>
        <v>Guides</v>
      </c>
      <c r="F549" s="152" t="s">
        <v>323</v>
      </c>
      <c r="G549" s="4" t="s">
        <v>324</v>
      </c>
      <c r="H549" s="4" t="str">
        <f t="shared" si="8"/>
        <v>CAR5227</v>
      </c>
      <c r="I549" s="196">
        <v>2880</v>
      </c>
      <c r="J549" s="196">
        <v>1.92</v>
      </c>
      <c r="K549" s="196">
        <v>1500</v>
      </c>
      <c r="L549" s="454" t="s">
        <v>1045</v>
      </c>
      <c r="M549" s="4" t="s">
        <v>780</v>
      </c>
      <c r="N549" s="133" t="s">
        <v>1407</v>
      </c>
      <c r="O549" s="4" t="s">
        <v>2206</v>
      </c>
      <c r="P549" s="4" t="s">
        <v>892</v>
      </c>
      <c r="Q549" s="4" t="s">
        <v>2207</v>
      </c>
      <c r="R549" s="4" t="s">
        <v>1515</v>
      </c>
      <c r="S549" s="4" t="s">
        <v>2209</v>
      </c>
      <c r="T549" s="4" t="s">
        <v>786</v>
      </c>
    </row>
    <row r="550" spans="1:20" customFormat="1">
      <c r="A550" s="10"/>
      <c r="B550" s="4"/>
      <c r="C550" s="4"/>
      <c r="D550" s="133" t="s">
        <v>676</v>
      </c>
      <c r="E550" s="664" t="str">
        <f>+VLOOKUP(F550,Resumen_Base!$C$8:$G$287,5,0)</f>
        <v>Guides</v>
      </c>
      <c r="F550" s="152" t="s">
        <v>323</v>
      </c>
      <c r="G550" s="4" t="s">
        <v>324</v>
      </c>
      <c r="H550" s="4" t="str">
        <f t="shared" si="8"/>
        <v>CAR5227</v>
      </c>
      <c r="I550" s="196">
        <v>2880</v>
      </c>
      <c r="J550" s="196">
        <v>1.92</v>
      </c>
      <c r="K550" s="196">
        <v>1500</v>
      </c>
      <c r="L550" s="454" t="s">
        <v>1045</v>
      </c>
      <c r="M550" s="4" t="s">
        <v>780</v>
      </c>
      <c r="N550" s="133" t="s">
        <v>1407</v>
      </c>
      <c r="O550" s="4" t="s">
        <v>2206</v>
      </c>
      <c r="P550" s="4" t="s">
        <v>892</v>
      </c>
      <c r="Q550" s="4" t="s">
        <v>2207</v>
      </c>
      <c r="R550" s="4" t="s">
        <v>1515</v>
      </c>
      <c r="S550" s="4" t="s">
        <v>2209</v>
      </c>
      <c r="T550" s="4" t="s">
        <v>786</v>
      </c>
    </row>
    <row r="551" spans="1:20" customFormat="1">
      <c r="A551" s="10"/>
      <c r="B551" s="4"/>
      <c r="C551" s="4"/>
      <c r="D551" s="133" t="s">
        <v>676</v>
      </c>
      <c r="E551" s="664" t="str">
        <f>+VLOOKUP(F551,Resumen_Base!$C$8:$G$287,5,0)</f>
        <v>Guides</v>
      </c>
      <c r="F551" s="152" t="s">
        <v>323</v>
      </c>
      <c r="G551" s="4" t="s">
        <v>324</v>
      </c>
      <c r="H551" s="4" t="str">
        <f t="shared" si="8"/>
        <v>CAR5227</v>
      </c>
      <c r="I551" s="196">
        <v>2880</v>
      </c>
      <c r="J551" s="196">
        <v>1.92</v>
      </c>
      <c r="K551" s="196">
        <v>1500</v>
      </c>
      <c r="L551" s="454" t="s">
        <v>1045</v>
      </c>
      <c r="M551" s="4" t="s">
        <v>780</v>
      </c>
      <c r="N551" s="133" t="s">
        <v>1407</v>
      </c>
      <c r="O551" s="4" t="s">
        <v>2206</v>
      </c>
      <c r="P551" s="4" t="s">
        <v>892</v>
      </c>
      <c r="Q551" s="4" t="s">
        <v>2207</v>
      </c>
      <c r="R551" s="4" t="s">
        <v>1515</v>
      </c>
      <c r="S551" s="4" t="s">
        <v>2209</v>
      </c>
      <c r="T551" s="4" t="s">
        <v>786</v>
      </c>
    </row>
    <row r="552" spans="1:20" customFormat="1">
      <c r="A552" s="10"/>
      <c r="B552" s="4"/>
      <c r="C552" s="4"/>
      <c r="D552" s="133" t="s">
        <v>676</v>
      </c>
      <c r="E552" s="664" t="str">
        <f>+VLOOKUP(F552,Resumen_Base!$C$8:$G$287,5,0)</f>
        <v>Guides</v>
      </c>
      <c r="F552" s="152" t="s">
        <v>323</v>
      </c>
      <c r="G552" s="4" t="s">
        <v>324</v>
      </c>
      <c r="H552" s="4" t="str">
        <f t="shared" si="8"/>
        <v>CAR5227</v>
      </c>
      <c r="I552" s="196">
        <v>129765</v>
      </c>
      <c r="J552" s="196">
        <v>86.51</v>
      </c>
      <c r="K552" s="196">
        <v>1500</v>
      </c>
      <c r="L552" s="454" t="s">
        <v>1045</v>
      </c>
      <c r="M552" s="4" t="s">
        <v>780</v>
      </c>
      <c r="N552" s="133" t="s">
        <v>1407</v>
      </c>
      <c r="O552" s="4" t="s">
        <v>2206</v>
      </c>
      <c r="P552" s="4" t="s">
        <v>892</v>
      </c>
      <c r="Q552" s="4" t="s">
        <v>2207</v>
      </c>
      <c r="R552" s="4" t="s">
        <v>2213</v>
      </c>
      <c r="S552" s="4" t="s">
        <v>2209</v>
      </c>
      <c r="T552" s="4" t="s">
        <v>786</v>
      </c>
    </row>
    <row r="553" spans="1:20" customFormat="1">
      <c r="A553" s="10"/>
      <c r="B553" s="4"/>
      <c r="C553" s="4"/>
      <c r="D553" s="133" t="s">
        <v>676</v>
      </c>
      <c r="E553" s="664" t="str">
        <f>+VLOOKUP(F553,Resumen_Base!$C$8:$G$287,5,0)</f>
        <v>Guides</v>
      </c>
      <c r="F553" s="152" t="s">
        <v>323</v>
      </c>
      <c r="G553" s="4" t="s">
        <v>324</v>
      </c>
      <c r="H553" s="4" t="str">
        <f t="shared" si="8"/>
        <v>CAR5227</v>
      </c>
      <c r="I553" s="196">
        <v>2766700</v>
      </c>
      <c r="J553" s="196">
        <v>1895</v>
      </c>
      <c r="K553" s="196">
        <v>1460</v>
      </c>
      <c r="L553" s="454" t="s">
        <v>1049</v>
      </c>
      <c r="M553" s="4" t="s">
        <v>780</v>
      </c>
      <c r="N553" s="133" t="s">
        <v>1407</v>
      </c>
      <c r="O553" s="4" t="s">
        <v>2220</v>
      </c>
      <c r="P553" s="4" t="s">
        <v>892</v>
      </c>
      <c r="Q553" s="4" t="s">
        <v>2221</v>
      </c>
      <c r="R553" s="4" t="s">
        <v>2229</v>
      </c>
      <c r="S553" s="4" t="s">
        <v>2223</v>
      </c>
      <c r="T553" s="4" t="s">
        <v>786</v>
      </c>
    </row>
    <row r="554" spans="1:20" customFormat="1">
      <c r="A554" s="10"/>
      <c r="B554" s="4"/>
      <c r="C554" s="4"/>
      <c r="D554" s="133" t="s">
        <v>676</v>
      </c>
      <c r="E554" s="664" t="str">
        <f>+VLOOKUP(F554,Resumen_Base!$C$8:$G$287,5,0)</f>
        <v>Guides</v>
      </c>
      <c r="F554" s="152" t="s">
        <v>323</v>
      </c>
      <c r="G554" s="4" t="s">
        <v>324</v>
      </c>
      <c r="H554" s="4" t="str">
        <f t="shared" si="8"/>
        <v>CAR5227</v>
      </c>
      <c r="I554" s="196">
        <v>1124521.2</v>
      </c>
      <c r="J554" s="196">
        <v>770.22</v>
      </c>
      <c r="K554" s="196">
        <v>1460</v>
      </c>
      <c r="L554" s="454" t="s">
        <v>1049</v>
      </c>
      <c r="M554" s="4" t="s">
        <v>780</v>
      </c>
      <c r="N554" s="133" t="s">
        <v>1407</v>
      </c>
      <c r="O554" s="4" t="s">
        <v>2233</v>
      </c>
      <c r="P554" s="4" t="s">
        <v>892</v>
      </c>
      <c r="Q554" s="4" t="s">
        <v>2234</v>
      </c>
      <c r="R554" s="4" t="s">
        <v>2131</v>
      </c>
      <c r="S554" s="4" t="s">
        <v>2235</v>
      </c>
      <c r="T554" s="4" t="s">
        <v>786</v>
      </c>
    </row>
    <row r="555" spans="1:20" customFormat="1">
      <c r="A555" s="10"/>
      <c r="B555" s="4"/>
      <c r="C555" s="4"/>
      <c r="D555" s="133" t="s">
        <v>676</v>
      </c>
      <c r="E555" s="664" t="str">
        <f>+VLOOKUP(F555,Resumen_Base!$C$8:$G$287,5,0)</f>
        <v>Guides</v>
      </c>
      <c r="F555" s="152" t="s">
        <v>323</v>
      </c>
      <c r="G555" s="4" t="s">
        <v>324</v>
      </c>
      <c r="H555" s="4" t="str">
        <f t="shared" si="8"/>
        <v>CAR5227</v>
      </c>
      <c r="I555" s="196">
        <v>2832.4</v>
      </c>
      <c r="J555" s="196">
        <v>1.94</v>
      </c>
      <c r="K555" s="196">
        <v>1460</v>
      </c>
      <c r="L555" s="454" t="s">
        <v>1049</v>
      </c>
      <c r="M555" s="4" t="s">
        <v>780</v>
      </c>
      <c r="N555" s="133" t="s">
        <v>1407</v>
      </c>
      <c r="O555" s="4" t="s">
        <v>2233</v>
      </c>
      <c r="P555" s="4" t="s">
        <v>892</v>
      </c>
      <c r="Q555" s="4" t="s">
        <v>2234</v>
      </c>
      <c r="R555" s="4" t="s">
        <v>1515</v>
      </c>
      <c r="S555" s="4" t="s">
        <v>2235</v>
      </c>
      <c r="T555" s="4" t="s">
        <v>786</v>
      </c>
    </row>
    <row r="556" spans="1:20" customFormat="1">
      <c r="A556" s="10"/>
      <c r="B556" s="4"/>
      <c r="C556" s="4"/>
      <c r="D556" s="133" t="s">
        <v>676</v>
      </c>
      <c r="E556" s="664" t="str">
        <f>+VLOOKUP(F556,Resumen_Base!$C$8:$G$287,5,0)</f>
        <v>Guides</v>
      </c>
      <c r="F556" s="152" t="s">
        <v>323</v>
      </c>
      <c r="G556" s="4" t="s">
        <v>324</v>
      </c>
      <c r="H556" s="4" t="str">
        <f t="shared" si="8"/>
        <v>CAR5227</v>
      </c>
      <c r="I556" s="196">
        <v>509788.2</v>
      </c>
      <c r="J556" s="196">
        <v>349.17</v>
      </c>
      <c r="K556" s="196">
        <v>1460</v>
      </c>
      <c r="L556" s="454" t="s">
        <v>1049</v>
      </c>
      <c r="M556" s="4" t="s">
        <v>780</v>
      </c>
      <c r="N556" s="133" t="s">
        <v>1407</v>
      </c>
      <c r="O556" s="4" t="s">
        <v>2233</v>
      </c>
      <c r="P556" s="4" t="s">
        <v>892</v>
      </c>
      <c r="Q556" s="4" t="s">
        <v>2234</v>
      </c>
      <c r="R556" s="4" t="s">
        <v>2149</v>
      </c>
      <c r="S556" s="4" t="s">
        <v>2235</v>
      </c>
      <c r="T556" s="4" t="s">
        <v>786</v>
      </c>
    </row>
    <row r="557" spans="1:20" customFormat="1">
      <c r="A557" s="10"/>
      <c r="B557" s="4"/>
      <c r="C557" s="4"/>
      <c r="D557" s="133" t="s">
        <v>676</v>
      </c>
      <c r="E557" s="664" t="str">
        <f>+VLOOKUP(F557,Resumen_Base!$C$8:$G$287,5,0)</f>
        <v>Guides</v>
      </c>
      <c r="F557" s="152" t="s">
        <v>323</v>
      </c>
      <c r="G557" s="4" t="s">
        <v>324</v>
      </c>
      <c r="H557" s="4" t="str">
        <f t="shared" si="8"/>
        <v>CAR5227</v>
      </c>
      <c r="I557" s="196">
        <v>2832.4</v>
      </c>
      <c r="J557" s="196">
        <v>1.94</v>
      </c>
      <c r="K557" s="196">
        <v>1460</v>
      </c>
      <c r="L557" s="454" t="s">
        <v>1049</v>
      </c>
      <c r="M557" s="4" t="s">
        <v>780</v>
      </c>
      <c r="N557" s="133" t="s">
        <v>1407</v>
      </c>
      <c r="O557" s="4" t="s">
        <v>2233</v>
      </c>
      <c r="P557" s="4" t="s">
        <v>892</v>
      </c>
      <c r="Q557" s="4" t="s">
        <v>2234</v>
      </c>
      <c r="R557" s="4" t="s">
        <v>1515</v>
      </c>
      <c r="S557" s="4" t="s">
        <v>2235</v>
      </c>
      <c r="T557" s="4" t="s">
        <v>786</v>
      </c>
    </row>
    <row r="558" spans="1:20" customFormat="1">
      <c r="A558" s="10"/>
      <c r="B558" s="4"/>
      <c r="C558" s="4"/>
      <c r="D558" s="133" t="s">
        <v>676</v>
      </c>
      <c r="E558" s="664" t="str">
        <f>+VLOOKUP(F558,Resumen_Base!$C$8:$G$287,5,0)</f>
        <v>Guides</v>
      </c>
      <c r="F558" s="152" t="s">
        <v>323</v>
      </c>
      <c r="G558" s="4" t="s">
        <v>324</v>
      </c>
      <c r="H558" s="4" t="str">
        <f t="shared" si="8"/>
        <v>CAR5227</v>
      </c>
      <c r="I558" s="196">
        <v>477916.4</v>
      </c>
      <c r="J558" s="196">
        <v>327.33999999999997</v>
      </c>
      <c r="K558" s="196">
        <v>1460</v>
      </c>
      <c r="L558" s="454" t="s">
        <v>1049</v>
      </c>
      <c r="M558" s="4" t="s">
        <v>780</v>
      </c>
      <c r="N558" s="133" t="s">
        <v>1407</v>
      </c>
      <c r="O558" s="4" t="s">
        <v>2233</v>
      </c>
      <c r="P558" s="4" t="s">
        <v>892</v>
      </c>
      <c r="Q558" s="4" t="s">
        <v>2234</v>
      </c>
      <c r="R558" s="4" t="s">
        <v>2147</v>
      </c>
      <c r="S558" s="4" t="s">
        <v>2235</v>
      </c>
      <c r="T558" s="4" t="s">
        <v>786</v>
      </c>
    </row>
    <row r="559" spans="1:20" customFormat="1">
      <c r="A559" s="10"/>
      <c r="B559" s="4"/>
      <c r="C559" s="4"/>
      <c r="D559" s="133" t="s">
        <v>676</v>
      </c>
      <c r="E559" s="664" t="str">
        <f>+VLOOKUP(F559,Resumen_Base!$C$8:$G$287,5,0)</f>
        <v>Guides</v>
      </c>
      <c r="F559" s="152" t="s">
        <v>323</v>
      </c>
      <c r="G559" s="4" t="s">
        <v>324</v>
      </c>
      <c r="H559" s="4" t="str">
        <f t="shared" si="8"/>
        <v>CAR5227</v>
      </c>
      <c r="I559" s="196">
        <v>446059.2</v>
      </c>
      <c r="J559" s="196">
        <v>305.52</v>
      </c>
      <c r="K559" s="196">
        <v>1460</v>
      </c>
      <c r="L559" s="454" t="s">
        <v>1049</v>
      </c>
      <c r="M559" s="4" t="s">
        <v>780</v>
      </c>
      <c r="N559" s="133" t="s">
        <v>1407</v>
      </c>
      <c r="O559" s="4" t="s">
        <v>2233</v>
      </c>
      <c r="P559" s="4" t="s">
        <v>892</v>
      </c>
      <c r="Q559" s="4" t="s">
        <v>2234</v>
      </c>
      <c r="R559" s="4" t="s">
        <v>2145</v>
      </c>
      <c r="S559" s="4" t="s">
        <v>2235</v>
      </c>
      <c r="T559" s="4" t="s">
        <v>786</v>
      </c>
    </row>
    <row r="560" spans="1:20" customFormat="1">
      <c r="A560" s="10"/>
      <c r="B560" s="4"/>
      <c r="C560" s="4"/>
      <c r="D560" s="133" t="s">
        <v>676</v>
      </c>
      <c r="E560" s="664" t="str">
        <f>+VLOOKUP(F560,Resumen_Base!$C$8:$G$287,5,0)</f>
        <v>Guides</v>
      </c>
      <c r="F560" s="152" t="s">
        <v>323</v>
      </c>
      <c r="G560" s="4" t="s">
        <v>324</v>
      </c>
      <c r="H560" s="4" t="str">
        <f t="shared" si="8"/>
        <v>CAR5227</v>
      </c>
      <c r="I560" s="196">
        <v>2832.4</v>
      </c>
      <c r="J560" s="196">
        <v>1.94</v>
      </c>
      <c r="K560" s="196">
        <v>1460</v>
      </c>
      <c r="L560" s="454" t="s">
        <v>1049</v>
      </c>
      <c r="M560" s="4" t="s">
        <v>780</v>
      </c>
      <c r="N560" s="133" t="s">
        <v>1407</v>
      </c>
      <c r="O560" s="4" t="s">
        <v>2233</v>
      </c>
      <c r="P560" s="4" t="s">
        <v>892</v>
      </c>
      <c r="Q560" s="4" t="s">
        <v>2234</v>
      </c>
      <c r="R560" s="4" t="s">
        <v>1515</v>
      </c>
      <c r="S560" s="4" t="s">
        <v>2235</v>
      </c>
      <c r="T560" s="4" t="s">
        <v>786</v>
      </c>
    </row>
    <row r="561" spans="1:20" customFormat="1">
      <c r="A561" s="10"/>
      <c r="B561" s="4"/>
      <c r="C561" s="4"/>
      <c r="D561" s="133" t="s">
        <v>676</v>
      </c>
      <c r="E561" s="664" t="str">
        <f>+VLOOKUP(F561,Resumen_Base!$C$8:$G$287,5,0)</f>
        <v>Guides</v>
      </c>
      <c r="F561" s="152" t="s">
        <v>323</v>
      </c>
      <c r="G561" s="4" t="s">
        <v>324</v>
      </c>
      <c r="H561" s="4" t="str">
        <f t="shared" si="8"/>
        <v>CAR5227</v>
      </c>
      <c r="I561" s="196">
        <v>85278.6</v>
      </c>
      <c r="J561" s="196">
        <v>58.41</v>
      </c>
      <c r="K561" s="196">
        <v>1460</v>
      </c>
      <c r="L561" s="454" t="s">
        <v>1049</v>
      </c>
      <c r="M561" s="4" t="s">
        <v>780</v>
      </c>
      <c r="N561" s="133" t="s">
        <v>1407</v>
      </c>
      <c r="O561" s="4" t="s">
        <v>2233</v>
      </c>
      <c r="P561" s="4" t="s">
        <v>892</v>
      </c>
      <c r="Q561" s="4" t="s">
        <v>2234</v>
      </c>
      <c r="R561" s="4" t="s">
        <v>2144</v>
      </c>
      <c r="S561" s="4" t="s">
        <v>2235</v>
      </c>
      <c r="T561" s="4" t="s">
        <v>786</v>
      </c>
    </row>
    <row r="562" spans="1:20" customFormat="1">
      <c r="A562" s="10"/>
      <c r="B562" s="4"/>
      <c r="C562" s="4"/>
      <c r="D562" s="133" t="s">
        <v>676</v>
      </c>
      <c r="E562" s="664" t="str">
        <f>+VLOOKUP(F562,Resumen_Base!$C$8:$G$287,5,0)</f>
        <v>Guides</v>
      </c>
      <c r="F562" s="152" t="s">
        <v>323</v>
      </c>
      <c r="G562" s="4" t="s">
        <v>324</v>
      </c>
      <c r="H562" s="4" t="str">
        <f t="shared" si="8"/>
        <v>CAR5227</v>
      </c>
      <c r="I562" s="196">
        <v>2832.4</v>
      </c>
      <c r="J562" s="196">
        <v>1.94</v>
      </c>
      <c r="K562" s="196">
        <v>1460</v>
      </c>
      <c r="L562" s="454" t="s">
        <v>1049</v>
      </c>
      <c r="M562" s="4" t="s">
        <v>780</v>
      </c>
      <c r="N562" s="133" t="s">
        <v>1407</v>
      </c>
      <c r="O562" s="4" t="s">
        <v>2233</v>
      </c>
      <c r="P562" s="4" t="s">
        <v>892</v>
      </c>
      <c r="Q562" s="4" t="s">
        <v>2234</v>
      </c>
      <c r="R562" s="4" t="s">
        <v>1515</v>
      </c>
      <c r="S562" s="4" t="s">
        <v>2235</v>
      </c>
      <c r="T562" s="4" t="s">
        <v>786</v>
      </c>
    </row>
    <row r="563" spans="1:20" customFormat="1">
      <c r="A563" s="10"/>
      <c r="B563" s="4"/>
      <c r="C563" s="4"/>
      <c r="D563" s="133" t="s">
        <v>676</v>
      </c>
      <c r="E563" s="664" t="str">
        <f>+VLOOKUP(F563,Resumen_Base!$C$8:$G$287,5,0)</f>
        <v>Guides</v>
      </c>
      <c r="F563" s="152" t="s">
        <v>323</v>
      </c>
      <c r="G563" s="4" t="s">
        <v>324</v>
      </c>
      <c r="H563" s="4" t="str">
        <f t="shared" si="8"/>
        <v>CAR5227</v>
      </c>
      <c r="I563" s="196">
        <v>260507.8</v>
      </c>
      <c r="J563" s="196">
        <v>178.43</v>
      </c>
      <c r="K563" s="196">
        <v>1460</v>
      </c>
      <c r="L563" s="454" t="s">
        <v>1049</v>
      </c>
      <c r="M563" s="4" t="s">
        <v>780</v>
      </c>
      <c r="N563" s="133" t="s">
        <v>1407</v>
      </c>
      <c r="O563" s="4" t="s">
        <v>2233</v>
      </c>
      <c r="P563" s="4" t="s">
        <v>892</v>
      </c>
      <c r="Q563" s="4" t="s">
        <v>2234</v>
      </c>
      <c r="R563" s="4" t="s">
        <v>2159</v>
      </c>
      <c r="S563" s="4" t="s">
        <v>2235</v>
      </c>
      <c r="T563" s="4" t="s">
        <v>786</v>
      </c>
    </row>
    <row r="564" spans="1:20" customFormat="1">
      <c r="A564" s="10"/>
      <c r="B564" s="4"/>
      <c r="C564" s="4"/>
      <c r="D564" s="133" t="s">
        <v>676</v>
      </c>
      <c r="E564" s="664" t="str">
        <f>+VLOOKUP(F564,Resumen_Base!$C$8:$G$287,5,0)</f>
        <v>Guides</v>
      </c>
      <c r="F564" s="152" t="s">
        <v>323</v>
      </c>
      <c r="G564" s="4" t="s">
        <v>324</v>
      </c>
      <c r="H564" s="4" t="str">
        <f t="shared" si="8"/>
        <v>CAR5227</v>
      </c>
      <c r="I564" s="196">
        <v>2832.4</v>
      </c>
      <c r="J564" s="196">
        <v>1.94</v>
      </c>
      <c r="K564" s="196">
        <v>1460</v>
      </c>
      <c r="L564" s="454" t="s">
        <v>1049</v>
      </c>
      <c r="M564" s="4" t="s">
        <v>780</v>
      </c>
      <c r="N564" s="133" t="s">
        <v>1407</v>
      </c>
      <c r="O564" s="4" t="s">
        <v>2233</v>
      </c>
      <c r="P564" s="4" t="s">
        <v>892</v>
      </c>
      <c r="Q564" s="4" t="s">
        <v>2234</v>
      </c>
      <c r="R564" s="4" t="s">
        <v>1515</v>
      </c>
      <c r="S564" s="4" t="s">
        <v>2235</v>
      </c>
      <c r="T564" s="4" t="s">
        <v>786</v>
      </c>
    </row>
    <row r="565" spans="1:20" customFormat="1">
      <c r="A565" s="10"/>
      <c r="B565" s="4"/>
      <c r="C565" s="4"/>
      <c r="D565" s="133" t="s">
        <v>676</v>
      </c>
      <c r="E565" s="664" t="str">
        <f>+VLOOKUP(F565,Resumen_Base!$C$8:$G$287,5,0)</f>
        <v>Guides</v>
      </c>
      <c r="F565" s="152" t="s">
        <v>323</v>
      </c>
      <c r="G565" s="4" t="s">
        <v>324</v>
      </c>
      <c r="H565" s="4" t="str">
        <f t="shared" si="8"/>
        <v>CAR5227</v>
      </c>
      <c r="I565" s="196">
        <v>715940.2</v>
      </c>
      <c r="J565" s="196">
        <v>490.37</v>
      </c>
      <c r="K565" s="196">
        <v>1460</v>
      </c>
      <c r="L565" s="454" t="s">
        <v>1049</v>
      </c>
      <c r="M565" s="4" t="s">
        <v>780</v>
      </c>
      <c r="N565" s="133" t="s">
        <v>1407</v>
      </c>
      <c r="O565" s="4" t="s">
        <v>2233</v>
      </c>
      <c r="P565" s="4" t="s">
        <v>892</v>
      </c>
      <c r="Q565" s="4" t="s">
        <v>2234</v>
      </c>
      <c r="R565" s="4" t="s">
        <v>2158</v>
      </c>
      <c r="S565" s="4" t="s">
        <v>2235</v>
      </c>
      <c r="T565" s="4" t="s">
        <v>786</v>
      </c>
    </row>
    <row r="566" spans="1:20" customFormat="1">
      <c r="A566" s="10"/>
      <c r="B566" s="4"/>
      <c r="C566" s="4"/>
      <c r="D566" s="133" t="s">
        <v>676</v>
      </c>
      <c r="E566" s="664" t="str">
        <f>+VLOOKUP(F566,Resumen_Base!$C$8:$G$287,5,0)</f>
        <v>Guides</v>
      </c>
      <c r="F566" s="152" t="s">
        <v>323</v>
      </c>
      <c r="G566" s="4" t="s">
        <v>324</v>
      </c>
      <c r="H566" s="4" t="str">
        <f t="shared" si="8"/>
        <v>CAR5227</v>
      </c>
      <c r="I566" s="196">
        <v>2832.4</v>
      </c>
      <c r="J566" s="196">
        <v>1.94</v>
      </c>
      <c r="K566" s="196">
        <v>1460</v>
      </c>
      <c r="L566" s="454" t="s">
        <v>1049</v>
      </c>
      <c r="M566" s="4" t="s">
        <v>780</v>
      </c>
      <c r="N566" s="133" t="s">
        <v>1407</v>
      </c>
      <c r="O566" s="4" t="s">
        <v>2233</v>
      </c>
      <c r="P566" s="4" t="s">
        <v>892</v>
      </c>
      <c r="Q566" s="4" t="s">
        <v>2234</v>
      </c>
      <c r="R566" s="4" t="s">
        <v>1515</v>
      </c>
      <c r="S566" s="4" t="s">
        <v>2235</v>
      </c>
      <c r="T566" s="4" t="s">
        <v>786</v>
      </c>
    </row>
    <row r="567" spans="1:20" customFormat="1">
      <c r="A567" s="10"/>
      <c r="B567" s="4"/>
      <c r="C567" s="4"/>
      <c r="D567" s="133" t="s">
        <v>676</v>
      </c>
      <c r="E567" s="664" t="str">
        <f>+VLOOKUP(F567,Resumen_Base!$C$8:$G$287,5,0)</f>
        <v>Guides</v>
      </c>
      <c r="F567" s="152" t="s">
        <v>323</v>
      </c>
      <c r="G567" s="4" t="s">
        <v>324</v>
      </c>
      <c r="H567" s="4" t="str">
        <f t="shared" si="8"/>
        <v>CAR5227</v>
      </c>
      <c r="I567" s="196">
        <v>254886.8</v>
      </c>
      <c r="J567" s="196">
        <v>174.58</v>
      </c>
      <c r="K567" s="196">
        <v>1460</v>
      </c>
      <c r="L567" s="454" t="s">
        <v>1049</v>
      </c>
      <c r="M567" s="4" t="s">
        <v>780</v>
      </c>
      <c r="N567" s="133" t="s">
        <v>1407</v>
      </c>
      <c r="O567" s="4" t="s">
        <v>2233</v>
      </c>
      <c r="P567" s="4" t="s">
        <v>892</v>
      </c>
      <c r="Q567" s="4" t="s">
        <v>2234</v>
      </c>
      <c r="R567" s="4" t="s">
        <v>2142</v>
      </c>
      <c r="S567" s="4" t="s">
        <v>2235</v>
      </c>
      <c r="T567" s="4" t="s">
        <v>786</v>
      </c>
    </row>
    <row r="568" spans="1:20" customFormat="1">
      <c r="A568" s="10"/>
      <c r="B568" s="4"/>
      <c r="C568" s="4"/>
      <c r="D568" s="133" t="s">
        <v>676</v>
      </c>
      <c r="E568" s="664" t="str">
        <f>+VLOOKUP(F568,Resumen_Base!$C$8:$G$287,5,0)</f>
        <v>Guides</v>
      </c>
      <c r="F568" s="152" t="s">
        <v>323</v>
      </c>
      <c r="G568" s="4" t="s">
        <v>324</v>
      </c>
      <c r="H568" s="4" t="str">
        <f t="shared" si="8"/>
        <v>CAR5227</v>
      </c>
      <c r="I568" s="196">
        <v>1874202</v>
      </c>
      <c r="J568" s="196">
        <v>1283.7</v>
      </c>
      <c r="K568" s="196">
        <v>1460</v>
      </c>
      <c r="L568" s="454" t="s">
        <v>1049</v>
      </c>
      <c r="M568" s="4" t="s">
        <v>780</v>
      </c>
      <c r="N568" s="133" t="s">
        <v>1407</v>
      </c>
      <c r="O568" s="4" t="s">
        <v>2233</v>
      </c>
      <c r="P568" s="4" t="s">
        <v>892</v>
      </c>
      <c r="Q568" s="4" t="s">
        <v>2234</v>
      </c>
      <c r="R568" s="4" t="s">
        <v>2135</v>
      </c>
      <c r="S568" s="4" t="s">
        <v>2235</v>
      </c>
      <c r="T568" s="4" t="s">
        <v>786</v>
      </c>
    </row>
    <row r="569" spans="1:20" customFormat="1">
      <c r="A569" s="10"/>
      <c r="B569" s="4"/>
      <c r="C569" s="4"/>
      <c r="D569" s="133" t="s">
        <v>676</v>
      </c>
      <c r="E569" s="664" t="str">
        <f>+VLOOKUP(F569,Resumen_Base!$C$8:$G$287,5,0)</f>
        <v>Guides</v>
      </c>
      <c r="F569" s="152" t="s">
        <v>323</v>
      </c>
      <c r="G569" s="4" t="s">
        <v>324</v>
      </c>
      <c r="H569" s="4" t="str">
        <f t="shared" si="8"/>
        <v>CAR5227</v>
      </c>
      <c r="I569" s="196">
        <v>3748389.4</v>
      </c>
      <c r="J569" s="196">
        <v>2567.39</v>
      </c>
      <c r="K569" s="196">
        <v>1460</v>
      </c>
      <c r="L569" s="454" t="s">
        <v>1049</v>
      </c>
      <c r="M569" s="4" t="s">
        <v>780</v>
      </c>
      <c r="N569" s="133" t="s">
        <v>1407</v>
      </c>
      <c r="O569" s="4" t="s">
        <v>2233</v>
      </c>
      <c r="P569" s="4" t="s">
        <v>892</v>
      </c>
      <c r="Q569" s="4" t="s">
        <v>2234</v>
      </c>
      <c r="R569" s="4" t="s">
        <v>2137</v>
      </c>
      <c r="S569" s="4" t="s">
        <v>2235</v>
      </c>
      <c r="T569" s="4" t="s">
        <v>786</v>
      </c>
    </row>
    <row r="570" spans="1:20" customFormat="1">
      <c r="A570" s="10"/>
      <c r="B570" s="4"/>
      <c r="C570" s="4"/>
      <c r="D570" s="133" t="s">
        <v>676</v>
      </c>
      <c r="E570" s="664" t="str">
        <f>+VLOOKUP(F570,Resumen_Base!$C$8:$G$287,5,0)</f>
        <v>Guides</v>
      </c>
      <c r="F570" s="152" t="s">
        <v>323</v>
      </c>
      <c r="G570" s="4" t="s">
        <v>324</v>
      </c>
      <c r="H570" s="4" t="str">
        <f t="shared" si="8"/>
        <v>CAR5227</v>
      </c>
      <c r="I570" s="196">
        <v>446059.2</v>
      </c>
      <c r="J570" s="196">
        <v>305.52</v>
      </c>
      <c r="K570" s="196">
        <v>1460</v>
      </c>
      <c r="L570" s="454" t="s">
        <v>1049</v>
      </c>
      <c r="M570" s="4" t="s">
        <v>780</v>
      </c>
      <c r="N570" s="133" t="s">
        <v>1407</v>
      </c>
      <c r="O570" s="4" t="s">
        <v>2233</v>
      </c>
      <c r="P570" s="4" t="s">
        <v>892</v>
      </c>
      <c r="Q570" s="4" t="s">
        <v>2234</v>
      </c>
      <c r="R570" s="4" t="s">
        <v>2140</v>
      </c>
      <c r="S570" s="4" t="s">
        <v>2235</v>
      </c>
      <c r="T570" s="4" t="s">
        <v>786</v>
      </c>
    </row>
    <row r="571" spans="1:20" customFormat="1">
      <c r="A571" s="10"/>
      <c r="B571" s="4"/>
      <c r="C571" s="4"/>
      <c r="D571" s="133" t="s">
        <v>676</v>
      </c>
      <c r="E571" s="664" t="str">
        <f>+VLOOKUP(F571,Resumen_Base!$C$8:$G$287,5,0)</f>
        <v>Guides</v>
      </c>
      <c r="F571" s="152" t="s">
        <v>323</v>
      </c>
      <c r="G571" s="4" t="s">
        <v>324</v>
      </c>
      <c r="H571" s="4" t="str">
        <f t="shared" si="8"/>
        <v>CAR5227</v>
      </c>
      <c r="I571" s="196">
        <v>2832.4</v>
      </c>
      <c r="J571" s="196">
        <v>1.94</v>
      </c>
      <c r="K571" s="196">
        <v>1460</v>
      </c>
      <c r="L571" s="454" t="s">
        <v>1049</v>
      </c>
      <c r="M571" s="4" t="s">
        <v>780</v>
      </c>
      <c r="N571" s="133" t="s">
        <v>1407</v>
      </c>
      <c r="O571" s="4" t="s">
        <v>2233</v>
      </c>
      <c r="P571" s="4" t="s">
        <v>892</v>
      </c>
      <c r="Q571" s="4" t="s">
        <v>2234</v>
      </c>
      <c r="R571" s="4" t="s">
        <v>1515</v>
      </c>
      <c r="S571" s="4" t="s">
        <v>2235</v>
      </c>
      <c r="T571" s="4" t="s">
        <v>786</v>
      </c>
    </row>
    <row r="572" spans="1:20" customFormat="1">
      <c r="A572" s="10"/>
      <c r="B572" s="4"/>
      <c r="C572" s="4"/>
      <c r="D572" s="133" t="s">
        <v>676</v>
      </c>
      <c r="E572" s="664" t="str">
        <f>+VLOOKUP(F572,Resumen_Base!$C$8:$G$287,5,0)</f>
        <v>Guides</v>
      </c>
      <c r="F572" s="152" t="s">
        <v>323</v>
      </c>
      <c r="G572" s="4" t="s">
        <v>324</v>
      </c>
      <c r="H572" s="4" t="str">
        <f t="shared" si="8"/>
        <v>CAR5227</v>
      </c>
      <c r="I572" s="196">
        <v>2169311.7999999998</v>
      </c>
      <c r="J572" s="196">
        <v>1485.83</v>
      </c>
      <c r="K572" s="196">
        <v>1460</v>
      </c>
      <c r="L572" s="454" t="s">
        <v>1049</v>
      </c>
      <c r="M572" s="4" t="s">
        <v>780</v>
      </c>
      <c r="N572" s="133" t="s">
        <v>1407</v>
      </c>
      <c r="O572" s="4" t="s">
        <v>2233</v>
      </c>
      <c r="P572" s="4" t="s">
        <v>892</v>
      </c>
      <c r="Q572" s="4" t="s">
        <v>2234</v>
      </c>
      <c r="R572" s="4" t="s">
        <v>2133</v>
      </c>
      <c r="S572" s="4" t="s">
        <v>2235</v>
      </c>
      <c r="T572" s="4" t="s">
        <v>786</v>
      </c>
    </row>
    <row r="573" spans="1:20" customFormat="1">
      <c r="A573" s="10"/>
      <c r="B573" s="4"/>
      <c r="C573" s="4"/>
      <c r="D573" s="133" t="s">
        <v>676</v>
      </c>
      <c r="E573" s="664" t="str">
        <f>+VLOOKUP(F573,Resumen_Base!$C$8:$G$287,5,0)</f>
        <v>Guides</v>
      </c>
      <c r="F573" s="152" t="s">
        <v>323</v>
      </c>
      <c r="G573" s="4" t="s">
        <v>324</v>
      </c>
      <c r="H573" s="4" t="str">
        <f t="shared" si="8"/>
        <v>CAR5227</v>
      </c>
      <c r="I573" s="196">
        <v>2832.4</v>
      </c>
      <c r="J573" s="196">
        <v>1.94</v>
      </c>
      <c r="K573" s="196">
        <v>1460</v>
      </c>
      <c r="L573" s="454" t="s">
        <v>1049</v>
      </c>
      <c r="M573" s="4" t="s">
        <v>780</v>
      </c>
      <c r="N573" s="133" t="s">
        <v>1407</v>
      </c>
      <c r="O573" s="4" t="s">
        <v>2233</v>
      </c>
      <c r="P573" s="4" t="s">
        <v>892</v>
      </c>
      <c r="Q573" s="4" t="s">
        <v>2234</v>
      </c>
      <c r="R573" s="4" t="s">
        <v>1515</v>
      </c>
      <c r="S573" s="4" t="s">
        <v>2235</v>
      </c>
      <c r="T573" s="4" t="s">
        <v>786</v>
      </c>
    </row>
    <row r="574" spans="1:20" customFormat="1">
      <c r="A574" s="10"/>
      <c r="B574" s="4"/>
      <c r="C574" s="4"/>
      <c r="D574" s="133" t="s">
        <v>676</v>
      </c>
      <c r="E574" s="664" t="str">
        <f>+VLOOKUP(F574,Resumen_Base!$C$8:$G$287,5,0)</f>
        <v>Guides</v>
      </c>
      <c r="F574" s="152" t="s">
        <v>323</v>
      </c>
      <c r="G574" s="4" t="s">
        <v>324</v>
      </c>
      <c r="H574" s="4" t="str">
        <f t="shared" si="8"/>
        <v>CAR5227</v>
      </c>
      <c r="I574" s="196">
        <v>2832.4</v>
      </c>
      <c r="J574" s="196">
        <v>1.94</v>
      </c>
      <c r="K574" s="196">
        <v>1460</v>
      </c>
      <c r="L574" s="454" t="s">
        <v>1049</v>
      </c>
      <c r="M574" s="4" t="s">
        <v>780</v>
      </c>
      <c r="N574" s="133" t="s">
        <v>1407</v>
      </c>
      <c r="O574" s="4" t="s">
        <v>2236</v>
      </c>
      <c r="P574" s="4" t="s">
        <v>892</v>
      </c>
      <c r="Q574" s="4" t="s">
        <v>2237</v>
      </c>
      <c r="R574" s="4" t="s">
        <v>1515</v>
      </c>
      <c r="S574" s="4" t="s">
        <v>2238</v>
      </c>
      <c r="T574" s="4" t="s">
        <v>786</v>
      </c>
    </row>
    <row r="575" spans="1:20" customFormat="1">
      <c r="A575" s="10"/>
      <c r="B575" s="4"/>
      <c r="C575" s="4"/>
      <c r="D575" s="133" t="s">
        <v>676</v>
      </c>
      <c r="E575" s="664" t="str">
        <f>+VLOOKUP(F575,Resumen_Base!$C$8:$G$287,5,0)</f>
        <v>Guides</v>
      </c>
      <c r="F575" s="152" t="s">
        <v>323</v>
      </c>
      <c r="G575" s="4" t="s">
        <v>324</v>
      </c>
      <c r="H575" s="4" t="str">
        <f t="shared" si="8"/>
        <v>CAR5227</v>
      </c>
      <c r="I575" s="196">
        <v>446059.2</v>
      </c>
      <c r="J575" s="196">
        <v>305.52</v>
      </c>
      <c r="K575" s="196">
        <v>1460</v>
      </c>
      <c r="L575" s="454" t="s">
        <v>1049</v>
      </c>
      <c r="M575" s="4" t="s">
        <v>780</v>
      </c>
      <c r="N575" s="133" t="s">
        <v>1407</v>
      </c>
      <c r="O575" s="4" t="s">
        <v>2236</v>
      </c>
      <c r="P575" s="4" t="s">
        <v>892</v>
      </c>
      <c r="Q575" s="4" t="s">
        <v>2237</v>
      </c>
      <c r="R575" s="4" t="s">
        <v>2145</v>
      </c>
      <c r="S575" s="4" t="s">
        <v>2238</v>
      </c>
      <c r="T575" s="4" t="s">
        <v>786</v>
      </c>
    </row>
    <row r="576" spans="1:20" customFormat="1">
      <c r="A576" s="10"/>
      <c r="B576" s="4"/>
      <c r="C576" s="4"/>
      <c r="D576" s="133" t="s">
        <v>676</v>
      </c>
      <c r="E576" s="664" t="str">
        <f>+VLOOKUP(F576,Resumen_Base!$C$8:$G$287,5,0)</f>
        <v>Guides</v>
      </c>
      <c r="F576" s="152" t="s">
        <v>323</v>
      </c>
      <c r="G576" s="4" t="s">
        <v>324</v>
      </c>
      <c r="H576" s="4" t="str">
        <f t="shared" si="8"/>
        <v>CAR5227</v>
      </c>
      <c r="I576" s="196">
        <v>2832.4</v>
      </c>
      <c r="J576" s="196">
        <v>1.94</v>
      </c>
      <c r="K576" s="196">
        <v>1460</v>
      </c>
      <c r="L576" s="454" t="s">
        <v>1049</v>
      </c>
      <c r="M576" s="4" t="s">
        <v>780</v>
      </c>
      <c r="N576" s="133" t="s">
        <v>1407</v>
      </c>
      <c r="O576" s="4" t="s">
        <v>2236</v>
      </c>
      <c r="P576" s="4" t="s">
        <v>892</v>
      </c>
      <c r="Q576" s="4" t="s">
        <v>2237</v>
      </c>
      <c r="R576" s="4" t="s">
        <v>1515</v>
      </c>
      <c r="S576" s="4" t="s">
        <v>2238</v>
      </c>
      <c r="T576" s="4" t="s">
        <v>786</v>
      </c>
    </row>
    <row r="577" spans="1:20" customFormat="1">
      <c r="A577" s="10"/>
      <c r="B577" s="4"/>
      <c r="C577" s="4"/>
      <c r="D577" s="133" t="s">
        <v>676</v>
      </c>
      <c r="E577" s="664" t="str">
        <f>+VLOOKUP(F577,Resumen_Base!$C$8:$G$287,5,0)</f>
        <v>Guides</v>
      </c>
      <c r="F577" s="152" t="s">
        <v>323</v>
      </c>
      <c r="G577" s="4" t="s">
        <v>324</v>
      </c>
      <c r="H577" s="4" t="str">
        <f t="shared" si="8"/>
        <v>CAR5227</v>
      </c>
      <c r="I577" s="196">
        <v>85278.6</v>
      </c>
      <c r="J577" s="196">
        <v>58.41</v>
      </c>
      <c r="K577" s="196">
        <v>1460</v>
      </c>
      <c r="L577" s="454" t="s">
        <v>1049</v>
      </c>
      <c r="M577" s="4" t="s">
        <v>780</v>
      </c>
      <c r="N577" s="133" t="s">
        <v>1407</v>
      </c>
      <c r="O577" s="4" t="s">
        <v>2236</v>
      </c>
      <c r="P577" s="4" t="s">
        <v>892</v>
      </c>
      <c r="Q577" s="4" t="s">
        <v>2237</v>
      </c>
      <c r="R577" s="4" t="s">
        <v>2144</v>
      </c>
      <c r="S577" s="4" t="s">
        <v>2238</v>
      </c>
      <c r="T577" s="4" t="s">
        <v>786</v>
      </c>
    </row>
    <row r="578" spans="1:20" customFormat="1">
      <c r="A578" s="10"/>
      <c r="B578" s="4"/>
      <c r="C578" s="4"/>
      <c r="D578" s="133" t="s">
        <v>676</v>
      </c>
      <c r="E578" s="664" t="str">
        <f>+VLOOKUP(F578,Resumen_Base!$C$8:$G$287,5,0)</f>
        <v>Guides</v>
      </c>
      <c r="F578" s="152" t="s">
        <v>323</v>
      </c>
      <c r="G578" s="4" t="s">
        <v>324</v>
      </c>
      <c r="H578" s="4" t="str">
        <f t="shared" si="8"/>
        <v>CAR5227</v>
      </c>
      <c r="I578" s="196">
        <v>446059.2</v>
      </c>
      <c r="J578" s="196">
        <v>305.52</v>
      </c>
      <c r="K578" s="196">
        <v>1460</v>
      </c>
      <c r="L578" s="454" t="s">
        <v>1049</v>
      </c>
      <c r="M578" s="4" t="s">
        <v>780</v>
      </c>
      <c r="N578" s="133" t="s">
        <v>1407</v>
      </c>
      <c r="O578" s="4" t="s">
        <v>2236</v>
      </c>
      <c r="P578" s="4" t="s">
        <v>892</v>
      </c>
      <c r="Q578" s="4" t="s">
        <v>2237</v>
      </c>
      <c r="R578" s="4" t="s">
        <v>2140</v>
      </c>
      <c r="S578" s="4" t="s">
        <v>2238</v>
      </c>
      <c r="T578" s="4" t="s">
        <v>786</v>
      </c>
    </row>
    <row r="579" spans="1:20" customFormat="1">
      <c r="A579" s="10"/>
      <c r="B579" s="4"/>
      <c r="C579" s="4"/>
      <c r="D579" s="133" t="s">
        <v>676</v>
      </c>
      <c r="E579" s="664" t="str">
        <f>+VLOOKUP(F579,Resumen_Base!$C$8:$G$287,5,0)</f>
        <v>Guides</v>
      </c>
      <c r="F579" s="152" t="s">
        <v>323</v>
      </c>
      <c r="G579" s="4" t="s">
        <v>324</v>
      </c>
      <c r="H579" s="4" t="str">
        <f t="shared" si="8"/>
        <v>CAR5227</v>
      </c>
      <c r="I579" s="196">
        <v>2832.4</v>
      </c>
      <c r="J579" s="196">
        <v>1.94</v>
      </c>
      <c r="K579" s="196">
        <v>1460</v>
      </c>
      <c r="L579" s="454" t="s">
        <v>1049</v>
      </c>
      <c r="M579" s="4" t="s">
        <v>780</v>
      </c>
      <c r="N579" s="133" t="s">
        <v>1407</v>
      </c>
      <c r="O579" s="4" t="s">
        <v>2236</v>
      </c>
      <c r="P579" s="4" t="s">
        <v>892</v>
      </c>
      <c r="Q579" s="4" t="s">
        <v>2237</v>
      </c>
      <c r="R579" s="4" t="s">
        <v>1515</v>
      </c>
      <c r="S579" s="4" t="s">
        <v>2238</v>
      </c>
      <c r="T579" s="4" t="s">
        <v>786</v>
      </c>
    </row>
    <row r="580" spans="1:20" customFormat="1">
      <c r="A580" s="10"/>
      <c r="B580" s="4"/>
      <c r="C580" s="4"/>
      <c r="D580" s="133" t="s">
        <v>676</v>
      </c>
      <c r="E580" s="664" t="str">
        <f>+VLOOKUP(F580,Resumen_Base!$C$8:$G$287,5,0)</f>
        <v>Guides</v>
      </c>
      <c r="F580" s="152" t="s">
        <v>323</v>
      </c>
      <c r="G580" s="4" t="s">
        <v>324</v>
      </c>
      <c r="H580" s="4" t="str">
        <f t="shared" si="8"/>
        <v>CAR5227</v>
      </c>
      <c r="I580" s="196">
        <v>2832.4</v>
      </c>
      <c r="J580" s="196">
        <v>1.94</v>
      </c>
      <c r="K580" s="196">
        <v>1460</v>
      </c>
      <c r="L580" s="454" t="s">
        <v>1049</v>
      </c>
      <c r="M580" s="4" t="s">
        <v>780</v>
      </c>
      <c r="N580" s="133" t="s">
        <v>1407</v>
      </c>
      <c r="O580" s="4" t="s">
        <v>2236</v>
      </c>
      <c r="P580" s="4" t="s">
        <v>892</v>
      </c>
      <c r="Q580" s="4" t="s">
        <v>2237</v>
      </c>
      <c r="R580" s="4" t="s">
        <v>1515</v>
      </c>
      <c r="S580" s="4" t="s">
        <v>2238</v>
      </c>
      <c r="T580" s="4" t="s">
        <v>786</v>
      </c>
    </row>
    <row r="581" spans="1:20" customFormat="1">
      <c r="A581" s="10"/>
      <c r="B581" s="4"/>
      <c r="C581" s="4"/>
      <c r="D581" s="133" t="s">
        <v>676</v>
      </c>
      <c r="E581" s="664" t="str">
        <f>+VLOOKUP(F581,Resumen_Base!$C$8:$G$287,5,0)</f>
        <v>Guides</v>
      </c>
      <c r="F581" s="152" t="s">
        <v>323</v>
      </c>
      <c r="G581" s="4" t="s">
        <v>324</v>
      </c>
      <c r="H581" s="4" t="str">
        <f t="shared" si="8"/>
        <v>CAR5227</v>
      </c>
      <c r="I581" s="196">
        <v>2169311.7999999998</v>
      </c>
      <c r="J581" s="196">
        <v>1485.83</v>
      </c>
      <c r="K581" s="196">
        <v>1460</v>
      </c>
      <c r="L581" s="454" t="s">
        <v>1049</v>
      </c>
      <c r="M581" s="4" t="s">
        <v>780</v>
      </c>
      <c r="N581" s="133" t="s">
        <v>1407</v>
      </c>
      <c r="O581" s="4" t="s">
        <v>2236</v>
      </c>
      <c r="P581" s="4" t="s">
        <v>892</v>
      </c>
      <c r="Q581" s="4" t="s">
        <v>2237</v>
      </c>
      <c r="R581" s="4" t="s">
        <v>2133</v>
      </c>
      <c r="S581" s="4" t="s">
        <v>2238</v>
      </c>
      <c r="T581" s="4" t="s">
        <v>786</v>
      </c>
    </row>
    <row r="582" spans="1:20" customFormat="1">
      <c r="A582" s="10"/>
      <c r="B582" s="4"/>
      <c r="C582" s="4"/>
      <c r="D582" s="133" t="s">
        <v>676</v>
      </c>
      <c r="E582" s="664" t="str">
        <f>+VLOOKUP(F582,Resumen_Base!$C$8:$G$287,5,0)</f>
        <v>Guides</v>
      </c>
      <c r="F582" s="152" t="s">
        <v>323</v>
      </c>
      <c r="G582" s="4" t="s">
        <v>324</v>
      </c>
      <c r="H582" s="4" t="str">
        <f t="shared" si="8"/>
        <v>CAR5227</v>
      </c>
      <c r="I582" s="196">
        <v>1124521.2</v>
      </c>
      <c r="J582" s="196">
        <v>770.22</v>
      </c>
      <c r="K582" s="196">
        <v>1460</v>
      </c>
      <c r="L582" s="454" t="s">
        <v>1049</v>
      </c>
      <c r="M582" s="4" t="s">
        <v>780</v>
      </c>
      <c r="N582" s="133" t="s">
        <v>1407</v>
      </c>
      <c r="O582" s="4" t="s">
        <v>2236</v>
      </c>
      <c r="P582" s="4" t="s">
        <v>892</v>
      </c>
      <c r="Q582" s="4" t="s">
        <v>2237</v>
      </c>
      <c r="R582" s="4" t="s">
        <v>2131</v>
      </c>
      <c r="S582" s="4" t="s">
        <v>2238</v>
      </c>
      <c r="T582" s="4" t="s">
        <v>786</v>
      </c>
    </row>
    <row r="583" spans="1:20" customFormat="1">
      <c r="A583" s="10"/>
      <c r="B583" s="4"/>
      <c r="C583" s="4"/>
      <c r="D583" s="133" t="s">
        <v>676</v>
      </c>
      <c r="E583" s="664" t="str">
        <f>+VLOOKUP(F583,Resumen_Base!$C$8:$G$287,5,0)</f>
        <v>Guides</v>
      </c>
      <c r="F583" s="152" t="s">
        <v>323</v>
      </c>
      <c r="G583" s="4" t="s">
        <v>324</v>
      </c>
      <c r="H583" s="4" t="str">
        <f t="shared" si="8"/>
        <v>CAR5227</v>
      </c>
      <c r="I583" s="196">
        <v>2832.4</v>
      </c>
      <c r="J583" s="196">
        <v>1.94</v>
      </c>
      <c r="K583" s="196">
        <v>1460</v>
      </c>
      <c r="L583" s="454" t="s">
        <v>1049</v>
      </c>
      <c r="M583" s="4" t="s">
        <v>780</v>
      </c>
      <c r="N583" s="133" t="s">
        <v>1407</v>
      </c>
      <c r="O583" s="4" t="s">
        <v>2236</v>
      </c>
      <c r="P583" s="4" t="s">
        <v>892</v>
      </c>
      <c r="Q583" s="4" t="s">
        <v>2237</v>
      </c>
      <c r="R583" s="4" t="s">
        <v>1515</v>
      </c>
      <c r="S583" s="4" t="s">
        <v>2238</v>
      </c>
      <c r="T583" s="4" t="s">
        <v>786</v>
      </c>
    </row>
    <row r="584" spans="1:20" customFormat="1">
      <c r="A584" s="10"/>
      <c r="B584" s="4"/>
      <c r="C584" s="4"/>
      <c r="D584" s="133" t="s">
        <v>676</v>
      </c>
      <c r="E584" s="664" t="str">
        <f>+VLOOKUP(F584,Resumen_Base!$C$8:$G$287,5,0)</f>
        <v>Guides</v>
      </c>
      <c r="F584" s="152" t="s">
        <v>323</v>
      </c>
      <c r="G584" s="4" t="s">
        <v>324</v>
      </c>
      <c r="H584" s="4" t="str">
        <f t="shared" si="8"/>
        <v>CAR5227</v>
      </c>
      <c r="I584" s="196">
        <v>509788.2</v>
      </c>
      <c r="J584" s="196">
        <v>349.17</v>
      </c>
      <c r="K584" s="196">
        <v>1460</v>
      </c>
      <c r="L584" s="454" t="s">
        <v>1049</v>
      </c>
      <c r="M584" s="4" t="s">
        <v>780</v>
      </c>
      <c r="N584" s="133" t="s">
        <v>1407</v>
      </c>
      <c r="O584" s="4" t="s">
        <v>2236</v>
      </c>
      <c r="P584" s="4" t="s">
        <v>892</v>
      </c>
      <c r="Q584" s="4" t="s">
        <v>2237</v>
      </c>
      <c r="R584" s="4" t="s">
        <v>2149</v>
      </c>
      <c r="S584" s="4" t="s">
        <v>2238</v>
      </c>
      <c r="T584" s="4" t="s">
        <v>786</v>
      </c>
    </row>
    <row r="585" spans="1:20" customFormat="1">
      <c r="A585" s="10"/>
      <c r="B585" s="4"/>
      <c r="C585" s="4"/>
      <c r="D585" s="133" t="s">
        <v>676</v>
      </c>
      <c r="E585" s="664" t="str">
        <f>+VLOOKUP(F585,Resumen_Base!$C$8:$G$287,5,0)</f>
        <v>Guides</v>
      </c>
      <c r="F585" s="152" t="s">
        <v>323</v>
      </c>
      <c r="G585" s="4" t="s">
        <v>324</v>
      </c>
      <c r="H585" s="4" t="str">
        <f t="shared" si="8"/>
        <v>CAR5227</v>
      </c>
      <c r="I585" s="196">
        <v>2832.4</v>
      </c>
      <c r="J585" s="196">
        <v>1.94</v>
      </c>
      <c r="K585" s="196">
        <v>1460</v>
      </c>
      <c r="L585" s="454" t="s">
        <v>1049</v>
      </c>
      <c r="M585" s="4" t="s">
        <v>780</v>
      </c>
      <c r="N585" s="133" t="s">
        <v>1407</v>
      </c>
      <c r="O585" s="4" t="s">
        <v>2236</v>
      </c>
      <c r="P585" s="4" t="s">
        <v>892</v>
      </c>
      <c r="Q585" s="4" t="s">
        <v>2237</v>
      </c>
      <c r="R585" s="4" t="s">
        <v>1515</v>
      </c>
      <c r="S585" s="4" t="s">
        <v>2238</v>
      </c>
      <c r="T585" s="4" t="s">
        <v>786</v>
      </c>
    </row>
    <row r="586" spans="1:20" customFormat="1">
      <c r="A586" s="10"/>
      <c r="B586" s="4"/>
      <c r="C586" s="4"/>
      <c r="D586" s="133" t="s">
        <v>676</v>
      </c>
      <c r="E586" s="664" t="str">
        <f>+VLOOKUP(F586,Resumen_Base!$C$8:$G$287,5,0)</f>
        <v>Guides</v>
      </c>
      <c r="F586" s="152" t="s">
        <v>323</v>
      </c>
      <c r="G586" s="4" t="s">
        <v>324</v>
      </c>
      <c r="H586" s="4" t="str">
        <f t="shared" si="8"/>
        <v>CAR5227</v>
      </c>
      <c r="I586" s="196">
        <v>1874202</v>
      </c>
      <c r="J586" s="196">
        <v>1283.7</v>
      </c>
      <c r="K586" s="196">
        <v>1460</v>
      </c>
      <c r="L586" s="454" t="s">
        <v>1049</v>
      </c>
      <c r="M586" s="4" t="s">
        <v>780</v>
      </c>
      <c r="N586" s="133" t="s">
        <v>1407</v>
      </c>
      <c r="O586" s="4" t="s">
        <v>2236</v>
      </c>
      <c r="P586" s="4" t="s">
        <v>892</v>
      </c>
      <c r="Q586" s="4" t="s">
        <v>2237</v>
      </c>
      <c r="R586" s="4" t="s">
        <v>2135</v>
      </c>
      <c r="S586" s="4" t="s">
        <v>2238</v>
      </c>
      <c r="T586" s="4" t="s">
        <v>786</v>
      </c>
    </row>
    <row r="587" spans="1:20" customFormat="1">
      <c r="A587" s="10"/>
      <c r="B587" s="4"/>
      <c r="C587" s="4"/>
      <c r="D587" s="133" t="s">
        <v>676</v>
      </c>
      <c r="E587" s="664" t="str">
        <f>+VLOOKUP(F587,Resumen_Base!$C$8:$G$287,5,0)</f>
        <v>Guides</v>
      </c>
      <c r="F587" s="152" t="s">
        <v>323</v>
      </c>
      <c r="G587" s="4" t="s">
        <v>324</v>
      </c>
      <c r="H587" s="4" t="str">
        <f t="shared" si="8"/>
        <v>CAR5227</v>
      </c>
      <c r="I587" s="196">
        <v>3748389.4</v>
      </c>
      <c r="J587" s="196">
        <v>2567.39</v>
      </c>
      <c r="K587" s="196">
        <v>1460</v>
      </c>
      <c r="L587" s="454" t="s">
        <v>1049</v>
      </c>
      <c r="M587" s="4" t="s">
        <v>780</v>
      </c>
      <c r="N587" s="133" t="s">
        <v>1407</v>
      </c>
      <c r="O587" s="4" t="s">
        <v>2236</v>
      </c>
      <c r="P587" s="4" t="s">
        <v>892</v>
      </c>
      <c r="Q587" s="4" t="s">
        <v>2237</v>
      </c>
      <c r="R587" s="4" t="s">
        <v>2137</v>
      </c>
      <c r="S587" s="4" t="s">
        <v>2238</v>
      </c>
      <c r="T587" s="4" t="s">
        <v>786</v>
      </c>
    </row>
    <row r="588" spans="1:20" customFormat="1">
      <c r="A588" s="10"/>
      <c r="B588" s="4"/>
      <c r="C588" s="4"/>
      <c r="D588" s="133" t="s">
        <v>676</v>
      </c>
      <c r="E588" s="664" t="str">
        <f>+VLOOKUP(F588,Resumen_Base!$C$8:$G$287,5,0)</f>
        <v>Guides</v>
      </c>
      <c r="F588" s="152" t="s">
        <v>323</v>
      </c>
      <c r="G588" s="4" t="s">
        <v>324</v>
      </c>
      <c r="H588" s="4" t="str">
        <f t="shared" ref="H588:H651" si="9">+D588&amp;F588</f>
        <v>CAR5227</v>
      </c>
      <c r="I588" s="196">
        <v>254886.8</v>
      </c>
      <c r="J588" s="196">
        <v>174.58</v>
      </c>
      <c r="K588" s="196">
        <v>1460</v>
      </c>
      <c r="L588" s="454" t="s">
        <v>1049</v>
      </c>
      <c r="M588" s="4" t="s">
        <v>780</v>
      </c>
      <c r="N588" s="133" t="s">
        <v>1407</v>
      </c>
      <c r="O588" s="4" t="s">
        <v>2236</v>
      </c>
      <c r="P588" s="4" t="s">
        <v>892</v>
      </c>
      <c r="Q588" s="4" t="s">
        <v>2237</v>
      </c>
      <c r="R588" s="4" t="s">
        <v>2142</v>
      </c>
      <c r="S588" s="4" t="s">
        <v>2238</v>
      </c>
      <c r="T588" s="4" t="s">
        <v>786</v>
      </c>
    </row>
    <row r="589" spans="1:20" customFormat="1">
      <c r="A589" s="10"/>
      <c r="B589" s="4"/>
      <c r="C589" s="4"/>
      <c r="D589" s="133" t="s">
        <v>676</v>
      </c>
      <c r="E589" s="664" t="str">
        <f>+VLOOKUP(F589,Resumen_Base!$C$8:$G$287,5,0)</f>
        <v>Guides</v>
      </c>
      <c r="F589" s="152" t="s">
        <v>323</v>
      </c>
      <c r="G589" s="4" t="s">
        <v>324</v>
      </c>
      <c r="H589" s="4" t="str">
        <f t="shared" si="9"/>
        <v>CAR5227</v>
      </c>
      <c r="I589" s="196">
        <v>2832.4</v>
      </c>
      <c r="J589" s="196">
        <v>1.94</v>
      </c>
      <c r="K589" s="196">
        <v>1460</v>
      </c>
      <c r="L589" s="454" t="s">
        <v>1049</v>
      </c>
      <c r="M589" s="4" t="s">
        <v>780</v>
      </c>
      <c r="N589" s="133" t="s">
        <v>1407</v>
      </c>
      <c r="O589" s="4" t="s">
        <v>2236</v>
      </c>
      <c r="P589" s="4" t="s">
        <v>892</v>
      </c>
      <c r="Q589" s="4" t="s">
        <v>2237</v>
      </c>
      <c r="R589" s="4" t="s">
        <v>1515</v>
      </c>
      <c r="S589" s="4" t="s">
        <v>2238</v>
      </c>
      <c r="T589" s="4" t="s">
        <v>786</v>
      </c>
    </row>
    <row r="590" spans="1:20" customFormat="1">
      <c r="A590" s="10"/>
      <c r="B590" s="4"/>
      <c r="C590" s="4"/>
      <c r="D590" s="133" t="s">
        <v>676</v>
      </c>
      <c r="E590" s="664" t="str">
        <f>+VLOOKUP(F590,Resumen_Base!$C$8:$G$287,5,0)</f>
        <v>Guides</v>
      </c>
      <c r="F590" s="152" t="s">
        <v>323</v>
      </c>
      <c r="G590" s="4" t="s">
        <v>324</v>
      </c>
      <c r="H590" s="4" t="str">
        <f t="shared" si="9"/>
        <v>CAR5227</v>
      </c>
      <c r="I590" s="196">
        <v>715940.2</v>
      </c>
      <c r="J590" s="196">
        <v>490.37</v>
      </c>
      <c r="K590" s="196">
        <v>1460</v>
      </c>
      <c r="L590" s="454" t="s">
        <v>1049</v>
      </c>
      <c r="M590" s="4" t="s">
        <v>780</v>
      </c>
      <c r="N590" s="133" t="s">
        <v>1407</v>
      </c>
      <c r="O590" s="4" t="s">
        <v>2236</v>
      </c>
      <c r="P590" s="4" t="s">
        <v>892</v>
      </c>
      <c r="Q590" s="4" t="s">
        <v>2237</v>
      </c>
      <c r="R590" s="4" t="s">
        <v>2158</v>
      </c>
      <c r="S590" s="4" t="s">
        <v>2238</v>
      </c>
      <c r="T590" s="4" t="s">
        <v>786</v>
      </c>
    </row>
    <row r="591" spans="1:20" customFormat="1">
      <c r="A591" s="10"/>
      <c r="B591" s="4"/>
      <c r="C591" s="4"/>
      <c r="D591" s="133" t="s">
        <v>676</v>
      </c>
      <c r="E591" s="664" t="str">
        <f>+VLOOKUP(F591,Resumen_Base!$C$8:$G$287,5,0)</f>
        <v>Guides</v>
      </c>
      <c r="F591" s="152" t="s">
        <v>323</v>
      </c>
      <c r="G591" s="4" t="s">
        <v>324</v>
      </c>
      <c r="H591" s="4" t="str">
        <f t="shared" si="9"/>
        <v>CAR5227</v>
      </c>
      <c r="I591" s="196">
        <v>2832.4</v>
      </c>
      <c r="J591" s="196">
        <v>1.94</v>
      </c>
      <c r="K591" s="196">
        <v>1460</v>
      </c>
      <c r="L591" s="454" t="s">
        <v>1049</v>
      </c>
      <c r="M591" s="4" t="s">
        <v>780</v>
      </c>
      <c r="N591" s="133" t="s">
        <v>1407</v>
      </c>
      <c r="O591" s="4" t="s">
        <v>2236</v>
      </c>
      <c r="P591" s="4" t="s">
        <v>892</v>
      </c>
      <c r="Q591" s="4" t="s">
        <v>2237</v>
      </c>
      <c r="R591" s="4" t="s">
        <v>1515</v>
      </c>
      <c r="S591" s="4" t="s">
        <v>2238</v>
      </c>
      <c r="T591" s="4" t="s">
        <v>786</v>
      </c>
    </row>
    <row r="592" spans="1:20" customFormat="1">
      <c r="A592" s="10"/>
      <c r="B592" s="4"/>
      <c r="C592" s="4"/>
      <c r="D592" s="133" t="s">
        <v>676</v>
      </c>
      <c r="E592" s="664" t="str">
        <f>+VLOOKUP(F592,Resumen_Base!$C$8:$G$287,5,0)</f>
        <v>Guides</v>
      </c>
      <c r="F592" s="152" t="s">
        <v>323</v>
      </c>
      <c r="G592" s="4" t="s">
        <v>324</v>
      </c>
      <c r="H592" s="4" t="str">
        <f t="shared" si="9"/>
        <v>CAR5227</v>
      </c>
      <c r="I592" s="196">
        <v>260507.8</v>
      </c>
      <c r="J592" s="196">
        <v>178.43</v>
      </c>
      <c r="K592" s="196">
        <v>1460</v>
      </c>
      <c r="L592" s="454" t="s">
        <v>1049</v>
      </c>
      <c r="M592" s="4" t="s">
        <v>780</v>
      </c>
      <c r="N592" s="133" t="s">
        <v>1407</v>
      </c>
      <c r="O592" s="4" t="s">
        <v>2236</v>
      </c>
      <c r="P592" s="4" t="s">
        <v>892</v>
      </c>
      <c r="Q592" s="4" t="s">
        <v>2237</v>
      </c>
      <c r="R592" s="4" t="s">
        <v>2159</v>
      </c>
      <c r="S592" s="4" t="s">
        <v>2238</v>
      </c>
      <c r="T592" s="4" t="s">
        <v>786</v>
      </c>
    </row>
    <row r="593" spans="1:21" customFormat="1">
      <c r="A593" s="10"/>
      <c r="B593" s="4"/>
      <c r="C593" s="4"/>
      <c r="D593" s="133" t="s">
        <v>676</v>
      </c>
      <c r="E593" s="664" t="str">
        <f>+VLOOKUP(F593,Resumen_Base!$C$8:$G$287,5,0)</f>
        <v>Guides</v>
      </c>
      <c r="F593" s="152" t="s">
        <v>323</v>
      </c>
      <c r="G593" s="4" t="s">
        <v>324</v>
      </c>
      <c r="H593" s="4" t="str">
        <f t="shared" si="9"/>
        <v>CAR5227</v>
      </c>
      <c r="I593" s="196">
        <v>477916.4</v>
      </c>
      <c r="J593" s="196">
        <v>327.33999999999997</v>
      </c>
      <c r="K593" s="196">
        <v>1460</v>
      </c>
      <c r="L593" s="454" t="s">
        <v>1049</v>
      </c>
      <c r="M593" s="4" t="s">
        <v>780</v>
      </c>
      <c r="N593" s="133" t="s">
        <v>1407</v>
      </c>
      <c r="O593" s="4" t="s">
        <v>2236</v>
      </c>
      <c r="P593" s="4" t="s">
        <v>892</v>
      </c>
      <c r="Q593" s="4" t="s">
        <v>2237</v>
      </c>
      <c r="R593" s="4" t="s">
        <v>2147</v>
      </c>
      <c r="S593" s="4" t="s">
        <v>2238</v>
      </c>
      <c r="T593" s="4" t="s">
        <v>786</v>
      </c>
    </row>
    <row r="594" spans="1:21" customFormat="1">
      <c r="A594" s="10"/>
      <c r="B594" s="4"/>
      <c r="C594" s="4"/>
      <c r="D594" s="133" t="s">
        <v>676</v>
      </c>
      <c r="E594" s="664" t="str">
        <f>+VLOOKUP(F594,Resumen_Base!$C$8:$G$287,5,0)</f>
        <v>Guides</v>
      </c>
      <c r="F594" s="152" t="s">
        <v>323</v>
      </c>
      <c r="G594" s="4" t="s">
        <v>324</v>
      </c>
      <c r="H594" s="4" t="str">
        <f t="shared" si="9"/>
        <v>CAR5227</v>
      </c>
      <c r="I594" s="196">
        <v>2698</v>
      </c>
      <c r="J594" s="196">
        <v>1.9</v>
      </c>
      <c r="K594" s="196">
        <v>1420</v>
      </c>
      <c r="L594" s="454" t="s">
        <v>1081</v>
      </c>
      <c r="M594" s="4" t="s">
        <v>780</v>
      </c>
      <c r="N594" s="133" t="s">
        <v>1407</v>
      </c>
      <c r="O594" s="4" t="s">
        <v>2407</v>
      </c>
      <c r="P594" s="4" t="s">
        <v>892</v>
      </c>
      <c r="Q594" s="4" t="s">
        <v>2408</v>
      </c>
      <c r="R594" s="4" t="s">
        <v>1515</v>
      </c>
      <c r="S594" s="4" t="s">
        <v>2409</v>
      </c>
      <c r="T594" s="4" t="s">
        <v>786</v>
      </c>
    </row>
    <row r="595" spans="1:21" customFormat="1">
      <c r="A595" s="10"/>
      <c r="B595" s="4"/>
      <c r="C595" s="4"/>
      <c r="D595" s="133" t="s">
        <v>676</v>
      </c>
      <c r="E595" s="664" t="str">
        <f>+VLOOKUP(F595,Resumen_Base!$C$8:$G$287,5,0)</f>
        <v>Guides</v>
      </c>
      <c r="F595" s="152" t="s">
        <v>323</v>
      </c>
      <c r="G595" s="4" t="s">
        <v>324</v>
      </c>
      <c r="H595" s="4" t="str">
        <f t="shared" si="9"/>
        <v>CAR5227</v>
      </c>
      <c r="I595" s="196">
        <v>2698</v>
      </c>
      <c r="J595" s="196">
        <v>1.9</v>
      </c>
      <c r="K595" s="196">
        <v>1420</v>
      </c>
      <c r="L595" s="454" t="s">
        <v>1081</v>
      </c>
      <c r="M595" s="4" t="s">
        <v>780</v>
      </c>
      <c r="N595" s="133" t="s">
        <v>1407</v>
      </c>
      <c r="O595" s="4" t="s">
        <v>2407</v>
      </c>
      <c r="P595" s="4" t="s">
        <v>892</v>
      </c>
      <c r="Q595" s="4" t="s">
        <v>2408</v>
      </c>
      <c r="R595" s="4" t="s">
        <v>1515</v>
      </c>
      <c r="S595" s="4" t="s">
        <v>2409</v>
      </c>
      <c r="T595" s="4" t="s">
        <v>786</v>
      </c>
    </row>
    <row r="596" spans="1:21" customFormat="1">
      <c r="A596" s="10"/>
      <c r="B596" s="4"/>
      <c r="C596" s="4"/>
      <c r="D596" s="133" t="s">
        <v>676</v>
      </c>
      <c r="E596" s="664" t="str">
        <f>+VLOOKUP(F596,Resumen_Base!$C$8:$G$287,5,0)</f>
        <v>Guides</v>
      </c>
      <c r="F596" s="152" t="s">
        <v>323</v>
      </c>
      <c r="G596" s="4" t="s">
        <v>324</v>
      </c>
      <c r="H596" s="4" t="str">
        <f t="shared" si="9"/>
        <v>CAR5227</v>
      </c>
      <c r="I596" s="196">
        <v>810436.6</v>
      </c>
      <c r="J596" s="196">
        <v>570.73</v>
      </c>
      <c r="K596" s="196">
        <v>1420</v>
      </c>
      <c r="L596" s="454" t="s">
        <v>1081</v>
      </c>
      <c r="M596" s="4" t="s">
        <v>780</v>
      </c>
      <c r="N596" s="133" t="s">
        <v>1407</v>
      </c>
      <c r="O596" s="4" t="s">
        <v>2407</v>
      </c>
      <c r="P596" s="4" t="s">
        <v>892</v>
      </c>
      <c r="Q596" s="4" t="s">
        <v>2408</v>
      </c>
      <c r="R596" s="4" t="s">
        <v>2416</v>
      </c>
      <c r="S596" s="4" t="s">
        <v>2409</v>
      </c>
      <c r="T596" s="4" t="s">
        <v>786</v>
      </c>
    </row>
    <row r="597" spans="1:21" customFormat="1">
      <c r="A597" s="10"/>
      <c r="B597" s="4"/>
      <c r="C597" s="4"/>
      <c r="D597" s="133" t="s">
        <v>676</v>
      </c>
      <c r="E597" s="664" t="str">
        <f>+VLOOKUP(F597,Resumen_Base!$C$8:$G$287,5,0)</f>
        <v>Guides</v>
      </c>
      <c r="F597" s="152" t="s">
        <v>323</v>
      </c>
      <c r="G597" s="4" t="s">
        <v>324</v>
      </c>
      <c r="H597" s="4" t="str">
        <f t="shared" si="9"/>
        <v>CAR5227</v>
      </c>
      <c r="I597" s="196">
        <v>1491000</v>
      </c>
      <c r="J597" s="196">
        <v>1050</v>
      </c>
      <c r="K597" s="196">
        <v>1420</v>
      </c>
      <c r="L597" s="454" t="s">
        <v>1081</v>
      </c>
      <c r="M597" s="4" t="s">
        <v>780</v>
      </c>
      <c r="N597" s="133" t="s">
        <v>1407</v>
      </c>
      <c r="O597" s="4" t="s">
        <v>2407</v>
      </c>
      <c r="P597" s="4" t="s">
        <v>892</v>
      </c>
      <c r="Q597" s="4" t="s">
        <v>2408</v>
      </c>
      <c r="R597" s="4" t="s">
        <v>2411</v>
      </c>
      <c r="S597" s="4" t="s">
        <v>2409</v>
      </c>
      <c r="T597" s="4" t="s">
        <v>786</v>
      </c>
    </row>
    <row r="598" spans="1:21" customFormat="1">
      <c r="A598" s="10"/>
      <c r="B598" s="4"/>
      <c r="C598" s="4"/>
      <c r="D598" s="133" t="s">
        <v>676</v>
      </c>
      <c r="E598" s="664" t="str">
        <f>+VLOOKUP(F598,Resumen_Base!$C$8:$G$287,5,0)</f>
        <v>Guides</v>
      </c>
      <c r="F598" s="152" t="s">
        <v>323</v>
      </c>
      <c r="G598" s="4" t="s">
        <v>324</v>
      </c>
      <c r="H598" s="4" t="str">
        <f t="shared" si="9"/>
        <v>CAR5227</v>
      </c>
      <c r="I598" s="196">
        <v>2698</v>
      </c>
      <c r="J598" s="196">
        <v>1.9</v>
      </c>
      <c r="K598" s="196">
        <v>1420</v>
      </c>
      <c r="L598" s="454" t="s">
        <v>1113</v>
      </c>
      <c r="M598" s="4" t="s">
        <v>780</v>
      </c>
      <c r="N598" s="133" t="s">
        <v>1407</v>
      </c>
      <c r="O598" s="4" t="s">
        <v>2417</v>
      </c>
      <c r="P598" s="4" t="s">
        <v>892</v>
      </c>
      <c r="Q598" s="4" t="s">
        <v>2418</v>
      </c>
      <c r="R598" s="4" t="s">
        <v>1515</v>
      </c>
      <c r="S598" s="4" t="s">
        <v>2419</v>
      </c>
      <c r="T598" s="4" t="s">
        <v>786</v>
      </c>
    </row>
    <row r="599" spans="1:21" customFormat="1">
      <c r="A599" s="10"/>
      <c r="B599" s="4"/>
      <c r="C599" s="4"/>
      <c r="D599" s="133" t="s">
        <v>676</v>
      </c>
      <c r="E599" s="664" t="str">
        <f>+VLOOKUP(F599,Resumen_Base!$C$8:$G$287,5,0)</f>
        <v>Guides</v>
      </c>
      <c r="F599" s="152" t="s">
        <v>323</v>
      </c>
      <c r="G599" s="4" t="s">
        <v>324</v>
      </c>
      <c r="H599" s="4" t="str">
        <f t="shared" si="9"/>
        <v>CAR5227</v>
      </c>
      <c r="I599" s="196">
        <v>1491000</v>
      </c>
      <c r="J599" s="196">
        <v>1050</v>
      </c>
      <c r="K599" s="196">
        <v>1420</v>
      </c>
      <c r="L599" s="454" t="s">
        <v>1113</v>
      </c>
      <c r="M599" s="4" t="s">
        <v>780</v>
      </c>
      <c r="N599" s="133" t="s">
        <v>1407</v>
      </c>
      <c r="O599" s="4" t="s">
        <v>2417</v>
      </c>
      <c r="P599" s="4" t="s">
        <v>892</v>
      </c>
      <c r="Q599" s="4" t="s">
        <v>2418</v>
      </c>
      <c r="R599" s="4" t="s">
        <v>2422</v>
      </c>
      <c r="S599" s="4" t="s">
        <v>2419</v>
      </c>
      <c r="T599" s="4" t="s">
        <v>786</v>
      </c>
    </row>
    <row r="600" spans="1:21" s="746" customFormat="1">
      <c r="A600" s="509"/>
      <c r="B600" s="330"/>
      <c r="C600" s="330"/>
      <c r="D600" s="203" t="s">
        <v>670</v>
      </c>
      <c r="E600" s="714" t="str">
        <f>+VLOOKUP(F600,Resumen_Base!$C$8:$G$287,5,0)</f>
        <v>Manager</v>
      </c>
      <c r="F600" s="330" t="s">
        <v>325</v>
      </c>
      <c r="G600" s="330" t="s">
        <v>326</v>
      </c>
      <c r="H600" s="330" t="str">
        <f t="shared" si="9"/>
        <v>SJ5228</v>
      </c>
      <c r="I600" s="715">
        <v>1491000</v>
      </c>
      <c r="J600" s="715">
        <v>1050</v>
      </c>
      <c r="K600" s="715">
        <v>1420</v>
      </c>
      <c r="L600" s="456" t="s">
        <v>787</v>
      </c>
      <c r="M600" s="330" t="s">
        <v>780</v>
      </c>
      <c r="N600" s="203" t="s">
        <v>781</v>
      </c>
      <c r="O600" s="330" t="s">
        <v>830</v>
      </c>
      <c r="P600" s="330" t="s">
        <v>783</v>
      </c>
      <c r="Q600" s="330" t="s">
        <v>831</v>
      </c>
      <c r="R600" s="330" t="s">
        <v>848</v>
      </c>
      <c r="S600" s="330" t="s">
        <v>833</v>
      </c>
      <c r="T600" s="330" t="s">
        <v>786</v>
      </c>
    </row>
    <row r="601" spans="1:21" s="746" customFormat="1">
      <c r="A601" s="509"/>
      <c r="B601" s="330"/>
      <c r="C601" s="330"/>
      <c r="D601" s="203" t="s">
        <v>670</v>
      </c>
      <c r="E601" s="714" t="str">
        <f>+VLOOKUP(F601,Resumen_Base!$C$8:$G$287,5,0)</f>
        <v>Manager</v>
      </c>
      <c r="F601" s="330" t="s">
        <v>325</v>
      </c>
      <c r="G601" s="330" t="s">
        <v>326</v>
      </c>
      <c r="H601" s="330" t="str">
        <f t="shared" si="9"/>
        <v>SJ5228</v>
      </c>
      <c r="I601" s="715">
        <v>1936880</v>
      </c>
      <c r="J601" s="715">
        <v>1364</v>
      </c>
      <c r="K601" s="715">
        <v>1420</v>
      </c>
      <c r="L601" s="456" t="s">
        <v>787</v>
      </c>
      <c r="M601" s="330" t="s">
        <v>780</v>
      </c>
      <c r="N601" s="203" t="s">
        <v>781</v>
      </c>
      <c r="O601" s="330" t="s">
        <v>830</v>
      </c>
      <c r="P601" s="330" t="s">
        <v>783</v>
      </c>
      <c r="Q601" s="330" t="s">
        <v>831</v>
      </c>
      <c r="R601" s="330" t="s">
        <v>849</v>
      </c>
      <c r="S601" s="330" t="s">
        <v>833</v>
      </c>
      <c r="T601" s="330" t="s">
        <v>786</v>
      </c>
    </row>
    <row r="602" spans="1:21" s="746" customFormat="1">
      <c r="A602" s="747"/>
      <c r="B602" s="330"/>
      <c r="C602" s="330"/>
      <c r="D602" s="203" t="s">
        <v>670</v>
      </c>
      <c r="E602" s="714" t="str">
        <f>+VLOOKUP(F602,Resumen_Base!$C$8:$G$287,5,0)</f>
        <v>Manager</v>
      </c>
      <c r="F602" s="330" t="s">
        <v>325</v>
      </c>
      <c r="G602" s="330" t="s">
        <v>326</v>
      </c>
      <c r="H602" s="330" t="str">
        <f t="shared" si="9"/>
        <v>SJ5228</v>
      </c>
      <c r="I602" s="715">
        <v>308140</v>
      </c>
      <c r="J602" s="715">
        <v>217</v>
      </c>
      <c r="K602" s="715">
        <v>1420</v>
      </c>
      <c r="L602" s="456" t="s">
        <v>787</v>
      </c>
      <c r="M602" s="330" t="s">
        <v>780</v>
      </c>
      <c r="N602" s="203" t="s">
        <v>781</v>
      </c>
      <c r="O602" s="330" t="s">
        <v>830</v>
      </c>
      <c r="P602" s="330" t="s">
        <v>783</v>
      </c>
      <c r="Q602" s="330" t="s">
        <v>831</v>
      </c>
      <c r="R602" s="330" t="s">
        <v>839</v>
      </c>
      <c r="S602" s="330" t="s">
        <v>833</v>
      </c>
      <c r="T602" s="330" t="s">
        <v>786</v>
      </c>
      <c r="U602" s="746">
        <v>2025</v>
      </c>
    </row>
    <row r="603" spans="1:21" s="746" customFormat="1">
      <c r="A603" s="509"/>
      <c r="B603" s="330"/>
      <c r="C603" s="330"/>
      <c r="D603" s="203" t="s">
        <v>670</v>
      </c>
      <c r="E603" s="714" t="str">
        <f>+VLOOKUP(F603,Resumen_Base!$C$8:$G$287,5,0)</f>
        <v>Manager</v>
      </c>
      <c r="F603" s="330" t="s">
        <v>325</v>
      </c>
      <c r="G603" s="330" t="s">
        <v>326</v>
      </c>
      <c r="H603" s="330" t="str">
        <f t="shared" si="9"/>
        <v>SJ5228</v>
      </c>
      <c r="I603" s="715">
        <v>1228782.8</v>
      </c>
      <c r="J603" s="715">
        <v>865.34</v>
      </c>
      <c r="K603" s="715">
        <v>1420</v>
      </c>
      <c r="L603" s="456" t="s">
        <v>787</v>
      </c>
      <c r="M603" s="330" t="s">
        <v>780</v>
      </c>
      <c r="N603" s="203" t="s">
        <v>781</v>
      </c>
      <c r="O603" s="330" t="s">
        <v>830</v>
      </c>
      <c r="P603" s="330" t="s">
        <v>783</v>
      </c>
      <c r="Q603" s="330" t="s">
        <v>831</v>
      </c>
      <c r="R603" s="330" t="s">
        <v>850</v>
      </c>
      <c r="S603" s="330" t="s">
        <v>833</v>
      </c>
      <c r="T603" s="330" t="s">
        <v>786</v>
      </c>
      <c r="U603" s="746">
        <v>2025</v>
      </c>
    </row>
    <row r="604" spans="1:21" customFormat="1">
      <c r="A604" s="10"/>
      <c r="B604" s="4"/>
      <c r="C604" s="4"/>
      <c r="D604" s="133" t="s">
        <v>670</v>
      </c>
      <c r="E604" s="664" t="str">
        <f>+VLOOKUP(F604,Resumen_Base!$C$8:$G$287,5,0)</f>
        <v>Manager</v>
      </c>
      <c r="F604" s="152" t="s">
        <v>325</v>
      </c>
      <c r="G604" s="4" t="s">
        <v>326</v>
      </c>
      <c r="H604" s="4" t="str">
        <f t="shared" si="9"/>
        <v>SJ5228</v>
      </c>
      <c r="I604" s="196">
        <v>1869195.9</v>
      </c>
      <c r="J604" s="196">
        <v>1307.1300000000001</v>
      </c>
      <c r="K604" s="196">
        <v>1430</v>
      </c>
      <c r="L604" s="454" t="s">
        <v>890</v>
      </c>
      <c r="M604" s="4" t="s">
        <v>780</v>
      </c>
      <c r="N604" s="133" t="s">
        <v>781</v>
      </c>
      <c r="O604" s="4" t="s">
        <v>951</v>
      </c>
      <c r="P604" s="4" t="s">
        <v>892</v>
      </c>
      <c r="Q604" s="4" t="s">
        <v>952</v>
      </c>
      <c r="R604" s="4" t="s">
        <v>963</v>
      </c>
      <c r="S604" s="4" t="s">
        <v>954</v>
      </c>
      <c r="T604" s="4" t="s">
        <v>786</v>
      </c>
    </row>
    <row r="605" spans="1:21" customFormat="1" ht="25">
      <c r="A605" s="736" t="s">
        <v>3404</v>
      </c>
      <c r="B605" s="361" t="s">
        <v>3407</v>
      </c>
      <c r="C605" s="4"/>
      <c r="D605" s="133" t="s">
        <v>670</v>
      </c>
      <c r="E605" s="664" t="str">
        <f>+VLOOKUP(F605,Resumen_Base!$C$8:$G$287,5,0)</f>
        <v>Guides</v>
      </c>
      <c r="F605" s="607" t="s">
        <v>323</v>
      </c>
      <c r="G605" s="597" t="s">
        <v>453</v>
      </c>
      <c r="H605" s="4" t="str">
        <f t="shared" si="9"/>
        <v>SJ5227</v>
      </c>
      <c r="I605" s="196">
        <v>221349.7</v>
      </c>
      <c r="J605" s="196">
        <v>154.79</v>
      </c>
      <c r="K605" s="196">
        <v>1430</v>
      </c>
      <c r="L605" s="454" t="s">
        <v>890</v>
      </c>
      <c r="M605" s="4" t="s">
        <v>780</v>
      </c>
      <c r="N605" s="133" t="s">
        <v>781</v>
      </c>
      <c r="O605" s="4" t="s">
        <v>951</v>
      </c>
      <c r="P605" s="4" t="s">
        <v>892</v>
      </c>
      <c r="Q605" s="4" t="s">
        <v>952</v>
      </c>
      <c r="R605" s="4" t="s">
        <v>966</v>
      </c>
      <c r="S605" s="4" t="s">
        <v>954</v>
      </c>
      <c r="T605" s="4" t="s">
        <v>786</v>
      </c>
    </row>
    <row r="606" spans="1:21" customFormat="1">
      <c r="A606" s="736" t="s">
        <v>676</v>
      </c>
      <c r="B606" s="361"/>
      <c r="C606" s="4"/>
      <c r="D606" s="9" t="s">
        <v>676</v>
      </c>
      <c r="E606" s="664" t="str">
        <f>+VLOOKUP(F606,Resumen_Base!$C$8:$G$287,5,0)</f>
        <v>Manager</v>
      </c>
      <c r="F606" s="152" t="s">
        <v>325</v>
      </c>
      <c r="G606" s="4" t="s">
        <v>326</v>
      </c>
      <c r="H606" s="4" t="str">
        <f t="shared" si="9"/>
        <v>CAR5228</v>
      </c>
      <c r="I606" s="196">
        <v>1939507</v>
      </c>
      <c r="J606" s="196">
        <v>1365.85</v>
      </c>
      <c r="K606" s="196">
        <v>1420</v>
      </c>
      <c r="L606" s="454" t="s">
        <v>1098</v>
      </c>
      <c r="M606" s="4" t="s">
        <v>780</v>
      </c>
      <c r="N606" s="133" t="s">
        <v>781</v>
      </c>
      <c r="O606" s="4" t="s">
        <v>1165</v>
      </c>
      <c r="P606" s="4" t="s">
        <v>892</v>
      </c>
      <c r="Q606" s="4" t="s">
        <v>1166</v>
      </c>
      <c r="R606" s="4" t="s">
        <v>1170</v>
      </c>
      <c r="S606" s="4" t="s">
        <v>1168</v>
      </c>
      <c r="T606" s="4" t="s">
        <v>786</v>
      </c>
    </row>
    <row r="607" spans="1:21" customFormat="1">
      <c r="A607" s="736" t="s">
        <v>676</v>
      </c>
      <c r="B607" s="361"/>
      <c r="C607" s="4"/>
      <c r="D607" s="9" t="s">
        <v>676</v>
      </c>
      <c r="E607" s="664" t="str">
        <f>+VLOOKUP(F607,Resumen_Base!$C$8:$G$287,5,0)</f>
        <v>Manager</v>
      </c>
      <c r="F607" s="152" t="s">
        <v>325</v>
      </c>
      <c r="G607" s="4" t="s">
        <v>326</v>
      </c>
      <c r="H607" s="4" t="str">
        <f t="shared" si="9"/>
        <v>CAR5228</v>
      </c>
      <c r="I607" s="196">
        <v>426000</v>
      </c>
      <c r="J607" s="196">
        <v>300</v>
      </c>
      <c r="K607" s="196">
        <v>1420</v>
      </c>
      <c r="L607" s="454" t="s">
        <v>1098</v>
      </c>
      <c r="M607" s="4" t="s">
        <v>780</v>
      </c>
      <c r="N607" s="133" t="s">
        <v>781</v>
      </c>
      <c r="O607" s="4" t="s">
        <v>1175</v>
      </c>
      <c r="P607" s="4" t="s">
        <v>892</v>
      </c>
      <c r="Q607" s="4" t="s">
        <v>1176</v>
      </c>
      <c r="R607" s="4" t="s">
        <v>1182</v>
      </c>
      <c r="S607" s="4" t="s">
        <v>1178</v>
      </c>
      <c r="T607" s="4" t="s">
        <v>786</v>
      </c>
    </row>
    <row r="608" spans="1:21" customFormat="1">
      <c r="A608" s="736" t="s">
        <v>676</v>
      </c>
      <c r="B608" s="361"/>
      <c r="C608" s="4"/>
      <c r="D608" s="9" t="s">
        <v>676</v>
      </c>
      <c r="E608" s="664" t="str">
        <f>+VLOOKUP(F608,Resumen_Base!$C$8:$G$287,5,0)</f>
        <v>Manager</v>
      </c>
      <c r="F608" s="152" t="s">
        <v>325</v>
      </c>
      <c r="G608" s="4" t="s">
        <v>326</v>
      </c>
      <c r="H608" s="4" t="str">
        <f t="shared" si="9"/>
        <v>CAR5228</v>
      </c>
      <c r="I608" s="196">
        <v>2414000</v>
      </c>
      <c r="J608" s="196">
        <v>1700</v>
      </c>
      <c r="K608" s="196">
        <v>1420</v>
      </c>
      <c r="L608" s="454" t="s">
        <v>1098</v>
      </c>
      <c r="M608" s="4" t="s">
        <v>780</v>
      </c>
      <c r="N608" s="133" t="s">
        <v>781</v>
      </c>
      <c r="O608" s="4" t="s">
        <v>1175</v>
      </c>
      <c r="P608" s="4" t="s">
        <v>892</v>
      </c>
      <c r="Q608" s="4" t="s">
        <v>1176</v>
      </c>
      <c r="R608" s="4" t="s">
        <v>1179</v>
      </c>
      <c r="S608" s="4" t="s">
        <v>1178</v>
      </c>
      <c r="T608" s="4" t="s">
        <v>786</v>
      </c>
    </row>
    <row r="609" spans="1:21" customFormat="1">
      <c r="A609" s="10"/>
      <c r="B609" s="4"/>
      <c r="C609" s="4"/>
      <c r="D609" s="133" t="s">
        <v>676</v>
      </c>
      <c r="E609" s="664" t="str">
        <f>+VLOOKUP(F609,Resumen_Base!$C$8:$G$287,5,0)</f>
        <v>Manager</v>
      </c>
      <c r="F609" s="152" t="s">
        <v>325</v>
      </c>
      <c r="G609" s="4" t="s">
        <v>326</v>
      </c>
      <c r="H609" s="4" t="str">
        <f t="shared" si="9"/>
        <v>CAR5228</v>
      </c>
      <c r="I609" s="196">
        <v>1781000</v>
      </c>
      <c r="J609" s="196">
        <v>1300</v>
      </c>
      <c r="K609" s="196">
        <v>1370</v>
      </c>
      <c r="L609" s="454" t="s">
        <v>787</v>
      </c>
      <c r="M609" s="4" t="s">
        <v>780</v>
      </c>
      <c r="N609" s="133" t="s">
        <v>1407</v>
      </c>
      <c r="O609" s="4" t="s">
        <v>1446</v>
      </c>
      <c r="P609" s="4" t="s">
        <v>783</v>
      </c>
      <c r="Q609" s="4" t="s">
        <v>1447</v>
      </c>
      <c r="R609" s="4" t="s">
        <v>1466</v>
      </c>
      <c r="S609" s="4" t="s">
        <v>1449</v>
      </c>
      <c r="T609" s="4" t="s">
        <v>786</v>
      </c>
    </row>
    <row r="610" spans="1:21" s="746" customFormat="1">
      <c r="A610" s="509"/>
      <c r="B610" s="330"/>
      <c r="C610" s="330"/>
      <c r="D610" s="203" t="s">
        <v>676</v>
      </c>
      <c r="E610" s="714" t="str">
        <f>+VLOOKUP(F610,Resumen_Base!$C$8:$G$287,5,0)</f>
        <v>Manager</v>
      </c>
      <c r="F610" s="330" t="s">
        <v>325</v>
      </c>
      <c r="G610" s="330" t="s">
        <v>326</v>
      </c>
      <c r="H610" s="330" t="str">
        <f t="shared" si="9"/>
        <v>CAR5228</v>
      </c>
      <c r="I610" s="715">
        <v>1042500</v>
      </c>
      <c r="J610" s="715">
        <v>750</v>
      </c>
      <c r="K610" s="715">
        <v>1390</v>
      </c>
      <c r="L610" s="456" t="s">
        <v>899</v>
      </c>
      <c r="M610" s="330" t="s">
        <v>780</v>
      </c>
      <c r="N610" s="203" t="s">
        <v>1407</v>
      </c>
      <c r="O610" s="330" t="s">
        <v>1620</v>
      </c>
      <c r="P610" s="330" t="s">
        <v>892</v>
      </c>
      <c r="Q610" s="330" t="s">
        <v>1621</v>
      </c>
      <c r="R610" s="330" t="s">
        <v>1639</v>
      </c>
      <c r="S610" s="330" t="s">
        <v>1623</v>
      </c>
      <c r="T610" s="330" t="s">
        <v>786</v>
      </c>
      <c r="U610" s="330">
        <v>2025</v>
      </c>
    </row>
    <row r="611" spans="1:21" s="746" customFormat="1">
      <c r="A611" s="509"/>
      <c r="B611" s="330"/>
      <c r="C611" s="330"/>
      <c r="D611" s="203" t="s">
        <v>676</v>
      </c>
      <c r="E611" s="714" t="str">
        <f>+VLOOKUP(F611,Resumen_Base!$C$8:$G$287,5,0)</f>
        <v>Manager</v>
      </c>
      <c r="F611" s="330" t="s">
        <v>325</v>
      </c>
      <c r="G611" s="330" t="s">
        <v>326</v>
      </c>
      <c r="H611" s="330" t="str">
        <f t="shared" si="9"/>
        <v>CAR5228</v>
      </c>
      <c r="I611" s="715">
        <v>2556000</v>
      </c>
      <c r="J611" s="715">
        <v>1800</v>
      </c>
      <c r="K611" s="715">
        <v>1420</v>
      </c>
      <c r="L611" s="456" t="s">
        <v>899</v>
      </c>
      <c r="M611" s="330" t="s">
        <v>780</v>
      </c>
      <c r="N611" s="203" t="s">
        <v>1407</v>
      </c>
      <c r="O611" s="330" t="s">
        <v>1620</v>
      </c>
      <c r="P611" s="330" t="s">
        <v>892</v>
      </c>
      <c r="Q611" s="330" t="s">
        <v>1621</v>
      </c>
      <c r="R611" s="330" t="s">
        <v>1711</v>
      </c>
      <c r="S611" s="330" t="s">
        <v>1623</v>
      </c>
      <c r="T611" s="330" t="s">
        <v>786</v>
      </c>
      <c r="U611" s="746">
        <v>2025</v>
      </c>
    </row>
    <row r="612" spans="1:21" customFormat="1">
      <c r="A612" s="10"/>
      <c r="B612" s="4"/>
      <c r="C612" s="4"/>
      <c r="D612" s="133" t="s">
        <v>676</v>
      </c>
      <c r="E612" s="664" t="str">
        <f>+VLOOKUP(F612,Resumen_Base!$C$8:$G$287,5,0)</f>
        <v>Manager</v>
      </c>
      <c r="F612" s="152" t="s">
        <v>325</v>
      </c>
      <c r="G612" s="4" t="s">
        <v>326</v>
      </c>
      <c r="H612" s="4" t="str">
        <f t="shared" si="9"/>
        <v>CAR5228</v>
      </c>
      <c r="I612" s="196">
        <v>4170000</v>
      </c>
      <c r="J612" s="196">
        <v>3000</v>
      </c>
      <c r="K612" s="196">
        <v>1390</v>
      </c>
      <c r="L612" s="454" t="s">
        <v>899</v>
      </c>
      <c r="M612" s="4" t="s">
        <v>780</v>
      </c>
      <c r="N612" s="133" t="s">
        <v>1407</v>
      </c>
      <c r="O612" s="4" t="s">
        <v>1620</v>
      </c>
      <c r="P612" s="4" t="s">
        <v>892</v>
      </c>
      <c r="Q612" s="4" t="s">
        <v>1621</v>
      </c>
      <c r="R612" s="4" t="s">
        <v>1637</v>
      </c>
      <c r="S612" s="4" t="s">
        <v>1623</v>
      </c>
      <c r="T612" s="4" t="s">
        <v>786</v>
      </c>
    </row>
    <row r="613" spans="1:21" customFormat="1">
      <c r="A613" s="10"/>
      <c r="B613" s="4"/>
      <c r="C613" s="4"/>
      <c r="D613" s="133" t="s">
        <v>676</v>
      </c>
      <c r="E613" s="664" t="str">
        <f>+VLOOKUP(F613,Resumen_Base!$C$8:$G$287,5,0)</f>
        <v>Manager</v>
      </c>
      <c r="F613" s="152" t="s">
        <v>325</v>
      </c>
      <c r="G613" s="4" t="s">
        <v>326</v>
      </c>
      <c r="H613" s="4" t="str">
        <f t="shared" si="9"/>
        <v>CAR5228</v>
      </c>
      <c r="I613" s="196">
        <v>300000</v>
      </c>
      <c r="J613" s="196">
        <v>212.76595744680901</v>
      </c>
      <c r="K613" s="196">
        <v>1410</v>
      </c>
      <c r="L613" s="454" t="s">
        <v>919</v>
      </c>
      <c r="M613" s="4" t="s">
        <v>780</v>
      </c>
      <c r="N613" s="133" t="s">
        <v>1407</v>
      </c>
      <c r="O613" s="4" t="s">
        <v>1741</v>
      </c>
      <c r="P613" s="4" t="s">
        <v>892</v>
      </c>
      <c r="Q613" s="4" t="s">
        <v>1742</v>
      </c>
      <c r="R613" s="4" t="s">
        <v>1743</v>
      </c>
      <c r="S613" s="4" t="s">
        <v>1744</v>
      </c>
      <c r="T613" s="4" t="s">
        <v>786</v>
      </c>
    </row>
    <row r="614" spans="1:21" customFormat="1">
      <c r="A614" s="10"/>
      <c r="B614" s="4"/>
      <c r="C614" s="4"/>
      <c r="D614" s="133" t="s">
        <v>676</v>
      </c>
      <c r="E614" s="664" t="str">
        <f>+VLOOKUP(F614,Resumen_Base!$C$8:$G$287,5,0)</f>
        <v>Manager</v>
      </c>
      <c r="F614" s="152" t="s">
        <v>325</v>
      </c>
      <c r="G614" s="4" t="s">
        <v>326</v>
      </c>
      <c r="H614" s="4" t="str">
        <f t="shared" si="9"/>
        <v>CAR5228</v>
      </c>
      <c r="I614" s="196">
        <v>300000</v>
      </c>
      <c r="J614" s="196">
        <v>212.76595744680901</v>
      </c>
      <c r="K614" s="196">
        <v>1410</v>
      </c>
      <c r="L614" s="454" t="s">
        <v>919</v>
      </c>
      <c r="M614" s="4" t="s">
        <v>780</v>
      </c>
      <c r="N614" s="133" t="s">
        <v>1407</v>
      </c>
      <c r="O614" s="4" t="s">
        <v>1741</v>
      </c>
      <c r="P614" s="4" t="s">
        <v>892</v>
      </c>
      <c r="Q614" s="4" t="s">
        <v>1742</v>
      </c>
      <c r="R614" s="4" t="s">
        <v>1745</v>
      </c>
      <c r="S614" s="4" t="s">
        <v>1744</v>
      </c>
      <c r="T614" s="4" t="s">
        <v>786</v>
      </c>
    </row>
    <row r="615" spans="1:21" customFormat="1">
      <c r="A615" s="10"/>
      <c r="B615" s="4"/>
      <c r="C615" s="4"/>
      <c r="D615" s="133" t="s">
        <v>676</v>
      </c>
      <c r="E615" s="664" t="str">
        <f>+VLOOKUP(F615,Resumen_Base!$C$8:$G$287,5,0)</f>
        <v>Manager</v>
      </c>
      <c r="F615" s="152" t="s">
        <v>325</v>
      </c>
      <c r="G615" s="4" t="s">
        <v>326</v>
      </c>
      <c r="H615" s="4" t="str">
        <f t="shared" si="9"/>
        <v>CAR5228</v>
      </c>
      <c r="I615" s="196">
        <v>2431000</v>
      </c>
      <c r="J615" s="196">
        <v>1700</v>
      </c>
      <c r="K615" s="196">
        <v>1430</v>
      </c>
      <c r="L615" s="454" t="s">
        <v>890</v>
      </c>
      <c r="M615" s="4" t="s">
        <v>780</v>
      </c>
      <c r="N615" s="133" t="s">
        <v>1407</v>
      </c>
      <c r="O615" s="4" t="s">
        <v>1789</v>
      </c>
      <c r="P615" s="4" t="s">
        <v>892</v>
      </c>
      <c r="Q615" s="4" t="s">
        <v>1790</v>
      </c>
      <c r="R615" s="4" t="s">
        <v>1799</v>
      </c>
      <c r="S615" s="4" t="s">
        <v>1792</v>
      </c>
      <c r="T615" s="4" t="s">
        <v>786</v>
      </c>
    </row>
    <row r="616" spans="1:21" customFormat="1">
      <c r="A616" s="10"/>
      <c r="B616" s="4"/>
      <c r="C616" s="4"/>
      <c r="D616" s="133" t="s">
        <v>676</v>
      </c>
      <c r="E616" s="664" t="str">
        <f>+VLOOKUP(F616,Resumen_Base!$C$8:$G$287,5,0)</f>
        <v>Manager</v>
      </c>
      <c r="F616" s="152" t="s">
        <v>325</v>
      </c>
      <c r="G616" s="4" t="s">
        <v>326</v>
      </c>
      <c r="H616" s="4" t="str">
        <f t="shared" si="9"/>
        <v>CAR5228</v>
      </c>
      <c r="I616" s="196">
        <v>1430000</v>
      </c>
      <c r="J616" s="196">
        <v>1000</v>
      </c>
      <c r="K616" s="196">
        <v>1430</v>
      </c>
      <c r="L616" s="454" t="s">
        <v>890</v>
      </c>
      <c r="M616" s="4" t="s">
        <v>780</v>
      </c>
      <c r="N616" s="133" t="s">
        <v>1407</v>
      </c>
      <c r="O616" s="4" t="s">
        <v>1789</v>
      </c>
      <c r="P616" s="4" t="s">
        <v>892</v>
      </c>
      <c r="Q616" s="4" t="s">
        <v>1790</v>
      </c>
      <c r="R616" s="4" t="s">
        <v>1800</v>
      </c>
      <c r="S616" s="4" t="s">
        <v>1792</v>
      </c>
      <c r="T616" s="4" t="s">
        <v>786</v>
      </c>
    </row>
    <row r="617" spans="1:21" customFormat="1">
      <c r="A617" s="10"/>
      <c r="B617" s="4"/>
      <c r="C617" s="4"/>
      <c r="D617" s="133" t="s">
        <v>676</v>
      </c>
      <c r="E617" s="664" t="str">
        <f>+VLOOKUP(F617,Resumen_Base!$C$8:$G$287,5,0)</f>
        <v>Manager</v>
      </c>
      <c r="F617" s="152" t="s">
        <v>325</v>
      </c>
      <c r="G617" s="4" t="s">
        <v>326</v>
      </c>
      <c r="H617" s="4" t="str">
        <f t="shared" si="9"/>
        <v>CAR5228</v>
      </c>
      <c r="I617" s="196">
        <v>-2388107.4</v>
      </c>
      <c r="J617" s="196">
        <v>-1635.69</v>
      </c>
      <c r="K617" s="196">
        <v>1460</v>
      </c>
      <c r="L617" s="454" t="s">
        <v>1049</v>
      </c>
      <c r="M617" s="4" t="s">
        <v>780</v>
      </c>
      <c r="N617" s="133" t="s">
        <v>1407</v>
      </c>
      <c r="O617" s="4" t="s">
        <v>2127</v>
      </c>
      <c r="P617" s="4" t="s">
        <v>892</v>
      </c>
      <c r="Q617" s="4" t="s">
        <v>2128</v>
      </c>
      <c r="R617" s="4" t="s">
        <v>2139</v>
      </c>
      <c r="S617" s="4" t="s">
        <v>2129</v>
      </c>
      <c r="T617" s="4" t="s">
        <v>786</v>
      </c>
    </row>
    <row r="618" spans="1:21" customFormat="1">
      <c r="A618" s="10"/>
      <c r="B618" s="4"/>
      <c r="C618" s="4"/>
      <c r="D618" s="133" t="s">
        <v>676</v>
      </c>
      <c r="E618" s="664" t="str">
        <f>+VLOOKUP(F618,Resumen_Base!$C$8:$G$287,5,0)</f>
        <v>Manager</v>
      </c>
      <c r="F618" s="152" t="s">
        <v>325</v>
      </c>
      <c r="G618" s="4" t="s">
        <v>326</v>
      </c>
      <c r="H618" s="4" t="str">
        <f t="shared" si="9"/>
        <v>CAR5228</v>
      </c>
      <c r="I618" s="196">
        <v>2482000</v>
      </c>
      <c r="J618" s="196">
        <v>1700</v>
      </c>
      <c r="K618" s="196">
        <v>1460</v>
      </c>
      <c r="L618" s="454" t="s">
        <v>1049</v>
      </c>
      <c r="M618" s="4" t="s">
        <v>780</v>
      </c>
      <c r="N618" s="133" t="s">
        <v>1407</v>
      </c>
      <c r="O618" s="4" t="s">
        <v>2220</v>
      </c>
      <c r="P618" s="4" t="s">
        <v>892</v>
      </c>
      <c r="Q618" s="4" t="s">
        <v>2221</v>
      </c>
      <c r="R618" s="4" t="s">
        <v>2222</v>
      </c>
      <c r="S618" s="4" t="s">
        <v>2223</v>
      </c>
      <c r="T618" s="4" t="s">
        <v>786</v>
      </c>
    </row>
    <row r="619" spans="1:21" customFormat="1">
      <c r="A619" s="10"/>
      <c r="B619" s="4"/>
      <c r="C619" s="4"/>
      <c r="D619" s="133" t="s">
        <v>676</v>
      </c>
      <c r="E619" s="664" t="str">
        <f>+VLOOKUP(F619,Resumen_Base!$C$8:$G$287,5,0)</f>
        <v>Manager</v>
      </c>
      <c r="F619" s="152" t="s">
        <v>325</v>
      </c>
      <c r="G619" s="4" t="s">
        <v>326</v>
      </c>
      <c r="H619" s="4" t="str">
        <f t="shared" si="9"/>
        <v>CAR5228</v>
      </c>
      <c r="I619" s="196">
        <v>1460000</v>
      </c>
      <c r="J619" s="196">
        <v>1000</v>
      </c>
      <c r="K619" s="196">
        <v>1460</v>
      </c>
      <c r="L619" s="454" t="s">
        <v>1049</v>
      </c>
      <c r="M619" s="4" t="s">
        <v>780</v>
      </c>
      <c r="N619" s="133" t="s">
        <v>1407</v>
      </c>
      <c r="O619" s="4" t="s">
        <v>2220</v>
      </c>
      <c r="P619" s="4" t="s">
        <v>892</v>
      </c>
      <c r="Q619" s="4" t="s">
        <v>2221</v>
      </c>
      <c r="R619" s="4" t="s">
        <v>2224</v>
      </c>
      <c r="S619" s="4" t="s">
        <v>2223</v>
      </c>
      <c r="T619" s="4" t="s">
        <v>786</v>
      </c>
    </row>
    <row r="620" spans="1:21" customFormat="1">
      <c r="A620" s="10"/>
      <c r="B620" s="4"/>
      <c r="C620" s="4"/>
      <c r="D620" s="133" t="s">
        <v>676</v>
      </c>
      <c r="E620" s="664" t="str">
        <f>+VLOOKUP(F620,Resumen_Base!$C$8:$G$287,5,0)</f>
        <v>Manager</v>
      </c>
      <c r="F620" s="152" t="s">
        <v>325</v>
      </c>
      <c r="G620" s="4" t="s">
        <v>326</v>
      </c>
      <c r="H620" s="4" t="str">
        <f t="shared" si="9"/>
        <v>CAR5228</v>
      </c>
      <c r="I620" s="196">
        <v>2388107.4</v>
      </c>
      <c r="J620" s="196">
        <v>1635.69</v>
      </c>
      <c r="K620" s="196">
        <v>1460</v>
      </c>
      <c r="L620" s="454" t="s">
        <v>1049</v>
      </c>
      <c r="M620" s="4" t="s">
        <v>780</v>
      </c>
      <c r="N620" s="133" t="s">
        <v>1407</v>
      </c>
      <c r="O620" s="4" t="s">
        <v>2233</v>
      </c>
      <c r="P620" s="4" t="s">
        <v>892</v>
      </c>
      <c r="Q620" s="4" t="s">
        <v>2234</v>
      </c>
      <c r="R620" s="4" t="s">
        <v>2139</v>
      </c>
      <c r="S620" s="4" t="s">
        <v>2235</v>
      </c>
      <c r="T620" s="4" t="s">
        <v>786</v>
      </c>
    </row>
    <row r="621" spans="1:21" customFormat="1">
      <c r="A621" s="10"/>
      <c r="B621" s="4"/>
      <c r="C621" s="4"/>
      <c r="D621" s="133" t="s">
        <v>676</v>
      </c>
      <c r="E621" s="664" t="str">
        <f>+VLOOKUP(F621,Resumen_Base!$C$8:$G$287,5,0)</f>
        <v>Manager</v>
      </c>
      <c r="F621" s="152" t="s">
        <v>325</v>
      </c>
      <c r="G621" s="4" t="s">
        <v>326</v>
      </c>
      <c r="H621" s="4" t="str">
        <f t="shared" si="9"/>
        <v>CAR5228</v>
      </c>
      <c r="I621" s="196">
        <v>2388107.4</v>
      </c>
      <c r="J621" s="196">
        <v>1635.69</v>
      </c>
      <c r="K621" s="196">
        <v>1460</v>
      </c>
      <c r="L621" s="454" t="s">
        <v>1049</v>
      </c>
      <c r="M621" s="4" t="s">
        <v>780</v>
      </c>
      <c r="N621" s="133" t="s">
        <v>1407</v>
      </c>
      <c r="O621" s="4" t="s">
        <v>2236</v>
      </c>
      <c r="P621" s="4" t="s">
        <v>892</v>
      </c>
      <c r="Q621" s="4" t="s">
        <v>2237</v>
      </c>
      <c r="R621" s="4" t="s">
        <v>2139</v>
      </c>
      <c r="S621" s="4" t="s">
        <v>2238</v>
      </c>
      <c r="T621" s="4" t="s">
        <v>786</v>
      </c>
    </row>
    <row r="622" spans="1:21" customFormat="1">
      <c r="A622" s="10"/>
      <c r="B622" s="4"/>
      <c r="C622" s="4"/>
      <c r="D622" s="133" t="s">
        <v>676</v>
      </c>
      <c r="E622" s="664" t="str">
        <f>+VLOOKUP(F622,Resumen_Base!$C$8:$G$287,5,0)</f>
        <v>Manager</v>
      </c>
      <c r="F622" s="152" t="s">
        <v>325</v>
      </c>
      <c r="G622" s="4" t="s">
        <v>326</v>
      </c>
      <c r="H622" s="4" t="str">
        <f t="shared" si="9"/>
        <v>CAR5228</v>
      </c>
      <c r="I622" s="196">
        <v>2414000</v>
      </c>
      <c r="J622" s="196">
        <v>1700</v>
      </c>
      <c r="K622" s="196">
        <v>1420</v>
      </c>
      <c r="L622" s="454" t="s">
        <v>1109</v>
      </c>
      <c r="M622" s="4" t="s">
        <v>780</v>
      </c>
      <c r="N622" s="133" t="s">
        <v>1407</v>
      </c>
      <c r="O622" s="4" t="s">
        <v>2347</v>
      </c>
      <c r="P622" s="4" t="s">
        <v>892</v>
      </c>
      <c r="Q622" s="4" t="s">
        <v>2348</v>
      </c>
      <c r="R622" s="4" t="s">
        <v>2351</v>
      </c>
      <c r="S622" s="4" t="s">
        <v>2350</v>
      </c>
      <c r="T622" s="4" t="s">
        <v>786</v>
      </c>
    </row>
    <row r="623" spans="1:21" customFormat="1">
      <c r="A623" s="10"/>
      <c r="B623" s="4"/>
      <c r="C623" s="4"/>
      <c r="D623" s="133" t="s">
        <v>676</v>
      </c>
      <c r="E623" s="664" t="str">
        <f>+VLOOKUP(F623,Resumen_Base!$C$8:$G$287,5,0)</f>
        <v>Manager</v>
      </c>
      <c r="F623" s="152" t="s">
        <v>325</v>
      </c>
      <c r="G623" s="4" t="s">
        <v>326</v>
      </c>
      <c r="H623" s="4" t="str">
        <f t="shared" si="9"/>
        <v>CAR5228</v>
      </c>
      <c r="I623" s="196">
        <v>2208100</v>
      </c>
      <c r="J623" s="196">
        <v>1555</v>
      </c>
      <c r="K623" s="196">
        <v>1420</v>
      </c>
      <c r="L623" s="454" t="s">
        <v>1109</v>
      </c>
      <c r="M623" s="4" t="s">
        <v>780</v>
      </c>
      <c r="N623" s="133" t="s">
        <v>1407</v>
      </c>
      <c r="O623" s="4" t="s">
        <v>2347</v>
      </c>
      <c r="P623" s="4" t="s">
        <v>892</v>
      </c>
      <c r="Q623" s="4" t="s">
        <v>2348</v>
      </c>
      <c r="R623" s="4" t="s">
        <v>2357</v>
      </c>
      <c r="S623" s="4" t="s">
        <v>2350</v>
      </c>
      <c r="T623" s="4" t="s">
        <v>786</v>
      </c>
    </row>
    <row r="624" spans="1:21" s="746" customFormat="1">
      <c r="A624" s="509"/>
      <c r="B624" s="330"/>
      <c r="C624" s="330"/>
      <c r="D624" s="203" t="s">
        <v>676</v>
      </c>
      <c r="E624" s="714" t="str">
        <f>+VLOOKUP(F624,Resumen_Base!$C$8:$G$287,5,0)</f>
        <v>Manager</v>
      </c>
      <c r="F624" s="330" t="s">
        <v>325</v>
      </c>
      <c r="G624" s="330" t="s">
        <v>326</v>
      </c>
      <c r="H624" s="330" t="str">
        <f t="shared" si="9"/>
        <v>CAR5228</v>
      </c>
      <c r="I624" s="715">
        <v>2125500</v>
      </c>
      <c r="J624" s="715">
        <v>1635</v>
      </c>
      <c r="K624" s="715">
        <v>1300</v>
      </c>
      <c r="L624" s="456" t="s">
        <v>899</v>
      </c>
      <c r="M624" s="330" t="s">
        <v>780</v>
      </c>
      <c r="N624" s="203" t="s">
        <v>1407</v>
      </c>
      <c r="O624" s="330" t="s">
        <v>2363</v>
      </c>
      <c r="P624" s="330" t="s">
        <v>892</v>
      </c>
      <c r="Q624" s="330" t="s">
        <v>2364</v>
      </c>
      <c r="R624" s="330" t="s">
        <v>1438</v>
      </c>
      <c r="S624" s="330" t="s">
        <v>2365</v>
      </c>
      <c r="T624" s="330" t="s">
        <v>786</v>
      </c>
      <c r="U624" s="746">
        <v>2025</v>
      </c>
    </row>
    <row r="625" spans="1:20" customFormat="1">
      <c r="A625" s="10"/>
      <c r="B625" s="4"/>
      <c r="C625" s="4"/>
      <c r="D625" s="133" t="s">
        <v>676</v>
      </c>
      <c r="E625" s="664" t="str">
        <f>+VLOOKUP(F625,Resumen_Base!$C$8:$G$287,5,0)</f>
        <v>Manager</v>
      </c>
      <c r="F625" s="152" t="s">
        <v>325</v>
      </c>
      <c r="G625" s="4" t="s">
        <v>326</v>
      </c>
      <c r="H625" s="4" t="str">
        <f t="shared" si="9"/>
        <v>CAR5228</v>
      </c>
      <c r="I625" s="196">
        <v>4260000</v>
      </c>
      <c r="J625" s="196">
        <v>3000</v>
      </c>
      <c r="K625" s="196">
        <v>1420</v>
      </c>
      <c r="L625" s="454" t="s">
        <v>1123</v>
      </c>
      <c r="M625" s="4" t="s">
        <v>780</v>
      </c>
      <c r="N625" s="133" t="s">
        <v>1407</v>
      </c>
      <c r="O625" s="4" t="s">
        <v>1124</v>
      </c>
      <c r="P625" s="4" t="s">
        <v>892</v>
      </c>
      <c r="Q625" s="4" t="s">
        <v>1125</v>
      </c>
      <c r="R625" s="4" t="s">
        <v>2390</v>
      </c>
      <c r="S625" s="4" t="s">
        <v>1127</v>
      </c>
      <c r="T625" s="4" t="s">
        <v>786</v>
      </c>
    </row>
    <row r="626" spans="1:20" customFormat="1">
      <c r="A626" s="10"/>
      <c r="B626" s="4"/>
      <c r="C626" s="4"/>
      <c r="D626" s="133" t="s">
        <v>676</v>
      </c>
      <c r="E626" s="664" t="str">
        <f>+VLOOKUP(F626,Resumen_Base!$C$8:$G$287,5,0)</f>
        <v>Manager</v>
      </c>
      <c r="F626" s="152" t="s">
        <v>325</v>
      </c>
      <c r="G626" s="4" t="s">
        <v>326</v>
      </c>
      <c r="H626" s="4" t="str">
        <f t="shared" si="9"/>
        <v>CAR5228</v>
      </c>
      <c r="I626" s="196">
        <v>-4260000</v>
      </c>
      <c r="J626" s="196">
        <v>-3000</v>
      </c>
      <c r="K626" s="196">
        <v>1420</v>
      </c>
      <c r="L626" s="454" t="s">
        <v>1093</v>
      </c>
      <c r="M626" s="4" t="s">
        <v>780</v>
      </c>
      <c r="N626" s="133" t="s">
        <v>1407</v>
      </c>
      <c r="O626" s="4" t="s">
        <v>2477</v>
      </c>
      <c r="P626" s="4" t="s">
        <v>892</v>
      </c>
      <c r="Q626" s="4" t="s">
        <v>2478</v>
      </c>
      <c r="R626" s="4" t="s">
        <v>2481</v>
      </c>
      <c r="S626" s="4" t="s">
        <v>2480</v>
      </c>
      <c r="T626" s="4" t="s">
        <v>786</v>
      </c>
    </row>
    <row r="627" spans="1:20" customFormat="1">
      <c r="A627" s="10"/>
      <c r="B627" s="4"/>
      <c r="C627" s="4"/>
      <c r="D627" s="133" t="s">
        <v>670</v>
      </c>
      <c r="E627" s="664" t="str">
        <f>+VLOOKUP(F627,Resumen_Base!$C$8:$G$287,5,0)</f>
        <v>Social Security Contributions</v>
      </c>
      <c r="F627" s="152" t="s">
        <v>329</v>
      </c>
      <c r="G627" s="4" t="s">
        <v>330</v>
      </c>
      <c r="H627" s="4" t="str">
        <f t="shared" si="9"/>
        <v>SJ5235</v>
      </c>
      <c r="I627" s="196">
        <v>354361</v>
      </c>
      <c r="J627" s="196">
        <v>249.55</v>
      </c>
      <c r="K627" s="196">
        <v>1420</v>
      </c>
      <c r="L627" s="454" t="s">
        <v>787</v>
      </c>
      <c r="M627" s="4" t="s">
        <v>780</v>
      </c>
      <c r="N627" s="133" t="s">
        <v>781</v>
      </c>
      <c r="O627" s="4" t="s">
        <v>855</v>
      </c>
      <c r="P627" s="4" t="s">
        <v>783</v>
      </c>
      <c r="Q627" s="4" t="s">
        <v>856</v>
      </c>
      <c r="R627" s="4" t="s">
        <v>876</v>
      </c>
      <c r="S627" s="4" t="s">
        <v>857</v>
      </c>
      <c r="T627" s="4" t="s">
        <v>786</v>
      </c>
    </row>
    <row r="628" spans="1:20" customFormat="1">
      <c r="A628" s="10"/>
      <c r="B628" s="4"/>
      <c r="C628" s="4"/>
      <c r="D628" s="133" t="s">
        <v>676</v>
      </c>
      <c r="E628" s="664" t="str">
        <f>+VLOOKUP(F628,Resumen_Base!$C$8:$G$287,5,0)</f>
        <v>Social Security Contributions</v>
      </c>
      <c r="F628" s="152" t="s">
        <v>329</v>
      </c>
      <c r="G628" s="4" t="s">
        <v>330</v>
      </c>
      <c r="H628" s="4" t="str">
        <f t="shared" si="9"/>
        <v>CAR5235</v>
      </c>
      <c r="I628" s="196">
        <v>4834730.8</v>
      </c>
      <c r="J628" s="196">
        <v>3404.74</v>
      </c>
      <c r="K628" s="196">
        <v>1420</v>
      </c>
      <c r="L628" s="454" t="s">
        <v>787</v>
      </c>
      <c r="M628" s="4" t="s">
        <v>780</v>
      </c>
      <c r="N628" s="133" t="s">
        <v>1407</v>
      </c>
      <c r="O628" s="4" t="s">
        <v>1490</v>
      </c>
      <c r="P628" s="4" t="s">
        <v>783</v>
      </c>
      <c r="Q628" s="4" t="s">
        <v>1491</v>
      </c>
      <c r="R628" s="4" t="s">
        <v>1512</v>
      </c>
      <c r="S628" s="4" t="s">
        <v>1493</v>
      </c>
      <c r="T628" s="4" t="s">
        <v>786</v>
      </c>
    </row>
    <row r="629" spans="1:20" customFormat="1">
      <c r="A629" s="10"/>
      <c r="B629" s="4"/>
      <c r="C629" s="4"/>
      <c r="D629" s="133" t="s">
        <v>676</v>
      </c>
      <c r="E629" s="664" t="str">
        <f>+VLOOKUP(F629,Resumen_Base!$C$8:$G$287,5,0)</f>
        <v>Social Security Contributions</v>
      </c>
      <c r="F629" s="152" t="s">
        <v>329</v>
      </c>
      <c r="G629" s="4" t="s">
        <v>330</v>
      </c>
      <c r="H629" s="4" t="str">
        <f t="shared" si="9"/>
        <v>CAR5235</v>
      </c>
      <c r="I629" s="196">
        <v>491859.6</v>
      </c>
      <c r="J629" s="196">
        <v>346.38</v>
      </c>
      <c r="K629" s="196">
        <v>1420</v>
      </c>
      <c r="L629" s="454" t="s">
        <v>787</v>
      </c>
      <c r="M629" s="4" t="s">
        <v>780</v>
      </c>
      <c r="N629" s="133" t="s">
        <v>1407</v>
      </c>
      <c r="O629" s="4" t="s">
        <v>1490</v>
      </c>
      <c r="P629" s="4" t="s">
        <v>783</v>
      </c>
      <c r="Q629" s="4" t="s">
        <v>1491</v>
      </c>
      <c r="R629" s="4" t="s">
        <v>1513</v>
      </c>
      <c r="S629" s="4" t="s">
        <v>1493</v>
      </c>
      <c r="T629" s="4" t="s">
        <v>786</v>
      </c>
    </row>
    <row r="630" spans="1:20" customFormat="1">
      <c r="A630" s="10"/>
      <c r="B630" s="4"/>
      <c r="C630" s="4"/>
      <c r="D630" s="133" t="s">
        <v>676</v>
      </c>
      <c r="E630" s="664" t="str">
        <f>+VLOOKUP(F630,Resumen_Base!$C$8:$G$287,5,0)</f>
        <v>Social Security Contributions</v>
      </c>
      <c r="F630" s="152" t="s">
        <v>329</v>
      </c>
      <c r="G630" s="4" t="s">
        <v>330</v>
      </c>
      <c r="H630" s="4" t="str">
        <f t="shared" si="9"/>
        <v>CAR5235</v>
      </c>
      <c r="I630" s="196">
        <v>515985.4</v>
      </c>
      <c r="J630" s="196">
        <v>363.37</v>
      </c>
      <c r="K630" s="196">
        <v>1420</v>
      </c>
      <c r="L630" s="454" t="s">
        <v>787</v>
      </c>
      <c r="M630" s="4" t="s">
        <v>780</v>
      </c>
      <c r="N630" s="133" t="s">
        <v>1407</v>
      </c>
      <c r="O630" s="4" t="s">
        <v>1490</v>
      </c>
      <c r="P630" s="4" t="s">
        <v>783</v>
      </c>
      <c r="Q630" s="4" t="s">
        <v>1491</v>
      </c>
      <c r="R630" s="4" t="s">
        <v>1513</v>
      </c>
      <c r="S630" s="4" t="s">
        <v>1493</v>
      </c>
      <c r="T630" s="4" t="s">
        <v>786</v>
      </c>
    </row>
    <row r="631" spans="1:20" customFormat="1">
      <c r="A631" s="10"/>
      <c r="B631" s="4"/>
      <c r="C631" s="4"/>
      <c r="D631" s="133" t="s">
        <v>676</v>
      </c>
      <c r="E631" s="664" t="str">
        <f>+VLOOKUP(F631,Resumen_Base!$C$8:$G$287,5,0)</f>
        <v>Social Security Contributions</v>
      </c>
      <c r="F631" s="152" t="s">
        <v>329</v>
      </c>
      <c r="G631" s="4" t="s">
        <v>330</v>
      </c>
      <c r="H631" s="4" t="str">
        <f t="shared" si="9"/>
        <v>CAR5235</v>
      </c>
      <c r="I631" s="196">
        <v>507945</v>
      </c>
      <c r="J631" s="196">
        <v>338.63</v>
      </c>
      <c r="K631" s="196">
        <v>1500</v>
      </c>
      <c r="L631" s="454" t="s">
        <v>1045</v>
      </c>
      <c r="M631" s="4" t="s">
        <v>780</v>
      </c>
      <c r="N631" s="133" t="s">
        <v>1407</v>
      </c>
      <c r="O631" s="4" t="s">
        <v>2206</v>
      </c>
      <c r="P631" s="4" t="s">
        <v>892</v>
      </c>
      <c r="Q631" s="4" t="s">
        <v>2207</v>
      </c>
      <c r="R631" s="4" t="s">
        <v>2212</v>
      </c>
      <c r="S631" s="4" t="s">
        <v>2209</v>
      </c>
      <c r="T631" s="4" t="s">
        <v>786</v>
      </c>
    </row>
    <row r="632" spans="1:20" customFormat="1">
      <c r="A632" s="10"/>
      <c r="B632" s="4"/>
      <c r="C632" s="4"/>
      <c r="D632" s="133" t="s">
        <v>676</v>
      </c>
      <c r="E632" s="664" t="str">
        <f>+VLOOKUP(F632,Resumen_Base!$C$8:$G$287,5,0)</f>
        <v>Social Security Contributions</v>
      </c>
      <c r="F632" s="152" t="s">
        <v>329</v>
      </c>
      <c r="G632" s="4" t="s">
        <v>330</v>
      </c>
      <c r="H632" s="4" t="str">
        <f t="shared" si="9"/>
        <v>CAR5235</v>
      </c>
      <c r="I632" s="196">
        <v>5122500</v>
      </c>
      <c r="J632" s="196">
        <v>3415</v>
      </c>
      <c r="K632" s="196">
        <v>1500</v>
      </c>
      <c r="L632" s="454" t="s">
        <v>1045</v>
      </c>
      <c r="M632" s="4" t="s">
        <v>780</v>
      </c>
      <c r="N632" s="133" t="s">
        <v>1407</v>
      </c>
      <c r="O632" s="4" t="s">
        <v>2214</v>
      </c>
      <c r="P632" s="4" t="s">
        <v>892</v>
      </c>
      <c r="Q632" s="4" t="s">
        <v>2215</v>
      </c>
      <c r="R632" s="4" t="s">
        <v>2218</v>
      </c>
      <c r="S632" s="4" t="s">
        <v>2217</v>
      </c>
      <c r="T632" s="4" t="s">
        <v>786</v>
      </c>
    </row>
    <row r="633" spans="1:20" customFormat="1">
      <c r="A633" s="10"/>
      <c r="B633" s="4"/>
      <c r="C633" s="4"/>
      <c r="D633" s="133" t="s">
        <v>676</v>
      </c>
      <c r="E633" s="664" t="str">
        <f>+VLOOKUP(F633,Resumen_Base!$C$8:$G$287,5,0)</f>
        <v>Social Security Contributions</v>
      </c>
      <c r="F633" s="152" t="s">
        <v>329</v>
      </c>
      <c r="G633" s="4" t="s">
        <v>330</v>
      </c>
      <c r="H633" s="4" t="str">
        <f t="shared" si="9"/>
        <v>CAR5235</v>
      </c>
      <c r="I633" s="196">
        <v>2325534</v>
      </c>
      <c r="J633" s="196">
        <v>1637.7</v>
      </c>
      <c r="K633" s="196">
        <v>1420</v>
      </c>
      <c r="L633" s="454" t="s">
        <v>1239</v>
      </c>
      <c r="M633" s="4" t="s">
        <v>780</v>
      </c>
      <c r="N633" s="133" t="s">
        <v>1407</v>
      </c>
      <c r="O633" s="4" t="s">
        <v>2630</v>
      </c>
      <c r="P633" s="4" t="s">
        <v>892</v>
      </c>
      <c r="Q633" s="4" t="s">
        <v>2631</v>
      </c>
      <c r="R633" s="4" t="s">
        <v>2218</v>
      </c>
      <c r="S633" s="4" t="s">
        <v>2632</v>
      </c>
      <c r="T633" s="4" t="s">
        <v>786</v>
      </c>
    </row>
    <row r="634" spans="1:20" customFormat="1">
      <c r="A634" s="10"/>
      <c r="B634" s="4"/>
      <c r="C634" s="4"/>
      <c r="D634" s="133" t="s">
        <v>676</v>
      </c>
      <c r="E634" s="664" t="str">
        <f>+VLOOKUP(F634,Resumen_Base!$C$8:$G$287,5,0)</f>
        <v>Social Security Contributions</v>
      </c>
      <c r="F634" s="152" t="s">
        <v>329</v>
      </c>
      <c r="G634" s="4" t="s">
        <v>330</v>
      </c>
      <c r="H634" s="4" t="str">
        <f t="shared" si="9"/>
        <v>CAR5235</v>
      </c>
      <c r="I634" s="196">
        <v>491959</v>
      </c>
      <c r="J634" s="196">
        <v>346.45</v>
      </c>
      <c r="K634" s="196">
        <v>1420</v>
      </c>
      <c r="L634" s="454" t="s">
        <v>1239</v>
      </c>
      <c r="M634" s="4" t="s">
        <v>780</v>
      </c>
      <c r="N634" s="133" t="s">
        <v>1407</v>
      </c>
      <c r="O634" s="4" t="s">
        <v>2630</v>
      </c>
      <c r="P634" s="4" t="s">
        <v>892</v>
      </c>
      <c r="Q634" s="4" t="s">
        <v>2631</v>
      </c>
      <c r="R634" s="4" t="s">
        <v>2634</v>
      </c>
      <c r="S634" s="4" t="s">
        <v>2632</v>
      </c>
      <c r="T634" s="4" t="s">
        <v>786</v>
      </c>
    </row>
    <row r="635" spans="1:20" customFormat="1">
      <c r="A635" s="10"/>
      <c r="B635" s="4"/>
      <c r="C635" s="4"/>
      <c r="D635" s="133" t="s">
        <v>670</v>
      </c>
      <c r="E635" s="664" t="str">
        <f>+VLOOKUP(F635,Resumen_Base!$C$8:$G$287,5,0)</f>
        <v>Social Security Contributions</v>
      </c>
      <c r="F635" s="152" t="s">
        <v>331</v>
      </c>
      <c r="G635" s="4" t="s">
        <v>332</v>
      </c>
      <c r="H635" s="4" t="str">
        <f t="shared" si="9"/>
        <v>SJ5236</v>
      </c>
      <c r="I635" s="196">
        <v>330916.8</v>
      </c>
      <c r="J635" s="196">
        <v>233.04</v>
      </c>
      <c r="K635" s="196">
        <v>1420</v>
      </c>
      <c r="L635" s="454" t="s">
        <v>787</v>
      </c>
      <c r="M635" s="4" t="s">
        <v>780</v>
      </c>
      <c r="N635" s="133" t="s">
        <v>781</v>
      </c>
      <c r="O635" s="4" t="s">
        <v>855</v>
      </c>
      <c r="P635" s="4" t="s">
        <v>783</v>
      </c>
      <c r="Q635" s="4" t="s">
        <v>856</v>
      </c>
      <c r="R635" s="4" t="s">
        <v>859</v>
      </c>
      <c r="S635" s="4" t="s">
        <v>857</v>
      </c>
      <c r="T635" s="4" t="s">
        <v>786</v>
      </c>
    </row>
    <row r="636" spans="1:20" customFormat="1">
      <c r="A636" s="10"/>
      <c r="B636" s="4"/>
      <c r="C636" s="4"/>
      <c r="D636" s="133" t="s">
        <v>670</v>
      </c>
      <c r="E636" s="664" t="str">
        <f>+VLOOKUP(F636,Resumen_Base!$C$8:$G$287,5,0)</f>
        <v>Social Security Contributions</v>
      </c>
      <c r="F636" s="152" t="s">
        <v>331</v>
      </c>
      <c r="G636" s="4" t="s">
        <v>332</v>
      </c>
      <c r="H636" s="4" t="str">
        <f t="shared" si="9"/>
        <v>SJ5236</v>
      </c>
      <c r="I636" s="196">
        <v>579664.80000000005</v>
      </c>
      <c r="J636" s="196">
        <v>405.36</v>
      </c>
      <c r="K636" s="196">
        <v>1430</v>
      </c>
      <c r="L636" s="454" t="s">
        <v>890</v>
      </c>
      <c r="M636" s="4" t="s">
        <v>780</v>
      </c>
      <c r="N636" s="133" t="s">
        <v>781</v>
      </c>
      <c r="O636" s="4" t="s">
        <v>951</v>
      </c>
      <c r="P636" s="4" t="s">
        <v>892</v>
      </c>
      <c r="Q636" s="4" t="s">
        <v>952</v>
      </c>
      <c r="R636" s="4" t="s">
        <v>962</v>
      </c>
      <c r="S636" s="4" t="s">
        <v>954</v>
      </c>
      <c r="T636" s="4" t="s">
        <v>786</v>
      </c>
    </row>
    <row r="637" spans="1:20" customFormat="1">
      <c r="A637" s="10"/>
      <c r="B637" s="4"/>
      <c r="C637" s="4"/>
      <c r="D637" s="133" t="s">
        <v>676</v>
      </c>
      <c r="E637" s="664" t="str">
        <f>+VLOOKUP(F637,Resumen_Base!$C$8:$G$287,5,0)</f>
        <v>Social Security Contributions</v>
      </c>
      <c r="F637" s="152" t="s">
        <v>331</v>
      </c>
      <c r="G637" s="4" t="s">
        <v>332</v>
      </c>
      <c r="H637" s="4" t="str">
        <f t="shared" si="9"/>
        <v>CAR5236</v>
      </c>
      <c r="I637" s="196">
        <v>1091890</v>
      </c>
      <c r="J637" s="196">
        <v>797</v>
      </c>
      <c r="K637" s="196">
        <v>1370</v>
      </c>
      <c r="L637" s="454" t="s">
        <v>787</v>
      </c>
      <c r="M637" s="4" t="s">
        <v>780</v>
      </c>
      <c r="N637" s="133" t="s">
        <v>1407</v>
      </c>
      <c r="O637" s="4" t="s">
        <v>1446</v>
      </c>
      <c r="P637" s="4" t="s">
        <v>783</v>
      </c>
      <c r="Q637" s="4" t="s">
        <v>1447</v>
      </c>
      <c r="R637" s="4" t="s">
        <v>1478</v>
      </c>
      <c r="S637" s="4" t="s">
        <v>1449</v>
      </c>
      <c r="T637" s="4" t="s">
        <v>786</v>
      </c>
    </row>
    <row r="638" spans="1:20" customFormat="1">
      <c r="A638" s="10"/>
      <c r="B638" s="4"/>
      <c r="C638" s="4"/>
      <c r="D638" s="133" t="s">
        <v>676</v>
      </c>
      <c r="E638" s="664" t="str">
        <f>+VLOOKUP(F638,Resumen_Base!$C$8:$G$287,5,0)</f>
        <v>Social Security Contributions</v>
      </c>
      <c r="F638" s="152" t="s">
        <v>331</v>
      </c>
      <c r="G638" s="4" t="s">
        <v>332</v>
      </c>
      <c r="H638" s="4" t="str">
        <f t="shared" si="9"/>
        <v>CAR5236</v>
      </c>
      <c r="I638" s="196">
        <v>331951</v>
      </c>
      <c r="J638" s="196">
        <v>242.3</v>
      </c>
      <c r="K638" s="196">
        <v>1370</v>
      </c>
      <c r="L638" s="454" t="s">
        <v>787</v>
      </c>
      <c r="M638" s="4" t="s">
        <v>780</v>
      </c>
      <c r="N638" s="133" t="s">
        <v>1407</v>
      </c>
      <c r="O638" s="4" t="s">
        <v>1490</v>
      </c>
      <c r="P638" s="4" t="s">
        <v>783</v>
      </c>
      <c r="Q638" s="4" t="s">
        <v>1491</v>
      </c>
      <c r="R638" s="4" t="s">
        <v>1511</v>
      </c>
      <c r="S638" s="4" t="s">
        <v>1493</v>
      </c>
      <c r="T638" s="4" t="s">
        <v>786</v>
      </c>
    </row>
    <row r="639" spans="1:20" customFormat="1">
      <c r="A639" s="10"/>
      <c r="B639" s="4"/>
      <c r="C639" s="4"/>
      <c r="D639" s="133" t="s">
        <v>676</v>
      </c>
      <c r="E639" s="664" t="str">
        <f>+VLOOKUP(F639,Resumen_Base!$C$8:$G$287,5,0)</f>
        <v>Social Security Contributions</v>
      </c>
      <c r="F639" s="152" t="s">
        <v>331</v>
      </c>
      <c r="G639" s="4" t="s">
        <v>332</v>
      </c>
      <c r="H639" s="4" t="str">
        <f t="shared" si="9"/>
        <v>CAR5236</v>
      </c>
      <c r="I639" s="196">
        <v>1119261</v>
      </c>
      <c r="J639" s="196">
        <v>782.7</v>
      </c>
      <c r="K639" s="196">
        <v>1430</v>
      </c>
      <c r="L639" s="454" t="s">
        <v>890</v>
      </c>
      <c r="M639" s="4" t="s">
        <v>780</v>
      </c>
      <c r="N639" s="133" t="s">
        <v>1407</v>
      </c>
      <c r="O639" s="4" t="s">
        <v>1763</v>
      </c>
      <c r="P639" s="4" t="s">
        <v>892</v>
      </c>
      <c r="Q639" s="4" t="s">
        <v>1764</v>
      </c>
      <c r="R639" s="4" t="s">
        <v>1786</v>
      </c>
      <c r="S639" s="4" t="s">
        <v>1765</v>
      </c>
      <c r="T639" s="4" t="s">
        <v>786</v>
      </c>
    </row>
    <row r="640" spans="1:20" customFormat="1">
      <c r="A640" s="10"/>
      <c r="B640" s="4"/>
      <c r="C640" s="4"/>
      <c r="D640" s="133" t="s">
        <v>676</v>
      </c>
      <c r="E640" s="664" t="str">
        <f>+VLOOKUP(F640,Resumen_Base!$C$8:$G$287,5,0)</f>
        <v>Social Security Contributions</v>
      </c>
      <c r="F640" s="152" t="s">
        <v>331</v>
      </c>
      <c r="G640" s="4" t="s">
        <v>332</v>
      </c>
      <c r="H640" s="4" t="str">
        <f t="shared" si="9"/>
        <v>CAR5236</v>
      </c>
      <c r="I640" s="196">
        <v>-1164744.2</v>
      </c>
      <c r="J640" s="196">
        <v>-797.77</v>
      </c>
      <c r="K640" s="196">
        <v>1460</v>
      </c>
      <c r="L640" s="454" t="s">
        <v>1049</v>
      </c>
      <c r="M640" s="4" t="s">
        <v>780</v>
      </c>
      <c r="N640" s="133" t="s">
        <v>1407</v>
      </c>
      <c r="O640" s="4" t="s">
        <v>2127</v>
      </c>
      <c r="P640" s="4" t="s">
        <v>892</v>
      </c>
      <c r="Q640" s="4" t="s">
        <v>2128</v>
      </c>
      <c r="R640" s="4" t="s">
        <v>2138</v>
      </c>
      <c r="S640" s="4" t="s">
        <v>2129</v>
      </c>
      <c r="T640" s="4" t="s">
        <v>786</v>
      </c>
    </row>
    <row r="641" spans="1:20" customFormat="1">
      <c r="A641" s="10"/>
      <c r="B641" s="4"/>
      <c r="C641" s="4"/>
      <c r="D641" s="133" t="s">
        <v>676</v>
      </c>
      <c r="E641" s="664" t="str">
        <f>+VLOOKUP(F641,Resumen_Base!$C$8:$G$287,5,0)</f>
        <v>Social Security Contributions</v>
      </c>
      <c r="F641" s="152" t="s">
        <v>331</v>
      </c>
      <c r="G641" s="4" t="s">
        <v>332</v>
      </c>
      <c r="H641" s="4" t="str">
        <f t="shared" si="9"/>
        <v>CAR5236</v>
      </c>
      <c r="I641" s="196">
        <v>1164744.2</v>
      </c>
      <c r="J641" s="196">
        <v>797.77</v>
      </c>
      <c r="K641" s="196">
        <v>1460</v>
      </c>
      <c r="L641" s="454" t="s">
        <v>1049</v>
      </c>
      <c r="M641" s="4" t="s">
        <v>780</v>
      </c>
      <c r="N641" s="133" t="s">
        <v>1407</v>
      </c>
      <c r="O641" s="4" t="s">
        <v>2233</v>
      </c>
      <c r="P641" s="4" t="s">
        <v>892</v>
      </c>
      <c r="Q641" s="4" t="s">
        <v>2234</v>
      </c>
      <c r="R641" s="4" t="s">
        <v>2138</v>
      </c>
      <c r="S641" s="4" t="s">
        <v>2235</v>
      </c>
      <c r="T641" s="4" t="s">
        <v>786</v>
      </c>
    </row>
    <row r="642" spans="1:20" customFormat="1">
      <c r="A642" s="10"/>
      <c r="B642" s="4"/>
      <c r="C642" s="4"/>
      <c r="D642" s="133" t="s">
        <v>676</v>
      </c>
      <c r="E642" s="664" t="str">
        <f>+VLOOKUP(F642,Resumen_Base!$C$8:$G$287,5,0)</f>
        <v>Social Security Contributions</v>
      </c>
      <c r="F642" s="152" t="s">
        <v>331</v>
      </c>
      <c r="G642" s="4" t="s">
        <v>332</v>
      </c>
      <c r="H642" s="4" t="str">
        <f t="shared" si="9"/>
        <v>CAR5236</v>
      </c>
      <c r="I642" s="196">
        <v>1164744.2</v>
      </c>
      <c r="J642" s="196">
        <v>797.77</v>
      </c>
      <c r="K642" s="196">
        <v>1460</v>
      </c>
      <c r="L642" s="454" t="s">
        <v>1049</v>
      </c>
      <c r="M642" s="4" t="s">
        <v>780</v>
      </c>
      <c r="N642" s="133" t="s">
        <v>1407</v>
      </c>
      <c r="O642" s="4" t="s">
        <v>2236</v>
      </c>
      <c r="P642" s="4" t="s">
        <v>892</v>
      </c>
      <c r="Q642" s="4" t="s">
        <v>2237</v>
      </c>
      <c r="R642" s="4" t="s">
        <v>2138</v>
      </c>
      <c r="S642" s="4" t="s">
        <v>2238</v>
      </c>
      <c r="T642" s="4" t="s">
        <v>786</v>
      </c>
    </row>
    <row r="643" spans="1:20" customFormat="1">
      <c r="A643" s="10"/>
      <c r="B643" s="4"/>
      <c r="C643" s="4"/>
      <c r="D643" s="133" t="s">
        <v>676</v>
      </c>
      <c r="E643" s="664" t="str">
        <f>+VLOOKUP(F643,Resumen_Base!$C$8:$G$287,5,0)</f>
        <v>Social Security Contributions</v>
      </c>
      <c r="F643" s="152" t="s">
        <v>331</v>
      </c>
      <c r="G643" s="4" t="s">
        <v>332</v>
      </c>
      <c r="H643" s="4" t="str">
        <f t="shared" si="9"/>
        <v>CAR5236</v>
      </c>
      <c r="I643" s="196">
        <v>2712.2</v>
      </c>
      <c r="J643" s="196">
        <v>1.91</v>
      </c>
      <c r="K643" s="196">
        <v>1420</v>
      </c>
      <c r="L643" s="454" t="s">
        <v>1098</v>
      </c>
      <c r="M643" s="4" t="s">
        <v>780</v>
      </c>
      <c r="N643" s="133" t="s">
        <v>1407</v>
      </c>
      <c r="O643" s="4" t="s">
        <v>2423</v>
      </c>
      <c r="P643" s="4" t="s">
        <v>892</v>
      </c>
      <c r="Q643" s="4" t="s">
        <v>2424</v>
      </c>
      <c r="R643" s="4" t="s">
        <v>1515</v>
      </c>
      <c r="S643" s="4" t="s">
        <v>2426</v>
      </c>
      <c r="T643" s="4" t="s">
        <v>786</v>
      </c>
    </row>
    <row r="644" spans="1:20" customFormat="1">
      <c r="A644" s="10"/>
      <c r="B644" s="4"/>
      <c r="C644" s="4"/>
      <c r="D644" s="133" t="s">
        <v>676</v>
      </c>
      <c r="E644" s="664" t="str">
        <f>+VLOOKUP(F644,Resumen_Base!$C$8:$G$287,5,0)</f>
        <v>Social Security Contributions</v>
      </c>
      <c r="F644" s="152" t="s">
        <v>331</v>
      </c>
      <c r="G644" s="4" t="s">
        <v>332</v>
      </c>
      <c r="H644" s="4" t="str">
        <f t="shared" si="9"/>
        <v>CAR5236</v>
      </c>
      <c r="I644" s="196">
        <v>415932.2</v>
      </c>
      <c r="J644" s="196">
        <v>292.91000000000003</v>
      </c>
      <c r="K644" s="196">
        <v>1420</v>
      </c>
      <c r="L644" s="454" t="s">
        <v>1098</v>
      </c>
      <c r="M644" s="4" t="s">
        <v>780</v>
      </c>
      <c r="N644" s="133" t="s">
        <v>1407</v>
      </c>
      <c r="O644" s="4" t="s">
        <v>2423</v>
      </c>
      <c r="P644" s="4" t="s">
        <v>892</v>
      </c>
      <c r="Q644" s="4" t="s">
        <v>2424</v>
      </c>
      <c r="R644" s="4" t="s">
        <v>2428</v>
      </c>
      <c r="S644" s="4" t="s">
        <v>2426</v>
      </c>
      <c r="T644" s="4" t="s">
        <v>786</v>
      </c>
    </row>
    <row r="645" spans="1:20" customFormat="1">
      <c r="A645" s="10"/>
      <c r="B645" s="4"/>
      <c r="C645" s="4"/>
      <c r="D645" s="133" t="s">
        <v>670</v>
      </c>
      <c r="E645" s="664" t="str">
        <f>+VLOOKUP(F645,Resumen_Base!$C$8:$G$287,5,0)</f>
        <v>Social Security Contributions</v>
      </c>
      <c r="F645" s="152" t="s">
        <v>333</v>
      </c>
      <c r="G645" s="4" t="s">
        <v>334</v>
      </c>
      <c r="H645" s="4" t="str">
        <f t="shared" si="9"/>
        <v>SJ5237</v>
      </c>
      <c r="I645" s="196">
        <v>756860</v>
      </c>
      <c r="J645" s="196">
        <v>533</v>
      </c>
      <c r="K645" s="196">
        <v>1420</v>
      </c>
      <c r="L645" s="454" t="s">
        <v>787</v>
      </c>
      <c r="M645" s="4" t="s">
        <v>780</v>
      </c>
      <c r="N645" s="133" t="s">
        <v>781</v>
      </c>
      <c r="O645" s="4" t="s">
        <v>830</v>
      </c>
      <c r="P645" s="4" t="s">
        <v>783</v>
      </c>
      <c r="Q645" s="4" t="s">
        <v>831</v>
      </c>
      <c r="R645" s="4" t="s">
        <v>837</v>
      </c>
      <c r="S645" s="4" t="s">
        <v>833</v>
      </c>
      <c r="T645" s="4" t="s">
        <v>786</v>
      </c>
    </row>
    <row r="646" spans="1:20" customFormat="1">
      <c r="A646" s="10"/>
      <c r="B646" s="4"/>
      <c r="C646" s="4"/>
      <c r="D646" s="133" t="s">
        <v>670</v>
      </c>
      <c r="E646" s="664" t="str">
        <f>+VLOOKUP(F646,Resumen_Base!$C$8:$G$287,5,0)</f>
        <v>Social Security Contributions</v>
      </c>
      <c r="F646" s="152" t="s">
        <v>333</v>
      </c>
      <c r="G646" s="4" t="s">
        <v>334</v>
      </c>
      <c r="H646" s="4" t="str">
        <f t="shared" si="9"/>
        <v>SJ5237</v>
      </c>
      <c r="I646" s="196">
        <v>730000.7</v>
      </c>
      <c r="J646" s="196">
        <v>510.49</v>
      </c>
      <c r="K646" s="196">
        <v>1430</v>
      </c>
      <c r="L646" s="454" t="s">
        <v>890</v>
      </c>
      <c r="M646" s="4" t="s">
        <v>780</v>
      </c>
      <c r="N646" s="133" t="s">
        <v>781</v>
      </c>
      <c r="O646" s="4" t="s">
        <v>951</v>
      </c>
      <c r="P646" s="4" t="s">
        <v>892</v>
      </c>
      <c r="Q646" s="4" t="s">
        <v>952</v>
      </c>
      <c r="R646" s="4" t="s">
        <v>961</v>
      </c>
      <c r="S646" s="4" t="s">
        <v>954</v>
      </c>
      <c r="T646" s="4" t="s">
        <v>786</v>
      </c>
    </row>
    <row r="647" spans="1:20" customFormat="1">
      <c r="A647" s="10"/>
      <c r="B647" s="4"/>
      <c r="C647" s="4"/>
      <c r="D647" s="133" t="s">
        <v>670</v>
      </c>
      <c r="E647" s="664" t="str">
        <f>+VLOOKUP(F647,Resumen_Base!$C$8:$G$287,5,0)</f>
        <v>Social Security Contributions</v>
      </c>
      <c r="F647" s="152" t="s">
        <v>333</v>
      </c>
      <c r="G647" s="4" t="s">
        <v>334</v>
      </c>
      <c r="H647" s="4" t="str">
        <f t="shared" si="9"/>
        <v>SJ5237</v>
      </c>
      <c r="I647" s="196">
        <v>330774.8</v>
      </c>
      <c r="J647" s="196">
        <v>232.94</v>
      </c>
      <c r="K647" s="196">
        <v>1420</v>
      </c>
      <c r="L647" s="454" t="s">
        <v>1098</v>
      </c>
      <c r="M647" s="4" t="s">
        <v>780</v>
      </c>
      <c r="N647" s="133" t="s">
        <v>781</v>
      </c>
      <c r="O647" s="4" t="s">
        <v>1165</v>
      </c>
      <c r="P647" s="4" t="s">
        <v>892</v>
      </c>
      <c r="Q647" s="4" t="s">
        <v>1166</v>
      </c>
      <c r="R647" s="4" t="s">
        <v>1174</v>
      </c>
      <c r="S647" s="4" t="s">
        <v>1168</v>
      </c>
      <c r="T647" s="4" t="s">
        <v>786</v>
      </c>
    </row>
    <row r="648" spans="1:20" customFormat="1">
      <c r="A648" s="10"/>
      <c r="B648" s="4"/>
      <c r="C648" s="4"/>
      <c r="D648" s="133" t="s">
        <v>670</v>
      </c>
      <c r="E648" s="664" t="str">
        <f>+VLOOKUP(F648,Resumen_Base!$C$8:$G$287,5,0)</f>
        <v>Social Security Contributions</v>
      </c>
      <c r="F648" s="152" t="s">
        <v>333</v>
      </c>
      <c r="G648" s="4" t="s">
        <v>334</v>
      </c>
      <c r="H648" s="4" t="str">
        <f t="shared" si="9"/>
        <v>SJ5237</v>
      </c>
      <c r="I648" s="196">
        <v>426695.8</v>
      </c>
      <c r="J648" s="196">
        <v>300.49</v>
      </c>
      <c r="K648" s="196">
        <v>1420</v>
      </c>
      <c r="L648" s="454" t="s">
        <v>1098</v>
      </c>
      <c r="M648" s="4" t="s">
        <v>780</v>
      </c>
      <c r="N648" s="133" t="s">
        <v>781</v>
      </c>
      <c r="O648" s="4" t="s">
        <v>1165</v>
      </c>
      <c r="P648" s="4" t="s">
        <v>892</v>
      </c>
      <c r="Q648" s="4" t="s">
        <v>1166</v>
      </c>
      <c r="R648" s="4" t="s">
        <v>1173</v>
      </c>
      <c r="S648" s="4" t="s">
        <v>1168</v>
      </c>
      <c r="T648" s="4" t="s">
        <v>786</v>
      </c>
    </row>
    <row r="649" spans="1:20" customFormat="1">
      <c r="A649" s="10"/>
      <c r="B649" s="4"/>
      <c r="C649" s="4"/>
      <c r="D649" s="133" t="s">
        <v>676</v>
      </c>
      <c r="E649" s="664" t="str">
        <f>+VLOOKUP(F649,Resumen_Base!$C$8:$G$287,5,0)</f>
        <v>Social Security Contributions</v>
      </c>
      <c r="F649" s="152" t="s">
        <v>333</v>
      </c>
      <c r="G649" s="4" t="s">
        <v>334</v>
      </c>
      <c r="H649" s="4" t="str">
        <f t="shared" si="9"/>
        <v>CAR5237</v>
      </c>
      <c r="I649" s="196">
        <v>-333829</v>
      </c>
      <c r="J649" s="196">
        <v>-228.65</v>
      </c>
      <c r="K649" s="196">
        <v>1460</v>
      </c>
      <c r="L649" s="454" t="s">
        <v>1049</v>
      </c>
      <c r="M649" s="4" t="s">
        <v>780</v>
      </c>
      <c r="N649" s="133" t="s">
        <v>1407</v>
      </c>
      <c r="O649" s="4" t="s">
        <v>2127</v>
      </c>
      <c r="P649" s="4" t="s">
        <v>892</v>
      </c>
      <c r="Q649" s="4" t="s">
        <v>2128</v>
      </c>
      <c r="R649" s="4" t="s">
        <v>2146</v>
      </c>
      <c r="S649" s="4" t="s">
        <v>2129</v>
      </c>
      <c r="T649" s="4" t="s">
        <v>786</v>
      </c>
    </row>
    <row r="650" spans="1:20" customFormat="1">
      <c r="A650" s="10"/>
      <c r="B650" s="4"/>
      <c r="C650" s="4"/>
      <c r="D650" s="133" t="s">
        <v>676</v>
      </c>
      <c r="E650" s="664" t="str">
        <f>+VLOOKUP(F650,Resumen_Base!$C$8:$G$287,5,0)</f>
        <v>Social Security Contributions</v>
      </c>
      <c r="F650" s="152" t="s">
        <v>333</v>
      </c>
      <c r="G650" s="4" t="s">
        <v>334</v>
      </c>
      <c r="H650" s="4" t="str">
        <f t="shared" si="9"/>
        <v>CAR5237</v>
      </c>
      <c r="I650" s="196">
        <v>333829</v>
      </c>
      <c r="J650" s="196">
        <v>228.65</v>
      </c>
      <c r="K650" s="196">
        <v>1460</v>
      </c>
      <c r="L650" s="454" t="s">
        <v>1049</v>
      </c>
      <c r="M650" s="4" t="s">
        <v>780</v>
      </c>
      <c r="N650" s="133" t="s">
        <v>1407</v>
      </c>
      <c r="O650" s="4" t="s">
        <v>2233</v>
      </c>
      <c r="P650" s="4" t="s">
        <v>892</v>
      </c>
      <c r="Q650" s="4" t="s">
        <v>2234</v>
      </c>
      <c r="R650" s="4" t="s">
        <v>2146</v>
      </c>
      <c r="S650" s="4" t="s">
        <v>2235</v>
      </c>
      <c r="T650" s="4" t="s">
        <v>786</v>
      </c>
    </row>
    <row r="651" spans="1:20" customFormat="1">
      <c r="A651" s="10"/>
      <c r="B651" s="4"/>
      <c r="C651" s="4"/>
      <c r="D651" s="133" t="s">
        <v>676</v>
      </c>
      <c r="E651" s="664" t="str">
        <f>+VLOOKUP(F651,Resumen_Base!$C$8:$G$287,5,0)</f>
        <v>Social Security Contributions</v>
      </c>
      <c r="F651" s="152" t="s">
        <v>333</v>
      </c>
      <c r="G651" s="4" t="s">
        <v>334</v>
      </c>
      <c r="H651" s="4" t="str">
        <f t="shared" si="9"/>
        <v>CAR5237</v>
      </c>
      <c r="I651" s="196">
        <v>333829</v>
      </c>
      <c r="J651" s="196">
        <v>228.65</v>
      </c>
      <c r="K651" s="196">
        <v>1460</v>
      </c>
      <c r="L651" s="454" t="s">
        <v>1049</v>
      </c>
      <c r="M651" s="4" t="s">
        <v>780</v>
      </c>
      <c r="N651" s="133" t="s">
        <v>1407</v>
      </c>
      <c r="O651" s="4" t="s">
        <v>2236</v>
      </c>
      <c r="P651" s="4" t="s">
        <v>892</v>
      </c>
      <c r="Q651" s="4" t="s">
        <v>2237</v>
      </c>
      <c r="R651" s="4" t="s">
        <v>2146</v>
      </c>
      <c r="S651" s="4" t="s">
        <v>2238</v>
      </c>
      <c r="T651" s="4" t="s">
        <v>786</v>
      </c>
    </row>
    <row r="652" spans="1:20" customFormat="1">
      <c r="A652" s="10"/>
      <c r="B652" s="4"/>
      <c r="C652" s="4"/>
      <c r="D652" s="133" t="s">
        <v>670</v>
      </c>
      <c r="E652" s="664" t="str">
        <f>+VLOOKUP(F652,Resumen_Base!$C$8:$G$287,5,0)</f>
        <v>Electricity</v>
      </c>
      <c r="F652" s="152" t="s">
        <v>41</v>
      </c>
      <c r="G652" s="4" t="s">
        <v>40</v>
      </c>
      <c r="H652" s="4" t="str">
        <f t="shared" ref="H652:H715" si="10">+D652&amp;F652</f>
        <v>SJ5247</v>
      </c>
      <c r="I652" s="196">
        <v>1915892.4</v>
      </c>
      <c r="J652" s="196">
        <v>1349.22</v>
      </c>
      <c r="K652" s="196">
        <v>1420</v>
      </c>
      <c r="L652" s="454" t="s">
        <v>787</v>
      </c>
      <c r="M652" s="4" t="s">
        <v>780</v>
      </c>
      <c r="N652" s="133" t="s">
        <v>781</v>
      </c>
      <c r="O652" s="4" t="s">
        <v>855</v>
      </c>
      <c r="P652" s="4" t="s">
        <v>783</v>
      </c>
      <c r="Q652" s="4" t="s">
        <v>856</v>
      </c>
      <c r="R652" s="4" t="s">
        <v>862</v>
      </c>
      <c r="S652" s="4" t="s">
        <v>857</v>
      </c>
      <c r="T652" s="4" t="s">
        <v>786</v>
      </c>
    </row>
    <row r="653" spans="1:20" customFormat="1">
      <c r="A653" s="10"/>
      <c r="B653" s="4"/>
      <c r="C653" s="4"/>
      <c r="D653" s="133" t="s">
        <v>670</v>
      </c>
      <c r="E653" s="664" t="str">
        <f>+VLOOKUP(F653,Resumen_Base!$C$8:$G$287,5,0)</f>
        <v>Electricity</v>
      </c>
      <c r="F653" s="152" t="s">
        <v>41</v>
      </c>
      <c r="G653" s="4" t="s">
        <v>40</v>
      </c>
      <c r="H653" s="4" t="str">
        <f t="shared" si="10"/>
        <v>SJ5247</v>
      </c>
      <c r="I653" s="196">
        <v>764596</v>
      </c>
      <c r="J653" s="196">
        <v>546.14</v>
      </c>
      <c r="K653" s="196">
        <v>1400</v>
      </c>
      <c r="L653" s="454" t="s">
        <v>1017</v>
      </c>
      <c r="M653" s="4" t="s">
        <v>780</v>
      </c>
      <c r="N653" s="133" t="s">
        <v>781</v>
      </c>
      <c r="O653" s="4" t="s">
        <v>1022</v>
      </c>
      <c r="P653" s="4" t="s">
        <v>892</v>
      </c>
      <c r="Q653" s="4" t="s">
        <v>1023</v>
      </c>
      <c r="R653" s="4" t="s">
        <v>862</v>
      </c>
      <c r="S653" s="4" t="s">
        <v>1024</v>
      </c>
      <c r="T653" s="4" t="s">
        <v>786</v>
      </c>
    </row>
    <row r="654" spans="1:20" customFormat="1">
      <c r="A654" s="10"/>
      <c r="B654" s="4"/>
      <c r="C654" s="4"/>
      <c r="D654" s="133" t="s">
        <v>670</v>
      </c>
      <c r="E654" s="664" t="str">
        <f>+VLOOKUP(F654,Resumen_Base!$C$8:$G$287,5,0)</f>
        <v>Electricity</v>
      </c>
      <c r="F654" s="152" t="s">
        <v>41</v>
      </c>
      <c r="G654" s="4" t="s">
        <v>40</v>
      </c>
      <c r="H654" s="4" t="str">
        <f t="shared" si="10"/>
        <v>SJ5247</v>
      </c>
      <c r="I654" s="196">
        <v>369200</v>
      </c>
      <c r="J654" s="196">
        <v>260</v>
      </c>
      <c r="K654" s="196">
        <v>1420</v>
      </c>
      <c r="L654" s="454" t="s">
        <v>1093</v>
      </c>
      <c r="M654" s="4" t="s">
        <v>780</v>
      </c>
      <c r="N654" s="133" t="s">
        <v>781</v>
      </c>
      <c r="O654" s="4" t="s">
        <v>1129</v>
      </c>
      <c r="P654" s="4" t="s">
        <v>892</v>
      </c>
      <c r="Q654" s="4" t="s">
        <v>1130</v>
      </c>
      <c r="R654" s="4" t="s">
        <v>1134</v>
      </c>
      <c r="S654" s="4" t="s">
        <v>1132</v>
      </c>
      <c r="T654" s="4" t="s">
        <v>786</v>
      </c>
    </row>
    <row r="655" spans="1:20" customFormat="1" ht="25">
      <c r="A655" s="736" t="s">
        <v>3393</v>
      </c>
      <c r="B655" s="361" t="s">
        <v>3398</v>
      </c>
      <c r="C655" s="4"/>
      <c r="D655" s="133" t="s">
        <v>676</v>
      </c>
      <c r="E655" s="664" t="str">
        <f>+VLOOKUP(F655,Resumen_Base!$C$8:$G$287,5,0)</f>
        <v>Travel for personnel (employees)</v>
      </c>
      <c r="F655" s="607" t="s">
        <v>68</v>
      </c>
      <c r="G655" s="597" t="s">
        <v>464</v>
      </c>
      <c r="H655" s="4" t="str">
        <f t="shared" si="10"/>
        <v>CAR5255</v>
      </c>
      <c r="I655" s="196">
        <v>151414.6</v>
      </c>
      <c r="J655" s="196">
        <v>106.63</v>
      </c>
      <c r="K655" s="196">
        <v>1420</v>
      </c>
      <c r="L655" s="454" t="s">
        <v>787</v>
      </c>
      <c r="M655" s="4" t="s">
        <v>780</v>
      </c>
      <c r="N655" s="133" t="s">
        <v>1407</v>
      </c>
      <c r="O655" s="4" t="s">
        <v>1490</v>
      </c>
      <c r="P655" s="4" t="s">
        <v>783</v>
      </c>
      <c r="Q655" s="4" t="s">
        <v>1491</v>
      </c>
      <c r="R655" s="4" t="s">
        <v>1508</v>
      </c>
      <c r="S655" s="4" t="s">
        <v>1493</v>
      </c>
      <c r="T655" s="4" t="s">
        <v>786</v>
      </c>
    </row>
    <row r="656" spans="1:20" customFormat="1">
      <c r="A656" s="10"/>
      <c r="B656" s="4"/>
      <c r="C656" s="4"/>
      <c r="D656" s="133" t="s">
        <v>676</v>
      </c>
      <c r="E656" s="664" t="str">
        <f>+VLOOKUP(F656,Resumen_Base!$C$8:$G$287,5,0)</f>
        <v>Electricity</v>
      </c>
      <c r="F656" s="152" t="s">
        <v>41</v>
      </c>
      <c r="G656" s="4" t="s">
        <v>40</v>
      </c>
      <c r="H656" s="4" t="str">
        <f t="shared" si="10"/>
        <v>CAR5247</v>
      </c>
      <c r="I656" s="196">
        <v>1960237.1</v>
      </c>
      <c r="J656" s="196">
        <v>1430.83</v>
      </c>
      <c r="K656" s="196">
        <v>1370</v>
      </c>
      <c r="L656" s="454" t="s">
        <v>787</v>
      </c>
      <c r="M656" s="4" t="s">
        <v>780</v>
      </c>
      <c r="N656" s="133" t="s">
        <v>1407</v>
      </c>
      <c r="O656" s="4" t="s">
        <v>1490</v>
      </c>
      <c r="P656" s="4" t="s">
        <v>783</v>
      </c>
      <c r="Q656" s="4" t="s">
        <v>1491</v>
      </c>
      <c r="R656" s="4" t="s">
        <v>1509</v>
      </c>
      <c r="S656" s="4" t="s">
        <v>1493</v>
      </c>
      <c r="T656" s="4" t="s">
        <v>786</v>
      </c>
    </row>
    <row r="657" spans="1:20" customFormat="1" ht="25">
      <c r="A657" s="736" t="s">
        <v>3393</v>
      </c>
      <c r="B657" s="361" t="s">
        <v>3398</v>
      </c>
      <c r="C657" s="4"/>
      <c r="D657" s="133" t="s">
        <v>676</v>
      </c>
      <c r="E657" s="664" t="str">
        <f>+VLOOKUP(F657,Resumen_Base!$C$8:$G$287,5,0)</f>
        <v>Travel for personnel (employees)</v>
      </c>
      <c r="F657" s="607" t="s">
        <v>68</v>
      </c>
      <c r="G657" s="597" t="s">
        <v>464</v>
      </c>
      <c r="H657" s="4" t="str">
        <f t="shared" si="10"/>
        <v>CAR5255</v>
      </c>
      <c r="I657" s="196">
        <v>542752.4</v>
      </c>
      <c r="J657" s="196">
        <v>382.22</v>
      </c>
      <c r="K657" s="196">
        <v>1420</v>
      </c>
      <c r="L657" s="454" t="s">
        <v>787</v>
      </c>
      <c r="M657" s="4" t="s">
        <v>780</v>
      </c>
      <c r="N657" s="133" t="s">
        <v>1407</v>
      </c>
      <c r="O657" s="4" t="s">
        <v>1490</v>
      </c>
      <c r="P657" s="4" t="s">
        <v>783</v>
      </c>
      <c r="Q657" s="4" t="s">
        <v>1491</v>
      </c>
      <c r="R657" s="4" t="s">
        <v>1510</v>
      </c>
      <c r="S657" s="4" t="s">
        <v>1493</v>
      </c>
      <c r="T657" s="4" t="s">
        <v>786</v>
      </c>
    </row>
    <row r="658" spans="1:20" customFormat="1">
      <c r="A658" s="10"/>
      <c r="B658" s="4"/>
      <c r="C658" s="4"/>
      <c r="D658" s="133" t="s">
        <v>676</v>
      </c>
      <c r="E658" s="664" t="str">
        <f>+VLOOKUP(F658,Resumen_Base!$C$8:$G$287,5,0)</f>
        <v>Electricity</v>
      </c>
      <c r="F658" s="152" t="s">
        <v>41</v>
      </c>
      <c r="G658" s="4" t="s">
        <v>40</v>
      </c>
      <c r="H658" s="4" t="str">
        <f t="shared" si="10"/>
        <v>CAR5247</v>
      </c>
      <c r="I658" s="196">
        <v>586557.4</v>
      </c>
      <c r="J658" s="196">
        <v>410.18</v>
      </c>
      <c r="K658" s="196">
        <v>1430</v>
      </c>
      <c r="L658" s="454" t="s">
        <v>890</v>
      </c>
      <c r="M658" s="4" t="s">
        <v>780</v>
      </c>
      <c r="N658" s="133" t="s">
        <v>1407</v>
      </c>
      <c r="O658" s="4" t="s">
        <v>1763</v>
      </c>
      <c r="P658" s="4" t="s">
        <v>892</v>
      </c>
      <c r="Q658" s="4" t="s">
        <v>1764</v>
      </c>
      <c r="R658" s="4" t="s">
        <v>1774</v>
      </c>
      <c r="S658" s="4" t="s">
        <v>1765</v>
      </c>
      <c r="T658" s="4" t="s">
        <v>786</v>
      </c>
    </row>
    <row r="659" spans="1:20" customFormat="1">
      <c r="A659" s="10"/>
      <c r="B659" s="4"/>
      <c r="C659" s="4"/>
      <c r="D659" s="133" t="s">
        <v>676</v>
      </c>
      <c r="E659" s="664" t="str">
        <f>+VLOOKUP(F659,Resumen_Base!$C$8:$G$287,5,0)</f>
        <v>Electricity</v>
      </c>
      <c r="F659" s="152" t="s">
        <v>41</v>
      </c>
      <c r="G659" s="4" t="s">
        <v>40</v>
      </c>
      <c r="H659" s="4" t="str">
        <f t="shared" si="10"/>
        <v>CAR5247</v>
      </c>
      <c r="I659" s="196">
        <v>445130.4</v>
      </c>
      <c r="J659" s="196">
        <v>311.27999999999997</v>
      </c>
      <c r="K659" s="196">
        <v>1430</v>
      </c>
      <c r="L659" s="454" t="s">
        <v>890</v>
      </c>
      <c r="M659" s="4" t="s">
        <v>780</v>
      </c>
      <c r="N659" s="133" t="s">
        <v>1407</v>
      </c>
      <c r="O659" s="4" t="s">
        <v>1763</v>
      </c>
      <c r="P659" s="4" t="s">
        <v>892</v>
      </c>
      <c r="Q659" s="4" t="s">
        <v>1764</v>
      </c>
      <c r="R659" s="4" t="s">
        <v>1784</v>
      </c>
      <c r="S659" s="4" t="s">
        <v>1765</v>
      </c>
      <c r="T659" s="4" t="s">
        <v>786</v>
      </c>
    </row>
    <row r="660" spans="1:20" customFormat="1">
      <c r="A660" s="10"/>
      <c r="B660" s="4"/>
      <c r="C660" s="4"/>
      <c r="D660" s="133" t="s">
        <v>676</v>
      </c>
      <c r="E660" s="664" t="str">
        <f>+VLOOKUP(F660,Resumen_Base!$C$8:$G$287,5,0)</f>
        <v>Electricity</v>
      </c>
      <c r="F660" s="152" t="s">
        <v>41</v>
      </c>
      <c r="G660" s="4" t="s">
        <v>40</v>
      </c>
      <c r="H660" s="4" t="str">
        <f t="shared" si="10"/>
        <v>CAR5247</v>
      </c>
      <c r="I660" s="196">
        <v>38175</v>
      </c>
      <c r="J660" s="196">
        <v>25.45</v>
      </c>
      <c r="K660" s="196">
        <v>1500</v>
      </c>
      <c r="L660" s="454" t="s">
        <v>1017</v>
      </c>
      <c r="M660" s="4" t="s">
        <v>780</v>
      </c>
      <c r="N660" s="133" t="s">
        <v>1407</v>
      </c>
      <c r="O660" s="4" t="s">
        <v>1946</v>
      </c>
      <c r="P660" s="4" t="s">
        <v>892</v>
      </c>
      <c r="Q660" s="4" t="s">
        <v>1947</v>
      </c>
      <c r="R660" s="4" t="s">
        <v>1976</v>
      </c>
      <c r="S660" s="4" t="s">
        <v>1949</v>
      </c>
      <c r="T660" s="4" t="s">
        <v>786</v>
      </c>
    </row>
    <row r="661" spans="1:20" customFormat="1">
      <c r="A661" s="10"/>
      <c r="B661" s="4"/>
      <c r="C661" s="4"/>
      <c r="D661" s="133" t="s">
        <v>676</v>
      </c>
      <c r="E661" s="664" t="str">
        <f>+VLOOKUP(F661,Resumen_Base!$C$8:$G$287,5,0)</f>
        <v>Electricity</v>
      </c>
      <c r="F661" s="152" t="s">
        <v>41</v>
      </c>
      <c r="G661" s="4" t="s">
        <v>40</v>
      </c>
      <c r="H661" s="4" t="str">
        <f t="shared" si="10"/>
        <v>CAR5247</v>
      </c>
      <c r="I661" s="196">
        <v>1673042</v>
      </c>
      <c r="J661" s="196">
        <v>1195.03</v>
      </c>
      <c r="K661" s="196">
        <v>1400</v>
      </c>
      <c r="L661" s="454" t="s">
        <v>1017</v>
      </c>
      <c r="M661" s="4" t="s">
        <v>780</v>
      </c>
      <c r="N661" s="133" t="s">
        <v>1407</v>
      </c>
      <c r="O661" s="4" t="s">
        <v>2006</v>
      </c>
      <c r="P661" s="4" t="s">
        <v>892</v>
      </c>
      <c r="Q661" s="4" t="s">
        <v>2007</v>
      </c>
      <c r="R661" s="4" t="s">
        <v>1509</v>
      </c>
      <c r="S661" s="4" t="s">
        <v>2009</v>
      </c>
      <c r="T661" s="4" t="s">
        <v>786</v>
      </c>
    </row>
    <row r="662" spans="1:20" customFormat="1" ht="25">
      <c r="A662" s="736" t="s">
        <v>3394</v>
      </c>
      <c r="B662" s="361" t="s">
        <v>3398</v>
      </c>
      <c r="C662" s="4"/>
      <c r="D662" s="133" t="s">
        <v>676</v>
      </c>
      <c r="E662" s="664" t="str">
        <f>+VLOOKUP(F662,Resumen_Base!$C$8:$G$287,5,0)</f>
        <v>Electricity - Gas for Boats &amp; Vehicles</v>
      </c>
      <c r="F662" s="607" t="s">
        <v>64</v>
      </c>
      <c r="G662" s="597" t="s">
        <v>461</v>
      </c>
      <c r="H662" s="4" t="str">
        <f t="shared" si="10"/>
        <v>CAR5248</v>
      </c>
      <c r="I662" s="196">
        <v>-1746043.2</v>
      </c>
      <c r="J662" s="196">
        <v>-1195.92</v>
      </c>
      <c r="K662" s="196">
        <v>1460</v>
      </c>
      <c r="L662" s="454" t="s">
        <v>1049</v>
      </c>
      <c r="M662" s="4" t="s">
        <v>780</v>
      </c>
      <c r="N662" s="133" t="s">
        <v>1407</v>
      </c>
      <c r="O662" s="4" t="s">
        <v>2127</v>
      </c>
      <c r="P662" s="4" t="s">
        <v>892</v>
      </c>
      <c r="Q662" s="4" t="s">
        <v>2128</v>
      </c>
      <c r="R662" s="4" t="s">
        <v>2136</v>
      </c>
      <c r="S662" s="4" t="s">
        <v>2129</v>
      </c>
      <c r="T662" s="4" t="s">
        <v>786</v>
      </c>
    </row>
    <row r="663" spans="1:20" customFormat="1" ht="25">
      <c r="A663" s="736" t="s">
        <v>3394</v>
      </c>
      <c r="B663" s="361" t="s">
        <v>3398</v>
      </c>
      <c r="C663" s="4"/>
      <c r="D663" s="133" t="s">
        <v>676</v>
      </c>
      <c r="E663" s="664" t="str">
        <f>+VLOOKUP(F663,Resumen_Base!$C$8:$G$287,5,0)</f>
        <v>Electricity - Gas for Boats &amp; Vehicles</v>
      </c>
      <c r="F663" s="607" t="s">
        <v>64</v>
      </c>
      <c r="G663" s="597" t="s">
        <v>461</v>
      </c>
      <c r="H663" s="4" t="str">
        <f t="shared" si="10"/>
        <v>CAR5248</v>
      </c>
      <c r="I663" s="196">
        <v>1746043.2</v>
      </c>
      <c r="J663" s="196">
        <v>1195.92</v>
      </c>
      <c r="K663" s="196">
        <v>1460</v>
      </c>
      <c r="L663" s="454" t="s">
        <v>1049</v>
      </c>
      <c r="M663" s="4" t="s">
        <v>780</v>
      </c>
      <c r="N663" s="133" t="s">
        <v>1407</v>
      </c>
      <c r="O663" s="4" t="s">
        <v>2233</v>
      </c>
      <c r="P663" s="4" t="s">
        <v>892</v>
      </c>
      <c r="Q663" s="4" t="s">
        <v>2234</v>
      </c>
      <c r="R663" s="4" t="s">
        <v>2136</v>
      </c>
      <c r="S663" s="4" t="s">
        <v>2235</v>
      </c>
      <c r="T663" s="4" t="s">
        <v>786</v>
      </c>
    </row>
    <row r="664" spans="1:20" customFormat="1" ht="25">
      <c r="A664" s="736" t="s">
        <v>3394</v>
      </c>
      <c r="B664" s="361" t="s">
        <v>3398</v>
      </c>
      <c r="C664" s="4"/>
      <c r="D664" s="133" t="s">
        <v>676</v>
      </c>
      <c r="E664" s="664" t="str">
        <f>+VLOOKUP(F664,Resumen_Base!$C$8:$G$287,5,0)</f>
        <v>Electricity - Gas for Boats &amp; Vehicles</v>
      </c>
      <c r="F664" s="607" t="s">
        <v>64</v>
      </c>
      <c r="G664" s="597" t="s">
        <v>461</v>
      </c>
      <c r="H664" s="4" t="str">
        <f t="shared" si="10"/>
        <v>CAR5248</v>
      </c>
      <c r="I664" s="196">
        <v>1746043.2</v>
      </c>
      <c r="J664" s="196">
        <v>1195.92</v>
      </c>
      <c r="K664" s="196">
        <v>1460</v>
      </c>
      <c r="L664" s="454" t="s">
        <v>1049</v>
      </c>
      <c r="M664" s="4" t="s">
        <v>780</v>
      </c>
      <c r="N664" s="133" t="s">
        <v>1407</v>
      </c>
      <c r="O664" s="4" t="s">
        <v>2236</v>
      </c>
      <c r="P664" s="4" t="s">
        <v>892</v>
      </c>
      <c r="Q664" s="4" t="s">
        <v>2237</v>
      </c>
      <c r="R664" s="4" t="s">
        <v>2136</v>
      </c>
      <c r="S664" s="4" t="s">
        <v>2238</v>
      </c>
      <c r="T664" s="4" t="s">
        <v>786</v>
      </c>
    </row>
    <row r="665" spans="1:20" customFormat="1">
      <c r="A665" s="10"/>
      <c r="B665" s="4"/>
      <c r="C665" s="4"/>
      <c r="D665" s="133" t="s">
        <v>676</v>
      </c>
      <c r="E665" s="664" t="str">
        <f>+VLOOKUP(F665,Resumen_Base!$C$8:$G$287,5,0)</f>
        <v>Electricity</v>
      </c>
      <c r="F665" s="152" t="s">
        <v>41</v>
      </c>
      <c r="G665" s="4" t="s">
        <v>40</v>
      </c>
      <c r="H665" s="4" t="str">
        <f t="shared" si="10"/>
        <v>CAR5247</v>
      </c>
      <c r="I665" s="196">
        <v>-296780</v>
      </c>
      <c r="J665" s="196">
        <v>-209</v>
      </c>
      <c r="K665" s="196">
        <v>1420</v>
      </c>
      <c r="L665" s="454" t="s">
        <v>2332</v>
      </c>
      <c r="M665" s="4" t="s">
        <v>780</v>
      </c>
      <c r="N665" s="133" t="s">
        <v>1407</v>
      </c>
      <c r="O665" s="4" t="s">
        <v>2333</v>
      </c>
      <c r="P665" s="4" t="s">
        <v>892</v>
      </c>
      <c r="Q665" s="4" t="s">
        <v>2334</v>
      </c>
      <c r="R665" s="4" t="s">
        <v>2335</v>
      </c>
      <c r="S665" s="4" t="s">
        <v>2336</v>
      </c>
      <c r="T665" s="4" t="s">
        <v>786</v>
      </c>
    </row>
    <row r="666" spans="1:20" customFormat="1">
      <c r="A666" s="10"/>
      <c r="B666" s="4"/>
      <c r="C666" s="4"/>
      <c r="D666" s="133" t="s">
        <v>676</v>
      </c>
      <c r="E666" s="664" t="str">
        <f>+VLOOKUP(F666,Resumen_Base!$C$8:$G$287,5,0)</f>
        <v>Electricity</v>
      </c>
      <c r="F666" s="152" t="s">
        <v>41</v>
      </c>
      <c r="G666" s="4" t="s">
        <v>40</v>
      </c>
      <c r="H666" s="4" t="str">
        <f t="shared" si="10"/>
        <v>CAR5247</v>
      </c>
      <c r="I666" s="196">
        <v>-4558.2</v>
      </c>
      <c r="J666" s="196">
        <v>-3.21</v>
      </c>
      <c r="K666" s="196">
        <v>1420</v>
      </c>
      <c r="L666" s="454" t="s">
        <v>1098</v>
      </c>
      <c r="M666" s="4" t="s">
        <v>780</v>
      </c>
      <c r="N666" s="133" t="s">
        <v>1407</v>
      </c>
      <c r="O666" s="4" t="s">
        <v>2338</v>
      </c>
      <c r="P666" s="4" t="s">
        <v>892</v>
      </c>
      <c r="Q666" s="4" t="s">
        <v>2339</v>
      </c>
      <c r="R666" s="4" t="s">
        <v>2340</v>
      </c>
      <c r="S666" s="4" t="s">
        <v>2341</v>
      </c>
      <c r="T666" s="4" t="s">
        <v>786</v>
      </c>
    </row>
    <row r="667" spans="1:20" customFormat="1">
      <c r="A667" s="10"/>
      <c r="B667" s="4"/>
      <c r="C667" s="4"/>
      <c r="D667" s="133" t="s">
        <v>676</v>
      </c>
      <c r="E667" s="664" t="str">
        <f>+VLOOKUP(F667,Resumen_Base!$C$8:$G$287,5,0)</f>
        <v>Electricity</v>
      </c>
      <c r="F667" s="152" t="s">
        <v>41</v>
      </c>
      <c r="G667" s="4" t="s">
        <v>40</v>
      </c>
      <c r="H667" s="4" t="str">
        <f t="shared" si="10"/>
        <v>CAR5247</v>
      </c>
      <c r="I667" s="196">
        <v>1095714.6000000001</v>
      </c>
      <c r="J667" s="196">
        <v>771.63</v>
      </c>
      <c r="K667" s="196">
        <v>1420</v>
      </c>
      <c r="L667" s="454" t="s">
        <v>1098</v>
      </c>
      <c r="M667" s="4" t="s">
        <v>780</v>
      </c>
      <c r="N667" s="133" t="s">
        <v>1407</v>
      </c>
      <c r="O667" s="4" t="s">
        <v>2423</v>
      </c>
      <c r="P667" s="4" t="s">
        <v>892</v>
      </c>
      <c r="Q667" s="4" t="s">
        <v>2424</v>
      </c>
      <c r="R667" s="4" t="s">
        <v>2430</v>
      </c>
      <c r="S667" s="4" t="s">
        <v>2426</v>
      </c>
      <c r="T667" s="4" t="s">
        <v>786</v>
      </c>
    </row>
    <row r="668" spans="1:20" customFormat="1">
      <c r="A668" s="10"/>
      <c r="B668" s="4"/>
      <c r="C668" s="4"/>
      <c r="D668" s="133" t="s">
        <v>676</v>
      </c>
      <c r="E668" s="664" t="str">
        <f>+VLOOKUP(F668,Resumen_Base!$C$8:$G$287,5,0)</f>
        <v>Electricity</v>
      </c>
      <c r="F668" s="152" t="s">
        <v>41</v>
      </c>
      <c r="G668" s="4" t="s">
        <v>40</v>
      </c>
      <c r="H668" s="4" t="str">
        <f t="shared" si="10"/>
        <v>CAR5247</v>
      </c>
      <c r="I668" s="196">
        <v>295189.59999999998</v>
      </c>
      <c r="J668" s="196">
        <v>207.88</v>
      </c>
      <c r="K668" s="196">
        <v>1420</v>
      </c>
      <c r="L668" s="454" t="s">
        <v>1098</v>
      </c>
      <c r="M668" s="4" t="s">
        <v>780</v>
      </c>
      <c r="N668" s="133" t="s">
        <v>1407</v>
      </c>
      <c r="O668" s="4" t="s">
        <v>2423</v>
      </c>
      <c r="P668" s="4" t="s">
        <v>892</v>
      </c>
      <c r="Q668" s="4" t="s">
        <v>2424</v>
      </c>
      <c r="R668" s="4" t="s">
        <v>2431</v>
      </c>
      <c r="S668" s="4" t="s">
        <v>2426</v>
      </c>
      <c r="T668" s="4" t="s">
        <v>786</v>
      </c>
    </row>
    <row r="669" spans="1:20" customFormat="1">
      <c r="A669" s="10"/>
      <c r="B669" s="4"/>
      <c r="C669" s="4"/>
      <c r="D669" s="133" t="s">
        <v>676</v>
      </c>
      <c r="E669" s="664" t="str">
        <f>+VLOOKUP(F669,Resumen_Base!$C$8:$G$287,5,0)</f>
        <v>Electricity</v>
      </c>
      <c r="F669" s="152" t="s">
        <v>41</v>
      </c>
      <c r="G669" s="4" t="s">
        <v>40</v>
      </c>
      <c r="H669" s="4" t="str">
        <f t="shared" si="10"/>
        <v>CAR5247</v>
      </c>
      <c r="I669" s="196">
        <v>1581510.8</v>
      </c>
      <c r="J669" s="196">
        <v>1113.74</v>
      </c>
      <c r="K669" s="196">
        <v>1420</v>
      </c>
      <c r="L669" s="454" t="s">
        <v>1098</v>
      </c>
      <c r="M669" s="4" t="s">
        <v>780</v>
      </c>
      <c r="N669" s="133" t="s">
        <v>1407</v>
      </c>
      <c r="O669" s="4" t="s">
        <v>2423</v>
      </c>
      <c r="P669" s="4" t="s">
        <v>892</v>
      </c>
      <c r="Q669" s="4" t="s">
        <v>2424</v>
      </c>
      <c r="R669" s="4" t="s">
        <v>2432</v>
      </c>
      <c r="S669" s="4" t="s">
        <v>2426</v>
      </c>
      <c r="T669" s="4" t="s">
        <v>786</v>
      </c>
    </row>
    <row r="670" spans="1:20" customFormat="1">
      <c r="A670" s="10"/>
      <c r="B670" s="4"/>
      <c r="C670" s="4"/>
      <c r="D670" s="133" t="s">
        <v>676</v>
      </c>
      <c r="E670" s="664" t="str">
        <f>+VLOOKUP(F670,Resumen_Base!$C$8:$G$287,5,0)</f>
        <v>Electricity</v>
      </c>
      <c r="F670" s="152" t="s">
        <v>41</v>
      </c>
      <c r="G670" s="4" t="s">
        <v>40</v>
      </c>
      <c r="H670" s="4" t="str">
        <f t="shared" si="10"/>
        <v>CAR5247</v>
      </c>
      <c r="I670" s="196">
        <v>296780</v>
      </c>
      <c r="J670" s="196">
        <v>209</v>
      </c>
      <c r="K670" s="196">
        <v>1420</v>
      </c>
      <c r="L670" s="454" t="s">
        <v>2332</v>
      </c>
      <c r="M670" s="4" t="s">
        <v>780</v>
      </c>
      <c r="N670" s="133" t="s">
        <v>1407</v>
      </c>
      <c r="O670" s="4" t="s">
        <v>2436</v>
      </c>
      <c r="P670" s="4" t="s">
        <v>892</v>
      </c>
      <c r="Q670" s="4" t="s">
        <v>2437</v>
      </c>
      <c r="R670" s="4" t="s">
        <v>2335</v>
      </c>
      <c r="S670" s="4" t="s">
        <v>2438</v>
      </c>
      <c r="T670" s="4" t="s">
        <v>786</v>
      </c>
    </row>
    <row r="671" spans="1:20" customFormat="1">
      <c r="A671" s="10"/>
      <c r="B671" s="4"/>
      <c r="C671" s="4"/>
      <c r="D671" s="133" t="s">
        <v>676</v>
      </c>
      <c r="E671" s="664" t="str">
        <f>+VLOOKUP(F671,Resumen_Base!$C$8:$G$287,5,0)</f>
        <v>Electricity</v>
      </c>
      <c r="F671" s="152" t="s">
        <v>41</v>
      </c>
      <c r="G671" s="4" t="s">
        <v>40</v>
      </c>
      <c r="H671" s="4" t="str">
        <f t="shared" si="10"/>
        <v>CAR5247</v>
      </c>
      <c r="I671" s="196">
        <v>296780</v>
      </c>
      <c r="J671" s="196">
        <v>209</v>
      </c>
      <c r="K671" s="196">
        <v>1420</v>
      </c>
      <c r="L671" s="454" t="s">
        <v>1093</v>
      </c>
      <c r="M671" s="4" t="s">
        <v>780</v>
      </c>
      <c r="N671" s="133" t="s">
        <v>1407</v>
      </c>
      <c r="O671" s="4" t="s">
        <v>2439</v>
      </c>
      <c r="P671" s="4" t="s">
        <v>892</v>
      </c>
      <c r="Q671" s="4" t="s">
        <v>2440</v>
      </c>
      <c r="R671" s="4" t="s">
        <v>2335</v>
      </c>
      <c r="S671" s="4" t="s">
        <v>2441</v>
      </c>
      <c r="T671" s="4" t="s">
        <v>786</v>
      </c>
    </row>
    <row r="672" spans="1:20" customFormat="1">
      <c r="A672" s="720" t="s">
        <v>2806</v>
      </c>
      <c r="B672" s="330"/>
      <c r="C672" s="330"/>
      <c r="D672" s="203" t="s">
        <v>676</v>
      </c>
      <c r="E672" s="714" t="str">
        <f>+VLOOKUP(F672,Resumen_Base!$C$8:$G$287,5,0)</f>
        <v>Electricity - Gas for Boats &amp; Vehicles</v>
      </c>
      <c r="F672" s="330" t="s">
        <v>64</v>
      </c>
      <c r="G672" s="330" t="s">
        <v>65</v>
      </c>
      <c r="H672" s="330" t="str">
        <f t="shared" si="10"/>
        <v>CAR5248</v>
      </c>
      <c r="I672" s="715">
        <v>113003.6</v>
      </c>
      <c r="J672" s="715">
        <v>79.58</v>
      </c>
      <c r="K672" s="715">
        <v>1420</v>
      </c>
      <c r="L672" s="456" t="s">
        <v>787</v>
      </c>
      <c r="M672" s="330" t="s">
        <v>780</v>
      </c>
      <c r="N672" s="203" t="s">
        <v>781</v>
      </c>
      <c r="O672" s="330" t="s">
        <v>830</v>
      </c>
      <c r="P672" s="330" t="s">
        <v>783</v>
      </c>
      <c r="Q672" s="330" t="s">
        <v>831</v>
      </c>
      <c r="R672" s="330" t="s">
        <v>834</v>
      </c>
      <c r="S672" s="330" t="s">
        <v>833</v>
      </c>
      <c r="T672" s="330" t="s">
        <v>786</v>
      </c>
    </row>
    <row r="673" spans="1:20" customFormat="1">
      <c r="A673" s="10"/>
      <c r="B673" s="4"/>
      <c r="C673" s="4"/>
      <c r="D673" s="133" t="s">
        <v>670</v>
      </c>
      <c r="E673" s="664" t="str">
        <f>+VLOOKUP(F673,Resumen_Base!$C$8:$G$287,5,0)</f>
        <v>Electricity - Gas for Boats &amp; Vehicles</v>
      </c>
      <c r="F673" s="152" t="s">
        <v>64</v>
      </c>
      <c r="G673" s="4" t="s">
        <v>65</v>
      </c>
      <c r="H673" s="4" t="str">
        <f t="shared" si="10"/>
        <v>SJ5248</v>
      </c>
      <c r="I673" s="196">
        <v>113.6</v>
      </c>
      <c r="J673" s="196">
        <v>0.08</v>
      </c>
      <c r="K673" s="196">
        <v>1420</v>
      </c>
      <c r="L673" s="454" t="s">
        <v>787</v>
      </c>
      <c r="M673" s="4" t="s">
        <v>780</v>
      </c>
      <c r="N673" s="133" t="s">
        <v>781</v>
      </c>
      <c r="O673" s="4" t="s">
        <v>830</v>
      </c>
      <c r="P673" s="4" t="s">
        <v>783</v>
      </c>
      <c r="Q673" s="4" t="s">
        <v>831</v>
      </c>
      <c r="R673" s="4" t="s">
        <v>832</v>
      </c>
      <c r="S673" s="4" t="s">
        <v>833</v>
      </c>
      <c r="T673" s="4" t="s">
        <v>786</v>
      </c>
    </row>
    <row r="674" spans="1:20" customFormat="1">
      <c r="A674" s="10"/>
      <c r="B674" s="4"/>
      <c r="C674" s="4"/>
      <c r="D674" s="133" t="s">
        <v>670</v>
      </c>
      <c r="E674" s="664" t="str">
        <f>+VLOOKUP(F674,Resumen_Base!$C$8:$G$287,5,0)</f>
        <v>Electricity - Gas for Boats &amp; Vehicles</v>
      </c>
      <c r="F674" s="152" t="s">
        <v>64</v>
      </c>
      <c r="G674" s="4" t="s">
        <v>65</v>
      </c>
      <c r="H674" s="4" t="str">
        <f t="shared" si="10"/>
        <v>SJ5248</v>
      </c>
      <c r="I674" s="196">
        <v>2712.2</v>
      </c>
      <c r="J674" s="196">
        <v>1.91</v>
      </c>
      <c r="K674" s="196">
        <v>1420</v>
      </c>
      <c r="L674" s="454" t="s">
        <v>787</v>
      </c>
      <c r="M674" s="4" t="s">
        <v>780</v>
      </c>
      <c r="N674" s="133" t="s">
        <v>781</v>
      </c>
      <c r="O674" s="4" t="s">
        <v>855</v>
      </c>
      <c r="P674" s="4" t="s">
        <v>783</v>
      </c>
      <c r="Q674" s="4" t="s">
        <v>856</v>
      </c>
      <c r="R674" s="4" t="s">
        <v>832</v>
      </c>
      <c r="S674" s="4" t="s">
        <v>857</v>
      </c>
      <c r="T674" s="4" t="s">
        <v>786</v>
      </c>
    </row>
    <row r="675" spans="1:20" customFormat="1">
      <c r="A675" s="10"/>
      <c r="B675" s="4"/>
      <c r="C675" s="4"/>
      <c r="D675" s="133" t="s">
        <v>670</v>
      </c>
      <c r="E675" s="664" t="str">
        <f>+VLOOKUP(F675,Resumen_Base!$C$8:$G$287,5,0)</f>
        <v>Electricity - Gas for Boats &amp; Vehicles</v>
      </c>
      <c r="F675" s="152" t="s">
        <v>64</v>
      </c>
      <c r="G675" s="4" t="s">
        <v>65</v>
      </c>
      <c r="H675" s="4" t="str">
        <f t="shared" si="10"/>
        <v>SJ5248</v>
      </c>
      <c r="I675" s="196">
        <v>14271</v>
      </c>
      <c r="J675" s="196">
        <v>10.050000000000001</v>
      </c>
      <c r="K675" s="196">
        <v>1420</v>
      </c>
      <c r="L675" s="454" t="s">
        <v>787</v>
      </c>
      <c r="M675" s="4" t="s">
        <v>780</v>
      </c>
      <c r="N675" s="133" t="s">
        <v>781</v>
      </c>
      <c r="O675" s="4" t="s">
        <v>855</v>
      </c>
      <c r="P675" s="4" t="s">
        <v>783</v>
      </c>
      <c r="Q675" s="4" t="s">
        <v>856</v>
      </c>
      <c r="R675" s="4" t="s">
        <v>832</v>
      </c>
      <c r="S675" s="4" t="s">
        <v>857</v>
      </c>
      <c r="T675" s="4" t="s">
        <v>786</v>
      </c>
    </row>
    <row r="676" spans="1:20" customFormat="1">
      <c r="A676" s="882" t="s">
        <v>2811</v>
      </c>
      <c r="B676" s="219"/>
      <c r="C676" s="219"/>
      <c r="D676" s="717" t="s">
        <v>670</v>
      </c>
      <c r="E676" s="375" t="str">
        <f>+VLOOKUP(F676,Resumen_Base!$C$8:$G$287,5,0)</f>
        <v>Electricity - Gas for Boats &amp; Vehicles</v>
      </c>
      <c r="F676" s="360" t="s">
        <v>64</v>
      </c>
      <c r="G676" s="219" t="s">
        <v>65</v>
      </c>
      <c r="H676" s="219" t="str">
        <f t="shared" si="10"/>
        <v>SJ5248</v>
      </c>
      <c r="I676" s="718">
        <v>11341639.4</v>
      </c>
      <c r="J676" s="718">
        <v>7987.07</v>
      </c>
      <c r="K676" s="718">
        <v>1420</v>
      </c>
      <c r="L676" s="719" t="s">
        <v>787</v>
      </c>
      <c r="M676" s="219" t="s">
        <v>780</v>
      </c>
      <c r="N676" s="717" t="s">
        <v>781</v>
      </c>
      <c r="O676" s="219" t="s">
        <v>855</v>
      </c>
      <c r="P676" s="219" t="s">
        <v>783</v>
      </c>
      <c r="Q676" s="219" t="s">
        <v>856</v>
      </c>
      <c r="R676" s="219" t="s">
        <v>861</v>
      </c>
      <c r="S676" s="4" t="s">
        <v>857</v>
      </c>
      <c r="T676" s="4" t="s">
        <v>786</v>
      </c>
    </row>
    <row r="677" spans="1:20" customFormat="1" ht="28" customHeight="1">
      <c r="A677" s="882"/>
      <c r="B677" s="219"/>
      <c r="C677" s="219"/>
      <c r="D677" s="717" t="s">
        <v>670</v>
      </c>
      <c r="E677" s="375" t="str">
        <f>+VLOOKUP(F677,Resumen_Base!$C$8:$G$287,5,0)</f>
        <v>Electricity - Gas for Boats &amp; Vehicles</v>
      </c>
      <c r="F677" s="360" t="s">
        <v>64</v>
      </c>
      <c r="G677" s="219" t="s">
        <v>65</v>
      </c>
      <c r="H677" s="219" t="str">
        <f t="shared" si="10"/>
        <v>SJ5248</v>
      </c>
      <c r="I677" s="718">
        <v>4576376</v>
      </c>
      <c r="J677" s="718">
        <v>3222.8</v>
      </c>
      <c r="K677" s="718">
        <v>1420</v>
      </c>
      <c r="L677" s="719" t="s">
        <v>787</v>
      </c>
      <c r="M677" s="219" t="s">
        <v>780</v>
      </c>
      <c r="N677" s="717" t="s">
        <v>781</v>
      </c>
      <c r="O677" s="219" t="s">
        <v>855</v>
      </c>
      <c r="P677" s="219" t="s">
        <v>783</v>
      </c>
      <c r="Q677" s="219" t="s">
        <v>856</v>
      </c>
      <c r="R677" s="219" t="s">
        <v>873</v>
      </c>
      <c r="S677" s="4" t="s">
        <v>857</v>
      </c>
      <c r="T677" s="4" t="s">
        <v>786</v>
      </c>
    </row>
    <row r="678" spans="1:20" customFormat="1" ht="25">
      <c r="A678" s="736" t="s">
        <v>3395</v>
      </c>
      <c r="B678" s="361" t="s">
        <v>3399</v>
      </c>
      <c r="C678" s="4"/>
      <c r="D678" s="133" t="s">
        <v>670</v>
      </c>
      <c r="E678" s="664" t="str">
        <f>+VLOOKUP(F678,Resumen_Base!$C$8:$G$287,5,0)</f>
        <v>Travel for personnel (employees)</v>
      </c>
      <c r="F678" s="607" t="s">
        <v>68</v>
      </c>
      <c r="G678" s="597" t="s">
        <v>464</v>
      </c>
      <c r="H678" s="4" t="str">
        <f t="shared" si="10"/>
        <v>SJ5255</v>
      </c>
      <c r="I678" s="196">
        <v>142919.79999999999</v>
      </c>
      <c r="J678" s="196">
        <v>102.82</v>
      </c>
      <c r="K678" s="196">
        <v>1390</v>
      </c>
      <c r="L678" s="454" t="s">
        <v>899</v>
      </c>
      <c r="M678" s="4" t="s">
        <v>780</v>
      </c>
      <c r="N678" s="133" t="s">
        <v>781</v>
      </c>
      <c r="O678" s="4" t="s">
        <v>943</v>
      </c>
      <c r="P678" s="4" t="s">
        <v>892</v>
      </c>
      <c r="Q678" s="4" t="s">
        <v>944</v>
      </c>
      <c r="R678" s="4" t="s">
        <v>950</v>
      </c>
      <c r="S678" s="4" t="s">
        <v>946</v>
      </c>
      <c r="T678" s="4" t="s">
        <v>786</v>
      </c>
    </row>
    <row r="679" spans="1:20" customFormat="1" ht="25">
      <c r="A679" s="736" t="s">
        <v>3395</v>
      </c>
      <c r="B679" s="361" t="s">
        <v>3399</v>
      </c>
      <c r="C679" s="4"/>
      <c r="D679" s="133" t="s">
        <v>670</v>
      </c>
      <c r="E679" s="664" t="str">
        <f>+VLOOKUP(F679,Resumen_Base!$C$8:$G$287,5,0)</f>
        <v>Travel for personnel (employees)</v>
      </c>
      <c r="F679" s="607" t="s">
        <v>68</v>
      </c>
      <c r="G679" s="597" t="s">
        <v>464</v>
      </c>
      <c r="H679" s="4" t="str">
        <f t="shared" si="10"/>
        <v>SJ5255</v>
      </c>
      <c r="I679" s="196">
        <v>140540.4</v>
      </c>
      <c r="J679" s="196">
        <v>98.28</v>
      </c>
      <c r="K679" s="196">
        <v>1430</v>
      </c>
      <c r="L679" s="454" t="s">
        <v>890</v>
      </c>
      <c r="M679" s="4" t="s">
        <v>780</v>
      </c>
      <c r="N679" s="133" t="s">
        <v>781</v>
      </c>
      <c r="O679" s="4" t="s">
        <v>951</v>
      </c>
      <c r="P679" s="4" t="s">
        <v>892</v>
      </c>
      <c r="Q679" s="4" t="s">
        <v>952</v>
      </c>
      <c r="R679" s="4" t="s">
        <v>960</v>
      </c>
      <c r="S679" s="4" t="s">
        <v>954</v>
      </c>
      <c r="T679" s="4" t="s">
        <v>786</v>
      </c>
    </row>
    <row r="680" spans="1:20" customFormat="1" ht="25">
      <c r="A680" s="736" t="s">
        <v>3395</v>
      </c>
      <c r="B680" s="361" t="s">
        <v>3399</v>
      </c>
      <c r="C680" s="4"/>
      <c r="D680" s="133" t="s">
        <v>670</v>
      </c>
      <c r="E680" s="664" t="str">
        <f>+VLOOKUP(F680,Resumen_Base!$C$8:$G$287,5,0)</f>
        <v>Travel for personnel (employees)</v>
      </c>
      <c r="F680" s="607" t="s">
        <v>68</v>
      </c>
      <c r="G680" s="597" t="s">
        <v>464</v>
      </c>
      <c r="H680" s="4" t="str">
        <f t="shared" si="10"/>
        <v>SJ5255</v>
      </c>
      <c r="I680" s="196">
        <v>-2788.6</v>
      </c>
      <c r="J680" s="196">
        <v>-1.91</v>
      </c>
      <c r="K680" s="196">
        <v>1460</v>
      </c>
      <c r="L680" s="454" t="s">
        <v>1049</v>
      </c>
      <c r="M680" s="4" t="s">
        <v>780</v>
      </c>
      <c r="N680" s="133" t="s">
        <v>781</v>
      </c>
      <c r="O680" s="4" t="s">
        <v>1050</v>
      </c>
      <c r="P680" s="4" t="s">
        <v>892</v>
      </c>
      <c r="Q680" s="4" t="s">
        <v>1051</v>
      </c>
      <c r="R680" s="4" t="s">
        <v>953</v>
      </c>
      <c r="S680" s="4" t="s">
        <v>1052</v>
      </c>
      <c r="T680" s="4" t="s">
        <v>786</v>
      </c>
    </row>
    <row r="681" spans="1:20" customFormat="1" ht="25">
      <c r="A681" s="736" t="s">
        <v>3395</v>
      </c>
      <c r="B681" s="361" t="s">
        <v>3399</v>
      </c>
      <c r="C681" s="4"/>
      <c r="D681" s="133" t="s">
        <v>670</v>
      </c>
      <c r="E681" s="664" t="str">
        <f>+VLOOKUP(F681,Resumen_Base!$C$8:$G$287,5,0)</f>
        <v>Travel for personnel (employees)</v>
      </c>
      <c r="F681" s="607" t="s">
        <v>68</v>
      </c>
      <c r="G681" s="597" t="s">
        <v>464</v>
      </c>
      <c r="H681" s="4" t="str">
        <f t="shared" si="10"/>
        <v>SJ5255</v>
      </c>
      <c r="I681" s="196">
        <v>-125647.6</v>
      </c>
      <c r="J681" s="196">
        <v>-86.06</v>
      </c>
      <c r="K681" s="196">
        <v>1460</v>
      </c>
      <c r="L681" s="454" t="s">
        <v>1049</v>
      </c>
      <c r="M681" s="4" t="s">
        <v>780</v>
      </c>
      <c r="N681" s="133" t="s">
        <v>781</v>
      </c>
      <c r="O681" s="4" t="s">
        <v>1050</v>
      </c>
      <c r="P681" s="4" t="s">
        <v>892</v>
      </c>
      <c r="Q681" s="4" t="s">
        <v>1051</v>
      </c>
      <c r="R681" s="4" t="s">
        <v>1056</v>
      </c>
      <c r="S681" s="4" t="s">
        <v>1052</v>
      </c>
      <c r="T681" s="4" t="s">
        <v>786</v>
      </c>
    </row>
    <row r="682" spans="1:20" customFormat="1" ht="25">
      <c r="A682" s="736" t="s">
        <v>3395</v>
      </c>
      <c r="B682" s="361" t="s">
        <v>3399</v>
      </c>
      <c r="C682" s="4"/>
      <c r="D682" s="133" t="s">
        <v>670</v>
      </c>
      <c r="E682" s="664" t="str">
        <f>+VLOOKUP(F682,Resumen_Base!$C$8:$G$287,5,0)</f>
        <v>Travel for personnel (employees)</v>
      </c>
      <c r="F682" s="607" t="s">
        <v>68</v>
      </c>
      <c r="G682" s="597" t="s">
        <v>464</v>
      </c>
      <c r="H682" s="4" t="str">
        <f t="shared" si="10"/>
        <v>SJ5255</v>
      </c>
      <c r="I682" s="196">
        <v>125647.6</v>
      </c>
      <c r="J682" s="196">
        <v>86.06</v>
      </c>
      <c r="K682" s="196">
        <v>1460</v>
      </c>
      <c r="L682" s="454" t="s">
        <v>1049</v>
      </c>
      <c r="M682" s="4" t="s">
        <v>780</v>
      </c>
      <c r="N682" s="133" t="s">
        <v>781</v>
      </c>
      <c r="O682" s="4" t="s">
        <v>1075</v>
      </c>
      <c r="P682" s="4" t="s">
        <v>892</v>
      </c>
      <c r="Q682" s="4" t="s">
        <v>1076</v>
      </c>
      <c r="R682" s="4" t="s">
        <v>1056</v>
      </c>
      <c r="S682" s="4" t="s">
        <v>1077</v>
      </c>
      <c r="T682" s="4" t="s">
        <v>786</v>
      </c>
    </row>
    <row r="683" spans="1:20" customFormat="1" ht="25">
      <c r="A683" s="736" t="s">
        <v>3395</v>
      </c>
      <c r="B683" s="361" t="s">
        <v>3399</v>
      </c>
      <c r="C683" s="4"/>
      <c r="D683" s="133" t="s">
        <v>670</v>
      </c>
      <c r="E683" s="664" t="str">
        <f>+VLOOKUP(F683,Resumen_Base!$C$8:$G$287,5,0)</f>
        <v>Travel for personnel (employees)</v>
      </c>
      <c r="F683" s="607" t="s">
        <v>68</v>
      </c>
      <c r="G683" s="597" t="s">
        <v>464</v>
      </c>
      <c r="H683" s="4" t="str">
        <f t="shared" si="10"/>
        <v>SJ5255</v>
      </c>
      <c r="I683" s="196">
        <v>2788.6</v>
      </c>
      <c r="J683" s="196">
        <v>1.91</v>
      </c>
      <c r="K683" s="196">
        <v>1460</v>
      </c>
      <c r="L683" s="454" t="s">
        <v>1049</v>
      </c>
      <c r="M683" s="4" t="s">
        <v>780</v>
      </c>
      <c r="N683" s="133" t="s">
        <v>781</v>
      </c>
      <c r="O683" s="4" t="s">
        <v>1075</v>
      </c>
      <c r="P683" s="4" t="s">
        <v>892</v>
      </c>
      <c r="Q683" s="4" t="s">
        <v>1076</v>
      </c>
      <c r="R683" s="4" t="s">
        <v>953</v>
      </c>
      <c r="S683" s="4" t="s">
        <v>1077</v>
      </c>
      <c r="T683" s="4" t="s">
        <v>786</v>
      </c>
    </row>
    <row r="684" spans="1:20" customFormat="1" ht="25">
      <c r="A684" s="736" t="s">
        <v>3395</v>
      </c>
      <c r="B684" s="361" t="s">
        <v>3399</v>
      </c>
      <c r="C684" s="4"/>
      <c r="D684" s="133" t="s">
        <v>670</v>
      </c>
      <c r="E684" s="664" t="str">
        <f>+VLOOKUP(F684,Resumen_Base!$C$8:$G$287,5,0)</f>
        <v>Travel for personnel (employees)</v>
      </c>
      <c r="F684" s="607" t="s">
        <v>68</v>
      </c>
      <c r="G684" s="597" t="s">
        <v>464</v>
      </c>
      <c r="H684" s="4" t="str">
        <f t="shared" si="10"/>
        <v>SJ5255</v>
      </c>
      <c r="I684" s="196">
        <v>2788.6</v>
      </c>
      <c r="J684" s="196">
        <v>1.91</v>
      </c>
      <c r="K684" s="196">
        <v>1460</v>
      </c>
      <c r="L684" s="454" t="s">
        <v>1049</v>
      </c>
      <c r="M684" s="4" t="s">
        <v>780</v>
      </c>
      <c r="N684" s="133" t="s">
        <v>781</v>
      </c>
      <c r="O684" s="4" t="s">
        <v>1078</v>
      </c>
      <c r="P684" s="4" t="s">
        <v>892</v>
      </c>
      <c r="Q684" s="4" t="s">
        <v>1079</v>
      </c>
      <c r="R684" s="4" t="s">
        <v>953</v>
      </c>
      <c r="S684" s="4" t="s">
        <v>1080</v>
      </c>
      <c r="T684" s="4" t="s">
        <v>786</v>
      </c>
    </row>
    <row r="685" spans="1:20" customFormat="1" ht="25">
      <c r="A685" s="736" t="s">
        <v>3395</v>
      </c>
      <c r="B685" s="361" t="s">
        <v>3399</v>
      </c>
      <c r="C685" s="4"/>
      <c r="D685" s="133" t="s">
        <v>670</v>
      </c>
      <c r="E685" s="664" t="str">
        <f>+VLOOKUP(F685,Resumen_Base!$C$8:$G$287,5,0)</f>
        <v>Travel for personnel (employees)</v>
      </c>
      <c r="F685" s="607" t="s">
        <v>68</v>
      </c>
      <c r="G685" s="597" t="s">
        <v>464</v>
      </c>
      <c r="H685" s="4" t="str">
        <f t="shared" si="10"/>
        <v>SJ5255</v>
      </c>
      <c r="I685" s="196">
        <v>125647.6</v>
      </c>
      <c r="J685" s="196">
        <v>86.06</v>
      </c>
      <c r="K685" s="196">
        <v>1460</v>
      </c>
      <c r="L685" s="454" t="s">
        <v>1049</v>
      </c>
      <c r="M685" s="4" t="s">
        <v>780</v>
      </c>
      <c r="N685" s="133" t="s">
        <v>781</v>
      </c>
      <c r="O685" s="4" t="s">
        <v>1078</v>
      </c>
      <c r="P685" s="4" t="s">
        <v>892</v>
      </c>
      <c r="Q685" s="4" t="s">
        <v>1079</v>
      </c>
      <c r="R685" s="4" t="s">
        <v>1056</v>
      </c>
      <c r="S685" s="4" t="s">
        <v>1080</v>
      </c>
      <c r="T685" s="4" t="s">
        <v>786</v>
      </c>
    </row>
    <row r="686" spans="1:20" customFormat="1" ht="25">
      <c r="A686" s="736" t="s">
        <v>3395</v>
      </c>
      <c r="B686" s="361" t="s">
        <v>3399</v>
      </c>
      <c r="C686" s="4"/>
      <c r="D686" s="133" t="s">
        <v>670</v>
      </c>
      <c r="E686" s="664" t="str">
        <f>+VLOOKUP(F686,Resumen_Base!$C$8:$G$287,5,0)</f>
        <v>Travel for personnel (employees)</v>
      </c>
      <c r="F686" s="607" t="s">
        <v>68</v>
      </c>
      <c r="G686" s="597" t="s">
        <v>464</v>
      </c>
      <c r="H686" s="4" t="str">
        <f t="shared" si="10"/>
        <v>SJ5255</v>
      </c>
      <c r="I686" s="196">
        <v>145834</v>
      </c>
      <c r="J686" s="196">
        <v>102.7</v>
      </c>
      <c r="K686" s="196">
        <v>1420</v>
      </c>
      <c r="L686" s="454" t="s">
        <v>1098</v>
      </c>
      <c r="M686" s="4" t="s">
        <v>780</v>
      </c>
      <c r="N686" s="133" t="s">
        <v>781</v>
      </c>
      <c r="O686" s="4" t="s">
        <v>1165</v>
      </c>
      <c r="P686" s="4" t="s">
        <v>892</v>
      </c>
      <c r="Q686" s="4" t="s">
        <v>1166</v>
      </c>
      <c r="R686" s="4" t="s">
        <v>1172</v>
      </c>
      <c r="S686" s="4" t="s">
        <v>1168</v>
      </c>
      <c r="T686" s="4" t="s">
        <v>786</v>
      </c>
    </row>
    <row r="687" spans="1:20" customFormat="1" ht="25">
      <c r="A687" s="736" t="s">
        <v>3395</v>
      </c>
      <c r="B687" s="361" t="s">
        <v>3399</v>
      </c>
      <c r="C687" s="4"/>
      <c r="D687" s="133" t="s">
        <v>670</v>
      </c>
      <c r="E687" s="664" t="str">
        <f>+VLOOKUP(F687,Resumen_Base!$C$8:$G$287,5,0)</f>
        <v>Travel for personnel (employees)</v>
      </c>
      <c r="F687" s="607" t="s">
        <v>68</v>
      </c>
      <c r="G687" s="597" t="s">
        <v>464</v>
      </c>
      <c r="H687" s="4" t="str">
        <f t="shared" si="10"/>
        <v>SJ5255</v>
      </c>
      <c r="I687" s="196">
        <v>2712.2</v>
      </c>
      <c r="J687" s="196">
        <v>1.91</v>
      </c>
      <c r="K687" s="196">
        <v>1420</v>
      </c>
      <c r="L687" s="454" t="s">
        <v>1205</v>
      </c>
      <c r="M687" s="4" t="s">
        <v>780</v>
      </c>
      <c r="N687" s="133" t="s">
        <v>781</v>
      </c>
      <c r="O687" s="4" t="s">
        <v>1226</v>
      </c>
      <c r="P687" s="4" t="s">
        <v>892</v>
      </c>
      <c r="Q687" s="4" t="s">
        <v>1227</v>
      </c>
      <c r="R687" s="4" t="s">
        <v>953</v>
      </c>
      <c r="S687" s="4" t="s">
        <v>1228</v>
      </c>
      <c r="T687" s="4" t="s">
        <v>786</v>
      </c>
    </row>
    <row r="688" spans="1:20" customFormat="1" ht="25">
      <c r="A688" s="736" t="s">
        <v>3395</v>
      </c>
      <c r="B688" s="361" t="s">
        <v>3399</v>
      </c>
      <c r="C688" s="4"/>
      <c r="D688" s="133" t="s">
        <v>670</v>
      </c>
      <c r="E688" s="664" t="str">
        <f>+VLOOKUP(F688,Resumen_Base!$C$8:$G$287,5,0)</f>
        <v>Travel for personnel (employees)</v>
      </c>
      <c r="F688" s="607" t="s">
        <v>68</v>
      </c>
      <c r="G688" s="597" t="s">
        <v>464</v>
      </c>
      <c r="H688" s="4" t="str">
        <f t="shared" si="10"/>
        <v>SJ5255</v>
      </c>
      <c r="I688" s="196">
        <v>47328.6</v>
      </c>
      <c r="J688" s="196">
        <v>33.33</v>
      </c>
      <c r="K688" s="196">
        <v>1420</v>
      </c>
      <c r="L688" s="454" t="s">
        <v>1205</v>
      </c>
      <c r="M688" s="4" t="s">
        <v>780</v>
      </c>
      <c r="N688" s="133" t="s">
        <v>781</v>
      </c>
      <c r="O688" s="4" t="s">
        <v>1226</v>
      </c>
      <c r="P688" s="4" t="s">
        <v>892</v>
      </c>
      <c r="Q688" s="4" t="s">
        <v>1227</v>
      </c>
      <c r="R688" s="4" t="s">
        <v>1232</v>
      </c>
      <c r="S688" s="4" t="s">
        <v>1228</v>
      </c>
      <c r="T688" s="4" t="s">
        <v>786</v>
      </c>
    </row>
    <row r="689" spans="1:20" customFormat="1" ht="14" customHeight="1">
      <c r="A689" s="10"/>
      <c r="B689" s="4"/>
      <c r="C689" s="4"/>
      <c r="D689" s="133" t="s">
        <v>676</v>
      </c>
      <c r="E689" s="664" t="str">
        <f>+VLOOKUP(F689,Resumen_Base!$C$8:$G$287,5,0)</f>
        <v>Electricity - Gas for Boats &amp; Vehicles</v>
      </c>
      <c r="F689" s="152" t="s">
        <v>64</v>
      </c>
      <c r="G689" s="4" t="s">
        <v>65</v>
      </c>
      <c r="H689" s="4" t="str">
        <f t="shared" si="10"/>
        <v>CAR5248</v>
      </c>
      <c r="I689" s="196">
        <v>101338.9</v>
      </c>
      <c r="J689" s="196">
        <v>73.97</v>
      </c>
      <c r="K689" s="196">
        <v>1370</v>
      </c>
      <c r="L689" s="454" t="s">
        <v>787</v>
      </c>
      <c r="M689" s="4" t="s">
        <v>780</v>
      </c>
      <c r="N689" s="133" t="s">
        <v>1407</v>
      </c>
      <c r="O689" s="4" t="s">
        <v>1446</v>
      </c>
      <c r="P689" s="4" t="s">
        <v>783</v>
      </c>
      <c r="Q689" s="4" t="s">
        <v>1447</v>
      </c>
      <c r="R689" s="4" t="s">
        <v>1476</v>
      </c>
      <c r="S689" s="4" t="s">
        <v>1449</v>
      </c>
      <c r="T689" s="4" t="s">
        <v>786</v>
      </c>
    </row>
    <row r="690" spans="1:20" customFormat="1" ht="14" customHeight="1">
      <c r="A690" s="509"/>
      <c r="B690" s="330"/>
      <c r="C690" s="330"/>
      <c r="D690" s="203" t="s">
        <v>676</v>
      </c>
      <c r="E690" s="714" t="str">
        <f>+VLOOKUP(F690,Resumen_Base!$C$8:$G$287,5,0)</f>
        <v>Electricity - Gas for Boats &amp; Vehicles</v>
      </c>
      <c r="F690" s="330" t="s">
        <v>64</v>
      </c>
      <c r="G690" s="330" t="s">
        <v>65</v>
      </c>
      <c r="H690" s="330" t="str">
        <f t="shared" si="10"/>
        <v>CAR5248</v>
      </c>
      <c r="I690" s="715">
        <v>1896573.2</v>
      </c>
      <c r="J690" s="715">
        <v>1384.36</v>
      </c>
      <c r="K690" s="715">
        <v>1370</v>
      </c>
      <c r="L690" s="456" t="s">
        <v>787</v>
      </c>
      <c r="M690" s="330" t="s">
        <v>780</v>
      </c>
      <c r="N690" s="203" t="s">
        <v>1407</v>
      </c>
      <c r="O690" s="330" t="s">
        <v>1446</v>
      </c>
      <c r="P690" s="330" t="s">
        <v>783</v>
      </c>
      <c r="Q690" s="330" t="s">
        <v>1447</v>
      </c>
      <c r="R690" s="330" t="s">
        <v>1475</v>
      </c>
      <c r="S690" s="330" t="s">
        <v>1449</v>
      </c>
      <c r="T690" s="330" t="s">
        <v>786</v>
      </c>
    </row>
    <row r="691" spans="1:20" customFormat="1" ht="14" customHeight="1">
      <c r="A691" s="10"/>
      <c r="B691" s="4"/>
      <c r="C691" s="4"/>
      <c r="D691" s="133" t="s">
        <v>676</v>
      </c>
      <c r="E691" s="664" t="str">
        <f>+VLOOKUP(F691,Resumen_Base!$C$8:$G$287,5,0)</f>
        <v>Electricity - Gas for Boats &amp; Vehicles</v>
      </c>
      <c r="F691" s="152" t="s">
        <v>64</v>
      </c>
      <c r="G691" s="4" t="s">
        <v>65</v>
      </c>
      <c r="H691" s="4" t="str">
        <f t="shared" si="10"/>
        <v>CAR5248</v>
      </c>
      <c r="I691" s="196">
        <v>2541336.2999999998</v>
      </c>
      <c r="J691" s="196">
        <v>1854.99</v>
      </c>
      <c r="K691" s="196">
        <v>1370</v>
      </c>
      <c r="L691" s="454" t="s">
        <v>787</v>
      </c>
      <c r="M691" s="4" t="s">
        <v>780</v>
      </c>
      <c r="N691" s="133" t="s">
        <v>1407</v>
      </c>
      <c r="O691" s="4" t="s">
        <v>1490</v>
      </c>
      <c r="P691" s="4" t="s">
        <v>783</v>
      </c>
      <c r="Q691" s="4" t="s">
        <v>1491</v>
      </c>
      <c r="R691" s="4" t="s">
        <v>1507</v>
      </c>
      <c r="S691" s="4" t="s">
        <v>1493</v>
      </c>
      <c r="T691" s="4" t="s">
        <v>786</v>
      </c>
    </row>
    <row r="692" spans="1:20" customFormat="1" ht="14" customHeight="1">
      <c r="A692" s="10"/>
      <c r="B692" s="4"/>
      <c r="C692" s="4"/>
      <c r="D692" s="133" t="s">
        <v>676</v>
      </c>
      <c r="E692" s="664" t="str">
        <f>+VLOOKUP(F692,Resumen_Base!$C$8:$G$287,5,0)</f>
        <v>Electricity - Gas for Boats &amp; Vehicles</v>
      </c>
      <c r="F692" s="152" t="s">
        <v>64</v>
      </c>
      <c r="G692" s="4" t="s">
        <v>65</v>
      </c>
      <c r="H692" s="4" t="str">
        <f t="shared" si="10"/>
        <v>CAR5248</v>
      </c>
      <c r="I692" s="196">
        <v>2740.6</v>
      </c>
      <c r="J692" s="196">
        <v>1.93</v>
      </c>
      <c r="K692" s="196">
        <v>1420</v>
      </c>
      <c r="L692" s="454" t="s">
        <v>787</v>
      </c>
      <c r="M692" s="4" t="s">
        <v>780</v>
      </c>
      <c r="N692" s="133" t="s">
        <v>1407</v>
      </c>
      <c r="O692" s="4" t="s">
        <v>1490</v>
      </c>
      <c r="P692" s="4" t="s">
        <v>783</v>
      </c>
      <c r="Q692" s="4" t="s">
        <v>1491</v>
      </c>
      <c r="R692" s="4" t="s">
        <v>1483</v>
      </c>
      <c r="S692" s="4" t="s">
        <v>1493</v>
      </c>
      <c r="T692" s="4" t="s">
        <v>786</v>
      </c>
    </row>
    <row r="693" spans="1:20" customFormat="1" ht="14" customHeight="1">
      <c r="A693" s="10"/>
      <c r="B693" s="4"/>
      <c r="C693" s="4"/>
      <c r="D693" s="133" t="s">
        <v>676</v>
      </c>
      <c r="E693" s="664" t="str">
        <f>+VLOOKUP(F693,Resumen_Base!$C$8:$G$287,5,0)</f>
        <v>Electricity - Gas for Boats &amp; Vehicles</v>
      </c>
      <c r="F693" s="152" t="s">
        <v>64</v>
      </c>
      <c r="G693" s="4" t="s">
        <v>65</v>
      </c>
      <c r="H693" s="4" t="str">
        <f t="shared" si="10"/>
        <v>CAR5248</v>
      </c>
      <c r="I693" s="196">
        <v>2740.6</v>
      </c>
      <c r="J693" s="196">
        <v>1.93</v>
      </c>
      <c r="K693" s="196">
        <v>1420</v>
      </c>
      <c r="L693" s="454" t="s">
        <v>787</v>
      </c>
      <c r="M693" s="4" t="s">
        <v>780</v>
      </c>
      <c r="N693" s="133" t="s">
        <v>1407</v>
      </c>
      <c r="O693" s="4" t="s">
        <v>1490</v>
      </c>
      <c r="P693" s="4" t="s">
        <v>783</v>
      </c>
      <c r="Q693" s="4" t="s">
        <v>1491</v>
      </c>
      <c r="R693" s="4" t="s">
        <v>1483</v>
      </c>
      <c r="S693" s="4" t="s">
        <v>1493</v>
      </c>
      <c r="T693" s="4" t="s">
        <v>786</v>
      </c>
    </row>
    <row r="694" spans="1:20" customFormat="1" ht="14" customHeight="1">
      <c r="A694" s="10"/>
      <c r="B694" s="4"/>
      <c r="C694" s="4"/>
      <c r="D694" s="133" t="s">
        <v>676</v>
      </c>
      <c r="E694" s="664" t="str">
        <f>+VLOOKUP(F694,Resumen_Base!$C$8:$G$287,5,0)</f>
        <v>Electricity - Gas for Boats &amp; Vehicles</v>
      </c>
      <c r="F694" s="152" t="s">
        <v>64</v>
      </c>
      <c r="G694" s="4" t="s">
        <v>65</v>
      </c>
      <c r="H694" s="4" t="str">
        <f t="shared" si="10"/>
        <v>CAR5248</v>
      </c>
      <c r="I694" s="196">
        <v>2671.5</v>
      </c>
      <c r="J694" s="196">
        <v>1.95</v>
      </c>
      <c r="K694" s="196">
        <v>1370</v>
      </c>
      <c r="L694" s="454" t="s">
        <v>787</v>
      </c>
      <c r="M694" s="4" t="s">
        <v>780</v>
      </c>
      <c r="N694" s="133" t="s">
        <v>1407</v>
      </c>
      <c r="O694" s="4" t="s">
        <v>1490</v>
      </c>
      <c r="P694" s="4" t="s">
        <v>783</v>
      </c>
      <c r="Q694" s="4" t="s">
        <v>1491</v>
      </c>
      <c r="R694" s="4" t="s">
        <v>1456</v>
      </c>
      <c r="S694" s="4" t="s">
        <v>1493</v>
      </c>
      <c r="T694" s="4" t="s">
        <v>786</v>
      </c>
    </row>
    <row r="695" spans="1:20" customFormat="1" ht="14" customHeight="1">
      <c r="A695" s="10"/>
      <c r="B695" s="4"/>
      <c r="C695" s="4"/>
      <c r="D695" s="133" t="s">
        <v>676</v>
      </c>
      <c r="E695" s="664" t="str">
        <f>+VLOOKUP(F695,Resumen_Base!$C$8:$G$287,5,0)</f>
        <v>Electricity - Gas for Boats &amp; Vehicles</v>
      </c>
      <c r="F695" s="152" t="s">
        <v>64</v>
      </c>
      <c r="G695" s="4" t="s">
        <v>65</v>
      </c>
      <c r="H695" s="4" t="str">
        <f t="shared" si="10"/>
        <v>CAR5248</v>
      </c>
      <c r="I695" s="196">
        <v>2543955.7000000002</v>
      </c>
      <c r="J695" s="196">
        <v>1778.99</v>
      </c>
      <c r="K695" s="196">
        <v>1430</v>
      </c>
      <c r="L695" s="454" t="s">
        <v>890</v>
      </c>
      <c r="M695" s="4" t="s">
        <v>780</v>
      </c>
      <c r="N695" s="133" t="s">
        <v>1407</v>
      </c>
      <c r="O695" s="4" t="s">
        <v>1763</v>
      </c>
      <c r="P695" s="4" t="s">
        <v>892</v>
      </c>
      <c r="Q695" s="4" t="s">
        <v>1764</v>
      </c>
      <c r="R695" s="4" t="s">
        <v>1768</v>
      </c>
      <c r="S695" s="4" t="s">
        <v>1765</v>
      </c>
      <c r="T695" s="4" t="s">
        <v>786</v>
      </c>
    </row>
    <row r="696" spans="1:20" customFormat="1" ht="14" customHeight="1">
      <c r="A696" s="10"/>
      <c r="B696" s="4"/>
      <c r="C696" s="4"/>
      <c r="D696" s="133" t="s">
        <v>676</v>
      </c>
      <c r="E696" s="664" t="str">
        <f>+VLOOKUP(F696,Resumen_Base!$C$8:$G$287,5,0)</f>
        <v>Electricity - Gas for Boats &amp; Vehicles</v>
      </c>
      <c r="F696" s="152" t="s">
        <v>64</v>
      </c>
      <c r="G696" s="4" t="s">
        <v>65</v>
      </c>
      <c r="H696" s="4" t="str">
        <f t="shared" si="10"/>
        <v>CAR5248</v>
      </c>
      <c r="I696" s="196">
        <v>2731.3</v>
      </c>
      <c r="J696" s="196">
        <v>1.91</v>
      </c>
      <c r="K696" s="196">
        <v>1430</v>
      </c>
      <c r="L696" s="454" t="s">
        <v>890</v>
      </c>
      <c r="M696" s="4" t="s">
        <v>780</v>
      </c>
      <c r="N696" s="133" t="s">
        <v>1407</v>
      </c>
      <c r="O696" s="4" t="s">
        <v>1763</v>
      </c>
      <c r="P696" s="4" t="s">
        <v>892</v>
      </c>
      <c r="Q696" s="4" t="s">
        <v>1764</v>
      </c>
      <c r="R696" s="4" t="s">
        <v>1456</v>
      </c>
      <c r="S696" s="4" t="s">
        <v>1765</v>
      </c>
      <c r="T696" s="4" t="s">
        <v>786</v>
      </c>
    </row>
    <row r="697" spans="1:20" customFormat="1" ht="14" customHeight="1">
      <c r="A697" s="509"/>
      <c r="B697" s="330"/>
      <c r="C697" s="330"/>
      <c r="D697" s="203" t="s">
        <v>676</v>
      </c>
      <c r="E697" s="714" t="str">
        <f>+VLOOKUP(F697,Resumen_Base!$C$8:$G$287,5,0)</f>
        <v>Electricity - Gas for Boats &amp; Vehicles</v>
      </c>
      <c r="F697" s="330" t="s">
        <v>64</v>
      </c>
      <c r="G697" s="330" t="s">
        <v>65</v>
      </c>
      <c r="H697" s="330" t="str">
        <f t="shared" si="10"/>
        <v>CAR5248</v>
      </c>
      <c r="I697" s="715">
        <v>120400</v>
      </c>
      <c r="J697" s="715">
        <v>86</v>
      </c>
      <c r="K697" s="715">
        <v>1400</v>
      </c>
      <c r="L697" s="456" t="s">
        <v>994</v>
      </c>
      <c r="M697" s="330" t="s">
        <v>780</v>
      </c>
      <c r="N697" s="203" t="s">
        <v>1407</v>
      </c>
      <c r="O697" s="330" t="s">
        <v>1912</v>
      </c>
      <c r="P697" s="330" t="s">
        <v>892</v>
      </c>
      <c r="Q697" s="330" t="s">
        <v>1913</v>
      </c>
      <c r="R697" s="330" t="s">
        <v>1921</v>
      </c>
      <c r="S697" s="330" t="s">
        <v>1914</v>
      </c>
      <c r="T697" s="330" t="s">
        <v>786</v>
      </c>
    </row>
    <row r="698" spans="1:20" customFormat="1" ht="14" customHeight="1">
      <c r="A698" s="10"/>
      <c r="B698" s="4"/>
      <c r="C698" s="4"/>
      <c r="D698" s="133" t="s">
        <v>676</v>
      </c>
      <c r="E698" s="664" t="str">
        <f>+VLOOKUP(F698,Resumen_Base!$C$8:$G$287,5,0)</f>
        <v>Electricity - Gas for Boats &amp; Vehicles</v>
      </c>
      <c r="F698" s="152" t="s">
        <v>64</v>
      </c>
      <c r="G698" s="4" t="s">
        <v>65</v>
      </c>
      <c r="H698" s="4" t="str">
        <f t="shared" si="10"/>
        <v>CAR5248</v>
      </c>
      <c r="I698" s="196">
        <v>2618</v>
      </c>
      <c r="J698" s="196">
        <v>1.87</v>
      </c>
      <c r="K698" s="196">
        <v>1400</v>
      </c>
      <c r="L698" s="454" t="s">
        <v>994</v>
      </c>
      <c r="M698" s="4" t="s">
        <v>780</v>
      </c>
      <c r="N698" s="133" t="s">
        <v>1407</v>
      </c>
      <c r="O698" s="4" t="s">
        <v>1912</v>
      </c>
      <c r="P698" s="4" t="s">
        <v>892</v>
      </c>
      <c r="Q698" s="4" t="s">
        <v>1913</v>
      </c>
      <c r="R698" s="4" t="s">
        <v>1515</v>
      </c>
      <c r="S698" s="4" t="s">
        <v>1914</v>
      </c>
      <c r="T698" s="4" t="s">
        <v>786</v>
      </c>
    </row>
    <row r="699" spans="1:20" customFormat="1" ht="14" customHeight="1">
      <c r="A699" s="10"/>
      <c r="B699" s="4"/>
      <c r="C699" s="4"/>
      <c r="D699" s="133" t="s">
        <v>676</v>
      </c>
      <c r="E699" s="664" t="str">
        <f>+VLOOKUP(F699,Resumen_Base!$C$8:$G$287,5,0)</f>
        <v>Electricity - Gas for Boats &amp; Vehicles</v>
      </c>
      <c r="F699" s="152" t="s">
        <v>64</v>
      </c>
      <c r="G699" s="4" t="s">
        <v>65</v>
      </c>
      <c r="H699" s="4" t="str">
        <f t="shared" si="10"/>
        <v>CAR5248</v>
      </c>
      <c r="I699" s="196">
        <v>63126</v>
      </c>
      <c r="J699" s="196">
        <v>45.09</v>
      </c>
      <c r="K699" s="196">
        <v>1400</v>
      </c>
      <c r="L699" s="454" t="s">
        <v>994</v>
      </c>
      <c r="M699" s="4" t="s">
        <v>780</v>
      </c>
      <c r="N699" s="133" t="s">
        <v>1407</v>
      </c>
      <c r="O699" s="4" t="s">
        <v>1912</v>
      </c>
      <c r="P699" s="4" t="s">
        <v>892</v>
      </c>
      <c r="Q699" s="4" t="s">
        <v>1913</v>
      </c>
      <c r="R699" s="4" t="s">
        <v>1917</v>
      </c>
      <c r="S699" s="4" t="s">
        <v>1914</v>
      </c>
      <c r="T699" s="4" t="s">
        <v>786</v>
      </c>
    </row>
    <row r="700" spans="1:20" customFormat="1" ht="14" customHeight="1">
      <c r="A700" s="10"/>
      <c r="B700" s="4"/>
      <c r="C700" s="4"/>
      <c r="D700" s="133" t="s">
        <v>676</v>
      </c>
      <c r="E700" s="664" t="str">
        <f>+VLOOKUP(F700,Resumen_Base!$C$8:$G$287,5,0)</f>
        <v>Electricity - Gas for Boats &amp; Vehicles</v>
      </c>
      <c r="F700" s="152" t="s">
        <v>64</v>
      </c>
      <c r="G700" s="4" t="s">
        <v>65</v>
      </c>
      <c r="H700" s="4" t="str">
        <f t="shared" si="10"/>
        <v>CAR5248</v>
      </c>
      <c r="I700" s="196">
        <v>2688</v>
      </c>
      <c r="J700" s="196">
        <v>1.92</v>
      </c>
      <c r="K700" s="196">
        <v>1400</v>
      </c>
      <c r="L700" s="454" t="s">
        <v>1017</v>
      </c>
      <c r="M700" s="4" t="s">
        <v>780</v>
      </c>
      <c r="N700" s="133" t="s">
        <v>1407</v>
      </c>
      <c r="O700" s="4" t="s">
        <v>2006</v>
      </c>
      <c r="P700" s="4" t="s">
        <v>892</v>
      </c>
      <c r="Q700" s="4" t="s">
        <v>2007</v>
      </c>
      <c r="R700" s="4" t="s">
        <v>1515</v>
      </c>
      <c r="S700" s="4" t="s">
        <v>2009</v>
      </c>
      <c r="T700" s="4" t="s">
        <v>786</v>
      </c>
    </row>
    <row r="701" spans="1:20" customFormat="1" ht="14" customHeight="1">
      <c r="A701" s="10"/>
      <c r="B701" s="4"/>
      <c r="C701" s="4"/>
      <c r="D701" s="133" t="s">
        <v>676</v>
      </c>
      <c r="E701" s="664" t="str">
        <f>+VLOOKUP(F701,Resumen_Base!$C$8:$G$287,5,0)</f>
        <v>Electricity - Gas for Boats &amp; Vehicles</v>
      </c>
      <c r="F701" s="152" t="s">
        <v>64</v>
      </c>
      <c r="G701" s="4" t="s">
        <v>65</v>
      </c>
      <c r="H701" s="4" t="str">
        <f t="shared" si="10"/>
        <v>CAR5248</v>
      </c>
      <c r="I701" s="196">
        <v>84854</v>
      </c>
      <c r="J701" s="196">
        <v>60.61</v>
      </c>
      <c r="K701" s="196">
        <v>1400</v>
      </c>
      <c r="L701" s="454" t="s">
        <v>1017</v>
      </c>
      <c r="M701" s="4" t="s">
        <v>780</v>
      </c>
      <c r="N701" s="133" t="s">
        <v>1407</v>
      </c>
      <c r="O701" s="4" t="s">
        <v>2006</v>
      </c>
      <c r="P701" s="4" t="s">
        <v>892</v>
      </c>
      <c r="Q701" s="4" t="s">
        <v>2007</v>
      </c>
      <c r="R701" s="4" t="s">
        <v>2010</v>
      </c>
      <c r="S701" s="4" t="s">
        <v>2009</v>
      </c>
      <c r="T701" s="4" t="s">
        <v>786</v>
      </c>
    </row>
    <row r="702" spans="1:20" customFormat="1" ht="14" customHeight="1">
      <c r="A702" s="10"/>
      <c r="B702" s="4"/>
      <c r="C702" s="4"/>
      <c r="D702" s="133" t="s">
        <v>676</v>
      </c>
      <c r="E702" s="664" t="str">
        <f>+VLOOKUP(F702,Resumen_Base!$C$8:$G$287,5,0)</f>
        <v>Electricity - Gas for Boats &amp; Vehicles</v>
      </c>
      <c r="F702" s="152" t="s">
        <v>64</v>
      </c>
      <c r="G702" s="4" t="s">
        <v>65</v>
      </c>
      <c r="H702" s="4" t="str">
        <f t="shared" si="10"/>
        <v>CAR5248</v>
      </c>
      <c r="I702" s="196">
        <v>-1174555.3999999999</v>
      </c>
      <c r="J702" s="196">
        <v>-804.49</v>
      </c>
      <c r="K702" s="196">
        <v>1460</v>
      </c>
      <c r="L702" s="454" t="s">
        <v>1049</v>
      </c>
      <c r="M702" s="4" t="s">
        <v>780</v>
      </c>
      <c r="N702" s="133" t="s">
        <v>1407</v>
      </c>
      <c r="O702" s="4" t="s">
        <v>2127</v>
      </c>
      <c r="P702" s="4" t="s">
        <v>892</v>
      </c>
      <c r="Q702" s="4" t="s">
        <v>2128</v>
      </c>
      <c r="R702" s="4" t="s">
        <v>2153</v>
      </c>
      <c r="S702" s="4" t="s">
        <v>2129</v>
      </c>
      <c r="T702" s="4" t="s">
        <v>786</v>
      </c>
    </row>
    <row r="703" spans="1:20" customFormat="1" ht="14" customHeight="1">
      <c r="A703" s="10"/>
      <c r="B703" s="4"/>
      <c r="C703" s="4"/>
      <c r="D703" s="133" t="s">
        <v>676</v>
      </c>
      <c r="E703" s="664" t="str">
        <f>+VLOOKUP(F703,Resumen_Base!$C$8:$G$287,5,0)</f>
        <v>Electricity - Gas for Boats &amp; Vehicles</v>
      </c>
      <c r="F703" s="152" t="s">
        <v>64</v>
      </c>
      <c r="G703" s="4" t="s">
        <v>65</v>
      </c>
      <c r="H703" s="4" t="str">
        <f t="shared" si="10"/>
        <v>CAR5248</v>
      </c>
      <c r="I703" s="196">
        <v>-147182.6</v>
      </c>
      <c r="J703" s="196">
        <v>-100.81</v>
      </c>
      <c r="K703" s="196">
        <v>1460</v>
      </c>
      <c r="L703" s="454" t="s">
        <v>1049</v>
      </c>
      <c r="M703" s="4" t="s">
        <v>780</v>
      </c>
      <c r="N703" s="133" t="s">
        <v>1407</v>
      </c>
      <c r="O703" s="4" t="s">
        <v>2127</v>
      </c>
      <c r="P703" s="4" t="s">
        <v>892</v>
      </c>
      <c r="Q703" s="4" t="s">
        <v>2128</v>
      </c>
      <c r="R703" s="4" t="s">
        <v>2154</v>
      </c>
      <c r="S703" s="4" t="s">
        <v>2129</v>
      </c>
      <c r="T703" s="4" t="s">
        <v>786</v>
      </c>
    </row>
    <row r="704" spans="1:20" customFormat="1" ht="14" customHeight="1">
      <c r="A704" s="10"/>
      <c r="B704" s="4"/>
      <c r="C704" s="4"/>
      <c r="D704" s="133" t="s">
        <v>676</v>
      </c>
      <c r="E704" s="664" t="str">
        <f>+VLOOKUP(F704,Resumen_Base!$C$8:$G$287,5,0)</f>
        <v>Electricity - Gas for Boats &amp; Vehicles</v>
      </c>
      <c r="F704" s="152" t="s">
        <v>64</v>
      </c>
      <c r="G704" s="4" t="s">
        <v>65</v>
      </c>
      <c r="H704" s="4" t="str">
        <f t="shared" si="10"/>
        <v>CAR5248</v>
      </c>
      <c r="I704" s="196">
        <v>-2832.4</v>
      </c>
      <c r="J704" s="196">
        <v>-1.94</v>
      </c>
      <c r="K704" s="196">
        <v>1460</v>
      </c>
      <c r="L704" s="454" t="s">
        <v>1049</v>
      </c>
      <c r="M704" s="4" t="s">
        <v>780</v>
      </c>
      <c r="N704" s="133" t="s">
        <v>1407</v>
      </c>
      <c r="O704" s="4" t="s">
        <v>2127</v>
      </c>
      <c r="P704" s="4" t="s">
        <v>892</v>
      </c>
      <c r="Q704" s="4" t="s">
        <v>2128</v>
      </c>
      <c r="R704" s="4" t="s">
        <v>1515</v>
      </c>
      <c r="S704" s="4" t="s">
        <v>2129</v>
      </c>
      <c r="T704" s="4" t="s">
        <v>786</v>
      </c>
    </row>
    <row r="705" spans="1:20" customFormat="1" ht="14" customHeight="1">
      <c r="A705" s="10"/>
      <c r="B705" s="4"/>
      <c r="C705" s="4"/>
      <c r="D705" s="133" t="s">
        <v>676</v>
      </c>
      <c r="E705" s="664" t="str">
        <f>+VLOOKUP(F705,Resumen_Base!$C$8:$G$287,5,0)</f>
        <v>Electricity - Gas for Boats &amp; Vehicles</v>
      </c>
      <c r="F705" s="152" t="s">
        <v>64</v>
      </c>
      <c r="G705" s="4" t="s">
        <v>65</v>
      </c>
      <c r="H705" s="4" t="str">
        <f t="shared" si="10"/>
        <v>CAR5248</v>
      </c>
      <c r="I705" s="196">
        <v>292000</v>
      </c>
      <c r="J705" s="196">
        <v>200</v>
      </c>
      <c r="K705" s="196">
        <v>1460</v>
      </c>
      <c r="L705" s="454" t="s">
        <v>1049</v>
      </c>
      <c r="M705" s="4" t="s">
        <v>780</v>
      </c>
      <c r="N705" s="133" t="s">
        <v>1407</v>
      </c>
      <c r="O705" s="4" t="s">
        <v>2220</v>
      </c>
      <c r="P705" s="4" t="s">
        <v>892</v>
      </c>
      <c r="Q705" s="4" t="s">
        <v>2221</v>
      </c>
      <c r="R705" s="4" t="s">
        <v>2231</v>
      </c>
      <c r="S705" s="4" t="s">
        <v>2223</v>
      </c>
      <c r="T705" s="4" t="s">
        <v>786</v>
      </c>
    </row>
    <row r="706" spans="1:20" customFormat="1" ht="14" customHeight="1">
      <c r="A706" s="10"/>
      <c r="B706" s="4"/>
      <c r="C706" s="4"/>
      <c r="D706" s="133" t="s">
        <v>676</v>
      </c>
      <c r="E706" s="664" t="str">
        <f>+VLOOKUP(F706,Resumen_Base!$C$8:$G$287,5,0)</f>
        <v>Electricity - Gas for Boats &amp; Vehicles</v>
      </c>
      <c r="F706" s="152" t="s">
        <v>64</v>
      </c>
      <c r="G706" s="4" t="s">
        <v>65</v>
      </c>
      <c r="H706" s="4" t="str">
        <f t="shared" si="10"/>
        <v>CAR5248</v>
      </c>
      <c r="I706" s="196">
        <v>2832.4</v>
      </c>
      <c r="J706" s="196">
        <v>1.94</v>
      </c>
      <c r="K706" s="196">
        <v>1460</v>
      </c>
      <c r="L706" s="454" t="s">
        <v>1049</v>
      </c>
      <c r="M706" s="4" t="s">
        <v>780</v>
      </c>
      <c r="N706" s="133" t="s">
        <v>1407</v>
      </c>
      <c r="O706" s="4" t="s">
        <v>2233</v>
      </c>
      <c r="P706" s="4" t="s">
        <v>892</v>
      </c>
      <c r="Q706" s="4" t="s">
        <v>2234</v>
      </c>
      <c r="R706" s="4" t="s">
        <v>1515</v>
      </c>
      <c r="S706" s="4" t="s">
        <v>2235</v>
      </c>
      <c r="T706" s="4" t="s">
        <v>786</v>
      </c>
    </row>
    <row r="707" spans="1:20" customFormat="1" ht="14" customHeight="1">
      <c r="A707" s="10"/>
      <c r="B707" s="4"/>
      <c r="C707" s="4"/>
      <c r="D707" s="133" t="s">
        <v>676</v>
      </c>
      <c r="E707" s="664" t="str">
        <f>+VLOOKUP(F707,Resumen_Base!$C$8:$G$287,5,0)</f>
        <v>Electricity - Gas for Boats &amp; Vehicles</v>
      </c>
      <c r="F707" s="152" t="s">
        <v>64</v>
      </c>
      <c r="G707" s="4" t="s">
        <v>65</v>
      </c>
      <c r="H707" s="4" t="str">
        <f t="shared" si="10"/>
        <v>CAR5248</v>
      </c>
      <c r="I707" s="196">
        <v>1174555.3999999999</v>
      </c>
      <c r="J707" s="196">
        <v>804.49</v>
      </c>
      <c r="K707" s="196">
        <v>1460</v>
      </c>
      <c r="L707" s="454" t="s">
        <v>1049</v>
      </c>
      <c r="M707" s="4" t="s">
        <v>780</v>
      </c>
      <c r="N707" s="133" t="s">
        <v>1407</v>
      </c>
      <c r="O707" s="4" t="s">
        <v>2233</v>
      </c>
      <c r="P707" s="4" t="s">
        <v>892</v>
      </c>
      <c r="Q707" s="4" t="s">
        <v>2234</v>
      </c>
      <c r="R707" s="4" t="s">
        <v>2153</v>
      </c>
      <c r="S707" s="4" t="s">
        <v>2235</v>
      </c>
      <c r="T707" s="4" t="s">
        <v>786</v>
      </c>
    </row>
    <row r="708" spans="1:20" customFormat="1" ht="14" customHeight="1">
      <c r="A708" s="10"/>
      <c r="B708" s="4"/>
      <c r="C708" s="4"/>
      <c r="D708" s="133" t="s">
        <v>676</v>
      </c>
      <c r="E708" s="664" t="str">
        <f>+VLOOKUP(F708,Resumen_Base!$C$8:$G$287,5,0)</f>
        <v>Electricity - Gas for Boats &amp; Vehicles</v>
      </c>
      <c r="F708" s="152" t="s">
        <v>64</v>
      </c>
      <c r="G708" s="4" t="s">
        <v>65</v>
      </c>
      <c r="H708" s="4" t="str">
        <f t="shared" si="10"/>
        <v>CAR5248</v>
      </c>
      <c r="I708" s="196">
        <v>147182.6</v>
      </c>
      <c r="J708" s="196">
        <v>100.81</v>
      </c>
      <c r="K708" s="196">
        <v>1460</v>
      </c>
      <c r="L708" s="454" t="s">
        <v>1049</v>
      </c>
      <c r="M708" s="4" t="s">
        <v>780</v>
      </c>
      <c r="N708" s="133" t="s">
        <v>1407</v>
      </c>
      <c r="O708" s="4" t="s">
        <v>2233</v>
      </c>
      <c r="P708" s="4" t="s">
        <v>892</v>
      </c>
      <c r="Q708" s="4" t="s">
        <v>2234</v>
      </c>
      <c r="R708" s="4" t="s">
        <v>2154</v>
      </c>
      <c r="S708" s="4" t="s">
        <v>2235</v>
      </c>
      <c r="T708" s="4" t="s">
        <v>786</v>
      </c>
    </row>
    <row r="709" spans="1:20" customFormat="1" ht="14" customHeight="1">
      <c r="A709" s="10"/>
      <c r="B709" s="4"/>
      <c r="C709" s="4"/>
      <c r="D709" s="133" t="s">
        <v>676</v>
      </c>
      <c r="E709" s="664" t="str">
        <f>+VLOOKUP(F709,Resumen_Base!$C$8:$G$287,5,0)</f>
        <v>Electricity - Gas for Boats &amp; Vehicles</v>
      </c>
      <c r="F709" s="152" t="s">
        <v>64</v>
      </c>
      <c r="G709" s="4" t="s">
        <v>65</v>
      </c>
      <c r="H709" s="4" t="str">
        <f t="shared" si="10"/>
        <v>CAR5248</v>
      </c>
      <c r="I709" s="196">
        <v>1174555.3999999999</v>
      </c>
      <c r="J709" s="196">
        <v>804.49</v>
      </c>
      <c r="K709" s="196">
        <v>1460</v>
      </c>
      <c r="L709" s="454" t="s">
        <v>1049</v>
      </c>
      <c r="M709" s="4" t="s">
        <v>780</v>
      </c>
      <c r="N709" s="133" t="s">
        <v>1407</v>
      </c>
      <c r="O709" s="4" t="s">
        <v>2236</v>
      </c>
      <c r="P709" s="4" t="s">
        <v>892</v>
      </c>
      <c r="Q709" s="4" t="s">
        <v>2237</v>
      </c>
      <c r="R709" s="4" t="s">
        <v>2153</v>
      </c>
      <c r="S709" s="4" t="s">
        <v>2238</v>
      </c>
      <c r="T709" s="4" t="s">
        <v>786</v>
      </c>
    </row>
    <row r="710" spans="1:20" customFormat="1" ht="14" customHeight="1">
      <c r="A710" s="10"/>
      <c r="B710" s="4"/>
      <c r="C710" s="4"/>
      <c r="D710" s="133" t="s">
        <v>676</v>
      </c>
      <c r="E710" s="664" t="str">
        <f>+VLOOKUP(F710,Resumen_Base!$C$8:$G$287,5,0)</f>
        <v>Electricity - Gas for Boats &amp; Vehicles</v>
      </c>
      <c r="F710" s="152" t="s">
        <v>64</v>
      </c>
      <c r="G710" s="4" t="s">
        <v>65</v>
      </c>
      <c r="H710" s="4" t="str">
        <f t="shared" si="10"/>
        <v>CAR5248</v>
      </c>
      <c r="I710" s="196">
        <v>147182.6</v>
      </c>
      <c r="J710" s="196">
        <v>100.81</v>
      </c>
      <c r="K710" s="196">
        <v>1460</v>
      </c>
      <c r="L710" s="454" t="s">
        <v>1049</v>
      </c>
      <c r="M710" s="4" t="s">
        <v>780</v>
      </c>
      <c r="N710" s="133" t="s">
        <v>1407</v>
      </c>
      <c r="O710" s="4" t="s">
        <v>2236</v>
      </c>
      <c r="P710" s="4" t="s">
        <v>892</v>
      </c>
      <c r="Q710" s="4" t="s">
        <v>2237</v>
      </c>
      <c r="R710" s="4" t="s">
        <v>2154</v>
      </c>
      <c r="S710" s="4" t="s">
        <v>2238</v>
      </c>
      <c r="T710" s="4" t="s">
        <v>786</v>
      </c>
    </row>
    <row r="711" spans="1:20" customFormat="1" ht="14" customHeight="1">
      <c r="A711" s="10"/>
      <c r="B711" s="4"/>
      <c r="C711" s="4"/>
      <c r="D711" s="133" t="s">
        <v>676</v>
      </c>
      <c r="E711" s="664" t="str">
        <f>+VLOOKUP(F711,Resumen_Base!$C$8:$G$287,5,0)</f>
        <v>Electricity - Gas for Boats &amp; Vehicles</v>
      </c>
      <c r="F711" s="152" t="s">
        <v>64</v>
      </c>
      <c r="G711" s="4" t="s">
        <v>65</v>
      </c>
      <c r="H711" s="4" t="str">
        <f t="shared" si="10"/>
        <v>CAR5248</v>
      </c>
      <c r="I711" s="196">
        <v>2832.4</v>
      </c>
      <c r="J711" s="196">
        <v>1.94</v>
      </c>
      <c r="K711" s="196">
        <v>1460</v>
      </c>
      <c r="L711" s="454" t="s">
        <v>1049</v>
      </c>
      <c r="M711" s="4" t="s">
        <v>780</v>
      </c>
      <c r="N711" s="133" t="s">
        <v>1407</v>
      </c>
      <c r="O711" s="4" t="s">
        <v>2236</v>
      </c>
      <c r="P711" s="4" t="s">
        <v>892</v>
      </c>
      <c r="Q711" s="4" t="s">
        <v>2237</v>
      </c>
      <c r="R711" s="4" t="s">
        <v>1515</v>
      </c>
      <c r="S711" s="4" t="s">
        <v>2238</v>
      </c>
      <c r="T711" s="4" t="s">
        <v>786</v>
      </c>
    </row>
    <row r="712" spans="1:20" customFormat="1" ht="14" customHeight="1">
      <c r="A712" s="10"/>
      <c r="B712" s="4"/>
      <c r="C712" s="4"/>
      <c r="D712" s="133" t="s">
        <v>676</v>
      </c>
      <c r="E712" s="664" t="str">
        <f>+VLOOKUP(F712,Resumen_Base!$C$8:$G$287,5,0)</f>
        <v>Electricity - Gas for Boats &amp; Vehicles</v>
      </c>
      <c r="F712" s="152" t="s">
        <v>64</v>
      </c>
      <c r="G712" s="4" t="s">
        <v>65</v>
      </c>
      <c r="H712" s="4" t="str">
        <f t="shared" si="10"/>
        <v>CAR5248</v>
      </c>
      <c r="I712" s="196">
        <v>213184.6</v>
      </c>
      <c r="J712" s="196">
        <v>150.13</v>
      </c>
      <c r="K712" s="196">
        <v>1420</v>
      </c>
      <c r="L712" s="454" t="s">
        <v>1113</v>
      </c>
      <c r="M712" s="4" t="s">
        <v>780</v>
      </c>
      <c r="N712" s="133" t="s">
        <v>1407</v>
      </c>
      <c r="O712" s="4" t="s">
        <v>1114</v>
      </c>
      <c r="P712" s="4" t="s">
        <v>892</v>
      </c>
      <c r="Q712" s="4" t="s">
        <v>1115</v>
      </c>
      <c r="R712" s="4" t="s">
        <v>2372</v>
      </c>
      <c r="S712" s="4" t="s">
        <v>1117</v>
      </c>
      <c r="T712" s="4" t="s">
        <v>786</v>
      </c>
    </row>
    <row r="713" spans="1:20" customFormat="1" ht="14" customHeight="1">
      <c r="A713" s="10"/>
      <c r="B713" s="4"/>
      <c r="C713" s="4"/>
      <c r="D713" s="133" t="s">
        <v>676</v>
      </c>
      <c r="E713" s="664" t="str">
        <f>+VLOOKUP(F713,Resumen_Base!$C$8:$G$287,5,0)</f>
        <v>Electricity - Gas for Boats &amp; Vehicles</v>
      </c>
      <c r="F713" s="152" t="s">
        <v>64</v>
      </c>
      <c r="G713" s="4" t="s">
        <v>65</v>
      </c>
      <c r="H713" s="4" t="str">
        <f t="shared" si="10"/>
        <v>CAR5248</v>
      </c>
      <c r="I713" s="196">
        <v>214263.8</v>
      </c>
      <c r="J713" s="196">
        <v>150.88999999999999</v>
      </c>
      <c r="K713" s="196">
        <v>1420</v>
      </c>
      <c r="L713" s="454" t="s">
        <v>1098</v>
      </c>
      <c r="M713" s="4" t="s">
        <v>780</v>
      </c>
      <c r="N713" s="133" t="s">
        <v>1407</v>
      </c>
      <c r="O713" s="4" t="s">
        <v>2423</v>
      </c>
      <c r="P713" s="4" t="s">
        <v>892</v>
      </c>
      <c r="Q713" s="4" t="s">
        <v>2424</v>
      </c>
      <c r="R713" s="4" t="s">
        <v>2433</v>
      </c>
      <c r="S713" s="4" t="s">
        <v>2426</v>
      </c>
      <c r="T713" s="4" t="s">
        <v>786</v>
      </c>
    </row>
    <row r="714" spans="1:20" customFormat="1" ht="14" customHeight="1">
      <c r="A714" s="10"/>
      <c r="B714" s="4"/>
      <c r="C714" s="4"/>
      <c r="D714" s="133" t="s">
        <v>676</v>
      </c>
      <c r="E714" s="664" t="str">
        <f>+VLOOKUP(F714,Resumen_Base!$C$8:$G$287,5,0)</f>
        <v>Electricity - Gas for Boats &amp; Vehicles</v>
      </c>
      <c r="F714" s="152" t="s">
        <v>64</v>
      </c>
      <c r="G714" s="4" t="s">
        <v>65</v>
      </c>
      <c r="H714" s="4" t="str">
        <f t="shared" si="10"/>
        <v>CAR5248</v>
      </c>
      <c r="I714" s="196">
        <v>2712.2</v>
      </c>
      <c r="J714" s="196">
        <v>1.91</v>
      </c>
      <c r="K714" s="196">
        <v>1420</v>
      </c>
      <c r="L714" s="454" t="s">
        <v>1098</v>
      </c>
      <c r="M714" s="4" t="s">
        <v>780</v>
      </c>
      <c r="N714" s="133" t="s">
        <v>1407</v>
      </c>
      <c r="O714" s="4" t="s">
        <v>2423</v>
      </c>
      <c r="P714" s="4" t="s">
        <v>892</v>
      </c>
      <c r="Q714" s="4" t="s">
        <v>2424</v>
      </c>
      <c r="R714" s="4" t="s">
        <v>1515</v>
      </c>
      <c r="S714" s="4" t="s">
        <v>2426</v>
      </c>
      <c r="T714" s="4" t="s">
        <v>786</v>
      </c>
    </row>
    <row r="715" spans="1:20" customFormat="1" ht="14" customHeight="1">
      <c r="A715" s="10"/>
      <c r="B715" s="4"/>
      <c r="C715" s="4"/>
      <c r="D715" s="133" t="s">
        <v>676</v>
      </c>
      <c r="E715" s="664" t="str">
        <f>+VLOOKUP(F715,Resumen_Base!$C$8:$G$287,5,0)</f>
        <v>Electricity - Gas for Boats &amp; Vehicles</v>
      </c>
      <c r="F715" s="152" t="s">
        <v>64</v>
      </c>
      <c r="G715" s="4" t="s">
        <v>65</v>
      </c>
      <c r="H715" s="4" t="str">
        <f t="shared" si="10"/>
        <v>CAR5248</v>
      </c>
      <c r="I715" s="196">
        <v>109226.4</v>
      </c>
      <c r="J715" s="196">
        <v>76.92</v>
      </c>
      <c r="K715" s="196">
        <v>1420</v>
      </c>
      <c r="L715" s="454" t="s">
        <v>1205</v>
      </c>
      <c r="M715" s="4" t="s">
        <v>780</v>
      </c>
      <c r="N715" s="133" t="s">
        <v>1407</v>
      </c>
      <c r="O715" s="4" t="s">
        <v>1214</v>
      </c>
      <c r="P715" s="4" t="s">
        <v>892</v>
      </c>
      <c r="Q715" s="4" t="s">
        <v>1215</v>
      </c>
      <c r="R715" s="4" t="s">
        <v>2566</v>
      </c>
      <c r="S715" s="4" t="s">
        <v>1217</v>
      </c>
      <c r="T715" s="4" t="s">
        <v>786</v>
      </c>
    </row>
    <row r="716" spans="1:20" customFormat="1" ht="14" customHeight="1">
      <c r="A716" s="10"/>
      <c r="B716" s="4"/>
      <c r="C716" s="4"/>
      <c r="D716" s="133" t="s">
        <v>676</v>
      </c>
      <c r="E716" s="664" t="str">
        <f>+VLOOKUP(F716,Resumen_Base!$C$8:$G$287,5,0)</f>
        <v>Electricity - Gas for Boats &amp; Vehicles</v>
      </c>
      <c r="F716" s="152" t="s">
        <v>64</v>
      </c>
      <c r="G716" s="4" t="s">
        <v>65</v>
      </c>
      <c r="H716" s="4" t="str">
        <f t="shared" ref="H716:H779" si="11">+D716&amp;F716</f>
        <v>CAR5248</v>
      </c>
      <c r="I716" s="196">
        <v>54726.8</v>
      </c>
      <c r="J716" s="196">
        <v>38.54</v>
      </c>
      <c r="K716" s="196">
        <v>1420</v>
      </c>
      <c r="L716" s="454" t="s">
        <v>1205</v>
      </c>
      <c r="M716" s="4" t="s">
        <v>780</v>
      </c>
      <c r="N716" s="133" t="s">
        <v>1407</v>
      </c>
      <c r="O716" s="4" t="s">
        <v>1214</v>
      </c>
      <c r="P716" s="4" t="s">
        <v>892</v>
      </c>
      <c r="Q716" s="4" t="s">
        <v>1215</v>
      </c>
      <c r="R716" s="4" t="s">
        <v>2567</v>
      </c>
      <c r="S716" s="4" t="s">
        <v>1217</v>
      </c>
      <c r="T716" s="4" t="s">
        <v>786</v>
      </c>
    </row>
    <row r="717" spans="1:20" customFormat="1" ht="14" customHeight="1">
      <c r="A717" s="10"/>
      <c r="B717" s="4"/>
      <c r="C717" s="4"/>
      <c r="D717" s="133" t="s">
        <v>676</v>
      </c>
      <c r="E717" s="664" t="str">
        <f>+VLOOKUP(F717,Resumen_Base!$C$8:$G$287,5,0)</f>
        <v>Propane</v>
      </c>
      <c r="F717" s="152" t="s">
        <v>39</v>
      </c>
      <c r="G717" s="4" t="s">
        <v>38</v>
      </c>
      <c r="H717" s="4" t="str">
        <f t="shared" si="11"/>
        <v>CAR5249</v>
      </c>
      <c r="I717" s="196">
        <v>2712.2</v>
      </c>
      <c r="J717" s="196">
        <v>1.91</v>
      </c>
      <c r="K717" s="196">
        <v>1420</v>
      </c>
      <c r="L717" s="454" t="s">
        <v>1098</v>
      </c>
      <c r="M717" s="4" t="s">
        <v>780</v>
      </c>
      <c r="N717" s="133" t="s">
        <v>1407</v>
      </c>
      <c r="O717" s="4" t="s">
        <v>2423</v>
      </c>
      <c r="P717" s="4" t="s">
        <v>892</v>
      </c>
      <c r="Q717" s="4" t="s">
        <v>2424</v>
      </c>
      <c r="R717" s="4" t="s">
        <v>1515</v>
      </c>
      <c r="S717" s="4" t="s">
        <v>2426</v>
      </c>
      <c r="T717" s="4" t="s">
        <v>786</v>
      </c>
    </row>
    <row r="718" spans="1:20" customFormat="1" ht="14" customHeight="1">
      <c r="A718" s="10"/>
      <c r="B718" s="4"/>
      <c r="C718" s="4"/>
      <c r="D718" s="133" t="s">
        <v>676</v>
      </c>
      <c r="E718" s="664" t="str">
        <f>+VLOOKUP(F718,Resumen_Base!$C$8:$G$287,5,0)</f>
        <v>Propane</v>
      </c>
      <c r="F718" s="152" t="s">
        <v>39</v>
      </c>
      <c r="G718" s="4" t="s">
        <v>38</v>
      </c>
      <c r="H718" s="4" t="str">
        <f t="shared" si="11"/>
        <v>CAR5249</v>
      </c>
      <c r="I718" s="196">
        <v>12836.8</v>
      </c>
      <c r="J718" s="196">
        <v>9.0399999999999991</v>
      </c>
      <c r="K718" s="196">
        <v>1420</v>
      </c>
      <c r="L718" s="454" t="s">
        <v>1098</v>
      </c>
      <c r="M718" s="4" t="s">
        <v>780</v>
      </c>
      <c r="N718" s="133" t="s">
        <v>1407</v>
      </c>
      <c r="O718" s="4" t="s">
        <v>2423</v>
      </c>
      <c r="P718" s="4" t="s">
        <v>892</v>
      </c>
      <c r="Q718" s="4" t="s">
        <v>2424</v>
      </c>
      <c r="R718" s="4" t="s">
        <v>2429</v>
      </c>
      <c r="S718" s="4" t="s">
        <v>2426</v>
      </c>
      <c r="T718" s="4" t="s">
        <v>786</v>
      </c>
    </row>
    <row r="719" spans="1:20" customFormat="1">
      <c r="A719" s="737" t="s">
        <v>3395</v>
      </c>
      <c r="B719" s="315" t="s">
        <v>3400</v>
      </c>
      <c r="C719" s="330"/>
      <c r="D719" s="203" t="s">
        <v>670</v>
      </c>
      <c r="E719" s="714" t="str">
        <f>+VLOOKUP(F719,Resumen_Base!$C$8:$G$287,5,0)</f>
        <v>Travel for personnel (employees)</v>
      </c>
      <c r="F719" s="724" t="s">
        <v>68</v>
      </c>
      <c r="G719" s="725" t="s">
        <v>464</v>
      </c>
      <c r="H719" s="330" t="str">
        <f t="shared" si="11"/>
        <v>SJ5255</v>
      </c>
      <c r="I719" s="715">
        <v>622144.6</v>
      </c>
      <c r="J719" s="715">
        <v>438.13</v>
      </c>
      <c r="K719" s="715">
        <v>1420</v>
      </c>
      <c r="L719" s="456" t="s">
        <v>787</v>
      </c>
      <c r="M719" s="330" t="s">
        <v>780</v>
      </c>
      <c r="N719" s="203" t="s">
        <v>781</v>
      </c>
      <c r="O719" s="330" t="s">
        <v>855</v>
      </c>
      <c r="P719" s="330" t="s">
        <v>783</v>
      </c>
      <c r="Q719" s="330" t="s">
        <v>856</v>
      </c>
      <c r="R719" s="330" t="s">
        <v>860</v>
      </c>
      <c r="S719" s="330" t="s">
        <v>857</v>
      </c>
      <c r="T719" s="330" t="s">
        <v>786</v>
      </c>
    </row>
    <row r="720" spans="1:20" customFormat="1">
      <c r="A720" s="736" t="s">
        <v>3395</v>
      </c>
      <c r="B720" s="361" t="s">
        <v>3400</v>
      </c>
      <c r="C720" s="4"/>
      <c r="D720" s="133" t="s">
        <v>670</v>
      </c>
      <c r="E720" s="664" t="str">
        <f>+VLOOKUP(F720,Resumen_Base!$C$8:$G$287,5,0)</f>
        <v>Travel for personnel (employees)</v>
      </c>
      <c r="F720" s="607" t="s">
        <v>68</v>
      </c>
      <c r="G720" s="597" t="s">
        <v>464</v>
      </c>
      <c r="H720" s="4" t="str">
        <f t="shared" si="11"/>
        <v>SJ5255</v>
      </c>
      <c r="I720" s="196">
        <v>2712.2</v>
      </c>
      <c r="J720" s="715">
        <v>1.91</v>
      </c>
      <c r="K720" s="196">
        <v>1420</v>
      </c>
      <c r="L720" s="454" t="s">
        <v>787</v>
      </c>
      <c r="M720" s="4" t="s">
        <v>780</v>
      </c>
      <c r="N720" s="133" t="s">
        <v>781</v>
      </c>
      <c r="O720" s="4" t="s">
        <v>855</v>
      </c>
      <c r="P720" s="4" t="s">
        <v>783</v>
      </c>
      <c r="Q720" s="4" t="s">
        <v>856</v>
      </c>
      <c r="R720" s="4" t="s">
        <v>832</v>
      </c>
      <c r="S720" s="4" t="s">
        <v>857</v>
      </c>
      <c r="T720" s="4" t="s">
        <v>786</v>
      </c>
    </row>
    <row r="721" spans="1:20" customFormat="1">
      <c r="A721" s="737" t="s">
        <v>3395</v>
      </c>
      <c r="B721" s="315" t="s">
        <v>3400</v>
      </c>
      <c r="C721" s="330"/>
      <c r="D721" s="203" t="s">
        <v>670</v>
      </c>
      <c r="E721" s="714" t="str">
        <f>+VLOOKUP(F721,Resumen_Base!$C$8:$G$287,5,0)</f>
        <v>Travel for personnel (employees)</v>
      </c>
      <c r="F721" s="724" t="s">
        <v>68</v>
      </c>
      <c r="G721" s="725" t="s">
        <v>464</v>
      </c>
      <c r="H721" s="330" t="str">
        <f t="shared" si="11"/>
        <v>SJ5255</v>
      </c>
      <c r="I721" s="715">
        <v>731697.6</v>
      </c>
      <c r="J721" s="715">
        <v>515.28</v>
      </c>
      <c r="K721" s="715">
        <v>1420</v>
      </c>
      <c r="L721" s="456" t="s">
        <v>787</v>
      </c>
      <c r="M721" s="330" t="s">
        <v>780</v>
      </c>
      <c r="N721" s="203" t="s">
        <v>781</v>
      </c>
      <c r="O721" s="330" t="s">
        <v>855</v>
      </c>
      <c r="P721" s="330" t="s">
        <v>783</v>
      </c>
      <c r="Q721" s="330" t="s">
        <v>856</v>
      </c>
      <c r="R721" s="330" t="s">
        <v>863</v>
      </c>
      <c r="S721" s="330" t="s">
        <v>857</v>
      </c>
      <c r="T721" s="330" t="s">
        <v>786</v>
      </c>
    </row>
    <row r="722" spans="1:20" customFormat="1">
      <c r="A722" s="737" t="s">
        <v>3395</v>
      </c>
      <c r="B722" s="315" t="s">
        <v>3400</v>
      </c>
      <c r="C722" s="330"/>
      <c r="D722" s="203" t="s">
        <v>670</v>
      </c>
      <c r="E722" s="714" t="str">
        <f>+VLOOKUP(F722,Resumen_Base!$C$8:$G$287,5,0)</f>
        <v>Travel for personnel (employees)</v>
      </c>
      <c r="F722" s="724" t="s">
        <v>68</v>
      </c>
      <c r="G722" s="725" t="s">
        <v>464</v>
      </c>
      <c r="H722" s="330" t="str">
        <f t="shared" si="11"/>
        <v>SJ5255</v>
      </c>
      <c r="I722" s="715">
        <v>84617.8</v>
      </c>
      <c r="J722" s="715">
        <v>59.59</v>
      </c>
      <c r="K722" s="715">
        <v>1420</v>
      </c>
      <c r="L722" s="456" t="s">
        <v>787</v>
      </c>
      <c r="M722" s="330" t="s">
        <v>780</v>
      </c>
      <c r="N722" s="203" t="s">
        <v>781</v>
      </c>
      <c r="O722" s="330" t="s">
        <v>855</v>
      </c>
      <c r="P722" s="330" t="s">
        <v>783</v>
      </c>
      <c r="Q722" s="330" t="s">
        <v>856</v>
      </c>
      <c r="R722" s="330" t="s">
        <v>871</v>
      </c>
      <c r="S722" s="330" t="s">
        <v>857</v>
      </c>
      <c r="T722" s="330" t="s">
        <v>786</v>
      </c>
    </row>
    <row r="723" spans="1:20" customFormat="1">
      <c r="A723" s="737" t="s">
        <v>3395</v>
      </c>
      <c r="B723" s="315" t="s">
        <v>3400</v>
      </c>
      <c r="C723" s="330"/>
      <c r="D723" s="203" t="s">
        <v>670</v>
      </c>
      <c r="E723" s="714" t="str">
        <f>+VLOOKUP(F723,Resumen_Base!$C$8:$G$287,5,0)</f>
        <v>Travel for personnel (employees)</v>
      </c>
      <c r="F723" s="724" t="s">
        <v>68</v>
      </c>
      <c r="G723" s="725" t="s">
        <v>464</v>
      </c>
      <c r="H723" s="330" t="str">
        <f t="shared" si="11"/>
        <v>SJ5255</v>
      </c>
      <c r="I723" s="715">
        <v>131832.79999999999</v>
      </c>
      <c r="J723" s="715">
        <v>92.84</v>
      </c>
      <c r="K723" s="715">
        <v>1420</v>
      </c>
      <c r="L723" s="456" t="s">
        <v>787</v>
      </c>
      <c r="M723" s="330" t="s">
        <v>780</v>
      </c>
      <c r="N723" s="203" t="s">
        <v>781</v>
      </c>
      <c r="O723" s="330" t="s">
        <v>855</v>
      </c>
      <c r="P723" s="330" t="s">
        <v>783</v>
      </c>
      <c r="Q723" s="330" t="s">
        <v>856</v>
      </c>
      <c r="R723" s="330" t="s">
        <v>865</v>
      </c>
      <c r="S723" s="330" t="s">
        <v>857</v>
      </c>
      <c r="T723" s="330" t="s">
        <v>786</v>
      </c>
    </row>
    <row r="724" spans="1:20" customFormat="1" ht="14" customHeight="1">
      <c r="A724" s="737" t="s">
        <v>2806</v>
      </c>
      <c r="B724" s="330"/>
      <c r="C724" s="330"/>
      <c r="D724" s="203" t="s">
        <v>676</v>
      </c>
      <c r="E724" s="714" t="str">
        <f>+VLOOKUP(F724,Resumen_Base!$C$8:$G$287,5,0)</f>
        <v>Food &amp; Wine</v>
      </c>
      <c r="F724" s="330" t="s">
        <v>37</v>
      </c>
      <c r="G724" s="330" t="s">
        <v>36</v>
      </c>
      <c r="H724" s="330" t="str">
        <f t="shared" si="11"/>
        <v>CAR5250</v>
      </c>
      <c r="I724" s="715">
        <v>78043.199999999997</v>
      </c>
      <c r="J724" s="715">
        <v>54.96</v>
      </c>
      <c r="K724" s="715">
        <v>1420</v>
      </c>
      <c r="L724" s="456" t="s">
        <v>787</v>
      </c>
      <c r="M724" s="330" t="s">
        <v>780</v>
      </c>
      <c r="N724" s="203" t="s">
        <v>781</v>
      </c>
      <c r="O724" s="330" t="s">
        <v>855</v>
      </c>
      <c r="P724" s="330" t="s">
        <v>783</v>
      </c>
      <c r="Q724" s="330" t="s">
        <v>856</v>
      </c>
      <c r="R724" s="330" t="s">
        <v>874</v>
      </c>
      <c r="S724" s="330" t="s">
        <v>857</v>
      </c>
      <c r="T724" s="330" t="s">
        <v>786</v>
      </c>
    </row>
    <row r="725" spans="1:20" customFormat="1">
      <c r="A725" s="737" t="s">
        <v>3395</v>
      </c>
      <c r="B725" s="315" t="s">
        <v>3400</v>
      </c>
      <c r="C725" s="330"/>
      <c r="D725" s="203" t="s">
        <v>670</v>
      </c>
      <c r="E725" s="714" t="str">
        <f>+VLOOKUP(F725,Resumen_Base!$C$8:$G$287,5,0)</f>
        <v>Travel for personnel (employees)</v>
      </c>
      <c r="F725" s="724" t="s">
        <v>68</v>
      </c>
      <c r="G725" s="725" t="s">
        <v>464</v>
      </c>
      <c r="H725" s="330" t="str">
        <f t="shared" si="11"/>
        <v>SJ5255</v>
      </c>
      <c r="I725" s="715">
        <v>2712.2</v>
      </c>
      <c r="J725" s="715">
        <v>1.91</v>
      </c>
      <c r="K725" s="715">
        <v>1420</v>
      </c>
      <c r="L725" s="456" t="s">
        <v>787</v>
      </c>
      <c r="M725" s="330" t="s">
        <v>780</v>
      </c>
      <c r="N725" s="203" t="s">
        <v>781</v>
      </c>
      <c r="O725" s="330" t="s">
        <v>855</v>
      </c>
      <c r="P725" s="330" t="s">
        <v>783</v>
      </c>
      <c r="Q725" s="330" t="s">
        <v>856</v>
      </c>
      <c r="R725" s="330" t="s">
        <v>832</v>
      </c>
      <c r="S725" s="330" t="s">
        <v>857</v>
      </c>
      <c r="T725" s="330" t="s">
        <v>786</v>
      </c>
    </row>
    <row r="726" spans="1:20" customFormat="1">
      <c r="A726" s="737" t="s">
        <v>3395</v>
      </c>
      <c r="B726" s="315" t="s">
        <v>3400</v>
      </c>
      <c r="C726" s="330"/>
      <c r="D726" s="203" t="s">
        <v>670</v>
      </c>
      <c r="E726" s="714" t="str">
        <f>+VLOOKUP(F726,Resumen_Base!$C$8:$G$287,5,0)</f>
        <v>Travel for personnel (employees)</v>
      </c>
      <c r="F726" s="724" t="s">
        <v>68</v>
      </c>
      <c r="G726" s="725" t="s">
        <v>464</v>
      </c>
      <c r="H726" s="330" t="str">
        <f t="shared" si="11"/>
        <v>SJ5255</v>
      </c>
      <c r="I726" s="715">
        <v>2712.2</v>
      </c>
      <c r="J726" s="715">
        <v>1.91</v>
      </c>
      <c r="K726" s="715">
        <v>1420</v>
      </c>
      <c r="L726" s="456" t="s">
        <v>787</v>
      </c>
      <c r="M726" s="330" t="s">
        <v>780</v>
      </c>
      <c r="N726" s="203" t="s">
        <v>781</v>
      </c>
      <c r="O726" s="330" t="s">
        <v>855</v>
      </c>
      <c r="P726" s="330" t="s">
        <v>783</v>
      </c>
      <c r="Q726" s="330" t="s">
        <v>856</v>
      </c>
      <c r="R726" s="330" t="s">
        <v>832</v>
      </c>
      <c r="S726" s="330" t="s">
        <v>857</v>
      </c>
      <c r="T726" s="330" t="s">
        <v>786</v>
      </c>
    </row>
    <row r="727" spans="1:20" customFormat="1" ht="14" customHeight="1">
      <c r="A727" s="10"/>
      <c r="B727" s="4"/>
      <c r="C727" s="4"/>
      <c r="D727" s="133" t="s">
        <v>676</v>
      </c>
      <c r="E727" s="664" t="str">
        <f>+VLOOKUP(F727,Resumen_Base!$C$8:$G$287,5,0)</f>
        <v>Food &amp; Wine</v>
      </c>
      <c r="F727" s="152" t="s">
        <v>37</v>
      </c>
      <c r="G727" s="4" t="s">
        <v>36</v>
      </c>
      <c r="H727" s="4" t="str">
        <f t="shared" si="11"/>
        <v>CAR5250</v>
      </c>
      <c r="I727" s="196">
        <v>1319501.8</v>
      </c>
      <c r="J727" s="196">
        <v>963.14</v>
      </c>
      <c r="K727" s="196">
        <v>1370</v>
      </c>
      <c r="L727" s="454" t="s">
        <v>787</v>
      </c>
      <c r="M727" s="4" t="s">
        <v>780</v>
      </c>
      <c r="N727" s="133" t="s">
        <v>1407</v>
      </c>
      <c r="O727" s="4" t="s">
        <v>1490</v>
      </c>
      <c r="P727" s="4" t="s">
        <v>783</v>
      </c>
      <c r="Q727" s="4" t="s">
        <v>1491</v>
      </c>
      <c r="R727" s="4" t="s">
        <v>1503</v>
      </c>
      <c r="S727" s="4" t="s">
        <v>1493</v>
      </c>
      <c r="T727" s="4" t="s">
        <v>786</v>
      </c>
    </row>
    <row r="728" spans="1:20" customFormat="1" ht="14" customHeight="1">
      <c r="A728" s="10"/>
      <c r="B728" s="4"/>
      <c r="C728" s="4"/>
      <c r="D728" s="133" t="s">
        <v>676</v>
      </c>
      <c r="E728" s="664" t="str">
        <f>+VLOOKUP(F728,Resumen_Base!$C$8:$G$287,5,0)</f>
        <v>Food &amp; Wine</v>
      </c>
      <c r="F728" s="152" t="s">
        <v>37</v>
      </c>
      <c r="G728" s="4" t="s">
        <v>36</v>
      </c>
      <c r="H728" s="4" t="str">
        <f t="shared" si="11"/>
        <v>CAR5250</v>
      </c>
      <c r="I728" s="196">
        <v>2769</v>
      </c>
      <c r="J728" s="196">
        <v>1.95</v>
      </c>
      <c r="K728" s="196">
        <v>1420</v>
      </c>
      <c r="L728" s="454" t="s">
        <v>787</v>
      </c>
      <c r="M728" s="4" t="s">
        <v>780</v>
      </c>
      <c r="N728" s="133" t="s">
        <v>1407</v>
      </c>
      <c r="O728" s="4" t="s">
        <v>1490</v>
      </c>
      <c r="P728" s="4" t="s">
        <v>783</v>
      </c>
      <c r="Q728" s="4" t="s">
        <v>1491</v>
      </c>
      <c r="R728" s="4" t="s">
        <v>1456</v>
      </c>
      <c r="S728" s="4" t="s">
        <v>1493</v>
      </c>
      <c r="T728" s="4" t="s">
        <v>786</v>
      </c>
    </row>
    <row r="729" spans="1:20" customFormat="1" ht="14" customHeight="1">
      <c r="A729" s="10"/>
      <c r="B729" s="4"/>
      <c r="C729" s="4"/>
      <c r="D729" s="133" t="s">
        <v>676</v>
      </c>
      <c r="E729" s="664" t="str">
        <f>+VLOOKUP(F729,Resumen_Base!$C$8:$G$287,5,0)</f>
        <v>Food &amp; Wine</v>
      </c>
      <c r="F729" s="152" t="s">
        <v>37</v>
      </c>
      <c r="G729" s="4" t="s">
        <v>36</v>
      </c>
      <c r="H729" s="4" t="str">
        <f t="shared" si="11"/>
        <v>CAR5250</v>
      </c>
      <c r="I729" s="196">
        <v>2671.5</v>
      </c>
      <c r="J729" s="196">
        <v>1.95</v>
      </c>
      <c r="K729" s="196">
        <v>1370</v>
      </c>
      <c r="L729" s="454" t="s">
        <v>787</v>
      </c>
      <c r="M729" s="4" t="s">
        <v>780</v>
      </c>
      <c r="N729" s="133" t="s">
        <v>1407</v>
      </c>
      <c r="O729" s="4" t="s">
        <v>1490</v>
      </c>
      <c r="P729" s="4" t="s">
        <v>783</v>
      </c>
      <c r="Q729" s="4" t="s">
        <v>1491</v>
      </c>
      <c r="R729" s="4" t="s">
        <v>1456</v>
      </c>
      <c r="S729" s="4" t="s">
        <v>1493</v>
      </c>
      <c r="T729" s="4" t="s">
        <v>786</v>
      </c>
    </row>
    <row r="730" spans="1:20" customFormat="1" ht="14" customHeight="1">
      <c r="A730" s="10"/>
      <c r="B730" s="4"/>
      <c r="C730" s="4"/>
      <c r="D730" s="133" t="s">
        <v>676</v>
      </c>
      <c r="E730" s="664" t="str">
        <f>+VLOOKUP(F730,Resumen_Base!$C$8:$G$287,5,0)</f>
        <v>Food &amp; Wine</v>
      </c>
      <c r="F730" s="152" t="s">
        <v>37</v>
      </c>
      <c r="G730" s="4" t="s">
        <v>36</v>
      </c>
      <c r="H730" s="4" t="str">
        <f t="shared" si="11"/>
        <v>CAR5250</v>
      </c>
      <c r="I730" s="196">
        <v>893918.4</v>
      </c>
      <c r="J730" s="196">
        <v>629.52</v>
      </c>
      <c r="K730" s="196">
        <v>1420</v>
      </c>
      <c r="L730" s="454" t="s">
        <v>787</v>
      </c>
      <c r="M730" s="4" t="s">
        <v>780</v>
      </c>
      <c r="N730" s="133" t="s">
        <v>1407</v>
      </c>
      <c r="O730" s="4" t="s">
        <v>1490</v>
      </c>
      <c r="P730" s="4" t="s">
        <v>783</v>
      </c>
      <c r="Q730" s="4" t="s">
        <v>1491</v>
      </c>
      <c r="R730" s="4" t="s">
        <v>1504</v>
      </c>
      <c r="S730" s="4" t="s">
        <v>1493</v>
      </c>
      <c r="T730" s="4" t="s">
        <v>786</v>
      </c>
    </row>
    <row r="731" spans="1:20" customFormat="1" ht="14" customHeight="1">
      <c r="A731" s="10"/>
      <c r="B731" s="4"/>
      <c r="C731" s="4"/>
      <c r="D731" s="133" t="s">
        <v>676</v>
      </c>
      <c r="E731" s="664" t="str">
        <f>+VLOOKUP(F731,Resumen_Base!$C$8:$G$287,5,0)</f>
        <v>Food &amp; Wine</v>
      </c>
      <c r="F731" s="152" t="s">
        <v>37</v>
      </c>
      <c r="G731" s="4" t="s">
        <v>36</v>
      </c>
      <c r="H731" s="4" t="str">
        <f t="shared" si="11"/>
        <v>CAR5250</v>
      </c>
      <c r="I731" s="196">
        <v>2769</v>
      </c>
      <c r="J731" s="196">
        <v>1.95</v>
      </c>
      <c r="K731" s="196">
        <v>1420</v>
      </c>
      <c r="L731" s="454" t="s">
        <v>787</v>
      </c>
      <c r="M731" s="4" t="s">
        <v>780</v>
      </c>
      <c r="N731" s="133" t="s">
        <v>1407</v>
      </c>
      <c r="O731" s="4" t="s">
        <v>1490</v>
      </c>
      <c r="P731" s="4" t="s">
        <v>783</v>
      </c>
      <c r="Q731" s="4" t="s">
        <v>1491</v>
      </c>
      <c r="R731" s="4" t="s">
        <v>1456</v>
      </c>
      <c r="S731" s="4" t="s">
        <v>1493</v>
      </c>
      <c r="T731" s="4" t="s">
        <v>786</v>
      </c>
    </row>
    <row r="732" spans="1:20" customFormat="1" ht="14" customHeight="1">
      <c r="A732" s="10"/>
      <c r="B732" s="4"/>
      <c r="C732" s="4"/>
      <c r="D732" s="133" t="s">
        <v>676</v>
      </c>
      <c r="E732" s="664" t="str">
        <f>+VLOOKUP(F732,Resumen_Base!$C$8:$G$287,5,0)</f>
        <v>Food &amp; Wine</v>
      </c>
      <c r="F732" s="152" t="s">
        <v>37</v>
      </c>
      <c r="G732" s="4" t="s">
        <v>36</v>
      </c>
      <c r="H732" s="4" t="str">
        <f t="shared" si="11"/>
        <v>CAR5250</v>
      </c>
      <c r="I732" s="196">
        <v>193546</v>
      </c>
      <c r="J732" s="196">
        <v>136.30000000000001</v>
      </c>
      <c r="K732" s="196">
        <v>1420</v>
      </c>
      <c r="L732" s="454" t="s">
        <v>787</v>
      </c>
      <c r="M732" s="4" t="s">
        <v>780</v>
      </c>
      <c r="N732" s="133" t="s">
        <v>1407</v>
      </c>
      <c r="O732" s="4" t="s">
        <v>1490</v>
      </c>
      <c r="P732" s="4" t="s">
        <v>783</v>
      </c>
      <c r="Q732" s="4" t="s">
        <v>1491</v>
      </c>
      <c r="R732" s="4" t="s">
        <v>1505</v>
      </c>
      <c r="S732" s="4" t="s">
        <v>1493</v>
      </c>
      <c r="T732" s="4" t="s">
        <v>786</v>
      </c>
    </row>
    <row r="733" spans="1:20" customFormat="1" ht="14" customHeight="1">
      <c r="A733" s="10"/>
      <c r="B733" s="4"/>
      <c r="C733" s="4"/>
      <c r="D733" s="133" t="s">
        <v>676</v>
      </c>
      <c r="E733" s="664" t="str">
        <f>+VLOOKUP(F733,Resumen_Base!$C$8:$G$287,5,0)</f>
        <v>Food &amp; Wine</v>
      </c>
      <c r="F733" s="152" t="s">
        <v>37</v>
      </c>
      <c r="G733" s="4" t="s">
        <v>36</v>
      </c>
      <c r="H733" s="4" t="str">
        <f t="shared" si="11"/>
        <v>CAR5250</v>
      </c>
      <c r="I733" s="196">
        <v>2171861.6</v>
      </c>
      <c r="J733" s="196">
        <v>1529.48</v>
      </c>
      <c r="K733" s="196">
        <v>1420</v>
      </c>
      <c r="L733" s="454" t="s">
        <v>787</v>
      </c>
      <c r="M733" s="4" t="s">
        <v>780</v>
      </c>
      <c r="N733" s="133" t="s">
        <v>1407</v>
      </c>
      <c r="O733" s="4" t="s">
        <v>1490</v>
      </c>
      <c r="P733" s="4" t="s">
        <v>783</v>
      </c>
      <c r="Q733" s="4" t="s">
        <v>1491</v>
      </c>
      <c r="R733" s="4" t="s">
        <v>1506</v>
      </c>
      <c r="S733" s="4" t="s">
        <v>1493</v>
      </c>
      <c r="T733" s="4" t="s">
        <v>786</v>
      </c>
    </row>
    <row r="734" spans="1:20" customFormat="1" ht="14" customHeight="1">
      <c r="A734" s="10"/>
      <c r="B734" s="4"/>
      <c r="C734" s="4"/>
      <c r="D734" s="133" t="s">
        <v>676</v>
      </c>
      <c r="E734" s="664" t="str">
        <f>+VLOOKUP(F734,Resumen_Base!$C$8:$G$287,5,0)</f>
        <v>Food &amp; Wine</v>
      </c>
      <c r="F734" s="152" t="s">
        <v>37</v>
      </c>
      <c r="G734" s="4" t="s">
        <v>36</v>
      </c>
      <c r="H734" s="4" t="str">
        <f t="shared" si="11"/>
        <v>CAR5250</v>
      </c>
      <c r="I734" s="196">
        <v>168162.2</v>
      </c>
      <c r="J734" s="196">
        <v>120.98</v>
      </c>
      <c r="K734" s="196">
        <v>1390</v>
      </c>
      <c r="L734" s="454" t="s">
        <v>899</v>
      </c>
      <c r="M734" s="4" t="s">
        <v>780</v>
      </c>
      <c r="N734" s="133" t="s">
        <v>1407</v>
      </c>
      <c r="O734" s="4" t="s">
        <v>1620</v>
      </c>
      <c r="P734" s="4" t="s">
        <v>892</v>
      </c>
      <c r="Q734" s="4" t="s">
        <v>1621</v>
      </c>
      <c r="R734" s="4" t="s">
        <v>1649</v>
      </c>
      <c r="S734" s="4" t="s">
        <v>1623</v>
      </c>
      <c r="T734" s="4" t="s">
        <v>786</v>
      </c>
    </row>
    <row r="735" spans="1:20" customFormat="1" ht="14" customHeight="1">
      <c r="A735" s="10"/>
      <c r="B735" s="4"/>
      <c r="C735" s="4"/>
      <c r="D735" s="133" t="s">
        <v>676</v>
      </c>
      <c r="E735" s="664" t="str">
        <f>+VLOOKUP(F735,Resumen_Base!$C$8:$G$287,5,0)</f>
        <v>Food &amp; Wine</v>
      </c>
      <c r="F735" s="152" t="s">
        <v>37</v>
      </c>
      <c r="G735" s="4" t="s">
        <v>36</v>
      </c>
      <c r="H735" s="4" t="str">
        <f t="shared" si="11"/>
        <v>CAR5250</v>
      </c>
      <c r="I735" s="196">
        <v>144268.1</v>
      </c>
      <c r="J735" s="196">
        <v>103.79</v>
      </c>
      <c r="K735" s="196">
        <v>1390</v>
      </c>
      <c r="L735" s="454" t="s">
        <v>899</v>
      </c>
      <c r="M735" s="4" t="s">
        <v>780</v>
      </c>
      <c r="N735" s="133" t="s">
        <v>1407</v>
      </c>
      <c r="O735" s="4" t="s">
        <v>1620</v>
      </c>
      <c r="P735" s="4" t="s">
        <v>892</v>
      </c>
      <c r="Q735" s="4" t="s">
        <v>1621</v>
      </c>
      <c r="R735" s="4" t="s">
        <v>1641</v>
      </c>
      <c r="S735" s="4" t="s">
        <v>1623</v>
      </c>
      <c r="T735" s="4" t="s">
        <v>786</v>
      </c>
    </row>
    <row r="736" spans="1:20" customFormat="1" ht="14" customHeight="1">
      <c r="A736" s="10"/>
      <c r="B736" s="4"/>
      <c r="C736" s="4"/>
      <c r="D736" s="133" t="s">
        <v>676</v>
      </c>
      <c r="E736" s="664" t="str">
        <f>+VLOOKUP(F736,Resumen_Base!$C$8:$G$287,5,0)</f>
        <v>Food &amp; Wine</v>
      </c>
      <c r="F736" s="152" t="s">
        <v>37</v>
      </c>
      <c r="G736" s="4" t="s">
        <v>36</v>
      </c>
      <c r="H736" s="4" t="str">
        <f t="shared" si="11"/>
        <v>CAR5250</v>
      </c>
      <c r="I736" s="196">
        <v>282851.09999999998</v>
      </c>
      <c r="J736" s="196">
        <v>203.49</v>
      </c>
      <c r="K736" s="196">
        <v>1390</v>
      </c>
      <c r="L736" s="454" t="s">
        <v>899</v>
      </c>
      <c r="M736" s="4" t="s">
        <v>780</v>
      </c>
      <c r="N736" s="133" t="s">
        <v>1407</v>
      </c>
      <c r="O736" s="4" t="s">
        <v>1620</v>
      </c>
      <c r="P736" s="4" t="s">
        <v>892</v>
      </c>
      <c r="Q736" s="4" t="s">
        <v>1621</v>
      </c>
      <c r="R736" s="4" t="s">
        <v>1680</v>
      </c>
      <c r="S736" s="4" t="s">
        <v>1623</v>
      </c>
      <c r="T736" s="4" t="s">
        <v>786</v>
      </c>
    </row>
    <row r="737" spans="1:20" customFormat="1" ht="14" customHeight="1">
      <c r="A737" s="10"/>
      <c r="B737" s="4"/>
      <c r="C737" s="4"/>
      <c r="D737" s="133" t="s">
        <v>676</v>
      </c>
      <c r="E737" s="664" t="str">
        <f>+VLOOKUP(F737,Resumen_Base!$C$8:$G$287,5,0)</f>
        <v>Food &amp; Wine</v>
      </c>
      <c r="F737" s="152" t="s">
        <v>37</v>
      </c>
      <c r="G737" s="4" t="s">
        <v>36</v>
      </c>
      <c r="H737" s="4" t="str">
        <f t="shared" si="11"/>
        <v>CAR5250</v>
      </c>
      <c r="I737" s="196">
        <v>69152.5</v>
      </c>
      <c r="J737" s="196">
        <v>49.75</v>
      </c>
      <c r="K737" s="196">
        <v>1390</v>
      </c>
      <c r="L737" s="454" t="s">
        <v>899</v>
      </c>
      <c r="M737" s="4" t="s">
        <v>780</v>
      </c>
      <c r="N737" s="133" t="s">
        <v>1407</v>
      </c>
      <c r="O737" s="4" t="s">
        <v>1620</v>
      </c>
      <c r="P737" s="4" t="s">
        <v>892</v>
      </c>
      <c r="Q737" s="4" t="s">
        <v>1621</v>
      </c>
      <c r="R737" s="4" t="s">
        <v>1661</v>
      </c>
      <c r="S737" s="4" t="s">
        <v>1623</v>
      </c>
      <c r="T737" s="4" t="s">
        <v>786</v>
      </c>
    </row>
    <row r="738" spans="1:20" customFormat="1" ht="14" customHeight="1">
      <c r="A738" s="10"/>
      <c r="B738" s="4"/>
      <c r="C738" s="4"/>
      <c r="D738" s="133" t="s">
        <v>676</v>
      </c>
      <c r="E738" s="664" t="str">
        <f>+VLOOKUP(F738,Resumen_Base!$C$8:$G$287,5,0)</f>
        <v>Food &amp; Wine</v>
      </c>
      <c r="F738" s="152" t="s">
        <v>37</v>
      </c>
      <c r="G738" s="4" t="s">
        <v>36</v>
      </c>
      <c r="H738" s="4" t="str">
        <f t="shared" si="11"/>
        <v>CAR5250</v>
      </c>
      <c r="I738" s="196">
        <v>8909.9</v>
      </c>
      <c r="J738" s="196">
        <v>6.41</v>
      </c>
      <c r="K738" s="196">
        <v>1390</v>
      </c>
      <c r="L738" s="454" t="s">
        <v>899</v>
      </c>
      <c r="M738" s="4" t="s">
        <v>780</v>
      </c>
      <c r="N738" s="133" t="s">
        <v>1407</v>
      </c>
      <c r="O738" s="4" t="s">
        <v>1620</v>
      </c>
      <c r="P738" s="4" t="s">
        <v>892</v>
      </c>
      <c r="Q738" s="4" t="s">
        <v>1621</v>
      </c>
      <c r="R738" s="4" t="s">
        <v>1714</v>
      </c>
      <c r="S738" s="4" t="s">
        <v>1623</v>
      </c>
      <c r="T738" s="4" t="s">
        <v>786</v>
      </c>
    </row>
    <row r="739" spans="1:20" customFormat="1" ht="14" customHeight="1">
      <c r="A739" s="10"/>
      <c r="B739" s="4"/>
      <c r="C739" s="4"/>
      <c r="D739" s="133" t="s">
        <v>676</v>
      </c>
      <c r="E739" s="664" t="str">
        <f>+VLOOKUP(F739,Resumen_Base!$C$8:$G$287,5,0)</f>
        <v>Food &amp; Wine</v>
      </c>
      <c r="F739" s="152" t="s">
        <v>37</v>
      </c>
      <c r="G739" s="4" t="s">
        <v>36</v>
      </c>
      <c r="H739" s="4" t="str">
        <f t="shared" si="11"/>
        <v>CAR5250</v>
      </c>
      <c r="I739" s="196">
        <v>27939</v>
      </c>
      <c r="J739" s="196">
        <v>20.100000000000001</v>
      </c>
      <c r="K739" s="196">
        <v>1390</v>
      </c>
      <c r="L739" s="454" t="s">
        <v>899</v>
      </c>
      <c r="M739" s="4" t="s">
        <v>780</v>
      </c>
      <c r="N739" s="133" t="s">
        <v>1407</v>
      </c>
      <c r="O739" s="4" t="s">
        <v>1620</v>
      </c>
      <c r="P739" s="4" t="s">
        <v>892</v>
      </c>
      <c r="Q739" s="4" t="s">
        <v>1621</v>
      </c>
      <c r="R739" s="4" t="s">
        <v>1712</v>
      </c>
      <c r="S739" s="4" t="s">
        <v>1623</v>
      </c>
      <c r="T739" s="4" t="s">
        <v>786</v>
      </c>
    </row>
    <row r="740" spans="1:20" customFormat="1" ht="14" customHeight="1">
      <c r="A740" s="10"/>
      <c r="B740" s="4"/>
      <c r="C740" s="4"/>
      <c r="D740" s="133" t="s">
        <v>676</v>
      </c>
      <c r="E740" s="664" t="str">
        <f>+VLOOKUP(F740,Resumen_Base!$C$8:$G$287,5,0)</f>
        <v>Food &amp; Wine</v>
      </c>
      <c r="F740" s="152" t="s">
        <v>37</v>
      </c>
      <c r="G740" s="4" t="s">
        <v>36</v>
      </c>
      <c r="H740" s="4" t="str">
        <f t="shared" si="11"/>
        <v>CAR5250</v>
      </c>
      <c r="I740" s="196">
        <v>31427.9</v>
      </c>
      <c r="J740" s="196">
        <v>22.61</v>
      </c>
      <c r="K740" s="196">
        <v>1390</v>
      </c>
      <c r="L740" s="454" t="s">
        <v>899</v>
      </c>
      <c r="M740" s="4" t="s">
        <v>780</v>
      </c>
      <c r="N740" s="133" t="s">
        <v>1407</v>
      </c>
      <c r="O740" s="4" t="s">
        <v>1620</v>
      </c>
      <c r="P740" s="4" t="s">
        <v>892</v>
      </c>
      <c r="Q740" s="4" t="s">
        <v>1621</v>
      </c>
      <c r="R740" s="4" t="s">
        <v>1627</v>
      </c>
      <c r="S740" s="4" t="s">
        <v>1623</v>
      </c>
      <c r="T740" s="4" t="s">
        <v>786</v>
      </c>
    </row>
    <row r="741" spans="1:20" customFormat="1" ht="14" customHeight="1">
      <c r="A741" s="10"/>
      <c r="B741" s="4"/>
      <c r="C741" s="4"/>
      <c r="D741" s="133" t="s">
        <v>676</v>
      </c>
      <c r="E741" s="664" t="str">
        <f>+VLOOKUP(F741,Resumen_Base!$C$8:$G$287,5,0)</f>
        <v>Food &amp; Wine</v>
      </c>
      <c r="F741" s="152" t="s">
        <v>37</v>
      </c>
      <c r="G741" s="4" t="s">
        <v>36</v>
      </c>
      <c r="H741" s="4" t="str">
        <f t="shared" si="11"/>
        <v>CAR5250</v>
      </c>
      <c r="I741" s="196">
        <v>283587.8</v>
      </c>
      <c r="J741" s="196">
        <v>204.02</v>
      </c>
      <c r="K741" s="196">
        <v>1390</v>
      </c>
      <c r="L741" s="454" t="s">
        <v>899</v>
      </c>
      <c r="M741" s="4" t="s">
        <v>780</v>
      </c>
      <c r="N741" s="133" t="s">
        <v>1407</v>
      </c>
      <c r="O741" s="4" t="s">
        <v>1620</v>
      </c>
      <c r="P741" s="4" t="s">
        <v>892</v>
      </c>
      <c r="Q741" s="4" t="s">
        <v>1621</v>
      </c>
      <c r="R741" s="4" t="s">
        <v>1625</v>
      </c>
      <c r="S741" s="4" t="s">
        <v>1623</v>
      </c>
      <c r="T741" s="4" t="s">
        <v>786</v>
      </c>
    </row>
    <row r="742" spans="1:20" customFormat="1" ht="14" customHeight="1">
      <c r="A742" s="10"/>
      <c r="B742" s="4"/>
      <c r="C742" s="4"/>
      <c r="D742" s="133" t="s">
        <v>676</v>
      </c>
      <c r="E742" s="664" t="str">
        <f>+VLOOKUP(F742,Resumen_Base!$C$8:$G$287,5,0)</f>
        <v>Food &amp; Wine</v>
      </c>
      <c r="F742" s="152" t="s">
        <v>37</v>
      </c>
      <c r="G742" s="4" t="s">
        <v>36</v>
      </c>
      <c r="H742" s="4" t="str">
        <f t="shared" si="11"/>
        <v>CAR5250</v>
      </c>
      <c r="I742" s="196">
        <v>439768.2</v>
      </c>
      <c r="J742" s="196">
        <v>316.38</v>
      </c>
      <c r="K742" s="196">
        <v>1390</v>
      </c>
      <c r="L742" s="454" t="s">
        <v>899</v>
      </c>
      <c r="M742" s="4" t="s">
        <v>780</v>
      </c>
      <c r="N742" s="133" t="s">
        <v>1407</v>
      </c>
      <c r="O742" s="4" t="s">
        <v>1620</v>
      </c>
      <c r="P742" s="4" t="s">
        <v>892</v>
      </c>
      <c r="Q742" s="4" t="s">
        <v>1621</v>
      </c>
      <c r="R742" s="4" t="s">
        <v>1708</v>
      </c>
      <c r="S742" s="4" t="s">
        <v>1623</v>
      </c>
      <c r="T742" s="4" t="s">
        <v>786</v>
      </c>
    </row>
    <row r="743" spans="1:20" customFormat="1" ht="14" customHeight="1">
      <c r="A743" s="10"/>
      <c r="B743" s="4"/>
      <c r="C743" s="4"/>
      <c r="D743" s="133" t="s">
        <v>676</v>
      </c>
      <c r="E743" s="664" t="str">
        <f>+VLOOKUP(F743,Resumen_Base!$C$8:$G$287,5,0)</f>
        <v>Food &amp; Wine</v>
      </c>
      <c r="F743" s="152" t="s">
        <v>37</v>
      </c>
      <c r="G743" s="4" t="s">
        <v>36</v>
      </c>
      <c r="H743" s="4" t="str">
        <f t="shared" si="11"/>
        <v>CAR5250</v>
      </c>
      <c r="I743" s="196">
        <v>811787.8</v>
      </c>
      <c r="J743" s="196">
        <v>584.02</v>
      </c>
      <c r="K743" s="196">
        <v>1390</v>
      </c>
      <c r="L743" s="454" t="s">
        <v>899</v>
      </c>
      <c r="M743" s="4" t="s">
        <v>780</v>
      </c>
      <c r="N743" s="133" t="s">
        <v>1407</v>
      </c>
      <c r="O743" s="4" t="s">
        <v>1620</v>
      </c>
      <c r="P743" s="4" t="s">
        <v>892</v>
      </c>
      <c r="Q743" s="4" t="s">
        <v>1621</v>
      </c>
      <c r="R743" s="4" t="s">
        <v>1704</v>
      </c>
      <c r="S743" s="4" t="s">
        <v>1623</v>
      </c>
      <c r="T743" s="4" t="s">
        <v>786</v>
      </c>
    </row>
    <row r="744" spans="1:20" customFormat="1" ht="14" customHeight="1">
      <c r="A744" s="10"/>
      <c r="B744" s="4"/>
      <c r="C744" s="4"/>
      <c r="D744" s="133" t="s">
        <v>676</v>
      </c>
      <c r="E744" s="664" t="str">
        <f>+VLOOKUP(F744,Resumen_Base!$C$8:$G$287,5,0)</f>
        <v>Food &amp; Wine</v>
      </c>
      <c r="F744" s="152" t="s">
        <v>37</v>
      </c>
      <c r="G744" s="4" t="s">
        <v>36</v>
      </c>
      <c r="H744" s="4" t="str">
        <f t="shared" si="11"/>
        <v>CAR5250</v>
      </c>
      <c r="I744" s="196">
        <v>69152.5</v>
      </c>
      <c r="J744" s="196">
        <v>49.75</v>
      </c>
      <c r="K744" s="196">
        <v>1390</v>
      </c>
      <c r="L744" s="454" t="s">
        <v>899</v>
      </c>
      <c r="M744" s="4" t="s">
        <v>780</v>
      </c>
      <c r="N744" s="133" t="s">
        <v>1407</v>
      </c>
      <c r="O744" s="4" t="s">
        <v>1620</v>
      </c>
      <c r="P744" s="4" t="s">
        <v>892</v>
      </c>
      <c r="Q744" s="4" t="s">
        <v>1621</v>
      </c>
      <c r="R744" s="4" t="s">
        <v>1661</v>
      </c>
      <c r="S744" s="4" t="s">
        <v>1623</v>
      </c>
      <c r="T744" s="4" t="s">
        <v>786</v>
      </c>
    </row>
    <row r="745" spans="1:20" customFormat="1" ht="14" customHeight="1">
      <c r="A745" s="10"/>
      <c r="B745" s="4"/>
      <c r="C745" s="4"/>
      <c r="D745" s="133" t="s">
        <v>676</v>
      </c>
      <c r="E745" s="664" t="str">
        <f>+VLOOKUP(F745,Resumen_Base!$C$8:$G$287,5,0)</f>
        <v>Food &amp; Wine</v>
      </c>
      <c r="F745" s="152" t="s">
        <v>37</v>
      </c>
      <c r="G745" s="4" t="s">
        <v>36</v>
      </c>
      <c r="H745" s="4" t="str">
        <f t="shared" si="11"/>
        <v>CAR5250</v>
      </c>
      <c r="I745" s="196">
        <v>77840</v>
      </c>
      <c r="J745" s="196">
        <v>56</v>
      </c>
      <c r="K745" s="196">
        <v>1390</v>
      </c>
      <c r="L745" s="454" t="s">
        <v>899</v>
      </c>
      <c r="M745" s="4" t="s">
        <v>780</v>
      </c>
      <c r="N745" s="133" t="s">
        <v>1407</v>
      </c>
      <c r="O745" s="4" t="s">
        <v>1620</v>
      </c>
      <c r="P745" s="4" t="s">
        <v>892</v>
      </c>
      <c r="Q745" s="4" t="s">
        <v>1621</v>
      </c>
      <c r="R745" s="4" t="s">
        <v>1688</v>
      </c>
      <c r="S745" s="4" t="s">
        <v>1623</v>
      </c>
      <c r="T745" s="4" t="s">
        <v>786</v>
      </c>
    </row>
    <row r="746" spans="1:20" customFormat="1" ht="14" customHeight="1">
      <c r="A746" s="10"/>
      <c r="B746" s="4"/>
      <c r="C746" s="4"/>
      <c r="D746" s="133" t="s">
        <v>676</v>
      </c>
      <c r="E746" s="664" t="str">
        <f>+VLOOKUP(F746,Resumen_Base!$C$8:$G$287,5,0)</f>
        <v>Food &amp; Wine</v>
      </c>
      <c r="F746" s="152" t="s">
        <v>37</v>
      </c>
      <c r="G746" s="4" t="s">
        <v>36</v>
      </c>
      <c r="H746" s="4" t="str">
        <f t="shared" si="11"/>
        <v>CAR5250</v>
      </c>
      <c r="I746" s="196">
        <v>470501.1</v>
      </c>
      <c r="J746" s="196">
        <v>338.49</v>
      </c>
      <c r="K746" s="196">
        <v>1390</v>
      </c>
      <c r="L746" s="454" t="s">
        <v>899</v>
      </c>
      <c r="M746" s="4" t="s">
        <v>780</v>
      </c>
      <c r="N746" s="133" t="s">
        <v>1407</v>
      </c>
      <c r="O746" s="4" t="s">
        <v>1620</v>
      </c>
      <c r="P746" s="4" t="s">
        <v>892</v>
      </c>
      <c r="Q746" s="4" t="s">
        <v>1621</v>
      </c>
      <c r="R746" s="4" t="s">
        <v>1679</v>
      </c>
      <c r="S746" s="4" t="s">
        <v>1623</v>
      </c>
      <c r="T746" s="4" t="s">
        <v>786</v>
      </c>
    </row>
    <row r="747" spans="1:20" customFormat="1" ht="14" customHeight="1">
      <c r="A747" s="10"/>
      <c r="B747" s="4"/>
      <c r="C747" s="4"/>
      <c r="D747" s="133" t="s">
        <v>676</v>
      </c>
      <c r="E747" s="664" t="str">
        <f>+VLOOKUP(F747,Resumen_Base!$C$8:$G$287,5,0)</f>
        <v>Food &amp; Wine</v>
      </c>
      <c r="F747" s="152" t="s">
        <v>37</v>
      </c>
      <c r="G747" s="4" t="s">
        <v>36</v>
      </c>
      <c r="H747" s="4" t="str">
        <f t="shared" si="11"/>
        <v>CAR5250</v>
      </c>
      <c r="I747" s="196">
        <v>35301.199999999997</v>
      </c>
      <c r="J747" s="196">
        <v>24.86</v>
      </c>
      <c r="K747" s="196">
        <v>1420</v>
      </c>
      <c r="L747" s="454" t="s">
        <v>899</v>
      </c>
      <c r="M747" s="4" t="s">
        <v>780</v>
      </c>
      <c r="N747" s="133" t="s">
        <v>1407</v>
      </c>
      <c r="O747" s="4" t="s">
        <v>1620</v>
      </c>
      <c r="P747" s="4" t="s">
        <v>892</v>
      </c>
      <c r="Q747" s="4" t="s">
        <v>1621</v>
      </c>
      <c r="R747" s="4" t="s">
        <v>1675</v>
      </c>
      <c r="S747" s="4" t="s">
        <v>1623</v>
      </c>
      <c r="T747" s="4" t="s">
        <v>786</v>
      </c>
    </row>
    <row r="748" spans="1:20" customFormat="1" ht="14" customHeight="1">
      <c r="A748" s="10"/>
      <c r="B748" s="4"/>
      <c r="C748" s="4"/>
      <c r="D748" s="133" t="s">
        <v>676</v>
      </c>
      <c r="E748" s="664" t="str">
        <f>+VLOOKUP(F748,Resumen_Base!$C$8:$G$287,5,0)</f>
        <v>Food &amp; Wine</v>
      </c>
      <c r="F748" s="152" t="s">
        <v>37</v>
      </c>
      <c r="G748" s="4" t="s">
        <v>36</v>
      </c>
      <c r="H748" s="4" t="str">
        <f t="shared" si="11"/>
        <v>CAR5250</v>
      </c>
      <c r="I748" s="196">
        <v>15889.8</v>
      </c>
      <c r="J748" s="196">
        <v>11.19</v>
      </c>
      <c r="K748" s="196">
        <v>1420</v>
      </c>
      <c r="L748" s="454" t="s">
        <v>899</v>
      </c>
      <c r="M748" s="4" t="s">
        <v>780</v>
      </c>
      <c r="N748" s="133" t="s">
        <v>1407</v>
      </c>
      <c r="O748" s="4" t="s">
        <v>1620</v>
      </c>
      <c r="P748" s="4" t="s">
        <v>892</v>
      </c>
      <c r="Q748" s="4" t="s">
        <v>1621</v>
      </c>
      <c r="R748" s="4" t="s">
        <v>1627</v>
      </c>
      <c r="S748" s="4" t="s">
        <v>1623</v>
      </c>
      <c r="T748" s="4" t="s">
        <v>786</v>
      </c>
    </row>
    <row r="749" spans="1:20" customFormat="1" ht="14" customHeight="1">
      <c r="A749" s="10"/>
      <c r="B749" s="4"/>
      <c r="C749" s="4"/>
      <c r="D749" s="133" t="s">
        <v>676</v>
      </c>
      <c r="E749" s="664" t="str">
        <f>+VLOOKUP(F749,Resumen_Base!$C$8:$G$287,5,0)</f>
        <v>Food &amp; Wine</v>
      </c>
      <c r="F749" s="152" t="s">
        <v>37</v>
      </c>
      <c r="G749" s="4" t="s">
        <v>36</v>
      </c>
      <c r="H749" s="4" t="str">
        <f t="shared" si="11"/>
        <v>CAR5250</v>
      </c>
      <c r="I749" s="196">
        <v>138435.79999999999</v>
      </c>
      <c r="J749" s="196">
        <v>97.49</v>
      </c>
      <c r="K749" s="196">
        <v>1420</v>
      </c>
      <c r="L749" s="454" t="s">
        <v>899</v>
      </c>
      <c r="M749" s="4" t="s">
        <v>780</v>
      </c>
      <c r="N749" s="133" t="s">
        <v>1407</v>
      </c>
      <c r="O749" s="4" t="s">
        <v>1620</v>
      </c>
      <c r="P749" s="4" t="s">
        <v>892</v>
      </c>
      <c r="Q749" s="4" t="s">
        <v>1621</v>
      </c>
      <c r="R749" s="4" t="s">
        <v>1671</v>
      </c>
      <c r="S749" s="4" t="s">
        <v>1623</v>
      </c>
      <c r="T749" s="4" t="s">
        <v>786</v>
      </c>
    </row>
    <row r="750" spans="1:20" customFormat="1" ht="14" customHeight="1">
      <c r="A750" s="10"/>
      <c r="B750" s="4"/>
      <c r="C750" s="4"/>
      <c r="D750" s="133" t="s">
        <v>676</v>
      </c>
      <c r="E750" s="664" t="str">
        <f>+VLOOKUP(F750,Resumen_Base!$C$8:$G$287,5,0)</f>
        <v>Food &amp; Wine</v>
      </c>
      <c r="F750" s="152" t="s">
        <v>37</v>
      </c>
      <c r="G750" s="4" t="s">
        <v>36</v>
      </c>
      <c r="H750" s="4" t="str">
        <f t="shared" si="11"/>
        <v>CAR5250</v>
      </c>
      <c r="I750" s="196">
        <v>46590.2</v>
      </c>
      <c r="J750" s="196">
        <v>32.81</v>
      </c>
      <c r="K750" s="196">
        <v>1420</v>
      </c>
      <c r="L750" s="454" t="s">
        <v>899</v>
      </c>
      <c r="M750" s="4" t="s">
        <v>780</v>
      </c>
      <c r="N750" s="133" t="s">
        <v>1407</v>
      </c>
      <c r="O750" s="4" t="s">
        <v>1620</v>
      </c>
      <c r="P750" s="4" t="s">
        <v>892</v>
      </c>
      <c r="Q750" s="4" t="s">
        <v>1621</v>
      </c>
      <c r="R750" s="4" t="s">
        <v>1676</v>
      </c>
      <c r="S750" s="4" t="s">
        <v>1623</v>
      </c>
      <c r="T750" s="4" t="s">
        <v>786</v>
      </c>
    </row>
    <row r="751" spans="1:20" customFormat="1" ht="14" customHeight="1">
      <c r="A751" s="10"/>
      <c r="B751" s="4"/>
      <c r="C751" s="4"/>
      <c r="D751" s="133" t="s">
        <v>676</v>
      </c>
      <c r="E751" s="664" t="str">
        <f>+VLOOKUP(F751,Resumen_Base!$C$8:$G$287,5,0)</f>
        <v>Food &amp; Wine</v>
      </c>
      <c r="F751" s="152" t="s">
        <v>37</v>
      </c>
      <c r="G751" s="4" t="s">
        <v>36</v>
      </c>
      <c r="H751" s="4" t="str">
        <f t="shared" si="11"/>
        <v>CAR5250</v>
      </c>
      <c r="I751" s="196">
        <v>60009.2</v>
      </c>
      <c r="J751" s="196">
        <v>42.26</v>
      </c>
      <c r="K751" s="196">
        <v>1420</v>
      </c>
      <c r="L751" s="454" t="s">
        <v>899</v>
      </c>
      <c r="M751" s="4" t="s">
        <v>780</v>
      </c>
      <c r="N751" s="133" t="s">
        <v>1407</v>
      </c>
      <c r="O751" s="4" t="s">
        <v>1620</v>
      </c>
      <c r="P751" s="4" t="s">
        <v>892</v>
      </c>
      <c r="Q751" s="4" t="s">
        <v>1621</v>
      </c>
      <c r="R751" s="4" t="s">
        <v>1678</v>
      </c>
      <c r="S751" s="4" t="s">
        <v>1623</v>
      </c>
      <c r="T751" s="4" t="s">
        <v>786</v>
      </c>
    </row>
    <row r="752" spans="1:20" customFormat="1" ht="14" customHeight="1">
      <c r="A752" s="10"/>
      <c r="B752" s="4"/>
      <c r="C752" s="4"/>
      <c r="D752" s="133" t="s">
        <v>676</v>
      </c>
      <c r="E752" s="664" t="str">
        <f>+VLOOKUP(F752,Resumen_Base!$C$8:$G$287,5,0)</f>
        <v>Food &amp; Wine</v>
      </c>
      <c r="F752" s="152" t="s">
        <v>37</v>
      </c>
      <c r="G752" s="4" t="s">
        <v>36</v>
      </c>
      <c r="H752" s="4" t="str">
        <f t="shared" si="11"/>
        <v>CAR5250</v>
      </c>
      <c r="I752" s="196">
        <v>925556</v>
      </c>
      <c r="J752" s="196">
        <v>651.79999999999995</v>
      </c>
      <c r="K752" s="196">
        <v>1420</v>
      </c>
      <c r="L752" s="454" t="s">
        <v>899</v>
      </c>
      <c r="M752" s="4" t="s">
        <v>780</v>
      </c>
      <c r="N752" s="133" t="s">
        <v>1407</v>
      </c>
      <c r="O752" s="4" t="s">
        <v>1620</v>
      </c>
      <c r="P752" s="4" t="s">
        <v>892</v>
      </c>
      <c r="Q752" s="4" t="s">
        <v>1621</v>
      </c>
      <c r="R752" s="4" t="s">
        <v>1680</v>
      </c>
      <c r="S752" s="4" t="s">
        <v>1623</v>
      </c>
      <c r="T752" s="4" t="s">
        <v>786</v>
      </c>
    </row>
    <row r="753" spans="1:20" customFormat="1" ht="14" customHeight="1">
      <c r="A753" s="10"/>
      <c r="B753" s="4"/>
      <c r="C753" s="4"/>
      <c r="D753" s="133" t="s">
        <v>676</v>
      </c>
      <c r="E753" s="664" t="str">
        <f>+VLOOKUP(F753,Resumen_Base!$C$8:$G$287,5,0)</f>
        <v>Food &amp; Wine</v>
      </c>
      <c r="F753" s="152" t="s">
        <v>37</v>
      </c>
      <c r="G753" s="4" t="s">
        <v>36</v>
      </c>
      <c r="H753" s="4" t="str">
        <f t="shared" si="11"/>
        <v>CAR5250</v>
      </c>
      <c r="I753" s="196">
        <v>93109.4</v>
      </c>
      <c r="J753" s="196">
        <v>65.569999999999993</v>
      </c>
      <c r="K753" s="196">
        <v>1420</v>
      </c>
      <c r="L753" s="454" t="s">
        <v>899</v>
      </c>
      <c r="M753" s="4" t="s">
        <v>780</v>
      </c>
      <c r="N753" s="133" t="s">
        <v>1407</v>
      </c>
      <c r="O753" s="4" t="s">
        <v>1620</v>
      </c>
      <c r="P753" s="4" t="s">
        <v>892</v>
      </c>
      <c r="Q753" s="4" t="s">
        <v>1621</v>
      </c>
      <c r="R753" s="4" t="s">
        <v>1685</v>
      </c>
      <c r="S753" s="4" t="s">
        <v>1623</v>
      </c>
      <c r="T753" s="4" t="s">
        <v>786</v>
      </c>
    </row>
    <row r="754" spans="1:20" customFormat="1" ht="14" customHeight="1">
      <c r="A754" s="10"/>
      <c r="B754" s="4"/>
      <c r="C754" s="4"/>
      <c r="D754" s="133" t="s">
        <v>676</v>
      </c>
      <c r="E754" s="664" t="str">
        <f>+VLOOKUP(F754,Resumen_Base!$C$8:$G$287,5,0)</f>
        <v>Food &amp; Wine</v>
      </c>
      <c r="F754" s="152" t="s">
        <v>37</v>
      </c>
      <c r="G754" s="4" t="s">
        <v>36</v>
      </c>
      <c r="H754" s="4" t="str">
        <f t="shared" si="11"/>
        <v>CAR5250</v>
      </c>
      <c r="I754" s="196">
        <v>23827.599999999999</v>
      </c>
      <c r="J754" s="196">
        <v>16.78</v>
      </c>
      <c r="K754" s="196">
        <v>1420</v>
      </c>
      <c r="L754" s="454" t="s">
        <v>899</v>
      </c>
      <c r="M754" s="4" t="s">
        <v>780</v>
      </c>
      <c r="N754" s="133" t="s">
        <v>1407</v>
      </c>
      <c r="O754" s="4" t="s">
        <v>1620</v>
      </c>
      <c r="P754" s="4" t="s">
        <v>892</v>
      </c>
      <c r="Q754" s="4" t="s">
        <v>1621</v>
      </c>
      <c r="R754" s="4" t="s">
        <v>1627</v>
      </c>
      <c r="S754" s="4" t="s">
        <v>1623</v>
      </c>
      <c r="T754" s="4" t="s">
        <v>786</v>
      </c>
    </row>
    <row r="755" spans="1:20" customFormat="1" ht="14" customHeight="1">
      <c r="A755" s="10"/>
      <c r="B755" s="4"/>
      <c r="C755" s="4"/>
      <c r="D755" s="133" t="s">
        <v>676</v>
      </c>
      <c r="E755" s="664" t="str">
        <f>+VLOOKUP(F755,Resumen_Base!$C$8:$G$287,5,0)</f>
        <v>Food &amp; Wine</v>
      </c>
      <c r="F755" s="152" t="s">
        <v>37</v>
      </c>
      <c r="G755" s="4" t="s">
        <v>36</v>
      </c>
      <c r="H755" s="4" t="str">
        <f t="shared" si="11"/>
        <v>CAR5250</v>
      </c>
      <c r="I755" s="196">
        <v>427093.4</v>
      </c>
      <c r="J755" s="196">
        <v>300.77</v>
      </c>
      <c r="K755" s="196">
        <v>1420</v>
      </c>
      <c r="L755" s="454" t="s">
        <v>899</v>
      </c>
      <c r="M755" s="4" t="s">
        <v>780</v>
      </c>
      <c r="N755" s="133" t="s">
        <v>1407</v>
      </c>
      <c r="O755" s="4" t="s">
        <v>1620</v>
      </c>
      <c r="P755" s="4" t="s">
        <v>892</v>
      </c>
      <c r="Q755" s="4" t="s">
        <v>1621</v>
      </c>
      <c r="R755" s="4" t="s">
        <v>1697</v>
      </c>
      <c r="S755" s="4" t="s">
        <v>1623</v>
      </c>
      <c r="T755" s="4" t="s">
        <v>786</v>
      </c>
    </row>
    <row r="756" spans="1:20" customFormat="1" ht="14" customHeight="1">
      <c r="A756" s="10"/>
      <c r="B756" s="4"/>
      <c r="C756" s="4"/>
      <c r="D756" s="133" t="s">
        <v>676</v>
      </c>
      <c r="E756" s="664" t="str">
        <f>+VLOOKUP(F756,Resumen_Base!$C$8:$G$287,5,0)</f>
        <v>Food &amp; Wine</v>
      </c>
      <c r="F756" s="152" t="s">
        <v>37</v>
      </c>
      <c r="G756" s="4" t="s">
        <v>36</v>
      </c>
      <c r="H756" s="4" t="str">
        <f t="shared" si="11"/>
        <v>CAR5250</v>
      </c>
      <c r="I756" s="196">
        <v>2158.4</v>
      </c>
      <c r="J756" s="196">
        <v>1.52</v>
      </c>
      <c r="K756" s="196">
        <v>1420</v>
      </c>
      <c r="L756" s="454" t="s">
        <v>899</v>
      </c>
      <c r="M756" s="4" t="s">
        <v>780</v>
      </c>
      <c r="N756" s="133" t="s">
        <v>1407</v>
      </c>
      <c r="O756" s="4" t="s">
        <v>1620</v>
      </c>
      <c r="P756" s="4" t="s">
        <v>892</v>
      </c>
      <c r="Q756" s="4" t="s">
        <v>1621</v>
      </c>
      <c r="R756" s="4" t="s">
        <v>1717</v>
      </c>
      <c r="S756" s="4" t="s">
        <v>1623</v>
      </c>
      <c r="T756" s="4" t="s">
        <v>786</v>
      </c>
    </row>
    <row r="757" spans="1:20" customFormat="1" ht="14" customHeight="1">
      <c r="A757" s="10"/>
      <c r="B757" s="4"/>
      <c r="C757" s="4"/>
      <c r="D757" s="133" t="s">
        <v>676</v>
      </c>
      <c r="E757" s="664" t="str">
        <f>+VLOOKUP(F757,Resumen_Base!$C$8:$G$287,5,0)</f>
        <v>Food &amp; Wine</v>
      </c>
      <c r="F757" s="152" t="s">
        <v>37</v>
      </c>
      <c r="G757" s="4" t="s">
        <v>36</v>
      </c>
      <c r="H757" s="4" t="str">
        <f t="shared" si="11"/>
        <v>CAR5250</v>
      </c>
      <c r="I757" s="196">
        <v>286612.8</v>
      </c>
      <c r="J757" s="196">
        <v>201.84</v>
      </c>
      <c r="K757" s="196">
        <v>1420</v>
      </c>
      <c r="L757" s="454" t="s">
        <v>899</v>
      </c>
      <c r="M757" s="4" t="s">
        <v>780</v>
      </c>
      <c r="N757" s="133" t="s">
        <v>1407</v>
      </c>
      <c r="O757" s="4" t="s">
        <v>1620</v>
      </c>
      <c r="P757" s="4" t="s">
        <v>892</v>
      </c>
      <c r="Q757" s="4" t="s">
        <v>1621</v>
      </c>
      <c r="R757" s="4" t="s">
        <v>1624</v>
      </c>
      <c r="S757" s="4" t="s">
        <v>1623</v>
      </c>
      <c r="T757" s="4" t="s">
        <v>786</v>
      </c>
    </row>
    <row r="758" spans="1:20" customFormat="1" ht="14" customHeight="1">
      <c r="A758" s="10"/>
      <c r="B758" s="4"/>
      <c r="C758" s="4"/>
      <c r="D758" s="133" t="s">
        <v>676</v>
      </c>
      <c r="E758" s="664" t="str">
        <f>+VLOOKUP(F758,Resumen_Base!$C$8:$G$287,5,0)</f>
        <v>Food &amp; Wine</v>
      </c>
      <c r="F758" s="152" t="s">
        <v>37</v>
      </c>
      <c r="G758" s="4" t="s">
        <v>36</v>
      </c>
      <c r="H758" s="4" t="str">
        <f t="shared" si="11"/>
        <v>CAR5250</v>
      </c>
      <c r="I758" s="196">
        <v>36891.599999999999</v>
      </c>
      <c r="J758" s="196">
        <v>25.98</v>
      </c>
      <c r="K758" s="196">
        <v>1420</v>
      </c>
      <c r="L758" s="454" t="s">
        <v>899</v>
      </c>
      <c r="M758" s="4" t="s">
        <v>780</v>
      </c>
      <c r="N758" s="133" t="s">
        <v>1407</v>
      </c>
      <c r="O758" s="4" t="s">
        <v>1620</v>
      </c>
      <c r="P758" s="4" t="s">
        <v>892</v>
      </c>
      <c r="Q758" s="4" t="s">
        <v>1621</v>
      </c>
      <c r="R758" s="4" t="s">
        <v>1631</v>
      </c>
      <c r="S758" s="4" t="s">
        <v>1623</v>
      </c>
      <c r="T758" s="4" t="s">
        <v>786</v>
      </c>
    </row>
    <row r="759" spans="1:20" customFormat="1" ht="14" customHeight="1">
      <c r="A759" s="10"/>
      <c r="B759" s="4"/>
      <c r="C759" s="4"/>
      <c r="D759" s="133" t="s">
        <v>676</v>
      </c>
      <c r="E759" s="664" t="str">
        <f>+VLOOKUP(F759,Resumen_Base!$C$8:$G$287,5,0)</f>
        <v>Food &amp; Wine</v>
      </c>
      <c r="F759" s="152" t="s">
        <v>37</v>
      </c>
      <c r="G759" s="4" t="s">
        <v>36</v>
      </c>
      <c r="H759" s="4" t="str">
        <f t="shared" si="11"/>
        <v>CAR5250</v>
      </c>
      <c r="I759" s="196">
        <v>111450.2</v>
      </c>
      <c r="J759" s="196">
        <v>80.180000000000007</v>
      </c>
      <c r="K759" s="196">
        <v>1390</v>
      </c>
      <c r="L759" s="454" t="s">
        <v>899</v>
      </c>
      <c r="M759" s="4" t="s">
        <v>780</v>
      </c>
      <c r="N759" s="133" t="s">
        <v>1407</v>
      </c>
      <c r="O759" s="4" t="s">
        <v>1620</v>
      </c>
      <c r="P759" s="4" t="s">
        <v>892</v>
      </c>
      <c r="Q759" s="4" t="s">
        <v>1621</v>
      </c>
      <c r="R759" s="4" t="s">
        <v>1635</v>
      </c>
      <c r="S759" s="4" t="s">
        <v>1623</v>
      </c>
      <c r="T759" s="4" t="s">
        <v>786</v>
      </c>
    </row>
    <row r="760" spans="1:20" customFormat="1" ht="14" customHeight="1">
      <c r="A760" s="10"/>
      <c r="B760" s="4"/>
      <c r="C760" s="4"/>
      <c r="D760" s="133" t="s">
        <v>676</v>
      </c>
      <c r="E760" s="664" t="str">
        <f>+VLOOKUP(F760,Resumen_Base!$C$8:$G$287,5,0)</f>
        <v>Food &amp; Wine</v>
      </c>
      <c r="F760" s="152" t="s">
        <v>37</v>
      </c>
      <c r="G760" s="4" t="s">
        <v>36</v>
      </c>
      <c r="H760" s="4" t="str">
        <f t="shared" si="11"/>
        <v>CAR5250</v>
      </c>
      <c r="I760" s="196">
        <v>46565</v>
      </c>
      <c r="J760" s="196">
        <v>33.5</v>
      </c>
      <c r="K760" s="196">
        <v>1390</v>
      </c>
      <c r="L760" s="454" t="s">
        <v>899</v>
      </c>
      <c r="M760" s="4" t="s">
        <v>780</v>
      </c>
      <c r="N760" s="133" t="s">
        <v>1407</v>
      </c>
      <c r="O760" s="4" t="s">
        <v>1620</v>
      </c>
      <c r="P760" s="4" t="s">
        <v>892</v>
      </c>
      <c r="Q760" s="4" t="s">
        <v>1621</v>
      </c>
      <c r="R760" s="4" t="s">
        <v>1661</v>
      </c>
      <c r="S760" s="4" t="s">
        <v>1623</v>
      </c>
      <c r="T760" s="4" t="s">
        <v>786</v>
      </c>
    </row>
    <row r="761" spans="1:20" customFormat="1" ht="14" customHeight="1">
      <c r="A761" s="10"/>
      <c r="B761" s="4"/>
      <c r="C761" s="4"/>
      <c r="D761" s="133" t="s">
        <v>676</v>
      </c>
      <c r="E761" s="664" t="str">
        <f>+VLOOKUP(F761,Resumen_Base!$C$8:$G$287,5,0)</f>
        <v>Food &amp; Wine</v>
      </c>
      <c r="F761" s="152" t="s">
        <v>37</v>
      </c>
      <c r="G761" s="4" t="s">
        <v>36</v>
      </c>
      <c r="H761" s="4" t="str">
        <f t="shared" si="11"/>
        <v>CAR5250</v>
      </c>
      <c r="I761" s="196">
        <v>56197.7</v>
      </c>
      <c r="J761" s="196">
        <v>40.43</v>
      </c>
      <c r="K761" s="196">
        <v>1390</v>
      </c>
      <c r="L761" s="454" t="s">
        <v>899</v>
      </c>
      <c r="M761" s="4" t="s">
        <v>780</v>
      </c>
      <c r="N761" s="133" t="s">
        <v>1407</v>
      </c>
      <c r="O761" s="4" t="s">
        <v>1620</v>
      </c>
      <c r="P761" s="4" t="s">
        <v>892</v>
      </c>
      <c r="Q761" s="4" t="s">
        <v>1621</v>
      </c>
      <c r="R761" s="4" t="s">
        <v>1655</v>
      </c>
      <c r="S761" s="4" t="s">
        <v>1623</v>
      </c>
      <c r="T761" s="4" t="s">
        <v>786</v>
      </c>
    </row>
    <row r="762" spans="1:20" customFormat="1" ht="14" customHeight="1">
      <c r="A762" s="10"/>
      <c r="B762" s="4"/>
      <c r="C762" s="4"/>
      <c r="D762" s="133" t="s">
        <v>676</v>
      </c>
      <c r="E762" s="664" t="str">
        <f>+VLOOKUP(F762,Resumen_Base!$C$8:$G$287,5,0)</f>
        <v>Food &amp; Wine</v>
      </c>
      <c r="F762" s="152" t="s">
        <v>37</v>
      </c>
      <c r="G762" s="4" t="s">
        <v>36</v>
      </c>
      <c r="H762" s="4" t="str">
        <f t="shared" si="11"/>
        <v>CAR5250</v>
      </c>
      <c r="I762" s="196">
        <v>143239.5</v>
      </c>
      <c r="J762" s="196">
        <v>103.05</v>
      </c>
      <c r="K762" s="196">
        <v>1390</v>
      </c>
      <c r="L762" s="454" t="s">
        <v>899</v>
      </c>
      <c r="M762" s="4" t="s">
        <v>780</v>
      </c>
      <c r="N762" s="133" t="s">
        <v>1407</v>
      </c>
      <c r="O762" s="4" t="s">
        <v>1620</v>
      </c>
      <c r="P762" s="4" t="s">
        <v>892</v>
      </c>
      <c r="Q762" s="4" t="s">
        <v>1621</v>
      </c>
      <c r="R762" s="4" t="s">
        <v>1650</v>
      </c>
      <c r="S762" s="4" t="s">
        <v>1623</v>
      </c>
      <c r="T762" s="4" t="s">
        <v>786</v>
      </c>
    </row>
    <row r="763" spans="1:20" customFormat="1" ht="14" customHeight="1">
      <c r="A763" s="10"/>
      <c r="B763" s="4"/>
      <c r="C763" s="4"/>
      <c r="D763" s="133" t="s">
        <v>676</v>
      </c>
      <c r="E763" s="664" t="str">
        <f>+VLOOKUP(F763,Resumen_Base!$C$8:$G$287,5,0)</f>
        <v>Food &amp; Wine</v>
      </c>
      <c r="F763" s="152" t="s">
        <v>37</v>
      </c>
      <c r="G763" s="4" t="s">
        <v>36</v>
      </c>
      <c r="H763" s="4" t="str">
        <f t="shared" si="11"/>
        <v>CAR5250</v>
      </c>
      <c r="I763" s="196">
        <v>2119750</v>
      </c>
      <c r="J763" s="196">
        <v>1525</v>
      </c>
      <c r="K763" s="196">
        <v>1390</v>
      </c>
      <c r="L763" s="454" t="s">
        <v>899</v>
      </c>
      <c r="M763" s="4" t="s">
        <v>780</v>
      </c>
      <c r="N763" s="133" t="s">
        <v>1407</v>
      </c>
      <c r="O763" s="4" t="s">
        <v>1620</v>
      </c>
      <c r="P763" s="4" t="s">
        <v>892</v>
      </c>
      <c r="Q763" s="4" t="s">
        <v>1621</v>
      </c>
      <c r="R763" s="4" t="s">
        <v>1669</v>
      </c>
      <c r="S763" s="4" t="s">
        <v>1623</v>
      </c>
      <c r="T763" s="4" t="s">
        <v>786</v>
      </c>
    </row>
    <row r="764" spans="1:20" customFormat="1" ht="14" customHeight="1">
      <c r="A764" s="10"/>
      <c r="B764" s="4"/>
      <c r="C764" s="4"/>
      <c r="D764" s="133" t="s">
        <v>676</v>
      </c>
      <c r="E764" s="664" t="str">
        <f>+VLOOKUP(F764,Resumen_Base!$C$8:$G$287,5,0)</f>
        <v>Food &amp; Wine</v>
      </c>
      <c r="F764" s="152" t="s">
        <v>37</v>
      </c>
      <c r="G764" s="4" t="s">
        <v>36</v>
      </c>
      <c r="H764" s="4" t="str">
        <f t="shared" si="11"/>
        <v>CAR5250</v>
      </c>
      <c r="I764" s="196">
        <v>195156</v>
      </c>
      <c r="J764" s="196">
        <v>140.4</v>
      </c>
      <c r="K764" s="196">
        <v>1390</v>
      </c>
      <c r="L764" s="454" t="s">
        <v>899</v>
      </c>
      <c r="M764" s="4" t="s">
        <v>780</v>
      </c>
      <c r="N764" s="133" t="s">
        <v>1407</v>
      </c>
      <c r="O764" s="4" t="s">
        <v>1620</v>
      </c>
      <c r="P764" s="4" t="s">
        <v>892</v>
      </c>
      <c r="Q764" s="4" t="s">
        <v>1621</v>
      </c>
      <c r="R764" s="4" t="s">
        <v>1657</v>
      </c>
      <c r="S764" s="4" t="s">
        <v>1623</v>
      </c>
      <c r="T764" s="4" t="s">
        <v>786</v>
      </c>
    </row>
    <row r="765" spans="1:20" customFormat="1" ht="14" customHeight="1">
      <c r="A765" s="10"/>
      <c r="B765" s="4"/>
      <c r="C765" s="4"/>
      <c r="D765" s="133" t="s">
        <v>676</v>
      </c>
      <c r="E765" s="664" t="str">
        <f>+VLOOKUP(F765,Resumen_Base!$C$8:$G$287,5,0)</f>
        <v>Food &amp; Wine</v>
      </c>
      <c r="F765" s="152" t="s">
        <v>37</v>
      </c>
      <c r="G765" s="4" t="s">
        <v>36</v>
      </c>
      <c r="H765" s="4" t="str">
        <f t="shared" si="11"/>
        <v>CAR5250</v>
      </c>
      <c r="I765" s="196">
        <v>17458.400000000001</v>
      </c>
      <c r="J765" s="196">
        <v>12.56</v>
      </c>
      <c r="K765" s="196">
        <v>1390</v>
      </c>
      <c r="L765" s="454" t="s">
        <v>899</v>
      </c>
      <c r="M765" s="4" t="s">
        <v>780</v>
      </c>
      <c r="N765" s="133" t="s">
        <v>1407</v>
      </c>
      <c r="O765" s="4" t="s">
        <v>1620</v>
      </c>
      <c r="P765" s="4" t="s">
        <v>892</v>
      </c>
      <c r="Q765" s="4" t="s">
        <v>1621</v>
      </c>
      <c r="R765" s="4" t="s">
        <v>1656</v>
      </c>
      <c r="S765" s="4" t="s">
        <v>1623</v>
      </c>
      <c r="T765" s="4" t="s">
        <v>786</v>
      </c>
    </row>
    <row r="766" spans="1:20" customFormat="1" ht="14" customHeight="1">
      <c r="A766" s="10"/>
      <c r="B766" s="4"/>
      <c r="C766" s="4"/>
      <c r="D766" s="133" t="s">
        <v>676</v>
      </c>
      <c r="E766" s="664" t="str">
        <f>+VLOOKUP(F766,Resumen_Base!$C$8:$G$287,5,0)</f>
        <v>Food &amp; Wine</v>
      </c>
      <c r="F766" s="152" t="s">
        <v>37</v>
      </c>
      <c r="G766" s="4" t="s">
        <v>36</v>
      </c>
      <c r="H766" s="4" t="str">
        <f t="shared" si="11"/>
        <v>CAR5250</v>
      </c>
      <c r="I766" s="196">
        <v>133849.20000000001</v>
      </c>
      <c r="J766" s="196">
        <v>94.26</v>
      </c>
      <c r="K766" s="196">
        <v>1420</v>
      </c>
      <c r="L766" s="454" t="s">
        <v>899</v>
      </c>
      <c r="M766" s="4" t="s">
        <v>780</v>
      </c>
      <c r="N766" s="133" t="s">
        <v>1407</v>
      </c>
      <c r="O766" s="4" t="s">
        <v>1620</v>
      </c>
      <c r="P766" s="4" t="s">
        <v>892</v>
      </c>
      <c r="Q766" s="4" t="s">
        <v>1621</v>
      </c>
      <c r="R766" s="4" t="s">
        <v>1707</v>
      </c>
      <c r="S766" s="4" t="s">
        <v>1623</v>
      </c>
      <c r="T766" s="4" t="s">
        <v>786</v>
      </c>
    </row>
    <row r="767" spans="1:20" customFormat="1" ht="14" customHeight="1">
      <c r="A767" s="10"/>
      <c r="B767" s="4"/>
      <c r="C767" s="4"/>
      <c r="D767" s="133" t="s">
        <v>676</v>
      </c>
      <c r="E767" s="664" t="str">
        <f>+VLOOKUP(F767,Resumen_Base!$C$8:$G$287,5,0)</f>
        <v>Food &amp; Wine</v>
      </c>
      <c r="F767" s="152" t="s">
        <v>37</v>
      </c>
      <c r="G767" s="4" t="s">
        <v>36</v>
      </c>
      <c r="H767" s="4" t="str">
        <f t="shared" si="11"/>
        <v>CAR5250</v>
      </c>
      <c r="I767" s="196">
        <v>2668.8</v>
      </c>
      <c r="J767" s="196">
        <v>1.92</v>
      </c>
      <c r="K767" s="196">
        <v>1390</v>
      </c>
      <c r="L767" s="454" t="s">
        <v>899</v>
      </c>
      <c r="M767" s="4" t="s">
        <v>780</v>
      </c>
      <c r="N767" s="133" t="s">
        <v>1407</v>
      </c>
      <c r="O767" s="4" t="s">
        <v>1749</v>
      </c>
      <c r="P767" s="4" t="s">
        <v>892</v>
      </c>
      <c r="Q767" s="4" t="s">
        <v>1750</v>
      </c>
      <c r="R767" s="4" t="s">
        <v>1456</v>
      </c>
      <c r="S767" s="4" t="s">
        <v>1752</v>
      </c>
      <c r="T767" s="4" t="s">
        <v>786</v>
      </c>
    </row>
    <row r="768" spans="1:20" customFormat="1" ht="14" customHeight="1">
      <c r="A768" s="10"/>
      <c r="B768" s="4"/>
      <c r="C768" s="4"/>
      <c r="D768" s="133" t="s">
        <v>676</v>
      </c>
      <c r="E768" s="664" t="str">
        <f>+VLOOKUP(F768,Resumen_Base!$C$8:$G$287,5,0)</f>
        <v>Food &amp; Wine</v>
      </c>
      <c r="F768" s="152" t="s">
        <v>37</v>
      </c>
      <c r="G768" s="4" t="s">
        <v>36</v>
      </c>
      <c r="H768" s="4" t="str">
        <f t="shared" si="11"/>
        <v>CAR5250</v>
      </c>
      <c r="I768" s="196">
        <v>2087543.7</v>
      </c>
      <c r="J768" s="196">
        <v>1501.83</v>
      </c>
      <c r="K768" s="196">
        <v>1390</v>
      </c>
      <c r="L768" s="454" t="s">
        <v>899</v>
      </c>
      <c r="M768" s="4" t="s">
        <v>780</v>
      </c>
      <c r="N768" s="133" t="s">
        <v>1407</v>
      </c>
      <c r="O768" s="4" t="s">
        <v>1749</v>
      </c>
      <c r="P768" s="4" t="s">
        <v>892</v>
      </c>
      <c r="Q768" s="4" t="s">
        <v>1750</v>
      </c>
      <c r="R768" s="4" t="s">
        <v>1753</v>
      </c>
      <c r="S768" s="4" t="s">
        <v>1752</v>
      </c>
      <c r="T768" s="4" t="s">
        <v>786</v>
      </c>
    </row>
    <row r="769" spans="1:20" customFormat="1" ht="14" customHeight="1">
      <c r="A769" s="10"/>
      <c r="B769" s="4"/>
      <c r="C769" s="4"/>
      <c r="D769" s="133" t="s">
        <v>676</v>
      </c>
      <c r="E769" s="664" t="str">
        <f>+VLOOKUP(F769,Resumen_Base!$C$8:$G$287,5,0)</f>
        <v>Food &amp; Wine</v>
      </c>
      <c r="F769" s="152" t="s">
        <v>37</v>
      </c>
      <c r="G769" s="4" t="s">
        <v>36</v>
      </c>
      <c r="H769" s="4" t="str">
        <f t="shared" si="11"/>
        <v>CAR5250</v>
      </c>
      <c r="I769" s="196">
        <v>2668.8</v>
      </c>
      <c r="J769" s="196">
        <v>1.92</v>
      </c>
      <c r="K769" s="196">
        <v>1390</v>
      </c>
      <c r="L769" s="454" t="s">
        <v>899</v>
      </c>
      <c r="M769" s="4" t="s">
        <v>780</v>
      </c>
      <c r="N769" s="133" t="s">
        <v>1407</v>
      </c>
      <c r="O769" s="4" t="s">
        <v>1749</v>
      </c>
      <c r="P769" s="4" t="s">
        <v>892</v>
      </c>
      <c r="Q769" s="4" t="s">
        <v>1750</v>
      </c>
      <c r="R769" s="4" t="s">
        <v>1456</v>
      </c>
      <c r="S769" s="4" t="s">
        <v>1752</v>
      </c>
      <c r="T769" s="4" t="s">
        <v>786</v>
      </c>
    </row>
    <row r="770" spans="1:20" customFormat="1" ht="14" customHeight="1">
      <c r="A770" s="10"/>
      <c r="B770" s="4"/>
      <c r="C770" s="4"/>
      <c r="D770" s="133" t="s">
        <v>676</v>
      </c>
      <c r="E770" s="664" t="str">
        <f>+VLOOKUP(F770,Resumen_Base!$C$8:$G$287,5,0)</f>
        <v>Food &amp; Wine</v>
      </c>
      <c r="F770" s="152" t="s">
        <v>37</v>
      </c>
      <c r="G770" s="4" t="s">
        <v>36</v>
      </c>
      <c r="H770" s="4" t="str">
        <f t="shared" si="11"/>
        <v>CAR5250</v>
      </c>
      <c r="I770" s="196">
        <v>544963.4</v>
      </c>
      <c r="J770" s="196">
        <v>392.06</v>
      </c>
      <c r="K770" s="196">
        <v>1390</v>
      </c>
      <c r="L770" s="454" t="s">
        <v>899</v>
      </c>
      <c r="M770" s="4" t="s">
        <v>780</v>
      </c>
      <c r="N770" s="133" t="s">
        <v>1407</v>
      </c>
      <c r="O770" s="4" t="s">
        <v>1749</v>
      </c>
      <c r="P770" s="4" t="s">
        <v>892</v>
      </c>
      <c r="Q770" s="4" t="s">
        <v>1750</v>
      </c>
      <c r="R770" s="4" t="s">
        <v>1754</v>
      </c>
      <c r="S770" s="4" t="s">
        <v>1752</v>
      </c>
      <c r="T770" s="4" t="s">
        <v>786</v>
      </c>
    </row>
    <row r="771" spans="1:20" customFormat="1" ht="14" customHeight="1">
      <c r="A771" s="10"/>
      <c r="B771" s="4"/>
      <c r="C771" s="4"/>
      <c r="D771" s="133" t="s">
        <v>676</v>
      </c>
      <c r="E771" s="664" t="str">
        <f>+VLOOKUP(F771,Resumen_Base!$C$8:$G$287,5,0)</f>
        <v>Food &amp; Wine</v>
      </c>
      <c r="F771" s="152" t="s">
        <v>37</v>
      </c>
      <c r="G771" s="4" t="s">
        <v>36</v>
      </c>
      <c r="H771" s="4" t="str">
        <f t="shared" si="11"/>
        <v>CAR5250</v>
      </c>
      <c r="I771" s="196">
        <v>433402</v>
      </c>
      <c r="J771" s="196">
        <v>311.8</v>
      </c>
      <c r="K771" s="196">
        <v>1390</v>
      </c>
      <c r="L771" s="454" t="s">
        <v>899</v>
      </c>
      <c r="M771" s="4" t="s">
        <v>780</v>
      </c>
      <c r="N771" s="133" t="s">
        <v>1407</v>
      </c>
      <c r="O771" s="4" t="s">
        <v>1749</v>
      </c>
      <c r="P771" s="4" t="s">
        <v>892</v>
      </c>
      <c r="Q771" s="4" t="s">
        <v>1750</v>
      </c>
      <c r="R771" s="4" t="s">
        <v>1755</v>
      </c>
      <c r="S771" s="4" t="s">
        <v>1752</v>
      </c>
      <c r="T771" s="4" t="s">
        <v>786</v>
      </c>
    </row>
    <row r="772" spans="1:20" customFormat="1" ht="14" customHeight="1">
      <c r="A772" s="10"/>
      <c r="B772" s="4"/>
      <c r="C772" s="4"/>
      <c r="D772" s="133" t="s">
        <v>676</v>
      </c>
      <c r="E772" s="664" t="str">
        <f>+VLOOKUP(F772,Resumen_Base!$C$8:$G$287,5,0)</f>
        <v>Food &amp; Wine</v>
      </c>
      <c r="F772" s="152" t="s">
        <v>37</v>
      </c>
      <c r="G772" s="4" t="s">
        <v>36</v>
      </c>
      <c r="H772" s="4" t="str">
        <f t="shared" si="11"/>
        <v>CAR5250</v>
      </c>
      <c r="I772" s="196">
        <v>108210</v>
      </c>
      <c r="J772" s="196">
        <v>72.14</v>
      </c>
      <c r="K772" s="196">
        <v>1500</v>
      </c>
      <c r="L772" s="454" t="s">
        <v>1017</v>
      </c>
      <c r="M772" s="4" t="s">
        <v>780</v>
      </c>
      <c r="N772" s="133" t="s">
        <v>1407</v>
      </c>
      <c r="O772" s="4" t="s">
        <v>1946</v>
      </c>
      <c r="P772" s="4" t="s">
        <v>892</v>
      </c>
      <c r="Q772" s="4" t="s">
        <v>1947</v>
      </c>
      <c r="R772" s="4" t="s">
        <v>1948</v>
      </c>
      <c r="S772" s="4" t="s">
        <v>1949</v>
      </c>
      <c r="T772" s="4" t="s">
        <v>786</v>
      </c>
    </row>
    <row r="773" spans="1:20" customFormat="1" ht="14" customHeight="1">
      <c r="A773" s="10"/>
      <c r="B773" s="4"/>
      <c r="C773" s="4"/>
      <c r="D773" s="133" t="s">
        <v>676</v>
      </c>
      <c r="E773" s="664" t="str">
        <f>+VLOOKUP(F773,Resumen_Base!$C$8:$G$287,5,0)</f>
        <v>Food &amp; Wine</v>
      </c>
      <c r="F773" s="152" t="s">
        <v>37</v>
      </c>
      <c r="G773" s="4" t="s">
        <v>36</v>
      </c>
      <c r="H773" s="4" t="str">
        <f t="shared" si="11"/>
        <v>CAR5250</v>
      </c>
      <c r="I773" s="196">
        <v>655395</v>
      </c>
      <c r="J773" s="196">
        <v>436.93</v>
      </c>
      <c r="K773" s="196">
        <v>1500</v>
      </c>
      <c r="L773" s="454" t="s">
        <v>1017</v>
      </c>
      <c r="M773" s="4" t="s">
        <v>780</v>
      </c>
      <c r="N773" s="133" t="s">
        <v>1407</v>
      </c>
      <c r="O773" s="4" t="s">
        <v>1946</v>
      </c>
      <c r="P773" s="4" t="s">
        <v>892</v>
      </c>
      <c r="Q773" s="4" t="s">
        <v>1947</v>
      </c>
      <c r="R773" s="4" t="s">
        <v>1962</v>
      </c>
      <c r="S773" s="4" t="s">
        <v>1949</v>
      </c>
      <c r="T773" s="4" t="s">
        <v>786</v>
      </c>
    </row>
    <row r="774" spans="1:20" customFormat="1" ht="14" customHeight="1">
      <c r="A774" s="10"/>
      <c r="B774" s="4"/>
      <c r="C774" s="4"/>
      <c r="D774" s="133" t="s">
        <v>676</v>
      </c>
      <c r="E774" s="664" t="str">
        <f>+VLOOKUP(F774,Resumen_Base!$C$8:$G$287,5,0)</f>
        <v>Food &amp; Wine</v>
      </c>
      <c r="F774" s="152" t="s">
        <v>37</v>
      </c>
      <c r="G774" s="4" t="s">
        <v>36</v>
      </c>
      <c r="H774" s="4" t="str">
        <f t="shared" si="11"/>
        <v>CAR5250</v>
      </c>
      <c r="I774" s="196">
        <v>315270</v>
      </c>
      <c r="J774" s="196">
        <v>210.18</v>
      </c>
      <c r="K774" s="196">
        <v>1500</v>
      </c>
      <c r="L774" s="454" t="s">
        <v>1017</v>
      </c>
      <c r="M774" s="4" t="s">
        <v>780</v>
      </c>
      <c r="N774" s="133" t="s">
        <v>1407</v>
      </c>
      <c r="O774" s="4" t="s">
        <v>1946</v>
      </c>
      <c r="P774" s="4" t="s">
        <v>892</v>
      </c>
      <c r="Q774" s="4" t="s">
        <v>1947</v>
      </c>
      <c r="R774" s="4" t="s">
        <v>1963</v>
      </c>
      <c r="S774" s="4" t="s">
        <v>1949</v>
      </c>
      <c r="T774" s="4" t="s">
        <v>786</v>
      </c>
    </row>
    <row r="775" spans="1:20" customFormat="1" ht="14" customHeight="1">
      <c r="A775" s="10"/>
      <c r="B775" s="4"/>
      <c r="C775" s="4"/>
      <c r="D775" s="133" t="s">
        <v>676</v>
      </c>
      <c r="E775" s="664" t="str">
        <f>+VLOOKUP(F775,Resumen_Base!$C$8:$G$287,5,0)</f>
        <v>Food &amp; Wine</v>
      </c>
      <c r="F775" s="152" t="s">
        <v>37</v>
      </c>
      <c r="G775" s="4" t="s">
        <v>36</v>
      </c>
      <c r="H775" s="4" t="str">
        <f t="shared" si="11"/>
        <v>CAR5250</v>
      </c>
      <c r="I775" s="196">
        <v>25770</v>
      </c>
      <c r="J775" s="196">
        <v>17.18</v>
      </c>
      <c r="K775" s="196">
        <v>1500</v>
      </c>
      <c r="L775" s="454" t="s">
        <v>1017</v>
      </c>
      <c r="M775" s="4" t="s">
        <v>780</v>
      </c>
      <c r="N775" s="133" t="s">
        <v>1407</v>
      </c>
      <c r="O775" s="4" t="s">
        <v>1946</v>
      </c>
      <c r="P775" s="4" t="s">
        <v>892</v>
      </c>
      <c r="Q775" s="4" t="s">
        <v>1947</v>
      </c>
      <c r="R775" s="4" t="s">
        <v>1964</v>
      </c>
      <c r="S775" s="4" t="s">
        <v>1949</v>
      </c>
      <c r="T775" s="4" t="s">
        <v>786</v>
      </c>
    </row>
    <row r="776" spans="1:20" customFormat="1" ht="14" customHeight="1">
      <c r="A776" s="10"/>
      <c r="B776" s="4"/>
      <c r="C776" s="4"/>
      <c r="D776" s="133" t="s">
        <v>676</v>
      </c>
      <c r="E776" s="664" t="str">
        <f>+VLOOKUP(F776,Resumen_Base!$C$8:$G$287,5,0)</f>
        <v>Food &amp; Wine</v>
      </c>
      <c r="F776" s="152" t="s">
        <v>37</v>
      </c>
      <c r="G776" s="4" t="s">
        <v>36</v>
      </c>
      <c r="H776" s="4" t="str">
        <f t="shared" si="11"/>
        <v>CAR5250</v>
      </c>
      <c r="I776" s="196">
        <v>27975</v>
      </c>
      <c r="J776" s="196">
        <v>18.649999999999999</v>
      </c>
      <c r="K776" s="196">
        <v>1500</v>
      </c>
      <c r="L776" s="454" t="s">
        <v>1017</v>
      </c>
      <c r="M776" s="4" t="s">
        <v>780</v>
      </c>
      <c r="N776" s="133" t="s">
        <v>1407</v>
      </c>
      <c r="O776" s="4" t="s">
        <v>1946</v>
      </c>
      <c r="P776" s="4" t="s">
        <v>892</v>
      </c>
      <c r="Q776" s="4" t="s">
        <v>1947</v>
      </c>
      <c r="R776" s="4" t="s">
        <v>1965</v>
      </c>
      <c r="S776" s="4" t="s">
        <v>1949</v>
      </c>
      <c r="T776" s="4" t="s">
        <v>786</v>
      </c>
    </row>
    <row r="777" spans="1:20" customFormat="1" ht="14" customHeight="1">
      <c r="A777" s="10"/>
      <c r="B777" s="4"/>
      <c r="C777" s="4"/>
      <c r="D777" s="133" t="s">
        <v>676</v>
      </c>
      <c r="E777" s="664" t="str">
        <f>+VLOOKUP(F777,Resumen_Base!$C$8:$G$287,5,0)</f>
        <v>Food &amp; Wine</v>
      </c>
      <c r="F777" s="152" t="s">
        <v>37</v>
      </c>
      <c r="G777" s="4" t="s">
        <v>36</v>
      </c>
      <c r="H777" s="4" t="str">
        <f t="shared" si="11"/>
        <v>CAR5250</v>
      </c>
      <c r="I777" s="196">
        <v>192360</v>
      </c>
      <c r="J777" s="196">
        <v>128.24</v>
      </c>
      <c r="K777" s="196">
        <v>1500</v>
      </c>
      <c r="L777" s="454" t="s">
        <v>1017</v>
      </c>
      <c r="M777" s="4" t="s">
        <v>780</v>
      </c>
      <c r="N777" s="133" t="s">
        <v>1407</v>
      </c>
      <c r="O777" s="4" t="s">
        <v>1946</v>
      </c>
      <c r="P777" s="4" t="s">
        <v>892</v>
      </c>
      <c r="Q777" s="4" t="s">
        <v>1947</v>
      </c>
      <c r="R777" s="4" t="s">
        <v>1966</v>
      </c>
      <c r="S777" s="4" t="s">
        <v>1949</v>
      </c>
      <c r="T777" s="4" t="s">
        <v>786</v>
      </c>
    </row>
    <row r="778" spans="1:20" customFormat="1" ht="14" customHeight="1">
      <c r="A778" s="10"/>
      <c r="B778" s="4"/>
      <c r="C778" s="4"/>
      <c r="D778" s="133" t="s">
        <v>676</v>
      </c>
      <c r="E778" s="664" t="str">
        <f>+VLOOKUP(F778,Resumen_Base!$C$8:$G$287,5,0)</f>
        <v>Food &amp; Wine</v>
      </c>
      <c r="F778" s="152" t="s">
        <v>37</v>
      </c>
      <c r="G778" s="4" t="s">
        <v>36</v>
      </c>
      <c r="H778" s="4" t="str">
        <f t="shared" si="11"/>
        <v>CAR5250</v>
      </c>
      <c r="I778" s="196">
        <v>4200</v>
      </c>
      <c r="J778" s="196">
        <v>2.8</v>
      </c>
      <c r="K778" s="196">
        <v>1500</v>
      </c>
      <c r="L778" s="454" t="s">
        <v>1017</v>
      </c>
      <c r="M778" s="4" t="s">
        <v>780</v>
      </c>
      <c r="N778" s="133" t="s">
        <v>1407</v>
      </c>
      <c r="O778" s="4" t="s">
        <v>1946</v>
      </c>
      <c r="P778" s="4" t="s">
        <v>892</v>
      </c>
      <c r="Q778" s="4" t="s">
        <v>1947</v>
      </c>
      <c r="R778" s="4" t="s">
        <v>1967</v>
      </c>
      <c r="S778" s="4" t="s">
        <v>1949</v>
      </c>
      <c r="T778" s="4" t="s">
        <v>786</v>
      </c>
    </row>
    <row r="779" spans="1:20" customFormat="1" ht="14" customHeight="1">
      <c r="A779" s="10"/>
      <c r="B779" s="4"/>
      <c r="C779" s="4"/>
      <c r="D779" s="133" t="s">
        <v>676</v>
      </c>
      <c r="E779" s="664" t="str">
        <f>+VLOOKUP(F779,Resumen_Base!$C$8:$G$287,5,0)</f>
        <v>Food &amp; Wine</v>
      </c>
      <c r="F779" s="152" t="s">
        <v>37</v>
      </c>
      <c r="G779" s="4" t="s">
        <v>36</v>
      </c>
      <c r="H779" s="4" t="str">
        <f t="shared" si="11"/>
        <v>CAR5250</v>
      </c>
      <c r="I779" s="196">
        <v>900000</v>
      </c>
      <c r="J779" s="196">
        <v>600</v>
      </c>
      <c r="K779" s="196">
        <v>1500</v>
      </c>
      <c r="L779" s="454" t="s">
        <v>1017</v>
      </c>
      <c r="M779" s="4" t="s">
        <v>780</v>
      </c>
      <c r="N779" s="133" t="s">
        <v>1407</v>
      </c>
      <c r="O779" s="4" t="s">
        <v>1946</v>
      </c>
      <c r="P779" s="4" t="s">
        <v>892</v>
      </c>
      <c r="Q779" s="4" t="s">
        <v>1947</v>
      </c>
      <c r="R779" s="4" t="s">
        <v>1968</v>
      </c>
      <c r="S779" s="4" t="s">
        <v>1949</v>
      </c>
      <c r="T779" s="4" t="s">
        <v>786</v>
      </c>
    </row>
    <row r="780" spans="1:20" customFormat="1" ht="14" customHeight="1">
      <c r="A780" s="10"/>
      <c r="B780" s="4"/>
      <c r="C780" s="4"/>
      <c r="D780" s="133" t="s">
        <v>676</v>
      </c>
      <c r="E780" s="664" t="str">
        <f>+VLOOKUP(F780,Resumen_Base!$C$8:$G$287,5,0)</f>
        <v>Food &amp; Wine</v>
      </c>
      <c r="F780" s="152" t="s">
        <v>37</v>
      </c>
      <c r="G780" s="4" t="s">
        <v>36</v>
      </c>
      <c r="H780" s="4" t="str">
        <f t="shared" ref="H780:H843" si="12">+D780&amp;F780</f>
        <v>CAR5250</v>
      </c>
      <c r="I780" s="196">
        <v>301500</v>
      </c>
      <c r="J780" s="196">
        <v>201</v>
      </c>
      <c r="K780" s="196">
        <v>1500</v>
      </c>
      <c r="L780" s="454" t="s">
        <v>1017</v>
      </c>
      <c r="M780" s="4" t="s">
        <v>780</v>
      </c>
      <c r="N780" s="133" t="s">
        <v>1407</v>
      </c>
      <c r="O780" s="4" t="s">
        <v>1946</v>
      </c>
      <c r="P780" s="4" t="s">
        <v>892</v>
      </c>
      <c r="Q780" s="4" t="s">
        <v>1947</v>
      </c>
      <c r="R780" s="4" t="s">
        <v>1969</v>
      </c>
      <c r="S780" s="4" t="s">
        <v>1949</v>
      </c>
      <c r="T780" s="4" t="s">
        <v>786</v>
      </c>
    </row>
    <row r="781" spans="1:20" customFormat="1" ht="14" customHeight="1">
      <c r="A781" s="10"/>
      <c r="B781" s="4"/>
      <c r="C781" s="4"/>
      <c r="D781" s="133" t="s">
        <v>676</v>
      </c>
      <c r="E781" s="664" t="str">
        <f>+VLOOKUP(F781,Resumen_Base!$C$8:$G$287,5,0)</f>
        <v>Food &amp; Wine</v>
      </c>
      <c r="F781" s="152" t="s">
        <v>37</v>
      </c>
      <c r="G781" s="4" t="s">
        <v>36</v>
      </c>
      <c r="H781" s="4" t="str">
        <f t="shared" si="12"/>
        <v>CAR5250</v>
      </c>
      <c r="I781" s="196">
        <v>750000</v>
      </c>
      <c r="J781" s="196">
        <v>500</v>
      </c>
      <c r="K781" s="196">
        <v>1500</v>
      </c>
      <c r="L781" s="454" t="s">
        <v>1017</v>
      </c>
      <c r="M781" s="4" t="s">
        <v>780</v>
      </c>
      <c r="N781" s="133" t="s">
        <v>1407</v>
      </c>
      <c r="O781" s="4" t="s">
        <v>1946</v>
      </c>
      <c r="P781" s="4" t="s">
        <v>892</v>
      </c>
      <c r="Q781" s="4" t="s">
        <v>1947</v>
      </c>
      <c r="R781" s="4" t="s">
        <v>1968</v>
      </c>
      <c r="S781" s="4" t="s">
        <v>1949</v>
      </c>
      <c r="T781" s="4" t="s">
        <v>786</v>
      </c>
    </row>
    <row r="782" spans="1:20" customFormat="1" ht="14" customHeight="1">
      <c r="A782" s="10"/>
      <c r="B782" s="4"/>
      <c r="C782" s="4"/>
      <c r="D782" s="133" t="s">
        <v>676</v>
      </c>
      <c r="E782" s="664" t="str">
        <f>+VLOOKUP(F782,Resumen_Base!$C$8:$G$287,5,0)</f>
        <v>Food &amp; Wine</v>
      </c>
      <c r="F782" s="152" t="s">
        <v>37</v>
      </c>
      <c r="G782" s="4" t="s">
        <v>36</v>
      </c>
      <c r="H782" s="4" t="str">
        <f t="shared" si="12"/>
        <v>CAR5250</v>
      </c>
      <c r="I782" s="196">
        <v>603000</v>
      </c>
      <c r="J782" s="196">
        <v>402</v>
      </c>
      <c r="K782" s="196">
        <v>1500</v>
      </c>
      <c r="L782" s="454" t="s">
        <v>1017</v>
      </c>
      <c r="M782" s="4" t="s">
        <v>780</v>
      </c>
      <c r="N782" s="133" t="s">
        <v>1407</v>
      </c>
      <c r="O782" s="4" t="s">
        <v>1946</v>
      </c>
      <c r="P782" s="4" t="s">
        <v>892</v>
      </c>
      <c r="Q782" s="4" t="s">
        <v>1947</v>
      </c>
      <c r="R782" s="4" t="s">
        <v>1970</v>
      </c>
      <c r="S782" s="4" t="s">
        <v>1949</v>
      </c>
      <c r="T782" s="4" t="s">
        <v>786</v>
      </c>
    </row>
    <row r="783" spans="1:20" customFormat="1" ht="14" customHeight="1">
      <c r="A783" s="10"/>
      <c r="B783" s="4"/>
      <c r="C783" s="4"/>
      <c r="D783" s="133" t="s">
        <v>676</v>
      </c>
      <c r="E783" s="664" t="str">
        <f>+VLOOKUP(F783,Resumen_Base!$C$8:$G$287,5,0)</f>
        <v>Food &amp; Wine</v>
      </c>
      <c r="F783" s="152" t="s">
        <v>37</v>
      </c>
      <c r="G783" s="4" t="s">
        <v>36</v>
      </c>
      <c r="H783" s="4" t="str">
        <f t="shared" si="12"/>
        <v>CAR5250</v>
      </c>
      <c r="I783" s="196">
        <v>18885</v>
      </c>
      <c r="J783" s="196">
        <v>12.59</v>
      </c>
      <c r="K783" s="196">
        <v>1500</v>
      </c>
      <c r="L783" s="454" t="s">
        <v>1017</v>
      </c>
      <c r="M783" s="4" t="s">
        <v>780</v>
      </c>
      <c r="N783" s="133" t="s">
        <v>1407</v>
      </c>
      <c r="O783" s="4" t="s">
        <v>1946</v>
      </c>
      <c r="P783" s="4" t="s">
        <v>892</v>
      </c>
      <c r="Q783" s="4" t="s">
        <v>1947</v>
      </c>
      <c r="R783" s="4" t="s">
        <v>1971</v>
      </c>
      <c r="S783" s="4" t="s">
        <v>1949</v>
      </c>
      <c r="T783" s="4" t="s">
        <v>786</v>
      </c>
    </row>
    <row r="784" spans="1:20" customFormat="1" ht="14" customHeight="1">
      <c r="A784" s="10"/>
      <c r="B784" s="4"/>
      <c r="C784" s="4"/>
      <c r="D784" s="133" t="s">
        <v>676</v>
      </c>
      <c r="E784" s="664" t="str">
        <f>+VLOOKUP(F784,Resumen_Base!$C$8:$G$287,5,0)</f>
        <v>Food &amp; Wine</v>
      </c>
      <c r="F784" s="152" t="s">
        <v>37</v>
      </c>
      <c r="G784" s="4" t="s">
        <v>36</v>
      </c>
      <c r="H784" s="4" t="str">
        <f t="shared" si="12"/>
        <v>CAR5250</v>
      </c>
      <c r="I784" s="196">
        <v>8310</v>
      </c>
      <c r="J784" s="196">
        <v>5.54</v>
      </c>
      <c r="K784" s="196">
        <v>1500</v>
      </c>
      <c r="L784" s="454" t="s">
        <v>1017</v>
      </c>
      <c r="M784" s="4" t="s">
        <v>780</v>
      </c>
      <c r="N784" s="133" t="s">
        <v>1407</v>
      </c>
      <c r="O784" s="4" t="s">
        <v>1946</v>
      </c>
      <c r="P784" s="4" t="s">
        <v>892</v>
      </c>
      <c r="Q784" s="4" t="s">
        <v>1947</v>
      </c>
      <c r="R784" s="4" t="s">
        <v>1972</v>
      </c>
      <c r="S784" s="4" t="s">
        <v>1949</v>
      </c>
      <c r="T784" s="4" t="s">
        <v>786</v>
      </c>
    </row>
    <row r="785" spans="1:20" customFormat="1" ht="14" customHeight="1">
      <c r="A785" s="10"/>
      <c r="B785" s="4"/>
      <c r="C785" s="4"/>
      <c r="D785" s="133" t="s">
        <v>676</v>
      </c>
      <c r="E785" s="664" t="str">
        <f>+VLOOKUP(F785,Resumen_Base!$C$8:$G$287,5,0)</f>
        <v>Food &amp; Wine</v>
      </c>
      <c r="F785" s="152" t="s">
        <v>37</v>
      </c>
      <c r="G785" s="4" t="s">
        <v>36</v>
      </c>
      <c r="H785" s="4" t="str">
        <f t="shared" si="12"/>
        <v>CAR5250</v>
      </c>
      <c r="I785" s="196">
        <v>137160</v>
      </c>
      <c r="J785" s="196">
        <v>91.44</v>
      </c>
      <c r="K785" s="196">
        <v>1500</v>
      </c>
      <c r="L785" s="454" t="s">
        <v>1017</v>
      </c>
      <c r="M785" s="4" t="s">
        <v>780</v>
      </c>
      <c r="N785" s="133" t="s">
        <v>1407</v>
      </c>
      <c r="O785" s="4" t="s">
        <v>1946</v>
      </c>
      <c r="P785" s="4" t="s">
        <v>892</v>
      </c>
      <c r="Q785" s="4" t="s">
        <v>1947</v>
      </c>
      <c r="R785" s="4" t="s">
        <v>1973</v>
      </c>
      <c r="S785" s="4" t="s">
        <v>1949</v>
      </c>
      <c r="T785" s="4" t="s">
        <v>786</v>
      </c>
    </row>
    <row r="786" spans="1:20" customFormat="1" ht="14" customHeight="1">
      <c r="A786" s="10"/>
      <c r="B786" s="4"/>
      <c r="C786" s="4"/>
      <c r="D786" s="133" t="s">
        <v>676</v>
      </c>
      <c r="E786" s="664" t="str">
        <f>+VLOOKUP(F786,Resumen_Base!$C$8:$G$287,5,0)</f>
        <v>Food &amp; Wine</v>
      </c>
      <c r="F786" s="152" t="s">
        <v>37</v>
      </c>
      <c r="G786" s="4" t="s">
        <v>36</v>
      </c>
      <c r="H786" s="4" t="str">
        <f t="shared" si="12"/>
        <v>CAR5250</v>
      </c>
      <c r="I786" s="196">
        <v>16245</v>
      </c>
      <c r="J786" s="196">
        <v>10.83</v>
      </c>
      <c r="K786" s="196">
        <v>1500</v>
      </c>
      <c r="L786" s="454" t="s">
        <v>1017</v>
      </c>
      <c r="M786" s="4" t="s">
        <v>780</v>
      </c>
      <c r="N786" s="133" t="s">
        <v>1407</v>
      </c>
      <c r="O786" s="4" t="s">
        <v>1946</v>
      </c>
      <c r="P786" s="4" t="s">
        <v>892</v>
      </c>
      <c r="Q786" s="4" t="s">
        <v>1947</v>
      </c>
      <c r="R786" s="4" t="s">
        <v>1974</v>
      </c>
      <c r="S786" s="4" t="s">
        <v>1949</v>
      </c>
      <c r="T786" s="4" t="s">
        <v>786</v>
      </c>
    </row>
    <row r="787" spans="1:20" customFormat="1" ht="14" customHeight="1">
      <c r="A787" s="10"/>
      <c r="B787" s="4"/>
      <c r="C787" s="4"/>
      <c r="D787" s="133" t="s">
        <v>676</v>
      </c>
      <c r="E787" s="664" t="str">
        <f>+VLOOKUP(F787,Resumen_Base!$C$8:$G$287,5,0)</f>
        <v>Food &amp; Wine</v>
      </c>
      <c r="F787" s="152" t="s">
        <v>37</v>
      </c>
      <c r="G787" s="4" t="s">
        <v>36</v>
      </c>
      <c r="H787" s="4" t="str">
        <f t="shared" si="12"/>
        <v>CAR5250</v>
      </c>
      <c r="I787" s="196">
        <v>117090</v>
      </c>
      <c r="J787" s="196">
        <v>78.06</v>
      </c>
      <c r="K787" s="196">
        <v>1500</v>
      </c>
      <c r="L787" s="454" t="s">
        <v>1017</v>
      </c>
      <c r="M787" s="4" t="s">
        <v>780</v>
      </c>
      <c r="N787" s="133" t="s">
        <v>1407</v>
      </c>
      <c r="O787" s="4" t="s">
        <v>1946</v>
      </c>
      <c r="P787" s="4" t="s">
        <v>892</v>
      </c>
      <c r="Q787" s="4" t="s">
        <v>1947</v>
      </c>
      <c r="R787" s="4" t="s">
        <v>1975</v>
      </c>
      <c r="S787" s="4" t="s">
        <v>1949</v>
      </c>
      <c r="T787" s="4" t="s">
        <v>786</v>
      </c>
    </row>
    <row r="788" spans="1:20" customFormat="1" ht="14" customHeight="1">
      <c r="A788" s="10"/>
      <c r="B788" s="4"/>
      <c r="C788" s="4"/>
      <c r="D788" s="133" t="s">
        <v>676</v>
      </c>
      <c r="E788" s="664" t="str">
        <f>+VLOOKUP(F788,Resumen_Base!$C$8:$G$287,5,0)</f>
        <v>Food &amp; Wine</v>
      </c>
      <c r="F788" s="152" t="s">
        <v>37</v>
      </c>
      <c r="G788" s="4" t="s">
        <v>36</v>
      </c>
      <c r="H788" s="4" t="str">
        <f t="shared" si="12"/>
        <v>CAR5250</v>
      </c>
      <c r="I788" s="196">
        <v>-2788.6</v>
      </c>
      <c r="J788" s="196">
        <v>-1.91</v>
      </c>
      <c r="K788" s="196">
        <v>1460</v>
      </c>
      <c r="L788" s="454" t="s">
        <v>1049</v>
      </c>
      <c r="M788" s="4" t="s">
        <v>780</v>
      </c>
      <c r="N788" s="133" t="s">
        <v>1407</v>
      </c>
      <c r="O788" s="4" t="s">
        <v>2127</v>
      </c>
      <c r="P788" s="4" t="s">
        <v>892</v>
      </c>
      <c r="Q788" s="4" t="s">
        <v>2128</v>
      </c>
      <c r="R788" s="4" t="s">
        <v>2152</v>
      </c>
      <c r="S788" s="4" t="s">
        <v>2129</v>
      </c>
      <c r="T788" s="4" t="s">
        <v>786</v>
      </c>
    </row>
    <row r="789" spans="1:20" customFormat="1" ht="14" customHeight="1">
      <c r="A789" s="10"/>
      <c r="B789" s="4"/>
      <c r="C789" s="4"/>
      <c r="D789" s="133" t="s">
        <v>676</v>
      </c>
      <c r="E789" s="664" t="str">
        <f>+VLOOKUP(F789,Resumen_Base!$C$8:$G$287,5,0)</f>
        <v>Food &amp; Wine</v>
      </c>
      <c r="F789" s="152" t="s">
        <v>37</v>
      </c>
      <c r="G789" s="4" t="s">
        <v>36</v>
      </c>
      <c r="H789" s="4" t="str">
        <f t="shared" si="12"/>
        <v>CAR5250</v>
      </c>
      <c r="I789" s="196">
        <v>-573999</v>
      </c>
      <c r="J789" s="196">
        <v>-393.15</v>
      </c>
      <c r="K789" s="196">
        <v>1460</v>
      </c>
      <c r="L789" s="454" t="s">
        <v>1049</v>
      </c>
      <c r="M789" s="4" t="s">
        <v>780</v>
      </c>
      <c r="N789" s="133" t="s">
        <v>1407</v>
      </c>
      <c r="O789" s="4" t="s">
        <v>2127</v>
      </c>
      <c r="P789" s="4" t="s">
        <v>892</v>
      </c>
      <c r="Q789" s="4" t="s">
        <v>2128</v>
      </c>
      <c r="R789" s="4" t="s">
        <v>2151</v>
      </c>
      <c r="S789" s="4" t="s">
        <v>2129</v>
      </c>
      <c r="T789" s="4" t="s">
        <v>786</v>
      </c>
    </row>
    <row r="790" spans="1:20" customFormat="1" ht="14" customHeight="1">
      <c r="A790" s="10"/>
      <c r="B790" s="4"/>
      <c r="C790" s="4"/>
      <c r="D790" s="133" t="s">
        <v>676</v>
      </c>
      <c r="E790" s="664" t="str">
        <f>+VLOOKUP(F790,Resumen_Base!$C$8:$G$287,5,0)</f>
        <v>Food &amp; Wine</v>
      </c>
      <c r="F790" s="152" t="s">
        <v>37</v>
      </c>
      <c r="G790" s="4" t="s">
        <v>36</v>
      </c>
      <c r="H790" s="4" t="str">
        <f t="shared" si="12"/>
        <v>CAR5250</v>
      </c>
      <c r="I790" s="196">
        <v>-2788.6</v>
      </c>
      <c r="J790" s="196">
        <v>-1.91</v>
      </c>
      <c r="K790" s="196">
        <v>1460</v>
      </c>
      <c r="L790" s="454" t="s">
        <v>1049</v>
      </c>
      <c r="M790" s="4" t="s">
        <v>780</v>
      </c>
      <c r="N790" s="133" t="s">
        <v>1407</v>
      </c>
      <c r="O790" s="4" t="s">
        <v>2127</v>
      </c>
      <c r="P790" s="4" t="s">
        <v>892</v>
      </c>
      <c r="Q790" s="4" t="s">
        <v>2128</v>
      </c>
      <c r="R790" s="4" t="s">
        <v>1515</v>
      </c>
      <c r="S790" s="4" t="s">
        <v>2129</v>
      </c>
      <c r="T790" s="4" t="s">
        <v>786</v>
      </c>
    </row>
    <row r="791" spans="1:20" customFormat="1" ht="14" customHeight="1">
      <c r="A791" s="10"/>
      <c r="B791" s="4"/>
      <c r="C791" s="4"/>
      <c r="D791" s="133" t="s">
        <v>676</v>
      </c>
      <c r="E791" s="664" t="str">
        <f>+VLOOKUP(F791,Resumen_Base!$C$8:$G$287,5,0)</f>
        <v>Food &amp; Wine</v>
      </c>
      <c r="F791" s="152" t="s">
        <v>37</v>
      </c>
      <c r="G791" s="4" t="s">
        <v>36</v>
      </c>
      <c r="H791" s="4" t="str">
        <f t="shared" si="12"/>
        <v>CAR5250</v>
      </c>
      <c r="I791" s="196">
        <v>-932662.6</v>
      </c>
      <c r="J791" s="196">
        <v>-638.80999999999995</v>
      </c>
      <c r="K791" s="196">
        <v>1460</v>
      </c>
      <c r="L791" s="454" t="s">
        <v>1049</v>
      </c>
      <c r="M791" s="4" t="s">
        <v>780</v>
      </c>
      <c r="N791" s="133" t="s">
        <v>1407</v>
      </c>
      <c r="O791" s="4" t="s">
        <v>2127</v>
      </c>
      <c r="P791" s="4" t="s">
        <v>892</v>
      </c>
      <c r="Q791" s="4" t="s">
        <v>2128</v>
      </c>
      <c r="R791" s="4" t="s">
        <v>2155</v>
      </c>
      <c r="S791" s="4" t="s">
        <v>2129</v>
      </c>
      <c r="T791" s="4" t="s">
        <v>786</v>
      </c>
    </row>
    <row r="792" spans="1:20" customFormat="1" ht="14" customHeight="1">
      <c r="A792" s="10"/>
      <c r="B792" s="4"/>
      <c r="C792" s="4"/>
      <c r="D792" s="133" t="s">
        <v>676</v>
      </c>
      <c r="E792" s="664" t="str">
        <f>+VLOOKUP(F792,Resumen_Base!$C$8:$G$287,5,0)</f>
        <v>Food &amp; Wine</v>
      </c>
      <c r="F792" s="152" t="s">
        <v>37</v>
      </c>
      <c r="G792" s="4" t="s">
        <v>36</v>
      </c>
      <c r="H792" s="4" t="str">
        <f t="shared" si="12"/>
        <v>CAR5250</v>
      </c>
      <c r="I792" s="196">
        <v>-2788.6</v>
      </c>
      <c r="J792" s="196">
        <v>-1.91</v>
      </c>
      <c r="K792" s="196">
        <v>1460</v>
      </c>
      <c r="L792" s="454" t="s">
        <v>1049</v>
      </c>
      <c r="M792" s="4" t="s">
        <v>780</v>
      </c>
      <c r="N792" s="133" t="s">
        <v>1407</v>
      </c>
      <c r="O792" s="4" t="s">
        <v>2127</v>
      </c>
      <c r="P792" s="4" t="s">
        <v>892</v>
      </c>
      <c r="Q792" s="4" t="s">
        <v>2128</v>
      </c>
      <c r="R792" s="4" t="s">
        <v>1515</v>
      </c>
      <c r="S792" s="4" t="s">
        <v>2129</v>
      </c>
      <c r="T792" s="4" t="s">
        <v>786</v>
      </c>
    </row>
    <row r="793" spans="1:20" customFormat="1" ht="14" customHeight="1">
      <c r="A793" s="10"/>
      <c r="B793" s="4"/>
      <c r="C793" s="4"/>
      <c r="D793" s="133" t="s">
        <v>676</v>
      </c>
      <c r="E793" s="664" t="str">
        <f>+VLOOKUP(F793,Resumen_Base!$C$8:$G$287,5,0)</f>
        <v>Food &amp; Wine</v>
      </c>
      <c r="F793" s="152" t="s">
        <v>37</v>
      </c>
      <c r="G793" s="4" t="s">
        <v>36</v>
      </c>
      <c r="H793" s="4" t="str">
        <f t="shared" si="12"/>
        <v>CAR5250</v>
      </c>
      <c r="I793" s="196">
        <v>-224518.8</v>
      </c>
      <c r="J793" s="196">
        <v>-153.78</v>
      </c>
      <c r="K793" s="196">
        <v>1460</v>
      </c>
      <c r="L793" s="454" t="s">
        <v>1049</v>
      </c>
      <c r="M793" s="4" t="s">
        <v>780</v>
      </c>
      <c r="N793" s="133" t="s">
        <v>1407</v>
      </c>
      <c r="O793" s="4" t="s">
        <v>2127</v>
      </c>
      <c r="P793" s="4" t="s">
        <v>892</v>
      </c>
      <c r="Q793" s="4" t="s">
        <v>2128</v>
      </c>
      <c r="R793" s="4" t="s">
        <v>2156</v>
      </c>
      <c r="S793" s="4" t="s">
        <v>2129</v>
      </c>
      <c r="T793" s="4" t="s">
        <v>786</v>
      </c>
    </row>
    <row r="794" spans="1:20" customFormat="1" ht="14" customHeight="1">
      <c r="A794" s="10"/>
      <c r="B794" s="4"/>
      <c r="C794" s="4"/>
      <c r="D794" s="133" t="s">
        <v>676</v>
      </c>
      <c r="E794" s="664" t="str">
        <f>+VLOOKUP(F794,Resumen_Base!$C$8:$G$287,5,0)</f>
        <v>Food &amp; Wine</v>
      </c>
      <c r="F794" s="152" t="s">
        <v>37</v>
      </c>
      <c r="G794" s="4" t="s">
        <v>36</v>
      </c>
      <c r="H794" s="4" t="str">
        <f t="shared" si="12"/>
        <v>CAR5250</v>
      </c>
      <c r="I794" s="196">
        <v>1193700</v>
      </c>
      <c r="J794" s="196">
        <v>795.8</v>
      </c>
      <c r="K794" s="196">
        <v>1500</v>
      </c>
      <c r="L794" s="454" t="s">
        <v>1045</v>
      </c>
      <c r="M794" s="4" t="s">
        <v>780</v>
      </c>
      <c r="N794" s="133" t="s">
        <v>1407</v>
      </c>
      <c r="O794" s="4" t="s">
        <v>2174</v>
      </c>
      <c r="P794" s="4" t="s">
        <v>892</v>
      </c>
      <c r="Q794" s="4" t="s">
        <v>2175</v>
      </c>
      <c r="R794" s="4" t="s">
        <v>2184</v>
      </c>
      <c r="S794" s="4" t="s">
        <v>2177</v>
      </c>
      <c r="T794" s="4" t="s">
        <v>786</v>
      </c>
    </row>
    <row r="795" spans="1:20" customFormat="1" ht="14" customHeight="1">
      <c r="A795" s="10"/>
      <c r="B795" s="4"/>
      <c r="C795" s="4"/>
      <c r="D795" s="133" t="s">
        <v>676</v>
      </c>
      <c r="E795" s="664" t="str">
        <f>+VLOOKUP(F795,Resumen_Base!$C$8:$G$287,5,0)</f>
        <v>Food &amp; Wine</v>
      </c>
      <c r="F795" s="152" t="s">
        <v>37</v>
      </c>
      <c r="G795" s="4" t="s">
        <v>36</v>
      </c>
      <c r="H795" s="4" t="str">
        <f t="shared" si="12"/>
        <v>CAR5250</v>
      </c>
      <c r="I795" s="196">
        <v>224518.8</v>
      </c>
      <c r="J795" s="196">
        <v>153.78</v>
      </c>
      <c r="K795" s="196">
        <v>1460</v>
      </c>
      <c r="L795" s="454" t="s">
        <v>1049</v>
      </c>
      <c r="M795" s="4" t="s">
        <v>780</v>
      </c>
      <c r="N795" s="133" t="s">
        <v>1407</v>
      </c>
      <c r="O795" s="4" t="s">
        <v>2233</v>
      </c>
      <c r="P795" s="4" t="s">
        <v>892</v>
      </c>
      <c r="Q795" s="4" t="s">
        <v>2234</v>
      </c>
      <c r="R795" s="4" t="s">
        <v>2156</v>
      </c>
      <c r="S795" s="4" t="s">
        <v>2235</v>
      </c>
      <c r="T795" s="4" t="s">
        <v>786</v>
      </c>
    </row>
    <row r="796" spans="1:20" customFormat="1" ht="14" customHeight="1">
      <c r="A796" s="10"/>
      <c r="B796" s="4"/>
      <c r="C796" s="4"/>
      <c r="D796" s="133" t="s">
        <v>676</v>
      </c>
      <c r="E796" s="664" t="str">
        <f>+VLOOKUP(F796,Resumen_Base!$C$8:$G$287,5,0)</f>
        <v>Food &amp; Wine</v>
      </c>
      <c r="F796" s="152" t="s">
        <v>37</v>
      </c>
      <c r="G796" s="4" t="s">
        <v>36</v>
      </c>
      <c r="H796" s="4" t="str">
        <f t="shared" si="12"/>
        <v>CAR5250</v>
      </c>
      <c r="I796" s="196">
        <v>2788.6</v>
      </c>
      <c r="J796" s="196">
        <v>1.91</v>
      </c>
      <c r="K796" s="196">
        <v>1460</v>
      </c>
      <c r="L796" s="454" t="s">
        <v>1049</v>
      </c>
      <c r="M796" s="4" t="s">
        <v>780</v>
      </c>
      <c r="N796" s="133" t="s">
        <v>1407</v>
      </c>
      <c r="O796" s="4" t="s">
        <v>2233</v>
      </c>
      <c r="P796" s="4" t="s">
        <v>892</v>
      </c>
      <c r="Q796" s="4" t="s">
        <v>2234</v>
      </c>
      <c r="R796" s="4" t="s">
        <v>1515</v>
      </c>
      <c r="S796" s="4" t="s">
        <v>2235</v>
      </c>
      <c r="T796" s="4" t="s">
        <v>786</v>
      </c>
    </row>
    <row r="797" spans="1:20" customFormat="1" ht="14" customHeight="1">
      <c r="A797" s="10"/>
      <c r="B797" s="4"/>
      <c r="C797" s="4"/>
      <c r="D797" s="133" t="s">
        <v>676</v>
      </c>
      <c r="E797" s="664" t="str">
        <f>+VLOOKUP(F797,Resumen_Base!$C$8:$G$287,5,0)</f>
        <v>Food &amp; Wine</v>
      </c>
      <c r="F797" s="152" t="s">
        <v>37</v>
      </c>
      <c r="G797" s="4" t="s">
        <v>36</v>
      </c>
      <c r="H797" s="4" t="str">
        <f t="shared" si="12"/>
        <v>CAR5250</v>
      </c>
      <c r="I797" s="196">
        <v>932662.6</v>
      </c>
      <c r="J797" s="196">
        <v>638.80999999999995</v>
      </c>
      <c r="K797" s="196">
        <v>1460</v>
      </c>
      <c r="L797" s="454" t="s">
        <v>1049</v>
      </c>
      <c r="M797" s="4" t="s">
        <v>780</v>
      </c>
      <c r="N797" s="133" t="s">
        <v>1407</v>
      </c>
      <c r="O797" s="4" t="s">
        <v>2233</v>
      </c>
      <c r="P797" s="4" t="s">
        <v>892</v>
      </c>
      <c r="Q797" s="4" t="s">
        <v>2234</v>
      </c>
      <c r="R797" s="4" t="s">
        <v>2155</v>
      </c>
      <c r="S797" s="4" t="s">
        <v>2235</v>
      </c>
      <c r="T797" s="4" t="s">
        <v>786</v>
      </c>
    </row>
    <row r="798" spans="1:20" customFormat="1" ht="14" customHeight="1">
      <c r="A798" s="10"/>
      <c r="B798" s="4"/>
      <c r="C798" s="4"/>
      <c r="D798" s="133" t="s">
        <v>676</v>
      </c>
      <c r="E798" s="664" t="str">
        <f>+VLOOKUP(F798,Resumen_Base!$C$8:$G$287,5,0)</f>
        <v>Food &amp; Wine</v>
      </c>
      <c r="F798" s="152" t="s">
        <v>37</v>
      </c>
      <c r="G798" s="4" t="s">
        <v>36</v>
      </c>
      <c r="H798" s="4" t="str">
        <f t="shared" si="12"/>
        <v>CAR5250</v>
      </c>
      <c r="I798" s="196">
        <v>2788.6</v>
      </c>
      <c r="J798" s="196">
        <v>1.91</v>
      </c>
      <c r="K798" s="196">
        <v>1460</v>
      </c>
      <c r="L798" s="454" t="s">
        <v>1049</v>
      </c>
      <c r="M798" s="4" t="s">
        <v>780</v>
      </c>
      <c r="N798" s="133" t="s">
        <v>1407</v>
      </c>
      <c r="O798" s="4" t="s">
        <v>2233</v>
      </c>
      <c r="P798" s="4" t="s">
        <v>892</v>
      </c>
      <c r="Q798" s="4" t="s">
        <v>2234</v>
      </c>
      <c r="R798" s="4" t="s">
        <v>1515</v>
      </c>
      <c r="S798" s="4" t="s">
        <v>2235</v>
      </c>
      <c r="T798" s="4" t="s">
        <v>786</v>
      </c>
    </row>
    <row r="799" spans="1:20" customFormat="1" ht="14" customHeight="1">
      <c r="A799" s="10"/>
      <c r="B799" s="4"/>
      <c r="C799" s="4"/>
      <c r="D799" s="133" t="s">
        <v>676</v>
      </c>
      <c r="E799" s="664" t="str">
        <f>+VLOOKUP(F799,Resumen_Base!$C$8:$G$287,5,0)</f>
        <v>Food &amp; Wine</v>
      </c>
      <c r="F799" s="152" t="s">
        <v>37</v>
      </c>
      <c r="G799" s="4" t="s">
        <v>36</v>
      </c>
      <c r="H799" s="4" t="str">
        <f t="shared" si="12"/>
        <v>CAR5250</v>
      </c>
      <c r="I799" s="196">
        <v>573999</v>
      </c>
      <c r="J799" s="196">
        <v>393.15</v>
      </c>
      <c r="K799" s="196">
        <v>1460</v>
      </c>
      <c r="L799" s="454" t="s">
        <v>1049</v>
      </c>
      <c r="M799" s="4" t="s">
        <v>780</v>
      </c>
      <c r="N799" s="133" t="s">
        <v>1407</v>
      </c>
      <c r="O799" s="4" t="s">
        <v>2233</v>
      </c>
      <c r="P799" s="4" t="s">
        <v>892</v>
      </c>
      <c r="Q799" s="4" t="s">
        <v>2234</v>
      </c>
      <c r="R799" s="4" t="s">
        <v>2151</v>
      </c>
      <c r="S799" s="4" t="s">
        <v>2235</v>
      </c>
      <c r="T799" s="4" t="s">
        <v>786</v>
      </c>
    </row>
    <row r="800" spans="1:20" customFormat="1" ht="14" customHeight="1">
      <c r="A800" s="10"/>
      <c r="B800" s="4"/>
      <c r="C800" s="4"/>
      <c r="D800" s="133" t="s">
        <v>676</v>
      </c>
      <c r="E800" s="664" t="str">
        <f>+VLOOKUP(F800,Resumen_Base!$C$8:$G$287,5,0)</f>
        <v>Food &amp; Wine</v>
      </c>
      <c r="F800" s="152" t="s">
        <v>37</v>
      </c>
      <c r="G800" s="4" t="s">
        <v>36</v>
      </c>
      <c r="H800" s="4" t="str">
        <f t="shared" si="12"/>
        <v>CAR5250</v>
      </c>
      <c r="I800" s="196">
        <v>2788.6</v>
      </c>
      <c r="J800" s="196">
        <v>1.91</v>
      </c>
      <c r="K800" s="196">
        <v>1460</v>
      </c>
      <c r="L800" s="454" t="s">
        <v>1049</v>
      </c>
      <c r="M800" s="4" t="s">
        <v>780</v>
      </c>
      <c r="N800" s="133" t="s">
        <v>1407</v>
      </c>
      <c r="O800" s="4" t="s">
        <v>2233</v>
      </c>
      <c r="P800" s="4" t="s">
        <v>892</v>
      </c>
      <c r="Q800" s="4" t="s">
        <v>2234</v>
      </c>
      <c r="R800" s="4" t="s">
        <v>2152</v>
      </c>
      <c r="S800" s="4" t="s">
        <v>2235</v>
      </c>
      <c r="T800" s="4" t="s">
        <v>786</v>
      </c>
    </row>
    <row r="801" spans="1:20" customFormat="1" ht="14" customHeight="1">
      <c r="A801" s="10"/>
      <c r="B801" s="4"/>
      <c r="C801" s="4"/>
      <c r="D801" s="133" t="s">
        <v>676</v>
      </c>
      <c r="E801" s="664" t="str">
        <f>+VLOOKUP(F801,Resumen_Base!$C$8:$G$287,5,0)</f>
        <v>Food &amp; Wine</v>
      </c>
      <c r="F801" s="152" t="s">
        <v>37</v>
      </c>
      <c r="G801" s="4" t="s">
        <v>36</v>
      </c>
      <c r="H801" s="4" t="str">
        <f t="shared" si="12"/>
        <v>CAR5250</v>
      </c>
      <c r="I801" s="196">
        <v>2788.6</v>
      </c>
      <c r="J801" s="196">
        <v>1.91</v>
      </c>
      <c r="K801" s="196">
        <v>1460</v>
      </c>
      <c r="L801" s="454" t="s">
        <v>1049</v>
      </c>
      <c r="M801" s="4" t="s">
        <v>780</v>
      </c>
      <c r="N801" s="133" t="s">
        <v>1407</v>
      </c>
      <c r="O801" s="4" t="s">
        <v>2236</v>
      </c>
      <c r="P801" s="4" t="s">
        <v>892</v>
      </c>
      <c r="Q801" s="4" t="s">
        <v>2237</v>
      </c>
      <c r="R801" s="4" t="s">
        <v>1515</v>
      </c>
      <c r="S801" s="4" t="s">
        <v>2238</v>
      </c>
      <c r="T801" s="4" t="s">
        <v>786</v>
      </c>
    </row>
    <row r="802" spans="1:20" customFormat="1" ht="14" customHeight="1">
      <c r="A802" s="10"/>
      <c r="B802" s="4"/>
      <c r="C802" s="4"/>
      <c r="D802" s="133" t="s">
        <v>676</v>
      </c>
      <c r="E802" s="664" t="str">
        <f>+VLOOKUP(F802,Resumen_Base!$C$8:$G$287,5,0)</f>
        <v>Food &amp; Wine</v>
      </c>
      <c r="F802" s="152" t="s">
        <v>37</v>
      </c>
      <c r="G802" s="4" t="s">
        <v>36</v>
      </c>
      <c r="H802" s="4" t="str">
        <f t="shared" si="12"/>
        <v>CAR5250</v>
      </c>
      <c r="I802" s="196">
        <v>224518.8</v>
      </c>
      <c r="J802" s="196">
        <v>153.78</v>
      </c>
      <c r="K802" s="196">
        <v>1460</v>
      </c>
      <c r="L802" s="454" t="s">
        <v>1049</v>
      </c>
      <c r="M802" s="4" t="s">
        <v>780</v>
      </c>
      <c r="N802" s="133" t="s">
        <v>1407</v>
      </c>
      <c r="O802" s="4" t="s">
        <v>2236</v>
      </c>
      <c r="P802" s="4" t="s">
        <v>892</v>
      </c>
      <c r="Q802" s="4" t="s">
        <v>2237</v>
      </c>
      <c r="R802" s="4" t="s">
        <v>2156</v>
      </c>
      <c r="S802" s="4" t="s">
        <v>2238</v>
      </c>
      <c r="T802" s="4" t="s">
        <v>786</v>
      </c>
    </row>
    <row r="803" spans="1:20" customFormat="1" ht="14" customHeight="1">
      <c r="A803" s="10"/>
      <c r="B803" s="4"/>
      <c r="C803" s="4"/>
      <c r="D803" s="133" t="s">
        <v>676</v>
      </c>
      <c r="E803" s="664" t="str">
        <f>+VLOOKUP(F803,Resumen_Base!$C$8:$G$287,5,0)</f>
        <v>Food &amp; Wine</v>
      </c>
      <c r="F803" s="152" t="s">
        <v>37</v>
      </c>
      <c r="G803" s="4" t="s">
        <v>36</v>
      </c>
      <c r="H803" s="4" t="str">
        <f t="shared" si="12"/>
        <v>CAR5250</v>
      </c>
      <c r="I803" s="196">
        <v>573999</v>
      </c>
      <c r="J803" s="196">
        <v>393.15</v>
      </c>
      <c r="K803" s="196">
        <v>1460</v>
      </c>
      <c r="L803" s="454" t="s">
        <v>1049</v>
      </c>
      <c r="M803" s="4" t="s">
        <v>780</v>
      </c>
      <c r="N803" s="133" t="s">
        <v>1407</v>
      </c>
      <c r="O803" s="4" t="s">
        <v>2236</v>
      </c>
      <c r="P803" s="4" t="s">
        <v>892</v>
      </c>
      <c r="Q803" s="4" t="s">
        <v>2237</v>
      </c>
      <c r="R803" s="4" t="s">
        <v>2151</v>
      </c>
      <c r="S803" s="4" t="s">
        <v>2238</v>
      </c>
      <c r="T803" s="4" t="s">
        <v>786</v>
      </c>
    </row>
    <row r="804" spans="1:20" customFormat="1" ht="14" customHeight="1">
      <c r="A804" s="10"/>
      <c r="B804" s="4"/>
      <c r="C804" s="4"/>
      <c r="D804" s="133" t="s">
        <v>676</v>
      </c>
      <c r="E804" s="664" t="str">
        <f>+VLOOKUP(F804,Resumen_Base!$C$8:$G$287,5,0)</f>
        <v>Food &amp; Wine</v>
      </c>
      <c r="F804" s="152" t="s">
        <v>37</v>
      </c>
      <c r="G804" s="4" t="s">
        <v>36</v>
      </c>
      <c r="H804" s="4" t="str">
        <f t="shared" si="12"/>
        <v>CAR5250</v>
      </c>
      <c r="I804" s="196">
        <v>2788.6</v>
      </c>
      <c r="J804" s="196">
        <v>1.91</v>
      </c>
      <c r="K804" s="196">
        <v>1460</v>
      </c>
      <c r="L804" s="454" t="s">
        <v>1049</v>
      </c>
      <c r="M804" s="4" t="s">
        <v>780</v>
      </c>
      <c r="N804" s="133" t="s">
        <v>1407</v>
      </c>
      <c r="O804" s="4" t="s">
        <v>2236</v>
      </c>
      <c r="P804" s="4" t="s">
        <v>892</v>
      </c>
      <c r="Q804" s="4" t="s">
        <v>2237</v>
      </c>
      <c r="R804" s="4" t="s">
        <v>2152</v>
      </c>
      <c r="S804" s="4" t="s">
        <v>2238</v>
      </c>
      <c r="T804" s="4" t="s">
        <v>786</v>
      </c>
    </row>
    <row r="805" spans="1:20" customFormat="1" ht="14" customHeight="1">
      <c r="A805" s="10"/>
      <c r="B805" s="4"/>
      <c r="C805" s="4"/>
      <c r="D805" s="133" t="s">
        <v>676</v>
      </c>
      <c r="E805" s="664" t="str">
        <f>+VLOOKUP(F805,Resumen_Base!$C$8:$G$287,5,0)</f>
        <v>Food &amp; Wine</v>
      </c>
      <c r="F805" s="152" t="s">
        <v>37</v>
      </c>
      <c r="G805" s="4" t="s">
        <v>36</v>
      </c>
      <c r="H805" s="4" t="str">
        <f t="shared" si="12"/>
        <v>CAR5250</v>
      </c>
      <c r="I805" s="196">
        <v>2788.6</v>
      </c>
      <c r="J805" s="196">
        <v>1.91</v>
      </c>
      <c r="K805" s="196">
        <v>1460</v>
      </c>
      <c r="L805" s="454" t="s">
        <v>1049</v>
      </c>
      <c r="M805" s="4" t="s">
        <v>780</v>
      </c>
      <c r="N805" s="133" t="s">
        <v>1407</v>
      </c>
      <c r="O805" s="4" t="s">
        <v>2236</v>
      </c>
      <c r="P805" s="4" t="s">
        <v>892</v>
      </c>
      <c r="Q805" s="4" t="s">
        <v>2237</v>
      </c>
      <c r="R805" s="4" t="s">
        <v>1515</v>
      </c>
      <c r="S805" s="4" t="s">
        <v>2238</v>
      </c>
      <c r="T805" s="4" t="s">
        <v>786</v>
      </c>
    </row>
    <row r="806" spans="1:20" customFormat="1" ht="14" customHeight="1">
      <c r="A806" s="10"/>
      <c r="B806" s="4"/>
      <c r="C806" s="4"/>
      <c r="D806" s="133" t="s">
        <v>676</v>
      </c>
      <c r="E806" s="664" t="str">
        <f>+VLOOKUP(F806,Resumen_Base!$C$8:$G$287,5,0)</f>
        <v>Food &amp; Wine</v>
      </c>
      <c r="F806" s="152" t="s">
        <v>37</v>
      </c>
      <c r="G806" s="4" t="s">
        <v>36</v>
      </c>
      <c r="H806" s="4" t="str">
        <f t="shared" si="12"/>
        <v>CAR5250</v>
      </c>
      <c r="I806" s="196">
        <v>932662.6</v>
      </c>
      <c r="J806" s="196">
        <v>638.80999999999995</v>
      </c>
      <c r="K806" s="196">
        <v>1460</v>
      </c>
      <c r="L806" s="454" t="s">
        <v>1049</v>
      </c>
      <c r="M806" s="4" t="s">
        <v>780</v>
      </c>
      <c r="N806" s="133" t="s">
        <v>1407</v>
      </c>
      <c r="O806" s="4" t="s">
        <v>2236</v>
      </c>
      <c r="P806" s="4" t="s">
        <v>892</v>
      </c>
      <c r="Q806" s="4" t="s">
        <v>2237</v>
      </c>
      <c r="R806" s="4" t="s">
        <v>2155</v>
      </c>
      <c r="S806" s="4" t="s">
        <v>2238</v>
      </c>
      <c r="T806" s="4" t="s">
        <v>786</v>
      </c>
    </row>
    <row r="807" spans="1:20" customFormat="1">
      <c r="A807" s="737" t="s">
        <v>3395</v>
      </c>
      <c r="B807" s="315" t="s">
        <v>3401</v>
      </c>
      <c r="C807" s="330"/>
      <c r="D807" s="203" t="s">
        <v>670</v>
      </c>
      <c r="E807" s="714" t="str">
        <f>+VLOOKUP(F807,Resumen_Base!$C$8:$G$287,5,0)</f>
        <v>Travel for personnel (employees)</v>
      </c>
      <c r="F807" s="724" t="s">
        <v>68</v>
      </c>
      <c r="G807" s="725" t="s">
        <v>464</v>
      </c>
      <c r="H807" s="330" t="str">
        <f t="shared" si="12"/>
        <v>SJ5255</v>
      </c>
      <c r="I807" s="715">
        <v>2712.2</v>
      </c>
      <c r="J807" s="715">
        <v>1.91</v>
      </c>
      <c r="K807" s="715">
        <v>1420</v>
      </c>
      <c r="L807" s="456" t="s">
        <v>787</v>
      </c>
      <c r="M807" s="330" t="s">
        <v>780</v>
      </c>
      <c r="N807" s="203" t="s">
        <v>781</v>
      </c>
      <c r="O807" s="330" t="s">
        <v>855</v>
      </c>
      <c r="P807" s="330" t="s">
        <v>783</v>
      </c>
      <c r="Q807" s="330" t="s">
        <v>856</v>
      </c>
      <c r="R807" s="330" t="s">
        <v>832</v>
      </c>
      <c r="S807" s="330" t="s">
        <v>857</v>
      </c>
      <c r="T807" s="330" t="s">
        <v>786</v>
      </c>
    </row>
    <row r="808" spans="1:20" customFormat="1">
      <c r="A808" s="10"/>
      <c r="B808" s="4"/>
      <c r="C808" s="4"/>
      <c r="D808" s="133" t="s">
        <v>670</v>
      </c>
      <c r="E808" s="664" t="str">
        <f>+VLOOKUP(F808,Resumen_Base!$C$8:$G$287,5,0)</f>
        <v>Food &amp; Wine</v>
      </c>
      <c r="F808" s="152" t="s">
        <v>35</v>
      </c>
      <c r="G808" s="4" t="s">
        <v>34</v>
      </c>
      <c r="H808" s="4" t="str">
        <f t="shared" si="12"/>
        <v>SJ5251</v>
      </c>
      <c r="I808" s="196">
        <v>243373.8</v>
      </c>
      <c r="J808" s="196">
        <v>171.39</v>
      </c>
      <c r="K808" s="196">
        <v>1420</v>
      </c>
      <c r="L808" s="454" t="s">
        <v>787</v>
      </c>
      <c r="M808" s="4" t="s">
        <v>780</v>
      </c>
      <c r="N808" s="133" t="s">
        <v>781</v>
      </c>
      <c r="O808" s="4" t="s">
        <v>855</v>
      </c>
      <c r="P808" s="4" t="s">
        <v>783</v>
      </c>
      <c r="Q808" s="4" t="s">
        <v>856</v>
      </c>
      <c r="R808" s="4" t="s">
        <v>866</v>
      </c>
      <c r="S808" s="4" t="s">
        <v>857</v>
      </c>
      <c r="T808" s="4" t="s">
        <v>786</v>
      </c>
    </row>
    <row r="809" spans="1:20" customFormat="1">
      <c r="A809" s="10"/>
      <c r="B809" s="4"/>
      <c r="C809" s="4"/>
      <c r="D809" s="133" t="s">
        <v>676</v>
      </c>
      <c r="E809" s="664" t="str">
        <f>+VLOOKUP(F809,Resumen_Base!$C$8:$G$287,5,0)</f>
        <v>Food &amp; Wine</v>
      </c>
      <c r="F809" s="152" t="s">
        <v>35</v>
      </c>
      <c r="G809" s="4" t="s">
        <v>34</v>
      </c>
      <c r="H809" s="4" t="str">
        <f t="shared" si="12"/>
        <v>CAR5251</v>
      </c>
      <c r="I809" s="196">
        <v>27008.400000000001</v>
      </c>
      <c r="J809" s="196">
        <v>19.02</v>
      </c>
      <c r="K809" s="196">
        <v>1420</v>
      </c>
      <c r="L809" s="454" t="s">
        <v>899</v>
      </c>
      <c r="M809" s="4" t="s">
        <v>780</v>
      </c>
      <c r="N809" s="133" t="s">
        <v>1407</v>
      </c>
      <c r="O809" s="4" t="s">
        <v>1620</v>
      </c>
      <c r="P809" s="4" t="s">
        <v>892</v>
      </c>
      <c r="Q809" s="4" t="s">
        <v>1621</v>
      </c>
      <c r="R809" s="4" t="s">
        <v>1705</v>
      </c>
      <c r="S809" s="4" t="s">
        <v>1623</v>
      </c>
      <c r="T809" s="4" t="s">
        <v>786</v>
      </c>
    </row>
    <row r="810" spans="1:20" customFormat="1">
      <c r="A810" s="10"/>
      <c r="B810" s="4"/>
      <c r="C810" s="4"/>
      <c r="D810" s="133" t="s">
        <v>676</v>
      </c>
      <c r="E810" s="664" t="str">
        <f>+VLOOKUP(F810,Resumen_Base!$C$8:$G$287,5,0)</f>
        <v>Food &amp; Wine</v>
      </c>
      <c r="F810" s="152" t="s">
        <v>35</v>
      </c>
      <c r="G810" s="4" t="s">
        <v>34</v>
      </c>
      <c r="H810" s="4" t="str">
        <f t="shared" si="12"/>
        <v>CAR5251</v>
      </c>
      <c r="I810" s="196">
        <v>250786.2</v>
      </c>
      <c r="J810" s="196">
        <v>176.61</v>
      </c>
      <c r="K810" s="196">
        <v>1420</v>
      </c>
      <c r="L810" s="454" t="s">
        <v>899</v>
      </c>
      <c r="M810" s="4" t="s">
        <v>780</v>
      </c>
      <c r="N810" s="133" t="s">
        <v>1407</v>
      </c>
      <c r="O810" s="4" t="s">
        <v>1620</v>
      </c>
      <c r="P810" s="4" t="s">
        <v>892</v>
      </c>
      <c r="Q810" s="4" t="s">
        <v>1621</v>
      </c>
      <c r="R810" s="4" t="s">
        <v>1701</v>
      </c>
      <c r="S810" s="4" t="s">
        <v>1623</v>
      </c>
      <c r="T810" s="4" t="s">
        <v>786</v>
      </c>
    </row>
    <row r="811" spans="1:20" customFormat="1">
      <c r="A811" s="10"/>
      <c r="B811" s="4"/>
      <c r="C811" s="4"/>
      <c r="D811" s="133" t="s">
        <v>676</v>
      </c>
      <c r="E811" s="664" t="str">
        <f>+VLOOKUP(F811,Resumen_Base!$C$8:$G$287,5,0)</f>
        <v>Food &amp; Wine</v>
      </c>
      <c r="F811" s="152" t="s">
        <v>35</v>
      </c>
      <c r="G811" s="4" t="s">
        <v>34</v>
      </c>
      <c r="H811" s="4" t="str">
        <f t="shared" si="12"/>
        <v>CAR5251</v>
      </c>
      <c r="I811" s="196">
        <v>8363.7999999999993</v>
      </c>
      <c r="J811" s="196">
        <v>5.89</v>
      </c>
      <c r="K811" s="196">
        <v>1420</v>
      </c>
      <c r="L811" s="454" t="s">
        <v>899</v>
      </c>
      <c r="M811" s="4" t="s">
        <v>780</v>
      </c>
      <c r="N811" s="133" t="s">
        <v>1407</v>
      </c>
      <c r="O811" s="4" t="s">
        <v>1620</v>
      </c>
      <c r="P811" s="4" t="s">
        <v>892</v>
      </c>
      <c r="Q811" s="4" t="s">
        <v>1621</v>
      </c>
      <c r="R811" s="4" t="s">
        <v>1703</v>
      </c>
      <c r="S811" s="4" t="s">
        <v>1623</v>
      </c>
      <c r="T811" s="4" t="s">
        <v>786</v>
      </c>
    </row>
    <row r="812" spans="1:20" customFormat="1">
      <c r="A812" s="10"/>
      <c r="B812" s="4"/>
      <c r="C812" s="4"/>
      <c r="D812" s="133" t="s">
        <v>676</v>
      </c>
      <c r="E812" s="664" t="str">
        <f>+VLOOKUP(F812,Resumen_Base!$C$8:$G$287,5,0)</f>
        <v>Food &amp; Wine</v>
      </c>
      <c r="F812" s="152" t="s">
        <v>35</v>
      </c>
      <c r="G812" s="4" t="s">
        <v>34</v>
      </c>
      <c r="H812" s="4" t="str">
        <f t="shared" si="12"/>
        <v>CAR5251</v>
      </c>
      <c r="I812" s="196">
        <v>30900</v>
      </c>
      <c r="J812" s="196">
        <v>20.6</v>
      </c>
      <c r="K812" s="196">
        <v>1500</v>
      </c>
      <c r="L812" s="454" t="s">
        <v>1017</v>
      </c>
      <c r="M812" s="4" t="s">
        <v>780</v>
      </c>
      <c r="N812" s="133" t="s">
        <v>1407</v>
      </c>
      <c r="O812" s="4" t="s">
        <v>1946</v>
      </c>
      <c r="P812" s="4" t="s">
        <v>892</v>
      </c>
      <c r="Q812" s="4" t="s">
        <v>1947</v>
      </c>
      <c r="R812" s="4" t="s">
        <v>1961</v>
      </c>
      <c r="S812" s="4" t="s">
        <v>1949</v>
      </c>
      <c r="T812" s="4" t="s">
        <v>786</v>
      </c>
    </row>
    <row r="813" spans="1:20" customFormat="1">
      <c r="A813" s="10"/>
      <c r="B813" s="4"/>
      <c r="C813" s="4"/>
      <c r="D813" s="133" t="s">
        <v>676</v>
      </c>
      <c r="E813" s="664" t="str">
        <f>+VLOOKUP(F813,Resumen_Base!$C$8:$G$287,5,0)</f>
        <v>Food &amp; Wine</v>
      </c>
      <c r="F813" s="152" t="s">
        <v>35</v>
      </c>
      <c r="G813" s="4" t="s">
        <v>34</v>
      </c>
      <c r="H813" s="4" t="str">
        <f t="shared" si="12"/>
        <v>CAR5251</v>
      </c>
      <c r="I813" s="196">
        <v>69270</v>
      </c>
      <c r="J813" s="196">
        <v>46.18</v>
      </c>
      <c r="K813" s="196">
        <v>1500</v>
      </c>
      <c r="L813" s="454" t="s">
        <v>1045</v>
      </c>
      <c r="M813" s="4" t="s">
        <v>780</v>
      </c>
      <c r="N813" s="133" t="s">
        <v>1407</v>
      </c>
      <c r="O813" s="4" t="s">
        <v>2174</v>
      </c>
      <c r="P813" s="4" t="s">
        <v>892</v>
      </c>
      <c r="Q813" s="4" t="s">
        <v>2175</v>
      </c>
      <c r="R813" s="4" t="s">
        <v>2182</v>
      </c>
      <c r="S813" s="4" t="s">
        <v>2177</v>
      </c>
      <c r="T813" s="4" t="s">
        <v>786</v>
      </c>
    </row>
    <row r="814" spans="1:20" customFormat="1">
      <c r="A814" s="10"/>
      <c r="B814" s="4"/>
      <c r="C814" s="4"/>
      <c r="D814" s="133" t="s">
        <v>676</v>
      </c>
      <c r="E814" s="664" t="str">
        <f>+VLOOKUP(F814,Resumen_Base!$C$8:$G$287,5,0)</f>
        <v>Food &amp; Wine</v>
      </c>
      <c r="F814" s="152" t="s">
        <v>35</v>
      </c>
      <c r="G814" s="4" t="s">
        <v>34</v>
      </c>
      <c r="H814" s="4" t="str">
        <f t="shared" si="12"/>
        <v>CAR5251</v>
      </c>
      <c r="I814" s="196">
        <v>94259.6</v>
      </c>
      <c r="J814" s="196">
        <v>66.38</v>
      </c>
      <c r="K814" s="196">
        <v>1420</v>
      </c>
      <c r="L814" s="454" t="s">
        <v>1113</v>
      </c>
      <c r="M814" s="4" t="s">
        <v>780</v>
      </c>
      <c r="N814" s="133" t="s">
        <v>1407</v>
      </c>
      <c r="O814" s="4" t="s">
        <v>1114</v>
      </c>
      <c r="P814" s="4" t="s">
        <v>892</v>
      </c>
      <c r="Q814" s="4" t="s">
        <v>1115</v>
      </c>
      <c r="R814" s="4" t="s">
        <v>2388</v>
      </c>
      <c r="S814" s="4" t="s">
        <v>1117</v>
      </c>
      <c r="T814" s="4" t="s">
        <v>786</v>
      </c>
    </row>
    <row r="815" spans="1:20" customFormat="1">
      <c r="A815" s="10"/>
      <c r="B815" s="4"/>
      <c r="C815" s="4"/>
      <c r="D815" s="133" t="s">
        <v>670</v>
      </c>
      <c r="E815" s="664" t="str">
        <f>+VLOOKUP(F815,Resumen_Base!$C$8:$G$287,5,0)</f>
        <v>Maintenance Lodge</v>
      </c>
      <c r="F815" s="152" t="s">
        <v>33</v>
      </c>
      <c r="G815" s="4" t="s">
        <v>32</v>
      </c>
      <c r="H815" s="4" t="str">
        <f t="shared" si="12"/>
        <v>SJ5252</v>
      </c>
      <c r="I815" s="196">
        <v>-1391.6</v>
      </c>
      <c r="J815" s="196">
        <v>-0.98</v>
      </c>
      <c r="K815" s="196">
        <v>1420</v>
      </c>
      <c r="L815" s="454" t="s">
        <v>787</v>
      </c>
      <c r="M815" s="4" t="s">
        <v>780</v>
      </c>
      <c r="N815" s="133" t="s">
        <v>781</v>
      </c>
      <c r="O815" s="4" t="s">
        <v>800</v>
      </c>
      <c r="P815" s="4" t="s">
        <v>783</v>
      </c>
      <c r="Q815" s="4" t="s">
        <v>801</v>
      </c>
      <c r="R815" s="4" t="s">
        <v>802</v>
      </c>
      <c r="S815" s="4" t="s">
        <v>803</v>
      </c>
      <c r="T815" s="4" t="s">
        <v>786</v>
      </c>
    </row>
    <row r="816" spans="1:20" customFormat="1">
      <c r="A816" s="10"/>
      <c r="B816" s="4"/>
      <c r="C816" s="4"/>
      <c r="D816" s="133" t="s">
        <v>675</v>
      </c>
      <c r="E816" s="664" t="str">
        <f>+VLOOKUP(F816,Resumen_Base!$C$8:$G$287,5,0)</f>
        <v>Maintenance Lodge</v>
      </c>
      <c r="F816" s="152" t="s">
        <v>33</v>
      </c>
      <c r="G816" s="4" t="s">
        <v>32</v>
      </c>
      <c r="H816" s="4" t="str">
        <f t="shared" si="12"/>
        <v>UL5252</v>
      </c>
      <c r="I816" s="196">
        <v>165330.6</v>
      </c>
      <c r="J816" s="196">
        <v>116.43</v>
      </c>
      <c r="K816" s="196">
        <v>1420</v>
      </c>
      <c r="L816" s="454" t="s">
        <v>787</v>
      </c>
      <c r="M816" s="4" t="s">
        <v>780</v>
      </c>
      <c r="N816" s="133" t="s">
        <v>1272</v>
      </c>
      <c r="O816" s="4" t="s">
        <v>1287</v>
      </c>
      <c r="P816" s="4" t="s">
        <v>783</v>
      </c>
      <c r="Q816" s="4" t="s">
        <v>1288</v>
      </c>
      <c r="R816" s="4" t="s">
        <v>1291</v>
      </c>
      <c r="S816" s="4" t="s">
        <v>1290</v>
      </c>
      <c r="T816" s="4" t="s">
        <v>786</v>
      </c>
    </row>
    <row r="817" spans="1:20" customFormat="1">
      <c r="A817" s="10"/>
      <c r="B817" s="4"/>
      <c r="C817" s="4"/>
      <c r="D817" s="133" t="s">
        <v>676</v>
      </c>
      <c r="E817" s="664" t="str">
        <f>+VLOOKUP(F817,Resumen_Base!$C$8:$G$287,5,0)</f>
        <v>Maintenance Lodge</v>
      </c>
      <c r="F817" s="152" t="s">
        <v>33</v>
      </c>
      <c r="G817" s="4" t="s">
        <v>32</v>
      </c>
      <c r="H817" s="4" t="str">
        <f t="shared" si="12"/>
        <v>CAR5252</v>
      </c>
      <c r="I817" s="196">
        <v>55210.8</v>
      </c>
      <c r="J817" s="196">
        <v>39.72</v>
      </c>
      <c r="K817" s="196">
        <v>1390</v>
      </c>
      <c r="L817" s="454" t="s">
        <v>899</v>
      </c>
      <c r="M817" s="4" t="s">
        <v>780</v>
      </c>
      <c r="N817" s="133" t="s">
        <v>1407</v>
      </c>
      <c r="O817" s="4" t="s">
        <v>1620</v>
      </c>
      <c r="P817" s="4" t="s">
        <v>892</v>
      </c>
      <c r="Q817" s="4" t="s">
        <v>1621</v>
      </c>
      <c r="R817" s="4" t="s">
        <v>1702</v>
      </c>
      <c r="S817" s="4" t="s">
        <v>1623</v>
      </c>
      <c r="T817" s="4" t="s">
        <v>786</v>
      </c>
    </row>
    <row r="818" spans="1:20" customFormat="1">
      <c r="A818" s="10"/>
      <c r="B818" s="4"/>
      <c r="C818" s="4"/>
      <c r="D818" s="133" t="s">
        <v>676</v>
      </c>
      <c r="E818" s="664" t="str">
        <f>+VLOOKUP(F818,Resumen_Base!$C$8:$G$287,5,0)</f>
        <v>Maintenance Lodge</v>
      </c>
      <c r="F818" s="152" t="s">
        <v>33</v>
      </c>
      <c r="G818" s="4" t="s">
        <v>32</v>
      </c>
      <c r="H818" s="4" t="str">
        <f t="shared" si="12"/>
        <v>CAR5252</v>
      </c>
      <c r="I818" s="196">
        <v>141190.6</v>
      </c>
      <c r="J818" s="196">
        <v>99.43</v>
      </c>
      <c r="K818" s="196">
        <v>1420</v>
      </c>
      <c r="L818" s="454" t="s">
        <v>899</v>
      </c>
      <c r="M818" s="4" t="s">
        <v>780</v>
      </c>
      <c r="N818" s="133" t="s">
        <v>1407</v>
      </c>
      <c r="O818" s="4" t="s">
        <v>1620</v>
      </c>
      <c r="P818" s="4" t="s">
        <v>892</v>
      </c>
      <c r="Q818" s="4" t="s">
        <v>1621</v>
      </c>
      <c r="R818" s="4" t="s">
        <v>1689</v>
      </c>
      <c r="S818" s="4" t="s">
        <v>1623</v>
      </c>
      <c r="T818" s="4" t="s">
        <v>786</v>
      </c>
    </row>
    <row r="819" spans="1:20" customFormat="1">
      <c r="A819" s="10"/>
      <c r="B819" s="4"/>
      <c r="C819" s="4"/>
      <c r="D819" s="133" t="s">
        <v>676</v>
      </c>
      <c r="E819" s="664" t="str">
        <f>+VLOOKUP(F819,Resumen_Base!$C$8:$G$287,5,0)</f>
        <v>Maintenance Lodge</v>
      </c>
      <c r="F819" s="152" t="s">
        <v>33</v>
      </c>
      <c r="G819" s="4" t="s">
        <v>32</v>
      </c>
      <c r="H819" s="4" t="str">
        <f t="shared" si="12"/>
        <v>CAR5252</v>
      </c>
      <c r="I819" s="196">
        <v>112284.2</v>
      </c>
      <c r="J819" s="196">
        <v>80.78</v>
      </c>
      <c r="K819" s="196">
        <v>1390</v>
      </c>
      <c r="L819" s="454" t="s">
        <v>899</v>
      </c>
      <c r="M819" s="4" t="s">
        <v>780</v>
      </c>
      <c r="N819" s="133" t="s">
        <v>1407</v>
      </c>
      <c r="O819" s="4" t="s">
        <v>1620</v>
      </c>
      <c r="P819" s="4" t="s">
        <v>892</v>
      </c>
      <c r="Q819" s="4" t="s">
        <v>1621</v>
      </c>
      <c r="R819" s="4" t="s">
        <v>1677</v>
      </c>
      <c r="S819" s="4" t="s">
        <v>1623</v>
      </c>
      <c r="T819" s="4" t="s">
        <v>786</v>
      </c>
    </row>
    <row r="820" spans="1:20" customFormat="1">
      <c r="A820" s="10"/>
      <c r="B820" s="4"/>
      <c r="C820" s="4"/>
      <c r="D820" s="133" t="s">
        <v>676</v>
      </c>
      <c r="E820" s="664" t="str">
        <f>+VLOOKUP(F820,Resumen_Base!$C$8:$G$287,5,0)</f>
        <v>Maintenance Lodge</v>
      </c>
      <c r="F820" s="152" t="s">
        <v>33</v>
      </c>
      <c r="G820" s="4" t="s">
        <v>32</v>
      </c>
      <c r="H820" s="4" t="str">
        <f t="shared" si="12"/>
        <v>CAR5252</v>
      </c>
      <c r="I820" s="196">
        <v>41908.5</v>
      </c>
      <c r="J820" s="196">
        <v>30.15</v>
      </c>
      <c r="K820" s="196">
        <v>1390</v>
      </c>
      <c r="L820" s="454" t="s">
        <v>899</v>
      </c>
      <c r="M820" s="4" t="s">
        <v>780</v>
      </c>
      <c r="N820" s="133" t="s">
        <v>1407</v>
      </c>
      <c r="O820" s="4" t="s">
        <v>1620</v>
      </c>
      <c r="P820" s="4" t="s">
        <v>892</v>
      </c>
      <c r="Q820" s="4" t="s">
        <v>1621</v>
      </c>
      <c r="R820" s="4" t="s">
        <v>1660</v>
      </c>
      <c r="S820" s="4" t="s">
        <v>1623</v>
      </c>
      <c r="T820" s="4" t="s">
        <v>786</v>
      </c>
    </row>
    <row r="821" spans="1:20" customFormat="1">
      <c r="A821" s="10"/>
      <c r="B821" s="4"/>
      <c r="C821" s="4"/>
      <c r="D821" s="133" t="s">
        <v>676</v>
      </c>
      <c r="E821" s="664" t="str">
        <f>+VLOOKUP(F821,Resumen_Base!$C$8:$G$287,5,0)</f>
        <v>Maintenance Lodge</v>
      </c>
      <c r="F821" s="152" t="s">
        <v>33</v>
      </c>
      <c r="G821" s="4" t="s">
        <v>32</v>
      </c>
      <c r="H821" s="4" t="str">
        <f t="shared" si="12"/>
        <v>CAR5252</v>
      </c>
      <c r="I821" s="196">
        <v>31169</v>
      </c>
      <c r="J821" s="196">
        <v>21.95</v>
      </c>
      <c r="K821" s="196">
        <v>1420</v>
      </c>
      <c r="L821" s="454" t="s">
        <v>899</v>
      </c>
      <c r="M821" s="4" t="s">
        <v>780</v>
      </c>
      <c r="N821" s="133" t="s">
        <v>1407</v>
      </c>
      <c r="O821" s="4" t="s">
        <v>1620</v>
      </c>
      <c r="P821" s="4" t="s">
        <v>892</v>
      </c>
      <c r="Q821" s="4" t="s">
        <v>1621</v>
      </c>
      <c r="R821" s="4" t="s">
        <v>1673</v>
      </c>
      <c r="S821" s="4" t="s">
        <v>1623</v>
      </c>
      <c r="T821" s="4" t="s">
        <v>786</v>
      </c>
    </row>
    <row r="822" spans="1:20" customFormat="1">
      <c r="A822" s="10"/>
      <c r="B822" s="4"/>
      <c r="C822" s="4"/>
      <c r="D822" s="133" t="s">
        <v>676</v>
      </c>
      <c r="E822" s="664" t="str">
        <f>+VLOOKUP(F822,Resumen_Base!$C$8:$G$287,5,0)</f>
        <v>Maintenance Lodge</v>
      </c>
      <c r="F822" s="152" t="s">
        <v>33</v>
      </c>
      <c r="G822" s="4" t="s">
        <v>32</v>
      </c>
      <c r="H822" s="4" t="str">
        <f t="shared" si="12"/>
        <v>CAR5252</v>
      </c>
      <c r="I822" s="196">
        <v>191736.6</v>
      </c>
      <c r="J822" s="196">
        <v>137.94</v>
      </c>
      <c r="K822" s="196">
        <v>1390</v>
      </c>
      <c r="L822" s="454" t="s">
        <v>899</v>
      </c>
      <c r="M822" s="4" t="s">
        <v>780</v>
      </c>
      <c r="N822" s="133" t="s">
        <v>1407</v>
      </c>
      <c r="O822" s="4" t="s">
        <v>1620</v>
      </c>
      <c r="P822" s="4" t="s">
        <v>892</v>
      </c>
      <c r="Q822" s="4" t="s">
        <v>1621</v>
      </c>
      <c r="R822" s="4" t="s">
        <v>1653</v>
      </c>
      <c r="S822" s="4" t="s">
        <v>1623</v>
      </c>
      <c r="T822" s="4" t="s">
        <v>786</v>
      </c>
    </row>
    <row r="823" spans="1:20" customFormat="1">
      <c r="A823" s="10"/>
      <c r="B823" s="4"/>
      <c r="C823" s="4"/>
      <c r="D823" s="133" t="s">
        <v>676</v>
      </c>
      <c r="E823" s="664" t="str">
        <f>+VLOOKUP(F823,Resumen_Base!$C$8:$G$287,5,0)</f>
        <v>Maintenance Lodge</v>
      </c>
      <c r="F823" s="152" t="s">
        <v>33</v>
      </c>
      <c r="G823" s="4" t="s">
        <v>32</v>
      </c>
      <c r="H823" s="4" t="str">
        <f t="shared" si="12"/>
        <v>CAR5252</v>
      </c>
      <c r="I823" s="196">
        <v>19454</v>
      </c>
      <c r="J823" s="196">
        <v>13.7</v>
      </c>
      <c r="K823" s="196">
        <v>1420</v>
      </c>
      <c r="L823" s="454" t="s">
        <v>899</v>
      </c>
      <c r="M823" s="4" t="s">
        <v>780</v>
      </c>
      <c r="N823" s="133" t="s">
        <v>1407</v>
      </c>
      <c r="O823" s="4" t="s">
        <v>1620</v>
      </c>
      <c r="P823" s="4" t="s">
        <v>892</v>
      </c>
      <c r="Q823" s="4" t="s">
        <v>1621</v>
      </c>
      <c r="R823" s="4" t="s">
        <v>1692</v>
      </c>
      <c r="S823" s="4" t="s">
        <v>1623</v>
      </c>
      <c r="T823" s="4" t="s">
        <v>786</v>
      </c>
    </row>
    <row r="824" spans="1:20" customFormat="1">
      <c r="A824" s="10"/>
      <c r="B824" s="4"/>
      <c r="C824" s="4"/>
      <c r="D824" s="133" t="s">
        <v>676</v>
      </c>
      <c r="E824" s="664" t="str">
        <f>+VLOOKUP(F824,Resumen_Base!$C$8:$G$287,5,0)</f>
        <v>Maintenance Lodge</v>
      </c>
      <c r="F824" s="152" t="s">
        <v>33</v>
      </c>
      <c r="G824" s="4" t="s">
        <v>32</v>
      </c>
      <c r="H824" s="4" t="str">
        <f t="shared" si="12"/>
        <v>CAR5252</v>
      </c>
      <c r="I824" s="196">
        <v>135894</v>
      </c>
      <c r="J824" s="196">
        <v>95.7</v>
      </c>
      <c r="K824" s="196">
        <v>1420</v>
      </c>
      <c r="L824" s="454" t="s">
        <v>899</v>
      </c>
      <c r="M824" s="4" t="s">
        <v>780</v>
      </c>
      <c r="N824" s="133" t="s">
        <v>1407</v>
      </c>
      <c r="O824" s="4" t="s">
        <v>1620</v>
      </c>
      <c r="P824" s="4" t="s">
        <v>892</v>
      </c>
      <c r="Q824" s="4" t="s">
        <v>1621</v>
      </c>
      <c r="R824" s="4" t="s">
        <v>1694</v>
      </c>
      <c r="S824" s="4" t="s">
        <v>1623</v>
      </c>
      <c r="T824" s="4" t="s">
        <v>786</v>
      </c>
    </row>
    <row r="825" spans="1:20" customFormat="1">
      <c r="A825" s="10"/>
      <c r="B825" s="4"/>
      <c r="C825" s="4"/>
      <c r="D825" s="133" t="s">
        <v>676</v>
      </c>
      <c r="E825" s="664" t="str">
        <f>+VLOOKUP(F825,Resumen_Base!$C$8:$G$287,5,0)</f>
        <v>Maintenance Lodge</v>
      </c>
      <c r="F825" s="152" t="s">
        <v>33</v>
      </c>
      <c r="G825" s="4" t="s">
        <v>32</v>
      </c>
      <c r="H825" s="4" t="str">
        <f t="shared" si="12"/>
        <v>CAR5252</v>
      </c>
      <c r="I825" s="196">
        <v>762025.8</v>
      </c>
      <c r="J825" s="196">
        <v>548.22</v>
      </c>
      <c r="K825" s="196">
        <v>1390</v>
      </c>
      <c r="L825" s="454" t="s">
        <v>899</v>
      </c>
      <c r="M825" s="4" t="s">
        <v>780</v>
      </c>
      <c r="N825" s="133" t="s">
        <v>1407</v>
      </c>
      <c r="O825" s="4" t="s">
        <v>1620</v>
      </c>
      <c r="P825" s="4" t="s">
        <v>892</v>
      </c>
      <c r="Q825" s="4" t="s">
        <v>1621</v>
      </c>
      <c r="R825" s="4" t="s">
        <v>1665</v>
      </c>
      <c r="S825" s="4" t="s">
        <v>1623</v>
      </c>
      <c r="T825" s="4" t="s">
        <v>786</v>
      </c>
    </row>
    <row r="826" spans="1:20" customFormat="1">
      <c r="A826" s="10"/>
      <c r="B826" s="4"/>
      <c r="C826" s="4"/>
      <c r="D826" s="133" t="s">
        <v>676</v>
      </c>
      <c r="E826" s="664" t="str">
        <f>+VLOOKUP(F826,Resumen_Base!$C$8:$G$287,5,0)</f>
        <v>Maintenance Lodge</v>
      </c>
      <c r="F826" s="152" t="s">
        <v>33</v>
      </c>
      <c r="G826" s="4" t="s">
        <v>32</v>
      </c>
      <c r="H826" s="4" t="str">
        <f t="shared" si="12"/>
        <v>CAR5252</v>
      </c>
      <c r="I826" s="196">
        <v>84790</v>
      </c>
      <c r="J826" s="196">
        <v>61</v>
      </c>
      <c r="K826" s="196">
        <v>1390</v>
      </c>
      <c r="L826" s="454" t="s">
        <v>899</v>
      </c>
      <c r="M826" s="4" t="s">
        <v>780</v>
      </c>
      <c r="N826" s="133" t="s">
        <v>1407</v>
      </c>
      <c r="O826" s="4" t="s">
        <v>1620</v>
      </c>
      <c r="P826" s="4" t="s">
        <v>892</v>
      </c>
      <c r="Q826" s="4" t="s">
        <v>1621</v>
      </c>
      <c r="R826" s="4" t="s">
        <v>1686</v>
      </c>
      <c r="S826" s="4" t="s">
        <v>1623</v>
      </c>
      <c r="T826" s="4" t="s">
        <v>786</v>
      </c>
    </row>
    <row r="827" spans="1:20" customFormat="1">
      <c r="A827" s="10"/>
      <c r="B827" s="4"/>
      <c r="C827" s="4"/>
      <c r="D827" s="133" t="s">
        <v>676</v>
      </c>
      <c r="E827" s="664" t="str">
        <f>+VLOOKUP(F827,Resumen_Base!$C$8:$G$287,5,0)</f>
        <v>Maintenance Lodge</v>
      </c>
      <c r="F827" s="152" t="s">
        <v>33</v>
      </c>
      <c r="G827" s="4" t="s">
        <v>32</v>
      </c>
      <c r="H827" s="4" t="str">
        <f t="shared" si="12"/>
        <v>CAR5252</v>
      </c>
      <c r="I827" s="196">
        <v>27939</v>
      </c>
      <c r="J827" s="196">
        <v>20.100000000000001</v>
      </c>
      <c r="K827" s="196">
        <v>1390</v>
      </c>
      <c r="L827" s="454" t="s">
        <v>899</v>
      </c>
      <c r="M827" s="4" t="s">
        <v>780</v>
      </c>
      <c r="N827" s="133" t="s">
        <v>1407</v>
      </c>
      <c r="O827" s="4" t="s">
        <v>1620</v>
      </c>
      <c r="P827" s="4" t="s">
        <v>892</v>
      </c>
      <c r="Q827" s="4" t="s">
        <v>1621</v>
      </c>
      <c r="R827" s="4" t="s">
        <v>1691</v>
      </c>
      <c r="S827" s="4" t="s">
        <v>1623</v>
      </c>
      <c r="T827" s="4" t="s">
        <v>786</v>
      </c>
    </row>
    <row r="828" spans="1:20" customFormat="1">
      <c r="A828" s="10"/>
      <c r="B828" s="4"/>
      <c r="C828" s="4"/>
      <c r="D828" s="133" t="s">
        <v>676</v>
      </c>
      <c r="E828" s="664" t="str">
        <f>+VLOOKUP(F828,Resumen_Base!$C$8:$G$287,5,0)</f>
        <v>Maintenance Lodge</v>
      </c>
      <c r="F828" s="152" t="s">
        <v>33</v>
      </c>
      <c r="G828" s="4" t="s">
        <v>32</v>
      </c>
      <c r="H828" s="4" t="str">
        <f t="shared" si="12"/>
        <v>CAR5252</v>
      </c>
      <c r="I828" s="196">
        <v>15192.7</v>
      </c>
      <c r="J828" s="196">
        <v>10.93</v>
      </c>
      <c r="K828" s="196">
        <v>1390</v>
      </c>
      <c r="L828" s="454" t="s">
        <v>899</v>
      </c>
      <c r="M828" s="4" t="s">
        <v>780</v>
      </c>
      <c r="N828" s="133" t="s">
        <v>1407</v>
      </c>
      <c r="O828" s="4" t="s">
        <v>1620</v>
      </c>
      <c r="P828" s="4" t="s">
        <v>892</v>
      </c>
      <c r="Q828" s="4" t="s">
        <v>1621</v>
      </c>
      <c r="R828" s="4" t="s">
        <v>1659</v>
      </c>
      <c r="S828" s="4" t="s">
        <v>1623</v>
      </c>
      <c r="T828" s="4" t="s">
        <v>786</v>
      </c>
    </row>
    <row r="829" spans="1:20" customFormat="1">
      <c r="A829" s="10"/>
      <c r="B829" s="4"/>
      <c r="C829" s="4"/>
      <c r="D829" s="133" t="s">
        <v>676</v>
      </c>
      <c r="E829" s="664" t="str">
        <f>+VLOOKUP(F829,Resumen_Base!$C$8:$G$287,5,0)</f>
        <v>Maintenance Lodge</v>
      </c>
      <c r="F829" s="152" t="s">
        <v>33</v>
      </c>
      <c r="G829" s="4" t="s">
        <v>32</v>
      </c>
      <c r="H829" s="4" t="str">
        <f t="shared" si="12"/>
        <v>CAR5252</v>
      </c>
      <c r="I829" s="196">
        <v>14595</v>
      </c>
      <c r="J829" s="196">
        <v>10.5</v>
      </c>
      <c r="K829" s="196">
        <v>1390</v>
      </c>
      <c r="L829" s="454" t="s">
        <v>899</v>
      </c>
      <c r="M829" s="4" t="s">
        <v>780</v>
      </c>
      <c r="N829" s="133" t="s">
        <v>1407</v>
      </c>
      <c r="O829" s="4" t="s">
        <v>1620</v>
      </c>
      <c r="P829" s="4" t="s">
        <v>892</v>
      </c>
      <c r="Q829" s="4" t="s">
        <v>1621</v>
      </c>
      <c r="R829" s="4" t="s">
        <v>1700</v>
      </c>
      <c r="S829" s="4" t="s">
        <v>1623</v>
      </c>
      <c r="T829" s="4" t="s">
        <v>786</v>
      </c>
    </row>
    <row r="830" spans="1:20" customFormat="1">
      <c r="A830" s="10"/>
      <c r="B830" s="4"/>
      <c r="C830" s="4"/>
      <c r="D830" s="133" t="s">
        <v>676</v>
      </c>
      <c r="E830" s="664" t="str">
        <f>+VLOOKUP(F830,Resumen_Base!$C$8:$G$287,5,0)</f>
        <v>Maintenance Lodge</v>
      </c>
      <c r="F830" s="152" t="s">
        <v>33</v>
      </c>
      <c r="G830" s="4" t="s">
        <v>32</v>
      </c>
      <c r="H830" s="4" t="str">
        <f t="shared" si="12"/>
        <v>CAR5252</v>
      </c>
      <c r="I830" s="196">
        <v>7560</v>
      </c>
      <c r="J830" s="196">
        <v>5.04</v>
      </c>
      <c r="K830" s="196">
        <v>1500</v>
      </c>
      <c r="L830" s="454" t="s">
        <v>1017</v>
      </c>
      <c r="M830" s="4" t="s">
        <v>780</v>
      </c>
      <c r="N830" s="133" t="s">
        <v>1407</v>
      </c>
      <c r="O830" s="4" t="s">
        <v>1946</v>
      </c>
      <c r="P830" s="4" t="s">
        <v>892</v>
      </c>
      <c r="Q830" s="4" t="s">
        <v>1947</v>
      </c>
      <c r="R830" s="4" t="s">
        <v>1957</v>
      </c>
      <c r="S830" s="4" t="s">
        <v>1949</v>
      </c>
      <c r="T830" s="4" t="s">
        <v>786</v>
      </c>
    </row>
    <row r="831" spans="1:20" customFormat="1">
      <c r="A831" s="10"/>
      <c r="B831" s="4"/>
      <c r="C831" s="4"/>
      <c r="D831" s="133" t="s">
        <v>676</v>
      </c>
      <c r="E831" s="664" t="str">
        <f>+VLOOKUP(F831,Resumen_Base!$C$8:$G$287,5,0)</f>
        <v>Maintenance Lodge</v>
      </c>
      <c r="F831" s="152" t="s">
        <v>33</v>
      </c>
      <c r="G831" s="4" t="s">
        <v>32</v>
      </c>
      <c r="H831" s="4" t="str">
        <f t="shared" si="12"/>
        <v>CAR5252</v>
      </c>
      <c r="I831" s="196">
        <v>30150</v>
      </c>
      <c r="J831" s="196">
        <v>20.100000000000001</v>
      </c>
      <c r="K831" s="196">
        <v>1500</v>
      </c>
      <c r="L831" s="454" t="s">
        <v>1017</v>
      </c>
      <c r="M831" s="4" t="s">
        <v>780</v>
      </c>
      <c r="N831" s="133" t="s">
        <v>1407</v>
      </c>
      <c r="O831" s="4" t="s">
        <v>1946</v>
      </c>
      <c r="P831" s="4" t="s">
        <v>892</v>
      </c>
      <c r="Q831" s="4" t="s">
        <v>1947</v>
      </c>
      <c r="R831" s="4" t="s">
        <v>1958</v>
      </c>
      <c r="S831" s="4" t="s">
        <v>1949</v>
      </c>
      <c r="T831" s="4" t="s">
        <v>786</v>
      </c>
    </row>
    <row r="832" spans="1:20" customFormat="1">
      <c r="A832" s="10"/>
      <c r="B832" s="4"/>
      <c r="C832" s="4"/>
      <c r="D832" s="133" t="s">
        <v>676</v>
      </c>
      <c r="E832" s="664" t="str">
        <f>+VLOOKUP(F832,Resumen_Base!$C$8:$G$287,5,0)</f>
        <v>Maintenance Lodge</v>
      </c>
      <c r="F832" s="152" t="s">
        <v>33</v>
      </c>
      <c r="G832" s="4" t="s">
        <v>32</v>
      </c>
      <c r="H832" s="4" t="str">
        <f t="shared" si="12"/>
        <v>CAR5252</v>
      </c>
      <c r="I832" s="196">
        <v>103050</v>
      </c>
      <c r="J832" s="196">
        <v>68.7</v>
      </c>
      <c r="K832" s="196">
        <v>1500</v>
      </c>
      <c r="L832" s="454" t="s">
        <v>1017</v>
      </c>
      <c r="M832" s="4" t="s">
        <v>780</v>
      </c>
      <c r="N832" s="133" t="s">
        <v>1407</v>
      </c>
      <c r="O832" s="4" t="s">
        <v>1946</v>
      </c>
      <c r="P832" s="4" t="s">
        <v>892</v>
      </c>
      <c r="Q832" s="4" t="s">
        <v>1947</v>
      </c>
      <c r="R832" s="4" t="s">
        <v>1959</v>
      </c>
      <c r="S832" s="4" t="s">
        <v>1949</v>
      </c>
      <c r="T832" s="4" t="s">
        <v>786</v>
      </c>
    </row>
    <row r="833" spans="1:20" customFormat="1">
      <c r="A833" s="10"/>
      <c r="B833" s="4"/>
      <c r="C833" s="4"/>
      <c r="D833" s="133" t="s">
        <v>676</v>
      </c>
      <c r="E833" s="664" t="str">
        <f>+VLOOKUP(F833,Resumen_Base!$C$8:$G$287,5,0)</f>
        <v>Maintenance Lodge</v>
      </c>
      <c r="F833" s="152" t="s">
        <v>33</v>
      </c>
      <c r="G833" s="4" t="s">
        <v>32</v>
      </c>
      <c r="H833" s="4" t="str">
        <f t="shared" si="12"/>
        <v>CAR5252</v>
      </c>
      <c r="I833" s="196">
        <v>114510</v>
      </c>
      <c r="J833" s="196">
        <v>76.34</v>
      </c>
      <c r="K833" s="196">
        <v>1500</v>
      </c>
      <c r="L833" s="454" t="s">
        <v>1017</v>
      </c>
      <c r="M833" s="4" t="s">
        <v>780</v>
      </c>
      <c r="N833" s="133" t="s">
        <v>1407</v>
      </c>
      <c r="O833" s="4" t="s">
        <v>1946</v>
      </c>
      <c r="P833" s="4" t="s">
        <v>892</v>
      </c>
      <c r="Q833" s="4" t="s">
        <v>1947</v>
      </c>
      <c r="R833" s="4" t="s">
        <v>1960</v>
      </c>
      <c r="S833" s="4" t="s">
        <v>1949</v>
      </c>
      <c r="T833" s="4" t="s">
        <v>786</v>
      </c>
    </row>
    <row r="834" spans="1:20" customFormat="1">
      <c r="A834" s="10"/>
      <c r="B834" s="4"/>
      <c r="C834" s="4"/>
      <c r="D834" s="133" t="s">
        <v>676</v>
      </c>
      <c r="E834" s="664" t="str">
        <f>+VLOOKUP(F834,Resumen_Base!$C$8:$G$287,5,0)</f>
        <v>Maintenance Lodge</v>
      </c>
      <c r="F834" s="152" t="s">
        <v>33</v>
      </c>
      <c r="G834" s="4" t="s">
        <v>32</v>
      </c>
      <c r="H834" s="4" t="str">
        <f t="shared" si="12"/>
        <v>CAR5252</v>
      </c>
      <c r="I834" s="196">
        <v>-1800000</v>
      </c>
      <c r="J834" s="196">
        <v>-1200</v>
      </c>
      <c r="K834" s="196">
        <v>1500</v>
      </c>
      <c r="L834" s="454" t="s">
        <v>2019</v>
      </c>
      <c r="M834" s="4" t="s">
        <v>780</v>
      </c>
      <c r="N834" s="133" t="s">
        <v>1407</v>
      </c>
      <c r="O834" s="4" t="s">
        <v>2020</v>
      </c>
      <c r="P834" s="4" t="s">
        <v>892</v>
      </c>
      <c r="Q834" s="4" t="s">
        <v>2021</v>
      </c>
      <c r="R834" s="4" t="s">
        <v>2022</v>
      </c>
      <c r="S834" s="4" t="s">
        <v>2023</v>
      </c>
      <c r="T834" s="4" t="s">
        <v>786</v>
      </c>
    </row>
    <row r="835" spans="1:20" customFormat="1">
      <c r="A835" s="10"/>
      <c r="B835" s="4"/>
      <c r="C835" s="4"/>
      <c r="D835" s="133" t="s">
        <v>676</v>
      </c>
      <c r="E835" s="664" t="str">
        <f>+VLOOKUP(F835,Resumen_Base!$C$8:$G$287,5,0)</f>
        <v>Maintenance Lodge</v>
      </c>
      <c r="F835" s="152" t="s">
        <v>33</v>
      </c>
      <c r="G835" s="4" t="s">
        <v>32</v>
      </c>
      <c r="H835" s="4" t="str">
        <f t="shared" si="12"/>
        <v>CAR5252</v>
      </c>
      <c r="I835" s="196">
        <v>80183.199999999997</v>
      </c>
      <c r="J835" s="196">
        <v>54.92</v>
      </c>
      <c r="K835" s="196">
        <v>1460</v>
      </c>
      <c r="L835" s="454" t="s">
        <v>1045</v>
      </c>
      <c r="M835" s="4" t="s">
        <v>780</v>
      </c>
      <c r="N835" s="133" t="s">
        <v>1407</v>
      </c>
      <c r="O835" s="4" t="s">
        <v>2174</v>
      </c>
      <c r="P835" s="4" t="s">
        <v>892</v>
      </c>
      <c r="Q835" s="4" t="s">
        <v>2175</v>
      </c>
      <c r="R835" s="4" t="s">
        <v>2178</v>
      </c>
      <c r="S835" s="4" t="s">
        <v>2177</v>
      </c>
      <c r="T835" s="4" t="s">
        <v>786</v>
      </c>
    </row>
    <row r="836" spans="1:20" customFormat="1">
      <c r="A836" s="10"/>
      <c r="B836" s="4"/>
      <c r="C836" s="4"/>
      <c r="D836" s="133" t="s">
        <v>676</v>
      </c>
      <c r="E836" s="664" t="str">
        <f>+VLOOKUP(F836,Resumen_Base!$C$8:$G$287,5,0)</f>
        <v>Maintenance Lodge</v>
      </c>
      <c r="F836" s="152" t="s">
        <v>33</v>
      </c>
      <c r="G836" s="4" t="s">
        <v>32</v>
      </c>
      <c r="H836" s="4" t="str">
        <f t="shared" si="12"/>
        <v>CAR5252</v>
      </c>
      <c r="I836" s="196">
        <v>321150</v>
      </c>
      <c r="J836" s="196">
        <v>214.1</v>
      </c>
      <c r="K836" s="196">
        <v>1500</v>
      </c>
      <c r="L836" s="454" t="s">
        <v>1045</v>
      </c>
      <c r="M836" s="4" t="s">
        <v>780</v>
      </c>
      <c r="N836" s="133" t="s">
        <v>1407</v>
      </c>
      <c r="O836" s="4" t="s">
        <v>2174</v>
      </c>
      <c r="P836" s="4" t="s">
        <v>892</v>
      </c>
      <c r="Q836" s="4" t="s">
        <v>2175</v>
      </c>
      <c r="R836" s="4" t="s">
        <v>2176</v>
      </c>
      <c r="S836" s="4" t="s">
        <v>2177</v>
      </c>
      <c r="T836" s="4" t="s">
        <v>786</v>
      </c>
    </row>
    <row r="837" spans="1:20" customFormat="1">
      <c r="A837" s="10"/>
      <c r="B837" s="4"/>
      <c r="C837" s="4"/>
      <c r="D837" s="133" t="s">
        <v>676</v>
      </c>
      <c r="E837" s="664" t="str">
        <f>+VLOOKUP(F837,Resumen_Base!$C$8:$G$287,5,0)</f>
        <v>Maintenance Lodge</v>
      </c>
      <c r="F837" s="152" t="s">
        <v>33</v>
      </c>
      <c r="G837" s="4" t="s">
        <v>32</v>
      </c>
      <c r="H837" s="4" t="str">
        <f t="shared" si="12"/>
        <v>CAR5252</v>
      </c>
      <c r="I837" s="196">
        <v>134715.4</v>
      </c>
      <c r="J837" s="196">
        <v>94.87</v>
      </c>
      <c r="K837" s="196">
        <v>1420</v>
      </c>
      <c r="L837" s="454" t="s">
        <v>1113</v>
      </c>
      <c r="M837" s="4" t="s">
        <v>780</v>
      </c>
      <c r="N837" s="133" t="s">
        <v>1407</v>
      </c>
      <c r="O837" s="4" t="s">
        <v>1114</v>
      </c>
      <c r="P837" s="4" t="s">
        <v>892</v>
      </c>
      <c r="Q837" s="4" t="s">
        <v>1115</v>
      </c>
      <c r="R837" s="4" t="s">
        <v>2373</v>
      </c>
      <c r="S837" s="4" t="s">
        <v>1117</v>
      </c>
      <c r="T837" s="4" t="s">
        <v>786</v>
      </c>
    </row>
    <row r="838" spans="1:20" customFormat="1">
      <c r="A838" s="10"/>
      <c r="B838" s="4"/>
      <c r="C838" s="4"/>
      <c r="D838" s="133" t="s">
        <v>676</v>
      </c>
      <c r="E838" s="664" t="str">
        <f>+VLOOKUP(F838,Resumen_Base!$C$8:$G$287,5,0)</f>
        <v>Maintenance Lodge</v>
      </c>
      <c r="F838" s="152" t="s">
        <v>33</v>
      </c>
      <c r="G838" s="4" t="s">
        <v>32</v>
      </c>
      <c r="H838" s="4" t="str">
        <f t="shared" si="12"/>
        <v>CAR5252</v>
      </c>
      <c r="I838" s="196">
        <v>20022</v>
      </c>
      <c r="J838" s="196">
        <v>14.1</v>
      </c>
      <c r="K838" s="196">
        <v>1420</v>
      </c>
      <c r="L838" s="454" t="s">
        <v>1093</v>
      </c>
      <c r="M838" s="4" t="s">
        <v>780</v>
      </c>
      <c r="N838" s="133" t="s">
        <v>1407</v>
      </c>
      <c r="O838" s="4" t="s">
        <v>1129</v>
      </c>
      <c r="P838" s="4" t="s">
        <v>892</v>
      </c>
      <c r="Q838" s="4" t="s">
        <v>1130</v>
      </c>
      <c r="R838" s="4" t="s">
        <v>2394</v>
      </c>
      <c r="S838" s="4" t="s">
        <v>1132</v>
      </c>
      <c r="T838" s="4" t="s">
        <v>786</v>
      </c>
    </row>
    <row r="839" spans="1:20" customFormat="1">
      <c r="A839" s="10"/>
      <c r="B839" s="4"/>
      <c r="C839" s="4"/>
      <c r="D839" s="133" t="s">
        <v>676</v>
      </c>
      <c r="E839" s="664" t="str">
        <f>+VLOOKUP(F839,Resumen_Base!$C$8:$G$287,5,0)</f>
        <v>Maintenance Lodge</v>
      </c>
      <c r="F839" s="152" t="s">
        <v>33</v>
      </c>
      <c r="G839" s="4" t="s">
        <v>32</v>
      </c>
      <c r="H839" s="4" t="str">
        <f t="shared" si="12"/>
        <v>CAR5252</v>
      </c>
      <c r="I839" s="196">
        <v>432560.4</v>
      </c>
      <c r="J839" s="196">
        <v>304.62</v>
      </c>
      <c r="K839" s="196">
        <v>1420</v>
      </c>
      <c r="L839" s="454" t="s">
        <v>1093</v>
      </c>
      <c r="M839" s="4" t="s">
        <v>780</v>
      </c>
      <c r="N839" s="133" t="s">
        <v>1407</v>
      </c>
      <c r="O839" s="4" t="s">
        <v>1129</v>
      </c>
      <c r="P839" s="4" t="s">
        <v>892</v>
      </c>
      <c r="Q839" s="4" t="s">
        <v>1130</v>
      </c>
      <c r="R839" s="4" t="s">
        <v>2396</v>
      </c>
      <c r="S839" s="4" t="s">
        <v>1132</v>
      </c>
      <c r="T839" s="4" t="s">
        <v>786</v>
      </c>
    </row>
    <row r="840" spans="1:20" customFormat="1">
      <c r="A840" s="10"/>
      <c r="B840" s="4"/>
      <c r="C840" s="4"/>
      <c r="D840" s="133" t="s">
        <v>676</v>
      </c>
      <c r="E840" s="664" t="str">
        <f>+VLOOKUP(F840,Resumen_Base!$C$8:$G$287,5,0)</f>
        <v>Maintenance Lodge</v>
      </c>
      <c r="F840" s="152" t="s">
        <v>33</v>
      </c>
      <c r="G840" s="4" t="s">
        <v>32</v>
      </c>
      <c r="H840" s="4" t="str">
        <f t="shared" si="12"/>
        <v>CAR5252</v>
      </c>
      <c r="I840" s="196">
        <v>54471.199999999997</v>
      </c>
      <c r="J840" s="196">
        <v>38.36</v>
      </c>
      <c r="K840" s="196">
        <v>1420</v>
      </c>
      <c r="L840" s="454" t="s">
        <v>1205</v>
      </c>
      <c r="M840" s="4" t="s">
        <v>780</v>
      </c>
      <c r="N840" s="133" t="s">
        <v>1407</v>
      </c>
      <c r="O840" s="4" t="s">
        <v>1214</v>
      </c>
      <c r="P840" s="4" t="s">
        <v>892</v>
      </c>
      <c r="Q840" s="4" t="s">
        <v>1215</v>
      </c>
      <c r="R840" s="4" t="s">
        <v>2559</v>
      </c>
      <c r="S840" s="4" t="s">
        <v>1217</v>
      </c>
      <c r="T840" s="4" t="s">
        <v>786</v>
      </c>
    </row>
    <row r="841" spans="1:20" customFormat="1">
      <c r="A841" s="10"/>
      <c r="B841" s="4"/>
      <c r="C841" s="4"/>
      <c r="D841" s="133" t="s">
        <v>676</v>
      </c>
      <c r="E841" s="664" t="str">
        <f>+VLOOKUP(F841,Resumen_Base!$C$8:$G$287,5,0)</f>
        <v>Maintenance Lodge</v>
      </c>
      <c r="F841" s="152" t="s">
        <v>33</v>
      </c>
      <c r="G841" s="4" t="s">
        <v>32</v>
      </c>
      <c r="H841" s="4" t="str">
        <f t="shared" si="12"/>
        <v>CAR5252</v>
      </c>
      <c r="I841" s="196">
        <v>63715.4</v>
      </c>
      <c r="J841" s="196">
        <v>44.87</v>
      </c>
      <c r="K841" s="196">
        <v>1420</v>
      </c>
      <c r="L841" s="454" t="s">
        <v>1205</v>
      </c>
      <c r="M841" s="4" t="s">
        <v>780</v>
      </c>
      <c r="N841" s="133" t="s">
        <v>1407</v>
      </c>
      <c r="O841" s="4" t="s">
        <v>1214</v>
      </c>
      <c r="P841" s="4" t="s">
        <v>892</v>
      </c>
      <c r="Q841" s="4" t="s">
        <v>1215</v>
      </c>
      <c r="R841" s="4" t="s">
        <v>2558</v>
      </c>
      <c r="S841" s="4" t="s">
        <v>1217</v>
      </c>
      <c r="T841" s="4" t="s">
        <v>786</v>
      </c>
    </row>
    <row r="842" spans="1:20" customFormat="1">
      <c r="A842" s="10"/>
      <c r="B842" s="4"/>
      <c r="C842" s="4"/>
      <c r="D842" s="133" t="s">
        <v>676</v>
      </c>
      <c r="E842" s="664" t="str">
        <f>+VLOOKUP(F842,Resumen_Base!$C$8:$G$287,5,0)</f>
        <v>Maintenance Lodge</v>
      </c>
      <c r="F842" s="152" t="s">
        <v>33</v>
      </c>
      <c r="G842" s="4" t="s">
        <v>32</v>
      </c>
      <c r="H842" s="4" t="str">
        <f t="shared" si="12"/>
        <v>CAR5252</v>
      </c>
      <c r="I842" s="196">
        <v>33725</v>
      </c>
      <c r="J842" s="196">
        <v>23.75</v>
      </c>
      <c r="K842" s="196">
        <v>1420</v>
      </c>
      <c r="L842" s="454" t="s">
        <v>1205</v>
      </c>
      <c r="M842" s="4" t="s">
        <v>780</v>
      </c>
      <c r="N842" s="133" t="s">
        <v>1407</v>
      </c>
      <c r="O842" s="4" t="s">
        <v>1214</v>
      </c>
      <c r="P842" s="4" t="s">
        <v>892</v>
      </c>
      <c r="Q842" s="4" t="s">
        <v>1215</v>
      </c>
      <c r="R842" s="4" t="s">
        <v>2564</v>
      </c>
      <c r="S842" s="4" t="s">
        <v>1217</v>
      </c>
      <c r="T842" s="4" t="s">
        <v>786</v>
      </c>
    </row>
    <row r="843" spans="1:20" customFormat="1">
      <c r="A843" s="10"/>
      <c r="B843" s="4"/>
      <c r="C843" s="4"/>
      <c r="D843" s="133" t="s">
        <v>676</v>
      </c>
      <c r="E843" s="664" t="str">
        <f>+VLOOKUP(F843,Resumen_Base!$C$8:$G$287,5,0)</f>
        <v>Maintenance Lodge</v>
      </c>
      <c r="F843" s="152" t="s">
        <v>33</v>
      </c>
      <c r="G843" s="4" t="s">
        <v>32</v>
      </c>
      <c r="H843" s="4" t="str">
        <f t="shared" si="12"/>
        <v>CAR5252</v>
      </c>
      <c r="I843" s="196">
        <v>29607</v>
      </c>
      <c r="J843" s="196">
        <v>20.85</v>
      </c>
      <c r="K843" s="196">
        <v>1420</v>
      </c>
      <c r="L843" s="454" t="s">
        <v>1205</v>
      </c>
      <c r="M843" s="4" t="s">
        <v>780</v>
      </c>
      <c r="N843" s="133" t="s">
        <v>1407</v>
      </c>
      <c r="O843" s="4" t="s">
        <v>1214</v>
      </c>
      <c r="P843" s="4" t="s">
        <v>892</v>
      </c>
      <c r="Q843" s="4" t="s">
        <v>1215</v>
      </c>
      <c r="R843" s="4" t="s">
        <v>2563</v>
      </c>
      <c r="S843" s="4" t="s">
        <v>1217</v>
      </c>
      <c r="T843" s="4" t="s">
        <v>786</v>
      </c>
    </row>
    <row r="844" spans="1:20" customFormat="1">
      <c r="A844" s="10"/>
      <c r="B844" s="4"/>
      <c r="C844" s="4"/>
      <c r="D844" s="133" t="s">
        <v>676</v>
      </c>
      <c r="E844" s="664" t="str">
        <f>+VLOOKUP(F844,Resumen_Base!$C$8:$G$287,5,0)</f>
        <v>Maintenance  Boats / Vehicles</v>
      </c>
      <c r="F844" s="152" t="s">
        <v>66</v>
      </c>
      <c r="G844" s="4" t="s">
        <v>67</v>
      </c>
      <c r="H844" s="4" t="str">
        <f t="shared" ref="H844:H907" si="13">+D844&amp;F844</f>
        <v>CAR5253</v>
      </c>
      <c r="I844" s="196">
        <v>36224.199999999997</v>
      </c>
      <c r="J844" s="196">
        <v>25.51</v>
      </c>
      <c r="K844" s="196">
        <v>1420</v>
      </c>
      <c r="L844" s="454" t="s">
        <v>787</v>
      </c>
      <c r="M844" s="4" t="s">
        <v>780</v>
      </c>
      <c r="N844" s="133" t="s">
        <v>1407</v>
      </c>
      <c r="O844" s="4" t="s">
        <v>1490</v>
      </c>
      <c r="P844" s="4" t="s">
        <v>783</v>
      </c>
      <c r="Q844" s="4" t="s">
        <v>1491</v>
      </c>
      <c r="R844" s="4" t="s">
        <v>1502</v>
      </c>
      <c r="S844" s="4" t="s">
        <v>1493</v>
      </c>
      <c r="T844" s="4" t="s">
        <v>786</v>
      </c>
    </row>
    <row r="845" spans="1:20" customFormat="1">
      <c r="A845" s="10"/>
      <c r="B845" s="4"/>
      <c r="C845" s="4"/>
      <c r="D845" s="133" t="s">
        <v>676</v>
      </c>
      <c r="E845" s="664" t="str">
        <f>+VLOOKUP(F845,Resumen_Base!$C$8:$G$287,5,0)</f>
        <v>Maintenance  Boats / Vehicles</v>
      </c>
      <c r="F845" s="152" t="s">
        <v>66</v>
      </c>
      <c r="G845" s="4" t="s">
        <v>67</v>
      </c>
      <c r="H845" s="4" t="str">
        <f t="shared" si="13"/>
        <v>CAR5253</v>
      </c>
      <c r="I845" s="196">
        <v>2618</v>
      </c>
      <c r="J845" s="196">
        <v>1.87</v>
      </c>
      <c r="K845" s="196">
        <v>1400</v>
      </c>
      <c r="L845" s="454" t="s">
        <v>994</v>
      </c>
      <c r="M845" s="4" t="s">
        <v>780</v>
      </c>
      <c r="N845" s="133" t="s">
        <v>1407</v>
      </c>
      <c r="O845" s="4" t="s">
        <v>1912</v>
      </c>
      <c r="P845" s="4" t="s">
        <v>892</v>
      </c>
      <c r="Q845" s="4" t="s">
        <v>1913</v>
      </c>
      <c r="R845" s="4" t="s">
        <v>1456</v>
      </c>
      <c r="S845" s="4" t="s">
        <v>1914</v>
      </c>
      <c r="T845" s="4" t="s">
        <v>786</v>
      </c>
    </row>
    <row r="846" spans="1:20" customFormat="1">
      <c r="A846" s="10"/>
      <c r="B846" s="4"/>
      <c r="C846" s="4"/>
      <c r="D846" s="133" t="s">
        <v>676</v>
      </c>
      <c r="E846" s="664" t="str">
        <f>+VLOOKUP(F846,Resumen_Base!$C$8:$G$287,5,0)</f>
        <v>Maintenance  Boats / Vehicles</v>
      </c>
      <c r="F846" s="152" t="s">
        <v>66</v>
      </c>
      <c r="G846" s="4" t="s">
        <v>67</v>
      </c>
      <c r="H846" s="4" t="str">
        <f t="shared" si="13"/>
        <v>CAR5253</v>
      </c>
      <c r="I846" s="196">
        <v>68796</v>
      </c>
      <c r="J846" s="196">
        <v>49.14</v>
      </c>
      <c r="K846" s="196">
        <v>1400</v>
      </c>
      <c r="L846" s="454" t="s">
        <v>994</v>
      </c>
      <c r="M846" s="4" t="s">
        <v>780</v>
      </c>
      <c r="N846" s="133" t="s">
        <v>1407</v>
      </c>
      <c r="O846" s="4" t="s">
        <v>1912</v>
      </c>
      <c r="P846" s="4" t="s">
        <v>892</v>
      </c>
      <c r="Q846" s="4" t="s">
        <v>1913</v>
      </c>
      <c r="R846" s="4" t="s">
        <v>1916</v>
      </c>
      <c r="S846" s="4" t="s">
        <v>1914</v>
      </c>
      <c r="T846" s="4" t="s">
        <v>786</v>
      </c>
    </row>
    <row r="847" spans="1:20" customFormat="1">
      <c r="A847" s="10"/>
      <c r="B847" s="4"/>
      <c r="C847" s="4"/>
      <c r="D847" s="133" t="s">
        <v>676</v>
      </c>
      <c r="E847" s="664" t="str">
        <f>+VLOOKUP(F847,Resumen_Base!$C$8:$G$287,5,0)</f>
        <v>Maintenance  Boats / Vehicles</v>
      </c>
      <c r="F847" s="152" t="s">
        <v>66</v>
      </c>
      <c r="G847" s="4" t="s">
        <v>67</v>
      </c>
      <c r="H847" s="4" t="str">
        <f t="shared" si="13"/>
        <v>CAR5253</v>
      </c>
      <c r="I847" s="196">
        <v>3444</v>
      </c>
      <c r="J847" s="196">
        <v>2.46</v>
      </c>
      <c r="K847" s="196">
        <v>1400</v>
      </c>
      <c r="L847" s="454" t="s">
        <v>994</v>
      </c>
      <c r="M847" s="4" t="s">
        <v>780</v>
      </c>
      <c r="N847" s="133" t="s">
        <v>1407</v>
      </c>
      <c r="O847" s="4" t="s">
        <v>1912</v>
      </c>
      <c r="P847" s="4" t="s">
        <v>892</v>
      </c>
      <c r="Q847" s="4" t="s">
        <v>1913</v>
      </c>
      <c r="R847" s="4" t="s">
        <v>1918</v>
      </c>
      <c r="S847" s="4" t="s">
        <v>1914</v>
      </c>
      <c r="T847" s="4" t="s">
        <v>786</v>
      </c>
    </row>
    <row r="848" spans="1:20" customFormat="1">
      <c r="A848" s="10"/>
      <c r="B848" s="4"/>
      <c r="C848" s="4"/>
      <c r="D848" s="133" t="s">
        <v>676</v>
      </c>
      <c r="E848" s="664" t="str">
        <f>+VLOOKUP(F848,Resumen_Base!$C$8:$G$287,5,0)</f>
        <v>Maintenance  Boats / Vehicles</v>
      </c>
      <c r="F848" s="152" t="s">
        <v>66</v>
      </c>
      <c r="G848" s="4" t="s">
        <v>67</v>
      </c>
      <c r="H848" s="4" t="str">
        <f t="shared" si="13"/>
        <v>CAR5253</v>
      </c>
      <c r="I848" s="196">
        <v>196500</v>
      </c>
      <c r="J848" s="196">
        <v>131</v>
      </c>
      <c r="K848" s="196">
        <v>1500</v>
      </c>
      <c r="L848" s="454" t="s">
        <v>1017</v>
      </c>
      <c r="M848" s="4" t="s">
        <v>780</v>
      </c>
      <c r="N848" s="133" t="s">
        <v>1407</v>
      </c>
      <c r="O848" s="4" t="s">
        <v>1946</v>
      </c>
      <c r="P848" s="4" t="s">
        <v>892</v>
      </c>
      <c r="Q848" s="4" t="s">
        <v>1947</v>
      </c>
      <c r="R848" s="4" t="s">
        <v>1956</v>
      </c>
      <c r="S848" s="4" t="s">
        <v>1949</v>
      </c>
      <c r="T848" s="4" t="s">
        <v>786</v>
      </c>
    </row>
    <row r="849" spans="1:20" customFormat="1">
      <c r="A849" s="10"/>
      <c r="B849" s="4"/>
      <c r="C849" s="4"/>
      <c r="D849" s="133" t="s">
        <v>676</v>
      </c>
      <c r="E849" s="664" t="str">
        <f>+VLOOKUP(F849,Resumen_Base!$C$8:$G$287,5,0)</f>
        <v>Maintenance  Boats / Vehicles</v>
      </c>
      <c r="F849" s="152" t="s">
        <v>66</v>
      </c>
      <c r="G849" s="4" t="s">
        <v>67</v>
      </c>
      <c r="H849" s="4" t="str">
        <f t="shared" si="13"/>
        <v>CAR5253</v>
      </c>
      <c r="I849" s="196">
        <v>29124.2</v>
      </c>
      <c r="J849" s="196">
        <v>20.51</v>
      </c>
      <c r="K849" s="196">
        <v>1420</v>
      </c>
      <c r="L849" s="454" t="s">
        <v>1113</v>
      </c>
      <c r="M849" s="4" t="s">
        <v>780</v>
      </c>
      <c r="N849" s="133" t="s">
        <v>1407</v>
      </c>
      <c r="O849" s="4" t="s">
        <v>1114</v>
      </c>
      <c r="P849" s="4" t="s">
        <v>892</v>
      </c>
      <c r="Q849" s="4" t="s">
        <v>1115</v>
      </c>
      <c r="R849" s="4" t="s">
        <v>2374</v>
      </c>
      <c r="S849" s="4" t="s">
        <v>1117</v>
      </c>
      <c r="T849" s="4" t="s">
        <v>786</v>
      </c>
    </row>
    <row r="850" spans="1:20" customFormat="1">
      <c r="A850" s="10"/>
      <c r="B850" s="4"/>
      <c r="C850" s="4"/>
      <c r="D850" s="133" t="s">
        <v>670</v>
      </c>
      <c r="E850" s="664" t="str">
        <f>+VLOOKUP(F850,Resumen_Base!$C$8:$G$287,5,0)</f>
        <v>Maintenance  Equipment</v>
      </c>
      <c r="F850" s="152" t="s">
        <v>31</v>
      </c>
      <c r="G850" s="4" t="s">
        <v>335</v>
      </c>
      <c r="H850" s="4" t="str">
        <f t="shared" si="13"/>
        <v>SJ5254</v>
      </c>
      <c r="I850" s="196">
        <v>-2832.4</v>
      </c>
      <c r="J850" s="196">
        <v>-1.94</v>
      </c>
      <c r="K850" s="196">
        <v>1460</v>
      </c>
      <c r="L850" s="454" t="s">
        <v>1049</v>
      </c>
      <c r="M850" s="4" t="s">
        <v>780</v>
      </c>
      <c r="N850" s="133" t="s">
        <v>781</v>
      </c>
      <c r="O850" s="4" t="s">
        <v>1050</v>
      </c>
      <c r="P850" s="4" t="s">
        <v>892</v>
      </c>
      <c r="Q850" s="4" t="s">
        <v>1051</v>
      </c>
      <c r="R850" s="4" t="s">
        <v>953</v>
      </c>
      <c r="S850" s="4" t="s">
        <v>1052</v>
      </c>
      <c r="T850" s="4" t="s">
        <v>786</v>
      </c>
    </row>
    <row r="851" spans="1:20" customFormat="1">
      <c r="A851" s="10"/>
      <c r="B851" s="4"/>
      <c r="C851" s="4"/>
      <c r="D851" s="133" t="s">
        <v>670</v>
      </c>
      <c r="E851" s="664" t="str">
        <f>+VLOOKUP(F851,Resumen_Base!$C$8:$G$287,5,0)</f>
        <v>Maintenance  Equipment</v>
      </c>
      <c r="F851" s="152" t="s">
        <v>31</v>
      </c>
      <c r="G851" s="4" t="s">
        <v>335</v>
      </c>
      <c r="H851" s="4" t="str">
        <f t="shared" si="13"/>
        <v>SJ5254</v>
      </c>
      <c r="I851" s="196">
        <v>-359846.2</v>
      </c>
      <c r="J851" s="196">
        <v>-246.47</v>
      </c>
      <c r="K851" s="196">
        <v>1460</v>
      </c>
      <c r="L851" s="454" t="s">
        <v>1049</v>
      </c>
      <c r="M851" s="4" t="s">
        <v>780</v>
      </c>
      <c r="N851" s="133" t="s">
        <v>781</v>
      </c>
      <c r="O851" s="4" t="s">
        <v>1050</v>
      </c>
      <c r="P851" s="4" t="s">
        <v>892</v>
      </c>
      <c r="Q851" s="4" t="s">
        <v>1051</v>
      </c>
      <c r="R851" s="4" t="s">
        <v>1055</v>
      </c>
      <c r="S851" s="4" t="s">
        <v>1052</v>
      </c>
      <c r="T851" s="4" t="s">
        <v>786</v>
      </c>
    </row>
    <row r="852" spans="1:20" customFormat="1">
      <c r="A852" s="10"/>
      <c r="B852" s="4"/>
      <c r="C852" s="4"/>
      <c r="D852" s="133" t="s">
        <v>670</v>
      </c>
      <c r="E852" s="664" t="str">
        <f>+VLOOKUP(F852,Resumen_Base!$C$8:$G$287,5,0)</f>
        <v>Maintenance  Equipment</v>
      </c>
      <c r="F852" s="152" t="s">
        <v>31</v>
      </c>
      <c r="G852" s="4" t="s">
        <v>335</v>
      </c>
      <c r="H852" s="4" t="str">
        <f t="shared" si="13"/>
        <v>SJ5254</v>
      </c>
      <c r="I852" s="196">
        <v>2832.4</v>
      </c>
      <c r="J852" s="196">
        <v>1.94</v>
      </c>
      <c r="K852" s="196">
        <v>1460</v>
      </c>
      <c r="L852" s="454" t="s">
        <v>1049</v>
      </c>
      <c r="M852" s="4" t="s">
        <v>780</v>
      </c>
      <c r="N852" s="133" t="s">
        <v>781</v>
      </c>
      <c r="O852" s="4" t="s">
        <v>1075</v>
      </c>
      <c r="P852" s="4" t="s">
        <v>892</v>
      </c>
      <c r="Q852" s="4" t="s">
        <v>1076</v>
      </c>
      <c r="R852" s="4" t="s">
        <v>953</v>
      </c>
      <c r="S852" s="4" t="s">
        <v>1077</v>
      </c>
      <c r="T852" s="4" t="s">
        <v>786</v>
      </c>
    </row>
    <row r="853" spans="1:20" customFormat="1">
      <c r="A853" s="10"/>
      <c r="B853" s="4"/>
      <c r="C853" s="4"/>
      <c r="D853" s="133" t="s">
        <v>670</v>
      </c>
      <c r="E853" s="664" t="str">
        <f>+VLOOKUP(F853,Resumen_Base!$C$8:$G$287,5,0)</f>
        <v>Maintenance  Equipment</v>
      </c>
      <c r="F853" s="152" t="s">
        <v>31</v>
      </c>
      <c r="G853" s="4" t="s">
        <v>335</v>
      </c>
      <c r="H853" s="4" t="str">
        <f t="shared" si="13"/>
        <v>SJ5254</v>
      </c>
      <c r="I853" s="196">
        <v>359846.2</v>
      </c>
      <c r="J853" s="196">
        <v>246.47</v>
      </c>
      <c r="K853" s="196">
        <v>1460</v>
      </c>
      <c r="L853" s="454" t="s">
        <v>1049</v>
      </c>
      <c r="M853" s="4" t="s">
        <v>780</v>
      </c>
      <c r="N853" s="133" t="s">
        <v>781</v>
      </c>
      <c r="O853" s="4" t="s">
        <v>1075</v>
      </c>
      <c r="P853" s="4" t="s">
        <v>892</v>
      </c>
      <c r="Q853" s="4" t="s">
        <v>1076</v>
      </c>
      <c r="R853" s="4" t="s">
        <v>1055</v>
      </c>
      <c r="S853" s="4" t="s">
        <v>1077</v>
      </c>
      <c r="T853" s="4" t="s">
        <v>786</v>
      </c>
    </row>
    <row r="854" spans="1:20" customFormat="1">
      <c r="A854" s="10"/>
      <c r="B854" s="4"/>
      <c r="C854" s="4"/>
      <c r="D854" s="133" t="s">
        <v>670</v>
      </c>
      <c r="E854" s="664" t="str">
        <f>+VLOOKUP(F854,Resumen_Base!$C$8:$G$287,5,0)</f>
        <v>Maintenance  Equipment</v>
      </c>
      <c r="F854" s="152" t="s">
        <v>31</v>
      </c>
      <c r="G854" s="4" t="s">
        <v>335</v>
      </c>
      <c r="H854" s="4" t="str">
        <f t="shared" si="13"/>
        <v>SJ5254</v>
      </c>
      <c r="I854" s="196">
        <v>2832.4</v>
      </c>
      <c r="J854" s="196">
        <v>1.94</v>
      </c>
      <c r="K854" s="196">
        <v>1460</v>
      </c>
      <c r="L854" s="454" t="s">
        <v>1049</v>
      </c>
      <c r="M854" s="4" t="s">
        <v>780</v>
      </c>
      <c r="N854" s="133" t="s">
        <v>781</v>
      </c>
      <c r="O854" s="4" t="s">
        <v>1078</v>
      </c>
      <c r="P854" s="4" t="s">
        <v>892</v>
      </c>
      <c r="Q854" s="4" t="s">
        <v>1079</v>
      </c>
      <c r="R854" s="4" t="s">
        <v>953</v>
      </c>
      <c r="S854" s="4" t="s">
        <v>1080</v>
      </c>
      <c r="T854" s="4" t="s">
        <v>786</v>
      </c>
    </row>
    <row r="855" spans="1:20" customFormat="1">
      <c r="A855" s="10"/>
      <c r="B855" s="4"/>
      <c r="C855" s="4"/>
      <c r="D855" s="133" t="s">
        <v>670</v>
      </c>
      <c r="E855" s="664" t="str">
        <f>+VLOOKUP(F855,Resumen_Base!$C$8:$G$287,5,0)</f>
        <v>Maintenance  Equipment</v>
      </c>
      <c r="F855" s="152" t="s">
        <v>31</v>
      </c>
      <c r="G855" s="4" t="s">
        <v>335</v>
      </c>
      <c r="H855" s="4" t="str">
        <f t="shared" si="13"/>
        <v>SJ5254</v>
      </c>
      <c r="I855" s="196">
        <v>359846.2</v>
      </c>
      <c r="J855" s="196">
        <v>246.47</v>
      </c>
      <c r="K855" s="196">
        <v>1460</v>
      </c>
      <c r="L855" s="454" t="s">
        <v>1049</v>
      </c>
      <c r="M855" s="4" t="s">
        <v>780</v>
      </c>
      <c r="N855" s="133" t="s">
        <v>781</v>
      </c>
      <c r="O855" s="4" t="s">
        <v>1078</v>
      </c>
      <c r="P855" s="4" t="s">
        <v>892</v>
      </c>
      <c r="Q855" s="4" t="s">
        <v>1079</v>
      </c>
      <c r="R855" s="4" t="s">
        <v>1055</v>
      </c>
      <c r="S855" s="4" t="s">
        <v>1080</v>
      </c>
      <c r="T855" s="4" t="s">
        <v>786</v>
      </c>
    </row>
    <row r="856" spans="1:20" customFormat="1">
      <c r="A856" s="10"/>
      <c r="B856" s="4"/>
      <c r="C856" s="4"/>
      <c r="D856" s="133" t="s">
        <v>676</v>
      </c>
      <c r="E856" s="664" t="str">
        <f>+VLOOKUP(F856,Resumen_Base!$C$8:$G$287,5,0)</f>
        <v>Maintenance  Equipment</v>
      </c>
      <c r="F856" s="152" t="s">
        <v>31</v>
      </c>
      <c r="G856" s="4" t="s">
        <v>335</v>
      </c>
      <c r="H856" s="4" t="str">
        <f t="shared" si="13"/>
        <v>CAR5254</v>
      </c>
      <c r="I856" s="196">
        <v>358408</v>
      </c>
      <c r="J856" s="196">
        <v>252.4</v>
      </c>
      <c r="K856" s="196">
        <v>1420</v>
      </c>
      <c r="L856" s="454" t="s">
        <v>787</v>
      </c>
      <c r="M856" s="4" t="s">
        <v>780</v>
      </c>
      <c r="N856" s="133" t="s">
        <v>1407</v>
      </c>
      <c r="O856" s="4" t="s">
        <v>1490</v>
      </c>
      <c r="P856" s="4" t="s">
        <v>783</v>
      </c>
      <c r="Q856" s="4" t="s">
        <v>1491</v>
      </c>
      <c r="R856" s="4" t="s">
        <v>1501</v>
      </c>
      <c r="S856" s="4" t="s">
        <v>1493</v>
      </c>
      <c r="T856" s="4" t="s">
        <v>786</v>
      </c>
    </row>
    <row r="857" spans="1:20" customFormat="1">
      <c r="A857" s="10"/>
      <c r="B857" s="4"/>
      <c r="C857" s="4"/>
      <c r="D857" s="133" t="s">
        <v>676</v>
      </c>
      <c r="E857" s="664" t="str">
        <f>+VLOOKUP(F857,Resumen_Base!$C$8:$G$287,5,0)</f>
        <v>Maintenance  Equipment</v>
      </c>
      <c r="F857" s="152" t="s">
        <v>31</v>
      </c>
      <c r="G857" s="4" t="s">
        <v>335</v>
      </c>
      <c r="H857" s="4" t="str">
        <f t="shared" si="13"/>
        <v>CAR5254</v>
      </c>
      <c r="I857" s="196">
        <v>378378</v>
      </c>
      <c r="J857" s="196">
        <v>270.27</v>
      </c>
      <c r="K857" s="196">
        <v>1400</v>
      </c>
      <c r="L857" s="454" t="s">
        <v>994</v>
      </c>
      <c r="M857" s="4" t="s">
        <v>780</v>
      </c>
      <c r="N857" s="133" t="s">
        <v>1407</v>
      </c>
      <c r="O857" s="4" t="s">
        <v>1912</v>
      </c>
      <c r="P857" s="4" t="s">
        <v>892</v>
      </c>
      <c r="Q857" s="4" t="s">
        <v>1913</v>
      </c>
      <c r="R857" s="4" t="s">
        <v>1915</v>
      </c>
      <c r="S857" s="4" t="s">
        <v>1914</v>
      </c>
      <c r="T857" s="4" t="s">
        <v>786</v>
      </c>
    </row>
    <row r="858" spans="1:20" customFormat="1">
      <c r="A858" s="10"/>
      <c r="B858" s="4"/>
      <c r="C858" s="4"/>
      <c r="D858" s="133" t="s">
        <v>676</v>
      </c>
      <c r="E858" s="664" t="str">
        <f>+VLOOKUP(F858,Resumen_Base!$C$8:$G$287,5,0)</f>
        <v>Maintenance  Equipment</v>
      </c>
      <c r="F858" s="152" t="s">
        <v>31</v>
      </c>
      <c r="G858" s="4" t="s">
        <v>335</v>
      </c>
      <c r="H858" s="4" t="str">
        <f t="shared" si="13"/>
        <v>CAR5254</v>
      </c>
      <c r="I858" s="196">
        <v>74298</v>
      </c>
      <c r="J858" s="196">
        <v>53.07</v>
      </c>
      <c r="K858" s="196">
        <v>1400</v>
      </c>
      <c r="L858" s="454" t="s">
        <v>994</v>
      </c>
      <c r="M858" s="4" t="s">
        <v>780</v>
      </c>
      <c r="N858" s="133" t="s">
        <v>1407</v>
      </c>
      <c r="O858" s="4" t="s">
        <v>1912</v>
      </c>
      <c r="P858" s="4" t="s">
        <v>892</v>
      </c>
      <c r="Q858" s="4" t="s">
        <v>1913</v>
      </c>
      <c r="R858" s="4" t="s">
        <v>1923</v>
      </c>
      <c r="S858" s="4" t="s">
        <v>1914</v>
      </c>
      <c r="T858" s="4" t="s">
        <v>786</v>
      </c>
    </row>
    <row r="859" spans="1:20" customFormat="1">
      <c r="A859" s="10"/>
      <c r="B859" s="4"/>
      <c r="C859" s="4"/>
      <c r="D859" s="133" t="s">
        <v>676</v>
      </c>
      <c r="E859" s="664" t="str">
        <f>+VLOOKUP(F859,Resumen_Base!$C$8:$G$287,5,0)</f>
        <v>Maintenance  Equipment</v>
      </c>
      <c r="F859" s="152" t="s">
        <v>31</v>
      </c>
      <c r="G859" s="4" t="s">
        <v>335</v>
      </c>
      <c r="H859" s="4" t="str">
        <f t="shared" si="13"/>
        <v>CAR5254</v>
      </c>
      <c r="I859" s="196">
        <v>2618</v>
      </c>
      <c r="J859" s="196">
        <v>1.87</v>
      </c>
      <c r="K859" s="196">
        <v>1400</v>
      </c>
      <c r="L859" s="454" t="s">
        <v>994</v>
      </c>
      <c r="M859" s="4" t="s">
        <v>780</v>
      </c>
      <c r="N859" s="133" t="s">
        <v>1407</v>
      </c>
      <c r="O859" s="4" t="s">
        <v>1912</v>
      </c>
      <c r="P859" s="4" t="s">
        <v>892</v>
      </c>
      <c r="Q859" s="4" t="s">
        <v>1913</v>
      </c>
      <c r="R859" s="4" t="s">
        <v>1515</v>
      </c>
      <c r="S859" s="4" t="s">
        <v>1914</v>
      </c>
      <c r="T859" s="4" t="s">
        <v>786</v>
      </c>
    </row>
    <row r="860" spans="1:20" customFormat="1">
      <c r="A860" s="10"/>
      <c r="B860" s="4"/>
      <c r="C860" s="4"/>
      <c r="D860" s="133" t="s">
        <v>676</v>
      </c>
      <c r="E860" s="664" t="str">
        <f>+VLOOKUP(F860,Resumen_Base!$C$8:$G$287,5,0)</f>
        <v>Maintenance  Equipment</v>
      </c>
      <c r="F860" s="152" t="s">
        <v>31</v>
      </c>
      <c r="G860" s="4" t="s">
        <v>335</v>
      </c>
      <c r="H860" s="4" t="str">
        <f t="shared" si="13"/>
        <v>CAR5254</v>
      </c>
      <c r="I860" s="196">
        <v>85400</v>
      </c>
      <c r="J860" s="196">
        <v>61</v>
      </c>
      <c r="K860" s="196">
        <v>1400</v>
      </c>
      <c r="L860" s="454" t="s">
        <v>1017</v>
      </c>
      <c r="M860" s="4" t="s">
        <v>780</v>
      </c>
      <c r="N860" s="133" t="s">
        <v>1407</v>
      </c>
      <c r="O860" s="4" t="s">
        <v>1992</v>
      </c>
      <c r="P860" s="4" t="s">
        <v>892</v>
      </c>
      <c r="Q860" s="4" t="s">
        <v>1993</v>
      </c>
      <c r="R860" s="4" t="s">
        <v>1999</v>
      </c>
      <c r="S860" s="4" t="s">
        <v>1994</v>
      </c>
      <c r="T860" s="4" t="s">
        <v>786</v>
      </c>
    </row>
    <row r="861" spans="1:20" customFormat="1">
      <c r="A861" s="10"/>
      <c r="B861" s="4"/>
      <c r="C861" s="4"/>
      <c r="D861" s="133" t="s">
        <v>676</v>
      </c>
      <c r="E861" s="664" t="str">
        <f>+VLOOKUP(F861,Resumen_Base!$C$8:$G$287,5,0)</f>
        <v>Maintenance  Equipment</v>
      </c>
      <c r="F861" s="152" t="s">
        <v>31</v>
      </c>
      <c r="G861" s="4" t="s">
        <v>335</v>
      </c>
      <c r="H861" s="4" t="str">
        <f t="shared" si="13"/>
        <v>CAR5254</v>
      </c>
      <c r="I861" s="196">
        <v>-2788.6</v>
      </c>
      <c r="J861" s="196">
        <v>-1.91</v>
      </c>
      <c r="K861" s="196">
        <v>1460</v>
      </c>
      <c r="L861" s="454" t="s">
        <v>1049</v>
      </c>
      <c r="M861" s="4" t="s">
        <v>780</v>
      </c>
      <c r="N861" s="133" t="s">
        <v>1407</v>
      </c>
      <c r="O861" s="4" t="s">
        <v>2127</v>
      </c>
      <c r="P861" s="4" t="s">
        <v>892</v>
      </c>
      <c r="Q861" s="4" t="s">
        <v>2128</v>
      </c>
      <c r="R861" s="4" t="s">
        <v>1515</v>
      </c>
      <c r="S861" s="4" t="s">
        <v>2129</v>
      </c>
      <c r="T861" s="4" t="s">
        <v>786</v>
      </c>
    </row>
    <row r="862" spans="1:20" customFormat="1">
      <c r="A862" s="10"/>
      <c r="B862" s="4"/>
      <c r="C862" s="4"/>
      <c r="D862" s="133" t="s">
        <v>676</v>
      </c>
      <c r="E862" s="664" t="str">
        <f>+VLOOKUP(F862,Resumen_Base!$C$8:$G$287,5,0)</f>
        <v>Maintenance  Equipment</v>
      </c>
      <c r="F862" s="152" t="s">
        <v>31</v>
      </c>
      <c r="G862" s="4" t="s">
        <v>335</v>
      </c>
      <c r="H862" s="4" t="str">
        <f t="shared" si="13"/>
        <v>CAR5254</v>
      </c>
      <c r="I862" s="196">
        <v>-101338.6</v>
      </c>
      <c r="J862" s="196">
        <v>-69.41</v>
      </c>
      <c r="K862" s="196">
        <v>1460</v>
      </c>
      <c r="L862" s="454" t="s">
        <v>1049</v>
      </c>
      <c r="M862" s="4" t="s">
        <v>780</v>
      </c>
      <c r="N862" s="133" t="s">
        <v>1407</v>
      </c>
      <c r="O862" s="4" t="s">
        <v>2127</v>
      </c>
      <c r="P862" s="4" t="s">
        <v>892</v>
      </c>
      <c r="Q862" s="4" t="s">
        <v>2128</v>
      </c>
      <c r="R862" s="4" t="s">
        <v>2143</v>
      </c>
      <c r="S862" s="4" t="s">
        <v>2129</v>
      </c>
      <c r="T862" s="4" t="s">
        <v>786</v>
      </c>
    </row>
    <row r="863" spans="1:20" customFormat="1">
      <c r="A863" s="10"/>
      <c r="B863" s="4"/>
      <c r="C863" s="4"/>
      <c r="D863" s="133" t="s">
        <v>676</v>
      </c>
      <c r="E863" s="664" t="str">
        <f>+VLOOKUP(F863,Resumen_Base!$C$8:$G$287,5,0)</f>
        <v>Maintenance  Equipment</v>
      </c>
      <c r="F863" s="152" t="s">
        <v>31</v>
      </c>
      <c r="G863" s="4" t="s">
        <v>335</v>
      </c>
      <c r="H863" s="4" t="str">
        <f t="shared" si="13"/>
        <v>CAR5254</v>
      </c>
      <c r="I863" s="196">
        <v>-257558.6</v>
      </c>
      <c r="J863" s="196">
        <v>-176.41</v>
      </c>
      <c r="K863" s="196">
        <v>1460</v>
      </c>
      <c r="L863" s="454" t="s">
        <v>1049</v>
      </c>
      <c r="M863" s="4" t="s">
        <v>780</v>
      </c>
      <c r="N863" s="133" t="s">
        <v>1407</v>
      </c>
      <c r="O863" s="4" t="s">
        <v>2127</v>
      </c>
      <c r="P863" s="4" t="s">
        <v>892</v>
      </c>
      <c r="Q863" s="4" t="s">
        <v>2128</v>
      </c>
      <c r="R863" s="4" t="s">
        <v>2141</v>
      </c>
      <c r="S863" s="4" t="s">
        <v>2129</v>
      </c>
      <c r="T863" s="4" t="s">
        <v>786</v>
      </c>
    </row>
    <row r="864" spans="1:20" customFormat="1">
      <c r="A864" s="10"/>
      <c r="B864" s="4"/>
      <c r="C864" s="4"/>
      <c r="D864" s="133" t="s">
        <v>676</v>
      </c>
      <c r="E864" s="664" t="str">
        <f>+VLOOKUP(F864,Resumen_Base!$C$8:$G$287,5,0)</f>
        <v>Maintenance  Equipment</v>
      </c>
      <c r="F864" s="152" t="s">
        <v>31</v>
      </c>
      <c r="G864" s="4" t="s">
        <v>335</v>
      </c>
      <c r="H864" s="4" t="str">
        <f t="shared" si="13"/>
        <v>CAR5254</v>
      </c>
      <c r="I864" s="196">
        <v>101338.6</v>
      </c>
      <c r="J864" s="196">
        <v>69.41</v>
      </c>
      <c r="K864" s="196">
        <v>1460</v>
      </c>
      <c r="L864" s="454" t="s">
        <v>1049</v>
      </c>
      <c r="M864" s="4" t="s">
        <v>780</v>
      </c>
      <c r="N864" s="133" t="s">
        <v>1407</v>
      </c>
      <c r="O864" s="4" t="s">
        <v>2233</v>
      </c>
      <c r="P864" s="4" t="s">
        <v>892</v>
      </c>
      <c r="Q864" s="4" t="s">
        <v>2234</v>
      </c>
      <c r="R864" s="4" t="s">
        <v>2143</v>
      </c>
      <c r="S864" s="4" t="s">
        <v>2235</v>
      </c>
      <c r="T864" s="4" t="s">
        <v>786</v>
      </c>
    </row>
    <row r="865" spans="1:20" customFormat="1">
      <c r="A865" s="10"/>
      <c r="B865" s="4"/>
      <c r="C865" s="4"/>
      <c r="D865" s="133" t="s">
        <v>676</v>
      </c>
      <c r="E865" s="664" t="str">
        <f>+VLOOKUP(F865,Resumen_Base!$C$8:$G$287,5,0)</f>
        <v>Maintenance  Equipment</v>
      </c>
      <c r="F865" s="152" t="s">
        <v>31</v>
      </c>
      <c r="G865" s="4" t="s">
        <v>335</v>
      </c>
      <c r="H865" s="4" t="str">
        <f t="shared" si="13"/>
        <v>CAR5254</v>
      </c>
      <c r="I865" s="196">
        <v>257558.6</v>
      </c>
      <c r="J865" s="196">
        <v>176.41</v>
      </c>
      <c r="K865" s="196">
        <v>1460</v>
      </c>
      <c r="L865" s="454" t="s">
        <v>1049</v>
      </c>
      <c r="M865" s="4" t="s">
        <v>780</v>
      </c>
      <c r="N865" s="133" t="s">
        <v>1407</v>
      </c>
      <c r="O865" s="4" t="s">
        <v>2233</v>
      </c>
      <c r="P865" s="4" t="s">
        <v>892</v>
      </c>
      <c r="Q865" s="4" t="s">
        <v>2234</v>
      </c>
      <c r="R865" s="4" t="s">
        <v>2141</v>
      </c>
      <c r="S865" s="4" t="s">
        <v>2235</v>
      </c>
      <c r="T865" s="4" t="s">
        <v>786</v>
      </c>
    </row>
    <row r="866" spans="1:20" customFormat="1">
      <c r="A866" s="10"/>
      <c r="B866" s="4"/>
      <c r="C866" s="4"/>
      <c r="D866" s="133" t="s">
        <v>676</v>
      </c>
      <c r="E866" s="664" t="str">
        <f>+VLOOKUP(F866,Resumen_Base!$C$8:$G$287,5,0)</f>
        <v>Maintenance  Equipment</v>
      </c>
      <c r="F866" s="152" t="s">
        <v>31</v>
      </c>
      <c r="G866" s="4" t="s">
        <v>335</v>
      </c>
      <c r="H866" s="4" t="str">
        <f t="shared" si="13"/>
        <v>CAR5254</v>
      </c>
      <c r="I866" s="196">
        <v>2788.6</v>
      </c>
      <c r="J866" s="196">
        <v>1.91</v>
      </c>
      <c r="K866" s="196">
        <v>1460</v>
      </c>
      <c r="L866" s="454" t="s">
        <v>1049</v>
      </c>
      <c r="M866" s="4" t="s">
        <v>780</v>
      </c>
      <c r="N866" s="133" t="s">
        <v>1407</v>
      </c>
      <c r="O866" s="4" t="s">
        <v>2233</v>
      </c>
      <c r="P866" s="4" t="s">
        <v>892</v>
      </c>
      <c r="Q866" s="4" t="s">
        <v>2234</v>
      </c>
      <c r="R866" s="4" t="s">
        <v>1515</v>
      </c>
      <c r="S866" s="4" t="s">
        <v>2235</v>
      </c>
      <c r="T866" s="4" t="s">
        <v>786</v>
      </c>
    </row>
    <row r="867" spans="1:20" customFormat="1">
      <c r="A867" s="10"/>
      <c r="B867" s="4"/>
      <c r="C867" s="4"/>
      <c r="D867" s="133" t="s">
        <v>676</v>
      </c>
      <c r="E867" s="664" t="str">
        <f>+VLOOKUP(F867,Resumen_Base!$C$8:$G$287,5,0)</f>
        <v>Maintenance  Equipment</v>
      </c>
      <c r="F867" s="152" t="s">
        <v>31</v>
      </c>
      <c r="G867" s="4" t="s">
        <v>335</v>
      </c>
      <c r="H867" s="4" t="str">
        <f t="shared" si="13"/>
        <v>CAR5254</v>
      </c>
      <c r="I867" s="196">
        <v>2788.6</v>
      </c>
      <c r="J867" s="196">
        <v>1.91</v>
      </c>
      <c r="K867" s="196">
        <v>1460</v>
      </c>
      <c r="L867" s="454" t="s">
        <v>1049</v>
      </c>
      <c r="M867" s="4" t="s">
        <v>780</v>
      </c>
      <c r="N867" s="133" t="s">
        <v>1407</v>
      </c>
      <c r="O867" s="4" t="s">
        <v>2236</v>
      </c>
      <c r="P867" s="4" t="s">
        <v>892</v>
      </c>
      <c r="Q867" s="4" t="s">
        <v>2237</v>
      </c>
      <c r="R867" s="4" t="s">
        <v>1515</v>
      </c>
      <c r="S867" s="4" t="s">
        <v>2238</v>
      </c>
      <c r="T867" s="4" t="s">
        <v>786</v>
      </c>
    </row>
    <row r="868" spans="1:20" customFormat="1">
      <c r="A868" s="10"/>
      <c r="B868" s="4"/>
      <c r="C868" s="4"/>
      <c r="D868" s="133" t="s">
        <v>676</v>
      </c>
      <c r="E868" s="664" t="str">
        <f>+VLOOKUP(F868,Resumen_Base!$C$8:$G$287,5,0)</f>
        <v>Maintenance  Equipment</v>
      </c>
      <c r="F868" s="152" t="s">
        <v>31</v>
      </c>
      <c r="G868" s="4" t="s">
        <v>335</v>
      </c>
      <c r="H868" s="4" t="str">
        <f t="shared" si="13"/>
        <v>CAR5254</v>
      </c>
      <c r="I868" s="196">
        <v>101338.6</v>
      </c>
      <c r="J868" s="196">
        <v>69.41</v>
      </c>
      <c r="K868" s="196">
        <v>1460</v>
      </c>
      <c r="L868" s="454" t="s">
        <v>1049</v>
      </c>
      <c r="M868" s="4" t="s">
        <v>780</v>
      </c>
      <c r="N868" s="133" t="s">
        <v>1407</v>
      </c>
      <c r="O868" s="4" t="s">
        <v>2236</v>
      </c>
      <c r="P868" s="4" t="s">
        <v>892</v>
      </c>
      <c r="Q868" s="4" t="s">
        <v>2237</v>
      </c>
      <c r="R868" s="4" t="s">
        <v>2143</v>
      </c>
      <c r="S868" s="4" t="s">
        <v>2238</v>
      </c>
      <c r="T868" s="4" t="s">
        <v>786</v>
      </c>
    </row>
    <row r="869" spans="1:20" customFormat="1">
      <c r="A869" s="10"/>
      <c r="B869" s="4"/>
      <c r="C869" s="4"/>
      <c r="D869" s="133" t="s">
        <v>676</v>
      </c>
      <c r="E869" s="664" t="str">
        <f>+VLOOKUP(F869,Resumen_Base!$C$8:$G$287,5,0)</f>
        <v>Maintenance  Equipment</v>
      </c>
      <c r="F869" s="152" t="s">
        <v>31</v>
      </c>
      <c r="G869" s="4" t="s">
        <v>335</v>
      </c>
      <c r="H869" s="4" t="str">
        <f t="shared" si="13"/>
        <v>CAR5254</v>
      </c>
      <c r="I869" s="196">
        <v>257558.6</v>
      </c>
      <c r="J869" s="196">
        <v>176.41</v>
      </c>
      <c r="K869" s="196">
        <v>1460</v>
      </c>
      <c r="L869" s="454" t="s">
        <v>1049</v>
      </c>
      <c r="M869" s="4" t="s">
        <v>780</v>
      </c>
      <c r="N869" s="133" t="s">
        <v>1407</v>
      </c>
      <c r="O869" s="4" t="s">
        <v>2236</v>
      </c>
      <c r="P869" s="4" t="s">
        <v>892</v>
      </c>
      <c r="Q869" s="4" t="s">
        <v>2237</v>
      </c>
      <c r="R869" s="4" t="s">
        <v>2141</v>
      </c>
      <c r="S869" s="4" t="s">
        <v>2238</v>
      </c>
      <c r="T869" s="4" t="s">
        <v>786</v>
      </c>
    </row>
    <row r="870" spans="1:20" customFormat="1">
      <c r="A870" s="10"/>
      <c r="B870" s="4"/>
      <c r="C870" s="4"/>
      <c r="D870" s="133" t="s">
        <v>676</v>
      </c>
      <c r="E870" s="664" t="str">
        <f>+VLOOKUP(F870,Resumen_Base!$C$8:$G$287,5,0)</f>
        <v>Maintenance  Equipment</v>
      </c>
      <c r="F870" s="152" t="s">
        <v>31</v>
      </c>
      <c r="G870" s="4" t="s">
        <v>335</v>
      </c>
      <c r="H870" s="4" t="str">
        <f t="shared" si="13"/>
        <v>CAR5254</v>
      </c>
      <c r="I870" s="196">
        <v>7226380</v>
      </c>
      <c r="J870" s="196">
        <v>5089</v>
      </c>
      <c r="K870" s="196">
        <v>1420</v>
      </c>
      <c r="L870" s="454" t="s">
        <v>1135</v>
      </c>
      <c r="M870" s="4" t="s">
        <v>780</v>
      </c>
      <c r="N870" s="133" t="s">
        <v>1407</v>
      </c>
      <c r="O870" s="4" t="s">
        <v>1136</v>
      </c>
      <c r="P870" s="4" t="s">
        <v>892</v>
      </c>
      <c r="Q870" s="4" t="s">
        <v>1137</v>
      </c>
      <c r="R870" s="4" t="s">
        <v>2401</v>
      </c>
      <c r="S870" s="4" t="s">
        <v>1139</v>
      </c>
      <c r="T870" s="4" t="s">
        <v>786</v>
      </c>
    </row>
    <row r="871" spans="1:20" customFormat="1">
      <c r="A871" s="509"/>
      <c r="B871" s="330"/>
      <c r="C871" s="330"/>
      <c r="D871" s="203" t="s">
        <v>670</v>
      </c>
      <c r="E871" s="714" t="str">
        <f>+VLOOKUP(F871,Resumen_Base!$C$8:$G$287,5,0)</f>
        <v>Travel for personnel (employees)</v>
      </c>
      <c r="F871" s="330" t="s">
        <v>68</v>
      </c>
      <c r="G871" s="330" t="s">
        <v>69</v>
      </c>
      <c r="H871" s="330" t="str">
        <f t="shared" si="13"/>
        <v>SJ5255</v>
      </c>
      <c r="I871" s="715">
        <v>362242</v>
      </c>
      <c r="J871" s="715">
        <v>255.1</v>
      </c>
      <c r="K871" s="715">
        <v>1420</v>
      </c>
      <c r="L871" s="456" t="s">
        <v>787</v>
      </c>
      <c r="M871" s="330" t="s">
        <v>780</v>
      </c>
      <c r="N871" s="203" t="s">
        <v>781</v>
      </c>
      <c r="O871" s="330" t="s">
        <v>830</v>
      </c>
      <c r="P871" s="330" t="s">
        <v>783</v>
      </c>
      <c r="Q871" s="330" t="s">
        <v>831</v>
      </c>
      <c r="R871" s="330" t="s">
        <v>841</v>
      </c>
      <c r="S871" s="330" t="s">
        <v>833</v>
      </c>
      <c r="T871" s="330" t="s">
        <v>786</v>
      </c>
    </row>
    <row r="872" spans="1:20" customFormat="1">
      <c r="A872" s="720" t="s">
        <v>2806</v>
      </c>
      <c r="B872" s="330"/>
      <c r="C872" s="330"/>
      <c r="D872" s="203" t="s">
        <v>676</v>
      </c>
      <c r="E872" s="714" t="str">
        <f>+VLOOKUP(F872,Resumen_Base!$C$8:$G$287,5,0)</f>
        <v>Travel for personnel (employees)</v>
      </c>
      <c r="F872" s="330" t="s">
        <v>68</v>
      </c>
      <c r="G872" s="330" t="s">
        <v>69</v>
      </c>
      <c r="H872" s="330" t="str">
        <f t="shared" si="13"/>
        <v>CAR5255</v>
      </c>
      <c r="I872" s="715">
        <v>35855</v>
      </c>
      <c r="J872" s="715">
        <v>25.25</v>
      </c>
      <c r="K872" s="715">
        <v>1420</v>
      </c>
      <c r="L872" s="456" t="s">
        <v>787</v>
      </c>
      <c r="M872" s="330" t="s">
        <v>780</v>
      </c>
      <c r="N872" s="203" t="s">
        <v>781</v>
      </c>
      <c r="O872" s="330" t="s">
        <v>830</v>
      </c>
      <c r="P872" s="330" t="s">
        <v>783</v>
      </c>
      <c r="Q872" s="330" t="s">
        <v>831</v>
      </c>
      <c r="R872" s="330" t="s">
        <v>842</v>
      </c>
      <c r="S872" s="330" t="s">
        <v>833</v>
      </c>
      <c r="T872" s="330" t="s">
        <v>786</v>
      </c>
    </row>
    <row r="873" spans="1:20" customFormat="1">
      <c r="A873" s="509"/>
      <c r="B873" s="330"/>
      <c r="C873" s="330"/>
      <c r="D873" s="203" t="s">
        <v>670</v>
      </c>
      <c r="E873" s="714" t="str">
        <f>+VLOOKUP(F873,Resumen_Base!$C$8:$G$287,5,0)</f>
        <v>Travel for personnel (employees)</v>
      </c>
      <c r="F873" s="330" t="s">
        <v>68</v>
      </c>
      <c r="G873" s="330" t="s">
        <v>69</v>
      </c>
      <c r="H873" s="330" t="str">
        <f t="shared" si="13"/>
        <v>SJ5255</v>
      </c>
      <c r="I873" s="715">
        <v>110632.2</v>
      </c>
      <c r="J873" s="715">
        <v>77.91</v>
      </c>
      <c r="K873" s="715">
        <v>1420</v>
      </c>
      <c r="L873" s="456" t="s">
        <v>787</v>
      </c>
      <c r="M873" s="330" t="s">
        <v>780</v>
      </c>
      <c r="N873" s="203" t="s">
        <v>781</v>
      </c>
      <c r="O873" s="330" t="s">
        <v>855</v>
      </c>
      <c r="P873" s="330" t="s">
        <v>783</v>
      </c>
      <c r="Q873" s="330" t="s">
        <v>856</v>
      </c>
      <c r="R873" s="330" t="s">
        <v>864</v>
      </c>
      <c r="S873" s="330" t="s">
        <v>857</v>
      </c>
      <c r="T873" s="330" t="s">
        <v>786</v>
      </c>
    </row>
    <row r="874" spans="1:20" customFormat="1">
      <c r="A874" s="509"/>
      <c r="B874" s="330"/>
      <c r="C874" s="330"/>
      <c r="D874" s="203" t="s">
        <v>670</v>
      </c>
      <c r="E874" s="714" t="str">
        <f>+VLOOKUP(F874,Resumen_Base!$C$8:$G$287,5,0)</f>
        <v>Travel for personnel (employees)</v>
      </c>
      <c r="F874" s="330" t="s">
        <v>68</v>
      </c>
      <c r="G874" s="330" t="s">
        <v>69</v>
      </c>
      <c r="H874" s="330" t="str">
        <f t="shared" si="13"/>
        <v>SJ5255</v>
      </c>
      <c r="I874" s="715">
        <v>80080</v>
      </c>
      <c r="J874" s="715">
        <v>56</v>
      </c>
      <c r="K874" s="715">
        <v>1430</v>
      </c>
      <c r="L874" s="456" t="s">
        <v>927</v>
      </c>
      <c r="M874" s="330" t="s">
        <v>780</v>
      </c>
      <c r="N874" s="203" t="s">
        <v>781</v>
      </c>
      <c r="O874" s="330" t="s">
        <v>928</v>
      </c>
      <c r="P874" s="330" t="s">
        <v>892</v>
      </c>
      <c r="Q874" s="330" t="s">
        <v>929</v>
      </c>
      <c r="R874" s="330" t="s">
        <v>930</v>
      </c>
      <c r="S874" s="330" t="s">
        <v>931</v>
      </c>
      <c r="T874" s="330" t="s">
        <v>786</v>
      </c>
    </row>
    <row r="875" spans="1:20" customFormat="1">
      <c r="A875" s="509"/>
      <c r="B875" s="330"/>
      <c r="C875" s="330"/>
      <c r="D875" s="203" t="s">
        <v>670</v>
      </c>
      <c r="E875" s="714" t="str">
        <f>+VLOOKUP(F875,Resumen_Base!$C$8:$G$287,5,0)</f>
        <v>Travel for personnel (employees)</v>
      </c>
      <c r="F875" s="330" t="s">
        <v>68</v>
      </c>
      <c r="G875" s="330" t="s">
        <v>69</v>
      </c>
      <c r="H875" s="330" t="str">
        <f t="shared" si="13"/>
        <v>SJ5255</v>
      </c>
      <c r="I875" s="715">
        <v>101530</v>
      </c>
      <c r="J875" s="715">
        <v>71</v>
      </c>
      <c r="K875" s="715">
        <v>1430</v>
      </c>
      <c r="L875" s="456" t="s">
        <v>927</v>
      </c>
      <c r="M875" s="330" t="s">
        <v>780</v>
      </c>
      <c r="N875" s="203" t="s">
        <v>781</v>
      </c>
      <c r="O875" s="330" t="s">
        <v>928</v>
      </c>
      <c r="P875" s="330" t="s">
        <v>892</v>
      </c>
      <c r="Q875" s="330" t="s">
        <v>929</v>
      </c>
      <c r="R875" s="330" t="s">
        <v>932</v>
      </c>
      <c r="S875" s="330" t="s">
        <v>931</v>
      </c>
      <c r="T875" s="330" t="s">
        <v>786</v>
      </c>
    </row>
    <row r="876" spans="1:20" customFormat="1">
      <c r="A876" s="10"/>
      <c r="B876" s="4"/>
      <c r="C876" s="4"/>
      <c r="D876" s="133" t="s">
        <v>670</v>
      </c>
      <c r="E876" s="664" t="str">
        <f>+VLOOKUP(F876,Resumen_Base!$C$8:$G$287,5,0)</f>
        <v>Travel for personnel (employees)</v>
      </c>
      <c r="F876" s="152" t="s">
        <v>68</v>
      </c>
      <c r="G876" s="4" t="s">
        <v>69</v>
      </c>
      <c r="H876" s="4" t="str">
        <f t="shared" si="13"/>
        <v>SJ5255</v>
      </c>
      <c r="I876" s="196">
        <v>8122.4</v>
      </c>
      <c r="J876" s="196">
        <v>5.68</v>
      </c>
      <c r="K876" s="196">
        <v>1430</v>
      </c>
      <c r="L876" s="454" t="s">
        <v>890</v>
      </c>
      <c r="M876" s="4" t="s">
        <v>780</v>
      </c>
      <c r="N876" s="133" t="s">
        <v>781</v>
      </c>
      <c r="O876" s="4" t="s">
        <v>951</v>
      </c>
      <c r="P876" s="4" t="s">
        <v>892</v>
      </c>
      <c r="Q876" s="4" t="s">
        <v>952</v>
      </c>
      <c r="R876" s="4" t="s">
        <v>959</v>
      </c>
      <c r="S876" s="4" t="s">
        <v>954</v>
      </c>
      <c r="T876" s="4" t="s">
        <v>786</v>
      </c>
    </row>
    <row r="877" spans="1:20" customFormat="1">
      <c r="A877" s="10"/>
      <c r="B877" s="4"/>
      <c r="C877" s="4"/>
      <c r="D877" s="133" t="s">
        <v>670</v>
      </c>
      <c r="E877" s="664" t="str">
        <f>+VLOOKUP(F877,Resumen_Base!$C$8:$G$287,5,0)</f>
        <v>Travel for personnel (employees)</v>
      </c>
      <c r="F877" s="152" t="s">
        <v>68</v>
      </c>
      <c r="G877" s="4" t="s">
        <v>69</v>
      </c>
      <c r="H877" s="4" t="str">
        <f t="shared" si="13"/>
        <v>SJ5255</v>
      </c>
      <c r="I877" s="196">
        <v>-213</v>
      </c>
      <c r="J877" s="196">
        <v>-0.15</v>
      </c>
      <c r="K877" s="196">
        <v>1420</v>
      </c>
      <c r="L877" s="454" t="s">
        <v>1081</v>
      </c>
      <c r="M877" s="4" t="s">
        <v>780</v>
      </c>
      <c r="N877" s="133" t="s">
        <v>781</v>
      </c>
      <c r="O877" s="4" t="s">
        <v>1082</v>
      </c>
      <c r="P877" s="4" t="s">
        <v>892</v>
      </c>
      <c r="Q877" s="4" t="s">
        <v>1083</v>
      </c>
      <c r="R877" s="4" t="s">
        <v>906</v>
      </c>
      <c r="S877" s="4" t="s">
        <v>1084</v>
      </c>
      <c r="T877" s="4" t="s">
        <v>786</v>
      </c>
    </row>
    <row r="878" spans="1:20" customFormat="1">
      <c r="A878" s="10"/>
      <c r="B878" s="4"/>
      <c r="C878" s="4"/>
      <c r="D878" s="133" t="s">
        <v>670</v>
      </c>
      <c r="E878" s="664" t="str">
        <f>+VLOOKUP(F878,Resumen_Base!$C$8:$G$287,5,0)</f>
        <v>Travel for personnel (employees)</v>
      </c>
      <c r="F878" s="152" t="s">
        <v>68</v>
      </c>
      <c r="G878" s="4" t="s">
        <v>69</v>
      </c>
      <c r="H878" s="4" t="str">
        <f t="shared" si="13"/>
        <v>SJ5255</v>
      </c>
      <c r="I878" s="196">
        <v>-14.2</v>
      </c>
      <c r="J878" s="196">
        <v>-0.01</v>
      </c>
      <c r="K878" s="196">
        <v>1420</v>
      </c>
      <c r="L878" s="454" t="s">
        <v>1081</v>
      </c>
      <c r="M878" s="4" t="s">
        <v>780</v>
      </c>
      <c r="N878" s="133" t="s">
        <v>781</v>
      </c>
      <c r="O878" s="4" t="s">
        <v>1082</v>
      </c>
      <c r="P878" s="4" t="s">
        <v>892</v>
      </c>
      <c r="Q878" s="4" t="s">
        <v>1083</v>
      </c>
      <c r="R878" s="4" t="s">
        <v>906</v>
      </c>
      <c r="S878" s="4" t="s">
        <v>1084</v>
      </c>
      <c r="T878" s="4" t="s">
        <v>786</v>
      </c>
    </row>
    <row r="879" spans="1:20" customFormat="1">
      <c r="A879" s="10"/>
      <c r="B879" s="4"/>
      <c r="C879" s="4"/>
      <c r="D879" s="133" t="s">
        <v>670</v>
      </c>
      <c r="E879" s="664" t="str">
        <f>+VLOOKUP(F879,Resumen_Base!$C$8:$G$287,5,0)</f>
        <v>Travel for personnel (employees)</v>
      </c>
      <c r="F879" s="152" t="s">
        <v>68</v>
      </c>
      <c r="G879" s="4" t="s">
        <v>69</v>
      </c>
      <c r="H879" s="4" t="str">
        <f t="shared" si="13"/>
        <v>SJ5255</v>
      </c>
      <c r="I879" s="196">
        <v>-3677.8</v>
      </c>
      <c r="J879" s="196">
        <v>-2.59</v>
      </c>
      <c r="K879" s="196">
        <v>1420</v>
      </c>
      <c r="L879" s="454" t="s">
        <v>1088</v>
      </c>
      <c r="M879" s="4" t="s">
        <v>780</v>
      </c>
      <c r="N879" s="133" t="s">
        <v>781</v>
      </c>
      <c r="O879" s="4" t="s">
        <v>1089</v>
      </c>
      <c r="P879" s="4" t="s">
        <v>892</v>
      </c>
      <c r="Q879" s="4" t="s">
        <v>1090</v>
      </c>
      <c r="R879" s="4" t="s">
        <v>1091</v>
      </c>
      <c r="S879" s="4" t="s">
        <v>1092</v>
      </c>
      <c r="T879" s="4" t="s">
        <v>786</v>
      </c>
    </row>
    <row r="880" spans="1:20" customFormat="1">
      <c r="A880" s="10"/>
      <c r="B880" s="4"/>
      <c r="C880" s="4"/>
      <c r="D880" s="133" t="s">
        <v>670</v>
      </c>
      <c r="E880" s="664" t="str">
        <f>+VLOOKUP(F880,Resumen_Base!$C$8:$G$287,5,0)</f>
        <v>Travel for personnel (employees)</v>
      </c>
      <c r="F880" s="152" t="s">
        <v>68</v>
      </c>
      <c r="G880" s="4" t="s">
        <v>69</v>
      </c>
      <c r="H880" s="4" t="str">
        <f t="shared" si="13"/>
        <v>SJ5255</v>
      </c>
      <c r="I880" s="196">
        <v>1050.8</v>
      </c>
      <c r="J880" s="196">
        <v>0.74</v>
      </c>
      <c r="K880" s="196">
        <v>1420</v>
      </c>
      <c r="L880" s="454" t="s">
        <v>1081</v>
      </c>
      <c r="M880" s="4" t="s">
        <v>780</v>
      </c>
      <c r="N880" s="133" t="s">
        <v>781</v>
      </c>
      <c r="O880" s="4" t="s">
        <v>1149</v>
      </c>
      <c r="P880" s="4" t="s">
        <v>892</v>
      </c>
      <c r="Q880" s="4" t="s">
        <v>1150</v>
      </c>
      <c r="R880" s="4" t="s">
        <v>1151</v>
      </c>
      <c r="S880" s="4" t="s">
        <v>1152</v>
      </c>
      <c r="T880" s="4" t="s">
        <v>786</v>
      </c>
    </row>
    <row r="881" spans="1:20" customFormat="1">
      <c r="A881" s="10"/>
      <c r="B881" s="4"/>
      <c r="C881" s="4"/>
      <c r="D881" s="133" t="s">
        <v>670</v>
      </c>
      <c r="E881" s="664" t="str">
        <f>+VLOOKUP(F881,Resumen_Base!$C$8:$G$287,5,0)</f>
        <v>Travel for personnel (employees)</v>
      </c>
      <c r="F881" s="152" t="s">
        <v>68</v>
      </c>
      <c r="G881" s="4" t="s">
        <v>69</v>
      </c>
      <c r="H881" s="4" t="str">
        <f t="shared" si="13"/>
        <v>SJ5255</v>
      </c>
      <c r="I881" s="196">
        <v>13049.8</v>
      </c>
      <c r="J881" s="196">
        <v>9.19</v>
      </c>
      <c r="K881" s="196">
        <v>1420</v>
      </c>
      <c r="L881" s="454" t="s">
        <v>1081</v>
      </c>
      <c r="M881" s="4" t="s">
        <v>780</v>
      </c>
      <c r="N881" s="133" t="s">
        <v>781</v>
      </c>
      <c r="O881" s="4" t="s">
        <v>1149</v>
      </c>
      <c r="P881" s="4" t="s">
        <v>892</v>
      </c>
      <c r="Q881" s="4" t="s">
        <v>1150</v>
      </c>
      <c r="R881" s="4" t="s">
        <v>1151</v>
      </c>
      <c r="S881" s="4" t="s">
        <v>1152</v>
      </c>
      <c r="T881" s="4" t="s">
        <v>786</v>
      </c>
    </row>
    <row r="882" spans="1:20" customFormat="1">
      <c r="A882" s="10"/>
      <c r="B882" s="4"/>
      <c r="C882" s="4"/>
      <c r="D882" s="133" t="s">
        <v>670</v>
      </c>
      <c r="E882" s="664" t="str">
        <f>+VLOOKUP(F882,Resumen_Base!$C$8:$G$287,5,0)</f>
        <v>Travel for personnel (employees)</v>
      </c>
      <c r="F882" s="152" t="s">
        <v>68</v>
      </c>
      <c r="G882" s="4" t="s">
        <v>69</v>
      </c>
      <c r="H882" s="4" t="str">
        <f t="shared" si="13"/>
        <v>SJ5255</v>
      </c>
      <c r="I882" s="196">
        <v>16159.6</v>
      </c>
      <c r="J882" s="196">
        <v>11.38</v>
      </c>
      <c r="K882" s="196">
        <v>1420</v>
      </c>
      <c r="L882" s="454" t="s">
        <v>1113</v>
      </c>
      <c r="M882" s="4" t="s">
        <v>780</v>
      </c>
      <c r="N882" s="133" t="s">
        <v>781</v>
      </c>
      <c r="O882" s="4" t="s">
        <v>1156</v>
      </c>
      <c r="P882" s="4" t="s">
        <v>892</v>
      </c>
      <c r="Q882" s="4" t="s">
        <v>1157</v>
      </c>
      <c r="R882" s="4" t="s">
        <v>1158</v>
      </c>
      <c r="S882" s="4" t="s">
        <v>1159</v>
      </c>
      <c r="T882" s="4" t="s">
        <v>786</v>
      </c>
    </row>
    <row r="883" spans="1:20" customFormat="1">
      <c r="A883" s="10"/>
      <c r="B883" s="4"/>
      <c r="C883" s="4"/>
      <c r="D883" s="133" t="s">
        <v>670</v>
      </c>
      <c r="E883" s="664" t="str">
        <f>+VLOOKUP(F883,Resumen_Base!$C$8:$G$287,5,0)</f>
        <v>Travel for personnel (employees)</v>
      </c>
      <c r="F883" s="152" t="s">
        <v>68</v>
      </c>
      <c r="G883" s="4" t="s">
        <v>69</v>
      </c>
      <c r="H883" s="4" t="str">
        <f t="shared" si="13"/>
        <v>SJ5255</v>
      </c>
      <c r="I883" s="196">
        <v>2698</v>
      </c>
      <c r="J883" s="196">
        <v>1.9</v>
      </c>
      <c r="K883" s="196">
        <v>1420</v>
      </c>
      <c r="L883" s="454" t="s">
        <v>1113</v>
      </c>
      <c r="M883" s="4" t="s">
        <v>780</v>
      </c>
      <c r="N883" s="133" t="s">
        <v>781</v>
      </c>
      <c r="O883" s="4" t="s">
        <v>1156</v>
      </c>
      <c r="P883" s="4" t="s">
        <v>892</v>
      </c>
      <c r="Q883" s="4" t="s">
        <v>1157</v>
      </c>
      <c r="R883" s="4" t="s">
        <v>1160</v>
      </c>
      <c r="S883" s="4" t="s">
        <v>1159</v>
      </c>
      <c r="T883" s="4" t="s">
        <v>786</v>
      </c>
    </row>
    <row r="884" spans="1:20" customFormat="1">
      <c r="A884" s="10"/>
      <c r="B884" s="4"/>
      <c r="C884" s="4"/>
      <c r="D884" s="133" t="s">
        <v>670</v>
      </c>
      <c r="E884" s="664" t="str">
        <f>+VLOOKUP(F884,Resumen_Base!$C$8:$G$287,5,0)</f>
        <v>Travel for personnel (employees)</v>
      </c>
      <c r="F884" s="152" t="s">
        <v>68</v>
      </c>
      <c r="G884" s="4" t="s">
        <v>69</v>
      </c>
      <c r="H884" s="4" t="str">
        <f t="shared" si="13"/>
        <v>SJ5255</v>
      </c>
      <c r="I884" s="196">
        <v>1462.6</v>
      </c>
      <c r="J884" s="196">
        <v>1.03</v>
      </c>
      <c r="K884" s="196">
        <v>1420</v>
      </c>
      <c r="L884" s="454" t="s">
        <v>1113</v>
      </c>
      <c r="M884" s="4" t="s">
        <v>780</v>
      </c>
      <c r="N884" s="133" t="s">
        <v>781</v>
      </c>
      <c r="O884" s="4" t="s">
        <v>1156</v>
      </c>
      <c r="P884" s="4" t="s">
        <v>892</v>
      </c>
      <c r="Q884" s="4" t="s">
        <v>1157</v>
      </c>
      <c r="R884" s="4" t="s">
        <v>1160</v>
      </c>
      <c r="S884" s="4" t="s">
        <v>1159</v>
      </c>
      <c r="T884" s="4" t="s">
        <v>786</v>
      </c>
    </row>
    <row r="885" spans="1:20" customFormat="1">
      <c r="A885" s="10"/>
      <c r="B885" s="4"/>
      <c r="C885" s="4"/>
      <c r="D885" s="133" t="s">
        <v>670</v>
      </c>
      <c r="E885" s="664" t="str">
        <f>+VLOOKUP(F885,Resumen_Base!$C$8:$G$287,5,0)</f>
        <v>Travel for personnel (employees)</v>
      </c>
      <c r="F885" s="152" t="s">
        <v>68</v>
      </c>
      <c r="G885" s="4" t="s">
        <v>69</v>
      </c>
      <c r="H885" s="4" t="str">
        <f t="shared" si="13"/>
        <v>SJ5255</v>
      </c>
      <c r="I885" s="196">
        <v>45582</v>
      </c>
      <c r="J885" s="196">
        <v>32.1</v>
      </c>
      <c r="K885" s="196">
        <v>1420</v>
      </c>
      <c r="L885" s="454" t="s">
        <v>1113</v>
      </c>
      <c r="M885" s="4" t="s">
        <v>780</v>
      </c>
      <c r="N885" s="133" t="s">
        <v>781</v>
      </c>
      <c r="O885" s="4" t="s">
        <v>1156</v>
      </c>
      <c r="P885" s="4" t="s">
        <v>892</v>
      </c>
      <c r="Q885" s="4" t="s">
        <v>1157</v>
      </c>
      <c r="R885" s="4" t="s">
        <v>1160</v>
      </c>
      <c r="S885" s="4" t="s">
        <v>1159</v>
      </c>
      <c r="T885" s="4" t="s">
        <v>786</v>
      </c>
    </row>
    <row r="886" spans="1:20" customFormat="1">
      <c r="A886" s="10"/>
      <c r="B886" s="4"/>
      <c r="C886" s="4"/>
      <c r="D886" s="133" t="s">
        <v>670</v>
      </c>
      <c r="E886" s="664" t="str">
        <f>+VLOOKUP(F886,Resumen_Base!$C$8:$G$287,5,0)</f>
        <v>Travel for personnel (employees)</v>
      </c>
      <c r="F886" s="152" t="s">
        <v>68</v>
      </c>
      <c r="G886" s="4" t="s">
        <v>69</v>
      </c>
      <c r="H886" s="4" t="str">
        <f t="shared" si="13"/>
        <v>SJ5255</v>
      </c>
      <c r="I886" s="196">
        <v>26042.799999999999</v>
      </c>
      <c r="J886" s="196">
        <v>18.34</v>
      </c>
      <c r="K886" s="196">
        <v>1420</v>
      </c>
      <c r="L886" s="454" t="s">
        <v>1098</v>
      </c>
      <c r="M886" s="4" t="s">
        <v>780</v>
      </c>
      <c r="N886" s="133" t="s">
        <v>781</v>
      </c>
      <c r="O886" s="4" t="s">
        <v>1165</v>
      </c>
      <c r="P886" s="4" t="s">
        <v>892</v>
      </c>
      <c r="Q886" s="4" t="s">
        <v>1166</v>
      </c>
      <c r="R886" s="4" t="s">
        <v>1167</v>
      </c>
      <c r="S886" s="4" t="s">
        <v>1168</v>
      </c>
      <c r="T886" s="4" t="s">
        <v>786</v>
      </c>
    </row>
    <row r="887" spans="1:20" customFormat="1">
      <c r="A887" s="10"/>
      <c r="B887" s="4"/>
      <c r="C887" s="4"/>
      <c r="D887" s="133" t="s">
        <v>670</v>
      </c>
      <c r="E887" s="664" t="str">
        <f>+VLOOKUP(F887,Resumen_Base!$C$8:$G$287,5,0)</f>
        <v>Travel for personnel (employees)</v>
      </c>
      <c r="F887" s="152" t="s">
        <v>68</v>
      </c>
      <c r="G887" s="4" t="s">
        <v>69</v>
      </c>
      <c r="H887" s="4" t="str">
        <f t="shared" si="13"/>
        <v>SJ5255</v>
      </c>
      <c r="I887" s="196">
        <v>13376.4</v>
      </c>
      <c r="J887" s="196">
        <v>9.42</v>
      </c>
      <c r="K887" s="196">
        <v>1420</v>
      </c>
      <c r="L887" s="454" t="s">
        <v>1098</v>
      </c>
      <c r="M887" s="4" t="s">
        <v>780</v>
      </c>
      <c r="N887" s="133" t="s">
        <v>781</v>
      </c>
      <c r="O887" s="4" t="s">
        <v>1165</v>
      </c>
      <c r="P887" s="4" t="s">
        <v>892</v>
      </c>
      <c r="Q887" s="4" t="s">
        <v>1166</v>
      </c>
      <c r="R887" s="4" t="s">
        <v>1167</v>
      </c>
      <c r="S887" s="4" t="s">
        <v>1168</v>
      </c>
      <c r="T887" s="4" t="s">
        <v>786</v>
      </c>
    </row>
    <row r="888" spans="1:20" customFormat="1">
      <c r="A888" s="10"/>
      <c r="B888" s="4"/>
      <c r="C888" s="4"/>
      <c r="D888" s="133" t="s">
        <v>670</v>
      </c>
      <c r="E888" s="664" t="str">
        <f>+VLOOKUP(F888,Resumen_Base!$C$8:$G$287,5,0)</f>
        <v>Travel for personnel (employees)</v>
      </c>
      <c r="F888" s="152" t="s">
        <v>68</v>
      </c>
      <c r="G888" s="4" t="s">
        <v>69</v>
      </c>
      <c r="H888" s="4" t="str">
        <f t="shared" si="13"/>
        <v>SJ5255</v>
      </c>
      <c r="I888" s="196">
        <v>2698</v>
      </c>
      <c r="J888" s="196">
        <v>1.9</v>
      </c>
      <c r="K888" s="196">
        <v>1420</v>
      </c>
      <c r="L888" s="454" t="s">
        <v>1098</v>
      </c>
      <c r="M888" s="4" t="s">
        <v>780</v>
      </c>
      <c r="N888" s="133" t="s">
        <v>781</v>
      </c>
      <c r="O888" s="4" t="s">
        <v>1175</v>
      </c>
      <c r="P888" s="4" t="s">
        <v>892</v>
      </c>
      <c r="Q888" s="4" t="s">
        <v>1176</v>
      </c>
      <c r="R888" s="4" t="s">
        <v>953</v>
      </c>
      <c r="S888" s="4" t="s">
        <v>1178</v>
      </c>
      <c r="T888" s="4" t="s">
        <v>786</v>
      </c>
    </row>
    <row r="889" spans="1:20" customFormat="1">
      <c r="A889" s="10"/>
      <c r="B889" s="4"/>
      <c r="C889" s="4"/>
      <c r="D889" s="133" t="s">
        <v>676</v>
      </c>
      <c r="E889" s="664" t="str">
        <f>+VLOOKUP(F889,Resumen_Base!$C$8:$G$287,5,0)</f>
        <v>Travel for personnel (employees)</v>
      </c>
      <c r="F889" s="152" t="s">
        <v>68</v>
      </c>
      <c r="G889" s="4" t="s">
        <v>69</v>
      </c>
      <c r="H889" s="4" t="str">
        <f t="shared" si="13"/>
        <v>CAR5255</v>
      </c>
      <c r="I889" s="196">
        <v>57808.2</v>
      </c>
      <c r="J889" s="196">
        <v>40.71</v>
      </c>
      <c r="K889" s="196">
        <v>1420</v>
      </c>
      <c r="L889" s="454" t="s">
        <v>787</v>
      </c>
      <c r="M889" s="4" t="s">
        <v>780</v>
      </c>
      <c r="N889" s="133" t="s">
        <v>1407</v>
      </c>
      <c r="O889" s="4" t="s">
        <v>1490</v>
      </c>
      <c r="P889" s="4" t="s">
        <v>783</v>
      </c>
      <c r="Q889" s="4" t="s">
        <v>1491</v>
      </c>
      <c r="R889" s="4" t="s">
        <v>1498</v>
      </c>
      <c r="S889" s="4" t="s">
        <v>1493</v>
      </c>
      <c r="T889" s="4" t="s">
        <v>786</v>
      </c>
    </row>
    <row r="890" spans="1:20" customFormat="1">
      <c r="A890" s="10"/>
      <c r="B890" s="4"/>
      <c r="C890" s="4"/>
      <c r="D890" s="133" t="s">
        <v>676</v>
      </c>
      <c r="E890" s="664" t="str">
        <f>+VLOOKUP(F890,Resumen_Base!$C$8:$G$287,5,0)</f>
        <v>Travel for personnel (employees)</v>
      </c>
      <c r="F890" s="152" t="s">
        <v>68</v>
      </c>
      <c r="G890" s="4" t="s">
        <v>69</v>
      </c>
      <c r="H890" s="4" t="str">
        <f t="shared" si="13"/>
        <v>CAR5255</v>
      </c>
      <c r="I890" s="196">
        <v>18985.400000000001</v>
      </c>
      <c r="J890" s="196">
        <v>13.37</v>
      </c>
      <c r="K890" s="196">
        <v>1420</v>
      </c>
      <c r="L890" s="454" t="s">
        <v>787</v>
      </c>
      <c r="M890" s="4" t="s">
        <v>780</v>
      </c>
      <c r="N890" s="133" t="s">
        <v>1407</v>
      </c>
      <c r="O890" s="4" t="s">
        <v>1490</v>
      </c>
      <c r="P890" s="4" t="s">
        <v>783</v>
      </c>
      <c r="Q890" s="4" t="s">
        <v>1491</v>
      </c>
      <c r="R890" s="4" t="s">
        <v>1499</v>
      </c>
      <c r="S890" s="4" t="s">
        <v>1493</v>
      </c>
      <c r="T890" s="4" t="s">
        <v>786</v>
      </c>
    </row>
    <row r="891" spans="1:20" customFormat="1">
      <c r="A891" s="10"/>
      <c r="B891" s="4"/>
      <c r="C891" s="4"/>
      <c r="D891" s="133" t="s">
        <v>676</v>
      </c>
      <c r="E891" s="664" t="str">
        <f>+VLOOKUP(F891,Resumen_Base!$C$8:$G$287,5,0)</f>
        <v>Travel for personnel (employees)</v>
      </c>
      <c r="F891" s="152" t="s">
        <v>68</v>
      </c>
      <c r="G891" s="4" t="s">
        <v>69</v>
      </c>
      <c r="H891" s="4" t="str">
        <f t="shared" si="13"/>
        <v>CAR5255</v>
      </c>
      <c r="I891" s="196">
        <v>16117</v>
      </c>
      <c r="J891" s="196">
        <v>11.35</v>
      </c>
      <c r="K891" s="196">
        <v>1420</v>
      </c>
      <c r="L891" s="454" t="s">
        <v>787</v>
      </c>
      <c r="M891" s="4" t="s">
        <v>780</v>
      </c>
      <c r="N891" s="133" t="s">
        <v>1407</v>
      </c>
      <c r="O891" s="4" t="s">
        <v>1490</v>
      </c>
      <c r="P891" s="4" t="s">
        <v>783</v>
      </c>
      <c r="Q891" s="4" t="s">
        <v>1491</v>
      </c>
      <c r="R891" s="4" t="s">
        <v>1500</v>
      </c>
      <c r="S891" s="4" t="s">
        <v>1493</v>
      </c>
      <c r="T891" s="4" t="s">
        <v>786</v>
      </c>
    </row>
    <row r="892" spans="1:20" customFormat="1">
      <c r="A892" s="10"/>
      <c r="B892" s="4"/>
      <c r="C892" s="4"/>
      <c r="D892" s="133" t="s">
        <v>676</v>
      </c>
      <c r="E892" s="664" t="str">
        <f>+VLOOKUP(F892,Resumen_Base!$C$8:$G$287,5,0)</f>
        <v>Travel for personnel (employees)</v>
      </c>
      <c r="F892" s="152" t="s">
        <v>68</v>
      </c>
      <c r="G892" s="4" t="s">
        <v>69</v>
      </c>
      <c r="H892" s="4" t="str">
        <f t="shared" si="13"/>
        <v>CAR5255</v>
      </c>
      <c r="I892" s="196">
        <v>278000</v>
      </c>
      <c r="J892" s="196">
        <v>200</v>
      </c>
      <c r="K892" s="196">
        <v>1390</v>
      </c>
      <c r="L892" s="454" t="s">
        <v>899</v>
      </c>
      <c r="M892" s="4" t="s">
        <v>780</v>
      </c>
      <c r="N892" s="133" t="s">
        <v>1407</v>
      </c>
      <c r="O892" s="4" t="s">
        <v>1620</v>
      </c>
      <c r="P892" s="4" t="s">
        <v>892</v>
      </c>
      <c r="Q892" s="4" t="s">
        <v>1621</v>
      </c>
      <c r="R892" s="4" t="s">
        <v>1645</v>
      </c>
      <c r="S892" s="4" t="s">
        <v>1623</v>
      </c>
      <c r="T892" s="4" t="s">
        <v>786</v>
      </c>
    </row>
    <row r="893" spans="1:20" customFormat="1">
      <c r="A893" s="10"/>
      <c r="B893" s="4"/>
      <c r="C893" s="4"/>
      <c r="D893" s="133" t="s">
        <v>676</v>
      </c>
      <c r="E893" s="664" t="str">
        <f>+VLOOKUP(F893,Resumen_Base!$C$8:$G$287,5,0)</f>
        <v>Travel for personnel (employees)</v>
      </c>
      <c r="F893" s="152" t="s">
        <v>68</v>
      </c>
      <c r="G893" s="4" t="s">
        <v>69</v>
      </c>
      <c r="H893" s="4" t="str">
        <f t="shared" si="13"/>
        <v>CAR5255</v>
      </c>
      <c r="I893" s="196">
        <v>293150</v>
      </c>
      <c r="J893" s="196">
        <v>205</v>
      </c>
      <c r="K893" s="196">
        <v>1430</v>
      </c>
      <c r="L893" s="454" t="s">
        <v>927</v>
      </c>
      <c r="M893" s="4" t="s">
        <v>780</v>
      </c>
      <c r="N893" s="133" t="s">
        <v>1407</v>
      </c>
      <c r="O893" s="4" t="s">
        <v>928</v>
      </c>
      <c r="P893" s="4" t="s">
        <v>892</v>
      </c>
      <c r="Q893" s="4" t="s">
        <v>929</v>
      </c>
      <c r="R893" s="4" t="s">
        <v>1747</v>
      </c>
      <c r="S893" s="4" t="s">
        <v>931</v>
      </c>
      <c r="T893" s="4" t="s">
        <v>786</v>
      </c>
    </row>
    <row r="894" spans="1:20" customFormat="1">
      <c r="A894" s="716" t="s">
        <v>2807</v>
      </c>
      <c r="B894" s="4"/>
      <c r="C894" s="4"/>
      <c r="D894" s="133" t="s">
        <v>676</v>
      </c>
      <c r="E894" s="664" t="str">
        <f>+VLOOKUP(F894,Resumen_Base!$C$8:$G$287,5,0)</f>
        <v>Travel for personnel (employees)</v>
      </c>
      <c r="F894" s="152" t="s">
        <v>68</v>
      </c>
      <c r="G894" s="4" t="s">
        <v>69</v>
      </c>
      <c r="H894" s="4" t="str">
        <f t="shared" si="13"/>
        <v>CAR5255</v>
      </c>
      <c r="I894" s="196">
        <v>1144000</v>
      </c>
      <c r="J894" s="196">
        <v>800</v>
      </c>
      <c r="K894" s="196">
        <v>1430</v>
      </c>
      <c r="L894" s="454" t="s">
        <v>890</v>
      </c>
      <c r="M894" s="4" t="s">
        <v>780</v>
      </c>
      <c r="N894" s="133" t="s">
        <v>1407</v>
      </c>
      <c r="O894" s="4" t="s">
        <v>1789</v>
      </c>
      <c r="P894" s="4" t="s">
        <v>892</v>
      </c>
      <c r="Q894" s="4" t="s">
        <v>1790</v>
      </c>
      <c r="R894" s="4" t="s">
        <v>1794</v>
      </c>
      <c r="S894" s="4" t="s">
        <v>1792</v>
      </c>
      <c r="T894" s="4" t="s">
        <v>786</v>
      </c>
    </row>
    <row r="895" spans="1:20" customFormat="1">
      <c r="A895" s="10"/>
      <c r="B895" s="4"/>
      <c r="C895" s="4"/>
      <c r="D895" s="133" t="s">
        <v>676</v>
      </c>
      <c r="E895" s="664" t="str">
        <f>+VLOOKUP(F895,Resumen_Base!$C$8:$G$287,5,0)</f>
        <v>Travel for personnel (employees)</v>
      </c>
      <c r="F895" s="152" t="s">
        <v>68</v>
      </c>
      <c r="G895" s="4" t="s">
        <v>69</v>
      </c>
      <c r="H895" s="4" t="str">
        <f t="shared" si="13"/>
        <v>CAR5255</v>
      </c>
      <c r="I895" s="196">
        <v>2717</v>
      </c>
      <c r="J895" s="196">
        <v>1.9</v>
      </c>
      <c r="K895" s="196">
        <v>1430</v>
      </c>
      <c r="L895" s="454" t="s">
        <v>890</v>
      </c>
      <c r="M895" s="4" t="s">
        <v>780</v>
      </c>
      <c r="N895" s="133" t="s">
        <v>1407</v>
      </c>
      <c r="O895" s="4" t="s">
        <v>1789</v>
      </c>
      <c r="P895" s="4" t="s">
        <v>892</v>
      </c>
      <c r="Q895" s="4" t="s">
        <v>1790</v>
      </c>
      <c r="R895" s="4" t="s">
        <v>1456</v>
      </c>
      <c r="S895" s="4" t="s">
        <v>1792</v>
      </c>
      <c r="T895" s="4" t="s">
        <v>786</v>
      </c>
    </row>
    <row r="896" spans="1:20" customFormat="1">
      <c r="A896" s="10"/>
      <c r="B896" s="4"/>
      <c r="C896" s="4"/>
      <c r="D896" s="133" t="s">
        <v>676</v>
      </c>
      <c r="E896" s="664" t="str">
        <f>+VLOOKUP(F896,Resumen_Base!$C$8:$G$287,5,0)</f>
        <v>Travel for personnel (employees)</v>
      </c>
      <c r="F896" s="152" t="s">
        <v>68</v>
      </c>
      <c r="G896" s="4" t="s">
        <v>69</v>
      </c>
      <c r="H896" s="4" t="str">
        <f t="shared" si="13"/>
        <v>CAR5255</v>
      </c>
      <c r="I896" s="196">
        <v>329440</v>
      </c>
      <c r="J896" s="196">
        <v>232</v>
      </c>
      <c r="K896" s="196">
        <v>1420</v>
      </c>
      <c r="L896" s="454" t="s">
        <v>1109</v>
      </c>
      <c r="M896" s="4" t="s">
        <v>780</v>
      </c>
      <c r="N896" s="133" t="s">
        <v>1407</v>
      </c>
      <c r="O896" s="4" t="s">
        <v>2347</v>
      </c>
      <c r="P896" s="4" t="s">
        <v>892</v>
      </c>
      <c r="Q896" s="4" t="s">
        <v>2348</v>
      </c>
      <c r="R896" s="4" t="s">
        <v>2358</v>
      </c>
      <c r="S896" s="4" t="s">
        <v>2350</v>
      </c>
      <c r="T896" s="4" t="s">
        <v>786</v>
      </c>
    </row>
    <row r="897" spans="1:20" customFormat="1">
      <c r="A897" s="10"/>
      <c r="B897" s="4"/>
      <c r="C897" s="4"/>
      <c r="D897" s="133" t="s">
        <v>676</v>
      </c>
      <c r="E897" s="664" t="str">
        <f>+VLOOKUP(F897,Resumen_Base!$C$8:$G$287,5,0)</f>
        <v>Travel for personnel (employees)</v>
      </c>
      <c r="F897" s="152" t="s">
        <v>68</v>
      </c>
      <c r="G897" s="4" t="s">
        <v>69</v>
      </c>
      <c r="H897" s="4" t="str">
        <f t="shared" si="13"/>
        <v>CAR5255</v>
      </c>
      <c r="I897" s="196">
        <v>374880</v>
      </c>
      <c r="J897" s="196">
        <v>264</v>
      </c>
      <c r="K897" s="196">
        <v>1420</v>
      </c>
      <c r="L897" s="454" t="s">
        <v>1109</v>
      </c>
      <c r="M897" s="4" t="s">
        <v>780</v>
      </c>
      <c r="N897" s="133" t="s">
        <v>1407</v>
      </c>
      <c r="O897" s="4" t="s">
        <v>2347</v>
      </c>
      <c r="P897" s="4" t="s">
        <v>892</v>
      </c>
      <c r="Q897" s="4" t="s">
        <v>2348</v>
      </c>
      <c r="R897" s="4" t="s">
        <v>2356</v>
      </c>
      <c r="S897" s="4" t="s">
        <v>2350</v>
      </c>
      <c r="T897" s="4" t="s">
        <v>786</v>
      </c>
    </row>
    <row r="898" spans="1:20" customFormat="1">
      <c r="A898" s="10"/>
      <c r="B898" s="4"/>
      <c r="C898" s="4"/>
      <c r="D898" s="133" t="s">
        <v>676</v>
      </c>
      <c r="E898" s="664" t="str">
        <f>+VLOOKUP(F898,Resumen_Base!$C$8:$G$287,5,0)</f>
        <v>Travel for personnel (employees)</v>
      </c>
      <c r="F898" s="152" t="s">
        <v>68</v>
      </c>
      <c r="G898" s="4" t="s">
        <v>69</v>
      </c>
      <c r="H898" s="4" t="str">
        <f t="shared" si="13"/>
        <v>CAR5255</v>
      </c>
      <c r="I898" s="196">
        <v>143420</v>
      </c>
      <c r="J898" s="196">
        <v>101</v>
      </c>
      <c r="K898" s="196">
        <v>1420</v>
      </c>
      <c r="L898" s="454" t="s">
        <v>1109</v>
      </c>
      <c r="M898" s="4" t="s">
        <v>780</v>
      </c>
      <c r="N898" s="133" t="s">
        <v>1407</v>
      </c>
      <c r="O898" s="4" t="s">
        <v>2347</v>
      </c>
      <c r="P898" s="4" t="s">
        <v>892</v>
      </c>
      <c r="Q898" s="4" t="s">
        <v>2348</v>
      </c>
      <c r="R898" s="4" t="s">
        <v>2355</v>
      </c>
      <c r="S898" s="4" t="s">
        <v>2350</v>
      </c>
      <c r="T898" s="4" t="s">
        <v>786</v>
      </c>
    </row>
    <row r="899" spans="1:20" customFormat="1">
      <c r="A899" s="10"/>
      <c r="B899" s="4"/>
      <c r="C899" s="4"/>
      <c r="D899" s="133" t="s">
        <v>676</v>
      </c>
      <c r="E899" s="664" t="str">
        <f>+VLOOKUP(F899,Resumen_Base!$C$8:$G$287,5,0)</f>
        <v>Travel for personnel (employees)</v>
      </c>
      <c r="F899" s="152" t="s">
        <v>68</v>
      </c>
      <c r="G899" s="4" t="s">
        <v>69</v>
      </c>
      <c r="H899" s="4" t="str">
        <f t="shared" si="13"/>
        <v>CAR5255</v>
      </c>
      <c r="I899" s="196">
        <v>100000</v>
      </c>
      <c r="J899" s="196">
        <v>70.422535211267601</v>
      </c>
      <c r="K899" s="196">
        <v>1420</v>
      </c>
      <c r="L899" s="454" t="s">
        <v>1109</v>
      </c>
      <c r="M899" s="4" t="s">
        <v>780</v>
      </c>
      <c r="N899" s="133" t="s">
        <v>1407</v>
      </c>
      <c r="O899" s="4" t="s">
        <v>2359</v>
      </c>
      <c r="P899" s="4" t="s">
        <v>892</v>
      </c>
      <c r="Q899" s="4" t="s">
        <v>2360</v>
      </c>
      <c r="R899" s="4" t="s">
        <v>2361</v>
      </c>
      <c r="S899" s="4" t="s">
        <v>2362</v>
      </c>
      <c r="T899" s="4" t="s">
        <v>786</v>
      </c>
    </row>
    <row r="900" spans="1:20" customFormat="1">
      <c r="A900" s="10"/>
      <c r="B900" s="4"/>
      <c r="C900" s="4"/>
      <c r="D900" s="133" t="s">
        <v>676</v>
      </c>
      <c r="E900" s="664" t="str">
        <f>+VLOOKUP(F900,Resumen_Base!$C$8:$G$287,5,0)</f>
        <v>Travel for personnel (employees)</v>
      </c>
      <c r="F900" s="152" t="s">
        <v>68</v>
      </c>
      <c r="G900" s="4" t="s">
        <v>69</v>
      </c>
      <c r="H900" s="4" t="str">
        <f t="shared" si="13"/>
        <v>CAR5255</v>
      </c>
      <c r="I900" s="196">
        <v>13603.6</v>
      </c>
      <c r="J900" s="196">
        <v>9.58</v>
      </c>
      <c r="K900" s="196">
        <v>1420</v>
      </c>
      <c r="L900" s="454" t="s">
        <v>1098</v>
      </c>
      <c r="M900" s="4" t="s">
        <v>780</v>
      </c>
      <c r="N900" s="133" t="s">
        <v>1407</v>
      </c>
      <c r="O900" s="4" t="s">
        <v>2423</v>
      </c>
      <c r="P900" s="4" t="s">
        <v>892</v>
      </c>
      <c r="Q900" s="4" t="s">
        <v>2424</v>
      </c>
      <c r="R900" s="4" t="s">
        <v>2434</v>
      </c>
      <c r="S900" s="4" t="s">
        <v>2426</v>
      </c>
      <c r="T900" s="4" t="s">
        <v>786</v>
      </c>
    </row>
    <row r="901" spans="1:20" customFormat="1">
      <c r="A901" s="10"/>
      <c r="B901" s="4"/>
      <c r="C901" s="4"/>
      <c r="D901" s="133" t="s">
        <v>676</v>
      </c>
      <c r="E901" s="664" t="str">
        <f>+VLOOKUP(F901,Resumen_Base!$C$8:$G$287,5,0)</f>
        <v>Travel for personnel (employees)</v>
      </c>
      <c r="F901" s="152" t="s">
        <v>68</v>
      </c>
      <c r="G901" s="4" t="s">
        <v>69</v>
      </c>
      <c r="H901" s="4" t="str">
        <f t="shared" si="13"/>
        <v>CAR5255</v>
      </c>
      <c r="I901" s="196">
        <v>76900</v>
      </c>
      <c r="J901" s="196">
        <v>54.154929577464799</v>
      </c>
      <c r="K901" s="196">
        <v>1420</v>
      </c>
      <c r="L901" s="454" t="s">
        <v>1258</v>
      </c>
      <c r="M901" s="4" t="s">
        <v>780</v>
      </c>
      <c r="N901" s="133" t="s">
        <v>1407</v>
      </c>
      <c r="O901" s="4" t="s">
        <v>2545</v>
      </c>
      <c r="P901" s="4" t="s">
        <v>892</v>
      </c>
      <c r="Q901" s="4" t="s">
        <v>2546</v>
      </c>
      <c r="R901" s="4" t="s">
        <v>2547</v>
      </c>
      <c r="S901" s="4" t="s">
        <v>2548</v>
      </c>
      <c r="T901" s="4" t="s">
        <v>786</v>
      </c>
    </row>
    <row r="902" spans="1:20" customFormat="1">
      <c r="A902" s="10"/>
      <c r="B902" s="4"/>
      <c r="C902" s="4"/>
      <c r="D902" s="133" t="s">
        <v>676</v>
      </c>
      <c r="E902" s="664" t="str">
        <f>+VLOOKUP(F902,Resumen_Base!$C$8:$G$287,5,0)</f>
        <v>Travel for personnel (employees)</v>
      </c>
      <c r="F902" s="152" t="s">
        <v>68</v>
      </c>
      <c r="G902" s="4" t="s">
        <v>69</v>
      </c>
      <c r="H902" s="4" t="str">
        <f t="shared" si="13"/>
        <v>CAR5255</v>
      </c>
      <c r="I902" s="196">
        <v>65320</v>
      </c>
      <c r="J902" s="196">
        <v>46</v>
      </c>
      <c r="K902" s="196">
        <v>1420</v>
      </c>
      <c r="L902" s="454" t="s">
        <v>1210</v>
      </c>
      <c r="M902" s="4" t="s">
        <v>780</v>
      </c>
      <c r="N902" s="133" t="s">
        <v>1407</v>
      </c>
      <c r="O902" s="4" t="s">
        <v>1221</v>
      </c>
      <c r="P902" s="4" t="s">
        <v>892</v>
      </c>
      <c r="Q902" s="4" t="s">
        <v>1222</v>
      </c>
      <c r="R902" s="4" t="s">
        <v>2589</v>
      </c>
      <c r="S902" s="4" t="s">
        <v>1224</v>
      </c>
      <c r="T902" s="4" t="s">
        <v>786</v>
      </c>
    </row>
    <row r="903" spans="1:20" customFormat="1">
      <c r="A903" s="10"/>
      <c r="B903" s="4"/>
      <c r="C903" s="4"/>
      <c r="D903" s="133" t="s">
        <v>676</v>
      </c>
      <c r="E903" s="664" t="str">
        <f>+VLOOKUP(F903,Resumen_Base!$C$8:$G$287,5,0)</f>
        <v>Travel for personnel (employees)</v>
      </c>
      <c r="F903" s="152" t="s">
        <v>68</v>
      </c>
      <c r="G903" s="4" t="s">
        <v>69</v>
      </c>
      <c r="H903" s="4" t="str">
        <f t="shared" si="13"/>
        <v>CAR5255</v>
      </c>
      <c r="I903" s="196">
        <v>65320</v>
      </c>
      <c r="J903" s="196">
        <v>46</v>
      </c>
      <c r="K903" s="196">
        <v>1420</v>
      </c>
      <c r="L903" s="454" t="s">
        <v>1210</v>
      </c>
      <c r="M903" s="4" t="s">
        <v>780</v>
      </c>
      <c r="N903" s="133" t="s">
        <v>1407</v>
      </c>
      <c r="O903" s="4" t="s">
        <v>1221</v>
      </c>
      <c r="P903" s="4" t="s">
        <v>892</v>
      </c>
      <c r="Q903" s="4" t="s">
        <v>1222</v>
      </c>
      <c r="R903" s="4" t="s">
        <v>2590</v>
      </c>
      <c r="S903" s="4" t="s">
        <v>1224</v>
      </c>
      <c r="T903" s="4" t="s">
        <v>786</v>
      </c>
    </row>
    <row r="904" spans="1:20" customFormat="1">
      <c r="A904" s="10"/>
      <c r="B904" s="4"/>
      <c r="C904" s="4"/>
      <c r="D904" s="133" t="s">
        <v>676</v>
      </c>
      <c r="E904" s="664" t="str">
        <f>+VLOOKUP(F904,Resumen_Base!$C$8:$G$287,5,0)</f>
        <v>Travel for personnel (employees)</v>
      </c>
      <c r="F904" s="152" t="s">
        <v>68</v>
      </c>
      <c r="G904" s="4" t="s">
        <v>69</v>
      </c>
      <c r="H904" s="4" t="str">
        <f t="shared" si="13"/>
        <v>CAR5255</v>
      </c>
      <c r="I904" s="196">
        <v>176080</v>
      </c>
      <c r="J904" s="196">
        <v>124</v>
      </c>
      <c r="K904" s="196">
        <v>1420</v>
      </c>
      <c r="L904" s="454" t="s">
        <v>1210</v>
      </c>
      <c r="M904" s="4" t="s">
        <v>780</v>
      </c>
      <c r="N904" s="133" t="s">
        <v>1407</v>
      </c>
      <c r="O904" s="4" t="s">
        <v>1221</v>
      </c>
      <c r="P904" s="4" t="s">
        <v>892</v>
      </c>
      <c r="Q904" s="4" t="s">
        <v>1222</v>
      </c>
      <c r="R904" s="4" t="s">
        <v>2591</v>
      </c>
      <c r="S904" s="4" t="s">
        <v>1224</v>
      </c>
      <c r="T904" s="4" t="s">
        <v>786</v>
      </c>
    </row>
    <row r="905" spans="1:20" customFormat="1">
      <c r="A905" s="883" t="s">
        <v>2806</v>
      </c>
      <c r="B905" s="330"/>
      <c r="C905" s="330"/>
      <c r="D905" s="203" t="s">
        <v>676</v>
      </c>
      <c r="E905" s="714" t="str">
        <f>+VLOOKUP(F905,Resumen_Base!$C$8:$G$287,5,0)</f>
        <v>Baiting/Maize:</v>
      </c>
      <c r="F905" s="330" t="s">
        <v>265</v>
      </c>
      <c r="G905" s="330" t="s">
        <v>266</v>
      </c>
      <c r="H905" s="330" t="str">
        <f t="shared" si="13"/>
        <v>CAR5258</v>
      </c>
      <c r="I905" s="715">
        <v>1810500</v>
      </c>
      <c r="J905" s="715">
        <v>1275</v>
      </c>
      <c r="K905" s="715">
        <v>1420</v>
      </c>
      <c r="L905" s="456" t="s">
        <v>787</v>
      </c>
      <c r="M905" s="330" t="s">
        <v>780</v>
      </c>
      <c r="N905" s="203" t="s">
        <v>781</v>
      </c>
      <c r="O905" s="330" t="s">
        <v>830</v>
      </c>
      <c r="P905" s="330" t="s">
        <v>783</v>
      </c>
      <c r="Q905" s="330" t="s">
        <v>831</v>
      </c>
      <c r="R905" s="330" t="s">
        <v>843</v>
      </c>
      <c r="S905" s="330" t="s">
        <v>833</v>
      </c>
      <c r="T905" s="330" t="s">
        <v>786</v>
      </c>
    </row>
    <row r="906" spans="1:20" customFormat="1">
      <c r="A906" s="883"/>
      <c r="B906" s="330"/>
      <c r="C906" s="330"/>
      <c r="D906" s="203" t="s">
        <v>676</v>
      </c>
      <c r="E906" s="714" t="str">
        <f>+VLOOKUP(F906,Resumen_Base!$C$8:$G$287,5,0)</f>
        <v>Baiting/Maize:</v>
      </c>
      <c r="F906" s="330" t="s">
        <v>265</v>
      </c>
      <c r="G906" s="330" t="s">
        <v>266</v>
      </c>
      <c r="H906" s="330" t="str">
        <f t="shared" si="13"/>
        <v>CAR5258</v>
      </c>
      <c r="I906" s="715">
        <v>2698</v>
      </c>
      <c r="J906" s="715">
        <v>1.9</v>
      </c>
      <c r="K906" s="715">
        <v>1420</v>
      </c>
      <c r="L906" s="456" t="s">
        <v>787</v>
      </c>
      <c r="M906" s="330" t="s">
        <v>780</v>
      </c>
      <c r="N906" s="203" t="s">
        <v>781</v>
      </c>
      <c r="O906" s="330" t="s">
        <v>830</v>
      </c>
      <c r="P906" s="330" t="s">
        <v>783</v>
      </c>
      <c r="Q906" s="330" t="s">
        <v>831</v>
      </c>
      <c r="R906" s="330" t="s">
        <v>844</v>
      </c>
      <c r="S906" s="330" t="s">
        <v>833</v>
      </c>
      <c r="T906" s="330" t="s">
        <v>786</v>
      </c>
    </row>
    <row r="907" spans="1:20" customFormat="1" ht="14" customHeight="1">
      <c r="A907" s="883"/>
      <c r="B907" s="330"/>
      <c r="C907" s="330"/>
      <c r="D907" s="203" t="s">
        <v>676</v>
      </c>
      <c r="E907" s="714" t="str">
        <f>+VLOOKUP(F907,Resumen_Base!$C$8:$G$287,5,0)</f>
        <v>Electricity</v>
      </c>
      <c r="F907" s="330" t="s">
        <v>70</v>
      </c>
      <c r="G907" s="330" t="s">
        <v>71</v>
      </c>
      <c r="H907" s="330" t="str">
        <f t="shared" si="13"/>
        <v>CAR5259</v>
      </c>
      <c r="I907" s="715">
        <v>69847.5</v>
      </c>
      <c r="J907" s="715">
        <v>50.25</v>
      </c>
      <c r="K907" s="715">
        <v>1390</v>
      </c>
      <c r="L907" s="456" t="s">
        <v>899</v>
      </c>
      <c r="M907" s="330" t="s">
        <v>780</v>
      </c>
      <c r="N907" s="203" t="s">
        <v>1407</v>
      </c>
      <c r="O907" s="330" t="s">
        <v>1620</v>
      </c>
      <c r="P907" s="330" t="s">
        <v>892</v>
      </c>
      <c r="Q907" s="330" t="s">
        <v>1621</v>
      </c>
      <c r="R907" s="330" t="s">
        <v>1690</v>
      </c>
      <c r="S907" s="330" t="s">
        <v>1623</v>
      </c>
      <c r="T907" s="330" t="s">
        <v>786</v>
      </c>
    </row>
    <row r="908" spans="1:20" customFormat="1" ht="14" customHeight="1">
      <c r="A908" s="883"/>
      <c r="B908" s="330"/>
      <c r="C908" s="330"/>
      <c r="D908" s="203" t="s">
        <v>676</v>
      </c>
      <c r="E908" s="714" t="str">
        <f>+VLOOKUP(F908,Resumen_Base!$C$8:$G$287,5,0)</f>
        <v>Electricity</v>
      </c>
      <c r="F908" s="330" t="s">
        <v>70</v>
      </c>
      <c r="G908" s="330" t="s">
        <v>71</v>
      </c>
      <c r="H908" s="330" t="str">
        <f t="shared" ref="H908:H971" si="14">+D908&amp;F908</f>
        <v>CAR5259</v>
      </c>
      <c r="I908" s="715">
        <v>264730.59999999998</v>
      </c>
      <c r="J908" s="715">
        <v>186.43</v>
      </c>
      <c r="K908" s="715">
        <v>1420</v>
      </c>
      <c r="L908" s="456" t="s">
        <v>899</v>
      </c>
      <c r="M908" s="330" t="s">
        <v>780</v>
      </c>
      <c r="N908" s="203" t="s">
        <v>1407</v>
      </c>
      <c r="O908" s="330" t="s">
        <v>1620</v>
      </c>
      <c r="P908" s="330" t="s">
        <v>892</v>
      </c>
      <c r="Q908" s="330" t="s">
        <v>1621</v>
      </c>
      <c r="R908" s="330" t="s">
        <v>776</v>
      </c>
      <c r="S908" s="330" t="s">
        <v>1623</v>
      </c>
      <c r="T908" s="330" t="s">
        <v>786</v>
      </c>
    </row>
    <row r="909" spans="1:20" customFormat="1" ht="14" customHeight="1">
      <c r="A909" s="883"/>
      <c r="B909" s="330"/>
      <c r="C909" s="330"/>
      <c r="D909" s="203" t="s">
        <v>676</v>
      </c>
      <c r="E909" s="714" t="str">
        <f>+VLOOKUP(F909,Resumen_Base!$C$8:$G$287,5,0)</f>
        <v>Electricity</v>
      </c>
      <c r="F909" s="330" t="s">
        <v>70</v>
      </c>
      <c r="G909" s="330" t="s">
        <v>71</v>
      </c>
      <c r="H909" s="330" t="str">
        <f t="shared" si="14"/>
        <v>CAR5259</v>
      </c>
      <c r="I909" s="715">
        <v>305340</v>
      </c>
      <c r="J909" s="715">
        <v>203.56</v>
      </c>
      <c r="K909" s="715">
        <v>1500</v>
      </c>
      <c r="L909" s="456" t="s">
        <v>1017</v>
      </c>
      <c r="M909" s="330" t="s">
        <v>780</v>
      </c>
      <c r="N909" s="203" t="s">
        <v>1407</v>
      </c>
      <c r="O909" s="330" t="s">
        <v>1946</v>
      </c>
      <c r="P909" s="330" t="s">
        <v>892</v>
      </c>
      <c r="Q909" s="330" t="s">
        <v>1947</v>
      </c>
      <c r="R909" s="330" t="s">
        <v>1953</v>
      </c>
      <c r="S909" s="330" t="s">
        <v>1949</v>
      </c>
      <c r="T909" s="330" t="s">
        <v>786</v>
      </c>
    </row>
    <row r="910" spans="1:20" customFormat="1" ht="14" customHeight="1">
      <c r="A910" s="883"/>
      <c r="B910" s="330"/>
      <c r="C910" s="330"/>
      <c r="D910" s="203" t="s">
        <v>676</v>
      </c>
      <c r="E910" s="714" t="str">
        <f>+VLOOKUP(F910,Resumen_Base!$C$8:$G$287,5,0)</f>
        <v>Vehicles Taxes</v>
      </c>
      <c r="F910" s="330" t="s">
        <v>29</v>
      </c>
      <c r="G910" s="330" t="s">
        <v>975</v>
      </c>
      <c r="H910" s="330" t="str">
        <f t="shared" si="14"/>
        <v>CAR5260</v>
      </c>
      <c r="I910" s="715">
        <v>114111.2</v>
      </c>
      <c r="J910" s="715">
        <v>80.36</v>
      </c>
      <c r="K910" s="715">
        <v>1420</v>
      </c>
      <c r="L910" s="456" t="s">
        <v>899</v>
      </c>
      <c r="M910" s="330" t="s">
        <v>780</v>
      </c>
      <c r="N910" s="203" t="s">
        <v>1407</v>
      </c>
      <c r="O910" s="330" t="s">
        <v>1620</v>
      </c>
      <c r="P910" s="330" t="s">
        <v>892</v>
      </c>
      <c r="Q910" s="330" t="s">
        <v>1621</v>
      </c>
      <c r="R910" s="330" t="s">
        <v>1628</v>
      </c>
      <c r="S910" s="330" t="s">
        <v>1623</v>
      </c>
      <c r="T910" s="330" t="s">
        <v>786</v>
      </c>
    </row>
    <row r="911" spans="1:20" customFormat="1" ht="14" customHeight="1">
      <c r="A911" s="883"/>
      <c r="B911" s="330"/>
      <c r="C911" s="330"/>
      <c r="D911" s="203" t="s">
        <v>676</v>
      </c>
      <c r="E911" s="714" t="str">
        <f>+VLOOKUP(F911,Resumen_Base!$C$8:$G$287,5,0)</f>
        <v>Vehicles Taxes</v>
      </c>
      <c r="F911" s="330" t="s">
        <v>29</v>
      </c>
      <c r="G911" s="330" t="s">
        <v>975</v>
      </c>
      <c r="H911" s="330" t="str">
        <f t="shared" si="14"/>
        <v>CAR5260</v>
      </c>
      <c r="I911" s="715">
        <v>114111.2</v>
      </c>
      <c r="J911" s="715">
        <v>80.36</v>
      </c>
      <c r="K911" s="715">
        <v>1420</v>
      </c>
      <c r="L911" s="456" t="s">
        <v>899</v>
      </c>
      <c r="M911" s="330" t="s">
        <v>780</v>
      </c>
      <c r="N911" s="203" t="s">
        <v>1407</v>
      </c>
      <c r="O911" s="330" t="s">
        <v>1620</v>
      </c>
      <c r="P911" s="330" t="s">
        <v>892</v>
      </c>
      <c r="Q911" s="330" t="s">
        <v>1621</v>
      </c>
      <c r="R911" s="330" t="s">
        <v>1626</v>
      </c>
      <c r="S911" s="330" t="s">
        <v>1623</v>
      </c>
      <c r="T911" s="330" t="s">
        <v>786</v>
      </c>
    </row>
    <row r="912" spans="1:20" customFormat="1" ht="14" customHeight="1">
      <c r="A912" s="883"/>
      <c r="B912" s="330"/>
      <c r="C912" s="330"/>
      <c r="D912" s="203" t="s">
        <v>676</v>
      </c>
      <c r="E912" s="714" t="str">
        <f>+VLOOKUP(F912,Resumen_Base!$C$8:$G$287,5,0)</f>
        <v>Vehicles Taxes</v>
      </c>
      <c r="F912" s="330" t="s">
        <v>29</v>
      </c>
      <c r="G912" s="330" t="s">
        <v>975</v>
      </c>
      <c r="H912" s="330" t="str">
        <f t="shared" si="14"/>
        <v>CAR5260</v>
      </c>
      <c r="I912" s="715">
        <v>281671.2</v>
      </c>
      <c r="J912" s="715">
        <v>198.36</v>
      </c>
      <c r="K912" s="715">
        <v>1420</v>
      </c>
      <c r="L912" s="456" t="s">
        <v>899</v>
      </c>
      <c r="M912" s="330" t="s">
        <v>780</v>
      </c>
      <c r="N912" s="203" t="s">
        <v>1407</v>
      </c>
      <c r="O912" s="330" t="s">
        <v>1620</v>
      </c>
      <c r="P912" s="330" t="s">
        <v>892</v>
      </c>
      <c r="Q912" s="330" t="s">
        <v>1621</v>
      </c>
      <c r="R912" s="330" t="s">
        <v>1630</v>
      </c>
      <c r="S912" s="330" t="s">
        <v>1623</v>
      </c>
      <c r="T912" s="330" t="s">
        <v>786</v>
      </c>
    </row>
    <row r="913" spans="1:20" customFormat="1" ht="14" customHeight="1">
      <c r="A913" s="883"/>
      <c r="B913" s="330"/>
      <c r="C913" s="330"/>
      <c r="D913" s="203" t="s">
        <v>676</v>
      </c>
      <c r="E913" s="714" t="str">
        <f>+VLOOKUP(F913,Resumen_Base!$C$8:$G$287,5,0)</f>
        <v>Vehicles Taxes</v>
      </c>
      <c r="F913" s="330" t="s">
        <v>29</v>
      </c>
      <c r="G913" s="330" t="s">
        <v>975</v>
      </c>
      <c r="H913" s="330" t="str">
        <f t="shared" si="14"/>
        <v>CAR5260</v>
      </c>
      <c r="I913" s="715">
        <v>704702.2</v>
      </c>
      <c r="J913" s="715">
        <v>506.98</v>
      </c>
      <c r="K913" s="715">
        <v>1390</v>
      </c>
      <c r="L913" s="456" t="s">
        <v>899</v>
      </c>
      <c r="M913" s="330" t="s">
        <v>780</v>
      </c>
      <c r="N913" s="203" t="s">
        <v>1407</v>
      </c>
      <c r="O913" s="330" t="s">
        <v>1620</v>
      </c>
      <c r="P913" s="330" t="s">
        <v>892</v>
      </c>
      <c r="Q913" s="330" t="s">
        <v>1621</v>
      </c>
      <c r="R913" s="330" t="s">
        <v>1666</v>
      </c>
      <c r="S913" s="330" t="s">
        <v>1623</v>
      </c>
      <c r="T913" s="330" t="s">
        <v>786</v>
      </c>
    </row>
    <row r="914" spans="1:20" customFormat="1" ht="14" customHeight="1">
      <c r="A914" s="883"/>
      <c r="B914" s="330"/>
      <c r="C914" s="330"/>
      <c r="D914" s="203" t="s">
        <v>676</v>
      </c>
      <c r="E914" s="714" t="str">
        <f>+VLOOKUP(F914,Resumen_Base!$C$8:$G$287,5,0)</f>
        <v>Vehicles Taxes</v>
      </c>
      <c r="F914" s="330" t="s">
        <v>29</v>
      </c>
      <c r="G914" s="330" t="s">
        <v>975</v>
      </c>
      <c r="H914" s="330" t="str">
        <f t="shared" si="14"/>
        <v>CAR5260</v>
      </c>
      <c r="I914" s="715">
        <v>441199.9</v>
      </c>
      <c r="J914" s="715">
        <v>317.41000000000003</v>
      </c>
      <c r="K914" s="715">
        <v>1390</v>
      </c>
      <c r="L914" s="456" t="s">
        <v>899</v>
      </c>
      <c r="M914" s="330" t="s">
        <v>780</v>
      </c>
      <c r="N914" s="203" t="s">
        <v>1407</v>
      </c>
      <c r="O914" s="330" t="s">
        <v>1620</v>
      </c>
      <c r="P914" s="330" t="s">
        <v>892</v>
      </c>
      <c r="Q914" s="330" t="s">
        <v>1621</v>
      </c>
      <c r="R914" s="330" t="s">
        <v>1664</v>
      </c>
      <c r="S914" s="330" t="s">
        <v>1623</v>
      </c>
      <c r="T914" s="330" t="s">
        <v>786</v>
      </c>
    </row>
    <row r="915" spans="1:20" customFormat="1" ht="14" customHeight="1">
      <c r="A915" s="883"/>
      <c r="B915" s="330"/>
      <c r="C915" s="330"/>
      <c r="D915" s="203" t="s">
        <v>676</v>
      </c>
      <c r="E915" s="714" t="str">
        <f>+VLOOKUP(F915,Resumen_Base!$C$8:$G$287,5,0)</f>
        <v>Miscellaneous &amp; Shipping</v>
      </c>
      <c r="F915" s="330" t="s">
        <v>28</v>
      </c>
      <c r="G915" s="330" t="s">
        <v>336</v>
      </c>
      <c r="H915" s="330" t="str">
        <f t="shared" si="14"/>
        <v>CAR5263</v>
      </c>
      <c r="I915" s="715">
        <v>281530.59999999998</v>
      </c>
      <c r="J915" s="715">
        <v>202.54</v>
      </c>
      <c r="K915" s="715">
        <v>1390</v>
      </c>
      <c r="L915" s="456" t="s">
        <v>899</v>
      </c>
      <c r="M915" s="330" t="s">
        <v>780</v>
      </c>
      <c r="N915" s="203" t="s">
        <v>1407</v>
      </c>
      <c r="O915" s="330" t="s">
        <v>1620</v>
      </c>
      <c r="P915" s="330" t="s">
        <v>892</v>
      </c>
      <c r="Q915" s="330" t="s">
        <v>1621</v>
      </c>
      <c r="R915" s="330" t="s">
        <v>1668</v>
      </c>
      <c r="S915" s="330" t="s">
        <v>1623</v>
      </c>
      <c r="T915" s="330" t="s">
        <v>786</v>
      </c>
    </row>
    <row r="916" spans="1:20" customFormat="1" ht="14" customHeight="1">
      <c r="A916" s="883"/>
      <c r="B916" s="330"/>
      <c r="C916" s="330"/>
      <c r="D916" s="203" t="s">
        <v>676</v>
      </c>
      <c r="E916" s="714" t="str">
        <f>+VLOOKUP(F916,Resumen_Base!$C$8:$G$287,5,0)</f>
        <v>Miscellaneous &amp; Shipping</v>
      </c>
      <c r="F916" s="330" t="s">
        <v>28</v>
      </c>
      <c r="G916" s="330" t="s">
        <v>336</v>
      </c>
      <c r="H916" s="330" t="str">
        <f t="shared" si="14"/>
        <v>CAR5263</v>
      </c>
      <c r="I916" s="715">
        <v>330000</v>
      </c>
      <c r="J916" s="715">
        <v>226.027397260274</v>
      </c>
      <c r="K916" s="715">
        <v>1460</v>
      </c>
      <c r="L916" s="456" t="s">
        <v>1045</v>
      </c>
      <c r="M916" s="330" t="s">
        <v>780</v>
      </c>
      <c r="N916" s="203" t="s">
        <v>1407</v>
      </c>
      <c r="O916" s="330" t="s">
        <v>2169</v>
      </c>
      <c r="P916" s="330" t="s">
        <v>892</v>
      </c>
      <c r="Q916" s="330" t="s">
        <v>2170</v>
      </c>
      <c r="R916" s="330" t="s">
        <v>2171</v>
      </c>
      <c r="S916" s="330" t="s">
        <v>2172</v>
      </c>
      <c r="T916" s="330" t="s">
        <v>786</v>
      </c>
    </row>
    <row r="917" spans="1:20" customFormat="1" ht="28" customHeight="1">
      <c r="A917" s="883"/>
      <c r="B917" s="330"/>
      <c r="C917" s="330"/>
      <c r="D917" s="203" t="s">
        <v>676</v>
      </c>
      <c r="E917" s="714" t="str">
        <f>+VLOOKUP(F917,Resumen_Base!$C$8:$G$287,5,0)</f>
        <v>Communications - Phone, internet and satellite TV</v>
      </c>
      <c r="F917" s="330" t="s">
        <v>72</v>
      </c>
      <c r="G917" s="330" t="s">
        <v>73</v>
      </c>
      <c r="H917" s="330" t="str">
        <f t="shared" si="14"/>
        <v>CAR5266</v>
      </c>
      <c r="I917" s="715">
        <v>-1251</v>
      </c>
      <c r="J917" s="715">
        <v>-0.9</v>
      </c>
      <c r="K917" s="715">
        <v>1390</v>
      </c>
      <c r="L917" s="456" t="s">
        <v>899</v>
      </c>
      <c r="M917" s="330" t="s">
        <v>780</v>
      </c>
      <c r="N917" s="203" t="s">
        <v>781</v>
      </c>
      <c r="O917" s="330" t="s">
        <v>900</v>
      </c>
      <c r="P917" s="330" t="s">
        <v>892</v>
      </c>
      <c r="Q917" s="330" t="s">
        <v>901</v>
      </c>
      <c r="R917" s="330" t="s">
        <v>902</v>
      </c>
      <c r="S917" s="330" t="s">
        <v>903</v>
      </c>
      <c r="T917" s="330" t="s">
        <v>786</v>
      </c>
    </row>
    <row r="918" spans="1:20" customFormat="1" ht="28" customHeight="1">
      <c r="A918" s="883"/>
      <c r="B918" s="330"/>
      <c r="C918" s="330"/>
      <c r="D918" s="203" t="s">
        <v>676</v>
      </c>
      <c r="E918" s="714" t="str">
        <f>+VLOOKUP(F918,Resumen_Base!$C$8:$G$287,5,0)</f>
        <v>Communications - Phone, internet and satellite TV</v>
      </c>
      <c r="F918" s="330" t="s">
        <v>72</v>
      </c>
      <c r="G918" s="330" t="s">
        <v>73</v>
      </c>
      <c r="H918" s="330" t="str">
        <f t="shared" si="14"/>
        <v>CAR5266</v>
      </c>
      <c r="I918" s="715">
        <v>75991.3</v>
      </c>
      <c r="J918" s="715">
        <v>54.67</v>
      </c>
      <c r="K918" s="715">
        <v>1390</v>
      </c>
      <c r="L918" s="456" t="s">
        <v>899</v>
      </c>
      <c r="M918" s="330" t="s">
        <v>780</v>
      </c>
      <c r="N918" s="203" t="s">
        <v>781</v>
      </c>
      <c r="O918" s="330" t="s">
        <v>933</v>
      </c>
      <c r="P918" s="330" t="s">
        <v>892</v>
      </c>
      <c r="Q918" s="330" t="s">
        <v>934</v>
      </c>
      <c r="R918" s="330" t="s">
        <v>940</v>
      </c>
      <c r="S918" s="330" t="s">
        <v>935</v>
      </c>
      <c r="T918" s="330" t="s">
        <v>786</v>
      </c>
    </row>
    <row r="919" spans="1:20" customFormat="1" ht="28" customHeight="1">
      <c r="A919" s="883"/>
      <c r="B919" s="330"/>
      <c r="C919" s="330"/>
      <c r="D919" s="203" t="s">
        <v>676</v>
      </c>
      <c r="E919" s="714" t="str">
        <f>+VLOOKUP(F919,Resumen_Base!$C$8:$G$287,5,0)</f>
        <v>Communications - Phone, internet and satellite TV</v>
      </c>
      <c r="F919" s="330" t="s">
        <v>72</v>
      </c>
      <c r="G919" s="330" t="s">
        <v>73</v>
      </c>
      <c r="H919" s="330" t="str">
        <f t="shared" si="14"/>
        <v>CAR5266</v>
      </c>
      <c r="I919" s="715">
        <v>113600</v>
      </c>
      <c r="J919" s="715">
        <v>80</v>
      </c>
      <c r="K919" s="715">
        <v>1420</v>
      </c>
      <c r="L919" s="456" t="s">
        <v>1093</v>
      </c>
      <c r="M919" s="330" t="s">
        <v>780</v>
      </c>
      <c r="N919" s="203" t="s">
        <v>781</v>
      </c>
      <c r="O919" s="330" t="s">
        <v>1129</v>
      </c>
      <c r="P919" s="330" t="s">
        <v>892</v>
      </c>
      <c r="Q919" s="330" t="s">
        <v>1130</v>
      </c>
      <c r="R919" s="330" t="s">
        <v>1131</v>
      </c>
      <c r="S919" s="330" t="s">
        <v>1132</v>
      </c>
      <c r="T919" s="330" t="s">
        <v>786</v>
      </c>
    </row>
    <row r="920" spans="1:20" customFormat="1" ht="28" customHeight="1">
      <c r="A920" s="883"/>
      <c r="B920" s="330"/>
      <c r="C920" s="330"/>
      <c r="D920" s="203" t="s">
        <v>676</v>
      </c>
      <c r="E920" s="714" t="str">
        <f>+VLOOKUP(F920,Resumen_Base!$C$8:$G$287,5,0)</f>
        <v>Communications - Phone, internet and satellite TV</v>
      </c>
      <c r="F920" s="330" t="s">
        <v>72</v>
      </c>
      <c r="G920" s="330" t="s">
        <v>73</v>
      </c>
      <c r="H920" s="330" t="str">
        <f t="shared" si="14"/>
        <v>CAR5266</v>
      </c>
      <c r="I920" s="715">
        <v>119280</v>
      </c>
      <c r="J920" s="715">
        <v>84</v>
      </c>
      <c r="K920" s="715">
        <v>1420</v>
      </c>
      <c r="L920" s="456" t="s">
        <v>1093</v>
      </c>
      <c r="M920" s="330" t="s">
        <v>780</v>
      </c>
      <c r="N920" s="203" t="s">
        <v>781</v>
      </c>
      <c r="O920" s="330" t="s">
        <v>1129</v>
      </c>
      <c r="P920" s="330" t="s">
        <v>892</v>
      </c>
      <c r="Q920" s="330" t="s">
        <v>1130</v>
      </c>
      <c r="R920" s="330" t="s">
        <v>1133</v>
      </c>
      <c r="S920" s="330" t="s">
        <v>1132</v>
      </c>
      <c r="T920" s="330" t="s">
        <v>786</v>
      </c>
    </row>
    <row r="921" spans="1:20" customFormat="1" ht="28" customHeight="1">
      <c r="A921" s="883"/>
      <c r="B921" s="330"/>
      <c r="C921" s="330"/>
      <c r="D921" s="203" t="s">
        <v>676</v>
      </c>
      <c r="E921" s="714" t="str">
        <f>+VLOOKUP(F921,Resumen_Base!$C$8:$G$287,5,0)</f>
        <v>Communications - Phone, internet and satellite TV</v>
      </c>
      <c r="F921" s="330" t="s">
        <v>72</v>
      </c>
      <c r="G921" s="330" t="s">
        <v>73</v>
      </c>
      <c r="H921" s="330" t="str">
        <f t="shared" si="14"/>
        <v>CAR5266</v>
      </c>
      <c r="I921" s="715">
        <v>78526</v>
      </c>
      <c r="J921" s="715">
        <v>55.3</v>
      </c>
      <c r="K921" s="715">
        <v>1420</v>
      </c>
      <c r="L921" s="456" t="s">
        <v>1098</v>
      </c>
      <c r="M921" s="330" t="s">
        <v>780</v>
      </c>
      <c r="N921" s="203" t="s">
        <v>781</v>
      </c>
      <c r="O921" s="330" t="s">
        <v>1165</v>
      </c>
      <c r="P921" s="330" t="s">
        <v>892</v>
      </c>
      <c r="Q921" s="330" t="s">
        <v>1166</v>
      </c>
      <c r="R921" s="330" t="s">
        <v>1171</v>
      </c>
      <c r="S921" s="330" t="s">
        <v>1168</v>
      </c>
      <c r="T921" s="330" t="s">
        <v>786</v>
      </c>
    </row>
    <row r="922" spans="1:20" customFormat="1" ht="28" customHeight="1">
      <c r="A922" s="883"/>
      <c r="B922" s="330"/>
      <c r="C922" s="330"/>
      <c r="D922" s="203" t="s">
        <v>676</v>
      </c>
      <c r="E922" s="714" t="str">
        <f>+VLOOKUP(F922,Resumen_Base!$C$8:$G$287,5,0)</f>
        <v>Communications - Phone, internet and satellite TV</v>
      </c>
      <c r="F922" s="330" t="s">
        <v>72</v>
      </c>
      <c r="G922" s="330" t="s">
        <v>73</v>
      </c>
      <c r="H922" s="330" t="str">
        <f t="shared" si="14"/>
        <v>CAR5266</v>
      </c>
      <c r="I922" s="715">
        <v>83455.600000000006</v>
      </c>
      <c r="J922" s="715">
        <v>60.04</v>
      </c>
      <c r="K922" s="715">
        <v>1390</v>
      </c>
      <c r="L922" s="456" t="s">
        <v>899</v>
      </c>
      <c r="M922" s="330" t="s">
        <v>780</v>
      </c>
      <c r="N922" s="203" t="s">
        <v>1272</v>
      </c>
      <c r="O922" s="330" t="s">
        <v>1302</v>
      </c>
      <c r="P922" s="330" t="s">
        <v>892</v>
      </c>
      <c r="Q922" s="330" t="s">
        <v>1303</v>
      </c>
      <c r="R922" s="330" t="s">
        <v>1289</v>
      </c>
      <c r="S922" s="330" t="s">
        <v>1304</v>
      </c>
      <c r="T922" s="330" t="s">
        <v>786</v>
      </c>
    </row>
    <row r="923" spans="1:20" customFormat="1" ht="28" customHeight="1">
      <c r="A923" s="883"/>
      <c r="B923" s="330"/>
      <c r="C923" s="330"/>
      <c r="D923" s="203" t="s">
        <v>676</v>
      </c>
      <c r="E923" s="714" t="str">
        <f>+VLOOKUP(F923,Resumen_Base!$C$8:$G$287,5,0)</f>
        <v>Communications - Phone, internet and satellite TV</v>
      </c>
      <c r="F923" s="330" t="s">
        <v>72</v>
      </c>
      <c r="G923" s="330" t="s">
        <v>73</v>
      </c>
      <c r="H923" s="330" t="str">
        <f t="shared" si="14"/>
        <v>CAR5266</v>
      </c>
      <c r="I923" s="715">
        <v>76146</v>
      </c>
      <c r="J923" s="715">
        <v>54.39</v>
      </c>
      <c r="K923" s="715">
        <v>1400</v>
      </c>
      <c r="L923" s="456" t="s">
        <v>1017</v>
      </c>
      <c r="M923" s="330" t="s">
        <v>780</v>
      </c>
      <c r="N923" s="203" t="s">
        <v>1272</v>
      </c>
      <c r="O923" s="330" t="s">
        <v>1318</v>
      </c>
      <c r="P923" s="330" t="s">
        <v>892</v>
      </c>
      <c r="Q923" s="330" t="s">
        <v>1319</v>
      </c>
      <c r="R923" s="330" t="s">
        <v>1321</v>
      </c>
      <c r="S923" s="330" t="s">
        <v>1320</v>
      </c>
      <c r="T923" s="330" t="s">
        <v>786</v>
      </c>
    </row>
    <row r="924" spans="1:20" customFormat="1" ht="28" customHeight="1">
      <c r="A924" s="883"/>
      <c r="B924" s="330"/>
      <c r="C924" s="330"/>
      <c r="D924" s="203" t="s">
        <v>676</v>
      </c>
      <c r="E924" s="714" t="str">
        <f>+VLOOKUP(F924,Resumen_Base!$C$8:$G$287,5,0)</f>
        <v>Communications - Phone, internet and satellite TV</v>
      </c>
      <c r="F924" s="330" t="s">
        <v>72</v>
      </c>
      <c r="G924" s="330" t="s">
        <v>73</v>
      </c>
      <c r="H924" s="330" t="str">
        <f t="shared" si="14"/>
        <v>CAR5266</v>
      </c>
      <c r="I924" s="715">
        <v>78526</v>
      </c>
      <c r="J924" s="715">
        <v>55.3</v>
      </c>
      <c r="K924" s="715">
        <v>1420</v>
      </c>
      <c r="L924" s="456" t="s">
        <v>1081</v>
      </c>
      <c r="M924" s="330" t="s">
        <v>780</v>
      </c>
      <c r="N924" s="203" t="s">
        <v>1272</v>
      </c>
      <c r="O924" s="330" t="s">
        <v>1361</v>
      </c>
      <c r="P924" s="330" t="s">
        <v>892</v>
      </c>
      <c r="Q924" s="330" t="s">
        <v>1362</v>
      </c>
      <c r="R924" s="330" t="s">
        <v>1363</v>
      </c>
      <c r="S924" s="330" t="s">
        <v>1364</v>
      </c>
      <c r="T924" s="330" t="s">
        <v>786</v>
      </c>
    </row>
    <row r="925" spans="1:20" customFormat="1" ht="28" customHeight="1">
      <c r="A925" s="883"/>
      <c r="B925" s="330"/>
      <c r="C925" s="330"/>
      <c r="D925" s="203" t="s">
        <v>676</v>
      </c>
      <c r="E925" s="714" t="str">
        <f>+VLOOKUP(F925,Resumen_Base!$C$8:$G$287,5,0)</f>
        <v>Communications - Phone, internet and satellite TV</v>
      </c>
      <c r="F925" s="330" t="s">
        <v>72</v>
      </c>
      <c r="G925" s="330" t="s">
        <v>73</v>
      </c>
      <c r="H925" s="330" t="str">
        <f t="shared" si="14"/>
        <v>CAR5266</v>
      </c>
      <c r="I925" s="715">
        <v>-1292.2</v>
      </c>
      <c r="J925" s="715">
        <v>-0.91</v>
      </c>
      <c r="K925" s="715">
        <v>1420</v>
      </c>
      <c r="L925" s="456" t="s">
        <v>1205</v>
      </c>
      <c r="M925" s="330" t="s">
        <v>780</v>
      </c>
      <c r="N925" s="203" t="s">
        <v>1272</v>
      </c>
      <c r="O925" s="330" t="s">
        <v>1379</v>
      </c>
      <c r="P925" s="330" t="s">
        <v>892</v>
      </c>
      <c r="Q925" s="330" t="s">
        <v>1380</v>
      </c>
      <c r="R925" s="330" t="s">
        <v>1383</v>
      </c>
      <c r="S925" s="330" t="s">
        <v>1382</v>
      </c>
      <c r="T925" s="330" t="s">
        <v>786</v>
      </c>
    </row>
    <row r="926" spans="1:20" customFormat="1" ht="28" customHeight="1">
      <c r="A926" s="883"/>
      <c r="B926" s="330"/>
      <c r="C926" s="330"/>
      <c r="D926" s="203" t="s">
        <v>676</v>
      </c>
      <c r="E926" s="714" t="str">
        <f>+VLOOKUP(F926,Resumen_Base!$C$8:$G$287,5,0)</f>
        <v>Communications - Phone, internet and satellite TV</v>
      </c>
      <c r="F926" s="330" t="s">
        <v>72</v>
      </c>
      <c r="G926" s="330" t="s">
        <v>73</v>
      </c>
      <c r="H926" s="330" t="str">
        <f t="shared" si="14"/>
        <v>CAR5266</v>
      </c>
      <c r="I926" s="715">
        <v>227570.8</v>
      </c>
      <c r="J926" s="715">
        <v>163.72</v>
      </c>
      <c r="K926" s="715">
        <v>1390</v>
      </c>
      <c r="L926" s="456" t="s">
        <v>899</v>
      </c>
      <c r="M926" s="330" t="s">
        <v>780</v>
      </c>
      <c r="N926" s="203" t="s">
        <v>1407</v>
      </c>
      <c r="O926" s="330" t="s">
        <v>1620</v>
      </c>
      <c r="P926" s="330" t="s">
        <v>892</v>
      </c>
      <c r="Q926" s="330" t="s">
        <v>1621</v>
      </c>
      <c r="R926" s="330" t="s">
        <v>1695</v>
      </c>
      <c r="S926" s="330" t="s">
        <v>1623</v>
      </c>
      <c r="T926" s="330" t="s">
        <v>786</v>
      </c>
    </row>
    <row r="927" spans="1:20" customFormat="1" ht="14" customHeight="1">
      <c r="A927" s="883"/>
      <c r="B927" s="330"/>
      <c r="C927" s="330"/>
      <c r="D927" s="203" t="s">
        <v>676</v>
      </c>
      <c r="E927" s="714" t="str">
        <f>+VLOOKUP(F927,Resumen_Base!$C$8:$G$287,5,0)</f>
        <v>Maintenance Lodge</v>
      </c>
      <c r="F927" s="330" t="s">
        <v>261</v>
      </c>
      <c r="G927" s="330" t="s">
        <v>262</v>
      </c>
      <c r="H927" s="330" t="str">
        <f t="shared" si="14"/>
        <v>CAR5282</v>
      </c>
      <c r="I927" s="715">
        <v>2712.2</v>
      </c>
      <c r="J927" s="715">
        <v>1.91</v>
      </c>
      <c r="K927" s="715">
        <v>1420</v>
      </c>
      <c r="L927" s="456" t="s">
        <v>787</v>
      </c>
      <c r="M927" s="330" t="s">
        <v>780</v>
      </c>
      <c r="N927" s="203" t="s">
        <v>781</v>
      </c>
      <c r="O927" s="330" t="s">
        <v>855</v>
      </c>
      <c r="P927" s="330" t="s">
        <v>783</v>
      </c>
      <c r="Q927" s="330" t="s">
        <v>856</v>
      </c>
      <c r="R927" s="330" t="s">
        <v>869</v>
      </c>
      <c r="S927" s="330" t="s">
        <v>857</v>
      </c>
      <c r="T927" s="330" t="s">
        <v>786</v>
      </c>
    </row>
    <row r="928" spans="1:20" customFormat="1" ht="14" customHeight="1">
      <c r="A928" s="883"/>
      <c r="B928" s="330"/>
      <c r="C928" s="330"/>
      <c r="D928" s="203" t="s">
        <v>676</v>
      </c>
      <c r="E928" s="714" t="str">
        <f>+VLOOKUP(F928,Resumen_Base!$C$8:$G$287,5,0)</f>
        <v>Maintenance Lodge</v>
      </c>
      <c r="F928" s="330" t="s">
        <v>261</v>
      </c>
      <c r="G928" s="330" t="s">
        <v>262</v>
      </c>
      <c r="H928" s="330" t="str">
        <f t="shared" si="14"/>
        <v>CAR5282</v>
      </c>
      <c r="I928" s="715">
        <v>538549.19999999995</v>
      </c>
      <c r="J928" s="715">
        <v>379.26</v>
      </c>
      <c r="K928" s="715">
        <v>1420</v>
      </c>
      <c r="L928" s="456" t="s">
        <v>787</v>
      </c>
      <c r="M928" s="330" t="s">
        <v>780</v>
      </c>
      <c r="N928" s="203" t="s">
        <v>781</v>
      </c>
      <c r="O928" s="330" t="s">
        <v>855</v>
      </c>
      <c r="P928" s="330" t="s">
        <v>783</v>
      </c>
      <c r="Q928" s="330" t="s">
        <v>856</v>
      </c>
      <c r="R928" s="330" t="s">
        <v>870</v>
      </c>
      <c r="S928" s="330" t="s">
        <v>857</v>
      </c>
      <c r="T928" s="330" t="s">
        <v>786</v>
      </c>
    </row>
    <row r="929" spans="1:20" customFormat="1" ht="14" customHeight="1">
      <c r="A929" s="883"/>
      <c r="B929" s="330"/>
      <c r="C929" s="330"/>
      <c r="D929" s="203" t="s">
        <v>676</v>
      </c>
      <c r="E929" s="714" t="str">
        <f>+VLOOKUP(F929,Resumen_Base!$C$8:$G$287,5,0)</f>
        <v>Maintenance Lodge</v>
      </c>
      <c r="F929" s="330" t="s">
        <v>261</v>
      </c>
      <c r="G929" s="330" t="s">
        <v>262</v>
      </c>
      <c r="H929" s="330" t="str">
        <f t="shared" si="14"/>
        <v>CAR5282</v>
      </c>
      <c r="I929" s="715">
        <v>821254</v>
      </c>
      <c r="J929" s="715">
        <v>586.61</v>
      </c>
      <c r="K929" s="715">
        <v>1400</v>
      </c>
      <c r="L929" s="456" t="s">
        <v>994</v>
      </c>
      <c r="M929" s="330" t="s">
        <v>780</v>
      </c>
      <c r="N929" s="203" t="s">
        <v>781</v>
      </c>
      <c r="O929" s="330" t="s">
        <v>1001</v>
      </c>
      <c r="P929" s="330" t="s">
        <v>892</v>
      </c>
      <c r="Q929" s="330" t="s">
        <v>1002</v>
      </c>
      <c r="R929" s="330" t="s">
        <v>1005</v>
      </c>
      <c r="S929" s="330" t="s">
        <v>1004</v>
      </c>
      <c r="T929" s="330" t="s">
        <v>786</v>
      </c>
    </row>
    <row r="930" spans="1:20" customFormat="1" ht="14" customHeight="1">
      <c r="A930" s="883"/>
      <c r="B930" s="330"/>
      <c r="C930" s="330"/>
      <c r="D930" s="203" t="s">
        <v>676</v>
      </c>
      <c r="E930" s="714" t="str">
        <f>+VLOOKUP(F930,Resumen_Base!$C$8:$G$287,5,0)</f>
        <v>Maintenance Lodge</v>
      </c>
      <c r="F930" s="330" t="s">
        <v>261</v>
      </c>
      <c r="G930" s="330" t="s">
        <v>262</v>
      </c>
      <c r="H930" s="330" t="str">
        <f t="shared" si="14"/>
        <v>CAR5282</v>
      </c>
      <c r="I930" s="715">
        <v>821254</v>
      </c>
      <c r="J930" s="715">
        <v>586.61</v>
      </c>
      <c r="K930" s="715">
        <v>1400</v>
      </c>
      <c r="L930" s="456" t="s">
        <v>994</v>
      </c>
      <c r="M930" s="330" t="s">
        <v>780</v>
      </c>
      <c r="N930" s="203" t="s">
        <v>781</v>
      </c>
      <c r="O930" s="330" t="s">
        <v>1001</v>
      </c>
      <c r="P930" s="330" t="s">
        <v>892</v>
      </c>
      <c r="Q930" s="330" t="s">
        <v>1002</v>
      </c>
      <c r="R930" s="330" t="s">
        <v>1006</v>
      </c>
      <c r="S930" s="330" t="s">
        <v>1004</v>
      </c>
      <c r="T930" s="330" t="s">
        <v>786</v>
      </c>
    </row>
    <row r="931" spans="1:20" customFormat="1" ht="14" customHeight="1">
      <c r="A931" s="883"/>
      <c r="B931" s="330"/>
      <c r="C931" s="330"/>
      <c r="D931" s="203" t="s">
        <v>676</v>
      </c>
      <c r="E931" s="714" t="str">
        <f>+VLOOKUP(F931,Resumen_Base!$C$8:$G$287,5,0)</f>
        <v>Maintenance Lodge</v>
      </c>
      <c r="F931" s="330" t="s">
        <v>261</v>
      </c>
      <c r="G931" s="330" t="s">
        <v>262</v>
      </c>
      <c r="H931" s="330" t="str">
        <f t="shared" si="14"/>
        <v>CAR5282</v>
      </c>
      <c r="I931" s="715">
        <v>2618</v>
      </c>
      <c r="J931" s="715">
        <v>1.87</v>
      </c>
      <c r="K931" s="715">
        <v>1400</v>
      </c>
      <c r="L931" s="456" t="s">
        <v>994</v>
      </c>
      <c r="M931" s="330" t="s">
        <v>780</v>
      </c>
      <c r="N931" s="203" t="s">
        <v>781</v>
      </c>
      <c r="O931" s="330" t="s">
        <v>1001</v>
      </c>
      <c r="P931" s="330" t="s">
        <v>892</v>
      </c>
      <c r="Q931" s="330" t="s">
        <v>1002</v>
      </c>
      <c r="R931" s="330" t="s">
        <v>953</v>
      </c>
      <c r="S931" s="330" t="s">
        <v>1004</v>
      </c>
      <c r="T931" s="330" t="s">
        <v>786</v>
      </c>
    </row>
    <row r="932" spans="1:20" customFormat="1" ht="14" customHeight="1">
      <c r="A932" s="883"/>
      <c r="B932" s="330"/>
      <c r="C932" s="330"/>
      <c r="D932" s="203" t="s">
        <v>676</v>
      </c>
      <c r="E932" s="714" t="str">
        <f>+VLOOKUP(F932,Resumen_Base!$C$8:$G$287,5,0)</f>
        <v>Maintenance Lodge</v>
      </c>
      <c r="F932" s="330" t="s">
        <v>261</v>
      </c>
      <c r="G932" s="330" t="s">
        <v>262</v>
      </c>
      <c r="H932" s="330" t="str">
        <f t="shared" si="14"/>
        <v>CAR5282</v>
      </c>
      <c r="I932" s="715">
        <v>2712.2</v>
      </c>
      <c r="J932" s="715">
        <v>1.91</v>
      </c>
      <c r="K932" s="715">
        <v>1420</v>
      </c>
      <c r="L932" s="456" t="s">
        <v>1098</v>
      </c>
      <c r="M932" s="330" t="s">
        <v>780</v>
      </c>
      <c r="N932" s="203" t="s">
        <v>781</v>
      </c>
      <c r="O932" s="330" t="s">
        <v>1165</v>
      </c>
      <c r="P932" s="330" t="s">
        <v>892</v>
      </c>
      <c r="Q932" s="330" t="s">
        <v>1166</v>
      </c>
      <c r="R932" s="330" t="s">
        <v>953</v>
      </c>
      <c r="S932" s="330" t="s">
        <v>1168</v>
      </c>
      <c r="T932" s="330" t="s">
        <v>786</v>
      </c>
    </row>
    <row r="933" spans="1:20" customFormat="1" ht="14" customHeight="1">
      <c r="A933" s="883"/>
      <c r="B933" s="330"/>
      <c r="C933" s="330"/>
      <c r="D933" s="203" t="s">
        <v>676</v>
      </c>
      <c r="E933" s="714" t="str">
        <f>+VLOOKUP(F933,Resumen_Base!$C$8:$G$287,5,0)</f>
        <v>Maintenance Lodge</v>
      </c>
      <c r="F933" s="330" t="s">
        <v>261</v>
      </c>
      <c r="G933" s="330" t="s">
        <v>262</v>
      </c>
      <c r="H933" s="330" t="str">
        <f t="shared" si="14"/>
        <v>CAR5282</v>
      </c>
      <c r="I933" s="715">
        <v>234243.20000000001</v>
      </c>
      <c r="J933" s="715">
        <v>164.96</v>
      </c>
      <c r="K933" s="715">
        <v>1420</v>
      </c>
      <c r="L933" s="456" t="s">
        <v>1098</v>
      </c>
      <c r="M933" s="330" t="s">
        <v>780</v>
      </c>
      <c r="N933" s="203" t="s">
        <v>781</v>
      </c>
      <c r="O933" s="330" t="s">
        <v>1165</v>
      </c>
      <c r="P933" s="330" t="s">
        <v>892</v>
      </c>
      <c r="Q933" s="330" t="s">
        <v>1166</v>
      </c>
      <c r="R933" s="330" t="s">
        <v>1169</v>
      </c>
      <c r="S933" s="330" t="s">
        <v>1168</v>
      </c>
      <c r="T933" s="330" t="s">
        <v>786</v>
      </c>
    </row>
    <row r="934" spans="1:20" customFormat="1" ht="14" customHeight="1">
      <c r="A934" s="883"/>
      <c r="B934" s="330"/>
      <c r="C934" s="330"/>
      <c r="D934" s="203" t="s">
        <v>676</v>
      </c>
      <c r="E934" s="714" t="str">
        <f>+VLOOKUP(F934,Resumen_Base!$C$8:$G$287,5,0)</f>
        <v>Maintenance Lodge</v>
      </c>
      <c r="F934" s="330" t="s">
        <v>236</v>
      </c>
      <c r="G934" s="330" t="s">
        <v>237</v>
      </c>
      <c r="H934" s="330" t="str">
        <f t="shared" si="14"/>
        <v>CAR5283</v>
      </c>
      <c r="I934" s="715">
        <v>2618</v>
      </c>
      <c r="J934" s="715">
        <v>1.87</v>
      </c>
      <c r="K934" s="715">
        <v>1400</v>
      </c>
      <c r="L934" s="456" t="s">
        <v>994</v>
      </c>
      <c r="M934" s="330" t="s">
        <v>780</v>
      </c>
      <c r="N934" s="203" t="s">
        <v>781</v>
      </c>
      <c r="O934" s="330" t="s">
        <v>1001</v>
      </c>
      <c r="P934" s="330" t="s">
        <v>892</v>
      </c>
      <c r="Q934" s="330" t="s">
        <v>1002</v>
      </c>
      <c r="R934" s="330" t="s">
        <v>953</v>
      </c>
      <c r="S934" s="330" t="s">
        <v>1004</v>
      </c>
      <c r="T934" s="330" t="s">
        <v>786</v>
      </c>
    </row>
    <row r="935" spans="1:20" customFormat="1" ht="14" customHeight="1">
      <c r="A935" s="883"/>
      <c r="B935" s="330"/>
      <c r="C935" s="330"/>
      <c r="D935" s="203" t="s">
        <v>676</v>
      </c>
      <c r="E935" s="714" t="str">
        <f>+VLOOKUP(F935,Resumen_Base!$C$8:$G$287,5,0)</f>
        <v>Maintenance Lodge</v>
      </c>
      <c r="F935" s="330" t="s">
        <v>236</v>
      </c>
      <c r="G935" s="330" t="s">
        <v>237</v>
      </c>
      <c r="H935" s="330" t="str">
        <f t="shared" si="14"/>
        <v>CAR5283</v>
      </c>
      <c r="I935" s="715">
        <v>520786</v>
      </c>
      <c r="J935" s="715">
        <v>371.99</v>
      </c>
      <c r="K935" s="715">
        <v>1400</v>
      </c>
      <c r="L935" s="456" t="s">
        <v>994</v>
      </c>
      <c r="M935" s="330" t="s">
        <v>780</v>
      </c>
      <c r="N935" s="203" t="s">
        <v>781</v>
      </c>
      <c r="O935" s="330" t="s">
        <v>1001</v>
      </c>
      <c r="P935" s="330" t="s">
        <v>892</v>
      </c>
      <c r="Q935" s="330" t="s">
        <v>1002</v>
      </c>
      <c r="R935" s="330" t="s">
        <v>1003</v>
      </c>
      <c r="S935" s="330" t="s">
        <v>1004</v>
      </c>
      <c r="T935" s="330" t="s">
        <v>786</v>
      </c>
    </row>
    <row r="936" spans="1:20" customFormat="1" ht="14" customHeight="1">
      <c r="A936" s="883"/>
      <c r="B936" s="330"/>
      <c r="C936" s="330"/>
      <c r="D936" s="203" t="s">
        <v>676</v>
      </c>
      <c r="E936" s="714" t="str">
        <f>+VLOOKUP(F936,Resumen_Base!$C$8:$G$287,5,0)</f>
        <v>Maintenance Lodge</v>
      </c>
      <c r="F936" s="330" t="s">
        <v>236</v>
      </c>
      <c r="G936" s="330" t="s">
        <v>237</v>
      </c>
      <c r="H936" s="330" t="str">
        <f t="shared" si="14"/>
        <v>CAR5283</v>
      </c>
      <c r="I936" s="715">
        <v>-567502</v>
      </c>
      <c r="J936" s="715">
        <v>-388.7</v>
      </c>
      <c r="K936" s="715">
        <v>1460</v>
      </c>
      <c r="L936" s="456" t="s">
        <v>1049</v>
      </c>
      <c r="M936" s="330" t="s">
        <v>780</v>
      </c>
      <c r="N936" s="203" t="s">
        <v>781</v>
      </c>
      <c r="O936" s="330" t="s">
        <v>1050</v>
      </c>
      <c r="P936" s="330" t="s">
        <v>892</v>
      </c>
      <c r="Q936" s="330" t="s">
        <v>1051</v>
      </c>
      <c r="R936" s="330" t="s">
        <v>1053</v>
      </c>
      <c r="S936" s="330" t="s">
        <v>1052</v>
      </c>
      <c r="T936" s="330" t="s">
        <v>786</v>
      </c>
    </row>
    <row r="937" spans="1:20" customFormat="1" ht="14" customHeight="1">
      <c r="A937" s="883"/>
      <c r="B937" s="330"/>
      <c r="C937" s="330"/>
      <c r="D937" s="203" t="s">
        <v>676</v>
      </c>
      <c r="E937" s="714" t="str">
        <f>+VLOOKUP(F937,Resumen_Base!$C$8:$G$287,5,0)</f>
        <v>Maintenance Lodge</v>
      </c>
      <c r="F937" s="330" t="s">
        <v>236</v>
      </c>
      <c r="G937" s="330" t="s">
        <v>237</v>
      </c>
      <c r="H937" s="330" t="str">
        <f t="shared" si="14"/>
        <v>CAR5283</v>
      </c>
      <c r="I937" s="715">
        <v>-2832.4</v>
      </c>
      <c r="J937" s="715">
        <v>-1.94</v>
      </c>
      <c r="K937" s="715">
        <v>1460</v>
      </c>
      <c r="L937" s="456" t="s">
        <v>1049</v>
      </c>
      <c r="M937" s="330" t="s">
        <v>780</v>
      </c>
      <c r="N937" s="203" t="s">
        <v>781</v>
      </c>
      <c r="O937" s="330" t="s">
        <v>1050</v>
      </c>
      <c r="P937" s="330" t="s">
        <v>892</v>
      </c>
      <c r="Q937" s="330" t="s">
        <v>1051</v>
      </c>
      <c r="R937" s="330" t="s">
        <v>953</v>
      </c>
      <c r="S937" s="330" t="s">
        <v>1052</v>
      </c>
      <c r="T937" s="330" t="s">
        <v>786</v>
      </c>
    </row>
    <row r="938" spans="1:20" customFormat="1" ht="14" customHeight="1">
      <c r="A938" s="883"/>
      <c r="B938" s="330"/>
      <c r="C938" s="330"/>
      <c r="D938" s="203" t="s">
        <v>676</v>
      </c>
      <c r="E938" s="714" t="str">
        <f>+VLOOKUP(F938,Resumen_Base!$C$8:$G$287,5,0)</f>
        <v>Maintenance Lodge</v>
      </c>
      <c r="F938" s="330" t="s">
        <v>236</v>
      </c>
      <c r="G938" s="330" t="s">
        <v>237</v>
      </c>
      <c r="H938" s="330" t="str">
        <f t="shared" si="14"/>
        <v>CAR5283</v>
      </c>
      <c r="I938" s="715">
        <v>2832.4</v>
      </c>
      <c r="J938" s="715">
        <v>1.94</v>
      </c>
      <c r="K938" s="715">
        <v>1460</v>
      </c>
      <c r="L938" s="456" t="s">
        <v>1049</v>
      </c>
      <c r="M938" s="330" t="s">
        <v>780</v>
      </c>
      <c r="N938" s="203" t="s">
        <v>781</v>
      </c>
      <c r="O938" s="330" t="s">
        <v>1075</v>
      </c>
      <c r="P938" s="330" t="s">
        <v>892</v>
      </c>
      <c r="Q938" s="330" t="s">
        <v>1076</v>
      </c>
      <c r="R938" s="330" t="s">
        <v>953</v>
      </c>
      <c r="S938" s="330" t="s">
        <v>1077</v>
      </c>
      <c r="T938" s="330" t="s">
        <v>786</v>
      </c>
    </row>
    <row r="939" spans="1:20" customFormat="1" ht="14" customHeight="1">
      <c r="A939" s="883"/>
      <c r="B939" s="330"/>
      <c r="C939" s="330"/>
      <c r="D939" s="203" t="s">
        <v>676</v>
      </c>
      <c r="E939" s="714" t="str">
        <f>+VLOOKUP(F939,Resumen_Base!$C$8:$G$287,5,0)</f>
        <v>Maintenance Lodge</v>
      </c>
      <c r="F939" s="330" t="s">
        <v>236</v>
      </c>
      <c r="G939" s="330" t="s">
        <v>237</v>
      </c>
      <c r="H939" s="330" t="str">
        <f t="shared" si="14"/>
        <v>CAR5283</v>
      </c>
      <c r="I939" s="715">
        <v>567502</v>
      </c>
      <c r="J939" s="715">
        <v>388.7</v>
      </c>
      <c r="K939" s="715">
        <v>1460</v>
      </c>
      <c r="L939" s="456" t="s">
        <v>1049</v>
      </c>
      <c r="M939" s="330" t="s">
        <v>780</v>
      </c>
      <c r="N939" s="203" t="s">
        <v>781</v>
      </c>
      <c r="O939" s="330" t="s">
        <v>1075</v>
      </c>
      <c r="P939" s="330" t="s">
        <v>892</v>
      </c>
      <c r="Q939" s="330" t="s">
        <v>1076</v>
      </c>
      <c r="R939" s="330" t="s">
        <v>1053</v>
      </c>
      <c r="S939" s="330" t="s">
        <v>1077</v>
      </c>
      <c r="T939" s="330" t="s">
        <v>786</v>
      </c>
    </row>
    <row r="940" spans="1:20" customFormat="1" ht="14" customHeight="1">
      <c r="A940" s="883"/>
      <c r="B940" s="330"/>
      <c r="C940" s="330"/>
      <c r="D940" s="203" t="s">
        <v>676</v>
      </c>
      <c r="E940" s="714" t="str">
        <f>+VLOOKUP(F940,Resumen_Base!$C$8:$G$287,5,0)</f>
        <v>Maintenance Lodge</v>
      </c>
      <c r="F940" s="330" t="s">
        <v>236</v>
      </c>
      <c r="G940" s="330" t="s">
        <v>237</v>
      </c>
      <c r="H940" s="330" t="str">
        <f t="shared" si="14"/>
        <v>CAR5283</v>
      </c>
      <c r="I940" s="715">
        <v>567502</v>
      </c>
      <c r="J940" s="715">
        <v>388.7</v>
      </c>
      <c r="K940" s="715">
        <v>1460</v>
      </c>
      <c r="L940" s="456" t="s">
        <v>1049</v>
      </c>
      <c r="M940" s="330" t="s">
        <v>780</v>
      </c>
      <c r="N940" s="203" t="s">
        <v>781</v>
      </c>
      <c r="O940" s="330" t="s">
        <v>1078</v>
      </c>
      <c r="P940" s="330" t="s">
        <v>892</v>
      </c>
      <c r="Q940" s="330" t="s">
        <v>1079</v>
      </c>
      <c r="R940" s="330" t="s">
        <v>1053</v>
      </c>
      <c r="S940" s="330" t="s">
        <v>1080</v>
      </c>
      <c r="T940" s="330" t="s">
        <v>786</v>
      </c>
    </row>
    <row r="941" spans="1:20" customFormat="1" ht="14" customHeight="1">
      <c r="A941" s="883"/>
      <c r="B941" s="330"/>
      <c r="C941" s="330"/>
      <c r="D941" s="203" t="s">
        <v>676</v>
      </c>
      <c r="E941" s="714" t="str">
        <f>+VLOOKUP(F941,Resumen_Base!$C$8:$G$287,5,0)</f>
        <v>Maintenance Lodge</v>
      </c>
      <c r="F941" s="330" t="s">
        <v>236</v>
      </c>
      <c r="G941" s="330" t="s">
        <v>237</v>
      </c>
      <c r="H941" s="330" t="str">
        <f t="shared" si="14"/>
        <v>CAR5283</v>
      </c>
      <c r="I941" s="715">
        <v>2832.4</v>
      </c>
      <c r="J941" s="715">
        <v>1.94</v>
      </c>
      <c r="K941" s="715">
        <v>1460</v>
      </c>
      <c r="L941" s="456" t="s">
        <v>1049</v>
      </c>
      <c r="M941" s="330" t="s">
        <v>780</v>
      </c>
      <c r="N941" s="203" t="s">
        <v>781</v>
      </c>
      <c r="O941" s="330" t="s">
        <v>1078</v>
      </c>
      <c r="P941" s="330" t="s">
        <v>892</v>
      </c>
      <c r="Q941" s="330" t="s">
        <v>1079</v>
      </c>
      <c r="R941" s="330" t="s">
        <v>953</v>
      </c>
      <c r="S941" s="330" t="s">
        <v>1080</v>
      </c>
      <c r="T941" s="330" t="s">
        <v>786</v>
      </c>
    </row>
    <row r="942" spans="1:20" customFormat="1">
      <c r="A942" s="883"/>
      <c r="B942" s="330"/>
      <c r="C942" s="330"/>
      <c r="D942" s="203" t="s">
        <v>676</v>
      </c>
      <c r="E942" s="714" t="str">
        <f>+VLOOKUP(F942,Resumen_Base!$C$8:$G$287,5,0)</f>
        <v>Baiting/Maize:</v>
      </c>
      <c r="F942" s="330" t="s">
        <v>238</v>
      </c>
      <c r="G942" s="330" t="s">
        <v>239</v>
      </c>
      <c r="H942" s="330" t="str">
        <f t="shared" si="14"/>
        <v>CAR5284</v>
      </c>
      <c r="I942" s="715">
        <v>1864420</v>
      </c>
      <c r="J942" s="715">
        <v>1277</v>
      </c>
      <c r="K942" s="715">
        <v>1460</v>
      </c>
      <c r="L942" s="456" t="s">
        <v>1049</v>
      </c>
      <c r="M942" s="330" t="s">
        <v>780</v>
      </c>
      <c r="N942" s="203" t="s">
        <v>781</v>
      </c>
      <c r="O942" s="330" t="s">
        <v>1066</v>
      </c>
      <c r="P942" s="330" t="s">
        <v>892</v>
      </c>
      <c r="Q942" s="330" t="s">
        <v>1067</v>
      </c>
      <c r="R942" s="330" t="s">
        <v>1074</v>
      </c>
      <c r="S942" s="330" t="s">
        <v>1069</v>
      </c>
      <c r="T942" s="330" t="s">
        <v>786</v>
      </c>
    </row>
    <row r="943" spans="1:20" customFormat="1">
      <c r="A943" s="883"/>
      <c r="B943" s="330"/>
      <c r="C943" s="330"/>
      <c r="D943" s="203" t="s">
        <v>676</v>
      </c>
      <c r="E943" s="714" t="str">
        <f>+VLOOKUP(F943,Resumen_Base!$C$8:$G$287,5,0)</f>
        <v>Baiting/Maize:</v>
      </c>
      <c r="F943" s="330" t="s">
        <v>238</v>
      </c>
      <c r="G943" s="330" t="s">
        <v>239</v>
      </c>
      <c r="H943" s="330" t="str">
        <f t="shared" si="14"/>
        <v>CAR5284</v>
      </c>
      <c r="I943" s="715">
        <v>2774</v>
      </c>
      <c r="J943" s="715">
        <v>1.9</v>
      </c>
      <c r="K943" s="715">
        <v>1460</v>
      </c>
      <c r="L943" s="456" t="s">
        <v>1049</v>
      </c>
      <c r="M943" s="330" t="s">
        <v>780</v>
      </c>
      <c r="N943" s="203" t="s">
        <v>781</v>
      </c>
      <c r="O943" s="330" t="s">
        <v>1066</v>
      </c>
      <c r="P943" s="330" t="s">
        <v>892</v>
      </c>
      <c r="Q943" s="330" t="s">
        <v>1067</v>
      </c>
      <c r="R943" s="330" t="s">
        <v>953</v>
      </c>
      <c r="S943" s="330" t="s">
        <v>1069</v>
      </c>
      <c r="T943" s="330" t="s">
        <v>786</v>
      </c>
    </row>
    <row r="944" spans="1:20" customFormat="1">
      <c r="A944" s="10"/>
      <c r="B944" s="4"/>
      <c r="C944" s="4"/>
      <c r="D944" s="133" t="s">
        <v>676</v>
      </c>
      <c r="E944" s="664" t="str">
        <f>+VLOOKUP(F944,Resumen_Base!$C$8:$G$287,5,0)</f>
        <v>Electricity - Gas for Boats &amp; Vehicles</v>
      </c>
      <c r="F944" s="152" t="s">
        <v>163</v>
      </c>
      <c r="G944" s="4" t="s">
        <v>164</v>
      </c>
      <c r="H944" s="4" t="str">
        <f t="shared" si="14"/>
        <v>CAR5288</v>
      </c>
      <c r="I944" s="196">
        <v>152670</v>
      </c>
      <c r="J944" s="196">
        <v>101.78</v>
      </c>
      <c r="K944" s="196">
        <v>1500</v>
      </c>
      <c r="L944" s="454" t="s">
        <v>1017</v>
      </c>
      <c r="M944" s="4" t="s">
        <v>780</v>
      </c>
      <c r="N944" s="133" t="s">
        <v>1407</v>
      </c>
      <c r="O944" s="4" t="s">
        <v>1946</v>
      </c>
      <c r="P944" s="4" t="s">
        <v>892</v>
      </c>
      <c r="Q944" s="4" t="s">
        <v>1947</v>
      </c>
      <c r="R944" s="4" t="s">
        <v>1951</v>
      </c>
      <c r="S944" s="4" t="s">
        <v>1949</v>
      </c>
      <c r="T944" s="4" t="s">
        <v>786</v>
      </c>
    </row>
    <row r="945" spans="1:20" customFormat="1">
      <c r="A945" s="10"/>
      <c r="B945" s="4"/>
      <c r="C945" s="4"/>
      <c r="D945" s="133" t="s">
        <v>676</v>
      </c>
      <c r="E945" s="664" t="str">
        <f>+VLOOKUP(F945,Resumen_Base!$C$8:$G$287,5,0)</f>
        <v>Electricity - Gas for Boats &amp; Vehicles</v>
      </c>
      <c r="F945" s="152" t="s">
        <v>163</v>
      </c>
      <c r="G945" s="4" t="s">
        <v>164</v>
      </c>
      <c r="H945" s="4" t="str">
        <f t="shared" si="14"/>
        <v>CAR5288</v>
      </c>
      <c r="I945" s="196">
        <v>114510</v>
      </c>
      <c r="J945" s="196">
        <v>76.34</v>
      </c>
      <c r="K945" s="196">
        <v>1500</v>
      </c>
      <c r="L945" s="454" t="s">
        <v>1017</v>
      </c>
      <c r="M945" s="4" t="s">
        <v>780</v>
      </c>
      <c r="N945" s="133" t="s">
        <v>1407</v>
      </c>
      <c r="O945" s="4" t="s">
        <v>1946</v>
      </c>
      <c r="P945" s="4" t="s">
        <v>892</v>
      </c>
      <c r="Q945" s="4" t="s">
        <v>1947</v>
      </c>
      <c r="R945" s="4" t="s">
        <v>1952</v>
      </c>
      <c r="S945" s="4" t="s">
        <v>1949</v>
      </c>
      <c r="T945" s="4" t="s">
        <v>786</v>
      </c>
    </row>
    <row r="946" spans="1:20" customFormat="1">
      <c r="A946" s="10"/>
      <c r="B946" s="4"/>
      <c r="C946" s="4"/>
      <c r="D946" s="133" t="s">
        <v>676</v>
      </c>
      <c r="E946" s="664" t="str">
        <f>+VLOOKUP(F946,Resumen_Base!$C$8:$G$287,5,0)</f>
        <v>Food &amp; Wine</v>
      </c>
      <c r="F946" s="152" t="s">
        <v>248</v>
      </c>
      <c r="G946" s="4" t="s">
        <v>249</v>
      </c>
      <c r="H946" s="4" t="str">
        <f t="shared" si="14"/>
        <v>CAR5289</v>
      </c>
      <c r="I946" s="196">
        <v>83126.8</v>
      </c>
      <c r="J946" s="196">
        <v>58.54</v>
      </c>
      <c r="K946" s="196">
        <v>1420</v>
      </c>
      <c r="L946" s="454" t="s">
        <v>1113</v>
      </c>
      <c r="M946" s="4" t="s">
        <v>780</v>
      </c>
      <c r="N946" s="133" t="s">
        <v>1407</v>
      </c>
      <c r="O946" s="4" t="s">
        <v>1114</v>
      </c>
      <c r="P946" s="4" t="s">
        <v>892</v>
      </c>
      <c r="Q946" s="4" t="s">
        <v>1115</v>
      </c>
      <c r="R946" s="4" t="s">
        <v>2375</v>
      </c>
      <c r="S946" s="4" t="s">
        <v>1117</v>
      </c>
      <c r="T946" s="4" t="s">
        <v>786</v>
      </c>
    </row>
    <row r="947" spans="1:20" customFormat="1">
      <c r="A947" s="10"/>
      <c r="B947" s="4"/>
      <c r="C947" s="4"/>
      <c r="D947" s="133" t="s">
        <v>676</v>
      </c>
      <c r="E947" s="664" t="str">
        <f>+VLOOKUP(F947,Resumen_Base!$C$8:$G$287,5,0)</f>
        <v>Food &amp; Wine</v>
      </c>
      <c r="F947" s="152" t="s">
        <v>248</v>
      </c>
      <c r="G947" s="4" t="s">
        <v>249</v>
      </c>
      <c r="H947" s="4" t="str">
        <f t="shared" si="14"/>
        <v>CAR5289</v>
      </c>
      <c r="I947" s="196">
        <v>26213.200000000001</v>
      </c>
      <c r="J947" s="196">
        <v>18.46</v>
      </c>
      <c r="K947" s="196">
        <v>1420</v>
      </c>
      <c r="L947" s="454" t="s">
        <v>1093</v>
      </c>
      <c r="M947" s="4" t="s">
        <v>780</v>
      </c>
      <c r="N947" s="133" t="s">
        <v>1407</v>
      </c>
      <c r="O947" s="4" t="s">
        <v>1129</v>
      </c>
      <c r="P947" s="4" t="s">
        <v>892</v>
      </c>
      <c r="Q947" s="4" t="s">
        <v>1130</v>
      </c>
      <c r="R947" s="4" t="s">
        <v>2391</v>
      </c>
      <c r="S947" s="4" t="s">
        <v>1132</v>
      </c>
      <c r="T947" s="4" t="s">
        <v>786</v>
      </c>
    </row>
    <row r="948" spans="1:20" customFormat="1">
      <c r="A948" s="10"/>
      <c r="B948" s="4"/>
      <c r="C948" s="4"/>
      <c r="D948" s="133" t="s">
        <v>676</v>
      </c>
      <c r="E948" s="664" t="str">
        <f>+VLOOKUP(F948,Resumen_Base!$C$8:$G$287,5,0)</f>
        <v>Food &amp; Wine</v>
      </c>
      <c r="F948" s="152" t="s">
        <v>248</v>
      </c>
      <c r="G948" s="4" t="s">
        <v>249</v>
      </c>
      <c r="H948" s="4" t="str">
        <f t="shared" si="14"/>
        <v>CAR5289</v>
      </c>
      <c r="I948" s="196">
        <v>34520.199999999997</v>
      </c>
      <c r="J948" s="196">
        <v>24.31</v>
      </c>
      <c r="K948" s="196">
        <v>1420</v>
      </c>
      <c r="L948" s="454" t="s">
        <v>1205</v>
      </c>
      <c r="M948" s="4" t="s">
        <v>780</v>
      </c>
      <c r="N948" s="133" t="s">
        <v>1407</v>
      </c>
      <c r="O948" s="4" t="s">
        <v>1214</v>
      </c>
      <c r="P948" s="4" t="s">
        <v>892</v>
      </c>
      <c r="Q948" s="4" t="s">
        <v>1215</v>
      </c>
      <c r="R948" s="4" t="s">
        <v>2391</v>
      </c>
      <c r="S948" s="4" t="s">
        <v>1217</v>
      </c>
      <c r="T948" s="4" t="s">
        <v>786</v>
      </c>
    </row>
    <row r="949" spans="1:20" customFormat="1">
      <c r="A949" s="10"/>
      <c r="B949" s="4"/>
      <c r="C949" s="4"/>
      <c r="D949" s="133" t="s">
        <v>676</v>
      </c>
      <c r="E949" s="664" t="str">
        <f>+VLOOKUP(F949,Resumen_Base!$C$8:$G$287,5,0)</f>
        <v>Food &amp; Wine</v>
      </c>
      <c r="F949" s="152" t="s">
        <v>248</v>
      </c>
      <c r="G949" s="4" t="s">
        <v>249</v>
      </c>
      <c r="H949" s="4" t="str">
        <f t="shared" si="14"/>
        <v>CAR5289</v>
      </c>
      <c r="I949" s="196">
        <v>22208.799999999999</v>
      </c>
      <c r="J949" s="196">
        <v>15.64</v>
      </c>
      <c r="K949" s="196">
        <v>1420</v>
      </c>
      <c r="L949" s="454" t="s">
        <v>1205</v>
      </c>
      <c r="M949" s="4" t="s">
        <v>780</v>
      </c>
      <c r="N949" s="133" t="s">
        <v>1407</v>
      </c>
      <c r="O949" s="4" t="s">
        <v>1214</v>
      </c>
      <c r="P949" s="4" t="s">
        <v>892</v>
      </c>
      <c r="Q949" s="4" t="s">
        <v>1215</v>
      </c>
      <c r="R949" s="4" t="s">
        <v>2391</v>
      </c>
      <c r="S949" s="4" t="s">
        <v>1217</v>
      </c>
      <c r="T949" s="4" t="s">
        <v>786</v>
      </c>
    </row>
    <row r="950" spans="1:20" customFormat="1">
      <c r="A950" s="10"/>
      <c r="B950" s="4"/>
      <c r="C950" s="4"/>
      <c r="D950" s="133" t="s">
        <v>676</v>
      </c>
      <c r="E950" s="664" t="str">
        <f>+VLOOKUP(F950,Resumen_Base!$C$8:$G$287,5,0)</f>
        <v>Food &amp; Wine</v>
      </c>
      <c r="F950" s="152" t="s">
        <v>248</v>
      </c>
      <c r="G950" s="4" t="s">
        <v>249</v>
      </c>
      <c r="H950" s="4" t="str">
        <f t="shared" si="14"/>
        <v>CAR5289</v>
      </c>
      <c r="I950" s="196">
        <v>33284.800000000003</v>
      </c>
      <c r="J950" s="196">
        <v>23.44</v>
      </c>
      <c r="K950" s="196">
        <v>1420</v>
      </c>
      <c r="L950" s="454" t="s">
        <v>1205</v>
      </c>
      <c r="M950" s="4" t="s">
        <v>780</v>
      </c>
      <c r="N950" s="133" t="s">
        <v>1407</v>
      </c>
      <c r="O950" s="4" t="s">
        <v>1214</v>
      </c>
      <c r="P950" s="4" t="s">
        <v>892</v>
      </c>
      <c r="Q950" s="4" t="s">
        <v>1215</v>
      </c>
      <c r="R950" s="4" t="s">
        <v>2391</v>
      </c>
      <c r="S950" s="4" t="s">
        <v>1217</v>
      </c>
      <c r="T950" s="4" t="s">
        <v>786</v>
      </c>
    </row>
    <row r="951" spans="1:20" customFormat="1">
      <c r="A951" s="723" t="s">
        <v>2809</v>
      </c>
      <c r="B951" s="315" t="s">
        <v>2816</v>
      </c>
      <c r="C951" s="330"/>
      <c r="D951" s="203" t="s">
        <v>670</v>
      </c>
      <c r="E951" s="714" t="str">
        <f>+VLOOKUP(F951,Resumen_Base!$C$8:$G$287,5,0)</f>
        <v>Miscellaneous &amp; Shipping</v>
      </c>
      <c r="F951" s="724" t="s">
        <v>58</v>
      </c>
      <c r="G951" s="725" t="s">
        <v>59</v>
      </c>
      <c r="H951" s="330" t="str">
        <f t="shared" si="14"/>
        <v>SJ5219</v>
      </c>
      <c r="I951" s="715">
        <v>16415.2</v>
      </c>
      <c r="J951" s="715">
        <v>11.56</v>
      </c>
      <c r="K951" s="715">
        <v>1420</v>
      </c>
      <c r="L951" s="456" t="s">
        <v>787</v>
      </c>
      <c r="M951" s="330" t="s">
        <v>780</v>
      </c>
      <c r="N951" s="203" t="s">
        <v>781</v>
      </c>
      <c r="O951" s="330" t="s">
        <v>830</v>
      </c>
      <c r="P951" s="330" t="s">
        <v>783</v>
      </c>
      <c r="Q951" s="330" t="s">
        <v>831</v>
      </c>
      <c r="R951" s="330" t="s">
        <v>845</v>
      </c>
      <c r="S951" s="330" t="s">
        <v>833</v>
      </c>
      <c r="T951" s="330" t="s">
        <v>786</v>
      </c>
    </row>
    <row r="952" spans="1:20" s="730" customFormat="1">
      <c r="A952" s="729"/>
      <c r="B952" s="219"/>
      <c r="C952" s="219"/>
      <c r="D952" s="717" t="s">
        <v>670</v>
      </c>
      <c r="E952" s="375" t="str">
        <f>+VLOOKUP(F952,Resumen_Base!$C$8:$G$287,5,0)</f>
        <v>Miscellaneous &amp; Shipping</v>
      </c>
      <c r="F952" s="360" t="s">
        <v>777</v>
      </c>
      <c r="G952" s="219" t="s">
        <v>908</v>
      </c>
      <c r="H952" s="219" t="str">
        <f t="shared" si="14"/>
        <v>SJ5292</v>
      </c>
      <c r="I952" s="718">
        <v>-1029600</v>
      </c>
      <c r="J952" s="718">
        <v>-720</v>
      </c>
      <c r="K952" s="718">
        <v>1430</v>
      </c>
      <c r="L952" s="719" t="s">
        <v>890</v>
      </c>
      <c r="M952" s="219" t="s">
        <v>780</v>
      </c>
      <c r="N952" s="717" t="s">
        <v>781</v>
      </c>
      <c r="O952" s="219" t="s">
        <v>909</v>
      </c>
      <c r="P952" s="219" t="s">
        <v>892</v>
      </c>
      <c r="Q952" s="219" t="s">
        <v>910</v>
      </c>
      <c r="R952" s="219" t="s">
        <v>911</v>
      </c>
      <c r="S952" s="219" t="s">
        <v>912</v>
      </c>
      <c r="T952" s="219" t="s">
        <v>786</v>
      </c>
    </row>
    <row r="953" spans="1:20" s="730" customFormat="1">
      <c r="A953" s="729"/>
      <c r="B953" s="219"/>
      <c r="C953" s="219"/>
      <c r="D953" s="717" t="s">
        <v>670</v>
      </c>
      <c r="E953" s="375" t="str">
        <f>+VLOOKUP(F953,Resumen_Base!$C$8:$G$287,5,0)</f>
        <v>Miscellaneous &amp; Shipping</v>
      </c>
      <c r="F953" s="360" t="s">
        <v>777</v>
      </c>
      <c r="G953" s="219" t="s">
        <v>908</v>
      </c>
      <c r="H953" s="219" t="str">
        <f t="shared" si="14"/>
        <v>SJ5292</v>
      </c>
      <c r="I953" s="718">
        <v>2659.8</v>
      </c>
      <c r="J953" s="718">
        <v>1.86</v>
      </c>
      <c r="K953" s="718">
        <v>1430</v>
      </c>
      <c r="L953" s="719" t="s">
        <v>890</v>
      </c>
      <c r="M953" s="219" t="s">
        <v>780</v>
      </c>
      <c r="N953" s="717" t="s">
        <v>781</v>
      </c>
      <c r="O953" s="219" t="s">
        <v>951</v>
      </c>
      <c r="P953" s="219" t="s">
        <v>892</v>
      </c>
      <c r="Q953" s="219" t="s">
        <v>952</v>
      </c>
      <c r="R953" s="219" t="s">
        <v>953</v>
      </c>
      <c r="S953" s="219" t="s">
        <v>954</v>
      </c>
      <c r="T953" s="219" t="s">
        <v>786</v>
      </c>
    </row>
    <row r="954" spans="1:20" customFormat="1">
      <c r="A954" s="729"/>
      <c r="B954" s="219"/>
      <c r="C954" s="219"/>
      <c r="D954" s="717" t="s">
        <v>670</v>
      </c>
      <c r="E954" s="375" t="str">
        <f>+VLOOKUP(F954,Resumen_Base!$C$8:$G$287,5,0)</f>
        <v>Miscellaneous &amp; Shipping</v>
      </c>
      <c r="F954" s="360" t="s">
        <v>777</v>
      </c>
      <c r="G954" s="219" t="s">
        <v>908</v>
      </c>
      <c r="H954" s="219" t="str">
        <f t="shared" si="14"/>
        <v>SJ5292</v>
      </c>
      <c r="I954" s="718">
        <v>210810.6</v>
      </c>
      <c r="J954" s="718">
        <v>147.41999999999999</v>
      </c>
      <c r="K954" s="718">
        <v>1430</v>
      </c>
      <c r="L954" s="719" t="s">
        <v>890</v>
      </c>
      <c r="M954" s="219" t="s">
        <v>780</v>
      </c>
      <c r="N954" s="717" t="s">
        <v>781</v>
      </c>
      <c r="O954" s="219" t="s">
        <v>951</v>
      </c>
      <c r="P954" s="219" t="s">
        <v>892</v>
      </c>
      <c r="Q954" s="219" t="s">
        <v>952</v>
      </c>
      <c r="R954" s="4" t="s">
        <v>955</v>
      </c>
      <c r="S954" s="4" t="s">
        <v>954</v>
      </c>
      <c r="T954" s="4" t="s">
        <v>786</v>
      </c>
    </row>
    <row r="955" spans="1:20" customFormat="1">
      <c r="A955" s="729"/>
      <c r="B955" s="219"/>
      <c r="C955" s="219"/>
      <c r="D955" s="717" t="s">
        <v>670</v>
      </c>
      <c r="E955" s="375" t="str">
        <f>+VLOOKUP(F955,Resumen_Base!$C$8:$G$287,5,0)</f>
        <v>Miscellaneous &amp; Shipping</v>
      </c>
      <c r="F955" s="360" t="s">
        <v>777</v>
      </c>
      <c r="G955" s="219" t="s">
        <v>908</v>
      </c>
      <c r="H955" s="219" t="str">
        <f t="shared" si="14"/>
        <v>SJ5292</v>
      </c>
      <c r="I955" s="718">
        <v>2659.8</v>
      </c>
      <c r="J955" s="718">
        <v>1.86</v>
      </c>
      <c r="K955" s="718">
        <v>1430</v>
      </c>
      <c r="L955" s="719" t="s">
        <v>890</v>
      </c>
      <c r="M955" s="219" t="s">
        <v>780</v>
      </c>
      <c r="N955" s="717" t="s">
        <v>781</v>
      </c>
      <c r="O955" s="219" t="s">
        <v>951</v>
      </c>
      <c r="P955" s="219" t="s">
        <v>892</v>
      </c>
      <c r="Q955" s="219" t="s">
        <v>952</v>
      </c>
      <c r="R955" s="4" t="s">
        <v>953</v>
      </c>
      <c r="S955" s="4" t="s">
        <v>954</v>
      </c>
      <c r="T955" s="4" t="s">
        <v>786</v>
      </c>
    </row>
    <row r="956" spans="1:20" customFormat="1">
      <c r="A956" s="729"/>
      <c r="B956" s="219"/>
      <c r="C956" s="219"/>
      <c r="D956" s="717" t="s">
        <v>670</v>
      </c>
      <c r="E956" s="375" t="str">
        <f>+VLOOKUP(F956,Resumen_Base!$C$8:$G$287,5,0)</f>
        <v>Miscellaneous &amp; Shipping</v>
      </c>
      <c r="F956" s="360" t="s">
        <v>777</v>
      </c>
      <c r="G956" s="219" t="s">
        <v>908</v>
      </c>
      <c r="H956" s="219" t="str">
        <f t="shared" si="14"/>
        <v>SJ5292</v>
      </c>
      <c r="I956" s="718">
        <v>63248.9</v>
      </c>
      <c r="J956" s="718">
        <v>44.23</v>
      </c>
      <c r="K956" s="718">
        <v>1430</v>
      </c>
      <c r="L956" s="719" t="s">
        <v>890</v>
      </c>
      <c r="M956" s="219" t="s">
        <v>780</v>
      </c>
      <c r="N956" s="717" t="s">
        <v>781</v>
      </c>
      <c r="O956" s="219" t="s">
        <v>951</v>
      </c>
      <c r="P956" s="219" t="s">
        <v>892</v>
      </c>
      <c r="Q956" s="219" t="s">
        <v>952</v>
      </c>
      <c r="R956" s="4" t="s">
        <v>964</v>
      </c>
      <c r="S956" s="4" t="s">
        <v>954</v>
      </c>
      <c r="T956" s="4" t="s">
        <v>786</v>
      </c>
    </row>
    <row r="957" spans="1:20" customFormat="1">
      <c r="A957" s="729"/>
      <c r="B957" s="219"/>
      <c r="C957" s="219"/>
      <c r="D957" s="717" t="s">
        <v>670</v>
      </c>
      <c r="E957" s="375" t="str">
        <f>+VLOOKUP(F957,Resumen_Base!$C$8:$G$287,5,0)</f>
        <v>Miscellaneous &amp; Shipping</v>
      </c>
      <c r="F957" s="360" t="s">
        <v>777</v>
      </c>
      <c r="G957" s="219" t="s">
        <v>908</v>
      </c>
      <c r="H957" s="219" t="str">
        <f t="shared" si="14"/>
        <v>SJ5292</v>
      </c>
      <c r="I957" s="718">
        <v>2659.8</v>
      </c>
      <c r="J957" s="718">
        <v>1.86</v>
      </c>
      <c r="K957" s="718">
        <v>1430</v>
      </c>
      <c r="L957" s="719" t="s">
        <v>890</v>
      </c>
      <c r="M957" s="219" t="s">
        <v>780</v>
      </c>
      <c r="N957" s="717" t="s">
        <v>781</v>
      </c>
      <c r="O957" s="219" t="s">
        <v>951</v>
      </c>
      <c r="P957" s="219" t="s">
        <v>892</v>
      </c>
      <c r="Q957" s="219" t="s">
        <v>952</v>
      </c>
      <c r="R957" s="4" t="s">
        <v>953</v>
      </c>
      <c r="S957" s="4" t="s">
        <v>954</v>
      </c>
      <c r="T957" s="4" t="s">
        <v>786</v>
      </c>
    </row>
    <row r="958" spans="1:20" customFormat="1">
      <c r="A958" s="729"/>
      <c r="B958" s="219"/>
      <c r="C958" s="219"/>
      <c r="D958" s="717" t="s">
        <v>670</v>
      </c>
      <c r="E958" s="375" t="str">
        <f>+VLOOKUP(F958,Resumen_Base!$C$8:$G$287,5,0)</f>
        <v>Miscellaneous &amp; Shipping</v>
      </c>
      <c r="F958" s="360" t="s">
        <v>777</v>
      </c>
      <c r="G958" s="219" t="s">
        <v>908</v>
      </c>
      <c r="H958" s="219" t="str">
        <f t="shared" si="14"/>
        <v>SJ5292</v>
      </c>
      <c r="I958" s="718">
        <v>239939.7</v>
      </c>
      <c r="J958" s="718">
        <v>167.79</v>
      </c>
      <c r="K958" s="718">
        <v>1430</v>
      </c>
      <c r="L958" s="719" t="s">
        <v>890</v>
      </c>
      <c r="M958" s="219" t="s">
        <v>780</v>
      </c>
      <c r="N958" s="717" t="s">
        <v>781</v>
      </c>
      <c r="O958" s="219" t="s">
        <v>951</v>
      </c>
      <c r="P958" s="219" t="s">
        <v>892</v>
      </c>
      <c r="Q958" s="219" t="s">
        <v>952</v>
      </c>
      <c r="R958" s="4" t="s">
        <v>965</v>
      </c>
      <c r="S958" s="4" t="s">
        <v>954</v>
      </c>
      <c r="T958" s="4" t="s">
        <v>786</v>
      </c>
    </row>
    <row r="959" spans="1:20" customFormat="1">
      <c r="A959" s="729"/>
      <c r="B959" s="219"/>
      <c r="C959" s="219"/>
      <c r="D959" s="717" t="s">
        <v>670</v>
      </c>
      <c r="E959" s="375" t="str">
        <f>+VLOOKUP(F959,Resumen_Base!$C$8:$G$287,5,0)</f>
        <v>Miscellaneous &amp; Shipping</v>
      </c>
      <c r="F959" s="360" t="s">
        <v>777</v>
      </c>
      <c r="G959" s="219" t="s">
        <v>908</v>
      </c>
      <c r="H959" s="219" t="str">
        <f t="shared" si="14"/>
        <v>SJ5292</v>
      </c>
      <c r="I959" s="718">
        <v>2659.8</v>
      </c>
      <c r="J959" s="718">
        <v>1.86</v>
      </c>
      <c r="K959" s="718">
        <v>1430</v>
      </c>
      <c r="L959" s="719" t="s">
        <v>890</v>
      </c>
      <c r="M959" s="219" t="s">
        <v>780</v>
      </c>
      <c r="N959" s="717" t="s">
        <v>781</v>
      </c>
      <c r="O959" s="219" t="s">
        <v>951</v>
      </c>
      <c r="P959" s="219" t="s">
        <v>892</v>
      </c>
      <c r="Q959" s="219" t="s">
        <v>952</v>
      </c>
      <c r="R959" s="4" t="s">
        <v>953</v>
      </c>
      <c r="S959" s="4" t="s">
        <v>954</v>
      </c>
      <c r="T959" s="4" t="s">
        <v>786</v>
      </c>
    </row>
    <row r="960" spans="1:20" customFormat="1">
      <c r="A960" s="729"/>
      <c r="B960" s="219"/>
      <c r="C960" s="219"/>
      <c r="D960" s="717" t="s">
        <v>670</v>
      </c>
      <c r="E960" s="375" t="str">
        <f>+VLOOKUP(F960,Resumen_Base!$C$8:$G$287,5,0)</f>
        <v>Miscellaneous &amp; Shipping</v>
      </c>
      <c r="F960" s="360" t="s">
        <v>777</v>
      </c>
      <c r="G960" s="219" t="s">
        <v>908</v>
      </c>
      <c r="H960" s="219" t="str">
        <f t="shared" si="14"/>
        <v>SJ5292</v>
      </c>
      <c r="I960" s="718">
        <v>421621.2</v>
      </c>
      <c r="J960" s="718">
        <v>294.83999999999997</v>
      </c>
      <c r="K960" s="718">
        <v>1430</v>
      </c>
      <c r="L960" s="719" t="s">
        <v>890</v>
      </c>
      <c r="M960" s="219" t="s">
        <v>780</v>
      </c>
      <c r="N960" s="717" t="s">
        <v>781</v>
      </c>
      <c r="O960" s="219" t="s">
        <v>951</v>
      </c>
      <c r="P960" s="219" t="s">
        <v>892</v>
      </c>
      <c r="Q960" s="219" t="s">
        <v>952</v>
      </c>
      <c r="R960" s="4" t="s">
        <v>956</v>
      </c>
      <c r="S960" s="4" t="s">
        <v>954</v>
      </c>
      <c r="T960" s="4" t="s">
        <v>786</v>
      </c>
    </row>
    <row r="961" spans="1:20" customFormat="1">
      <c r="A961" s="729"/>
      <c r="B961" s="219"/>
      <c r="C961" s="219"/>
      <c r="D961" s="717" t="s">
        <v>670</v>
      </c>
      <c r="E961" s="375" t="str">
        <f>+VLOOKUP(F961,Resumen_Base!$C$8:$G$287,5,0)</f>
        <v>Miscellaneous &amp; Shipping</v>
      </c>
      <c r="F961" s="360" t="s">
        <v>777</v>
      </c>
      <c r="G961" s="219" t="s">
        <v>908</v>
      </c>
      <c r="H961" s="219" t="str">
        <f t="shared" si="14"/>
        <v>SJ5292</v>
      </c>
      <c r="I961" s="718">
        <v>1001357.5</v>
      </c>
      <c r="J961" s="718">
        <v>700.25</v>
      </c>
      <c r="K961" s="718">
        <v>1430</v>
      </c>
      <c r="L961" s="719" t="s">
        <v>890</v>
      </c>
      <c r="M961" s="219" t="s">
        <v>780</v>
      </c>
      <c r="N961" s="717" t="s">
        <v>781</v>
      </c>
      <c r="O961" s="219" t="s">
        <v>951</v>
      </c>
      <c r="P961" s="219" t="s">
        <v>892</v>
      </c>
      <c r="Q961" s="219" t="s">
        <v>952</v>
      </c>
      <c r="R961" s="4" t="s">
        <v>958</v>
      </c>
      <c r="S961" s="4" t="s">
        <v>954</v>
      </c>
      <c r="T961" s="4" t="s">
        <v>786</v>
      </c>
    </row>
    <row r="962" spans="1:20" customFormat="1">
      <c r="A962" s="729"/>
      <c r="B962" s="219"/>
      <c r="C962" s="219"/>
      <c r="D962" s="717" t="s">
        <v>670</v>
      </c>
      <c r="E962" s="375" t="str">
        <f>+VLOOKUP(F962,Resumen_Base!$C$8:$G$287,5,0)</f>
        <v>Miscellaneous &amp; Shipping</v>
      </c>
      <c r="F962" s="360" t="s">
        <v>777</v>
      </c>
      <c r="G962" s="219" t="s">
        <v>908</v>
      </c>
      <c r="H962" s="219" t="str">
        <f t="shared" si="14"/>
        <v>SJ5292</v>
      </c>
      <c r="I962" s="718">
        <v>579736.30000000005</v>
      </c>
      <c r="J962" s="718">
        <v>405.41</v>
      </c>
      <c r="K962" s="718">
        <v>1430</v>
      </c>
      <c r="L962" s="719" t="s">
        <v>890</v>
      </c>
      <c r="M962" s="219" t="s">
        <v>780</v>
      </c>
      <c r="N962" s="717" t="s">
        <v>781</v>
      </c>
      <c r="O962" s="219" t="s">
        <v>951</v>
      </c>
      <c r="P962" s="219" t="s">
        <v>892</v>
      </c>
      <c r="Q962" s="219" t="s">
        <v>952</v>
      </c>
      <c r="R962" s="4" t="s">
        <v>957</v>
      </c>
      <c r="S962" s="4" t="s">
        <v>954</v>
      </c>
      <c r="T962" s="4" t="s">
        <v>786</v>
      </c>
    </row>
    <row r="963" spans="1:20" customFormat="1">
      <c r="A963" s="729"/>
      <c r="B963" s="219"/>
      <c r="C963" s="219"/>
      <c r="D963" s="717" t="s">
        <v>670</v>
      </c>
      <c r="E963" s="375" t="str">
        <f>+VLOOKUP(F963,Resumen_Base!$C$8:$G$287,5,0)</f>
        <v>Miscellaneous &amp; Shipping</v>
      </c>
      <c r="F963" s="360" t="s">
        <v>777</v>
      </c>
      <c r="G963" s="219" t="s">
        <v>908</v>
      </c>
      <c r="H963" s="219" t="str">
        <f t="shared" si="14"/>
        <v>SJ5292</v>
      </c>
      <c r="I963" s="718">
        <v>171600</v>
      </c>
      <c r="J963" s="718">
        <v>120</v>
      </c>
      <c r="K963" s="718">
        <v>1430</v>
      </c>
      <c r="L963" s="719" t="s">
        <v>890</v>
      </c>
      <c r="M963" s="219" t="s">
        <v>780</v>
      </c>
      <c r="N963" s="717" t="s">
        <v>781</v>
      </c>
      <c r="O963" s="219" t="s">
        <v>967</v>
      </c>
      <c r="P963" s="219" t="s">
        <v>892</v>
      </c>
      <c r="Q963" s="219" t="s">
        <v>968</v>
      </c>
      <c r="R963" s="4" t="s">
        <v>971</v>
      </c>
      <c r="S963" s="4" t="s">
        <v>970</v>
      </c>
      <c r="T963" s="4" t="s">
        <v>786</v>
      </c>
    </row>
    <row r="964" spans="1:20" customFormat="1">
      <c r="A964" s="729"/>
      <c r="B964" s="219"/>
      <c r="C964" s="219"/>
      <c r="D964" s="717" t="s">
        <v>670</v>
      </c>
      <c r="E964" s="375" t="str">
        <f>+VLOOKUP(F964,Resumen_Base!$C$8:$G$287,5,0)</f>
        <v>Miscellaneous &amp; Shipping</v>
      </c>
      <c r="F964" s="360" t="s">
        <v>777</v>
      </c>
      <c r="G964" s="219" t="s">
        <v>908</v>
      </c>
      <c r="H964" s="219" t="str">
        <f t="shared" si="14"/>
        <v>SJ5292</v>
      </c>
      <c r="I964" s="718">
        <v>2717</v>
      </c>
      <c r="J964" s="718">
        <v>1.9</v>
      </c>
      <c r="K964" s="718">
        <v>1430</v>
      </c>
      <c r="L964" s="719" t="s">
        <v>890</v>
      </c>
      <c r="M964" s="219" t="s">
        <v>780</v>
      </c>
      <c r="N964" s="717" t="s">
        <v>781</v>
      </c>
      <c r="O964" s="219" t="s">
        <v>967</v>
      </c>
      <c r="P964" s="219" t="s">
        <v>892</v>
      </c>
      <c r="Q964" s="219" t="s">
        <v>968</v>
      </c>
      <c r="R964" s="4" t="s">
        <v>953</v>
      </c>
      <c r="S964" s="4" t="s">
        <v>970</v>
      </c>
      <c r="T964" s="4" t="s">
        <v>786</v>
      </c>
    </row>
    <row r="965" spans="1:20" customFormat="1">
      <c r="A965" s="729"/>
      <c r="B965" s="219"/>
      <c r="C965" s="219"/>
      <c r="D965" s="717" t="s">
        <v>670</v>
      </c>
      <c r="E965" s="375" t="str">
        <f>+VLOOKUP(F965,Resumen_Base!$C$8:$G$287,5,0)</f>
        <v>Miscellaneous &amp; Shipping</v>
      </c>
      <c r="F965" s="360" t="s">
        <v>777</v>
      </c>
      <c r="G965" s="219" t="s">
        <v>908</v>
      </c>
      <c r="H965" s="219" t="str">
        <f t="shared" si="14"/>
        <v>SJ5292</v>
      </c>
      <c r="I965" s="718">
        <v>1029600</v>
      </c>
      <c r="J965" s="718">
        <v>720</v>
      </c>
      <c r="K965" s="718">
        <v>1430</v>
      </c>
      <c r="L965" s="719" t="s">
        <v>890</v>
      </c>
      <c r="M965" s="219" t="s">
        <v>780</v>
      </c>
      <c r="N965" s="717" t="s">
        <v>781</v>
      </c>
      <c r="O965" s="219" t="s">
        <v>967</v>
      </c>
      <c r="P965" s="219" t="s">
        <v>892</v>
      </c>
      <c r="Q965" s="219" t="s">
        <v>968</v>
      </c>
      <c r="R965" s="4" t="s">
        <v>972</v>
      </c>
      <c r="S965" s="4" t="s">
        <v>970</v>
      </c>
      <c r="T965" s="4" t="s">
        <v>786</v>
      </c>
    </row>
    <row r="966" spans="1:20" customFormat="1">
      <c r="A966" s="729"/>
      <c r="B966" s="219"/>
      <c r="C966" s="219"/>
      <c r="D966" s="717" t="s">
        <v>670</v>
      </c>
      <c r="E966" s="375" t="str">
        <f>+VLOOKUP(F966,Resumen_Base!$C$8:$G$287,5,0)</f>
        <v>Miscellaneous &amp; Shipping</v>
      </c>
      <c r="F966" s="360" t="s">
        <v>777</v>
      </c>
      <c r="G966" s="219" t="s">
        <v>908</v>
      </c>
      <c r="H966" s="219" t="str">
        <f t="shared" si="14"/>
        <v>SJ5292</v>
      </c>
      <c r="I966" s="718">
        <v>2717</v>
      </c>
      <c r="J966" s="718">
        <v>1.9</v>
      </c>
      <c r="K966" s="718">
        <v>1430</v>
      </c>
      <c r="L966" s="719" t="s">
        <v>890</v>
      </c>
      <c r="M966" s="219" t="s">
        <v>780</v>
      </c>
      <c r="N966" s="717" t="s">
        <v>781</v>
      </c>
      <c r="O966" s="219" t="s">
        <v>967</v>
      </c>
      <c r="P966" s="219" t="s">
        <v>892</v>
      </c>
      <c r="Q966" s="219" t="s">
        <v>968</v>
      </c>
      <c r="R966" s="4" t="s">
        <v>953</v>
      </c>
      <c r="S966" s="4" t="s">
        <v>970</v>
      </c>
      <c r="T966" s="4" t="s">
        <v>786</v>
      </c>
    </row>
    <row r="967" spans="1:20" customFormat="1">
      <c r="A967" s="729"/>
      <c r="B967" s="219"/>
      <c r="C967" s="219"/>
      <c r="D967" s="717" t="s">
        <v>670</v>
      </c>
      <c r="E967" s="375" t="str">
        <f>+VLOOKUP(F967,Resumen_Base!$C$8:$G$287,5,0)</f>
        <v>Miscellaneous &amp; Shipping</v>
      </c>
      <c r="F967" s="360" t="s">
        <v>777</v>
      </c>
      <c r="G967" s="219" t="s">
        <v>908</v>
      </c>
      <c r="H967" s="219" t="str">
        <f t="shared" si="14"/>
        <v>SJ5292</v>
      </c>
      <c r="I967" s="718">
        <v>114400</v>
      </c>
      <c r="J967" s="718">
        <v>80</v>
      </c>
      <c r="K967" s="718">
        <v>1430</v>
      </c>
      <c r="L967" s="719" t="s">
        <v>890</v>
      </c>
      <c r="M967" s="219" t="s">
        <v>780</v>
      </c>
      <c r="N967" s="717" t="s">
        <v>781</v>
      </c>
      <c r="O967" s="219" t="s">
        <v>967</v>
      </c>
      <c r="P967" s="219" t="s">
        <v>892</v>
      </c>
      <c r="Q967" s="219" t="s">
        <v>968</v>
      </c>
      <c r="R967" s="4" t="s">
        <v>976</v>
      </c>
      <c r="S967" s="4" t="s">
        <v>970</v>
      </c>
      <c r="T967" s="4" t="s">
        <v>786</v>
      </c>
    </row>
    <row r="968" spans="1:20" customFormat="1">
      <c r="A968" s="729"/>
      <c r="B968" s="219"/>
      <c r="C968" s="219"/>
      <c r="D968" s="717" t="s">
        <v>670</v>
      </c>
      <c r="E968" s="375" t="str">
        <f>+VLOOKUP(F968,Resumen_Base!$C$8:$G$287,5,0)</f>
        <v>Miscellaneous &amp; Shipping</v>
      </c>
      <c r="F968" s="360" t="s">
        <v>777</v>
      </c>
      <c r="G968" s="219" t="s">
        <v>908</v>
      </c>
      <c r="H968" s="219" t="str">
        <f t="shared" si="14"/>
        <v>SJ5292</v>
      </c>
      <c r="I968" s="718">
        <v>2717</v>
      </c>
      <c r="J968" s="718">
        <v>1.9</v>
      </c>
      <c r="K968" s="718">
        <v>1430</v>
      </c>
      <c r="L968" s="719" t="s">
        <v>890</v>
      </c>
      <c r="M968" s="219" t="s">
        <v>780</v>
      </c>
      <c r="N968" s="717" t="s">
        <v>781</v>
      </c>
      <c r="O968" s="219" t="s">
        <v>967</v>
      </c>
      <c r="P968" s="219" t="s">
        <v>892</v>
      </c>
      <c r="Q968" s="219" t="s">
        <v>968</v>
      </c>
      <c r="R968" s="4" t="s">
        <v>953</v>
      </c>
      <c r="S968" s="4" t="s">
        <v>970</v>
      </c>
      <c r="T968" s="4" t="s">
        <v>786</v>
      </c>
    </row>
    <row r="969" spans="1:20" customFormat="1">
      <c r="A969" s="729"/>
      <c r="B969" s="219"/>
      <c r="C969" s="219"/>
      <c r="D969" s="717" t="s">
        <v>670</v>
      </c>
      <c r="E969" s="375" t="str">
        <f>+VLOOKUP(F969,Resumen_Base!$C$8:$G$287,5,0)</f>
        <v>Miscellaneous &amp; Shipping</v>
      </c>
      <c r="F969" s="360" t="s">
        <v>777</v>
      </c>
      <c r="G969" s="219" t="s">
        <v>908</v>
      </c>
      <c r="H969" s="219" t="str">
        <f t="shared" si="14"/>
        <v>SJ5292</v>
      </c>
      <c r="I969" s="718">
        <v>43292</v>
      </c>
      <c r="J969" s="718">
        <v>31.6</v>
      </c>
      <c r="K969" s="718">
        <v>1370</v>
      </c>
      <c r="L969" s="719" t="s">
        <v>899</v>
      </c>
      <c r="M969" s="219"/>
      <c r="N969" s="717" t="s">
        <v>781</v>
      </c>
      <c r="O969" s="219"/>
      <c r="P969" s="219" t="s">
        <v>1032</v>
      </c>
      <c r="Q969" s="219" t="s">
        <v>1033</v>
      </c>
      <c r="R969" s="4"/>
      <c r="S969" s="4" t="s">
        <v>1034</v>
      </c>
      <c r="T969" s="4" t="s">
        <v>786</v>
      </c>
    </row>
    <row r="970" spans="1:20" customFormat="1">
      <c r="A970" s="729"/>
      <c r="B970" s="219"/>
      <c r="C970" s="219"/>
      <c r="D970" s="717" t="s">
        <v>670</v>
      </c>
      <c r="E970" s="375" t="str">
        <f>+VLOOKUP(F970,Resumen_Base!$C$8:$G$287,5,0)</f>
        <v>Miscellaneous &amp; Shipping</v>
      </c>
      <c r="F970" s="360" t="s">
        <v>777</v>
      </c>
      <c r="G970" s="219" t="s">
        <v>908</v>
      </c>
      <c r="H970" s="219" t="str">
        <f t="shared" si="14"/>
        <v>SJ5292</v>
      </c>
      <c r="I970" s="718">
        <v>2630.4</v>
      </c>
      <c r="J970" s="718">
        <v>1.92</v>
      </c>
      <c r="K970" s="718">
        <v>1370</v>
      </c>
      <c r="L970" s="719" t="s">
        <v>899</v>
      </c>
      <c r="M970" s="219"/>
      <c r="N970" s="717" t="s">
        <v>781</v>
      </c>
      <c r="O970" s="219"/>
      <c r="P970" s="219" t="s">
        <v>1032</v>
      </c>
      <c r="Q970" s="219" t="s">
        <v>1035</v>
      </c>
      <c r="R970" s="4"/>
      <c r="S970" s="4" t="s">
        <v>1034</v>
      </c>
      <c r="T970" s="4" t="s">
        <v>786</v>
      </c>
    </row>
    <row r="971" spans="1:20" customFormat="1">
      <c r="A971" s="729"/>
      <c r="B971" s="219"/>
      <c r="C971" s="219"/>
      <c r="D971" s="717" t="s">
        <v>670</v>
      </c>
      <c r="E971" s="375" t="str">
        <f>+VLOOKUP(F971,Resumen_Base!$C$8:$G$287,5,0)</f>
        <v>Miscellaneous &amp; Shipping</v>
      </c>
      <c r="F971" s="360" t="s">
        <v>777</v>
      </c>
      <c r="G971" s="219" t="s">
        <v>908</v>
      </c>
      <c r="H971" s="219" t="str">
        <f t="shared" si="14"/>
        <v>SJ5292</v>
      </c>
      <c r="I971" s="718">
        <v>2630.4</v>
      </c>
      <c r="J971" s="718">
        <v>1.92</v>
      </c>
      <c r="K971" s="718">
        <v>1370</v>
      </c>
      <c r="L971" s="719" t="s">
        <v>899</v>
      </c>
      <c r="M971" s="219"/>
      <c r="N971" s="717" t="s">
        <v>781</v>
      </c>
      <c r="O971" s="219"/>
      <c r="P971" s="219" t="s">
        <v>1032</v>
      </c>
      <c r="Q971" s="219" t="s">
        <v>1036</v>
      </c>
      <c r="R971" s="4"/>
      <c r="S971" s="4" t="s">
        <v>1034</v>
      </c>
      <c r="T971" s="4" t="s">
        <v>786</v>
      </c>
    </row>
    <row r="972" spans="1:20" customFormat="1">
      <c r="A972" s="729"/>
      <c r="B972" s="219"/>
      <c r="C972" s="219"/>
      <c r="D972" s="717" t="s">
        <v>670</v>
      </c>
      <c r="E972" s="375" t="str">
        <f>+VLOOKUP(F972,Resumen_Base!$C$8:$G$287,5,0)</f>
        <v>Miscellaneous &amp; Shipping</v>
      </c>
      <c r="F972" s="360" t="s">
        <v>777</v>
      </c>
      <c r="G972" s="219" t="s">
        <v>908</v>
      </c>
      <c r="H972" s="219" t="str">
        <f t="shared" ref="H972:H991" si="15">+D972&amp;F972</f>
        <v>SJ5292</v>
      </c>
      <c r="I972" s="718">
        <v>210021</v>
      </c>
      <c r="J972" s="718">
        <v>153.30000000000001</v>
      </c>
      <c r="K972" s="718">
        <v>1370</v>
      </c>
      <c r="L972" s="719" t="s">
        <v>899</v>
      </c>
      <c r="M972" s="219"/>
      <c r="N972" s="717" t="s">
        <v>781</v>
      </c>
      <c r="O972" s="219"/>
      <c r="P972" s="219" t="s">
        <v>1032</v>
      </c>
      <c r="Q972" s="219" t="s">
        <v>1037</v>
      </c>
      <c r="R972" s="4"/>
      <c r="S972" s="4" t="s">
        <v>1034</v>
      </c>
      <c r="T972" s="4" t="s">
        <v>786</v>
      </c>
    </row>
    <row r="973" spans="1:20" customFormat="1">
      <c r="A973" s="729"/>
      <c r="B973" s="219"/>
      <c r="C973" s="219"/>
      <c r="D973" s="717" t="s">
        <v>670</v>
      </c>
      <c r="E973" s="375" t="str">
        <f>+VLOOKUP(F973,Resumen_Base!$C$8:$G$287,5,0)</f>
        <v>Miscellaneous &amp; Shipping</v>
      </c>
      <c r="F973" s="360" t="s">
        <v>777</v>
      </c>
      <c r="G973" s="219" t="s">
        <v>908</v>
      </c>
      <c r="H973" s="219" t="str">
        <f t="shared" si="15"/>
        <v>SJ5292</v>
      </c>
      <c r="I973" s="718">
        <v>2603</v>
      </c>
      <c r="J973" s="718">
        <v>1.9</v>
      </c>
      <c r="K973" s="718">
        <v>1370</v>
      </c>
      <c r="L973" s="719" t="s">
        <v>899</v>
      </c>
      <c r="M973" s="219"/>
      <c r="N973" s="717" t="s">
        <v>781</v>
      </c>
      <c r="O973" s="219"/>
      <c r="P973" s="219" t="s">
        <v>1032</v>
      </c>
      <c r="Q973" s="219" t="s">
        <v>1035</v>
      </c>
      <c r="R973" s="4"/>
      <c r="S973" s="4" t="s">
        <v>1034</v>
      </c>
      <c r="T973" s="4" t="s">
        <v>786</v>
      </c>
    </row>
    <row r="974" spans="1:20" customFormat="1">
      <c r="A974" s="729"/>
      <c r="B974" s="219"/>
      <c r="C974" s="219"/>
      <c r="D974" s="717" t="s">
        <v>670</v>
      </c>
      <c r="E974" s="375" t="str">
        <f>+VLOOKUP(F974,Resumen_Base!$C$8:$G$287,5,0)</f>
        <v>Miscellaneous &amp; Shipping</v>
      </c>
      <c r="F974" s="360" t="s">
        <v>777</v>
      </c>
      <c r="G974" s="219" t="s">
        <v>908</v>
      </c>
      <c r="H974" s="219" t="str">
        <f t="shared" si="15"/>
        <v>SJ5292</v>
      </c>
      <c r="I974" s="718">
        <v>785010</v>
      </c>
      <c r="J974" s="718">
        <v>573</v>
      </c>
      <c r="K974" s="718">
        <v>1370</v>
      </c>
      <c r="L974" s="719" t="s">
        <v>899</v>
      </c>
      <c r="M974" s="219"/>
      <c r="N974" s="717" t="s">
        <v>781</v>
      </c>
      <c r="O974" s="219"/>
      <c r="P974" s="219" t="s">
        <v>1032</v>
      </c>
      <c r="Q974" s="219" t="s">
        <v>1038</v>
      </c>
      <c r="R974" s="4"/>
      <c r="S974" s="4" t="s">
        <v>1034</v>
      </c>
      <c r="T974" s="4" t="s">
        <v>786</v>
      </c>
    </row>
    <row r="975" spans="1:20" customFormat="1">
      <c r="A975" s="729"/>
      <c r="B975" s="219"/>
      <c r="C975" s="219"/>
      <c r="D975" s="717" t="s">
        <v>670</v>
      </c>
      <c r="E975" s="375" t="str">
        <f>+VLOOKUP(F975,Resumen_Base!$C$8:$G$287,5,0)</f>
        <v>Miscellaneous &amp; Shipping</v>
      </c>
      <c r="F975" s="360" t="s">
        <v>777</v>
      </c>
      <c r="G975" s="219" t="s">
        <v>908</v>
      </c>
      <c r="H975" s="219" t="str">
        <f t="shared" si="15"/>
        <v>SJ5292</v>
      </c>
      <c r="I975" s="718">
        <v>2603</v>
      </c>
      <c r="J975" s="718">
        <v>1.9</v>
      </c>
      <c r="K975" s="718">
        <v>1370</v>
      </c>
      <c r="L975" s="719" t="s">
        <v>899</v>
      </c>
      <c r="M975" s="219"/>
      <c r="N975" s="717" t="s">
        <v>781</v>
      </c>
      <c r="O975" s="219"/>
      <c r="P975" s="219" t="s">
        <v>1032</v>
      </c>
      <c r="Q975" s="219" t="s">
        <v>1039</v>
      </c>
      <c r="R975" s="4"/>
      <c r="S975" s="4" t="s">
        <v>1034</v>
      </c>
      <c r="T975" s="4" t="s">
        <v>786</v>
      </c>
    </row>
    <row r="976" spans="1:20" customFormat="1">
      <c r="A976" s="729"/>
      <c r="B976" s="219"/>
      <c r="C976" s="219"/>
      <c r="D976" s="717" t="s">
        <v>670</v>
      </c>
      <c r="E976" s="375" t="str">
        <f>+VLOOKUP(F976,Resumen_Base!$C$8:$G$287,5,0)</f>
        <v>Miscellaneous &amp; Shipping</v>
      </c>
      <c r="F976" s="360" t="s">
        <v>777</v>
      </c>
      <c r="G976" s="219" t="s">
        <v>908</v>
      </c>
      <c r="H976" s="219" t="str">
        <f t="shared" si="15"/>
        <v>SJ5292</v>
      </c>
      <c r="I976" s="718">
        <v>1106960</v>
      </c>
      <c r="J976" s="718">
        <v>808</v>
      </c>
      <c r="K976" s="718">
        <v>1370</v>
      </c>
      <c r="L976" s="719" t="s">
        <v>899</v>
      </c>
      <c r="M976" s="219"/>
      <c r="N976" s="717" t="s">
        <v>781</v>
      </c>
      <c r="O976" s="219"/>
      <c r="P976" s="219" t="s">
        <v>1032</v>
      </c>
      <c r="Q976" s="219" t="s">
        <v>1040</v>
      </c>
      <c r="R976" s="4"/>
      <c r="S976" s="4" t="s">
        <v>1034</v>
      </c>
      <c r="T976" s="4" t="s">
        <v>786</v>
      </c>
    </row>
    <row r="977" spans="1:20" customFormat="1">
      <c r="A977" s="729"/>
      <c r="B977" s="219"/>
      <c r="C977" s="219"/>
      <c r="D977" s="717" t="s">
        <v>670</v>
      </c>
      <c r="E977" s="375" t="str">
        <f>+VLOOKUP(F977,Resumen_Base!$C$8:$G$287,5,0)</f>
        <v>Miscellaneous &amp; Shipping</v>
      </c>
      <c r="F977" s="360" t="s">
        <v>777</v>
      </c>
      <c r="G977" s="219" t="s">
        <v>908</v>
      </c>
      <c r="H977" s="219" t="str">
        <f t="shared" si="15"/>
        <v>SJ5292</v>
      </c>
      <c r="I977" s="718">
        <v>-2176860</v>
      </c>
      <c r="J977" s="718">
        <v>-1533</v>
      </c>
      <c r="K977" s="718">
        <v>1420</v>
      </c>
      <c r="L977" s="719" t="s">
        <v>1093</v>
      </c>
      <c r="M977" s="219" t="s">
        <v>780</v>
      </c>
      <c r="N977" s="717" t="s">
        <v>781</v>
      </c>
      <c r="O977" s="219" t="s">
        <v>1094</v>
      </c>
      <c r="P977" s="219" t="s">
        <v>892</v>
      </c>
      <c r="Q977" s="219" t="s">
        <v>1095</v>
      </c>
      <c r="R977" s="4" t="s">
        <v>1096</v>
      </c>
      <c r="S977" s="4" t="s">
        <v>1097</v>
      </c>
      <c r="T977" s="4" t="s">
        <v>786</v>
      </c>
    </row>
    <row r="978" spans="1:20" customFormat="1">
      <c r="A978" s="729"/>
      <c r="B978" s="219"/>
      <c r="C978" s="219"/>
      <c r="D978" s="717" t="s">
        <v>676</v>
      </c>
      <c r="E978" s="375" t="str">
        <f>+VLOOKUP(F978,Resumen_Base!$C$8:$G$287,5,0)</f>
        <v>Miscellaneous &amp; Shipping</v>
      </c>
      <c r="F978" s="360" t="s">
        <v>777</v>
      </c>
      <c r="G978" s="219" t="s">
        <v>908</v>
      </c>
      <c r="H978" s="219" t="str">
        <f t="shared" si="15"/>
        <v>CAR5292</v>
      </c>
      <c r="I978" s="718">
        <v>2731.3</v>
      </c>
      <c r="J978" s="718">
        <v>1.91</v>
      </c>
      <c r="K978" s="718">
        <v>1430</v>
      </c>
      <c r="L978" s="719" t="s">
        <v>890</v>
      </c>
      <c r="M978" s="219" t="s">
        <v>780</v>
      </c>
      <c r="N978" s="717" t="s">
        <v>1407</v>
      </c>
      <c r="O978" s="219" t="s">
        <v>1763</v>
      </c>
      <c r="P978" s="219" t="s">
        <v>892</v>
      </c>
      <c r="Q978" s="219" t="s">
        <v>1764</v>
      </c>
      <c r="R978" s="219" t="s">
        <v>1515</v>
      </c>
      <c r="S978" s="219" t="s">
        <v>1765</v>
      </c>
      <c r="T978" s="219" t="s">
        <v>786</v>
      </c>
    </row>
    <row r="979" spans="1:20" customFormat="1">
      <c r="A979" s="729"/>
      <c r="B979" s="219"/>
      <c r="C979" s="219"/>
      <c r="D979" s="717" t="s">
        <v>676</v>
      </c>
      <c r="E979" s="375" t="str">
        <f>+VLOOKUP(F979,Resumen_Base!$C$8:$G$287,5,0)</f>
        <v>Miscellaneous &amp; Shipping</v>
      </c>
      <c r="F979" s="360" t="s">
        <v>777</v>
      </c>
      <c r="G979" s="219" t="s">
        <v>908</v>
      </c>
      <c r="H979" s="219" t="str">
        <f t="shared" si="15"/>
        <v>CAR5292</v>
      </c>
      <c r="I979" s="718">
        <v>432246.1</v>
      </c>
      <c r="J979" s="718">
        <v>302.27</v>
      </c>
      <c r="K979" s="718">
        <v>1430</v>
      </c>
      <c r="L979" s="719" t="s">
        <v>890</v>
      </c>
      <c r="M979" s="219" t="s">
        <v>780</v>
      </c>
      <c r="N979" s="717" t="s">
        <v>1407</v>
      </c>
      <c r="O979" s="219" t="s">
        <v>1763</v>
      </c>
      <c r="P979" s="219" t="s">
        <v>892</v>
      </c>
      <c r="Q979" s="219" t="s">
        <v>1764</v>
      </c>
      <c r="R979" s="219" t="s">
        <v>1787</v>
      </c>
      <c r="S979" s="219" t="s">
        <v>1765</v>
      </c>
      <c r="T979" s="219" t="s">
        <v>786</v>
      </c>
    </row>
    <row r="980" spans="1:20" customFormat="1">
      <c r="A980" s="729"/>
      <c r="B980" s="219"/>
      <c r="C980" s="219"/>
      <c r="D980" s="717" t="s">
        <v>676</v>
      </c>
      <c r="E980" s="375" t="str">
        <f>+VLOOKUP(F980,Resumen_Base!$C$8:$G$287,5,0)</f>
        <v>Miscellaneous &amp; Shipping</v>
      </c>
      <c r="F980" s="360" t="s">
        <v>777</v>
      </c>
      <c r="G980" s="219" t="s">
        <v>908</v>
      </c>
      <c r="H980" s="219" t="str">
        <f t="shared" si="15"/>
        <v>CAR5292</v>
      </c>
      <c r="I980" s="718">
        <v>2731.3</v>
      </c>
      <c r="J980" s="718">
        <v>1.91</v>
      </c>
      <c r="K980" s="718">
        <v>1430</v>
      </c>
      <c r="L980" s="719" t="s">
        <v>890</v>
      </c>
      <c r="M980" s="219" t="s">
        <v>780</v>
      </c>
      <c r="N980" s="717" t="s">
        <v>1407</v>
      </c>
      <c r="O980" s="219" t="s">
        <v>1763</v>
      </c>
      <c r="P980" s="219" t="s">
        <v>892</v>
      </c>
      <c r="Q980" s="219" t="s">
        <v>1764</v>
      </c>
      <c r="R980" s="219" t="s">
        <v>1515</v>
      </c>
      <c r="S980" s="219" t="s">
        <v>1765</v>
      </c>
      <c r="T980" s="219" t="s">
        <v>786</v>
      </c>
    </row>
    <row r="981" spans="1:20" customFormat="1">
      <c r="A981" s="729"/>
      <c r="B981" s="219"/>
      <c r="C981" s="219"/>
      <c r="D981" s="717" t="s">
        <v>676</v>
      </c>
      <c r="E981" s="375" t="str">
        <f>+VLOOKUP(F981,Resumen_Base!$C$8:$G$287,5,0)</f>
        <v>Miscellaneous &amp; Shipping</v>
      </c>
      <c r="F981" s="360" t="s">
        <v>777</v>
      </c>
      <c r="G981" s="219" t="s">
        <v>908</v>
      </c>
      <c r="H981" s="219" t="str">
        <f t="shared" si="15"/>
        <v>CAR5292</v>
      </c>
      <c r="I981" s="718">
        <v>594336.6</v>
      </c>
      <c r="J981" s="718">
        <v>415.62</v>
      </c>
      <c r="K981" s="718">
        <v>1430</v>
      </c>
      <c r="L981" s="719" t="s">
        <v>890</v>
      </c>
      <c r="M981" s="219" t="s">
        <v>780</v>
      </c>
      <c r="N981" s="717" t="s">
        <v>1407</v>
      </c>
      <c r="O981" s="219" t="s">
        <v>1763</v>
      </c>
      <c r="P981" s="219" t="s">
        <v>892</v>
      </c>
      <c r="Q981" s="219" t="s">
        <v>1764</v>
      </c>
      <c r="R981" s="219" t="s">
        <v>1788</v>
      </c>
      <c r="S981" s="219" t="s">
        <v>1765</v>
      </c>
      <c r="T981" s="219" t="s">
        <v>786</v>
      </c>
    </row>
    <row r="982" spans="1:20" customFormat="1">
      <c r="A982" s="729"/>
      <c r="B982" s="219"/>
      <c r="C982" s="219"/>
      <c r="D982" s="717" t="s">
        <v>676</v>
      </c>
      <c r="E982" s="375" t="str">
        <f>+VLOOKUP(F982,Resumen_Base!$C$8:$G$287,5,0)</f>
        <v>Miscellaneous &amp; Shipping</v>
      </c>
      <c r="F982" s="360" t="s">
        <v>777</v>
      </c>
      <c r="G982" s="219" t="s">
        <v>908</v>
      </c>
      <c r="H982" s="219" t="str">
        <f t="shared" si="15"/>
        <v>CAR5292</v>
      </c>
      <c r="I982" s="718">
        <v>1026568.4</v>
      </c>
      <c r="J982" s="718">
        <v>717.88</v>
      </c>
      <c r="K982" s="718">
        <v>1430</v>
      </c>
      <c r="L982" s="719" t="s">
        <v>890</v>
      </c>
      <c r="M982" s="219" t="s">
        <v>780</v>
      </c>
      <c r="N982" s="717" t="s">
        <v>1407</v>
      </c>
      <c r="O982" s="219" t="s">
        <v>1763</v>
      </c>
      <c r="P982" s="219" t="s">
        <v>892</v>
      </c>
      <c r="Q982" s="219" t="s">
        <v>1764</v>
      </c>
      <c r="R982" s="219" t="s">
        <v>1781</v>
      </c>
      <c r="S982" s="219" t="s">
        <v>1765</v>
      </c>
      <c r="T982" s="219" t="s">
        <v>786</v>
      </c>
    </row>
    <row r="983" spans="1:20" customFormat="1">
      <c r="A983" s="729"/>
      <c r="B983" s="219"/>
      <c r="C983" s="219"/>
      <c r="D983" s="717" t="s">
        <v>676</v>
      </c>
      <c r="E983" s="375" t="str">
        <f>+VLOOKUP(F983,Resumen_Base!$C$8:$G$287,5,0)</f>
        <v>Miscellaneous &amp; Shipping</v>
      </c>
      <c r="F983" s="360" t="s">
        <v>777</v>
      </c>
      <c r="G983" s="219" t="s">
        <v>908</v>
      </c>
      <c r="H983" s="219" t="str">
        <f t="shared" si="15"/>
        <v>CAR5292</v>
      </c>
      <c r="I983" s="718">
        <v>802200</v>
      </c>
      <c r="J983" s="718">
        <v>573</v>
      </c>
      <c r="K983" s="718">
        <v>1400</v>
      </c>
      <c r="L983" s="719" t="s">
        <v>994</v>
      </c>
      <c r="M983" s="219" t="s">
        <v>780</v>
      </c>
      <c r="N983" s="717" t="s">
        <v>1407</v>
      </c>
      <c r="O983" s="219" t="s">
        <v>1908</v>
      </c>
      <c r="P983" s="219" t="s">
        <v>892</v>
      </c>
      <c r="Q983" s="219" t="s">
        <v>1909</v>
      </c>
      <c r="R983" s="219" t="s">
        <v>1911</v>
      </c>
      <c r="S983" s="219" t="s">
        <v>1910</v>
      </c>
      <c r="T983" s="219" t="s">
        <v>786</v>
      </c>
    </row>
    <row r="984" spans="1:20" customFormat="1">
      <c r="A984" s="729"/>
      <c r="B984" s="219"/>
      <c r="C984" s="219"/>
      <c r="D984" s="717" t="s">
        <v>676</v>
      </c>
      <c r="E984" s="375" t="str">
        <f>+VLOOKUP(F984,Resumen_Base!$C$8:$G$287,5,0)</f>
        <v>Miscellaneous &amp; Shipping</v>
      </c>
      <c r="F984" s="360" t="s">
        <v>777</v>
      </c>
      <c r="G984" s="219" t="s">
        <v>908</v>
      </c>
      <c r="H984" s="219" t="str">
        <f t="shared" si="15"/>
        <v>CAR5292</v>
      </c>
      <c r="I984" s="718">
        <v>2660</v>
      </c>
      <c r="J984" s="718">
        <v>1.9</v>
      </c>
      <c r="K984" s="718">
        <v>1400</v>
      </c>
      <c r="L984" s="719" t="s">
        <v>994</v>
      </c>
      <c r="M984" s="219" t="s">
        <v>780</v>
      </c>
      <c r="N984" s="717" t="s">
        <v>1407</v>
      </c>
      <c r="O984" s="219" t="s">
        <v>1908</v>
      </c>
      <c r="P984" s="219" t="s">
        <v>892</v>
      </c>
      <c r="Q984" s="219" t="s">
        <v>1909</v>
      </c>
      <c r="R984" s="219" t="s">
        <v>1456</v>
      </c>
      <c r="S984" s="219" t="s">
        <v>1910</v>
      </c>
      <c r="T984" s="219" t="s">
        <v>786</v>
      </c>
    </row>
    <row r="985" spans="1:20" customFormat="1">
      <c r="A985" s="729"/>
      <c r="B985" s="219"/>
      <c r="C985" s="219"/>
      <c r="D985" s="717" t="s">
        <v>676</v>
      </c>
      <c r="E985" s="375" t="str">
        <f>+VLOOKUP(F985,Resumen_Base!$C$8:$G$287,5,0)</f>
        <v>Miscellaneous &amp; Shipping</v>
      </c>
      <c r="F985" s="360" t="s">
        <v>777</v>
      </c>
      <c r="G985" s="219" t="s">
        <v>908</v>
      </c>
      <c r="H985" s="219" t="str">
        <f t="shared" si="15"/>
        <v>CAR5292</v>
      </c>
      <c r="I985" s="718">
        <v>2618</v>
      </c>
      <c r="J985" s="718">
        <v>1.87</v>
      </c>
      <c r="K985" s="718">
        <v>1400</v>
      </c>
      <c r="L985" s="719" t="s">
        <v>994</v>
      </c>
      <c r="M985" s="219" t="s">
        <v>780</v>
      </c>
      <c r="N985" s="717" t="s">
        <v>1407</v>
      </c>
      <c r="O985" s="219" t="s">
        <v>1912</v>
      </c>
      <c r="P985" s="219" t="s">
        <v>892</v>
      </c>
      <c r="Q985" s="219" t="s">
        <v>1913</v>
      </c>
      <c r="R985" s="219" t="s">
        <v>1456</v>
      </c>
      <c r="S985" s="219" t="s">
        <v>1914</v>
      </c>
      <c r="T985" s="219" t="s">
        <v>786</v>
      </c>
    </row>
    <row r="986" spans="1:20" customFormat="1" ht="25">
      <c r="A986" s="720" t="s">
        <v>2808</v>
      </c>
      <c r="B986" s="361" t="s">
        <v>2815</v>
      </c>
      <c r="C986" s="4"/>
      <c r="D986" s="133" t="s">
        <v>676</v>
      </c>
      <c r="E986" s="664" t="str">
        <f>+VLOOKUP(F986,Resumen_Base!$C$8:$G$287,5,0)</f>
        <v>Travel for personnel (employees)</v>
      </c>
      <c r="F986" s="607" t="s">
        <v>68</v>
      </c>
      <c r="G986" s="597" t="s">
        <v>464</v>
      </c>
      <c r="H986" s="4" t="str">
        <f t="shared" si="15"/>
        <v>CAR5255</v>
      </c>
      <c r="I986" s="196">
        <v>42826</v>
      </c>
      <c r="J986" s="196">
        <v>30.59</v>
      </c>
      <c r="K986" s="196">
        <v>1400</v>
      </c>
      <c r="L986" s="454" t="s">
        <v>994</v>
      </c>
      <c r="M986" s="4" t="s">
        <v>780</v>
      </c>
      <c r="N986" s="133" t="s">
        <v>1407</v>
      </c>
      <c r="O986" s="4" t="s">
        <v>1912</v>
      </c>
      <c r="P986" s="4" t="s">
        <v>892</v>
      </c>
      <c r="Q986" s="4" t="s">
        <v>1913</v>
      </c>
      <c r="R986" s="4" t="s">
        <v>1922</v>
      </c>
      <c r="S986" s="4" t="s">
        <v>1914</v>
      </c>
      <c r="T986" s="4" t="s">
        <v>786</v>
      </c>
    </row>
    <row r="987" spans="1:20" customFormat="1">
      <c r="A987" s="10"/>
      <c r="B987" s="4"/>
      <c r="C987" s="4"/>
      <c r="D987" s="133" t="s">
        <v>676</v>
      </c>
      <c r="E987" s="664" t="str">
        <f>+VLOOKUP(F987,Resumen_Base!$C$8:$G$287,5,0)</f>
        <v>Miscellaneous &amp; Shipping</v>
      </c>
      <c r="F987" s="152" t="s">
        <v>777</v>
      </c>
      <c r="G987" s="4" t="s">
        <v>908</v>
      </c>
      <c r="H987" s="4" t="str">
        <f t="shared" si="15"/>
        <v>CAR5292</v>
      </c>
      <c r="I987" s="196">
        <v>2630.4</v>
      </c>
      <c r="J987" s="196">
        <v>1.92</v>
      </c>
      <c r="K987" s="196">
        <v>1370</v>
      </c>
      <c r="L987" s="454" t="s">
        <v>899</v>
      </c>
      <c r="M987" s="4"/>
      <c r="N987" s="133" t="s">
        <v>1407</v>
      </c>
      <c r="O987" s="4"/>
      <c r="P987" s="4" t="s">
        <v>1032</v>
      </c>
      <c r="Q987" s="4" t="s">
        <v>2091</v>
      </c>
      <c r="R987" s="4"/>
      <c r="S987" s="4" t="s">
        <v>1034</v>
      </c>
      <c r="T987" s="4" t="s">
        <v>786</v>
      </c>
    </row>
    <row r="988" spans="1:20" customFormat="1">
      <c r="A988" s="736" t="s">
        <v>3392</v>
      </c>
      <c r="B988" s="219"/>
      <c r="C988" s="219"/>
      <c r="D988" s="731" t="s">
        <v>670</v>
      </c>
      <c r="E988" s="375" t="str">
        <f>+VLOOKUP(F988,Resumen_Base!$C$8:$G$287,5,0)</f>
        <v>Miscellaneous &amp; Shipping</v>
      </c>
      <c r="F988" s="360" t="s">
        <v>777</v>
      </c>
      <c r="G988" s="219" t="s">
        <v>908</v>
      </c>
      <c r="H988" s="219" t="str">
        <f t="shared" si="15"/>
        <v>SJ5292</v>
      </c>
      <c r="I988" s="718">
        <v>210021</v>
      </c>
      <c r="J988" s="718">
        <v>153.30000000000001</v>
      </c>
      <c r="K988" s="718">
        <v>1370</v>
      </c>
      <c r="L988" s="719" t="s">
        <v>899</v>
      </c>
      <c r="M988" s="219"/>
      <c r="N988" s="717" t="s">
        <v>1407</v>
      </c>
      <c r="O988" s="219"/>
      <c r="P988" s="219" t="s">
        <v>1032</v>
      </c>
      <c r="Q988" s="219" t="s">
        <v>2092</v>
      </c>
      <c r="R988" s="219"/>
      <c r="S988" s="219" t="s">
        <v>1034</v>
      </c>
      <c r="T988" s="219" t="s">
        <v>786</v>
      </c>
    </row>
    <row r="989" spans="1:20" customFormat="1">
      <c r="A989" s="729"/>
      <c r="B989" s="219"/>
      <c r="C989" s="219"/>
      <c r="D989" s="717" t="s">
        <v>676</v>
      </c>
      <c r="E989" s="375" t="str">
        <f>+VLOOKUP(F989,Resumen_Base!$C$8:$G$287,5,0)</f>
        <v>Miscellaneous &amp; Shipping</v>
      </c>
      <c r="F989" s="360" t="s">
        <v>777</v>
      </c>
      <c r="G989" s="219" t="s">
        <v>908</v>
      </c>
      <c r="H989" s="219" t="str">
        <f t="shared" si="15"/>
        <v>CAR5292</v>
      </c>
      <c r="I989" s="718">
        <v>2603</v>
      </c>
      <c r="J989" s="718">
        <v>1.9</v>
      </c>
      <c r="K989" s="718">
        <v>1370</v>
      </c>
      <c r="L989" s="719" t="s">
        <v>899</v>
      </c>
      <c r="M989" s="219"/>
      <c r="N989" s="717" t="s">
        <v>1407</v>
      </c>
      <c r="O989" s="219"/>
      <c r="P989" s="219" t="s">
        <v>1032</v>
      </c>
      <c r="Q989" s="219" t="s">
        <v>1035</v>
      </c>
      <c r="R989" s="219"/>
      <c r="S989" s="219" t="s">
        <v>1034</v>
      </c>
      <c r="T989" s="219" t="s">
        <v>786</v>
      </c>
    </row>
    <row r="990" spans="1:20" customFormat="1">
      <c r="A990" s="736" t="s">
        <v>3392</v>
      </c>
      <c r="B990" s="219"/>
      <c r="C990" s="219"/>
      <c r="D990" s="731" t="s">
        <v>670</v>
      </c>
      <c r="E990" s="375" t="str">
        <f>+VLOOKUP(F990,Resumen_Base!$C$8:$G$287,5,0)</f>
        <v>Miscellaneous &amp; Shipping</v>
      </c>
      <c r="F990" s="360" t="s">
        <v>777</v>
      </c>
      <c r="G990" s="219" t="s">
        <v>908</v>
      </c>
      <c r="H990" s="219" t="str">
        <f t="shared" si="15"/>
        <v>SJ5292</v>
      </c>
      <c r="I990" s="718">
        <v>1106960</v>
      </c>
      <c r="J990" s="718">
        <v>808</v>
      </c>
      <c r="K990" s="718">
        <v>1370</v>
      </c>
      <c r="L990" s="719" t="s">
        <v>899</v>
      </c>
      <c r="M990" s="219"/>
      <c r="N990" s="717" t="s">
        <v>1407</v>
      </c>
      <c r="O990" s="219"/>
      <c r="P990" s="219" t="s">
        <v>1032</v>
      </c>
      <c r="Q990" s="219" t="s">
        <v>2093</v>
      </c>
      <c r="R990" s="219"/>
      <c r="S990" s="219" t="s">
        <v>1034</v>
      </c>
      <c r="T990" s="219" t="s">
        <v>786</v>
      </c>
    </row>
    <row r="991" spans="1:20" customFormat="1">
      <c r="A991" s="736" t="s">
        <v>3392</v>
      </c>
      <c r="B991" s="219"/>
      <c r="C991" s="219"/>
      <c r="D991" s="731" t="s">
        <v>670</v>
      </c>
      <c r="E991" s="375" t="str">
        <f>+VLOOKUP(F991,Resumen_Base!$C$8:$G$287,5,0)</f>
        <v>Miscellaneous &amp; Shipping</v>
      </c>
      <c r="F991" s="360" t="s">
        <v>777</v>
      </c>
      <c r="G991" s="219" t="s">
        <v>908</v>
      </c>
      <c r="H991" s="219" t="str">
        <f t="shared" si="15"/>
        <v>SJ5292</v>
      </c>
      <c r="I991" s="718">
        <v>7100000</v>
      </c>
      <c r="J991" s="718">
        <v>5000</v>
      </c>
      <c r="K991" s="718">
        <v>1420</v>
      </c>
      <c r="L991" s="719" t="s">
        <v>1109</v>
      </c>
      <c r="M991" s="219" t="s">
        <v>780</v>
      </c>
      <c r="N991" s="717" t="s">
        <v>1407</v>
      </c>
      <c r="O991" s="219" t="s">
        <v>2347</v>
      </c>
      <c r="P991" s="219" t="s">
        <v>892</v>
      </c>
      <c r="Q991" s="219" t="s">
        <v>2348</v>
      </c>
      <c r="R991" s="219" t="s">
        <v>2354</v>
      </c>
      <c r="S991" s="219" t="s">
        <v>2350</v>
      </c>
      <c r="T991" s="219" t="s">
        <v>786</v>
      </c>
    </row>
    <row r="992" spans="1:20" customFormat="1">
      <c r="A992" s="10"/>
      <c r="B992" s="4"/>
      <c r="C992" s="4"/>
      <c r="D992" s="133"/>
      <c r="E992" s="664"/>
      <c r="F992" s="152"/>
      <c r="G992" s="4"/>
      <c r="H992" s="4"/>
      <c r="I992" s="196"/>
      <c r="J992" s="196"/>
      <c r="K992" s="196"/>
      <c r="L992" s="454"/>
      <c r="M992" s="4"/>
      <c r="N992" s="133"/>
      <c r="O992" s="4"/>
      <c r="P992" s="4"/>
      <c r="Q992" s="4"/>
      <c r="R992" s="4"/>
      <c r="S992" s="4"/>
      <c r="T992" s="4"/>
    </row>
    <row r="993" spans="1:23" ht="25">
      <c r="A993" s="509" t="s">
        <v>2803</v>
      </c>
      <c r="B993" s="330"/>
      <c r="C993" s="330"/>
      <c r="D993" s="203" t="s">
        <v>676</v>
      </c>
      <c r="E993" s="714" t="str">
        <f>+VLOOKUP(F993,Resumen_Base!$C$8:$G$287,5,0)</f>
        <v>Transfer to and from the airport (local taxi) - Vehicle Rental</v>
      </c>
      <c r="F993" s="330" t="s">
        <v>138</v>
      </c>
      <c r="G993" s="330" t="s">
        <v>202</v>
      </c>
      <c r="H993" s="330" t="str">
        <f t="shared" ref="H993:H1035" si="16">+D993&amp;F993</f>
        <v>CAR5225</v>
      </c>
      <c r="I993" s="715"/>
      <c r="J993" s="715">
        <v>991</v>
      </c>
      <c r="K993" s="715"/>
      <c r="L993" s="456">
        <v>46013</v>
      </c>
      <c r="M993" s="330"/>
      <c r="N993" s="203" t="s">
        <v>1407</v>
      </c>
      <c r="O993" s="330"/>
      <c r="P993" s="330"/>
      <c r="Q993" s="330" t="s">
        <v>2792</v>
      </c>
    </row>
    <row r="994" spans="1:23" ht="25">
      <c r="A994" s="509" t="s">
        <v>2803</v>
      </c>
      <c r="B994" s="330"/>
      <c r="C994" s="330"/>
      <c r="D994" s="203" t="s">
        <v>676</v>
      </c>
      <c r="E994" s="714" t="str">
        <f>+VLOOKUP(F994,Resumen_Base!$C$8:$G$287,5,0)</f>
        <v>Guides</v>
      </c>
      <c r="F994" s="330" t="s">
        <v>323</v>
      </c>
      <c r="G994" s="330" t="s">
        <v>324</v>
      </c>
      <c r="H994" s="330" t="str">
        <f t="shared" si="16"/>
        <v>CAR5227</v>
      </c>
      <c r="I994" s="715"/>
      <c r="J994" s="715">
        <v>1600</v>
      </c>
      <c r="K994" s="715"/>
      <c r="L994" s="456">
        <v>46013</v>
      </c>
      <c r="M994" s="330"/>
      <c r="N994" s="203" t="s">
        <v>1407</v>
      </c>
      <c r="O994" s="330"/>
      <c r="P994" s="330"/>
      <c r="Q994" s="330" t="s">
        <v>2793</v>
      </c>
    </row>
    <row r="995" spans="1:23" ht="25">
      <c r="A995" s="509" t="s">
        <v>2803</v>
      </c>
      <c r="B995" s="330"/>
      <c r="C995" s="330"/>
      <c r="D995" s="203" t="s">
        <v>676</v>
      </c>
      <c r="E995" s="714" t="str">
        <f>+VLOOKUP(F995,Resumen_Base!$C$8:$G$287,5,0)</f>
        <v>Manager</v>
      </c>
      <c r="F995" s="330" t="s">
        <v>325</v>
      </c>
      <c r="G995" s="330" t="s">
        <v>326</v>
      </c>
      <c r="H995" s="330" t="str">
        <f t="shared" si="16"/>
        <v>CAR5228</v>
      </c>
      <c r="I995" s="715"/>
      <c r="J995" s="715">
        <v>1371</v>
      </c>
      <c r="K995" s="715"/>
      <c r="L995" s="456">
        <v>46013</v>
      </c>
      <c r="M995" s="330"/>
      <c r="N995" s="203" t="s">
        <v>1407</v>
      </c>
      <c r="O995" s="330"/>
      <c r="P995" s="330"/>
      <c r="Q995" s="330" t="s">
        <v>2794</v>
      </c>
    </row>
    <row r="996" spans="1:23" ht="25">
      <c r="A996" s="509" t="s">
        <v>2803</v>
      </c>
      <c r="B996" s="330"/>
      <c r="C996" s="330"/>
      <c r="D996" s="203" t="s">
        <v>676</v>
      </c>
      <c r="E996" s="714" t="str">
        <f>+VLOOKUP(F996,Resumen_Base!$C$8:$G$287,5,0)</f>
        <v>Social Security Contributions</v>
      </c>
      <c r="F996" s="330" t="s">
        <v>333</v>
      </c>
      <c r="G996" s="330" t="s">
        <v>334</v>
      </c>
      <c r="H996" s="330" t="str">
        <f t="shared" si="16"/>
        <v>CAR5237</v>
      </c>
      <c r="I996" s="715"/>
      <c r="J996" s="715">
        <v>561.95000000000005</v>
      </c>
      <c r="K996" s="715"/>
      <c r="L996" s="456">
        <v>46013</v>
      </c>
      <c r="M996" s="330"/>
      <c r="N996" s="203" t="s">
        <v>1407</v>
      </c>
      <c r="O996" s="330"/>
      <c r="P996" s="330"/>
      <c r="Q996" s="330" t="s">
        <v>2795</v>
      </c>
    </row>
    <row r="997" spans="1:23" ht="25">
      <c r="A997" s="509" t="s">
        <v>2803</v>
      </c>
      <c r="B997" s="330"/>
      <c r="C997" s="330"/>
      <c r="D997" s="203" t="s">
        <v>676</v>
      </c>
      <c r="E997" s="714" t="str">
        <f>+VLOOKUP(F997,Resumen_Base!$C$8:$G$287,5,0)</f>
        <v>Electricity - Gas for Boats &amp; Vehicles</v>
      </c>
      <c r="F997" s="330" t="s">
        <v>64</v>
      </c>
      <c r="G997" s="330" t="s">
        <v>65</v>
      </c>
      <c r="H997" s="330" t="str">
        <f t="shared" si="16"/>
        <v>CAR5248</v>
      </c>
      <c r="I997" s="715"/>
      <c r="J997" s="715">
        <v>103</v>
      </c>
      <c r="K997" s="715"/>
      <c r="L997" s="456">
        <v>46013</v>
      </c>
      <c r="M997" s="330"/>
      <c r="N997" s="203" t="s">
        <v>1407</v>
      </c>
      <c r="O997" s="330"/>
      <c r="P997" s="330"/>
      <c r="Q997" s="330" t="s">
        <v>2796</v>
      </c>
    </row>
    <row r="998" spans="1:23" ht="25">
      <c r="A998" s="509" t="s">
        <v>2803</v>
      </c>
      <c r="B998" s="330"/>
      <c r="C998" s="330"/>
      <c r="D998" s="203" t="s">
        <v>670</v>
      </c>
      <c r="E998" s="714" t="str">
        <f>+VLOOKUP(F998,Resumen_Base!$C$8:$G$287,5,0)</f>
        <v>Communications - Phone, internet and satellite TV</v>
      </c>
      <c r="F998" s="330" t="s">
        <v>72</v>
      </c>
      <c r="G998" s="330" t="s">
        <v>73</v>
      </c>
      <c r="H998" s="330" t="str">
        <f t="shared" si="16"/>
        <v>SJ5266</v>
      </c>
      <c r="I998" s="715"/>
      <c r="J998" s="715">
        <v>58</v>
      </c>
      <c r="K998" s="715"/>
      <c r="L998" s="456">
        <v>46011</v>
      </c>
      <c r="M998" s="330"/>
      <c r="N998" s="203" t="s">
        <v>781</v>
      </c>
      <c r="O998" s="330"/>
      <c r="P998" s="330"/>
      <c r="Q998" s="330" t="s">
        <v>2801</v>
      </c>
    </row>
    <row r="999" spans="1:23" ht="25">
      <c r="A999" s="509" t="s">
        <v>2803</v>
      </c>
      <c r="B999" s="330"/>
      <c r="C999" s="330"/>
      <c r="D999" s="203" t="s">
        <v>675</v>
      </c>
      <c r="E999" s="714" t="str">
        <f>+VLOOKUP(F999,Resumen_Base!$C$8:$G$287,5,0)</f>
        <v>Communications - Phone, internet and satellite TV</v>
      </c>
      <c r="F999" s="330" t="s">
        <v>72</v>
      </c>
      <c r="G999" s="330" t="s">
        <v>73</v>
      </c>
      <c r="H999" s="330" t="str">
        <f t="shared" si="16"/>
        <v>UL5266</v>
      </c>
      <c r="I999" s="715"/>
      <c r="J999" s="715">
        <f>2365.57/39</f>
        <v>60.655641025641032</v>
      </c>
      <c r="K999" s="715"/>
      <c r="L999" s="456">
        <v>46013</v>
      </c>
      <c r="M999" s="330"/>
      <c r="N999" s="203" t="s">
        <v>1272</v>
      </c>
      <c r="O999" s="330"/>
      <c r="P999" s="330"/>
      <c r="Q999" s="330" t="s">
        <v>2802</v>
      </c>
    </row>
    <row r="1000" spans="1:23" customFormat="1">
      <c r="A1000" s="10"/>
      <c r="B1000" s="4"/>
      <c r="C1000" s="4"/>
      <c r="D1000" s="474" t="s">
        <v>676</v>
      </c>
      <c r="E1000" s="714" t="str">
        <f>+VLOOKUP(F1000,Resumen_Base!$C$8:$G$287,5,0)</f>
        <v>Food &amp; Wine</v>
      </c>
      <c r="F1000" s="152" t="s">
        <v>1718</v>
      </c>
      <c r="G1000" s="4" t="s">
        <v>1719</v>
      </c>
      <c r="H1000" s="4" t="str">
        <f t="shared" si="16"/>
        <v>CAR5257</v>
      </c>
      <c r="I1000" s="196">
        <v>502168.8</v>
      </c>
      <c r="J1000" s="196">
        <v>353.64</v>
      </c>
      <c r="K1000" s="196">
        <v>1420</v>
      </c>
      <c r="L1000" s="454" t="s">
        <v>899</v>
      </c>
      <c r="M1000" s="4" t="s">
        <v>780</v>
      </c>
      <c r="N1000" s="133" t="s">
        <v>1407</v>
      </c>
      <c r="O1000" s="4" t="s">
        <v>1620</v>
      </c>
      <c r="P1000" s="4" t="s">
        <v>892</v>
      </c>
      <c r="Q1000" s="4" t="s">
        <v>1621</v>
      </c>
      <c r="R1000" s="4" t="s">
        <v>1699</v>
      </c>
      <c r="S1000" s="4" t="s">
        <v>1623</v>
      </c>
      <c r="T1000" s="4" t="s">
        <v>786</v>
      </c>
      <c r="U1000" s="4"/>
      <c r="V1000" s="4"/>
      <c r="W1000" s="4"/>
    </row>
    <row r="1001" spans="1:23" customFormat="1">
      <c r="A1001" s="10"/>
      <c r="B1001" s="4"/>
      <c r="C1001" s="4"/>
      <c r="D1001" s="474" t="s">
        <v>676</v>
      </c>
      <c r="E1001" s="714" t="str">
        <f>+VLOOKUP(F1001,Resumen_Base!$C$8:$G$287,5,0)</f>
        <v>Food &amp; Wine</v>
      </c>
      <c r="F1001" s="152" t="s">
        <v>1718</v>
      </c>
      <c r="G1001" s="4" t="s">
        <v>1719</v>
      </c>
      <c r="H1001" s="4" t="str">
        <f t="shared" si="16"/>
        <v>CAR5257</v>
      </c>
      <c r="I1001" s="196">
        <v>851083.1</v>
      </c>
      <c r="J1001" s="196">
        <v>612.29</v>
      </c>
      <c r="K1001" s="196">
        <v>1390</v>
      </c>
      <c r="L1001" s="454" t="s">
        <v>899</v>
      </c>
      <c r="M1001" s="4" t="s">
        <v>780</v>
      </c>
      <c r="N1001" s="133" t="s">
        <v>1407</v>
      </c>
      <c r="O1001" s="4" t="s">
        <v>1620</v>
      </c>
      <c r="P1001" s="4" t="s">
        <v>892</v>
      </c>
      <c r="Q1001" s="4" t="s">
        <v>1621</v>
      </c>
      <c r="R1001" s="4" t="s">
        <v>1706</v>
      </c>
      <c r="S1001" s="4" t="s">
        <v>1623</v>
      </c>
      <c r="T1001" s="4" t="s">
        <v>786</v>
      </c>
      <c r="U1001" s="4"/>
      <c r="V1001" s="4"/>
      <c r="W1001" s="4"/>
    </row>
    <row r="1002" spans="1:23" customFormat="1">
      <c r="A1002" s="10"/>
      <c r="B1002" s="4"/>
      <c r="C1002" s="4"/>
      <c r="D1002" s="474" t="s">
        <v>676</v>
      </c>
      <c r="E1002" s="714" t="str">
        <f>+VLOOKUP(F1002,Resumen_Base!$C$8:$G$287,5,0)</f>
        <v>Food &amp; Wine</v>
      </c>
      <c r="F1002" s="152" t="s">
        <v>1718</v>
      </c>
      <c r="G1002" s="4" t="s">
        <v>1719</v>
      </c>
      <c r="H1002" s="4" t="str">
        <f t="shared" si="16"/>
        <v>CAR5257</v>
      </c>
      <c r="I1002" s="196">
        <v>316617.40000000002</v>
      </c>
      <c r="J1002" s="196">
        <v>222.97</v>
      </c>
      <c r="K1002" s="196">
        <v>1420</v>
      </c>
      <c r="L1002" s="454" t="s">
        <v>899</v>
      </c>
      <c r="M1002" s="4" t="s">
        <v>780</v>
      </c>
      <c r="N1002" s="133" t="s">
        <v>1407</v>
      </c>
      <c r="O1002" s="4" t="s">
        <v>1620</v>
      </c>
      <c r="P1002" s="4" t="s">
        <v>892</v>
      </c>
      <c r="Q1002" s="4" t="s">
        <v>1621</v>
      </c>
      <c r="R1002" s="4" t="s">
        <v>1687</v>
      </c>
      <c r="S1002" s="4" t="s">
        <v>1623</v>
      </c>
      <c r="T1002" s="4" t="s">
        <v>786</v>
      </c>
      <c r="U1002" s="4"/>
      <c r="V1002" s="4"/>
      <c r="W1002" s="4"/>
    </row>
    <row r="1003" spans="1:23" customFormat="1">
      <c r="A1003" s="10"/>
      <c r="B1003" s="4"/>
      <c r="C1003" s="4"/>
      <c r="D1003" s="474" t="s">
        <v>676</v>
      </c>
      <c r="E1003" s="714" t="str">
        <f>+VLOOKUP(F1003,Resumen_Base!$C$8:$G$287,5,0)</f>
        <v>Food &amp; Wine</v>
      </c>
      <c r="F1003" s="152" t="s">
        <v>1718</v>
      </c>
      <c r="G1003" s="4" t="s">
        <v>1719</v>
      </c>
      <c r="H1003" s="4" t="str">
        <f t="shared" si="16"/>
        <v>CAR5257</v>
      </c>
      <c r="I1003" s="196">
        <v>221804</v>
      </c>
      <c r="J1003" s="196">
        <v>156.19999999999999</v>
      </c>
      <c r="K1003" s="196">
        <v>1420</v>
      </c>
      <c r="L1003" s="454" t="s">
        <v>899</v>
      </c>
      <c r="M1003" s="4" t="s">
        <v>780</v>
      </c>
      <c r="N1003" s="133" t="s">
        <v>1407</v>
      </c>
      <c r="O1003" s="4" t="s">
        <v>1620</v>
      </c>
      <c r="P1003" s="4" t="s">
        <v>892</v>
      </c>
      <c r="Q1003" s="4" t="s">
        <v>1621</v>
      </c>
      <c r="R1003" s="4" t="s">
        <v>1672</v>
      </c>
      <c r="S1003" s="4" t="s">
        <v>1623</v>
      </c>
      <c r="T1003" s="4" t="s">
        <v>786</v>
      </c>
      <c r="U1003" s="4"/>
      <c r="V1003" s="4"/>
      <c r="W1003" s="4"/>
    </row>
    <row r="1004" spans="1:23" customFormat="1">
      <c r="A1004" s="10"/>
      <c r="B1004" s="4"/>
      <c r="C1004" s="4"/>
      <c r="D1004" s="474" t="s">
        <v>676</v>
      </c>
      <c r="E1004" s="714" t="str">
        <f>+VLOOKUP(F1004,Resumen_Base!$C$8:$G$287,5,0)</f>
        <v>Food &amp; Wine</v>
      </c>
      <c r="F1004" s="152" t="s">
        <v>1718</v>
      </c>
      <c r="G1004" s="4" t="s">
        <v>1719</v>
      </c>
      <c r="H1004" s="4" t="str">
        <f t="shared" si="16"/>
        <v>CAR5257</v>
      </c>
      <c r="I1004" s="196">
        <v>34875.199999999997</v>
      </c>
      <c r="J1004" s="196">
        <v>24.56</v>
      </c>
      <c r="K1004" s="196">
        <v>1420</v>
      </c>
      <c r="L1004" s="454" t="s">
        <v>899</v>
      </c>
      <c r="M1004" s="4" t="s">
        <v>780</v>
      </c>
      <c r="N1004" s="133" t="s">
        <v>1407</v>
      </c>
      <c r="O1004" s="4" t="s">
        <v>1620</v>
      </c>
      <c r="P1004" s="4" t="s">
        <v>892</v>
      </c>
      <c r="Q1004" s="4" t="s">
        <v>1621</v>
      </c>
      <c r="R1004" s="4" t="s">
        <v>1670</v>
      </c>
      <c r="S1004" s="4" t="s">
        <v>1623</v>
      </c>
      <c r="T1004" s="4" t="s">
        <v>786</v>
      </c>
      <c r="U1004" s="4"/>
      <c r="V1004" s="4"/>
      <c r="W1004" s="4"/>
    </row>
    <row r="1005" spans="1:23" customFormat="1">
      <c r="A1005" s="10"/>
      <c r="B1005" s="4"/>
      <c r="C1005" s="4"/>
      <c r="D1005" s="474" t="s">
        <v>676</v>
      </c>
      <c r="E1005" s="714" t="str">
        <f>+VLOOKUP(F1005,Resumen_Base!$C$8:$G$287,5,0)</f>
        <v>Food &amp; Wine</v>
      </c>
      <c r="F1005" s="152" t="s">
        <v>1718</v>
      </c>
      <c r="G1005" s="4" t="s">
        <v>1719</v>
      </c>
      <c r="H1005" s="4" t="str">
        <f t="shared" si="16"/>
        <v>CAR5257</v>
      </c>
      <c r="I1005" s="196">
        <v>105487.1</v>
      </c>
      <c r="J1005" s="196">
        <v>75.89</v>
      </c>
      <c r="K1005" s="196">
        <v>1390</v>
      </c>
      <c r="L1005" s="454" t="s">
        <v>899</v>
      </c>
      <c r="M1005" s="4" t="s">
        <v>780</v>
      </c>
      <c r="N1005" s="133" t="s">
        <v>1407</v>
      </c>
      <c r="O1005" s="4" t="s">
        <v>1620</v>
      </c>
      <c r="P1005" s="4" t="s">
        <v>892</v>
      </c>
      <c r="Q1005" s="4" t="s">
        <v>1621</v>
      </c>
      <c r="R1005" s="4" t="s">
        <v>1667</v>
      </c>
      <c r="S1005" s="4" t="s">
        <v>1623</v>
      </c>
      <c r="T1005" s="4" t="s">
        <v>786</v>
      </c>
      <c r="U1005" s="4"/>
      <c r="V1005" s="4"/>
      <c r="W1005" s="4"/>
    </row>
    <row r="1006" spans="1:23" customFormat="1">
      <c r="A1006" s="10"/>
      <c r="B1006" s="4"/>
      <c r="C1006" s="4"/>
      <c r="D1006" s="474" t="s">
        <v>676</v>
      </c>
      <c r="E1006" s="714" t="str">
        <f>+VLOOKUP(F1006,Resumen_Base!$C$8:$G$287,5,0)</f>
        <v>Food &amp; Wine</v>
      </c>
      <c r="F1006" s="152" t="s">
        <v>1718</v>
      </c>
      <c r="G1006" s="4" t="s">
        <v>1719</v>
      </c>
      <c r="H1006" s="4" t="str">
        <f t="shared" si="16"/>
        <v>CAR5257</v>
      </c>
      <c r="I1006" s="196">
        <v>153405</v>
      </c>
      <c r="J1006" s="196">
        <v>102.27</v>
      </c>
      <c r="K1006" s="196">
        <v>1500</v>
      </c>
      <c r="L1006" s="454" t="s">
        <v>1017</v>
      </c>
      <c r="M1006" s="4" t="s">
        <v>780</v>
      </c>
      <c r="N1006" s="133" t="s">
        <v>1407</v>
      </c>
      <c r="O1006" s="4" t="s">
        <v>1946</v>
      </c>
      <c r="P1006" s="4" t="s">
        <v>892</v>
      </c>
      <c r="Q1006" s="4" t="s">
        <v>1947</v>
      </c>
      <c r="R1006" s="4" t="s">
        <v>1950</v>
      </c>
      <c r="S1006" s="4" t="s">
        <v>1949</v>
      </c>
      <c r="T1006" s="4" t="s">
        <v>786</v>
      </c>
      <c r="U1006" s="4"/>
      <c r="V1006" s="4"/>
      <c r="W1006" s="4"/>
    </row>
    <row r="1007" spans="1:23" customFormat="1">
      <c r="A1007" s="10"/>
      <c r="B1007" s="4"/>
      <c r="C1007" s="4"/>
      <c r="D1007" s="474" t="s">
        <v>676</v>
      </c>
      <c r="E1007" s="714" t="str">
        <f>+VLOOKUP(F1007,Resumen_Base!$C$8:$G$287,5,0)</f>
        <v>Food &amp; Wine</v>
      </c>
      <c r="F1007" s="152" t="s">
        <v>1718</v>
      </c>
      <c r="G1007" s="4" t="s">
        <v>1719</v>
      </c>
      <c r="H1007" s="4" t="str">
        <f t="shared" si="16"/>
        <v>CAR5257</v>
      </c>
      <c r="I1007" s="196">
        <v>232440</v>
      </c>
      <c r="J1007" s="196">
        <v>154.96</v>
      </c>
      <c r="K1007" s="196">
        <v>1500</v>
      </c>
      <c r="L1007" s="454" t="s">
        <v>1017</v>
      </c>
      <c r="M1007" s="4" t="s">
        <v>780</v>
      </c>
      <c r="N1007" s="133" t="s">
        <v>1407</v>
      </c>
      <c r="O1007" s="4" t="s">
        <v>1946</v>
      </c>
      <c r="P1007" s="4" t="s">
        <v>892</v>
      </c>
      <c r="Q1007" s="4" t="s">
        <v>1947</v>
      </c>
      <c r="R1007" s="4" t="s">
        <v>1954</v>
      </c>
      <c r="S1007" s="4" t="s">
        <v>1949</v>
      </c>
      <c r="T1007" s="4" t="s">
        <v>786</v>
      </c>
      <c r="U1007" s="4"/>
      <c r="V1007" s="4"/>
      <c r="W1007" s="4"/>
    </row>
    <row r="1008" spans="1:23" customFormat="1">
      <c r="A1008" s="10"/>
      <c r="B1008" s="4"/>
      <c r="C1008" s="4"/>
      <c r="D1008" s="474" t="s">
        <v>676</v>
      </c>
      <c r="E1008" s="714" t="str">
        <f>+VLOOKUP(F1008,Resumen_Base!$C$8:$G$287,5,0)</f>
        <v>Food &amp; Wine</v>
      </c>
      <c r="F1008" s="152" t="s">
        <v>1718</v>
      </c>
      <c r="G1008" s="4" t="s">
        <v>1719</v>
      </c>
      <c r="H1008" s="4" t="str">
        <f t="shared" si="16"/>
        <v>CAR5257</v>
      </c>
      <c r="I1008" s="196">
        <v>17010</v>
      </c>
      <c r="J1008" s="196">
        <v>11.34</v>
      </c>
      <c r="K1008" s="196">
        <v>1500</v>
      </c>
      <c r="L1008" s="454" t="s">
        <v>1017</v>
      </c>
      <c r="M1008" s="4" t="s">
        <v>780</v>
      </c>
      <c r="N1008" s="133" t="s">
        <v>1407</v>
      </c>
      <c r="O1008" s="4" t="s">
        <v>1946</v>
      </c>
      <c r="P1008" s="4" t="s">
        <v>892</v>
      </c>
      <c r="Q1008" s="4" t="s">
        <v>1947</v>
      </c>
      <c r="R1008" s="4" t="s">
        <v>1955</v>
      </c>
      <c r="S1008" s="4" t="s">
        <v>1949</v>
      </c>
      <c r="T1008" s="4" t="s">
        <v>786</v>
      </c>
      <c r="U1008" s="4"/>
      <c r="V1008" s="4"/>
      <c r="W1008" s="4"/>
    </row>
    <row r="1009" spans="1:256" customFormat="1">
      <c r="A1009" s="10"/>
      <c r="B1009" s="4"/>
      <c r="C1009" s="4"/>
      <c r="D1009" s="474"/>
      <c r="E1009" s="714"/>
      <c r="F1009" s="152"/>
      <c r="G1009" s="4"/>
      <c r="H1009" s="4"/>
      <c r="I1009" s="196"/>
      <c r="J1009" s="196"/>
      <c r="K1009" s="196"/>
      <c r="L1009" s="454"/>
      <c r="M1009" s="4"/>
      <c r="N1009" s="133"/>
      <c r="O1009" s="4"/>
      <c r="P1009" s="4"/>
      <c r="Q1009" s="4"/>
      <c r="R1009" s="4"/>
      <c r="S1009" s="4"/>
      <c r="T1009" s="4"/>
      <c r="U1009" s="4"/>
      <c r="V1009" s="4"/>
      <c r="W1009" s="4"/>
    </row>
    <row r="1010" spans="1:256" s="730" customFormat="1" ht="39">
      <c r="A1010" s="739" t="s">
        <v>3389</v>
      </c>
      <c r="B1010" s="740" t="s">
        <v>3402</v>
      </c>
      <c r="C1010" s="741"/>
      <c r="D1010" s="742" t="s">
        <v>676</v>
      </c>
      <c r="E1010" s="740" t="s">
        <v>3408</v>
      </c>
      <c r="F1010" s="347" t="s">
        <v>50</v>
      </c>
      <c r="G1010" s="597" t="s">
        <v>51</v>
      </c>
      <c r="H1010" s="741" t="str">
        <f t="shared" si="16"/>
        <v>CAR12020103</v>
      </c>
      <c r="I1010" s="743"/>
      <c r="J1010" s="743">
        <v>-21000</v>
      </c>
      <c r="K1010" s="743">
        <v>1420</v>
      </c>
      <c r="L1010" s="744">
        <v>46387</v>
      </c>
      <c r="M1010" s="741" t="s">
        <v>780</v>
      </c>
      <c r="N1010" s="742" t="s">
        <v>1407</v>
      </c>
      <c r="O1010" s="741"/>
      <c r="P1010" s="741"/>
      <c r="Q1010" s="741"/>
      <c r="R1010" s="741"/>
      <c r="S1010" s="741"/>
      <c r="T1010" s="741"/>
    </row>
    <row r="1011" spans="1:256" ht="14.5">
      <c r="U1011"/>
      <c r="V1011"/>
      <c r="W1011" s="1"/>
      <c r="X1011" s="681"/>
      <c r="Y1011" s="681"/>
      <c r="Z1011" s="681"/>
      <c r="AA1011" s="681"/>
      <c r="AB1011" s="681"/>
      <c r="AC1011" s="681"/>
      <c r="AD1011" s="681"/>
      <c r="AE1011" s="681"/>
      <c r="AF1011" s="681"/>
      <c r="AG1011" s="681"/>
      <c r="AH1011" s="681"/>
      <c r="AI1011" s="681"/>
      <c r="AJ1011" s="681"/>
      <c r="AK1011" s="681"/>
      <c r="AL1011" s="681"/>
      <c r="AM1011" s="681"/>
      <c r="AN1011" s="681"/>
      <c r="AO1011" s="681"/>
      <c r="AP1011" s="681"/>
      <c r="AQ1011" s="681"/>
      <c r="AR1011" s="681"/>
      <c r="AS1011" s="681"/>
      <c r="AT1011" s="681"/>
      <c r="AU1011" s="681"/>
      <c r="AV1011" s="681"/>
      <c r="AW1011" s="681"/>
      <c r="AX1011" s="681"/>
      <c r="AY1011" s="681"/>
      <c r="AZ1011" s="681"/>
      <c r="BA1011" s="681"/>
      <c r="BB1011" s="681"/>
      <c r="BC1011" s="681"/>
      <c r="BD1011" s="681"/>
      <c r="BE1011" s="681"/>
      <c r="BF1011" s="681"/>
      <c r="BG1011" s="681"/>
      <c r="BH1011" s="681"/>
      <c r="BI1011" s="681"/>
      <c r="BJ1011" s="681"/>
      <c r="BK1011" s="681"/>
      <c r="BL1011" s="681"/>
      <c r="BM1011" s="681"/>
      <c r="BN1011" s="681"/>
      <c r="BO1011" s="681"/>
      <c r="BP1011" s="681"/>
      <c r="BQ1011" s="681"/>
      <c r="BR1011" s="681"/>
      <c r="BS1011" s="681"/>
      <c r="BT1011" s="681"/>
      <c r="BU1011" s="681"/>
      <c r="BV1011" s="681"/>
      <c r="BW1011" s="681"/>
      <c r="BX1011" s="681"/>
      <c r="BY1011" s="681"/>
      <c r="BZ1011" s="681"/>
      <c r="CA1011" s="681"/>
      <c r="CB1011" s="681"/>
      <c r="CC1011" s="681"/>
      <c r="CD1011" s="681"/>
      <c r="CE1011" s="681"/>
      <c r="CF1011" s="681"/>
      <c r="CG1011" s="681"/>
      <c r="CH1011" s="681"/>
      <c r="CI1011" s="681"/>
      <c r="CJ1011" s="681"/>
      <c r="CK1011" s="681"/>
      <c r="CL1011" s="681"/>
      <c r="CM1011" s="681"/>
      <c r="CN1011" s="681"/>
      <c r="CO1011" s="681"/>
      <c r="CP1011" s="681"/>
      <c r="CQ1011" s="681"/>
      <c r="CR1011" s="681"/>
      <c r="CS1011" s="681"/>
      <c r="CT1011" s="681"/>
      <c r="CU1011" s="681"/>
      <c r="CV1011" s="681"/>
      <c r="CW1011" s="681"/>
      <c r="CX1011" s="681"/>
      <c r="CY1011" s="681"/>
      <c r="CZ1011" s="681"/>
      <c r="DA1011" s="681"/>
      <c r="DB1011" s="681"/>
      <c r="DC1011" s="681"/>
      <c r="DD1011" s="681"/>
      <c r="DE1011" s="681"/>
      <c r="DF1011" s="681"/>
      <c r="DG1011" s="681"/>
      <c r="DH1011" s="681"/>
      <c r="DI1011" s="681"/>
      <c r="DJ1011" s="681"/>
      <c r="DK1011" s="681"/>
      <c r="DL1011" s="681"/>
      <c r="DM1011" s="681"/>
      <c r="DN1011" s="681"/>
      <c r="DO1011" s="681"/>
      <c r="DP1011" s="681"/>
      <c r="DQ1011" s="681"/>
      <c r="DR1011" s="681"/>
      <c r="DS1011" s="681"/>
      <c r="DT1011" s="681"/>
      <c r="DU1011" s="681"/>
      <c r="DV1011" s="681"/>
      <c r="DW1011" s="681"/>
      <c r="DX1011" s="681"/>
      <c r="DY1011" s="681"/>
      <c r="DZ1011" s="681"/>
      <c r="EA1011" s="681"/>
      <c r="EB1011" s="681"/>
      <c r="EC1011" s="681"/>
      <c r="ED1011" s="681"/>
      <c r="EE1011" s="681"/>
      <c r="EF1011" s="681"/>
      <c r="EG1011" s="681"/>
      <c r="EH1011" s="681"/>
      <c r="EI1011" s="681"/>
      <c r="EJ1011" s="681"/>
      <c r="EK1011" s="681"/>
      <c r="EL1011" s="681"/>
      <c r="EM1011" s="681"/>
      <c r="EN1011" s="681"/>
      <c r="EO1011" s="681"/>
      <c r="EP1011" s="681"/>
      <c r="EQ1011" s="681"/>
      <c r="ER1011" s="681"/>
      <c r="ES1011" s="681"/>
      <c r="ET1011" s="681"/>
      <c r="EU1011" s="681"/>
      <c r="EV1011" s="681"/>
      <c r="EW1011" s="681"/>
      <c r="EX1011" s="681"/>
      <c r="EY1011" s="681"/>
      <c r="EZ1011" s="681"/>
      <c r="FA1011" s="681"/>
      <c r="FB1011" s="681"/>
      <c r="FC1011" s="681"/>
      <c r="FD1011" s="681"/>
      <c r="FE1011" s="681"/>
      <c r="FF1011" s="681"/>
      <c r="FG1011" s="681"/>
      <c r="FH1011" s="681"/>
      <c r="FI1011" s="681"/>
      <c r="FJ1011" s="681"/>
      <c r="FK1011" s="681"/>
      <c r="FL1011" s="681"/>
      <c r="FM1011" s="681"/>
      <c r="FN1011" s="681"/>
      <c r="FO1011" s="681"/>
      <c r="FP1011" s="681"/>
      <c r="FQ1011" s="681"/>
      <c r="FR1011" s="681"/>
      <c r="FS1011" s="681"/>
      <c r="FT1011" s="681"/>
      <c r="FU1011" s="681"/>
      <c r="FV1011" s="681"/>
      <c r="FW1011" s="681"/>
      <c r="FX1011" s="681"/>
      <c r="FY1011" s="681"/>
      <c r="FZ1011" s="681"/>
      <c r="GA1011" s="681"/>
      <c r="GB1011" s="681"/>
      <c r="GC1011" s="681"/>
      <c r="GD1011" s="681"/>
      <c r="GE1011" s="681"/>
      <c r="GF1011" s="681"/>
      <c r="GG1011" s="681"/>
      <c r="GH1011" s="681"/>
      <c r="GI1011" s="681"/>
      <c r="GJ1011" s="681"/>
      <c r="GK1011" s="681"/>
      <c r="GL1011" s="681"/>
      <c r="GM1011" s="681"/>
      <c r="GN1011" s="681"/>
      <c r="GO1011" s="681"/>
      <c r="GP1011" s="681"/>
      <c r="GQ1011" s="681"/>
      <c r="GR1011" s="681"/>
      <c r="GS1011" s="681"/>
      <c r="GT1011" s="681"/>
      <c r="GU1011" s="681"/>
      <c r="GV1011" s="681"/>
      <c r="GW1011" s="681"/>
      <c r="GX1011" s="681"/>
      <c r="GY1011" s="681"/>
      <c r="GZ1011" s="681"/>
      <c r="HA1011" s="681"/>
      <c r="HB1011" s="681"/>
      <c r="HC1011" s="681"/>
      <c r="HD1011" s="681"/>
      <c r="HE1011" s="681"/>
      <c r="HF1011" s="681"/>
      <c r="HG1011" s="681"/>
      <c r="HH1011" s="681"/>
      <c r="HI1011" s="681"/>
      <c r="HJ1011" s="681"/>
      <c r="HK1011" s="681"/>
      <c r="HL1011" s="681"/>
      <c r="HM1011" s="681"/>
      <c r="HN1011" s="681"/>
      <c r="HO1011" s="681"/>
      <c r="HP1011" s="681"/>
      <c r="HQ1011" s="681"/>
      <c r="HR1011" s="681"/>
      <c r="HS1011" s="681"/>
      <c r="HT1011" s="681"/>
      <c r="HU1011" s="681"/>
      <c r="HV1011" s="681"/>
      <c r="HW1011" s="681"/>
      <c r="HX1011" s="681"/>
      <c r="HY1011" s="681"/>
      <c r="HZ1011" s="681"/>
      <c r="IA1011" s="681"/>
      <c r="IB1011" s="681"/>
      <c r="IC1011" s="681"/>
      <c r="ID1011" s="681"/>
      <c r="IE1011" s="681"/>
      <c r="IF1011" s="681"/>
      <c r="IG1011" s="681"/>
      <c r="IH1011" s="681"/>
      <c r="II1011" s="681"/>
      <c r="IJ1011" s="681"/>
      <c r="IK1011" s="681"/>
      <c r="IL1011" s="681"/>
      <c r="IM1011" s="681"/>
      <c r="IN1011" s="681"/>
      <c r="IO1011" s="681"/>
      <c r="IP1011" s="681"/>
      <c r="IQ1011" s="681"/>
      <c r="IR1011" s="681"/>
      <c r="IS1011" s="681"/>
      <c r="IT1011" s="681"/>
      <c r="IU1011" s="681"/>
      <c r="IV1011" s="681"/>
    </row>
    <row r="1012" spans="1:256" ht="26">
      <c r="A1012" s="760" t="s">
        <v>3414</v>
      </c>
      <c r="B1012" s="751"/>
      <c r="C1012" s="751"/>
      <c r="D1012" s="752" t="s">
        <v>670</v>
      </c>
      <c r="E1012" s="753" t="str">
        <f>+VLOOKUP(F1012,Resumen_Base!$C$8:$G$287,5,0)</f>
        <v>Electricity</v>
      </c>
      <c r="F1012" s="754" t="s">
        <v>41</v>
      </c>
      <c r="G1012" s="755" t="s">
        <v>459</v>
      </c>
      <c r="H1012" s="741" t="str">
        <f t="shared" si="16"/>
        <v>SJ5247</v>
      </c>
      <c r="I1012" s="762">
        <v>-1753986</v>
      </c>
      <c r="J1012" s="763">
        <v>-1349.22</v>
      </c>
      <c r="K1012" s="764">
        <v>1300</v>
      </c>
      <c r="L1012" s="765">
        <v>45901</v>
      </c>
      <c r="M1012" s="756"/>
      <c r="N1012" s="751">
        <v>121</v>
      </c>
      <c r="O1012" s="752"/>
      <c r="P1012" s="751"/>
      <c r="Q1012" s="751"/>
      <c r="R1012" s="760" t="s">
        <v>3414</v>
      </c>
    </row>
    <row r="1013" spans="1:256" ht="26">
      <c r="A1013" s="760" t="s">
        <v>3413</v>
      </c>
      <c r="B1013" s="751"/>
      <c r="C1013" s="751"/>
      <c r="D1013" s="752" t="s">
        <v>676</v>
      </c>
      <c r="E1013" s="753" t="str">
        <f>+VLOOKUP(F1013,Resumen_Base!$C$8:$G$287,5,0)</f>
        <v>Electricity</v>
      </c>
      <c r="F1013" s="754" t="s">
        <v>41</v>
      </c>
      <c r="G1013" s="755" t="s">
        <v>459</v>
      </c>
      <c r="H1013" s="741" t="str">
        <f t="shared" si="16"/>
        <v>CAR5247</v>
      </c>
      <c r="I1013" s="762">
        <v>-1860079</v>
      </c>
      <c r="J1013" s="763">
        <v>-1430.83</v>
      </c>
      <c r="K1013" s="764">
        <v>1300</v>
      </c>
      <c r="L1013" s="765">
        <v>45901</v>
      </c>
      <c r="M1013" s="756"/>
      <c r="N1013" s="751">
        <v>123</v>
      </c>
      <c r="O1013" s="752"/>
      <c r="P1013" s="751"/>
      <c r="Q1013" s="751"/>
      <c r="R1013" s="760" t="s">
        <v>3413</v>
      </c>
    </row>
    <row r="1014" spans="1:256" ht="26">
      <c r="A1014" s="760" t="s">
        <v>3414</v>
      </c>
      <c r="B1014" s="751"/>
      <c r="C1014" s="751"/>
      <c r="D1014" s="752" t="s">
        <v>670</v>
      </c>
      <c r="E1014" s="753" t="str">
        <f>+VLOOKUP(F1014,Resumen_Base!$C$8:$G$287,5,0)</f>
        <v>Electricity - Gas for Boats &amp; Vehicles</v>
      </c>
      <c r="F1014" s="754" t="s">
        <v>64</v>
      </c>
      <c r="G1014" s="755" t="s">
        <v>461</v>
      </c>
      <c r="H1014" s="741" t="str">
        <f t="shared" si="16"/>
        <v>SJ5248</v>
      </c>
      <c r="I1014" s="762">
        <v>-10398739</v>
      </c>
      <c r="J1014" s="763">
        <v>-7999.03</v>
      </c>
      <c r="K1014" s="764">
        <v>1300</v>
      </c>
      <c r="L1014" s="765">
        <v>45901</v>
      </c>
      <c r="M1014" s="756"/>
      <c r="N1014" s="751">
        <v>121</v>
      </c>
      <c r="O1014" s="752"/>
      <c r="P1014" s="751"/>
      <c r="Q1014" s="751"/>
      <c r="R1014" s="760" t="s">
        <v>3414</v>
      </c>
    </row>
    <row r="1015" spans="1:256" ht="26">
      <c r="A1015" s="760" t="s">
        <v>3413</v>
      </c>
      <c r="B1015" s="751"/>
      <c r="C1015" s="751"/>
      <c r="D1015" s="752" t="s">
        <v>676</v>
      </c>
      <c r="E1015" s="753" t="str">
        <f>+VLOOKUP(F1015,Resumen_Base!$C$8:$G$287,5,0)</f>
        <v>Electricity - Gas for Boats &amp; Vehicles</v>
      </c>
      <c r="F1015" s="754" t="s">
        <v>64</v>
      </c>
      <c r="G1015" s="755" t="s">
        <v>461</v>
      </c>
      <c r="H1015" s="741" t="str">
        <f t="shared" si="16"/>
        <v>CAR5248</v>
      </c>
      <c r="I1015" s="762">
        <v>-2512692</v>
      </c>
      <c r="J1015" s="763">
        <v>-1932.8400000000001</v>
      </c>
      <c r="K1015" s="764">
        <v>1300</v>
      </c>
      <c r="L1015" s="765">
        <v>45901</v>
      </c>
      <c r="M1015" s="756"/>
      <c r="N1015" s="751">
        <v>123</v>
      </c>
      <c r="O1015" s="752"/>
      <c r="P1015" s="751"/>
      <c r="Q1015" s="751"/>
      <c r="R1015" s="760" t="s">
        <v>3413</v>
      </c>
    </row>
    <row r="1016" spans="1:256" ht="26">
      <c r="A1016" s="760" t="s">
        <v>3413</v>
      </c>
      <c r="B1016" s="751"/>
      <c r="C1016" s="751"/>
      <c r="D1016" s="752" t="s">
        <v>676</v>
      </c>
      <c r="E1016" s="753" t="str">
        <f>+VLOOKUP(F1016,Resumen_Base!$C$8:$G$287,5,0)</f>
        <v>Extras</v>
      </c>
      <c r="F1016" s="754" t="s">
        <v>307</v>
      </c>
      <c r="G1016" s="755" t="s">
        <v>449</v>
      </c>
      <c r="H1016" s="741" t="str">
        <f t="shared" si="16"/>
        <v>CAR5103</v>
      </c>
      <c r="I1016" s="762">
        <v>-91000</v>
      </c>
      <c r="J1016" s="763">
        <v>-70</v>
      </c>
      <c r="K1016" s="764">
        <v>1300</v>
      </c>
      <c r="L1016" s="765">
        <v>45901</v>
      </c>
      <c r="M1016" s="756"/>
      <c r="N1016" s="751">
        <v>123</v>
      </c>
      <c r="O1016" s="752"/>
      <c r="P1016" s="751"/>
      <c r="Q1016" s="751"/>
      <c r="R1016" s="760" t="s">
        <v>3413</v>
      </c>
    </row>
    <row r="1017" spans="1:256" ht="26">
      <c r="A1017" s="760" t="s">
        <v>3414</v>
      </c>
      <c r="B1017" s="751"/>
      <c r="C1017" s="751"/>
      <c r="D1017" s="752" t="s">
        <v>670</v>
      </c>
      <c r="E1017" s="753" t="str">
        <f>+VLOOKUP(F1017,Resumen_Base!$C$8:$G$287,5,0)</f>
        <v>Field:</v>
      </c>
      <c r="F1017" s="754" t="s">
        <v>133</v>
      </c>
      <c r="G1017" s="755" t="s">
        <v>451</v>
      </c>
      <c r="H1017" s="741" t="str">
        <f t="shared" si="16"/>
        <v>SJ5207</v>
      </c>
      <c r="I1017" s="762">
        <v>-2483</v>
      </c>
      <c r="J1017" s="763">
        <v>-1.910000000000025</v>
      </c>
      <c r="K1017" s="764">
        <v>1300</v>
      </c>
      <c r="L1017" s="765">
        <v>45901</v>
      </c>
      <c r="M1017" s="756"/>
      <c r="N1017" s="751">
        <v>121</v>
      </c>
      <c r="O1017" s="752"/>
      <c r="P1017" s="751"/>
      <c r="Q1017" s="751"/>
      <c r="R1017" s="760" t="s">
        <v>3414</v>
      </c>
    </row>
    <row r="1018" spans="1:256" ht="26">
      <c r="A1018" s="760" t="s">
        <v>3414</v>
      </c>
      <c r="B1018" s="751"/>
      <c r="C1018" s="751"/>
      <c r="D1018" s="752" t="s">
        <v>670</v>
      </c>
      <c r="E1018" s="753" t="str">
        <f>+VLOOKUP(F1018,Resumen_Base!$C$8:$G$287,5,0)</f>
        <v>Food &amp; Wine</v>
      </c>
      <c r="F1018" s="754" t="s">
        <v>45</v>
      </c>
      <c r="G1018" s="755" t="s">
        <v>44</v>
      </c>
      <c r="H1018" s="741" t="str">
        <f t="shared" si="16"/>
        <v>SJ5213</v>
      </c>
      <c r="I1018" s="762">
        <v>-622024</v>
      </c>
      <c r="J1018" s="763">
        <v>-478.48</v>
      </c>
      <c r="K1018" s="764">
        <v>1300</v>
      </c>
      <c r="L1018" s="765">
        <v>45901</v>
      </c>
      <c r="M1018" s="756"/>
      <c r="N1018" s="751">
        <v>121</v>
      </c>
      <c r="O1018" s="752"/>
      <c r="P1018" s="751"/>
      <c r="Q1018" s="751"/>
      <c r="R1018" s="760" t="s">
        <v>3414</v>
      </c>
    </row>
    <row r="1019" spans="1:256" ht="26">
      <c r="A1019" s="760" t="s">
        <v>3414</v>
      </c>
      <c r="B1019" s="751"/>
      <c r="C1019" s="751"/>
      <c r="D1019" s="752" t="s">
        <v>670</v>
      </c>
      <c r="E1019" s="753" t="str">
        <f>+VLOOKUP(F1019,Resumen_Base!$C$8:$G$287,5,0)</f>
        <v>Food &amp; Wine</v>
      </c>
      <c r="F1019" s="754" t="s">
        <v>37</v>
      </c>
      <c r="G1019" s="755" t="s">
        <v>457</v>
      </c>
      <c r="H1019" s="741" t="str">
        <f t="shared" si="16"/>
        <v>SJ5250</v>
      </c>
      <c r="I1019" s="762">
        <v>-1365091</v>
      </c>
      <c r="J1019" s="763">
        <v>-1050.07</v>
      </c>
      <c r="K1019" s="764">
        <v>1300</v>
      </c>
      <c r="L1019" s="765">
        <v>45901</v>
      </c>
      <c r="M1019" s="756"/>
      <c r="N1019" s="751">
        <v>121</v>
      </c>
      <c r="O1019" s="752"/>
      <c r="P1019" s="751"/>
      <c r="Q1019" s="751"/>
      <c r="R1019" s="760" t="s">
        <v>3414</v>
      </c>
    </row>
    <row r="1020" spans="1:256" ht="26">
      <c r="A1020" s="760" t="s">
        <v>3414</v>
      </c>
      <c r="B1020" s="751"/>
      <c r="C1020" s="751"/>
      <c r="D1020" s="752" t="s">
        <v>670</v>
      </c>
      <c r="E1020" s="753" t="str">
        <f>+VLOOKUP(F1020,Resumen_Base!$C$8:$G$287,5,0)</f>
        <v>Food &amp; Wine</v>
      </c>
      <c r="F1020" s="754" t="s">
        <v>35</v>
      </c>
      <c r="G1020" s="755" t="s">
        <v>458</v>
      </c>
      <c r="H1020" s="741" t="str">
        <f t="shared" si="16"/>
        <v>SJ5251</v>
      </c>
      <c r="I1020" s="762">
        <v>-225290</v>
      </c>
      <c r="J1020" s="763">
        <v>-173.29999999999998</v>
      </c>
      <c r="K1020" s="764">
        <v>1300</v>
      </c>
      <c r="L1020" s="765">
        <v>45901</v>
      </c>
      <c r="M1020" s="756"/>
      <c r="N1020" s="751">
        <v>121</v>
      </c>
      <c r="O1020" s="752"/>
      <c r="P1020" s="751"/>
      <c r="Q1020" s="751"/>
      <c r="R1020" s="760" t="s">
        <v>3414</v>
      </c>
    </row>
    <row r="1021" spans="1:256" ht="26">
      <c r="A1021" s="760" t="s">
        <v>3414</v>
      </c>
      <c r="B1021" s="751"/>
      <c r="C1021" s="751"/>
      <c r="D1021" s="752" t="s">
        <v>670</v>
      </c>
      <c r="E1021" s="753" t="str">
        <f>+VLOOKUP(F1021,Resumen_Base!$C$8:$G$287,5,0)</f>
        <v>Food &amp; Wine</v>
      </c>
      <c r="F1021" s="754" t="s">
        <v>231</v>
      </c>
      <c r="G1021" s="755" t="s">
        <v>232</v>
      </c>
      <c r="H1021" s="741" t="str">
        <f t="shared" si="16"/>
        <v>SJ5291</v>
      </c>
      <c r="I1021" s="762">
        <v>-15028</v>
      </c>
      <c r="J1021" s="763">
        <v>-11.56</v>
      </c>
      <c r="K1021" s="764">
        <v>1300</v>
      </c>
      <c r="L1021" s="765">
        <v>45901</v>
      </c>
      <c r="M1021" s="756"/>
      <c r="N1021" s="751">
        <v>121</v>
      </c>
      <c r="O1021" s="752"/>
      <c r="P1021" s="751"/>
      <c r="Q1021" s="751"/>
      <c r="R1021" s="760" t="s">
        <v>3414</v>
      </c>
    </row>
    <row r="1022" spans="1:256" ht="26">
      <c r="A1022" s="760" t="s">
        <v>3413</v>
      </c>
      <c r="B1022" s="751"/>
      <c r="C1022" s="751"/>
      <c r="D1022" s="752" t="s">
        <v>676</v>
      </c>
      <c r="E1022" s="753" t="str">
        <f>+VLOOKUP(F1022,Resumen_Base!$C$8:$G$287,5,0)</f>
        <v>Food &amp; Wine</v>
      </c>
      <c r="F1022" s="754" t="s">
        <v>45</v>
      </c>
      <c r="G1022" s="755" t="s">
        <v>44</v>
      </c>
      <c r="H1022" s="741" t="str">
        <f t="shared" si="16"/>
        <v>CAR5213</v>
      </c>
      <c r="I1022" s="762">
        <v>-2535</v>
      </c>
      <c r="J1022" s="763">
        <v>-1.95</v>
      </c>
      <c r="K1022" s="764">
        <v>1300</v>
      </c>
      <c r="L1022" s="765">
        <v>45901</v>
      </c>
      <c r="M1022" s="756"/>
      <c r="N1022" s="751">
        <v>123</v>
      </c>
      <c r="O1022" s="752"/>
      <c r="P1022" s="751"/>
      <c r="Q1022" s="751"/>
      <c r="R1022" s="760" t="s">
        <v>3413</v>
      </c>
    </row>
    <row r="1023" spans="1:256" ht="26">
      <c r="A1023" s="760" t="s">
        <v>3413</v>
      </c>
      <c r="B1023" s="751"/>
      <c r="C1023" s="751"/>
      <c r="D1023" s="752" t="s">
        <v>676</v>
      </c>
      <c r="E1023" s="753" t="str">
        <f>+VLOOKUP(F1023,Resumen_Base!$C$8:$G$287,5,0)</f>
        <v>Food &amp; Wine</v>
      </c>
      <c r="F1023" s="754" t="s">
        <v>37</v>
      </c>
      <c r="G1023" s="755" t="s">
        <v>457</v>
      </c>
      <c r="H1023" s="741" t="str">
        <f t="shared" si="16"/>
        <v>CAR5250</v>
      </c>
      <c r="I1023" s="762">
        <v>-4066387</v>
      </c>
      <c r="J1023" s="763">
        <v>-3127.99</v>
      </c>
      <c r="K1023" s="764">
        <v>1300</v>
      </c>
      <c r="L1023" s="765">
        <v>45901</v>
      </c>
      <c r="M1023" s="756"/>
      <c r="N1023" s="751">
        <v>123</v>
      </c>
      <c r="O1023" s="752"/>
      <c r="P1023" s="751"/>
      <c r="Q1023" s="751"/>
      <c r="R1023" s="760" t="s">
        <v>3413</v>
      </c>
    </row>
    <row r="1024" spans="1:256" ht="26">
      <c r="A1024" s="760" t="s">
        <v>3414</v>
      </c>
      <c r="B1024" s="751"/>
      <c r="C1024" s="751"/>
      <c r="D1024" s="752" t="s">
        <v>670</v>
      </c>
      <c r="E1024" s="753" t="str">
        <f>+VLOOKUP(F1024,Resumen_Base!$C$8:$G$287,5,0)</f>
        <v>Guides</v>
      </c>
      <c r="F1024" s="754" t="s">
        <v>323</v>
      </c>
      <c r="G1024" s="755" t="s">
        <v>453</v>
      </c>
      <c r="H1024" s="741" t="str">
        <f t="shared" si="16"/>
        <v>SJ5227</v>
      </c>
      <c r="I1024" s="762">
        <v>-3190837</v>
      </c>
      <c r="J1024" s="763">
        <v>-2454.4899999999998</v>
      </c>
      <c r="K1024" s="764">
        <v>1300</v>
      </c>
      <c r="L1024" s="765">
        <v>45901</v>
      </c>
      <c r="M1024" s="756"/>
      <c r="N1024" s="751">
        <v>121</v>
      </c>
      <c r="O1024" s="752"/>
      <c r="P1024" s="751"/>
      <c r="Q1024" s="751"/>
      <c r="R1024" s="760" t="s">
        <v>3414</v>
      </c>
    </row>
    <row r="1025" spans="1:256" ht="26">
      <c r="A1025" s="760" t="s">
        <v>3413</v>
      </c>
      <c r="B1025" s="751"/>
      <c r="C1025" s="751"/>
      <c r="D1025" s="752" t="s">
        <v>676</v>
      </c>
      <c r="E1025" s="753" t="str">
        <f>+VLOOKUP(F1025,Resumen_Base!$C$8:$G$287,5,0)</f>
        <v>Guides</v>
      </c>
      <c r="F1025" s="754" t="s">
        <v>323</v>
      </c>
      <c r="G1025" s="755" t="s">
        <v>453</v>
      </c>
      <c r="H1025" s="741" t="str">
        <f t="shared" si="16"/>
        <v>CAR5227</v>
      </c>
      <c r="I1025" s="762">
        <v>-9648704</v>
      </c>
      <c r="J1025" s="763">
        <v>-7422.0800000000008</v>
      </c>
      <c r="K1025" s="764">
        <v>1300</v>
      </c>
      <c r="L1025" s="765">
        <v>45901</v>
      </c>
      <c r="M1025" s="756"/>
      <c r="N1025" s="751">
        <v>123</v>
      </c>
      <c r="O1025" s="752"/>
      <c r="P1025" s="751"/>
      <c r="Q1025" s="751"/>
      <c r="R1025" s="760" t="s">
        <v>3413</v>
      </c>
    </row>
    <row r="1026" spans="1:256" ht="26">
      <c r="A1026" s="760" t="s">
        <v>3413</v>
      </c>
      <c r="B1026" s="751"/>
      <c r="C1026" s="751"/>
      <c r="D1026" s="752" t="s">
        <v>676</v>
      </c>
      <c r="E1026" s="753" t="str">
        <f>+VLOOKUP(F1026,Resumen_Base!$C$8:$G$287,5,0)</f>
        <v>Insurance for lodge and boats</v>
      </c>
      <c r="F1026" s="754" t="s">
        <v>316</v>
      </c>
      <c r="G1026" s="755" t="s">
        <v>317</v>
      </c>
      <c r="H1026" s="741" t="str">
        <f t="shared" si="16"/>
        <v>CAR5215</v>
      </c>
      <c r="I1026" s="762">
        <v>-874341</v>
      </c>
      <c r="J1026" s="763">
        <v>-672.57</v>
      </c>
      <c r="K1026" s="764">
        <v>1300</v>
      </c>
      <c r="L1026" s="765">
        <v>45901</v>
      </c>
      <c r="M1026" s="756"/>
      <c r="N1026" s="751">
        <v>123</v>
      </c>
      <c r="O1026" s="752"/>
      <c r="P1026" s="751"/>
      <c r="Q1026" s="751"/>
      <c r="R1026" s="760" t="s">
        <v>3413</v>
      </c>
    </row>
    <row r="1027" spans="1:256" ht="26">
      <c r="A1027" s="760" t="s">
        <v>3413</v>
      </c>
      <c r="B1027" s="751"/>
      <c r="C1027" s="751"/>
      <c r="D1027" s="752" t="s">
        <v>676</v>
      </c>
      <c r="E1027" s="753" t="str">
        <f>+VLOOKUP(F1027,Resumen_Base!$C$8:$G$287,5,0)</f>
        <v>Licenses / Permits (Fishing and Shooting)</v>
      </c>
      <c r="F1027" s="754" t="s">
        <v>62</v>
      </c>
      <c r="G1027" s="755" t="s">
        <v>63</v>
      </c>
      <c r="H1027" s="741" t="str">
        <f t="shared" si="16"/>
        <v>CAR5221</v>
      </c>
      <c r="I1027" s="762">
        <v>-1092000</v>
      </c>
      <c r="J1027" s="763">
        <v>-840</v>
      </c>
      <c r="K1027" s="764">
        <v>1300</v>
      </c>
      <c r="L1027" s="765">
        <v>45901</v>
      </c>
      <c r="M1027" s="756"/>
      <c r="N1027" s="751">
        <v>123</v>
      </c>
      <c r="O1027" s="752"/>
      <c r="P1027" s="751"/>
      <c r="Q1027" s="751"/>
      <c r="R1027" s="760" t="s">
        <v>3413</v>
      </c>
    </row>
    <row r="1028" spans="1:256" ht="26">
      <c r="A1028" s="760" t="s">
        <v>3414</v>
      </c>
      <c r="B1028" s="751"/>
      <c r="C1028" s="751"/>
      <c r="D1028" s="752" t="s">
        <v>670</v>
      </c>
      <c r="E1028" s="753" t="str">
        <f>+VLOOKUP(F1028,Resumen_Base!$C$8:$G$287,5,0)</f>
        <v>Manager</v>
      </c>
      <c r="F1028" s="754" t="s">
        <v>325</v>
      </c>
      <c r="G1028" s="755" t="s">
        <v>452</v>
      </c>
      <c r="H1028" s="741" t="str">
        <f t="shared" si="16"/>
        <v>SJ5228</v>
      </c>
      <c r="I1028" s="762">
        <v>-3180242</v>
      </c>
      <c r="J1028" s="763">
        <v>-2446.34</v>
      </c>
      <c r="K1028" s="764">
        <v>1300</v>
      </c>
      <c r="L1028" s="765">
        <v>45901</v>
      </c>
      <c r="M1028" s="756"/>
      <c r="N1028" s="751">
        <v>121</v>
      </c>
      <c r="O1028" s="752"/>
      <c r="P1028" s="751"/>
      <c r="Q1028" s="751"/>
      <c r="R1028" s="760" t="s">
        <v>3414</v>
      </c>
    </row>
    <row r="1029" spans="1:256" ht="26">
      <c r="A1029" s="760" t="s">
        <v>3413</v>
      </c>
      <c r="B1029" s="751"/>
      <c r="C1029" s="751"/>
      <c r="D1029" s="752" t="s">
        <v>676</v>
      </c>
      <c r="E1029" s="753" t="str">
        <f>+VLOOKUP(F1029,Resumen_Base!$C$8:$G$287,5,0)</f>
        <v>Services/House</v>
      </c>
      <c r="F1029" s="754" t="s">
        <v>321</v>
      </c>
      <c r="G1029" s="755" t="s">
        <v>455</v>
      </c>
      <c r="H1029" s="741" t="str">
        <f t="shared" si="16"/>
        <v>CAR5226</v>
      </c>
      <c r="I1029" s="762">
        <v>-4458038</v>
      </c>
      <c r="J1029" s="763">
        <v>-3429.26</v>
      </c>
      <c r="K1029" s="764">
        <v>1300</v>
      </c>
      <c r="L1029" s="765">
        <v>45901</v>
      </c>
      <c r="M1029" s="756"/>
      <c r="N1029" s="751">
        <v>123</v>
      </c>
      <c r="O1029" s="752"/>
      <c r="P1029" s="751"/>
      <c r="Q1029" s="751"/>
      <c r="R1029" s="760" t="s">
        <v>3413</v>
      </c>
    </row>
    <row r="1030" spans="1:256" ht="26">
      <c r="A1030" s="760" t="s">
        <v>3414</v>
      </c>
      <c r="B1030" s="751"/>
      <c r="C1030" s="751"/>
      <c r="D1030" s="752" t="s">
        <v>670</v>
      </c>
      <c r="E1030" s="753" t="str">
        <f>+VLOOKUP(F1030,Resumen_Base!$C$8:$G$287,5,0)</f>
        <v>Social Security Contributions</v>
      </c>
      <c r="F1030" s="754" t="s">
        <v>329</v>
      </c>
      <c r="G1030" s="755" t="s">
        <v>330</v>
      </c>
      <c r="H1030" s="741" t="str">
        <f t="shared" si="16"/>
        <v>SJ5235</v>
      </c>
      <c r="I1030" s="762">
        <v>-324415</v>
      </c>
      <c r="J1030" s="763">
        <v>-249.55</v>
      </c>
      <c r="K1030" s="764">
        <v>1300</v>
      </c>
      <c r="L1030" s="765">
        <v>45901</v>
      </c>
      <c r="M1030" s="756"/>
      <c r="N1030" s="751">
        <v>121</v>
      </c>
      <c r="O1030" s="752"/>
      <c r="P1030" s="751"/>
      <c r="Q1030" s="751"/>
      <c r="R1030" s="760" t="s">
        <v>3414</v>
      </c>
    </row>
    <row r="1031" spans="1:256" ht="26">
      <c r="A1031" s="760" t="s">
        <v>3414</v>
      </c>
      <c r="B1031" s="751"/>
      <c r="C1031" s="751"/>
      <c r="D1031" s="752" t="s">
        <v>670</v>
      </c>
      <c r="E1031" s="753" t="str">
        <f>+VLOOKUP(F1031,Resumen_Base!$C$8:$G$287,5,0)</f>
        <v>Social Security Contributions</v>
      </c>
      <c r="F1031" s="754" t="s">
        <v>331</v>
      </c>
      <c r="G1031" s="755" t="s">
        <v>332</v>
      </c>
      <c r="H1031" s="741" t="str">
        <f t="shared" si="16"/>
        <v>SJ5236</v>
      </c>
      <c r="I1031" s="762">
        <v>-302952</v>
      </c>
      <c r="J1031" s="763">
        <v>-233.04</v>
      </c>
      <c r="K1031" s="764">
        <v>1300</v>
      </c>
      <c r="L1031" s="765">
        <v>45901</v>
      </c>
      <c r="M1031" s="756"/>
      <c r="N1031" s="751">
        <v>121</v>
      </c>
      <c r="O1031" s="752"/>
      <c r="P1031" s="751"/>
      <c r="Q1031" s="751"/>
      <c r="R1031" s="760" t="s">
        <v>3414</v>
      </c>
    </row>
    <row r="1032" spans="1:256" ht="26">
      <c r="A1032" s="760" t="s">
        <v>3414</v>
      </c>
      <c r="B1032" s="751"/>
      <c r="C1032" s="751"/>
      <c r="D1032" s="752" t="s">
        <v>670</v>
      </c>
      <c r="E1032" s="753" t="str">
        <f>+VLOOKUP(F1032,Resumen_Base!$C$8:$G$287,5,0)</f>
        <v>Social Security Contributions</v>
      </c>
      <c r="F1032" s="754" t="s">
        <v>333</v>
      </c>
      <c r="G1032" s="755" t="s">
        <v>334</v>
      </c>
      <c r="H1032" s="741" t="str">
        <f t="shared" si="16"/>
        <v>SJ5237</v>
      </c>
      <c r="I1032" s="762">
        <v>-692900</v>
      </c>
      <c r="J1032" s="763">
        <v>-533</v>
      </c>
      <c r="K1032" s="764">
        <v>1300</v>
      </c>
      <c r="L1032" s="765">
        <v>45901</v>
      </c>
      <c r="M1032" s="756"/>
      <c r="N1032" s="751">
        <v>121</v>
      </c>
      <c r="O1032" s="752"/>
      <c r="P1032" s="751"/>
      <c r="Q1032" s="751"/>
      <c r="R1032" s="760" t="s">
        <v>3414</v>
      </c>
    </row>
    <row r="1033" spans="1:256" ht="26">
      <c r="A1033" s="760" t="s">
        <v>3413</v>
      </c>
      <c r="B1033" s="751"/>
      <c r="C1033" s="751"/>
      <c r="D1033" s="752" t="s">
        <v>676</v>
      </c>
      <c r="E1033" s="753" t="str">
        <f>+VLOOKUP(F1033,Resumen_Base!$C$8:$G$287,5,0)</f>
        <v>Social Security Contributions</v>
      </c>
      <c r="F1033" s="754" t="s">
        <v>331</v>
      </c>
      <c r="G1033" s="755" t="s">
        <v>332</v>
      </c>
      <c r="H1033" s="741" t="str">
        <f t="shared" si="16"/>
        <v>CAR5236</v>
      </c>
      <c r="I1033" s="762">
        <v>-1351090</v>
      </c>
      <c r="J1033" s="763">
        <v>-1039.3</v>
      </c>
      <c r="K1033" s="764">
        <v>1300</v>
      </c>
      <c r="L1033" s="765">
        <v>45901</v>
      </c>
      <c r="M1033" s="756"/>
      <c r="N1033" s="751">
        <v>123</v>
      </c>
      <c r="O1033" s="752"/>
      <c r="P1033" s="751"/>
      <c r="Q1033" s="751"/>
      <c r="R1033" s="760" t="s">
        <v>3413</v>
      </c>
    </row>
    <row r="1034" spans="1:256" ht="26">
      <c r="A1034" s="760" t="s">
        <v>3414</v>
      </c>
      <c r="B1034" s="751"/>
      <c r="C1034" s="751"/>
      <c r="D1034" s="752" t="s">
        <v>670</v>
      </c>
      <c r="E1034" s="753" t="str">
        <f>+VLOOKUP(F1034,Resumen_Base!$C$8:$G$287,5,0)</f>
        <v>Transfer to and from the airport (local taxi) - Vehicle Rental</v>
      </c>
      <c r="F1034" s="754" t="s">
        <v>138</v>
      </c>
      <c r="G1034" s="755" t="s">
        <v>202</v>
      </c>
      <c r="H1034" s="741" t="str">
        <f t="shared" si="16"/>
        <v>SJ5225</v>
      </c>
      <c r="I1034" s="762">
        <v>-282100</v>
      </c>
      <c r="J1034" s="763">
        <v>-217</v>
      </c>
      <c r="K1034" s="764">
        <v>1300</v>
      </c>
      <c r="L1034" s="765">
        <v>45901</v>
      </c>
      <c r="M1034" s="756"/>
      <c r="N1034" s="751">
        <v>121</v>
      </c>
      <c r="O1034" s="752"/>
      <c r="P1034" s="751"/>
      <c r="Q1034" s="751"/>
      <c r="R1034" s="760" t="s">
        <v>3414</v>
      </c>
    </row>
    <row r="1035" spans="1:256" ht="26">
      <c r="A1035" s="760" t="s">
        <v>3414</v>
      </c>
      <c r="B1035" s="751"/>
      <c r="C1035" s="751"/>
      <c r="D1035" s="752" t="s">
        <v>670</v>
      </c>
      <c r="E1035" s="753" t="str">
        <f>+VLOOKUP(F1035,Resumen_Base!$C$8:$G$287,5,0)</f>
        <v>Travel for personnel (employees)</v>
      </c>
      <c r="F1035" s="754" t="s">
        <v>68</v>
      </c>
      <c r="G1035" s="755" t="s">
        <v>464</v>
      </c>
      <c r="H1035" s="741" t="str">
        <f t="shared" si="16"/>
        <v>SJ5255</v>
      </c>
      <c r="I1035" s="762">
        <v>-432913</v>
      </c>
      <c r="J1035" s="763">
        <v>-333.01</v>
      </c>
      <c r="K1035" s="764">
        <v>1300</v>
      </c>
      <c r="L1035" s="765">
        <v>45901</v>
      </c>
      <c r="M1035" s="756"/>
      <c r="N1035" s="751">
        <v>121</v>
      </c>
      <c r="O1035" s="752"/>
      <c r="P1035" s="751"/>
      <c r="Q1035" s="751"/>
      <c r="R1035" s="760" t="s">
        <v>3414</v>
      </c>
    </row>
    <row r="1036" spans="1:256" ht="14.5">
      <c r="U1036"/>
      <c r="V1036"/>
      <c r="W1036" s="1"/>
      <c r="X1036" s="681"/>
      <c r="Y1036" s="681"/>
      <c r="Z1036" s="681"/>
      <c r="AA1036" s="681"/>
      <c r="AB1036" s="681"/>
      <c r="AC1036" s="681"/>
      <c r="AD1036" s="681"/>
      <c r="AE1036" s="681"/>
      <c r="AF1036" s="681"/>
      <c r="AG1036" s="681"/>
      <c r="AH1036" s="681"/>
      <c r="AI1036" s="681"/>
      <c r="AJ1036" s="681"/>
      <c r="AK1036" s="681"/>
      <c r="AL1036" s="681"/>
      <c r="AM1036" s="681"/>
      <c r="AN1036" s="681"/>
      <c r="AO1036" s="681"/>
      <c r="AP1036" s="681"/>
      <c r="AQ1036" s="681"/>
      <c r="AR1036" s="681"/>
      <c r="AS1036" s="681"/>
      <c r="AT1036" s="681"/>
      <c r="AU1036" s="681"/>
      <c r="AV1036" s="681"/>
      <c r="AW1036" s="681"/>
      <c r="AX1036" s="681"/>
      <c r="AY1036" s="681"/>
      <c r="AZ1036" s="681"/>
      <c r="BA1036" s="681"/>
      <c r="BB1036" s="681"/>
      <c r="BC1036" s="681"/>
      <c r="BD1036" s="681"/>
      <c r="BE1036" s="681"/>
      <c r="BF1036" s="681"/>
      <c r="BG1036" s="681"/>
      <c r="BH1036" s="681"/>
      <c r="BI1036" s="681"/>
      <c r="BJ1036" s="681"/>
      <c r="BK1036" s="681"/>
      <c r="BL1036" s="681"/>
      <c r="BM1036" s="681"/>
      <c r="BN1036" s="681"/>
      <c r="BO1036" s="681"/>
      <c r="BP1036" s="681"/>
      <c r="BQ1036" s="681"/>
      <c r="BR1036" s="681"/>
      <c r="BS1036" s="681"/>
      <c r="BT1036" s="681"/>
      <c r="BU1036" s="681"/>
      <c r="BV1036" s="681"/>
      <c r="BW1036" s="681"/>
      <c r="BX1036" s="681"/>
      <c r="BY1036" s="681"/>
      <c r="BZ1036" s="681"/>
      <c r="CA1036" s="681"/>
      <c r="CB1036" s="681"/>
      <c r="CC1036" s="681"/>
      <c r="CD1036" s="681"/>
      <c r="CE1036" s="681"/>
      <c r="CF1036" s="681"/>
      <c r="CG1036" s="681"/>
      <c r="CH1036" s="681"/>
      <c r="CI1036" s="681"/>
      <c r="CJ1036" s="681"/>
      <c r="CK1036" s="681"/>
      <c r="CL1036" s="681"/>
      <c r="CM1036" s="681"/>
      <c r="CN1036" s="681"/>
      <c r="CO1036" s="681"/>
      <c r="CP1036" s="681"/>
      <c r="CQ1036" s="681"/>
      <c r="CR1036" s="681"/>
      <c r="CS1036" s="681"/>
      <c r="CT1036" s="681"/>
      <c r="CU1036" s="681"/>
      <c r="CV1036" s="681"/>
      <c r="CW1036" s="681"/>
      <c r="CX1036" s="681"/>
      <c r="CY1036" s="681"/>
      <c r="CZ1036" s="681"/>
      <c r="DA1036" s="681"/>
      <c r="DB1036" s="681"/>
      <c r="DC1036" s="681"/>
      <c r="DD1036" s="681"/>
      <c r="DE1036" s="681"/>
      <c r="DF1036" s="681"/>
      <c r="DG1036" s="681"/>
      <c r="DH1036" s="681"/>
      <c r="DI1036" s="681"/>
      <c r="DJ1036" s="681"/>
      <c r="DK1036" s="681"/>
      <c r="DL1036" s="681"/>
      <c r="DM1036" s="681"/>
      <c r="DN1036" s="681"/>
      <c r="DO1036" s="681"/>
      <c r="DP1036" s="681"/>
      <c r="DQ1036" s="681"/>
      <c r="DR1036" s="681"/>
      <c r="DS1036" s="681"/>
      <c r="DT1036" s="681"/>
      <c r="DU1036" s="681"/>
      <c r="DV1036" s="681"/>
      <c r="DW1036" s="681"/>
      <c r="DX1036" s="681"/>
      <c r="DY1036" s="681"/>
      <c r="DZ1036" s="681"/>
      <c r="EA1036" s="681"/>
      <c r="EB1036" s="681"/>
      <c r="EC1036" s="681"/>
      <c r="ED1036" s="681"/>
      <c r="EE1036" s="681"/>
      <c r="EF1036" s="681"/>
      <c r="EG1036" s="681"/>
      <c r="EH1036" s="681"/>
      <c r="EI1036" s="681"/>
      <c r="EJ1036" s="681"/>
      <c r="EK1036" s="681"/>
      <c r="EL1036" s="681"/>
      <c r="EM1036" s="681"/>
      <c r="EN1036" s="681"/>
      <c r="EO1036" s="681"/>
      <c r="EP1036" s="681"/>
      <c r="EQ1036" s="681"/>
      <c r="ER1036" s="681"/>
      <c r="ES1036" s="681"/>
      <c r="ET1036" s="681"/>
      <c r="EU1036" s="681"/>
      <c r="EV1036" s="681"/>
      <c r="EW1036" s="681"/>
      <c r="EX1036" s="681"/>
      <c r="EY1036" s="681"/>
      <c r="EZ1036" s="681"/>
      <c r="FA1036" s="681"/>
      <c r="FB1036" s="681"/>
      <c r="FC1036" s="681"/>
      <c r="FD1036" s="681"/>
      <c r="FE1036" s="681"/>
      <c r="FF1036" s="681"/>
      <c r="FG1036" s="681"/>
      <c r="FH1036" s="681"/>
      <c r="FI1036" s="681"/>
      <c r="FJ1036" s="681"/>
      <c r="FK1036" s="681"/>
      <c r="FL1036" s="681"/>
      <c r="FM1036" s="681"/>
      <c r="FN1036" s="681"/>
      <c r="FO1036" s="681"/>
      <c r="FP1036" s="681"/>
      <c r="FQ1036" s="681"/>
      <c r="FR1036" s="681"/>
      <c r="FS1036" s="681"/>
      <c r="FT1036" s="681"/>
      <c r="FU1036" s="681"/>
      <c r="FV1036" s="681"/>
      <c r="FW1036" s="681"/>
      <c r="FX1036" s="681"/>
      <c r="FY1036" s="681"/>
      <c r="FZ1036" s="681"/>
      <c r="GA1036" s="681"/>
      <c r="GB1036" s="681"/>
      <c r="GC1036" s="681"/>
      <c r="GD1036" s="681"/>
      <c r="GE1036" s="681"/>
      <c r="GF1036" s="681"/>
      <c r="GG1036" s="681"/>
      <c r="GH1036" s="681"/>
      <c r="GI1036" s="681"/>
      <c r="GJ1036" s="681"/>
      <c r="GK1036" s="681"/>
      <c r="GL1036" s="681"/>
      <c r="GM1036" s="681"/>
      <c r="GN1036" s="681"/>
      <c r="GO1036" s="681"/>
      <c r="GP1036" s="681"/>
      <c r="GQ1036" s="681"/>
      <c r="GR1036" s="681"/>
      <c r="GS1036" s="681"/>
      <c r="GT1036" s="681"/>
      <c r="GU1036" s="681"/>
      <c r="GV1036" s="681"/>
      <c r="GW1036" s="681"/>
      <c r="GX1036" s="681"/>
      <c r="GY1036" s="681"/>
      <c r="GZ1036" s="681"/>
      <c r="HA1036" s="681"/>
      <c r="HB1036" s="681"/>
      <c r="HC1036" s="681"/>
      <c r="HD1036" s="681"/>
      <c r="HE1036" s="681"/>
      <c r="HF1036" s="681"/>
      <c r="HG1036" s="681"/>
      <c r="HH1036" s="681"/>
      <c r="HI1036" s="681"/>
      <c r="HJ1036" s="681"/>
      <c r="HK1036" s="681"/>
      <c r="HL1036" s="681"/>
      <c r="HM1036" s="681"/>
      <c r="HN1036" s="681"/>
      <c r="HO1036" s="681"/>
      <c r="HP1036" s="681"/>
      <c r="HQ1036" s="681"/>
      <c r="HR1036" s="681"/>
      <c r="HS1036" s="681"/>
      <c r="HT1036" s="681"/>
      <c r="HU1036" s="681"/>
      <c r="HV1036" s="681"/>
      <c r="HW1036" s="681"/>
      <c r="HX1036" s="681"/>
      <c r="HY1036" s="681"/>
      <c r="HZ1036" s="681"/>
      <c r="IA1036" s="681"/>
      <c r="IB1036" s="681"/>
      <c r="IC1036" s="681"/>
      <c r="ID1036" s="681"/>
      <c r="IE1036" s="681"/>
      <c r="IF1036" s="681"/>
      <c r="IG1036" s="681"/>
      <c r="IH1036" s="681"/>
      <c r="II1036" s="681"/>
      <c r="IJ1036" s="681"/>
      <c r="IK1036" s="681"/>
      <c r="IL1036" s="681"/>
      <c r="IM1036" s="681"/>
      <c r="IN1036" s="681"/>
      <c r="IO1036" s="681"/>
      <c r="IP1036" s="681"/>
      <c r="IQ1036" s="681"/>
      <c r="IR1036" s="681"/>
      <c r="IS1036" s="681"/>
      <c r="IT1036" s="681"/>
      <c r="IU1036" s="681"/>
      <c r="IV1036" s="681"/>
    </row>
    <row r="1037" spans="1:256" ht="14.5">
      <c r="U1037"/>
      <c r="V1037"/>
      <c r="W1037" s="1"/>
      <c r="X1037" s="681"/>
      <c r="Y1037" s="681"/>
      <c r="Z1037" s="681"/>
      <c r="AA1037" s="681"/>
      <c r="AB1037" s="681"/>
      <c r="AC1037" s="681"/>
      <c r="AD1037" s="681"/>
      <c r="AE1037" s="681"/>
      <c r="AF1037" s="681"/>
      <c r="AG1037" s="681"/>
      <c r="AH1037" s="681"/>
      <c r="AI1037" s="681"/>
      <c r="AJ1037" s="681"/>
      <c r="AK1037" s="681"/>
      <c r="AL1037" s="681"/>
      <c r="AM1037" s="681"/>
      <c r="AN1037" s="681"/>
      <c r="AO1037" s="681"/>
      <c r="AP1037" s="681"/>
      <c r="AQ1037" s="681"/>
      <c r="AR1037" s="681"/>
      <c r="AS1037" s="681"/>
      <c r="AT1037" s="681"/>
      <c r="AU1037" s="681"/>
      <c r="AV1037" s="681"/>
      <c r="AW1037" s="681"/>
      <c r="AX1037" s="681"/>
      <c r="AY1037" s="681"/>
      <c r="AZ1037" s="681"/>
      <c r="BA1037" s="681"/>
      <c r="BB1037" s="681"/>
      <c r="BC1037" s="681"/>
      <c r="BD1037" s="681"/>
      <c r="BE1037" s="681"/>
      <c r="BF1037" s="681"/>
      <c r="BG1037" s="681"/>
      <c r="BH1037" s="681"/>
      <c r="BI1037" s="681"/>
      <c r="BJ1037" s="681"/>
      <c r="BK1037" s="681"/>
      <c r="BL1037" s="681"/>
      <c r="BM1037" s="681"/>
      <c r="BN1037" s="681"/>
      <c r="BO1037" s="681"/>
      <c r="BP1037" s="681"/>
      <c r="BQ1037" s="681"/>
      <c r="BR1037" s="681"/>
      <c r="BS1037" s="681"/>
      <c r="BT1037" s="681"/>
      <c r="BU1037" s="681"/>
      <c r="BV1037" s="681"/>
      <c r="BW1037" s="681"/>
      <c r="BX1037" s="681"/>
      <c r="BY1037" s="681"/>
      <c r="BZ1037" s="681"/>
      <c r="CA1037" s="681"/>
      <c r="CB1037" s="681"/>
      <c r="CC1037" s="681"/>
      <c r="CD1037" s="681"/>
      <c r="CE1037" s="681"/>
      <c r="CF1037" s="681"/>
      <c r="CG1037" s="681"/>
      <c r="CH1037" s="681"/>
      <c r="CI1037" s="681"/>
      <c r="CJ1037" s="681"/>
      <c r="CK1037" s="681"/>
      <c r="CL1037" s="681"/>
      <c r="CM1037" s="681"/>
      <c r="CN1037" s="681"/>
      <c r="CO1037" s="681"/>
      <c r="CP1037" s="681"/>
      <c r="CQ1037" s="681"/>
      <c r="CR1037" s="681"/>
      <c r="CS1037" s="681"/>
      <c r="CT1037" s="681"/>
      <c r="CU1037" s="681"/>
      <c r="CV1037" s="681"/>
      <c r="CW1037" s="681"/>
      <c r="CX1037" s="681"/>
      <c r="CY1037" s="681"/>
      <c r="CZ1037" s="681"/>
      <c r="DA1037" s="681"/>
      <c r="DB1037" s="681"/>
      <c r="DC1037" s="681"/>
      <c r="DD1037" s="681"/>
      <c r="DE1037" s="681"/>
      <c r="DF1037" s="681"/>
      <c r="DG1037" s="681"/>
      <c r="DH1037" s="681"/>
      <c r="DI1037" s="681"/>
      <c r="DJ1037" s="681"/>
      <c r="DK1037" s="681"/>
      <c r="DL1037" s="681"/>
      <c r="DM1037" s="681"/>
      <c r="DN1037" s="681"/>
      <c r="DO1037" s="681"/>
      <c r="DP1037" s="681"/>
      <c r="DQ1037" s="681"/>
      <c r="DR1037" s="681"/>
      <c r="DS1037" s="681"/>
      <c r="DT1037" s="681"/>
      <c r="DU1037" s="681"/>
      <c r="DV1037" s="681"/>
      <c r="DW1037" s="681"/>
      <c r="DX1037" s="681"/>
      <c r="DY1037" s="681"/>
      <c r="DZ1037" s="681"/>
      <c r="EA1037" s="681"/>
      <c r="EB1037" s="681"/>
      <c r="EC1037" s="681"/>
      <c r="ED1037" s="681"/>
      <c r="EE1037" s="681"/>
      <c r="EF1037" s="681"/>
      <c r="EG1037" s="681"/>
      <c r="EH1037" s="681"/>
      <c r="EI1037" s="681"/>
      <c r="EJ1037" s="681"/>
      <c r="EK1037" s="681"/>
      <c r="EL1037" s="681"/>
      <c r="EM1037" s="681"/>
      <c r="EN1037" s="681"/>
      <c r="EO1037" s="681"/>
      <c r="EP1037" s="681"/>
      <c r="EQ1037" s="681"/>
      <c r="ER1037" s="681"/>
      <c r="ES1037" s="681"/>
      <c r="ET1037" s="681"/>
      <c r="EU1037" s="681"/>
      <c r="EV1037" s="681"/>
      <c r="EW1037" s="681"/>
      <c r="EX1037" s="681"/>
      <c r="EY1037" s="681"/>
      <c r="EZ1037" s="681"/>
      <c r="FA1037" s="681"/>
      <c r="FB1037" s="681"/>
      <c r="FC1037" s="681"/>
      <c r="FD1037" s="681"/>
      <c r="FE1037" s="681"/>
      <c r="FF1037" s="681"/>
      <c r="FG1037" s="681"/>
      <c r="FH1037" s="681"/>
      <c r="FI1037" s="681"/>
      <c r="FJ1037" s="681"/>
      <c r="FK1037" s="681"/>
      <c r="FL1037" s="681"/>
      <c r="FM1037" s="681"/>
      <c r="FN1037" s="681"/>
      <c r="FO1037" s="681"/>
      <c r="FP1037" s="681"/>
      <c r="FQ1037" s="681"/>
      <c r="FR1037" s="681"/>
      <c r="FS1037" s="681"/>
      <c r="FT1037" s="681"/>
      <c r="FU1037" s="681"/>
      <c r="FV1037" s="681"/>
      <c r="FW1037" s="681"/>
      <c r="FX1037" s="681"/>
      <c r="FY1037" s="681"/>
      <c r="FZ1037" s="681"/>
      <c r="GA1037" s="681"/>
      <c r="GB1037" s="681"/>
      <c r="GC1037" s="681"/>
      <c r="GD1037" s="681"/>
      <c r="GE1037" s="681"/>
      <c r="GF1037" s="681"/>
      <c r="GG1037" s="681"/>
      <c r="GH1037" s="681"/>
      <c r="GI1037" s="681"/>
      <c r="GJ1037" s="681"/>
      <c r="GK1037" s="681"/>
      <c r="GL1037" s="681"/>
      <c r="GM1037" s="681"/>
      <c r="GN1037" s="681"/>
      <c r="GO1037" s="681"/>
      <c r="GP1037" s="681"/>
      <c r="GQ1037" s="681"/>
      <c r="GR1037" s="681"/>
      <c r="GS1037" s="681"/>
      <c r="GT1037" s="681"/>
      <c r="GU1037" s="681"/>
      <c r="GV1037" s="681"/>
      <c r="GW1037" s="681"/>
      <c r="GX1037" s="681"/>
      <c r="GY1037" s="681"/>
      <c r="GZ1037" s="681"/>
      <c r="HA1037" s="681"/>
      <c r="HB1037" s="681"/>
      <c r="HC1037" s="681"/>
      <c r="HD1037" s="681"/>
      <c r="HE1037" s="681"/>
      <c r="HF1037" s="681"/>
      <c r="HG1037" s="681"/>
      <c r="HH1037" s="681"/>
      <c r="HI1037" s="681"/>
      <c r="HJ1037" s="681"/>
      <c r="HK1037" s="681"/>
      <c r="HL1037" s="681"/>
      <c r="HM1037" s="681"/>
      <c r="HN1037" s="681"/>
      <c r="HO1037" s="681"/>
      <c r="HP1037" s="681"/>
      <c r="HQ1037" s="681"/>
      <c r="HR1037" s="681"/>
      <c r="HS1037" s="681"/>
      <c r="HT1037" s="681"/>
      <c r="HU1037" s="681"/>
      <c r="HV1037" s="681"/>
      <c r="HW1037" s="681"/>
      <c r="HX1037" s="681"/>
      <c r="HY1037" s="681"/>
      <c r="HZ1037" s="681"/>
      <c r="IA1037" s="681"/>
      <c r="IB1037" s="681"/>
      <c r="IC1037" s="681"/>
      <c r="ID1037" s="681"/>
      <c r="IE1037" s="681"/>
      <c r="IF1037" s="681"/>
      <c r="IG1037" s="681"/>
      <c r="IH1037" s="681"/>
      <c r="II1037" s="681"/>
      <c r="IJ1037" s="681"/>
      <c r="IK1037" s="681"/>
      <c r="IL1037" s="681"/>
      <c r="IM1037" s="681"/>
      <c r="IN1037" s="681"/>
      <c r="IO1037" s="681"/>
      <c r="IP1037" s="681"/>
      <c r="IQ1037" s="681"/>
      <c r="IR1037" s="681"/>
      <c r="IS1037" s="681"/>
      <c r="IT1037" s="681"/>
      <c r="IU1037" s="681"/>
      <c r="IV1037" s="681"/>
    </row>
    <row r="1038" spans="1:256" ht="37.5">
      <c r="A1038" s="11" t="s">
        <v>84</v>
      </c>
      <c r="B1038" s="11" t="s">
        <v>84</v>
      </c>
      <c r="C1038" s="11" t="s">
        <v>84</v>
      </c>
      <c r="D1038" s="11" t="s">
        <v>84</v>
      </c>
      <c r="E1038" s="11" t="s">
        <v>84</v>
      </c>
      <c r="F1038" s="12" t="s">
        <v>84</v>
      </c>
      <c r="G1038" s="12" t="s">
        <v>84</v>
      </c>
      <c r="H1038" s="12" t="s">
        <v>84</v>
      </c>
      <c r="I1038" s="150" t="s">
        <v>84</v>
      </c>
      <c r="J1038" s="150" t="s">
        <v>84</v>
      </c>
      <c r="K1038" s="150" t="s">
        <v>84</v>
      </c>
      <c r="L1038" s="457" t="s">
        <v>84</v>
      </c>
      <c r="M1038" s="12" t="s">
        <v>84</v>
      </c>
      <c r="N1038" s="12" t="s">
        <v>84</v>
      </c>
      <c r="O1038" s="12" t="s">
        <v>84</v>
      </c>
      <c r="P1038" s="12" t="s">
        <v>84</v>
      </c>
      <c r="Q1038" s="12" t="s">
        <v>84</v>
      </c>
      <c r="R1038" s="12" t="s">
        <v>84</v>
      </c>
      <c r="S1038" s="12" t="s">
        <v>84</v>
      </c>
      <c r="T1038" s="12" t="s">
        <v>84</v>
      </c>
      <c r="U1038" s="12" t="s">
        <v>84</v>
      </c>
      <c r="V1038" s="12" t="s">
        <v>84</v>
      </c>
      <c r="W1038" s="12" t="s">
        <v>84</v>
      </c>
    </row>
    <row r="1039" spans="1:256">
      <c r="B1039" s="10"/>
      <c r="C1039" s="10"/>
      <c r="D1039" s="10"/>
      <c r="E1039" s="10"/>
      <c r="F1039" s="10"/>
      <c r="G1039" s="10"/>
      <c r="H1039" s="10"/>
      <c r="I1039" s="10"/>
      <c r="J1039" s="10"/>
      <c r="K1039" s="10"/>
      <c r="L1039" s="10"/>
      <c r="M1039" s="10"/>
      <c r="N1039" s="10"/>
      <c r="O1039" s="10"/>
      <c r="P1039" s="10"/>
      <c r="Q1039" s="10"/>
      <c r="R1039" s="10"/>
      <c r="S1039" s="10"/>
      <c r="T1039" s="10"/>
      <c r="U1039" s="10"/>
      <c r="V1039" s="10"/>
      <c r="W1039" s="10"/>
    </row>
    <row r="1041" spans="1:23" ht="26">
      <c r="A1041" s="760" t="s">
        <v>3414</v>
      </c>
      <c r="B1041" s="751"/>
      <c r="C1041" s="751"/>
      <c r="D1041" s="751"/>
      <c r="E1041" s="751"/>
      <c r="F1041" s="754">
        <v>5319</v>
      </c>
      <c r="G1041" s="755" t="s">
        <v>344</v>
      </c>
      <c r="H1041" s="761"/>
      <c r="I1041" s="762">
        <v>-402571</v>
      </c>
      <c r="J1041" s="763">
        <v>-309.67</v>
      </c>
      <c r="K1041" s="764">
        <v>1300</v>
      </c>
      <c r="L1041" s="765">
        <v>45901</v>
      </c>
      <c r="M1041" s="756"/>
      <c r="N1041" s="751">
        <v>121</v>
      </c>
      <c r="O1041" s="752"/>
      <c r="P1041" s="751"/>
      <c r="Q1041" s="751"/>
      <c r="R1041" s="760" t="s">
        <v>3414</v>
      </c>
    </row>
    <row r="1042" spans="1:23" ht="26">
      <c r="A1042" s="760" t="s">
        <v>3414</v>
      </c>
      <c r="B1042" s="751"/>
      <c r="C1042" s="751"/>
      <c r="D1042" s="751"/>
      <c r="E1042" s="751"/>
      <c r="F1042" s="754">
        <v>210702</v>
      </c>
      <c r="G1042" s="755" t="s">
        <v>369</v>
      </c>
      <c r="H1042" s="761"/>
      <c r="I1042" s="762">
        <v>23191571</v>
      </c>
      <c r="J1042" s="763">
        <v>17839.669999999998</v>
      </c>
      <c r="K1042" s="764">
        <v>1300</v>
      </c>
      <c r="L1042" s="765">
        <v>45901</v>
      </c>
      <c r="M1042" s="756"/>
      <c r="N1042" s="751">
        <v>121</v>
      </c>
      <c r="O1042" s="752"/>
      <c r="P1042" s="751"/>
      <c r="Q1042" s="751"/>
      <c r="R1042" s="760" t="s">
        <v>3414</v>
      </c>
    </row>
    <row r="1043" spans="1:23" ht="26">
      <c r="A1043" s="760" t="s">
        <v>3413</v>
      </c>
      <c r="B1043" s="751"/>
      <c r="C1043" s="751"/>
      <c r="D1043" s="751"/>
      <c r="E1043" s="751"/>
      <c r="F1043" s="754">
        <v>5210</v>
      </c>
      <c r="G1043" s="755" t="s">
        <v>46</v>
      </c>
      <c r="H1043" s="761"/>
      <c r="I1043" s="762">
        <v>-3689400</v>
      </c>
      <c r="J1043" s="763">
        <v>-2838</v>
      </c>
      <c r="K1043" s="764">
        <v>1300</v>
      </c>
      <c r="L1043" s="765">
        <v>45901</v>
      </c>
      <c r="M1043" s="756"/>
      <c r="N1043" s="751">
        <v>123</v>
      </c>
      <c r="O1043" s="752"/>
      <c r="P1043" s="751"/>
      <c r="Q1043" s="751"/>
      <c r="R1043" s="760" t="s">
        <v>3413</v>
      </c>
    </row>
    <row r="1044" spans="1:23" ht="26">
      <c r="A1044" s="760" t="s">
        <v>3413</v>
      </c>
      <c r="B1044" s="751"/>
      <c r="C1044" s="751"/>
      <c r="D1044" s="751"/>
      <c r="E1044" s="751"/>
      <c r="F1044" s="754">
        <v>5319</v>
      </c>
      <c r="G1044" s="755" t="s">
        <v>344</v>
      </c>
      <c r="H1044" s="761"/>
      <c r="I1044" s="762">
        <v>-344344</v>
      </c>
      <c r="J1044" s="763">
        <v>-264.88</v>
      </c>
      <c r="K1044" s="764">
        <v>1300</v>
      </c>
      <c r="L1044" s="765">
        <v>45901</v>
      </c>
      <c r="M1044" s="756"/>
      <c r="N1044" s="751">
        <v>123</v>
      </c>
      <c r="O1044" s="752"/>
      <c r="P1044" s="751"/>
      <c r="Q1044" s="751"/>
      <c r="R1044" s="760" t="s">
        <v>3413</v>
      </c>
    </row>
    <row r="1045" spans="1:23" ht="26">
      <c r="A1045" s="760" t="s">
        <v>3413</v>
      </c>
      <c r="B1045" s="751"/>
      <c r="C1045" s="751"/>
      <c r="D1045" s="751"/>
      <c r="E1045" s="751"/>
      <c r="F1045" s="754">
        <v>210702</v>
      </c>
      <c r="G1045" s="755" t="s">
        <v>369</v>
      </c>
      <c r="H1045" s="761"/>
      <c r="I1045" s="762">
        <v>29990610</v>
      </c>
      <c r="J1045" s="763">
        <v>23069.7</v>
      </c>
      <c r="K1045" s="764">
        <v>1300</v>
      </c>
      <c r="L1045" s="765">
        <v>45901</v>
      </c>
      <c r="M1045" s="756"/>
      <c r="N1045" s="751">
        <v>123</v>
      </c>
      <c r="O1045" s="752"/>
      <c r="P1045" s="751"/>
      <c r="Q1045" s="751"/>
      <c r="R1045" s="760" t="s">
        <v>3413</v>
      </c>
    </row>
    <row r="1047" spans="1:23">
      <c r="B1047" s="10"/>
      <c r="C1047" s="10"/>
      <c r="D1047" s="10"/>
      <c r="E1047" s="10"/>
      <c r="F1047" s="10"/>
      <c r="G1047" s="10"/>
      <c r="H1047" s="10"/>
      <c r="I1047" s="10"/>
      <c r="J1047" s="10"/>
      <c r="K1047" s="10"/>
      <c r="L1047" s="10"/>
      <c r="M1047" s="10"/>
      <c r="N1047" s="10"/>
      <c r="O1047" s="10"/>
      <c r="P1047" s="10"/>
      <c r="Q1047" s="10"/>
      <c r="R1047" s="10"/>
      <c r="S1047" s="10"/>
      <c r="T1047" s="10"/>
      <c r="U1047" s="10"/>
      <c r="V1047" s="10"/>
      <c r="W1047" s="10"/>
    </row>
    <row r="1048" spans="1:23">
      <c r="B1048" s="10"/>
      <c r="C1048" s="10"/>
      <c r="D1048" s="10"/>
      <c r="E1048" s="10"/>
      <c r="F1048" s="10"/>
      <c r="G1048" s="10"/>
      <c r="H1048" s="10"/>
      <c r="I1048" s="10"/>
      <c r="J1048" s="10"/>
      <c r="K1048" s="10"/>
      <c r="L1048" s="10"/>
      <c r="M1048" s="10"/>
      <c r="N1048" s="10"/>
      <c r="O1048" s="10"/>
      <c r="P1048" s="10"/>
      <c r="Q1048" s="10"/>
      <c r="R1048" s="10"/>
      <c r="S1048" s="10"/>
      <c r="T1048" s="10"/>
      <c r="U1048" s="10"/>
      <c r="V1048" s="10"/>
      <c r="W1048" s="10"/>
    </row>
    <row r="1049" spans="1:23" customFormat="1">
      <c r="A1049" s="10"/>
      <c r="B1049" s="4"/>
      <c r="C1049" s="4"/>
      <c r="D1049" s="474"/>
      <c r="E1049" s="474"/>
      <c r="F1049" s="152"/>
      <c r="G1049" s="4"/>
      <c r="H1049" s="4"/>
      <c r="I1049" s="196"/>
      <c r="J1049" s="196"/>
      <c r="K1049" s="196"/>
      <c r="L1049" s="454"/>
      <c r="M1049" s="4"/>
      <c r="N1049" s="133"/>
      <c r="O1049" s="4"/>
      <c r="P1049" s="4"/>
      <c r="Q1049" s="4"/>
      <c r="R1049" s="4"/>
      <c r="S1049" s="4"/>
      <c r="T1049" s="4"/>
      <c r="U1049" s="4"/>
      <c r="V1049" s="4"/>
      <c r="W1049" s="4"/>
    </row>
    <row r="1050" spans="1:23" s="730" customFormat="1" ht="39">
      <c r="A1050" s="739" t="s">
        <v>3389</v>
      </c>
      <c r="B1050" s="740" t="s">
        <v>3402</v>
      </c>
      <c r="C1050" s="741"/>
      <c r="D1050" s="474"/>
      <c r="E1050" s="474"/>
      <c r="F1050" s="741" t="s">
        <v>371</v>
      </c>
      <c r="G1050" s="741" t="s">
        <v>353</v>
      </c>
      <c r="H1050" s="741"/>
      <c r="I1050" s="743"/>
      <c r="J1050" s="743">
        <v>21000</v>
      </c>
      <c r="K1050" s="743">
        <v>1420</v>
      </c>
      <c r="L1050" s="744">
        <v>46387</v>
      </c>
      <c r="M1050" s="741" t="s">
        <v>780</v>
      </c>
      <c r="N1050" s="742" t="s">
        <v>1407</v>
      </c>
      <c r="O1050" s="741"/>
      <c r="P1050" s="741"/>
      <c r="Q1050" s="741"/>
      <c r="R1050" s="741"/>
      <c r="S1050" s="741"/>
      <c r="T1050" s="741"/>
    </row>
    <row r="1051" spans="1:23">
      <c r="D1051" s="4"/>
      <c r="E1051" s="4"/>
    </row>
    <row r="1052" spans="1:23" customFormat="1" ht="25">
      <c r="A1052" s="509" t="s">
        <v>2805</v>
      </c>
      <c r="B1052" s="315" t="s">
        <v>2804</v>
      </c>
      <c r="C1052" s="330"/>
      <c r="D1052" s="330"/>
      <c r="E1052" s="330"/>
      <c r="F1052" s="330" t="s">
        <v>360</v>
      </c>
      <c r="G1052" s="330" t="s">
        <v>361</v>
      </c>
      <c r="H1052" s="330"/>
      <c r="I1052" s="715">
        <v>1660988.2</v>
      </c>
      <c r="J1052" s="715">
        <v>1169.71</v>
      </c>
      <c r="K1052" s="715">
        <v>1420</v>
      </c>
      <c r="L1052" s="456" t="s">
        <v>1098</v>
      </c>
      <c r="M1052" s="330" t="s">
        <v>780</v>
      </c>
      <c r="N1052" s="203" t="s">
        <v>781</v>
      </c>
      <c r="O1052" s="330" t="s">
        <v>1175</v>
      </c>
      <c r="P1052" s="330" t="s">
        <v>892</v>
      </c>
      <c r="Q1052" s="330" t="s">
        <v>1176</v>
      </c>
      <c r="R1052" s="330" t="s">
        <v>1180</v>
      </c>
      <c r="S1052" s="330" t="s">
        <v>1178</v>
      </c>
      <c r="T1052" s="330" t="s">
        <v>786</v>
      </c>
    </row>
    <row r="1053" spans="1:23" ht="25">
      <c r="A1053" s="509" t="s">
        <v>2803</v>
      </c>
      <c r="B1053" s="330"/>
      <c r="C1053" s="330"/>
      <c r="D1053" s="330"/>
      <c r="E1053" s="330"/>
      <c r="F1053" s="330" t="s">
        <v>341</v>
      </c>
      <c r="G1053" s="330" t="s">
        <v>342</v>
      </c>
      <c r="H1053" s="330"/>
      <c r="I1053" s="715"/>
      <c r="J1053" s="715">
        <v>20</v>
      </c>
      <c r="K1053" s="715"/>
      <c r="L1053" s="456">
        <v>46021</v>
      </c>
      <c r="M1053" s="330"/>
      <c r="N1053" s="203" t="s">
        <v>781</v>
      </c>
      <c r="O1053" s="330"/>
      <c r="P1053" s="330"/>
      <c r="Q1053" s="330" t="s">
        <v>2800</v>
      </c>
    </row>
    <row r="1054" spans="1:23" ht="25">
      <c r="A1054" s="509" t="s">
        <v>2803</v>
      </c>
      <c r="B1054" s="330"/>
      <c r="C1054" s="330"/>
      <c r="D1054" s="330"/>
      <c r="E1054" s="330"/>
      <c r="F1054" s="330" t="s">
        <v>360</v>
      </c>
      <c r="G1054" s="330" t="s">
        <v>361</v>
      </c>
      <c r="H1054" s="330"/>
      <c r="I1054" s="715"/>
      <c r="J1054" s="715">
        <v>1.9</v>
      </c>
      <c r="K1054" s="715"/>
      <c r="L1054" s="456">
        <v>46013</v>
      </c>
      <c r="M1054" s="330"/>
      <c r="N1054" s="203" t="s">
        <v>1407</v>
      </c>
      <c r="O1054" s="330"/>
      <c r="P1054" s="330"/>
      <c r="Q1054" s="330" t="s">
        <v>2797</v>
      </c>
    </row>
    <row r="1055" spans="1:23" ht="25">
      <c r="A1055" s="509" t="s">
        <v>2803</v>
      </c>
      <c r="B1055" s="330"/>
      <c r="C1055" s="330"/>
      <c r="D1055" s="330"/>
      <c r="E1055" s="330"/>
      <c r="F1055" s="330" t="s">
        <v>360</v>
      </c>
      <c r="G1055" s="330" t="s">
        <v>361</v>
      </c>
      <c r="H1055" s="330"/>
      <c r="I1055" s="715"/>
      <c r="J1055" s="715">
        <v>195.82</v>
      </c>
      <c r="K1055" s="715"/>
      <c r="L1055" s="456">
        <v>46013</v>
      </c>
      <c r="M1055" s="330"/>
      <c r="N1055" s="203" t="s">
        <v>1407</v>
      </c>
      <c r="O1055" s="330"/>
      <c r="P1055" s="330"/>
      <c r="Q1055" s="330" t="s">
        <v>2798</v>
      </c>
    </row>
    <row r="1056" spans="1:23" ht="25">
      <c r="A1056" s="509" t="s">
        <v>2803</v>
      </c>
      <c r="B1056" s="330"/>
      <c r="C1056" s="330"/>
      <c r="D1056" s="330"/>
      <c r="E1056" s="330"/>
      <c r="F1056" s="330" t="s">
        <v>360</v>
      </c>
      <c r="G1056" s="330" t="s">
        <v>361</v>
      </c>
      <c r="H1056" s="330"/>
      <c r="I1056" s="715"/>
      <c r="J1056" s="715">
        <v>1.9</v>
      </c>
      <c r="K1056" s="715"/>
      <c r="L1056" s="456">
        <v>46014</v>
      </c>
      <c r="M1056" s="330"/>
      <c r="N1056" s="203" t="s">
        <v>781</v>
      </c>
      <c r="O1056" s="330"/>
      <c r="P1056" s="330"/>
      <c r="Q1056" s="330" t="s">
        <v>2797</v>
      </c>
    </row>
    <row r="1057" spans="1:23" ht="25">
      <c r="A1057" s="509" t="s">
        <v>2803</v>
      </c>
      <c r="B1057" s="330"/>
      <c r="C1057" s="330"/>
      <c r="D1057" s="330"/>
      <c r="E1057" s="330"/>
      <c r="F1057" s="330" t="s">
        <v>360</v>
      </c>
      <c r="G1057" s="330" t="s">
        <v>361</v>
      </c>
      <c r="H1057" s="330"/>
      <c r="I1057" s="715"/>
      <c r="J1057" s="715">
        <v>195.82</v>
      </c>
      <c r="K1057" s="715"/>
      <c r="L1057" s="456">
        <v>46014</v>
      </c>
      <c r="M1057" s="330"/>
      <c r="N1057" s="203" t="s">
        <v>781</v>
      </c>
      <c r="O1057" s="330"/>
      <c r="P1057" s="330"/>
      <c r="Q1057" s="330" t="s">
        <v>2799</v>
      </c>
    </row>
    <row r="1058" spans="1:23" ht="25">
      <c r="A1058" s="509" t="s">
        <v>2803</v>
      </c>
      <c r="B1058" s="330"/>
      <c r="C1058" s="330"/>
      <c r="D1058" s="330"/>
      <c r="E1058" s="330"/>
      <c r="F1058" s="330"/>
      <c r="G1058" s="330"/>
      <c r="H1058" s="330"/>
      <c r="I1058" s="715"/>
      <c r="J1058" s="715">
        <v>-5161.0456410256393</v>
      </c>
      <c r="K1058" s="715"/>
      <c r="L1058" s="456"/>
      <c r="M1058" s="330"/>
      <c r="N1058" s="203"/>
      <c r="O1058" s="330"/>
      <c r="P1058" s="330"/>
      <c r="Q1058" s="330"/>
    </row>
    <row r="1059" spans="1:23">
      <c r="D1059" s="4"/>
      <c r="E1059" s="4"/>
    </row>
    <row r="1060" spans="1:23">
      <c r="D1060" s="4"/>
      <c r="E1060" s="4"/>
    </row>
    <row r="1061" spans="1:23" customFormat="1">
      <c r="A1061" s="10"/>
      <c r="B1061" s="4"/>
      <c r="C1061" s="4"/>
      <c r="D1061" s="4"/>
      <c r="E1061" s="4"/>
      <c r="F1061" s="152" t="s">
        <v>370</v>
      </c>
      <c r="G1061" s="4" t="s">
        <v>320</v>
      </c>
      <c r="H1061" s="4"/>
      <c r="I1061" s="196">
        <v>600000</v>
      </c>
      <c r="J1061" s="196">
        <v>425.531914893617</v>
      </c>
      <c r="K1061" s="196">
        <v>1410</v>
      </c>
      <c r="L1061" s="454" t="s">
        <v>919</v>
      </c>
      <c r="M1061" s="4" t="s">
        <v>780</v>
      </c>
      <c r="N1061" s="133" t="s">
        <v>2705</v>
      </c>
      <c r="O1061" s="4" t="s">
        <v>2708</v>
      </c>
      <c r="P1061" s="4" t="s">
        <v>892</v>
      </c>
      <c r="Q1061" s="4" t="s">
        <v>2709</v>
      </c>
      <c r="R1061" s="4"/>
      <c r="S1061" s="4" t="s">
        <v>2710</v>
      </c>
      <c r="T1061" s="4" t="s">
        <v>786</v>
      </c>
      <c r="U1061" s="4"/>
      <c r="V1061" s="4"/>
      <c r="W1061" s="4"/>
    </row>
    <row r="1062" spans="1:23" customFormat="1">
      <c r="A1062" s="10"/>
      <c r="B1062" s="4"/>
      <c r="C1062" s="4"/>
      <c r="D1062" s="4"/>
      <c r="E1062" s="4"/>
      <c r="F1062" s="152" t="s">
        <v>370</v>
      </c>
      <c r="G1062" s="4" t="s">
        <v>320</v>
      </c>
      <c r="H1062" s="4"/>
      <c r="I1062" s="196">
        <v>300000</v>
      </c>
      <c r="J1062" s="196">
        <v>205.47945205479499</v>
      </c>
      <c r="K1062" s="196">
        <v>1460</v>
      </c>
      <c r="L1062" s="454" t="s">
        <v>1045</v>
      </c>
      <c r="M1062" s="4" t="s">
        <v>780</v>
      </c>
      <c r="N1062" s="133" t="s">
        <v>2705</v>
      </c>
      <c r="O1062" s="4" t="s">
        <v>2716</v>
      </c>
      <c r="P1062" s="4" t="s">
        <v>892</v>
      </c>
      <c r="Q1062" s="4" t="s">
        <v>2717</v>
      </c>
      <c r="R1062" s="4"/>
      <c r="S1062" s="4" t="s">
        <v>2718</v>
      </c>
      <c r="T1062" s="4" t="s">
        <v>786</v>
      </c>
      <c r="U1062" s="4"/>
      <c r="V1062" s="4"/>
      <c r="W1062" s="4"/>
    </row>
    <row r="1063" spans="1:23" customFormat="1">
      <c r="A1063" s="10"/>
      <c r="B1063" s="4"/>
      <c r="C1063" s="4"/>
      <c r="D1063" s="4"/>
      <c r="E1063" s="4"/>
      <c r="F1063" s="152" t="s">
        <v>370</v>
      </c>
      <c r="G1063" s="4" t="s">
        <v>320</v>
      </c>
      <c r="H1063" s="4"/>
      <c r="I1063" s="196">
        <v>100000</v>
      </c>
      <c r="J1063" s="196">
        <v>70.422535211267601</v>
      </c>
      <c r="K1063" s="196">
        <v>1420</v>
      </c>
      <c r="L1063" s="454" t="s">
        <v>1109</v>
      </c>
      <c r="M1063" s="4" t="s">
        <v>780</v>
      </c>
      <c r="N1063" s="133" t="s">
        <v>2705</v>
      </c>
      <c r="O1063" s="4" t="s">
        <v>2720</v>
      </c>
      <c r="P1063" s="4" t="s">
        <v>892</v>
      </c>
      <c r="Q1063" s="4" t="s">
        <v>2721</v>
      </c>
      <c r="R1063" s="4"/>
      <c r="S1063" s="4" t="s">
        <v>2722</v>
      </c>
      <c r="T1063" s="4" t="s">
        <v>786</v>
      </c>
      <c r="U1063" s="4"/>
      <c r="V1063" s="4"/>
      <c r="W1063" s="4"/>
    </row>
    <row r="1064" spans="1:23" customFormat="1">
      <c r="A1064" s="10"/>
      <c r="B1064" s="4"/>
      <c r="C1064" s="4"/>
      <c r="D1064" s="4"/>
      <c r="E1064" s="4"/>
      <c r="F1064" s="152" t="s">
        <v>370</v>
      </c>
      <c r="G1064" s="4" t="s">
        <v>320</v>
      </c>
      <c r="H1064" s="4"/>
      <c r="I1064" s="196">
        <v>100000</v>
      </c>
      <c r="J1064" s="196">
        <v>70.422535211267601</v>
      </c>
      <c r="K1064" s="196">
        <v>1420</v>
      </c>
      <c r="L1064" s="454" t="s">
        <v>1135</v>
      </c>
      <c r="M1064" s="4" t="s">
        <v>780</v>
      </c>
      <c r="N1064" s="133" t="s">
        <v>2705</v>
      </c>
      <c r="O1064" s="4" t="s">
        <v>2723</v>
      </c>
      <c r="P1064" s="4" t="s">
        <v>892</v>
      </c>
      <c r="Q1064" s="4" t="s">
        <v>2724</v>
      </c>
      <c r="R1064" s="4"/>
      <c r="S1064" s="4" t="s">
        <v>2725</v>
      </c>
      <c r="T1064" s="4" t="s">
        <v>786</v>
      </c>
      <c r="U1064" s="4"/>
      <c r="V1064" s="4"/>
      <c r="W1064" s="4"/>
    </row>
    <row r="1065" spans="1:23" customFormat="1">
      <c r="A1065" s="10"/>
      <c r="B1065" s="4"/>
      <c r="C1065" s="4"/>
      <c r="D1065" s="4"/>
      <c r="E1065" s="4"/>
      <c r="F1065" s="152" t="s">
        <v>370</v>
      </c>
      <c r="G1065" s="4" t="s">
        <v>320</v>
      </c>
      <c r="H1065" s="4"/>
      <c r="I1065" s="196">
        <v>100000</v>
      </c>
      <c r="J1065" s="196">
        <v>70.422535211267601</v>
      </c>
      <c r="K1065" s="196">
        <v>1420</v>
      </c>
      <c r="L1065" s="454" t="s">
        <v>1258</v>
      </c>
      <c r="M1065" s="4" t="s">
        <v>780</v>
      </c>
      <c r="N1065" s="133" t="s">
        <v>2705</v>
      </c>
      <c r="O1065" s="4" t="s">
        <v>2730</v>
      </c>
      <c r="P1065" s="4" t="s">
        <v>892</v>
      </c>
      <c r="Q1065" s="4" t="s">
        <v>2731</v>
      </c>
      <c r="R1065" s="4"/>
      <c r="S1065" s="4" t="s">
        <v>2732</v>
      </c>
      <c r="T1065" s="4" t="s">
        <v>786</v>
      </c>
      <c r="U1065" s="4"/>
      <c r="V1065" s="4"/>
      <c r="W1065" s="4"/>
    </row>
    <row r="1066" spans="1:23" customFormat="1">
      <c r="A1066" s="10"/>
      <c r="B1066" s="4"/>
      <c r="C1066" s="4"/>
      <c r="D1066" s="4"/>
      <c r="E1066" s="4"/>
      <c r="F1066" s="152" t="s">
        <v>370</v>
      </c>
      <c r="G1066" s="4" t="s">
        <v>320</v>
      </c>
      <c r="H1066" s="4"/>
      <c r="I1066" s="196">
        <v>50000000</v>
      </c>
      <c r="J1066" s="196">
        <v>35211.267605633802</v>
      </c>
      <c r="K1066" s="196">
        <v>1420</v>
      </c>
      <c r="L1066" s="454" t="s">
        <v>1210</v>
      </c>
      <c r="M1066" s="4" t="s">
        <v>780</v>
      </c>
      <c r="N1066" s="133" t="s">
        <v>2705</v>
      </c>
      <c r="O1066" s="4" t="s">
        <v>2733</v>
      </c>
      <c r="P1066" s="4" t="s">
        <v>892</v>
      </c>
      <c r="Q1066" s="4" t="s">
        <v>2734</v>
      </c>
      <c r="R1066" s="4"/>
      <c r="S1066" s="4" t="s">
        <v>2735</v>
      </c>
      <c r="T1066" s="4" t="s">
        <v>786</v>
      </c>
      <c r="U1066" s="4"/>
      <c r="V1066" s="4"/>
      <c r="W1066" s="4"/>
    </row>
    <row r="1067" spans="1:23" customFormat="1">
      <c r="A1067" s="10"/>
      <c r="B1067" s="4"/>
      <c r="C1067" s="4"/>
      <c r="D1067" s="4"/>
      <c r="E1067" s="4"/>
      <c r="F1067" s="152" t="s">
        <v>370</v>
      </c>
      <c r="G1067" s="4" t="s">
        <v>320</v>
      </c>
      <c r="H1067" s="4"/>
      <c r="I1067" s="196">
        <v>-50000000</v>
      </c>
      <c r="J1067" s="196">
        <v>-35211.267605633802</v>
      </c>
      <c r="K1067" s="196">
        <v>1420</v>
      </c>
      <c r="L1067" s="454" t="s">
        <v>1210</v>
      </c>
      <c r="M1067" s="4" t="s">
        <v>780</v>
      </c>
      <c r="N1067" s="133" t="s">
        <v>2705</v>
      </c>
      <c r="O1067" s="4" t="s">
        <v>2736</v>
      </c>
      <c r="P1067" s="4" t="s">
        <v>892</v>
      </c>
      <c r="Q1067" s="4" t="s">
        <v>2737</v>
      </c>
      <c r="R1067" s="4"/>
      <c r="S1067" s="4" t="s">
        <v>2738</v>
      </c>
      <c r="T1067" s="4" t="s">
        <v>786</v>
      </c>
      <c r="U1067" s="4"/>
      <c r="V1067" s="4"/>
      <c r="W1067" s="4"/>
    </row>
    <row r="1068" spans="1:23" customFormat="1">
      <c r="A1068" s="10"/>
      <c r="B1068" s="4"/>
      <c r="C1068" s="4"/>
      <c r="D1068" s="4"/>
      <c r="E1068" s="4"/>
      <c r="F1068" s="152" t="s">
        <v>370</v>
      </c>
      <c r="G1068" s="4" t="s">
        <v>320</v>
      </c>
      <c r="H1068" s="4"/>
      <c r="I1068" s="196">
        <v>500000</v>
      </c>
      <c r="J1068" s="196">
        <v>352.11267605633799</v>
      </c>
      <c r="K1068" s="196">
        <v>1420</v>
      </c>
      <c r="L1068" s="454" t="s">
        <v>1210</v>
      </c>
      <c r="M1068" s="4" t="s">
        <v>780</v>
      </c>
      <c r="N1068" s="133" t="s">
        <v>2705</v>
      </c>
      <c r="O1068" s="4" t="s">
        <v>2739</v>
      </c>
      <c r="P1068" s="4" t="s">
        <v>892</v>
      </c>
      <c r="Q1068" s="4" t="s">
        <v>2740</v>
      </c>
      <c r="R1068" s="4"/>
      <c r="S1068" s="4" t="s">
        <v>2741</v>
      </c>
      <c r="T1068" s="4" t="s">
        <v>786</v>
      </c>
      <c r="U1068" s="4"/>
      <c r="V1068" s="4"/>
      <c r="W1068" s="4"/>
    </row>
    <row r="1069" spans="1:23" customFormat="1">
      <c r="A1069" s="10"/>
      <c r="B1069" s="4"/>
      <c r="C1069" s="4"/>
      <c r="D1069" s="4"/>
      <c r="E1069" s="4"/>
      <c r="F1069" s="152" t="s">
        <v>370</v>
      </c>
      <c r="G1069" s="4" t="s">
        <v>320</v>
      </c>
      <c r="H1069" s="4"/>
      <c r="I1069" s="196">
        <v>-300000</v>
      </c>
      <c r="J1069" s="196">
        <v>-212.76595744680901</v>
      </c>
      <c r="K1069" s="196">
        <v>1410</v>
      </c>
      <c r="L1069" s="454" t="s">
        <v>919</v>
      </c>
      <c r="M1069" s="4" t="s">
        <v>780</v>
      </c>
      <c r="N1069" s="133" t="s">
        <v>1407</v>
      </c>
      <c r="O1069" s="4" t="s">
        <v>1741</v>
      </c>
      <c r="P1069" s="4" t="s">
        <v>892</v>
      </c>
      <c r="Q1069" s="4" t="s">
        <v>1742</v>
      </c>
      <c r="R1069" s="4" t="s">
        <v>1745</v>
      </c>
      <c r="S1069" s="4" t="s">
        <v>1744</v>
      </c>
      <c r="T1069" s="4" t="s">
        <v>786</v>
      </c>
      <c r="U1069" s="4"/>
      <c r="V1069" s="4"/>
      <c r="W1069" s="4"/>
    </row>
    <row r="1070" spans="1:23" customFormat="1">
      <c r="A1070" s="10"/>
      <c r="B1070" s="4"/>
      <c r="C1070" s="4"/>
      <c r="D1070" s="4"/>
      <c r="E1070" s="4"/>
      <c r="F1070" s="152" t="s">
        <v>370</v>
      </c>
      <c r="G1070" s="4" t="s">
        <v>320</v>
      </c>
      <c r="H1070" s="4"/>
      <c r="I1070" s="196">
        <v>-300000</v>
      </c>
      <c r="J1070" s="196">
        <v>-212.76595744680901</v>
      </c>
      <c r="K1070" s="196">
        <v>1410</v>
      </c>
      <c r="L1070" s="454" t="s">
        <v>919</v>
      </c>
      <c r="M1070" s="4" t="s">
        <v>780</v>
      </c>
      <c r="N1070" s="133" t="s">
        <v>1407</v>
      </c>
      <c r="O1070" s="4" t="s">
        <v>1741</v>
      </c>
      <c r="P1070" s="4" t="s">
        <v>892</v>
      </c>
      <c r="Q1070" s="4" t="s">
        <v>1742</v>
      </c>
      <c r="R1070" s="4" t="s">
        <v>1743</v>
      </c>
      <c r="S1070" s="4" t="s">
        <v>1744</v>
      </c>
      <c r="T1070" s="4" t="s">
        <v>786</v>
      </c>
      <c r="U1070" s="4"/>
      <c r="V1070" s="4"/>
      <c r="W1070" s="4"/>
    </row>
    <row r="1071" spans="1:23" customFormat="1">
      <c r="A1071" s="10"/>
      <c r="B1071" s="4"/>
      <c r="C1071" s="4"/>
      <c r="D1071" s="4"/>
      <c r="E1071" s="4"/>
      <c r="F1071" s="152" t="s">
        <v>370</v>
      </c>
      <c r="G1071" s="4" t="s">
        <v>320</v>
      </c>
      <c r="H1071" s="4"/>
      <c r="I1071" s="196">
        <v>-330000</v>
      </c>
      <c r="J1071" s="196">
        <v>-226.027397260274</v>
      </c>
      <c r="K1071" s="196">
        <v>1460</v>
      </c>
      <c r="L1071" s="454" t="s">
        <v>1045</v>
      </c>
      <c r="M1071" s="4" t="s">
        <v>780</v>
      </c>
      <c r="N1071" s="133" t="s">
        <v>1407</v>
      </c>
      <c r="O1071" s="4" t="s">
        <v>2169</v>
      </c>
      <c r="P1071" s="4" t="s">
        <v>892</v>
      </c>
      <c r="Q1071" s="4" t="s">
        <v>2170</v>
      </c>
      <c r="R1071" s="4" t="s">
        <v>2171</v>
      </c>
      <c r="S1071" s="4" t="s">
        <v>2172</v>
      </c>
      <c r="T1071" s="4" t="s">
        <v>786</v>
      </c>
      <c r="U1071" s="4"/>
      <c r="V1071" s="4"/>
      <c r="W1071" s="4"/>
    </row>
    <row r="1072" spans="1:23" customFormat="1">
      <c r="A1072" s="10"/>
      <c r="B1072" s="4"/>
      <c r="C1072" s="4"/>
      <c r="D1072" s="4"/>
      <c r="E1072" s="4"/>
      <c r="F1072" s="152" t="s">
        <v>370</v>
      </c>
      <c r="G1072" s="4" t="s">
        <v>320</v>
      </c>
      <c r="H1072" s="4"/>
      <c r="I1072" s="196">
        <v>-24131.99</v>
      </c>
      <c r="J1072" s="196">
        <v>-16.087993333333301</v>
      </c>
      <c r="K1072" s="196">
        <v>1500</v>
      </c>
      <c r="L1072" s="454" t="s">
        <v>1045</v>
      </c>
      <c r="M1072" s="4" t="s">
        <v>780</v>
      </c>
      <c r="N1072" s="133" t="s">
        <v>1407</v>
      </c>
      <c r="O1072" s="4" t="s">
        <v>2169</v>
      </c>
      <c r="P1072" s="4" t="s">
        <v>892</v>
      </c>
      <c r="Q1072" s="4" t="s">
        <v>2170</v>
      </c>
      <c r="R1072" s="4" t="s">
        <v>2173</v>
      </c>
      <c r="S1072" s="4" t="s">
        <v>2172</v>
      </c>
      <c r="T1072" s="4" t="s">
        <v>786</v>
      </c>
      <c r="U1072" s="4"/>
      <c r="V1072" s="4"/>
      <c r="W1072" s="4"/>
    </row>
    <row r="1073" spans="1:23" customFormat="1">
      <c r="A1073" s="10"/>
      <c r="B1073" s="4"/>
      <c r="C1073" s="4"/>
      <c r="D1073" s="4"/>
      <c r="E1073" s="4"/>
      <c r="F1073" s="152" t="s">
        <v>370</v>
      </c>
      <c r="G1073" s="4" t="s">
        <v>320</v>
      </c>
      <c r="H1073" s="4"/>
      <c r="I1073" s="196">
        <v>-100000</v>
      </c>
      <c r="J1073" s="196">
        <v>-70.422535211267601</v>
      </c>
      <c r="K1073" s="196">
        <v>1420</v>
      </c>
      <c r="L1073" s="454" t="s">
        <v>1109</v>
      </c>
      <c r="M1073" s="4" t="s">
        <v>780</v>
      </c>
      <c r="N1073" s="133" t="s">
        <v>1407</v>
      </c>
      <c r="O1073" s="4" t="s">
        <v>2359</v>
      </c>
      <c r="P1073" s="4" t="s">
        <v>892</v>
      </c>
      <c r="Q1073" s="4" t="s">
        <v>2360</v>
      </c>
      <c r="R1073" s="4" t="s">
        <v>2361</v>
      </c>
      <c r="S1073" s="4" t="s">
        <v>2362</v>
      </c>
      <c r="T1073" s="4" t="s">
        <v>786</v>
      </c>
      <c r="U1073" s="4"/>
      <c r="V1073" s="4"/>
      <c r="W1073" s="4"/>
    </row>
    <row r="1074" spans="1:23" customFormat="1">
      <c r="A1074" s="10"/>
      <c r="B1074" s="4"/>
      <c r="C1074" s="4"/>
      <c r="D1074" s="4"/>
      <c r="E1074" s="4"/>
      <c r="F1074" s="152" t="s">
        <v>370</v>
      </c>
      <c r="G1074" s="4" t="s">
        <v>320</v>
      </c>
      <c r="H1074" s="4"/>
      <c r="I1074" s="196">
        <v>-91340</v>
      </c>
      <c r="J1074" s="196">
        <v>-64.323943661971796</v>
      </c>
      <c r="K1074" s="196">
        <v>1420</v>
      </c>
      <c r="L1074" s="454" t="s">
        <v>1093</v>
      </c>
      <c r="M1074" s="4" t="s">
        <v>780</v>
      </c>
      <c r="N1074" s="133" t="s">
        <v>1407</v>
      </c>
      <c r="O1074" s="4" t="s">
        <v>2403</v>
      </c>
      <c r="P1074" s="4" t="s">
        <v>892</v>
      </c>
      <c r="Q1074" s="4" t="s">
        <v>2404</v>
      </c>
      <c r="R1074" s="4" t="s">
        <v>2405</v>
      </c>
      <c r="S1074" s="4" t="s">
        <v>2406</v>
      </c>
      <c r="T1074" s="4" t="s">
        <v>786</v>
      </c>
      <c r="U1074" s="4"/>
      <c r="V1074" s="4"/>
      <c r="W1074" s="4"/>
    </row>
    <row r="1075" spans="1:23" customFormat="1">
      <c r="A1075" s="10"/>
      <c r="B1075" s="4"/>
      <c r="C1075" s="4"/>
      <c r="D1075" s="4"/>
      <c r="E1075" s="4"/>
      <c r="F1075" s="152" t="s">
        <v>370</v>
      </c>
      <c r="G1075" s="4" t="s">
        <v>320</v>
      </c>
      <c r="H1075" s="4"/>
      <c r="I1075" s="196">
        <v>-76900</v>
      </c>
      <c r="J1075" s="196">
        <v>-54.154929577464799</v>
      </c>
      <c r="K1075" s="196">
        <v>1420</v>
      </c>
      <c r="L1075" s="454" t="s">
        <v>1258</v>
      </c>
      <c r="M1075" s="4" t="s">
        <v>780</v>
      </c>
      <c r="N1075" s="133" t="s">
        <v>1407</v>
      </c>
      <c r="O1075" s="4" t="s">
        <v>2545</v>
      </c>
      <c r="P1075" s="4" t="s">
        <v>892</v>
      </c>
      <c r="Q1075" s="4" t="s">
        <v>2546</v>
      </c>
      <c r="R1075" s="4" t="s">
        <v>2547</v>
      </c>
      <c r="S1075" s="4" t="s">
        <v>2548</v>
      </c>
      <c r="T1075" s="4" t="s">
        <v>786</v>
      </c>
      <c r="U1075" s="4"/>
      <c r="V1075" s="4"/>
      <c r="W1075" s="4"/>
    </row>
    <row r="1076" spans="1:23" customFormat="1">
      <c r="A1076" s="10"/>
      <c r="B1076" s="4"/>
      <c r="C1076" s="4"/>
      <c r="D1076" s="4"/>
      <c r="E1076" s="4"/>
      <c r="F1076" s="152" t="s">
        <v>370</v>
      </c>
      <c r="G1076" s="4" t="s">
        <v>320</v>
      </c>
      <c r="H1076" s="4"/>
      <c r="I1076" s="196">
        <v>-484699</v>
      </c>
      <c r="J1076" s="196">
        <v>-341.337323943662</v>
      </c>
      <c r="K1076" s="196">
        <v>1420</v>
      </c>
      <c r="L1076" s="454" t="s">
        <v>1210</v>
      </c>
      <c r="M1076" s="4" t="s">
        <v>780</v>
      </c>
      <c r="N1076" s="133" t="s">
        <v>1407</v>
      </c>
      <c r="O1076" s="4" t="s">
        <v>2593</v>
      </c>
      <c r="P1076" s="4" t="s">
        <v>892</v>
      </c>
      <c r="Q1076" s="4" t="s">
        <v>2594</v>
      </c>
      <c r="R1076" s="4" t="s">
        <v>2595</v>
      </c>
      <c r="S1076" s="4" t="s">
        <v>2596</v>
      </c>
      <c r="T1076" s="4" t="s">
        <v>786</v>
      </c>
      <c r="U1076" s="4"/>
      <c r="V1076" s="4"/>
      <c r="W1076" s="4"/>
    </row>
    <row r="1077" spans="1:23" customFormat="1">
      <c r="A1077" s="10"/>
      <c r="B1077" s="4"/>
      <c r="C1077" s="4"/>
      <c r="D1077" s="4"/>
      <c r="E1077" s="4"/>
      <c r="F1077" s="152" t="s">
        <v>370</v>
      </c>
      <c r="G1077" s="4" t="s">
        <v>320</v>
      </c>
      <c r="H1077" s="4"/>
      <c r="I1077" s="196">
        <v>-50402.05</v>
      </c>
      <c r="J1077" s="196">
        <v>-34.287108843537403</v>
      </c>
      <c r="K1077" s="196">
        <v>1470</v>
      </c>
      <c r="L1077" s="454" t="s">
        <v>1267</v>
      </c>
      <c r="M1077" s="4" t="s">
        <v>780</v>
      </c>
      <c r="N1077" s="133" t="s">
        <v>1407</v>
      </c>
      <c r="O1077" s="4" t="s">
        <v>2597</v>
      </c>
      <c r="P1077" s="4" t="s">
        <v>892</v>
      </c>
      <c r="Q1077" s="4" t="s">
        <v>2598</v>
      </c>
      <c r="R1077" s="4" t="s">
        <v>2599</v>
      </c>
      <c r="S1077" s="4" t="s">
        <v>2600</v>
      </c>
      <c r="T1077" s="4" t="s">
        <v>786</v>
      </c>
      <c r="U1077" s="4"/>
      <c r="V1077" s="4"/>
      <c r="W1077" s="4"/>
    </row>
    <row r="1078" spans="1:23" customFormat="1">
      <c r="A1078" s="10"/>
      <c r="B1078" s="4"/>
      <c r="C1078" s="4"/>
      <c r="D1078" s="4"/>
      <c r="E1078" s="4"/>
      <c r="F1078" s="152" t="s">
        <v>371</v>
      </c>
      <c r="G1078" s="4" t="s">
        <v>353</v>
      </c>
      <c r="H1078" s="4"/>
      <c r="I1078" s="196">
        <v>-444176</v>
      </c>
      <c r="J1078" s="196">
        <v>-312.8</v>
      </c>
      <c r="K1078" s="196">
        <v>1420</v>
      </c>
      <c r="L1078" s="454" t="s">
        <v>825</v>
      </c>
      <c r="M1078" s="4" t="s">
        <v>780</v>
      </c>
      <c r="N1078" s="133" t="s">
        <v>2705</v>
      </c>
      <c r="O1078" s="4" t="s">
        <v>826</v>
      </c>
      <c r="P1078" s="4" t="s">
        <v>783</v>
      </c>
      <c r="Q1078" s="4" t="s">
        <v>827</v>
      </c>
      <c r="R1078" s="4" t="s">
        <v>2706</v>
      </c>
      <c r="S1078" s="4" t="s">
        <v>829</v>
      </c>
      <c r="T1078" s="4" t="s">
        <v>786</v>
      </c>
      <c r="U1078" s="4"/>
      <c r="V1078" s="4"/>
      <c r="W1078" s="4"/>
    </row>
    <row r="1079" spans="1:23" customFormat="1">
      <c r="A1079" s="10"/>
      <c r="B1079" s="4"/>
      <c r="C1079" s="4"/>
      <c r="D1079" s="4"/>
      <c r="E1079" s="4"/>
      <c r="F1079" s="152" t="s">
        <v>371</v>
      </c>
      <c r="G1079" s="4" t="s">
        <v>353</v>
      </c>
      <c r="H1079" s="4"/>
      <c r="I1079" s="196">
        <v>-355000</v>
      </c>
      <c r="J1079" s="196">
        <v>-250</v>
      </c>
      <c r="K1079" s="196">
        <v>1420</v>
      </c>
      <c r="L1079" s="454" t="s">
        <v>825</v>
      </c>
      <c r="M1079" s="4" t="s">
        <v>780</v>
      </c>
      <c r="N1079" s="133" t="s">
        <v>2705</v>
      </c>
      <c r="O1079" s="4" t="s">
        <v>826</v>
      </c>
      <c r="P1079" s="4" t="s">
        <v>783</v>
      </c>
      <c r="Q1079" s="4" t="s">
        <v>827</v>
      </c>
      <c r="R1079" s="4" t="s">
        <v>2707</v>
      </c>
      <c r="S1079" s="4" t="s">
        <v>829</v>
      </c>
      <c r="T1079" s="4" t="s">
        <v>786</v>
      </c>
      <c r="U1079" s="4"/>
      <c r="V1079" s="4"/>
      <c r="W1079" s="4"/>
    </row>
    <row r="1080" spans="1:23" customFormat="1">
      <c r="A1080" s="10"/>
      <c r="B1080" s="4"/>
      <c r="C1080" s="4"/>
      <c r="D1080" s="4"/>
      <c r="E1080" s="4"/>
      <c r="F1080" s="152" t="s">
        <v>371</v>
      </c>
      <c r="G1080" s="4" t="s">
        <v>353</v>
      </c>
      <c r="H1080" s="4"/>
      <c r="I1080" s="196">
        <v>-600000.00020000001</v>
      </c>
      <c r="J1080" s="196">
        <v>-425.531915035461</v>
      </c>
      <c r="K1080" s="196">
        <v>1410</v>
      </c>
      <c r="L1080" s="454" t="s">
        <v>919</v>
      </c>
      <c r="M1080" s="4" t="s">
        <v>780</v>
      </c>
      <c r="N1080" s="133" t="s">
        <v>2705</v>
      </c>
      <c r="O1080" s="4" t="s">
        <v>2708</v>
      </c>
      <c r="P1080" s="4" t="s">
        <v>892</v>
      </c>
      <c r="Q1080" s="4" t="s">
        <v>2709</v>
      </c>
      <c r="R1080" s="4"/>
      <c r="S1080" s="4" t="s">
        <v>2710</v>
      </c>
      <c r="T1080" s="4" t="s">
        <v>786</v>
      </c>
      <c r="U1080" s="4"/>
      <c r="V1080" s="4"/>
      <c r="W1080" s="4"/>
    </row>
    <row r="1081" spans="1:23" customFormat="1">
      <c r="A1081" s="10"/>
      <c r="B1081" s="4"/>
      <c r="C1081" s="4"/>
      <c r="D1081" s="4"/>
      <c r="E1081" s="4"/>
      <c r="F1081" s="152" t="s">
        <v>371</v>
      </c>
      <c r="G1081" s="4" t="s">
        <v>353</v>
      </c>
      <c r="H1081" s="4"/>
      <c r="I1081" s="196">
        <v>-1269000</v>
      </c>
      <c r="J1081" s="196">
        <v>-900</v>
      </c>
      <c r="K1081" s="196">
        <v>1410</v>
      </c>
      <c r="L1081" s="454" t="s">
        <v>919</v>
      </c>
      <c r="M1081" s="4" t="s">
        <v>780</v>
      </c>
      <c r="N1081" s="133" t="s">
        <v>2705</v>
      </c>
      <c r="O1081" s="4" t="s">
        <v>920</v>
      </c>
      <c r="P1081" s="4" t="s">
        <v>892</v>
      </c>
      <c r="Q1081" s="4" t="s">
        <v>921</v>
      </c>
      <c r="R1081" s="4" t="s">
        <v>2711</v>
      </c>
      <c r="S1081" s="4" t="s">
        <v>923</v>
      </c>
      <c r="T1081" s="4" t="s">
        <v>786</v>
      </c>
      <c r="U1081" s="4"/>
      <c r="V1081" s="4"/>
      <c r="W1081" s="4"/>
    </row>
    <row r="1082" spans="1:23" customFormat="1">
      <c r="A1082" s="10"/>
      <c r="B1082" s="4"/>
      <c r="C1082" s="4"/>
      <c r="D1082" s="4"/>
      <c r="E1082" s="4"/>
      <c r="F1082" s="152" t="s">
        <v>371</v>
      </c>
      <c r="G1082" s="4" t="s">
        <v>353</v>
      </c>
      <c r="H1082" s="4"/>
      <c r="I1082" s="196">
        <v>-490000</v>
      </c>
      <c r="J1082" s="196">
        <v>-350</v>
      </c>
      <c r="K1082" s="196">
        <v>1400</v>
      </c>
      <c r="L1082" s="454" t="s">
        <v>1007</v>
      </c>
      <c r="M1082" s="4" t="s">
        <v>780</v>
      </c>
      <c r="N1082" s="133" t="s">
        <v>2705</v>
      </c>
      <c r="O1082" s="4" t="s">
        <v>2712</v>
      </c>
      <c r="P1082" s="4" t="s">
        <v>892</v>
      </c>
      <c r="Q1082" s="4" t="s">
        <v>2713</v>
      </c>
      <c r="R1082" s="4" t="s">
        <v>2714</v>
      </c>
      <c r="S1082" s="4" t="s">
        <v>2715</v>
      </c>
      <c r="T1082" s="4" t="s">
        <v>786</v>
      </c>
      <c r="U1082" s="4"/>
      <c r="V1082" s="4"/>
      <c r="W1082" s="4"/>
    </row>
    <row r="1083" spans="1:23" customFormat="1">
      <c r="A1083" s="10"/>
      <c r="B1083" s="4"/>
      <c r="C1083" s="4"/>
      <c r="D1083" s="4"/>
      <c r="E1083" s="4"/>
      <c r="F1083" s="152" t="s">
        <v>371</v>
      </c>
      <c r="G1083" s="4" t="s">
        <v>353</v>
      </c>
      <c r="H1083" s="4"/>
      <c r="I1083" s="196">
        <v>-300000.8</v>
      </c>
      <c r="J1083" s="196">
        <v>-205.48</v>
      </c>
      <c r="K1083" s="196">
        <v>1460</v>
      </c>
      <c r="L1083" s="454" t="s">
        <v>1045</v>
      </c>
      <c r="M1083" s="4" t="s">
        <v>780</v>
      </c>
      <c r="N1083" s="133" t="s">
        <v>2705</v>
      </c>
      <c r="O1083" s="4" t="s">
        <v>2716</v>
      </c>
      <c r="P1083" s="4" t="s">
        <v>892</v>
      </c>
      <c r="Q1083" s="4" t="s">
        <v>2717</v>
      </c>
      <c r="R1083" s="4"/>
      <c r="S1083" s="4" t="s">
        <v>2718</v>
      </c>
      <c r="T1083" s="4" t="s">
        <v>786</v>
      </c>
      <c r="U1083" s="4"/>
      <c r="V1083" s="4"/>
      <c r="W1083" s="4"/>
    </row>
    <row r="1084" spans="1:23" customFormat="1">
      <c r="A1084" s="10"/>
      <c r="B1084" s="4"/>
      <c r="C1084" s="4"/>
      <c r="D1084" s="4"/>
      <c r="E1084" s="4"/>
      <c r="F1084" s="152" t="s">
        <v>371</v>
      </c>
      <c r="G1084" s="4" t="s">
        <v>353</v>
      </c>
      <c r="H1084" s="4"/>
      <c r="I1084" s="196">
        <v>-1314000</v>
      </c>
      <c r="J1084" s="196">
        <v>-900</v>
      </c>
      <c r="K1084" s="196">
        <v>1460</v>
      </c>
      <c r="L1084" s="454" t="s">
        <v>1045</v>
      </c>
      <c r="M1084" s="4" t="s">
        <v>780</v>
      </c>
      <c r="N1084" s="133" t="s">
        <v>2705</v>
      </c>
      <c r="O1084" s="4" t="s">
        <v>2164</v>
      </c>
      <c r="P1084" s="4" t="s">
        <v>892</v>
      </c>
      <c r="Q1084" s="4" t="s">
        <v>2165</v>
      </c>
      <c r="R1084" s="4" t="s">
        <v>2719</v>
      </c>
      <c r="S1084" s="4" t="s">
        <v>2167</v>
      </c>
      <c r="T1084" s="4" t="s">
        <v>786</v>
      </c>
      <c r="U1084" s="4"/>
      <c r="V1084" s="4"/>
      <c r="W1084" s="4"/>
    </row>
    <row r="1085" spans="1:23" customFormat="1">
      <c r="A1085" s="10"/>
      <c r="B1085" s="4"/>
      <c r="C1085" s="4"/>
      <c r="D1085" s="4"/>
      <c r="E1085" s="4"/>
      <c r="F1085" s="152" t="s">
        <v>371</v>
      </c>
      <c r="G1085" s="4" t="s">
        <v>353</v>
      </c>
      <c r="H1085" s="4"/>
      <c r="I1085" s="196">
        <v>-99996.4</v>
      </c>
      <c r="J1085" s="196">
        <v>-70.42</v>
      </c>
      <c r="K1085" s="196">
        <v>1420</v>
      </c>
      <c r="L1085" s="454" t="s">
        <v>1109</v>
      </c>
      <c r="M1085" s="4" t="s">
        <v>780</v>
      </c>
      <c r="N1085" s="133" t="s">
        <v>2705</v>
      </c>
      <c r="O1085" s="4" t="s">
        <v>2720</v>
      </c>
      <c r="P1085" s="4" t="s">
        <v>892</v>
      </c>
      <c r="Q1085" s="4" t="s">
        <v>2721</v>
      </c>
      <c r="R1085" s="4"/>
      <c r="S1085" s="4" t="s">
        <v>2722</v>
      </c>
      <c r="T1085" s="4" t="s">
        <v>786</v>
      </c>
      <c r="U1085" s="4"/>
      <c r="V1085" s="4"/>
      <c r="W1085" s="4"/>
    </row>
    <row r="1086" spans="1:23" customFormat="1">
      <c r="A1086" s="10"/>
      <c r="B1086" s="4"/>
      <c r="C1086" s="4"/>
      <c r="D1086" s="4"/>
      <c r="E1086" s="4"/>
      <c r="F1086" s="152" t="s">
        <v>371</v>
      </c>
      <c r="G1086" s="4" t="s">
        <v>353</v>
      </c>
      <c r="H1086" s="4"/>
      <c r="I1086" s="196">
        <v>-99996.4</v>
      </c>
      <c r="J1086" s="196">
        <v>-70.42</v>
      </c>
      <c r="K1086" s="196">
        <v>1420</v>
      </c>
      <c r="L1086" s="454" t="s">
        <v>1135</v>
      </c>
      <c r="M1086" s="4" t="s">
        <v>780</v>
      </c>
      <c r="N1086" s="133" t="s">
        <v>2705</v>
      </c>
      <c r="O1086" s="4" t="s">
        <v>2723</v>
      </c>
      <c r="P1086" s="4" t="s">
        <v>892</v>
      </c>
      <c r="Q1086" s="4" t="s">
        <v>2724</v>
      </c>
      <c r="R1086" s="4"/>
      <c r="S1086" s="4" t="s">
        <v>2725</v>
      </c>
      <c r="T1086" s="4" t="s">
        <v>786</v>
      </c>
      <c r="U1086" s="4"/>
      <c r="V1086" s="4"/>
      <c r="W1086" s="4"/>
    </row>
    <row r="1087" spans="1:23" customFormat="1">
      <c r="A1087" s="10"/>
      <c r="B1087" s="4"/>
      <c r="C1087" s="4"/>
      <c r="D1087" s="4"/>
      <c r="E1087" s="4"/>
      <c r="F1087" s="152" t="s">
        <v>371</v>
      </c>
      <c r="G1087" s="4" t="s">
        <v>353</v>
      </c>
      <c r="H1087" s="4"/>
      <c r="I1087" s="196">
        <v>-31200000</v>
      </c>
      <c r="J1087" s="196">
        <v>-24000</v>
      </c>
      <c r="K1087" s="196">
        <v>1300</v>
      </c>
      <c r="L1087" s="454" t="s">
        <v>899</v>
      </c>
      <c r="M1087" s="4" t="s">
        <v>780</v>
      </c>
      <c r="N1087" s="133" t="s">
        <v>2705</v>
      </c>
      <c r="O1087" s="4" t="s">
        <v>1119</v>
      </c>
      <c r="P1087" s="4" t="s">
        <v>892</v>
      </c>
      <c r="Q1087" s="4" t="s">
        <v>1120</v>
      </c>
      <c r="R1087" s="4" t="s">
        <v>2727</v>
      </c>
      <c r="S1087" s="4" t="s">
        <v>1122</v>
      </c>
      <c r="T1087" s="4" t="s">
        <v>786</v>
      </c>
      <c r="U1087" s="4"/>
      <c r="V1087" s="4"/>
      <c r="W1087" s="4"/>
    </row>
    <row r="1088" spans="1:23" customFormat="1">
      <c r="A1088" s="10"/>
      <c r="B1088" s="4"/>
      <c r="C1088" s="4"/>
      <c r="D1088" s="4"/>
      <c r="E1088" s="4"/>
      <c r="F1088" s="152" t="s">
        <v>371</v>
      </c>
      <c r="G1088" s="4" t="s">
        <v>353</v>
      </c>
      <c r="H1088" s="4"/>
      <c r="I1088" s="196">
        <v>-34500700</v>
      </c>
      <c r="J1088" s="196">
        <v>-26539</v>
      </c>
      <c r="K1088" s="196">
        <v>1300</v>
      </c>
      <c r="L1088" s="454" t="s">
        <v>899</v>
      </c>
      <c r="M1088" s="4" t="s">
        <v>780</v>
      </c>
      <c r="N1088" s="133" t="s">
        <v>2705</v>
      </c>
      <c r="O1088" s="4" t="s">
        <v>1119</v>
      </c>
      <c r="P1088" s="4" t="s">
        <v>892</v>
      </c>
      <c r="Q1088" s="4" t="s">
        <v>1120</v>
      </c>
      <c r="R1088" s="4" t="s">
        <v>2726</v>
      </c>
      <c r="S1088" s="4" t="s">
        <v>1122</v>
      </c>
      <c r="T1088" s="4" t="s">
        <v>786</v>
      </c>
      <c r="U1088" s="4"/>
      <c r="V1088" s="4"/>
      <c r="W1088" s="4"/>
    </row>
    <row r="1089" spans="1:23" customFormat="1">
      <c r="A1089" s="10"/>
      <c r="B1089" s="4"/>
      <c r="C1089" s="4"/>
      <c r="D1089" s="4"/>
      <c r="E1089" s="4"/>
      <c r="F1089" s="152" t="s">
        <v>371</v>
      </c>
      <c r="G1089" s="4" t="s">
        <v>353</v>
      </c>
      <c r="H1089" s="4"/>
      <c r="I1089" s="196">
        <v>-374880</v>
      </c>
      <c r="J1089" s="196">
        <v>-264</v>
      </c>
      <c r="K1089" s="196">
        <v>1420</v>
      </c>
      <c r="L1089" s="454" t="s">
        <v>1123</v>
      </c>
      <c r="M1089" s="4" t="s">
        <v>780</v>
      </c>
      <c r="N1089" s="133" t="s">
        <v>2705</v>
      </c>
      <c r="O1089" s="4" t="s">
        <v>1124</v>
      </c>
      <c r="P1089" s="4" t="s">
        <v>892</v>
      </c>
      <c r="Q1089" s="4" t="s">
        <v>1125</v>
      </c>
      <c r="R1089" s="4" t="s">
        <v>2728</v>
      </c>
      <c r="S1089" s="4" t="s">
        <v>1127</v>
      </c>
      <c r="T1089" s="4" t="s">
        <v>786</v>
      </c>
      <c r="U1089" s="4"/>
      <c r="V1089" s="4"/>
      <c r="W1089" s="4"/>
    </row>
    <row r="1090" spans="1:23" customFormat="1">
      <c r="A1090" s="10"/>
      <c r="B1090" s="4"/>
      <c r="C1090" s="4"/>
      <c r="D1090" s="4"/>
      <c r="E1090" s="4"/>
      <c r="F1090" s="152" t="s">
        <v>371</v>
      </c>
      <c r="G1090" s="4" t="s">
        <v>353</v>
      </c>
      <c r="H1090" s="4"/>
      <c r="I1090" s="196">
        <v>-639000</v>
      </c>
      <c r="J1090" s="196">
        <v>-450</v>
      </c>
      <c r="K1090" s="196">
        <v>1420</v>
      </c>
      <c r="L1090" s="454" t="s">
        <v>1123</v>
      </c>
      <c r="M1090" s="4" t="s">
        <v>780</v>
      </c>
      <c r="N1090" s="133" t="s">
        <v>2705</v>
      </c>
      <c r="O1090" s="4" t="s">
        <v>1124</v>
      </c>
      <c r="P1090" s="4" t="s">
        <v>892</v>
      </c>
      <c r="Q1090" s="4" t="s">
        <v>1125</v>
      </c>
      <c r="R1090" s="4" t="s">
        <v>2729</v>
      </c>
      <c r="S1090" s="4" t="s">
        <v>1127</v>
      </c>
      <c r="T1090" s="4" t="s">
        <v>786</v>
      </c>
      <c r="U1090" s="4"/>
      <c r="V1090" s="4"/>
      <c r="W1090" s="4"/>
    </row>
    <row r="1091" spans="1:23" customFormat="1">
      <c r="A1091" s="10"/>
      <c r="B1091" s="4"/>
      <c r="C1091" s="4"/>
      <c r="D1091" s="4"/>
      <c r="E1091" s="4"/>
      <c r="F1091" s="152" t="s">
        <v>371</v>
      </c>
      <c r="G1091" s="4" t="s">
        <v>353</v>
      </c>
      <c r="H1091" s="4"/>
      <c r="I1091" s="196">
        <v>-99996.4</v>
      </c>
      <c r="J1091" s="196">
        <v>-70.42</v>
      </c>
      <c r="K1091" s="196">
        <v>1420</v>
      </c>
      <c r="L1091" s="454" t="s">
        <v>1258</v>
      </c>
      <c r="M1091" s="4" t="s">
        <v>780</v>
      </c>
      <c r="N1091" s="133" t="s">
        <v>2705</v>
      </c>
      <c r="O1091" s="4" t="s">
        <v>2730</v>
      </c>
      <c r="P1091" s="4" t="s">
        <v>892</v>
      </c>
      <c r="Q1091" s="4" t="s">
        <v>2731</v>
      </c>
      <c r="R1091" s="4"/>
      <c r="S1091" s="4" t="s">
        <v>2732</v>
      </c>
      <c r="T1091" s="4" t="s">
        <v>786</v>
      </c>
      <c r="U1091" s="4"/>
      <c r="V1091" s="4"/>
      <c r="W1091" s="4"/>
    </row>
    <row r="1092" spans="1:23" customFormat="1">
      <c r="A1092" s="10"/>
      <c r="B1092" s="4"/>
      <c r="C1092" s="4"/>
      <c r="D1092" s="4"/>
      <c r="E1092" s="4"/>
      <c r="F1092" s="152" t="s">
        <v>371</v>
      </c>
      <c r="G1092" s="4" t="s">
        <v>353</v>
      </c>
      <c r="H1092" s="4"/>
      <c r="I1092" s="196">
        <v>-49999620</v>
      </c>
      <c r="J1092" s="196">
        <v>-35211</v>
      </c>
      <c r="K1092" s="196">
        <v>1420</v>
      </c>
      <c r="L1092" s="454" t="s">
        <v>1210</v>
      </c>
      <c r="M1092" s="4" t="s">
        <v>780</v>
      </c>
      <c r="N1092" s="133" t="s">
        <v>2705</v>
      </c>
      <c r="O1092" s="4" t="s">
        <v>2733</v>
      </c>
      <c r="P1092" s="4" t="s">
        <v>892</v>
      </c>
      <c r="Q1092" s="4" t="s">
        <v>2734</v>
      </c>
      <c r="R1092" s="4"/>
      <c r="S1092" s="4" t="s">
        <v>2735</v>
      </c>
      <c r="T1092" s="4" t="s">
        <v>786</v>
      </c>
      <c r="U1092" s="4"/>
      <c r="V1092" s="4"/>
      <c r="W1092" s="4"/>
    </row>
    <row r="1093" spans="1:23" customFormat="1">
      <c r="A1093" s="10"/>
      <c r="B1093" s="4"/>
      <c r="C1093" s="4"/>
      <c r="D1093" s="4"/>
      <c r="E1093" s="4"/>
      <c r="F1093" s="152" t="s">
        <v>371</v>
      </c>
      <c r="G1093" s="4" t="s">
        <v>353</v>
      </c>
      <c r="H1093" s="4"/>
      <c r="I1093" s="196">
        <v>49999620</v>
      </c>
      <c r="J1093" s="196">
        <v>35211</v>
      </c>
      <c r="K1093" s="196">
        <v>1420</v>
      </c>
      <c r="L1093" s="454" t="s">
        <v>1210</v>
      </c>
      <c r="M1093" s="4" t="s">
        <v>780</v>
      </c>
      <c r="N1093" s="133" t="s">
        <v>2705</v>
      </c>
      <c r="O1093" s="4" t="s">
        <v>2736</v>
      </c>
      <c r="P1093" s="4" t="s">
        <v>892</v>
      </c>
      <c r="Q1093" s="4" t="s">
        <v>2737</v>
      </c>
      <c r="R1093" s="4"/>
      <c r="S1093" s="4" t="s">
        <v>2738</v>
      </c>
      <c r="T1093" s="4" t="s">
        <v>786</v>
      </c>
      <c r="U1093" s="4"/>
      <c r="V1093" s="4"/>
      <c r="W1093" s="4"/>
    </row>
    <row r="1094" spans="1:23" customFormat="1">
      <c r="A1094" s="10"/>
      <c r="B1094" s="4"/>
      <c r="C1094" s="4"/>
      <c r="D1094" s="4"/>
      <c r="E1094" s="4"/>
      <c r="F1094" s="152" t="s">
        <v>371</v>
      </c>
      <c r="G1094" s="4" t="s">
        <v>353</v>
      </c>
      <c r="H1094" s="4"/>
      <c r="I1094" s="196">
        <v>-499996.2</v>
      </c>
      <c r="J1094" s="196">
        <v>-352.11</v>
      </c>
      <c r="K1094" s="196">
        <v>1420</v>
      </c>
      <c r="L1094" s="454" t="s">
        <v>1210</v>
      </c>
      <c r="M1094" s="4" t="s">
        <v>780</v>
      </c>
      <c r="N1094" s="133" t="s">
        <v>2705</v>
      </c>
      <c r="O1094" s="4" t="s">
        <v>2739</v>
      </c>
      <c r="P1094" s="4" t="s">
        <v>892</v>
      </c>
      <c r="Q1094" s="4" t="s">
        <v>2740</v>
      </c>
      <c r="R1094" s="4"/>
      <c r="S1094" s="4" t="s">
        <v>2741</v>
      </c>
      <c r="T1094" s="4" t="s">
        <v>786</v>
      </c>
      <c r="U1094" s="4"/>
      <c r="V1094" s="4"/>
      <c r="W1094" s="4"/>
    </row>
    <row r="1095" spans="1:23" customFormat="1">
      <c r="A1095" s="10"/>
      <c r="B1095" s="4"/>
      <c r="C1095" s="4"/>
      <c r="D1095" s="4"/>
      <c r="E1095" s="4"/>
      <c r="F1095" s="152" t="s">
        <v>371</v>
      </c>
      <c r="G1095" s="4" t="s">
        <v>353</v>
      </c>
      <c r="H1095" s="4"/>
      <c r="I1095" s="196">
        <v>-339380</v>
      </c>
      <c r="J1095" s="196">
        <v>-239</v>
      </c>
      <c r="K1095" s="196">
        <v>1420</v>
      </c>
      <c r="L1095" s="454" t="s">
        <v>1210</v>
      </c>
      <c r="M1095" s="4" t="s">
        <v>780</v>
      </c>
      <c r="N1095" s="133" t="s">
        <v>2705</v>
      </c>
      <c r="O1095" s="4" t="s">
        <v>1221</v>
      </c>
      <c r="P1095" s="4" t="s">
        <v>892</v>
      </c>
      <c r="Q1095" s="4" t="s">
        <v>1222</v>
      </c>
      <c r="R1095" s="4" t="s">
        <v>2742</v>
      </c>
      <c r="S1095" s="4" t="s">
        <v>1224</v>
      </c>
      <c r="T1095" s="4" t="s">
        <v>786</v>
      </c>
      <c r="U1095" s="4"/>
      <c r="V1095" s="4"/>
      <c r="W1095" s="4"/>
    </row>
    <row r="1096" spans="1:23" customFormat="1">
      <c r="A1096" s="10"/>
      <c r="B1096" s="4"/>
      <c r="C1096" s="4"/>
      <c r="D1096" s="4"/>
      <c r="E1096" s="4"/>
      <c r="F1096" s="152" t="s">
        <v>371</v>
      </c>
      <c r="G1096" s="4" t="s">
        <v>353</v>
      </c>
      <c r="H1096" s="4"/>
      <c r="I1096" s="196">
        <v>-365224</v>
      </c>
      <c r="J1096" s="196">
        <v>-257.2</v>
      </c>
      <c r="K1096" s="196">
        <v>1420</v>
      </c>
      <c r="L1096" s="454" t="s">
        <v>1210</v>
      </c>
      <c r="M1096" s="4" t="s">
        <v>780</v>
      </c>
      <c r="N1096" s="133" t="s">
        <v>2705</v>
      </c>
      <c r="O1096" s="4" t="s">
        <v>1221</v>
      </c>
      <c r="P1096" s="4" t="s">
        <v>892</v>
      </c>
      <c r="Q1096" s="4" t="s">
        <v>1222</v>
      </c>
      <c r="R1096" s="4" t="s">
        <v>2706</v>
      </c>
      <c r="S1096" s="4" t="s">
        <v>1224</v>
      </c>
      <c r="T1096" s="4" t="s">
        <v>786</v>
      </c>
      <c r="U1096" s="4"/>
      <c r="V1096" s="4"/>
      <c r="W1096" s="4"/>
    </row>
    <row r="1097" spans="1:23" customFormat="1">
      <c r="A1097" s="10"/>
      <c r="B1097" s="4"/>
      <c r="C1097" s="4"/>
      <c r="D1097" s="4"/>
      <c r="E1097" s="4"/>
      <c r="F1097" s="152" t="s">
        <v>371</v>
      </c>
      <c r="G1097" s="4" t="s">
        <v>353</v>
      </c>
      <c r="H1097" s="4"/>
      <c r="I1097" s="196">
        <v>-661500</v>
      </c>
      <c r="J1097" s="196">
        <v>-450</v>
      </c>
      <c r="K1097" s="196">
        <v>1470</v>
      </c>
      <c r="L1097" s="454" t="s">
        <v>1267</v>
      </c>
      <c r="M1097" s="4" t="s">
        <v>780</v>
      </c>
      <c r="N1097" s="133" t="s">
        <v>2705</v>
      </c>
      <c r="O1097" s="4" t="s">
        <v>2743</v>
      </c>
      <c r="P1097" s="4" t="s">
        <v>892</v>
      </c>
      <c r="Q1097" s="4" t="s">
        <v>2744</v>
      </c>
      <c r="R1097" s="4" t="s">
        <v>2745</v>
      </c>
      <c r="S1097" s="4" t="s">
        <v>2746</v>
      </c>
      <c r="T1097" s="4" t="s">
        <v>786</v>
      </c>
      <c r="U1097" s="4"/>
      <c r="V1097" s="4"/>
      <c r="W1097" s="4"/>
    </row>
    <row r="1098" spans="1:23" customFormat="1">
      <c r="A1098" s="10"/>
      <c r="B1098" s="4"/>
      <c r="C1098" s="4"/>
      <c r="D1098" s="4"/>
      <c r="E1098" s="4"/>
      <c r="F1098" s="152" t="s">
        <v>371</v>
      </c>
      <c r="G1098" s="4" t="s">
        <v>353</v>
      </c>
      <c r="H1098" s="4"/>
      <c r="I1098" s="196">
        <v>-4550000</v>
      </c>
      <c r="J1098" s="196">
        <v>-3500</v>
      </c>
      <c r="K1098" s="196">
        <v>1300</v>
      </c>
      <c r="L1098" s="454" t="s">
        <v>811</v>
      </c>
      <c r="M1098" s="4" t="s">
        <v>780</v>
      </c>
      <c r="N1098" s="133" t="s">
        <v>781</v>
      </c>
      <c r="O1098" s="4" t="s">
        <v>812</v>
      </c>
      <c r="P1098" s="4" t="s">
        <v>783</v>
      </c>
      <c r="Q1098" s="4" t="s">
        <v>813</v>
      </c>
      <c r="R1098" s="4" t="s">
        <v>814</v>
      </c>
      <c r="S1098" s="4" t="s">
        <v>815</v>
      </c>
      <c r="T1098" s="4" t="s">
        <v>786</v>
      </c>
      <c r="U1098" s="4"/>
      <c r="V1098" s="4"/>
      <c r="W1098" s="4"/>
    </row>
    <row r="1099" spans="1:23" customFormat="1">
      <c r="A1099" s="10"/>
      <c r="B1099" s="4"/>
      <c r="C1099" s="4"/>
      <c r="D1099" s="4"/>
      <c r="E1099" s="4"/>
      <c r="F1099" s="152" t="s">
        <v>371</v>
      </c>
      <c r="G1099" s="4" t="s">
        <v>353</v>
      </c>
      <c r="H1099" s="4"/>
      <c r="I1099" s="196">
        <v>-874510</v>
      </c>
      <c r="J1099" s="196">
        <v>-672.7</v>
      </c>
      <c r="K1099" s="196">
        <v>1300</v>
      </c>
      <c r="L1099" s="454" t="s">
        <v>811</v>
      </c>
      <c r="M1099" s="4" t="s">
        <v>780</v>
      </c>
      <c r="N1099" s="133" t="s">
        <v>781</v>
      </c>
      <c r="O1099" s="4" t="s">
        <v>812</v>
      </c>
      <c r="P1099" s="4" t="s">
        <v>783</v>
      </c>
      <c r="Q1099" s="4" t="s">
        <v>813</v>
      </c>
      <c r="R1099" s="4" t="s">
        <v>816</v>
      </c>
      <c r="S1099" s="4" t="s">
        <v>815</v>
      </c>
      <c r="T1099" s="4" t="s">
        <v>786</v>
      </c>
      <c r="U1099" s="4"/>
      <c r="V1099" s="4"/>
      <c r="W1099" s="4"/>
    </row>
    <row r="1100" spans="1:23" customFormat="1">
      <c r="A1100" s="10"/>
      <c r="B1100" s="4"/>
      <c r="C1100" s="4"/>
      <c r="D1100" s="4"/>
      <c r="E1100" s="4"/>
      <c r="F1100" s="152" t="s">
        <v>371</v>
      </c>
      <c r="G1100" s="4" t="s">
        <v>353</v>
      </c>
      <c r="H1100" s="4"/>
      <c r="I1100" s="196">
        <v>-110970</v>
      </c>
      <c r="J1100" s="196">
        <v>-81</v>
      </c>
      <c r="K1100" s="196">
        <v>1370</v>
      </c>
      <c r="L1100" s="454" t="s">
        <v>817</v>
      </c>
      <c r="M1100" s="4" t="s">
        <v>780</v>
      </c>
      <c r="N1100" s="133" t="s">
        <v>781</v>
      </c>
      <c r="O1100" s="4" t="s">
        <v>818</v>
      </c>
      <c r="P1100" s="4" t="s">
        <v>783</v>
      </c>
      <c r="Q1100" s="4" t="s">
        <v>819</v>
      </c>
      <c r="R1100" s="4" t="s">
        <v>822</v>
      </c>
      <c r="S1100" s="4" t="s">
        <v>821</v>
      </c>
      <c r="T1100" s="4" t="s">
        <v>786</v>
      </c>
      <c r="U1100" s="4"/>
      <c r="V1100" s="4"/>
      <c r="W1100" s="4"/>
    </row>
    <row r="1101" spans="1:23" customFormat="1">
      <c r="A1101" s="10"/>
      <c r="B1101" s="4"/>
      <c r="C1101" s="4"/>
      <c r="D1101" s="4"/>
      <c r="E1101" s="4"/>
      <c r="F1101" s="152" t="s">
        <v>371</v>
      </c>
      <c r="G1101" s="4" t="s">
        <v>353</v>
      </c>
      <c r="H1101" s="4"/>
      <c r="I1101" s="196">
        <v>-5215590</v>
      </c>
      <c r="J1101" s="196">
        <v>-3807</v>
      </c>
      <c r="K1101" s="196">
        <v>1370</v>
      </c>
      <c r="L1101" s="454" t="s">
        <v>817</v>
      </c>
      <c r="M1101" s="4" t="s">
        <v>780</v>
      </c>
      <c r="N1101" s="133" t="s">
        <v>781</v>
      </c>
      <c r="O1101" s="4" t="s">
        <v>818</v>
      </c>
      <c r="P1101" s="4" t="s">
        <v>783</v>
      </c>
      <c r="Q1101" s="4" t="s">
        <v>819</v>
      </c>
      <c r="R1101" s="4" t="s">
        <v>823</v>
      </c>
      <c r="S1101" s="4" t="s">
        <v>821</v>
      </c>
      <c r="T1101" s="4" t="s">
        <v>786</v>
      </c>
      <c r="U1101" s="4"/>
      <c r="V1101" s="4"/>
      <c r="W1101" s="4"/>
    </row>
    <row r="1102" spans="1:23" customFormat="1">
      <c r="A1102" s="10"/>
      <c r="B1102" s="4"/>
      <c r="C1102" s="4"/>
      <c r="D1102" s="4"/>
      <c r="E1102" s="4"/>
      <c r="F1102" s="152" t="s">
        <v>371</v>
      </c>
      <c r="G1102" s="4" t="s">
        <v>353</v>
      </c>
      <c r="H1102" s="4"/>
      <c r="I1102" s="196">
        <v>-27400000</v>
      </c>
      <c r="J1102" s="196">
        <v>-20000</v>
      </c>
      <c r="K1102" s="196">
        <v>1370</v>
      </c>
      <c r="L1102" s="454" t="s">
        <v>817</v>
      </c>
      <c r="M1102" s="4" t="s">
        <v>780</v>
      </c>
      <c r="N1102" s="133" t="s">
        <v>781</v>
      </c>
      <c r="O1102" s="4" t="s">
        <v>818</v>
      </c>
      <c r="P1102" s="4" t="s">
        <v>783</v>
      </c>
      <c r="Q1102" s="4" t="s">
        <v>819</v>
      </c>
      <c r="R1102" s="4" t="s">
        <v>820</v>
      </c>
      <c r="S1102" s="4" t="s">
        <v>821</v>
      </c>
      <c r="T1102" s="4" t="s">
        <v>786</v>
      </c>
      <c r="U1102" s="4"/>
      <c r="V1102" s="4"/>
      <c r="W1102" s="4"/>
    </row>
    <row r="1103" spans="1:23" customFormat="1">
      <c r="A1103" s="10"/>
      <c r="B1103" s="4"/>
      <c r="C1103" s="4"/>
      <c r="D1103" s="4"/>
      <c r="E1103" s="4"/>
      <c r="F1103" s="152" t="s">
        <v>371</v>
      </c>
      <c r="G1103" s="4" t="s">
        <v>353</v>
      </c>
      <c r="H1103" s="4"/>
      <c r="I1103" s="196">
        <v>-110970</v>
      </c>
      <c r="J1103" s="196">
        <v>-81</v>
      </c>
      <c r="K1103" s="196">
        <v>1370</v>
      </c>
      <c r="L1103" s="454" t="s">
        <v>817</v>
      </c>
      <c r="M1103" s="4" t="s">
        <v>780</v>
      </c>
      <c r="N1103" s="133" t="s">
        <v>781</v>
      </c>
      <c r="O1103" s="4" t="s">
        <v>818</v>
      </c>
      <c r="P1103" s="4" t="s">
        <v>783</v>
      </c>
      <c r="Q1103" s="4" t="s">
        <v>819</v>
      </c>
      <c r="R1103" s="4" t="s">
        <v>824</v>
      </c>
      <c r="S1103" s="4" t="s">
        <v>821</v>
      </c>
      <c r="T1103" s="4" t="s">
        <v>786</v>
      </c>
      <c r="U1103" s="4"/>
      <c r="V1103" s="4"/>
      <c r="W1103" s="4"/>
    </row>
    <row r="1104" spans="1:23" customFormat="1">
      <c r="A1104" s="10"/>
      <c r="B1104" s="4"/>
      <c r="C1104" s="4"/>
      <c r="D1104" s="4"/>
      <c r="E1104" s="4"/>
      <c r="F1104" s="152" t="s">
        <v>371</v>
      </c>
      <c r="G1104" s="4" t="s">
        <v>353</v>
      </c>
      <c r="H1104" s="4"/>
      <c r="I1104" s="196">
        <v>-19880000</v>
      </c>
      <c r="J1104" s="196">
        <v>-14000</v>
      </c>
      <c r="K1104" s="196">
        <v>1420</v>
      </c>
      <c r="L1104" s="454" t="s">
        <v>825</v>
      </c>
      <c r="M1104" s="4" t="s">
        <v>780</v>
      </c>
      <c r="N1104" s="133" t="s">
        <v>781</v>
      </c>
      <c r="O1104" s="4" t="s">
        <v>826</v>
      </c>
      <c r="P1104" s="4" t="s">
        <v>783</v>
      </c>
      <c r="Q1104" s="4" t="s">
        <v>827</v>
      </c>
      <c r="R1104" s="4" t="s">
        <v>828</v>
      </c>
      <c r="S1104" s="4" t="s">
        <v>829</v>
      </c>
      <c r="T1104" s="4" t="s">
        <v>786</v>
      </c>
      <c r="U1104" s="4"/>
      <c r="V1104" s="4"/>
      <c r="W1104" s="4"/>
    </row>
    <row r="1105" spans="1:23" customFormat="1">
      <c r="A1105" s="10"/>
      <c r="B1105" s="4"/>
      <c r="C1105" s="4"/>
      <c r="D1105" s="4"/>
      <c r="E1105" s="4"/>
      <c r="F1105" s="152" t="s">
        <v>371</v>
      </c>
      <c r="G1105" s="4" t="s">
        <v>353</v>
      </c>
      <c r="H1105" s="4"/>
      <c r="I1105" s="196">
        <v>1417000</v>
      </c>
      <c r="J1105" s="196">
        <v>1090</v>
      </c>
      <c r="K1105" s="196">
        <v>1300</v>
      </c>
      <c r="L1105" s="454" t="s">
        <v>811</v>
      </c>
      <c r="M1105" s="4" t="s">
        <v>780</v>
      </c>
      <c r="N1105" s="133" t="s">
        <v>781</v>
      </c>
      <c r="O1105" s="4" t="s">
        <v>877</v>
      </c>
      <c r="P1105" s="4" t="s">
        <v>783</v>
      </c>
      <c r="Q1105" s="4" t="s">
        <v>878</v>
      </c>
      <c r="R1105" s="4" t="s">
        <v>879</v>
      </c>
      <c r="S1105" s="4" t="s">
        <v>880</v>
      </c>
      <c r="T1105" s="4" t="s">
        <v>786</v>
      </c>
      <c r="U1105" s="4"/>
      <c r="V1105" s="4"/>
      <c r="W1105" s="4"/>
    </row>
    <row r="1106" spans="1:23" customFormat="1">
      <c r="A1106" s="10"/>
      <c r="B1106" s="4"/>
      <c r="C1106" s="4"/>
      <c r="D1106" s="4"/>
      <c r="E1106" s="4"/>
      <c r="F1106" s="152" t="s">
        <v>371</v>
      </c>
      <c r="G1106" s="4" t="s">
        <v>353</v>
      </c>
      <c r="H1106" s="4"/>
      <c r="I1106" s="196">
        <v>1417000</v>
      </c>
      <c r="J1106" s="196">
        <v>1090</v>
      </c>
      <c r="K1106" s="196">
        <v>1300</v>
      </c>
      <c r="L1106" s="454" t="s">
        <v>817</v>
      </c>
      <c r="M1106" s="4" t="s">
        <v>780</v>
      </c>
      <c r="N1106" s="133" t="s">
        <v>781</v>
      </c>
      <c r="O1106" s="4" t="s">
        <v>881</v>
      </c>
      <c r="P1106" s="4" t="s">
        <v>783</v>
      </c>
      <c r="Q1106" s="4" t="s">
        <v>882</v>
      </c>
      <c r="R1106" s="4" t="s">
        <v>883</v>
      </c>
      <c r="S1106" s="4" t="s">
        <v>884</v>
      </c>
      <c r="T1106" s="4" t="s">
        <v>786</v>
      </c>
      <c r="U1106" s="4"/>
      <c r="V1106" s="4"/>
      <c r="W1106" s="4"/>
    </row>
    <row r="1107" spans="1:23" customFormat="1">
      <c r="A1107" s="10"/>
      <c r="B1107" s="4"/>
      <c r="C1107" s="4"/>
      <c r="D1107" s="4"/>
      <c r="E1107" s="4"/>
      <c r="F1107" s="152" t="s">
        <v>371</v>
      </c>
      <c r="G1107" s="4" t="s">
        <v>353</v>
      </c>
      <c r="H1107" s="4"/>
      <c r="I1107" s="196">
        <v>19110000</v>
      </c>
      <c r="J1107" s="196">
        <v>14700</v>
      </c>
      <c r="K1107" s="196">
        <v>1300</v>
      </c>
      <c r="L1107" s="454" t="s">
        <v>817</v>
      </c>
      <c r="M1107" s="4" t="s">
        <v>780</v>
      </c>
      <c r="N1107" s="133" t="s">
        <v>781</v>
      </c>
      <c r="O1107" s="4" t="s">
        <v>881</v>
      </c>
      <c r="P1107" s="4" t="s">
        <v>783</v>
      </c>
      <c r="Q1107" s="4" t="s">
        <v>882</v>
      </c>
      <c r="R1107" s="4" t="s">
        <v>885</v>
      </c>
      <c r="S1107" s="4" t="s">
        <v>884</v>
      </c>
      <c r="T1107" s="4" t="s">
        <v>786</v>
      </c>
      <c r="U1107" s="4"/>
      <c r="V1107" s="4"/>
      <c r="W1107" s="4"/>
    </row>
    <row r="1108" spans="1:23" customFormat="1">
      <c r="A1108" s="10"/>
      <c r="B1108" s="4"/>
      <c r="C1108" s="4"/>
      <c r="D1108" s="4"/>
      <c r="E1108" s="4"/>
      <c r="F1108" s="152" t="s">
        <v>371</v>
      </c>
      <c r="G1108" s="4" t="s">
        <v>353</v>
      </c>
      <c r="H1108" s="4"/>
      <c r="I1108" s="196">
        <v>5392450</v>
      </c>
      <c r="J1108" s="196">
        <v>3797.5</v>
      </c>
      <c r="K1108" s="196">
        <v>1420</v>
      </c>
      <c r="L1108" s="454" t="s">
        <v>825</v>
      </c>
      <c r="M1108" s="4" t="s">
        <v>780</v>
      </c>
      <c r="N1108" s="133" t="s">
        <v>781</v>
      </c>
      <c r="O1108" s="4" t="s">
        <v>886</v>
      </c>
      <c r="P1108" s="4" t="s">
        <v>783</v>
      </c>
      <c r="Q1108" s="4" t="s">
        <v>887</v>
      </c>
      <c r="R1108" s="4" t="s">
        <v>888</v>
      </c>
      <c r="S1108" s="4" t="s">
        <v>889</v>
      </c>
      <c r="T1108" s="4" t="s">
        <v>786</v>
      </c>
      <c r="U1108" s="4"/>
      <c r="V1108" s="4"/>
      <c r="W1108" s="4"/>
    </row>
    <row r="1109" spans="1:23" customFormat="1">
      <c r="A1109" s="10"/>
      <c r="B1109" s="4"/>
      <c r="C1109" s="4"/>
      <c r="D1109" s="4"/>
      <c r="E1109" s="4"/>
      <c r="F1109" s="152" t="s">
        <v>371</v>
      </c>
      <c r="G1109" s="4" t="s">
        <v>353</v>
      </c>
      <c r="H1109" s="4"/>
      <c r="I1109" s="196">
        <v>-5135000</v>
      </c>
      <c r="J1109" s="196">
        <v>-3950</v>
      </c>
      <c r="K1109" s="196">
        <v>1300</v>
      </c>
      <c r="L1109" s="454" t="s">
        <v>913</v>
      </c>
      <c r="M1109" s="4" t="s">
        <v>780</v>
      </c>
      <c r="N1109" s="133" t="s">
        <v>781</v>
      </c>
      <c r="O1109" s="4" t="s">
        <v>914</v>
      </c>
      <c r="P1109" s="4" t="s">
        <v>892</v>
      </c>
      <c r="Q1109" s="4" t="s">
        <v>915</v>
      </c>
      <c r="R1109" s="4" t="s">
        <v>916</v>
      </c>
      <c r="S1109" s="4" t="s">
        <v>917</v>
      </c>
      <c r="T1109" s="4" t="s">
        <v>786</v>
      </c>
      <c r="U1109" s="4"/>
      <c r="V1109" s="4"/>
      <c r="W1109" s="4"/>
    </row>
    <row r="1110" spans="1:23" customFormat="1">
      <c r="A1110" s="10"/>
      <c r="B1110" s="4"/>
      <c r="C1110" s="4"/>
      <c r="D1110" s="4"/>
      <c r="E1110" s="4"/>
      <c r="F1110" s="152" t="s">
        <v>371</v>
      </c>
      <c r="G1110" s="4" t="s">
        <v>353</v>
      </c>
      <c r="H1110" s="4"/>
      <c r="I1110" s="196">
        <v>-5135000</v>
      </c>
      <c r="J1110" s="196">
        <v>-3950</v>
      </c>
      <c r="K1110" s="196">
        <v>1300</v>
      </c>
      <c r="L1110" s="454" t="s">
        <v>913</v>
      </c>
      <c r="M1110" s="4" t="s">
        <v>780</v>
      </c>
      <c r="N1110" s="133" t="s">
        <v>781</v>
      </c>
      <c r="O1110" s="4" t="s">
        <v>914</v>
      </c>
      <c r="P1110" s="4" t="s">
        <v>892</v>
      </c>
      <c r="Q1110" s="4" t="s">
        <v>915</v>
      </c>
      <c r="R1110" s="4" t="s">
        <v>918</v>
      </c>
      <c r="S1110" s="4" t="s">
        <v>917</v>
      </c>
      <c r="T1110" s="4" t="s">
        <v>786</v>
      </c>
      <c r="U1110" s="4"/>
      <c r="V1110" s="4"/>
      <c r="W1110" s="4"/>
    </row>
    <row r="1111" spans="1:23" customFormat="1">
      <c r="A1111" s="10"/>
      <c r="B1111" s="4"/>
      <c r="C1111" s="4"/>
      <c r="D1111" s="4"/>
      <c r="E1111" s="4"/>
      <c r="F1111" s="152" t="s">
        <v>371</v>
      </c>
      <c r="G1111" s="4" t="s">
        <v>353</v>
      </c>
      <c r="H1111" s="4"/>
      <c r="I1111" s="196">
        <v>-55455.3</v>
      </c>
      <c r="J1111" s="196">
        <v>-39.33</v>
      </c>
      <c r="K1111" s="196">
        <v>1410</v>
      </c>
      <c r="L1111" s="454" t="s">
        <v>919</v>
      </c>
      <c r="M1111" s="4" t="s">
        <v>780</v>
      </c>
      <c r="N1111" s="133" t="s">
        <v>781</v>
      </c>
      <c r="O1111" s="4" t="s">
        <v>920</v>
      </c>
      <c r="P1111" s="4" t="s">
        <v>892</v>
      </c>
      <c r="Q1111" s="4" t="s">
        <v>921</v>
      </c>
      <c r="R1111" s="4" t="s">
        <v>924</v>
      </c>
      <c r="S1111" s="4" t="s">
        <v>923</v>
      </c>
      <c r="T1111" s="4" t="s">
        <v>786</v>
      </c>
      <c r="U1111" s="4"/>
      <c r="V1111" s="4"/>
      <c r="W1111" s="4"/>
    </row>
    <row r="1112" spans="1:23" customFormat="1">
      <c r="A1112" s="10"/>
      <c r="B1112" s="4"/>
      <c r="C1112" s="4"/>
      <c r="D1112" s="4"/>
      <c r="E1112" s="4"/>
      <c r="F1112" s="152" t="s">
        <v>371</v>
      </c>
      <c r="G1112" s="4" t="s">
        <v>353</v>
      </c>
      <c r="H1112" s="4"/>
      <c r="I1112" s="196">
        <v>-14100000</v>
      </c>
      <c r="J1112" s="196">
        <v>-10000</v>
      </c>
      <c r="K1112" s="196">
        <v>1410</v>
      </c>
      <c r="L1112" s="454" t="s">
        <v>919</v>
      </c>
      <c r="M1112" s="4" t="s">
        <v>780</v>
      </c>
      <c r="N1112" s="133" t="s">
        <v>781</v>
      </c>
      <c r="O1112" s="4" t="s">
        <v>920</v>
      </c>
      <c r="P1112" s="4" t="s">
        <v>892</v>
      </c>
      <c r="Q1112" s="4" t="s">
        <v>921</v>
      </c>
      <c r="R1112" s="4" t="s">
        <v>925</v>
      </c>
      <c r="S1112" s="4" t="s">
        <v>923</v>
      </c>
      <c r="T1112" s="4" t="s">
        <v>786</v>
      </c>
      <c r="U1112" s="4"/>
      <c r="V1112" s="4"/>
      <c r="W1112" s="4"/>
    </row>
    <row r="1113" spans="1:23" customFormat="1">
      <c r="A1113" s="10"/>
      <c r="B1113" s="4"/>
      <c r="C1113" s="4"/>
      <c r="D1113" s="4"/>
      <c r="E1113" s="4"/>
      <c r="F1113" s="152" t="s">
        <v>371</v>
      </c>
      <c r="G1113" s="4" t="s">
        <v>353</v>
      </c>
      <c r="H1113" s="4"/>
      <c r="I1113" s="196">
        <v>-133900</v>
      </c>
      <c r="J1113" s="196">
        <v>-103</v>
      </c>
      <c r="K1113" s="196">
        <v>1300</v>
      </c>
      <c r="L1113" s="454" t="s">
        <v>919</v>
      </c>
      <c r="M1113" s="4" t="s">
        <v>780</v>
      </c>
      <c r="N1113" s="133" t="s">
        <v>781</v>
      </c>
      <c r="O1113" s="4" t="s">
        <v>920</v>
      </c>
      <c r="P1113" s="4" t="s">
        <v>892</v>
      </c>
      <c r="Q1113" s="4" t="s">
        <v>921</v>
      </c>
      <c r="R1113" s="4" t="s">
        <v>922</v>
      </c>
      <c r="S1113" s="4" t="s">
        <v>923</v>
      </c>
      <c r="T1113" s="4" t="s">
        <v>786</v>
      </c>
      <c r="U1113" s="4"/>
      <c r="V1113" s="4"/>
      <c r="W1113" s="4"/>
    </row>
    <row r="1114" spans="1:23" customFormat="1">
      <c r="A1114" s="10"/>
      <c r="B1114" s="4"/>
      <c r="C1114" s="4"/>
      <c r="D1114" s="4"/>
      <c r="E1114" s="4"/>
      <c r="F1114" s="152" t="s">
        <v>371</v>
      </c>
      <c r="G1114" s="4" t="s">
        <v>353</v>
      </c>
      <c r="H1114" s="4"/>
      <c r="I1114" s="196">
        <v>-30780.3</v>
      </c>
      <c r="J1114" s="196">
        <v>-21.83</v>
      </c>
      <c r="K1114" s="196">
        <v>1410</v>
      </c>
      <c r="L1114" s="454" t="s">
        <v>919</v>
      </c>
      <c r="M1114" s="4" t="s">
        <v>780</v>
      </c>
      <c r="N1114" s="133" t="s">
        <v>781</v>
      </c>
      <c r="O1114" s="4" t="s">
        <v>920</v>
      </c>
      <c r="P1114" s="4" t="s">
        <v>892</v>
      </c>
      <c r="Q1114" s="4" t="s">
        <v>921</v>
      </c>
      <c r="R1114" s="4" t="s">
        <v>926</v>
      </c>
      <c r="S1114" s="4" t="s">
        <v>923</v>
      </c>
      <c r="T1114" s="4" t="s">
        <v>786</v>
      </c>
      <c r="U1114" s="4"/>
      <c r="V1114" s="4"/>
      <c r="W1114" s="4"/>
    </row>
    <row r="1115" spans="1:23" customFormat="1">
      <c r="A1115" s="10"/>
      <c r="B1115" s="4"/>
      <c r="C1115" s="4"/>
      <c r="D1115" s="4"/>
      <c r="E1115" s="4"/>
      <c r="F1115" s="152" t="s">
        <v>371</v>
      </c>
      <c r="G1115" s="4" t="s">
        <v>353</v>
      </c>
      <c r="H1115" s="4"/>
      <c r="I1115" s="196">
        <v>-80080</v>
      </c>
      <c r="J1115" s="196">
        <v>-56</v>
      </c>
      <c r="K1115" s="196">
        <v>1430</v>
      </c>
      <c r="L1115" s="454" t="s">
        <v>927</v>
      </c>
      <c r="M1115" s="4" t="s">
        <v>780</v>
      </c>
      <c r="N1115" s="133" t="s">
        <v>781</v>
      </c>
      <c r="O1115" s="4" t="s">
        <v>928</v>
      </c>
      <c r="P1115" s="4" t="s">
        <v>892</v>
      </c>
      <c r="Q1115" s="4" t="s">
        <v>929</v>
      </c>
      <c r="R1115" s="4" t="s">
        <v>930</v>
      </c>
      <c r="S1115" s="4" t="s">
        <v>931</v>
      </c>
      <c r="T1115" s="4" t="s">
        <v>786</v>
      </c>
      <c r="U1115" s="4"/>
      <c r="V1115" s="4"/>
      <c r="W1115" s="4"/>
    </row>
    <row r="1116" spans="1:23" customFormat="1">
      <c r="A1116" s="10"/>
      <c r="B1116" s="4"/>
      <c r="C1116" s="4"/>
      <c r="D1116" s="4"/>
      <c r="E1116" s="4"/>
      <c r="F1116" s="152" t="s">
        <v>371</v>
      </c>
      <c r="G1116" s="4" t="s">
        <v>353</v>
      </c>
      <c r="H1116" s="4"/>
      <c r="I1116" s="196">
        <v>-101530</v>
      </c>
      <c r="J1116" s="196">
        <v>-71</v>
      </c>
      <c r="K1116" s="196">
        <v>1430</v>
      </c>
      <c r="L1116" s="454" t="s">
        <v>927</v>
      </c>
      <c r="M1116" s="4" t="s">
        <v>780</v>
      </c>
      <c r="N1116" s="133" t="s">
        <v>781</v>
      </c>
      <c r="O1116" s="4" t="s">
        <v>928</v>
      </c>
      <c r="P1116" s="4" t="s">
        <v>892</v>
      </c>
      <c r="Q1116" s="4" t="s">
        <v>929</v>
      </c>
      <c r="R1116" s="4" t="s">
        <v>932</v>
      </c>
      <c r="S1116" s="4" t="s">
        <v>931</v>
      </c>
      <c r="T1116" s="4" t="s">
        <v>786</v>
      </c>
      <c r="U1116" s="4"/>
      <c r="V1116" s="4"/>
      <c r="W1116" s="4"/>
    </row>
    <row r="1117" spans="1:23" customFormat="1">
      <c r="A1117" s="10"/>
      <c r="B1117" s="4"/>
      <c r="C1117" s="4"/>
      <c r="D1117" s="4"/>
      <c r="E1117" s="4"/>
      <c r="F1117" s="152" t="s">
        <v>371</v>
      </c>
      <c r="G1117" s="4" t="s">
        <v>353</v>
      </c>
      <c r="H1117" s="4"/>
      <c r="I1117" s="196">
        <v>5392450</v>
      </c>
      <c r="J1117" s="196">
        <v>3797.5</v>
      </c>
      <c r="K1117" s="196">
        <v>1420</v>
      </c>
      <c r="L1117" s="454" t="s">
        <v>913</v>
      </c>
      <c r="M1117" s="4" t="s">
        <v>780</v>
      </c>
      <c r="N1117" s="133" t="s">
        <v>781</v>
      </c>
      <c r="O1117" s="4" t="s">
        <v>977</v>
      </c>
      <c r="P1117" s="4" t="s">
        <v>892</v>
      </c>
      <c r="Q1117" s="4" t="s">
        <v>978</v>
      </c>
      <c r="R1117" s="4" t="s">
        <v>979</v>
      </c>
      <c r="S1117" s="4" t="s">
        <v>980</v>
      </c>
      <c r="T1117" s="4" t="s">
        <v>786</v>
      </c>
      <c r="U1117" s="4"/>
      <c r="V1117" s="4"/>
      <c r="W1117" s="4"/>
    </row>
    <row r="1118" spans="1:23" customFormat="1">
      <c r="A1118" s="10"/>
      <c r="B1118" s="4"/>
      <c r="C1118" s="4"/>
      <c r="D1118" s="4"/>
      <c r="E1118" s="4"/>
      <c r="F1118" s="152" t="s">
        <v>371</v>
      </c>
      <c r="G1118" s="4" t="s">
        <v>353</v>
      </c>
      <c r="H1118" s="4"/>
      <c r="I1118" s="196">
        <v>5392450</v>
      </c>
      <c r="J1118" s="196">
        <v>3797.5</v>
      </c>
      <c r="K1118" s="196">
        <v>1420</v>
      </c>
      <c r="L1118" s="454" t="s">
        <v>913</v>
      </c>
      <c r="M1118" s="4" t="s">
        <v>780</v>
      </c>
      <c r="N1118" s="133" t="s">
        <v>781</v>
      </c>
      <c r="O1118" s="4" t="s">
        <v>977</v>
      </c>
      <c r="P1118" s="4" t="s">
        <v>892</v>
      </c>
      <c r="Q1118" s="4" t="s">
        <v>978</v>
      </c>
      <c r="R1118" s="4" t="s">
        <v>981</v>
      </c>
      <c r="S1118" s="4" t="s">
        <v>980</v>
      </c>
      <c r="T1118" s="4" t="s">
        <v>786</v>
      </c>
      <c r="U1118" s="4"/>
      <c r="V1118" s="4"/>
      <c r="W1118" s="4"/>
    </row>
    <row r="1119" spans="1:23" customFormat="1">
      <c r="A1119" s="10"/>
      <c r="B1119" s="4"/>
      <c r="C1119" s="4"/>
      <c r="D1119" s="4"/>
      <c r="E1119" s="4"/>
      <c r="F1119" s="152" t="s">
        <v>371</v>
      </c>
      <c r="G1119" s="4" t="s">
        <v>353</v>
      </c>
      <c r="H1119" s="4"/>
      <c r="I1119" s="196">
        <v>5392450</v>
      </c>
      <c r="J1119" s="196">
        <v>3797.5</v>
      </c>
      <c r="K1119" s="196">
        <v>1420</v>
      </c>
      <c r="L1119" s="454" t="s">
        <v>913</v>
      </c>
      <c r="M1119" s="4" t="s">
        <v>780</v>
      </c>
      <c r="N1119" s="133" t="s">
        <v>781</v>
      </c>
      <c r="O1119" s="4" t="s">
        <v>977</v>
      </c>
      <c r="P1119" s="4" t="s">
        <v>892</v>
      </c>
      <c r="Q1119" s="4" t="s">
        <v>978</v>
      </c>
      <c r="R1119" s="4" t="s">
        <v>982</v>
      </c>
      <c r="S1119" s="4" t="s">
        <v>980</v>
      </c>
      <c r="T1119" s="4" t="s">
        <v>786</v>
      </c>
      <c r="U1119" s="4"/>
      <c r="V1119" s="4"/>
      <c r="W1119" s="4"/>
    </row>
    <row r="1120" spans="1:23" customFormat="1">
      <c r="A1120" s="10"/>
      <c r="B1120" s="4"/>
      <c r="C1120" s="4"/>
      <c r="D1120" s="4"/>
      <c r="E1120" s="4"/>
      <c r="F1120" s="152" t="s">
        <v>371</v>
      </c>
      <c r="G1120" s="4" t="s">
        <v>353</v>
      </c>
      <c r="H1120" s="4"/>
      <c r="I1120" s="196">
        <v>5542005</v>
      </c>
      <c r="J1120" s="196">
        <v>3930.5</v>
      </c>
      <c r="K1120" s="196">
        <v>1410</v>
      </c>
      <c r="L1120" s="454" t="s">
        <v>919</v>
      </c>
      <c r="M1120" s="4" t="s">
        <v>780</v>
      </c>
      <c r="N1120" s="133" t="s">
        <v>781</v>
      </c>
      <c r="O1120" s="4" t="s">
        <v>983</v>
      </c>
      <c r="P1120" s="4" t="s">
        <v>892</v>
      </c>
      <c r="Q1120" s="4" t="s">
        <v>984</v>
      </c>
      <c r="R1120" s="4" t="s">
        <v>985</v>
      </c>
      <c r="S1120" s="4" t="s">
        <v>986</v>
      </c>
      <c r="T1120" s="4" t="s">
        <v>786</v>
      </c>
      <c r="U1120" s="4"/>
      <c r="V1120" s="4"/>
      <c r="W1120" s="4"/>
    </row>
    <row r="1121" spans="1:23" customFormat="1">
      <c r="A1121" s="10"/>
      <c r="B1121" s="4"/>
      <c r="C1121" s="4"/>
      <c r="D1121" s="4"/>
      <c r="E1121" s="4"/>
      <c r="F1121" s="152" t="s">
        <v>371</v>
      </c>
      <c r="G1121" s="4" t="s">
        <v>353</v>
      </c>
      <c r="H1121" s="4"/>
      <c r="I1121" s="196">
        <v>5455750</v>
      </c>
      <c r="J1121" s="196">
        <v>3925</v>
      </c>
      <c r="K1121" s="196">
        <v>1390</v>
      </c>
      <c r="L1121" s="454" t="s">
        <v>919</v>
      </c>
      <c r="M1121" s="4" t="s">
        <v>780</v>
      </c>
      <c r="N1121" s="133" t="s">
        <v>781</v>
      </c>
      <c r="O1121" s="4" t="s">
        <v>983</v>
      </c>
      <c r="P1121" s="4" t="s">
        <v>892</v>
      </c>
      <c r="Q1121" s="4" t="s">
        <v>984</v>
      </c>
      <c r="R1121" s="4" t="s">
        <v>988</v>
      </c>
      <c r="S1121" s="4" t="s">
        <v>986</v>
      </c>
      <c r="T1121" s="4" t="s">
        <v>786</v>
      </c>
      <c r="U1121" s="4"/>
      <c r="V1121" s="4"/>
      <c r="W1121" s="4"/>
    </row>
    <row r="1122" spans="1:23" customFormat="1">
      <c r="A1122" s="10"/>
      <c r="B1122" s="4"/>
      <c r="C1122" s="4"/>
      <c r="D1122" s="4"/>
      <c r="E1122" s="4"/>
      <c r="F1122" s="152" t="s">
        <v>371</v>
      </c>
      <c r="G1122" s="4" t="s">
        <v>353</v>
      </c>
      <c r="H1122" s="4"/>
      <c r="I1122" s="196">
        <v>5278525</v>
      </c>
      <c r="J1122" s="196">
        <v>3797.5</v>
      </c>
      <c r="K1122" s="196">
        <v>1390</v>
      </c>
      <c r="L1122" s="454" t="s">
        <v>919</v>
      </c>
      <c r="M1122" s="4" t="s">
        <v>780</v>
      </c>
      <c r="N1122" s="133" t="s">
        <v>781</v>
      </c>
      <c r="O1122" s="4" t="s">
        <v>983</v>
      </c>
      <c r="P1122" s="4" t="s">
        <v>892</v>
      </c>
      <c r="Q1122" s="4" t="s">
        <v>984</v>
      </c>
      <c r="R1122" s="4" t="s">
        <v>987</v>
      </c>
      <c r="S1122" s="4" t="s">
        <v>986</v>
      </c>
      <c r="T1122" s="4" t="s">
        <v>786</v>
      </c>
      <c r="U1122" s="4"/>
      <c r="V1122" s="4"/>
      <c r="W1122" s="4"/>
    </row>
    <row r="1123" spans="1:23" customFormat="1">
      <c r="A1123" s="10"/>
      <c r="B1123" s="4"/>
      <c r="C1123" s="4"/>
      <c r="D1123" s="4"/>
      <c r="E1123" s="4"/>
      <c r="F1123" s="152" t="s">
        <v>371</v>
      </c>
      <c r="G1123" s="4" t="s">
        <v>353</v>
      </c>
      <c r="H1123" s="4"/>
      <c r="I1123" s="196">
        <v>5354475</v>
      </c>
      <c r="J1123" s="196">
        <v>3797.5</v>
      </c>
      <c r="K1123" s="196">
        <v>1410</v>
      </c>
      <c r="L1123" s="454" t="s">
        <v>1007</v>
      </c>
      <c r="M1123" s="4" t="s">
        <v>780</v>
      </c>
      <c r="N1123" s="133" t="s">
        <v>781</v>
      </c>
      <c r="O1123" s="4" t="s">
        <v>1008</v>
      </c>
      <c r="P1123" s="4" t="s">
        <v>892</v>
      </c>
      <c r="Q1123" s="4" t="s">
        <v>1009</v>
      </c>
      <c r="R1123" s="4" t="s">
        <v>1010</v>
      </c>
      <c r="S1123" s="4" t="s">
        <v>1011</v>
      </c>
      <c r="T1123" s="4" t="s">
        <v>786</v>
      </c>
      <c r="U1123" s="4"/>
      <c r="V1123" s="4"/>
      <c r="W1123" s="4"/>
    </row>
    <row r="1124" spans="1:23" customFormat="1">
      <c r="A1124" s="10"/>
      <c r="B1124" s="4"/>
      <c r="C1124" s="4"/>
      <c r="D1124" s="4"/>
      <c r="E1124" s="4"/>
      <c r="F1124" s="152" t="s">
        <v>371</v>
      </c>
      <c r="G1124" s="4" t="s">
        <v>353</v>
      </c>
      <c r="H1124" s="4"/>
      <c r="I1124" s="196">
        <v>-45000000</v>
      </c>
      <c r="J1124" s="196">
        <v>-30000</v>
      </c>
      <c r="K1124" s="196">
        <v>1500</v>
      </c>
      <c r="L1124" s="454" t="s">
        <v>1012</v>
      </c>
      <c r="M1124" s="4" t="s">
        <v>780</v>
      </c>
      <c r="N1124" s="133" t="s">
        <v>781</v>
      </c>
      <c r="O1124" s="4" t="s">
        <v>1013</v>
      </c>
      <c r="P1124" s="4" t="s">
        <v>892</v>
      </c>
      <c r="Q1124" s="4" t="s">
        <v>1014</v>
      </c>
      <c r="R1124" s="4" t="s">
        <v>1015</v>
      </c>
      <c r="S1124" s="4" t="s">
        <v>1016</v>
      </c>
      <c r="T1124" s="4" t="s">
        <v>786</v>
      </c>
      <c r="U1124" s="4"/>
      <c r="V1124" s="4"/>
      <c r="W1124" s="4"/>
    </row>
    <row r="1125" spans="1:23" customFormat="1">
      <c r="A1125" s="10"/>
      <c r="B1125" s="4"/>
      <c r="C1125" s="4"/>
      <c r="D1125" s="4"/>
      <c r="E1125" s="4"/>
      <c r="F1125" s="152" t="s">
        <v>371</v>
      </c>
      <c r="G1125" s="4" t="s">
        <v>353</v>
      </c>
      <c r="H1125" s="4"/>
      <c r="I1125" s="196">
        <v>12190500</v>
      </c>
      <c r="J1125" s="196">
        <v>8707.5</v>
      </c>
      <c r="K1125" s="196">
        <v>1400</v>
      </c>
      <c r="L1125" s="454" t="s">
        <v>1012</v>
      </c>
      <c r="M1125" s="4" t="s">
        <v>780</v>
      </c>
      <c r="N1125" s="133" t="s">
        <v>781</v>
      </c>
      <c r="O1125" s="4" t="s">
        <v>1027</v>
      </c>
      <c r="P1125" s="4" t="s">
        <v>892</v>
      </c>
      <c r="Q1125" s="4" t="s">
        <v>1028</v>
      </c>
      <c r="R1125" s="4" t="s">
        <v>1029</v>
      </c>
      <c r="S1125" s="4" t="s">
        <v>1030</v>
      </c>
      <c r="T1125" s="4" t="s">
        <v>786</v>
      </c>
      <c r="U1125" s="4"/>
      <c r="V1125" s="4"/>
      <c r="W1125" s="4"/>
    </row>
    <row r="1126" spans="1:23" customFormat="1">
      <c r="A1126" s="10"/>
      <c r="B1126" s="4"/>
      <c r="C1126" s="4"/>
      <c r="D1126" s="4"/>
      <c r="E1126" s="4"/>
      <c r="F1126" s="152" t="s">
        <v>371</v>
      </c>
      <c r="G1126" s="4" t="s">
        <v>353</v>
      </c>
      <c r="H1126" s="4"/>
      <c r="I1126" s="196">
        <v>8707500</v>
      </c>
      <c r="J1126" s="196">
        <v>5805</v>
      </c>
      <c r="K1126" s="196">
        <v>1500</v>
      </c>
      <c r="L1126" s="454" t="s">
        <v>1012</v>
      </c>
      <c r="M1126" s="4" t="s">
        <v>780</v>
      </c>
      <c r="N1126" s="133" t="s">
        <v>781</v>
      </c>
      <c r="O1126" s="4" t="s">
        <v>1027</v>
      </c>
      <c r="P1126" s="4" t="s">
        <v>892</v>
      </c>
      <c r="Q1126" s="4" t="s">
        <v>1028</v>
      </c>
      <c r="R1126" s="4" t="s">
        <v>1031</v>
      </c>
      <c r="S1126" s="4" t="s">
        <v>1030</v>
      </c>
      <c r="T1126" s="4" t="s">
        <v>786</v>
      </c>
      <c r="U1126" s="4"/>
      <c r="V1126" s="4"/>
      <c r="W1126" s="4"/>
    </row>
    <row r="1127" spans="1:23" customFormat="1">
      <c r="A1127" s="10"/>
      <c r="B1127" s="4"/>
      <c r="C1127" s="4"/>
      <c r="D1127" s="4"/>
      <c r="E1127" s="4"/>
      <c r="F1127" s="152" t="s">
        <v>371</v>
      </c>
      <c r="G1127" s="4" t="s">
        <v>353</v>
      </c>
      <c r="H1127" s="4"/>
      <c r="I1127" s="196">
        <v>-14200000</v>
      </c>
      <c r="J1127" s="196">
        <v>-10000</v>
      </c>
      <c r="K1127" s="196">
        <v>1420</v>
      </c>
      <c r="L1127" s="454" t="s">
        <v>1109</v>
      </c>
      <c r="M1127" s="4" t="s">
        <v>780</v>
      </c>
      <c r="N1127" s="133" t="s">
        <v>781</v>
      </c>
      <c r="O1127" s="4" t="s">
        <v>1110</v>
      </c>
      <c r="P1127" s="4" t="s">
        <v>892</v>
      </c>
      <c r="Q1127" s="4" t="s">
        <v>1111</v>
      </c>
      <c r="R1127" s="4"/>
      <c r="S1127" s="4" t="s">
        <v>1112</v>
      </c>
      <c r="T1127" s="4" t="s">
        <v>786</v>
      </c>
      <c r="U1127" s="4"/>
      <c r="V1127" s="4"/>
      <c r="W1127" s="4"/>
    </row>
    <row r="1128" spans="1:23" customFormat="1">
      <c r="A1128" s="10"/>
      <c r="B1128" s="4"/>
      <c r="C1128" s="4"/>
      <c r="D1128" s="4"/>
      <c r="E1128" s="4"/>
      <c r="F1128" s="152" t="s">
        <v>371</v>
      </c>
      <c r="G1128" s="4" t="s">
        <v>353</v>
      </c>
      <c r="H1128" s="4"/>
      <c r="I1128" s="196">
        <v>-106674100</v>
      </c>
      <c r="J1128" s="196">
        <v>-82057</v>
      </c>
      <c r="K1128" s="196">
        <v>1300</v>
      </c>
      <c r="L1128" s="454" t="s">
        <v>899</v>
      </c>
      <c r="M1128" s="4" t="s">
        <v>780</v>
      </c>
      <c r="N1128" s="133" t="s">
        <v>781</v>
      </c>
      <c r="O1128" s="4" t="s">
        <v>1119</v>
      </c>
      <c r="P1128" s="4" t="s">
        <v>892</v>
      </c>
      <c r="Q1128" s="4" t="s">
        <v>1120</v>
      </c>
      <c r="R1128" s="4" t="s">
        <v>1121</v>
      </c>
      <c r="S1128" s="4" t="s">
        <v>1122</v>
      </c>
      <c r="T1128" s="4" t="s">
        <v>786</v>
      </c>
      <c r="U1128" s="4"/>
      <c r="V1128" s="4"/>
      <c r="W1128" s="4"/>
    </row>
    <row r="1129" spans="1:23" customFormat="1">
      <c r="A1129" s="10"/>
      <c r="B1129" s="4"/>
      <c r="C1129" s="4"/>
      <c r="D1129" s="4"/>
      <c r="E1129" s="4"/>
      <c r="F1129" s="152" t="s">
        <v>371</v>
      </c>
      <c r="G1129" s="4" t="s">
        <v>353</v>
      </c>
      <c r="H1129" s="4"/>
      <c r="I1129" s="196">
        <v>-5609000</v>
      </c>
      <c r="J1129" s="196">
        <v>-3950</v>
      </c>
      <c r="K1129" s="196">
        <v>1420</v>
      </c>
      <c r="L1129" s="454" t="s">
        <v>1123</v>
      </c>
      <c r="M1129" s="4" t="s">
        <v>780</v>
      </c>
      <c r="N1129" s="133" t="s">
        <v>781</v>
      </c>
      <c r="O1129" s="4" t="s">
        <v>1124</v>
      </c>
      <c r="P1129" s="4" t="s">
        <v>892</v>
      </c>
      <c r="Q1129" s="4" t="s">
        <v>1125</v>
      </c>
      <c r="R1129" s="4" t="s">
        <v>1126</v>
      </c>
      <c r="S1129" s="4" t="s">
        <v>1127</v>
      </c>
      <c r="T1129" s="4" t="s">
        <v>786</v>
      </c>
      <c r="U1129" s="4"/>
      <c r="V1129" s="4"/>
      <c r="W1129" s="4"/>
    </row>
    <row r="1130" spans="1:23" customFormat="1">
      <c r="A1130" s="10"/>
      <c r="B1130" s="4"/>
      <c r="C1130" s="4"/>
      <c r="D1130" s="4"/>
      <c r="E1130" s="4"/>
      <c r="F1130" s="152" t="s">
        <v>371</v>
      </c>
      <c r="G1130" s="4" t="s">
        <v>353</v>
      </c>
      <c r="H1130" s="4"/>
      <c r="I1130" s="196">
        <v>-3095600</v>
      </c>
      <c r="J1130" s="196">
        <v>-2180</v>
      </c>
      <c r="K1130" s="196">
        <v>1420</v>
      </c>
      <c r="L1130" s="454" t="s">
        <v>1123</v>
      </c>
      <c r="M1130" s="4" t="s">
        <v>780</v>
      </c>
      <c r="N1130" s="133" t="s">
        <v>781</v>
      </c>
      <c r="O1130" s="4" t="s">
        <v>1124</v>
      </c>
      <c r="P1130" s="4" t="s">
        <v>892</v>
      </c>
      <c r="Q1130" s="4" t="s">
        <v>1125</v>
      </c>
      <c r="R1130" s="4" t="s">
        <v>1128</v>
      </c>
      <c r="S1130" s="4" t="s">
        <v>1127</v>
      </c>
      <c r="T1130" s="4" t="s">
        <v>786</v>
      </c>
      <c r="U1130" s="4"/>
      <c r="V1130" s="4"/>
      <c r="W1130" s="4"/>
    </row>
    <row r="1131" spans="1:23" customFormat="1">
      <c r="A1131" s="10"/>
      <c r="B1131" s="4"/>
      <c r="C1131" s="4"/>
      <c r="D1131" s="4"/>
      <c r="E1131" s="4"/>
      <c r="F1131" s="152" t="s">
        <v>371</v>
      </c>
      <c r="G1131" s="4" t="s">
        <v>353</v>
      </c>
      <c r="H1131" s="4"/>
      <c r="I1131" s="196">
        <v>-28400000</v>
      </c>
      <c r="J1131" s="196">
        <v>-20000</v>
      </c>
      <c r="K1131" s="196">
        <v>1420</v>
      </c>
      <c r="L1131" s="454" t="s">
        <v>1135</v>
      </c>
      <c r="M1131" s="4" t="s">
        <v>780</v>
      </c>
      <c r="N1131" s="133" t="s">
        <v>781</v>
      </c>
      <c r="O1131" s="4" t="s">
        <v>1136</v>
      </c>
      <c r="P1131" s="4" t="s">
        <v>892</v>
      </c>
      <c r="Q1131" s="4" t="s">
        <v>1137</v>
      </c>
      <c r="R1131" s="4" t="s">
        <v>1140</v>
      </c>
      <c r="S1131" s="4" t="s">
        <v>1139</v>
      </c>
      <c r="T1131" s="4" t="s">
        <v>786</v>
      </c>
      <c r="U1131" s="4"/>
      <c r="V1131" s="4"/>
      <c r="W1131" s="4"/>
    </row>
    <row r="1132" spans="1:23" customFormat="1">
      <c r="A1132" s="10"/>
      <c r="B1132" s="4"/>
      <c r="C1132" s="4"/>
      <c r="D1132" s="4"/>
      <c r="E1132" s="4"/>
      <c r="F1132" s="152" t="s">
        <v>371</v>
      </c>
      <c r="G1132" s="4" t="s">
        <v>353</v>
      </c>
      <c r="H1132" s="4"/>
      <c r="I1132" s="196">
        <v>-2795980</v>
      </c>
      <c r="J1132" s="196">
        <v>-1969</v>
      </c>
      <c r="K1132" s="196">
        <v>1420</v>
      </c>
      <c r="L1132" s="454" t="s">
        <v>1135</v>
      </c>
      <c r="M1132" s="4" t="s">
        <v>780</v>
      </c>
      <c r="N1132" s="133" t="s">
        <v>781</v>
      </c>
      <c r="O1132" s="4" t="s">
        <v>1136</v>
      </c>
      <c r="P1132" s="4" t="s">
        <v>892</v>
      </c>
      <c r="Q1132" s="4" t="s">
        <v>1137</v>
      </c>
      <c r="R1132" s="4" t="s">
        <v>1138</v>
      </c>
      <c r="S1132" s="4" t="s">
        <v>1139</v>
      </c>
      <c r="T1132" s="4" t="s">
        <v>786</v>
      </c>
      <c r="U1132" s="4"/>
      <c r="V1132" s="4"/>
      <c r="W1132" s="4"/>
    </row>
    <row r="1133" spans="1:23" customFormat="1">
      <c r="A1133" s="10"/>
      <c r="B1133" s="4"/>
      <c r="C1133" s="4"/>
      <c r="D1133" s="4"/>
      <c r="E1133" s="4"/>
      <c r="F1133" s="152" t="s">
        <v>371</v>
      </c>
      <c r="G1133" s="4" t="s">
        <v>353</v>
      </c>
      <c r="H1133" s="4"/>
      <c r="I1133" s="196">
        <v>4631850</v>
      </c>
      <c r="J1133" s="196">
        <v>3172.5</v>
      </c>
      <c r="K1133" s="196">
        <v>1460</v>
      </c>
      <c r="L1133" s="454" t="s">
        <v>1109</v>
      </c>
      <c r="M1133" s="4" t="s">
        <v>780</v>
      </c>
      <c r="N1133" s="133" t="s">
        <v>781</v>
      </c>
      <c r="O1133" s="4" t="s">
        <v>1190</v>
      </c>
      <c r="P1133" s="4" t="s">
        <v>892</v>
      </c>
      <c r="Q1133" s="4" t="s">
        <v>1191</v>
      </c>
      <c r="R1133" s="4" t="s">
        <v>1192</v>
      </c>
      <c r="S1133" s="4" t="s">
        <v>1193</v>
      </c>
      <c r="T1133" s="4" t="s">
        <v>786</v>
      </c>
      <c r="U1133" s="4"/>
      <c r="V1133" s="4"/>
      <c r="W1133" s="4"/>
    </row>
    <row r="1134" spans="1:23" customFormat="1">
      <c r="A1134" s="10"/>
      <c r="B1134" s="4"/>
      <c r="C1134" s="4"/>
      <c r="D1134" s="4"/>
      <c r="E1134" s="4"/>
      <c r="F1134" s="152" t="s">
        <v>371</v>
      </c>
      <c r="G1134" s="4" t="s">
        <v>353</v>
      </c>
      <c r="H1134" s="4"/>
      <c r="I1134" s="196">
        <v>22691600</v>
      </c>
      <c r="J1134" s="196">
        <v>15980</v>
      </c>
      <c r="K1134" s="196">
        <v>1420</v>
      </c>
      <c r="L1134" s="454" t="s">
        <v>1088</v>
      </c>
      <c r="M1134" s="4" t="s">
        <v>780</v>
      </c>
      <c r="N1134" s="133" t="s">
        <v>781</v>
      </c>
      <c r="O1134" s="4" t="s">
        <v>1194</v>
      </c>
      <c r="P1134" s="4" t="s">
        <v>892</v>
      </c>
      <c r="Q1134" s="4" t="s">
        <v>1195</v>
      </c>
      <c r="R1134" s="4" t="s">
        <v>1196</v>
      </c>
      <c r="S1134" s="4" t="s">
        <v>1197</v>
      </c>
      <c r="T1134" s="4" t="s">
        <v>786</v>
      </c>
      <c r="U1134" s="4"/>
      <c r="V1134" s="4"/>
      <c r="W1134" s="4"/>
    </row>
    <row r="1135" spans="1:23" customFormat="1">
      <c r="A1135" s="10"/>
      <c r="B1135" s="4"/>
      <c r="C1135" s="4"/>
      <c r="D1135" s="4"/>
      <c r="E1135" s="4"/>
      <c r="F1135" s="152" t="s">
        <v>371</v>
      </c>
      <c r="G1135" s="4" t="s">
        <v>353</v>
      </c>
      <c r="H1135" s="4"/>
      <c r="I1135" s="196">
        <v>-10792000</v>
      </c>
      <c r="J1135" s="196">
        <v>-7600</v>
      </c>
      <c r="K1135" s="196">
        <v>1420</v>
      </c>
      <c r="L1135" s="454" t="s">
        <v>1210</v>
      </c>
      <c r="M1135" s="4" t="s">
        <v>780</v>
      </c>
      <c r="N1135" s="133" t="s">
        <v>781</v>
      </c>
      <c r="O1135" s="4" t="s">
        <v>1221</v>
      </c>
      <c r="P1135" s="4" t="s">
        <v>892</v>
      </c>
      <c r="Q1135" s="4" t="s">
        <v>1222</v>
      </c>
      <c r="R1135" s="4" t="s">
        <v>1223</v>
      </c>
      <c r="S1135" s="4" t="s">
        <v>1224</v>
      </c>
      <c r="T1135" s="4" t="s">
        <v>786</v>
      </c>
      <c r="U1135" s="4"/>
      <c r="V1135" s="4"/>
      <c r="W1135" s="4"/>
    </row>
    <row r="1136" spans="1:23" customFormat="1">
      <c r="A1136" s="10"/>
      <c r="B1136" s="4"/>
      <c r="C1136" s="4"/>
      <c r="D1136" s="4"/>
      <c r="E1136" s="4"/>
      <c r="F1136" s="152" t="s">
        <v>371</v>
      </c>
      <c r="G1136" s="4" t="s">
        <v>353</v>
      </c>
      <c r="H1136" s="4"/>
      <c r="I1136" s="196">
        <v>-15620000</v>
      </c>
      <c r="J1136" s="196">
        <v>-11000</v>
      </c>
      <c r="K1136" s="196">
        <v>1420</v>
      </c>
      <c r="L1136" s="454" t="s">
        <v>1210</v>
      </c>
      <c r="M1136" s="4" t="s">
        <v>780</v>
      </c>
      <c r="N1136" s="133" t="s">
        <v>781</v>
      </c>
      <c r="O1136" s="4" t="s">
        <v>1221</v>
      </c>
      <c r="P1136" s="4" t="s">
        <v>892</v>
      </c>
      <c r="Q1136" s="4" t="s">
        <v>1222</v>
      </c>
      <c r="R1136" s="4" t="s">
        <v>1225</v>
      </c>
      <c r="S1136" s="4" t="s">
        <v>1224</v>
      </c>
      <c r="T1136" s="4" t="s">
        <v>786</v>
      </c>
      <c r="U1136" s="4"/>
      <c r="V1136" s="4"/>
      <c r="W1136" s="4"/>
    </row>
    <row r="1137" spans="1:23" customFormat="1">
      <c r="A1137" s="10"/>
      <c r="B1137" s="4"/>
      <c r="C1137" s="4"/>
      <c r="D1137" s="4"/>
      <c r="E1137" s="4"/>
      <c r="F1137" s="152" t="s">
        <v>371</v>
      </c>
      <c r="G1137" s="4" t="s">
        <v>353</v>
      </c>
      <c r="H1137" s="4"/>
      <c r="I1137" s="196">
        <v>4504950</v>
      </c>
      <c r="J1137" s="196">
        <v>3172.5</v>
      </c>
      <c r="K1137" s="196">
        <v>1420</v>
      </c>
      <c r="L1137" s="454" t="s">
        <v>1093</v>
      </c>
      <c r="M1137" s="4" t="s">
        <v>780</v>
      </c>
      <c r="N1137" s="133" t="s">
        <v>781</v>
      </c>
      <c r="O1137" s="4" t="s">
        <v>1254</v>
      </c>
      <c r="P1137" s="4" t="s">
        <v>892</v>
      </c>
      <c r="Q1137" s="4" t="s">
        <v>1255</v>
      </c>
      <c r="R1137" s="4" t="s">
        <v>1256</v>
      </c>
      <c r="S1137" s="4" t="s">
        <v>1257</v>
      </c>
      <c r="T1137" s="4" t="s">
        <v>786</v>
      </c>
      <c r="U1137" s="4"/>
      <c r="V1137" s="4"/>
      <c r="W1137" s="4"/>
    </row>
    <row r="1138" spans="1:23" customFormat="1">
      <c r="A1138" s="10"/>
      <c r="B1138" s="4"/>
      <c r="C1138" s="4"/>
      <c r="D1138" s="4"/>
      <c r="E1138" s="4"/>
      <c r="F1138" s="152" t="s">
        <v>371</v>
      </c>
      <c r="G1138" s="4" t="s">
        <v>353</v>
      </c>
      <c r="H1138" s="4"/>
      <c r="I1138" s="196">
        <v>1547800</v>
      </c>
      <c r="J1138" s="196">
        <v>1090</v>
      </c>
      <c r="K1138" s="196">
        <v>1420</v>
      </c>
      <c r="L1138" s="454" t="s">
        <v>1258</v>
      </c>
      <c r="M1138" s="4" t="s">
        <v>780</v>
      </c>
      <c r="N1138" s="133" t="s">
        <v>781</v>
      </c>
      <c r="O1138" s="4" t="s">
        <v>1259</v>
      </c>
      <c r="P1138" s="4" t="s">
        <v>892</v>
      </c>
      <c r="Q1138" s="4" t="s">
        <v>1260</v>
      </c>
      <c r="R1138" s="4" t="s">
        <v>1266</v>
      </c>
      <c r="S1138" s="4" t="s">
        <v>1262</v>
      </c>
      <c r="T1138" s="4" t="s">
        <v>786</v>
      </c>
      <c r="U1138" s="4"/>
      <c r="V1138" s="4"/>
      <c r="W1138" s="4"/>
    </row>
    <row r="1139" spans="1:23" customFormat="1">
      <c r="A1139" s="10"/>
      <c r="B1139" s="4"/>
      <c r="C1139" s="4"/>
      <c r="D1139" s="4"/>
      <c r="E1139" s="4"/>
      <c r="F1139" s="152" t="s">
        <v>371</v>
      </c>
      <c r="G1139" s="4" t="s">
        <v>353</v>
      </c>
      <c r="H1139" s="4"/>
      <c r="I1139" s="196">
        <v>3095600</v>
      </c>
      <c r="J1139" s="196">
        <v>2180</v>
      </c>
      <c r="K1139" s="196">
        <v>1420</v>
      </c>
      <c r="L1139" s="454" t="s">
        <v>1258</v>
      </c>
      <c r="M1139" s="4" t="s">
        <v>780</v>
      </c>
      <c r="N1139" s="133" t="s">
        <v>781</v>
      </c>
      <c r="O1139" s="4" t="s">
        <v>1259</v>
      </c>
      <c r="P1139" s="4" t="s">
        <v>892</v>
      </c>
      <c r="Q1139" s="4" t="s">
        <v>1260</v>
      </c>
      <c r="R1139" s="4" t="s">
        <v>1265</v>
      </c>
      <c r="S1139" s="4" t="s">
        <v>1262</v>
      </c>
      <c r="T1139" s="4" t="s">
        <v>786</v>
      </c>
      <c r="U1139" s="4"/>
      <c r="V1139" s="4"/>
      <c r="W1139" s="4"/>
    </row>
    <row r="1140" spans="1:23" customFormat="1">
      <c r="A1140" s="10"/>
      <c r="B1140" s="4"/>
      <c r="C1140" s="4"/>
      <c r="D1140" s="4"/>
      <c r="E1140" s="4"/>
      <c r="F1140" s="152" t="s">
        <v>371</v>
      </c>
      <c r="G1140" s="4" t="s">
        <v>353</v>
      </c>
      <c r="H1140" s="4"/>
      <c r="I1140" s="196">
        <v>1547800</v>
      </c>
      <c r="J1140" s="196">
        <v>1090</v>
      </c>
      <c r="K1140" s="196">
        <v>1420</v>
      </c>
      <c r="L1140" s="454" t="s">
        <v>1258</v>
      </c>
      <c r="M1140" s="4" t="s">
        <v>780</v>
      </c>
      <c r="N1140" s="133" t="s">
        <v>781</v>
      </c>
      <c r="O1140" s="4" t="s">
        <v>1259</v>
      </c>
      <c r="P1140" s="4" t="s">
        <v>892</v>
      </c>
      <c r="Q1140" s="4" t="s">
        <v>1260</v>
      </c>
      <c r="R1140" s="4" t="s">
        <v>1264</v>
      </c>
      <c r="S1140" s="4" t="s">
        <v>1262</v>
      </c>
      <c r="T1140" s="4" t="s">
        <v>786</v>
      </c>
      <c r="U1140" s="4"/>
      <c r="V1140" s="4"/>
      <c r="W1140" s="4"/>
    </row>
    <row r="1141" spans="1:23" customFormat="1">
      <c r="A1141" s="10"/>
      <c r="B1141" s="4"/>
      <c r="C1141" s="4"/>
      <c r="D1141" s="4"/>
      <c r="E1141" s="4"/>
      <c r="F1141" s="152" t="s">
        <v>371</v>
      </c>
      <c r="G1141" s="4" t="s">
        <v>353</v>
      </c>
      <c r="H1141" s="4"/>
      <c r="I1141" s="196">
        <v>3095600</v>
      </c>
      <c r="J1141" s="196">
        <v>2180</v>
      </c>
      <c r="K1141" s="196">
        <v>1420</v>
      </c>
      <c r="L1141" s="454" t="s">
        <v>1258</v>
      </c>
      <c r="M1141" s="4" t="s">
        <v>780</v>
      </c>
      <c r="N1141" s="133" t="s">
        <v>781</v>
      </c>
      <c r="O1141" s="4" t="s">
        <v>1259</v>
      </c>
      <c r="P1141" s="4" t="s">
        <v>892</v>
      </c>
      <c r="Q1141" s="4" t="s">
        <v>1260</v>
      </c>
      <c r="R1141" s="4" t="s">
        <v>1263</v>
      </c>
      <c r="S1141" s="4" t="s">
        <v>1262</v>
      </c>
      <c r="T1141" s="4" t="s">
        <v>786</v>
      </c>
      <c r="U1141" s="4"/>
      <c r="V1141" s="4"/>
      <c r="W1141" s="4"/>
    </row>
    <row r="1142" spans="1:23" customFormat="1">
      <c r="A1142" s="10"/>
      <c r="B1142" s="4"/>
      <c r="C1142" s="4"/>
      <c r="D1142" s="4"/>
      <c r="E1142" s="4"/>
      <c r="F1142" s="152" t="s">
        <v>371</v>
      </c>
      <c r="G1142" s="4" t="s">
        <v>353</v>
      </c>
      <c r="H1142" s="4"/>
      <c r="I1142" s="196">
        <v>3095600</v>
      </c>
      <c r="J1142" s="196">
        <v>2180</v>
      </c>
      <c r="K1142" s="196">
        <v>1420</v>
      </c>
      <c r="L1142" s="454" t="s">
        <v>1258</v>
      </c>
      <c r="M1142" s="4" t="s">
        <v>780</v>
      </c>
      <c r="N1142" s="133" t="s">
        <v>781</v>
      </c>
      <c r="O1142" s="4" t="s">
        <v>1259</v>
      </c>
      <c r="P1142" s="4" t="s">
        <v>892</v>
      </c>
      <c r="Q1142" s="4" t="s">
        <v>1260</v>
      </c>
      <c r="R1142" s="4" t="s">
        <v>1261</v>
      </c>
      <c r="S1142" s="4" t="s">
        <v>1262</v>
      </c>
      <c r="T1142" s="4" t="s">
        <v>786</v>
      </c>
      <c r="U1142" s="4"/>
      <c r="V1142" s="4"/>
      <c r="W1142" s="4"/>
    </row>
    <row r="1143" spans="1:23" customFormat="1">
      <c r="A1143" s="10"/>
      <c r="B1143" s="4"/>
      <c r="C1143" s="4"/>
      <c r="D1143" s="4"/>
      <c r="E1143" s="4"/>
      <c r="F1143" s="152" t="s">
        <v>371</v>
      </c>
      <c r="G1143" s="4" t="s">
        <v>353</v>
      </c>
      <c r="H1143" s="4"/>
      <c r="I1143" s="196">
        <v>9719900</v>
      </c>
      <c r="J1143" s="196">
        <v>6845</v>
      </c>
      <c r="K1143" s="196">
        <v>1420</v>
      </c>
      <c r="L1143" s="454" t="s">
        <v>1267</v>
      </c>
      <c r="M1143" s="4" t="s">
        <v>780</v>
      </c>
      <c r="N1143" s="133" t="s">
        <v>781</v>
      </c>
      <c r="O1143" s="4" t="s">
        <v>1268</v>
      </c>
      <c r="P1143" s="4" t="s">
        <v>892</v>
      </c>
      <c r="Q1143" s="4" t="s">
        <v>1269</v>
      </c>
      <c r="R1143" s="4" t="s">
        <v>1270</v>
      </c>
      <c r="S1143" s="4" t="s">
        <v>1271</v>
      </c>
      <c r="T1143" s="4" t="s">
        <v>786</v>
      </c>
      <c r="U1143" s="4"/>
      <c r="V1143" s="4"/>
      <c r="W1143" s="4"/>
    </row>
    <row r="1144" spans="1:23" customFormat="1">
      <c r="A1144" s="10"/>
      <c r="B1144" s="4"/>
      <c r="C1144" s="4"/>
      <c r="D1144" s="4"/>
      <c r="E1144" s="4"/>
      <c r="F1144" s="152" t="s">
        <v>371</v>
      </c>
      <c r="G1144" s="4" t="s">
        <v>353</v>
      </c>
      <c r="H1144" s="4"/>
      <c r="I1144" s="196">
        <v>5325350</v>
      </c>
      <c r="J1144" s="196">
        <v>3647.5</v>
      </c>
      <c r="K1144" s="196">
        <v>1460</v>
      </c>
      <c r="L1144" s="454" t="s">
        <v>1109</v>
      </c>
      <c r="M1144" s="4" t="s">
        <v>780</v>
      </c>
      <c r="N1144" s="133" t="s">
        <v>1272</v>
      </c>
      <c r="O1144" s="4" t="s">
        <v>1190</v>
      </c>
      <c r="P1144" s="4" t="s">
        <v>892</v>
      </c>
      <c r="Q1144" s="4" t="s">
        <v>1191</v>
      </c>
      <c r="R1144" s="4" t="s">
        <v>1372</v>
      </c>
      <c r="S1144" s="4" t="s">
        <v>1193</v>
      </c>
      <c r="T1144" s="4" t="s">
        <v>786</v>
      </c>
      <c r="U1144" s="4"/>
      <c r="V1144" s="4"/>
      <c r="W1144" s="4"/>
    </row>
    <row r="1145" spans="1:23" customFormat="1">
      <c r="A1145" s="10"/>
      <c r="B1145" s="4"/>
      <c r="C1145" s="4"/>
      <c r="D1145" s="4"/>
      <c r="E1145" s="4"/>
      <c r="F1145" s="152" t="s">
        <v>371</v>
      </c>
      <c r="G1145" s="4" t="s">
        <v>353</v>
      </c>
      <c r="H1145" s="4"/>
      <c r="I1145" s="196">
        <v>5179450</v>
      </c>
      <c r="J1145" s="196">
        <v>3647.5</v>
      </c>
      <c r="K1145" s="196">
        <v>1420</v>
      </c>
      <c r="L1145" s="454" t="s">
        <v>1088</v>
      </c>
      <c r="M1145" s="4" t="s">
        <v>780</v>
      </c>
      <c r="N1145" s="133" t="s">
        <v>1272</v>
      </c>
      <c r="O1145" s="4" t="s">
        <v>1194</v>
      </c>
      <c r="P1145" s="4" t="s">
        <v>892</v>
      </c>
      <c r="Q1145" s="4" t="s">
        <v>1195</v>
      </c>
      <c r="R1145" s="4" t="s">
        <v>1373</v>
      </c>
      <c r="S1145" s="4" t="s">
        <v>1197</v>
      </c>
      <c r="T1145" s="4" t="s">
        <v>786</v>
      </c>
      <c r="U1145" s="4"/>
      <c r="V1145" s="4"/>
      <c r="W1145" s="4"/>
    </row>
    <row r="1146" spans="1:23" customFormat="1">
      <c r="A1146" s="10"/>
      <c r="B1146" s="4"/>
      <c r="C1146" s="4"/>
      <c r="D1146" s="4"/>
      <c r="E1146" s="4"/>
      <c r="F1146" s="152" t="s">
        <v>371</v>
      </c>
      <c r="G1146" s="4" t="s">
        <v>353</v>
      </c>
      <c r="H1146" s="4"/>
      <c r="I1146" s="196">
        <v>5609000</v>
      </c>
      <c r="J1146" s="196">
        <v>3950</v>
      </c>
      <c r="K1146" s="196">
        <v>1420</v>
      </c>
      <c r="L1146" s="454" t="s">
        <v>1123</v>
      </c>
      <c r="M1146" s="4" t="s">
        <v>780</v>
      </c>
      <c r="N1146" s="133" t="s">
        <v>1272</v>
      </c>
      <c r="O1146" s="4" t="s">
        <v>1374</v>
      </c>
      <c r="P1146" s="4" t="s">
        <v>892</v>
      </c>
      <c r="Q1146" s="4" t="s">
        <v>1375</v>
      </c>
      <c r="R1146" s="4" t="s">
        <v>1378</v>
      </c>
      <c r="S1146" s="4" t="s">
        <v>1377</v>
      </c>
      <c r="T1146" s="4" t="s">
        <v>786</v>
      </c>
      <c r="U1146" s="4"/>
      <c r="V1146" s="4"/>
      <c r="W1146" s="4"/>
    </row>
    <row r="1147" spans="1:23" customFormat="1">
      <c r="A1147" s="10"/>
      <c r="B1147" s="4"/>
      <c r="C1147" s="4"/>
      <c r="D1147" s="4"/>
      <c r="E1147" s="4"/>
      <c r="F1147" s="152" t="s">
        <v>371</v>
      </c>
      <c r="G1147" s="4" t="s">
        <v>353</v>
      </c>
      <c r="H1147" s="4"/>
      <c r="I1147" s="196">
        <v>3095600</v>
      </c>
      <c r="J1147" s="196">
        <v>2180</v>
      </c>
      <c r="K1147" s="196">
        <v>1420</v>
      </c>
      <c r="L1147" s="454" t="s">
        <v>1123</v>
      </c>
      <c r="M1147" s="4" t="s">
        <v>780</v>
      </c>
      <c r="N1147" s="133" t="s">
        <v>1272</v>
      </c>
      <c r="O1147" s="4" t="s">
        <v>1374</v>
      </c>
      <c r="P1147" s="4" t="s">
        <v>892</v>
      </c>
      <c r="Q1147" s="4" t="s">
        <v>1375</v>
      </c>
      <c r="R1147" s="4" t="s">
        <v>1376</v>
      </c>
      <c r="S1147" s="4" t="s">
        <v>1377</v>
      </c>
      <c r="T1147" s="4" t="s">
        <v>786</v>
      </c>
      <c r="U1147" s="4"/>
      <c r="V1147" s="4"/>
      <c r="W1147" s="4"/>
    </row>
    <row r="1148" spans="1:23" customFormat="1">
      <c r="A1148" s="10"/>
      <c r="B1148" s="4"/>
      <c r="C1148" s="4"/>
      <c r="D1148" s="4"/>
      <c r="E1148" s="4"/>
      <c r="F1148" s="152" t="s">
        <v>371</v>
      </c>
      <c r="G1148" s="4" t="s">
        <v>353</v>
      </c>
      <c r="H1148" s="4"/>
      <c r="I1148" s="196">
        <v>6617200</v>
      </c>
      <c r="J1148" s="196">
        <v>4660</v>
      </c>
      <c r="K1148" s="196">
        <v>1420</v>
      </c>
      <c r="L1148" s="454" t="s">
        <v>1210</v>
      </c>
      <c r="M1148" s="4" t="s">
        <v>780</v>
      </c>
      <c r="N1148" s="133" t="s">
        <v>1272</v>
      </c>
      <c r="O1148" s="4" t="s">
        <v>1397</v>
      </c>
      <c r="P1148" s="4" t="s">
        <v>892</v>
      </c>
      <c r="Q1148" s="4" t="s">
        <v>1398</v>
      </c>
      <c r="R1148" s="4" t="s">
        <v>1399</v>
      </c>
      <c r="S1148" s="4" t="s">
        <v>1400</v>
      </c>
      <c r="T1148" s="4" t="s">
        <v>786</v>
      </c>
      <c r="U1148" s="4"/>
      <c r="V1148" s="4"/>
      <c r="W1148" s="4"/>
    </row>
    <row r="1149" spans="1:23" customFormat="1">
      <c r="A1149" s="10"/>
      <c r="B1149" s="4"/>
      <c r="C1149" s="4"/>
      <c r="D1149" s="4"/>
      <c r="E1149" s="4"/>
      <c r="F1149" s="152" t="s">
        <v>371</v>
      </c>
      <c r="G1149" s="4" t="s">
        <v>353</v>
      </c>
      <c r="H1149" s="4"/>
      <c r="I1149" s="196">
        <v>16081500</v>
      </c>
      <c r="J1149" s="196">
        <v>11325</v>
      </c>
      <c r="K1149" s="196">
        <v>1420</v>
      </c>
      <c r="L1149" s="454" t="s">
        <v>1267</v>
      </c>
      <c r="M1149" s="4" t="s">
        <v>780</v>
      </c>
      <c r="N1149" s="133" t="s">
        <v>1272</v>
      </c>
      <c r="O1149" s="4" t="s">
        <v>1268</v>
      </c>
      <c r="P1149" s="4" t="s">
        <v>892</v>
      </c>
      <c r="Q1149" s="4" t="s">
        <v>1269</v>
      </c>
      <c r="R1149" s="4" t="s">
        <v>1401</v>
      </c>
      <c r="S1149" s="4" t="s">
        <v>1271</v>
      </c>
      <c r="T1149" s="4" t="s">
        <v>786</v>
      </c>
      <c r="U1149" s="4"/>
      <c r="V1149" s="4"/>
      <c r="W1149" s="4"/>
    </row>
    <row r="1150" spans="1:23" customFormat="1">
      <c r="A1150" s="10"/>
      <c r="B1150" s="4"/>
      <c r="C1150" s="4"/>
      <c r="D1150" s="4"/>
      <c r="E1150" s="4"/>
      <c r="F1150" s="152" t="s">
        <v>371</v>
      </c>
      <c r="G1150" s="4" t="s">
        <v>353</v>
      </c>
      <c r="H1150" s="4"/>
      <c r="I1150" s="196">
        <v>6850200</v>
      </c>
      <c r="J1150" s="196">
        <v>4660</v>
      </c>
      <c r="K1150" s="196">
        <v>1470</v>
      </c>
      <c r="L1150" s="454" t="s">
        <v>1239</v>
      </c>
      <c r="M1150" s="4" t="s">
        <v>780</v>
      </c>
      <c r="N1150" s="133" t="s">
        <v>1272</v>
      </c>
      <c r="O1150" s="4" t="s">
        <v>1402</v>
      </c>
      <c r="P1150" s="4" t="s">
        <v>892</v>
      </c>
      <c r="Q1150" s="4" t="s">
        <v>1403</v>
      </c>
      <c r="R1150" s="4" t="s">
        <v>1404</v>
      </c>
      <c r="S1150" s="4" t="s">
        <v>1405</v>
      </c>
      <c r="T1150" s="4" t="s">
        <v>786</v>
      </c>
      <c r="U1150" s="4"/>
      <c r="V1150" s="4"/>
      <c r="W1150" s="4"/>
    </row>
    <row r="1151" spans="1:23" customFormat="1">
      <c r="A1151" s="10"/>
      <c r="B1151" s="4"/>
      <c r="C1151" s="4"/>
      <c r="D1151" s="4"/>
      <c r="E1151" s="4"/>
      <c r="F1151" s="152" t="s">
        <v>371</v>
      </c>
      <c r="G1151" s="4" t="s">
        <v>353</v>
      </c>
      <c r="H1151" s="4"/>
      <c r="I1151" s="196">
        <v>-16900000</v>
      </c>
      <c r="J1151" s="196">
        <v>-13000</v>
      </c>
      <c r="K1151" s="196">
        <v>1300</v>
      </c>
      <c r="L1151" s="454" t="s">
        <v>1406</v>
      </c>
      <c r="M1151" s="4" t="s">
        <v>780</v>
      </c>
      <c r="N1151" s="133" t="s">
        <v>1407</v>
      </c>
      <c r="O1151" s="4" t="s">
        <v>1408</v>
      </c>
      <c r="P1151" s="4" t="s">
        <v>783</v>
      </c>
      <c r="Q1151" s="4" t="s">
        <v>1409</v>
      </c>
      <c r="R1151" s="4"/>
      <c r="S1151" s="4" t="s">
        <v>1410</v>
      </c>
      <c r="T1151" s="4" t="s">
        <v>786</v>
      </c>
      <c r="U1151" s="4"/>
      <c r="V1151" s="4"/>
      <c r="W1151" s="4"/>
    </row>
    <row r="1152" spans="1:23" customFormat="1">
      <c r="A1152" s="10"/>
      <c r="B1152" s="4"/>
      <c r="C1152" s="4"/>
      <c r="D1152" s="4"/>
      <c r="E1152" s="4"/>
      <c r="F1152" s="152" t="s">
        <v>371</v>
      </c>
      <c r="G1152" s="4" t="s">
        <v>353</v>
      </c>
      <c r="H1152" s="4"/>
      <c r="I1152" s="196">
        <v>16900000</v>
      </c>
      <c r="J1152" s="196">
        <v>13000</v>
      </c>
      <c r="K1152" s="196">
        <v>1300</v>
      </c>
      <c r="L1152" s="454" t="s">
        <v>1406</v>
      </c>
      <c r="M1152" s="4" t="s">
        <v>780</v>
      </c>
      <c r="N1152" s="133" t="s">
        <v>1407</v>
      </c>
      <c r="O1152" s="4" t="s">
        <v>1411</v>
      </c>
      <c r="P1152" s="4" t="s">
        <v>783</v>
      </c>
      <c r="Q1152" s="4" t="s">
        <v>1412</v>
      </c>
      <c r="R1152" s="4"/>
      <c r="S1152" s="4" t="s">
        <v>1413</v>
      </c>
      <c r="T1152" s="4" t="s">
        <v>786</v>
      </c>
      <c r="U1152" s="4"/>
      <c r="V1152" s="4"/>
      <c r="W1152" s="4"/>
    </row>
    <row r="1153" spans="1:23" customFormat="1">
      <c r="A1153" s="10"/>
      <c r="B1153" s="4"/>
      <c r="C1153" s="4"/>
      <c r="D1153" s="4"/>
      <c r="E1153" s="4"/>
      <c r="F1153" s="152" t="s">
        <v>371</v>
      </c>
      <c r="G1153" s="4" t="s">
        <v>353</v>
      </c>
      <c r="H1153" s="4"/>
      <c r="I1153" s="196">
        <v>-780000</v>
      </c>
      <c r="J1153" s="196">
        <v>-600</v>
      </c>
      <c r="K1153" s="196">
        <v>1300</v>
      </c>
      <c r="L1153" s="454" t="s">
        <v>811</v>
      </c>
      <c r="M1153" s="4" t="s">
        <v>780</v>
      </c>
      <c r="N1153" s="133" t="s">
        <v>1407</v>
      </c>
      <c r="O1153" s="4" t="s">
        <v>812</v>
      </c>
      <c r="P1153" s="4" t="s">
        <v>783</v>
      </c>
      <c r="Q1153" s="4" t="s">
        <v>813</v>
      </c>
      <c r="R1153" s="4" t="s">
        <v>1435</v>
      </c>
      <c r="S1153" s="4" t="s">
        <v>815</v>
      </c>
      <c r="T1153" s="4" t="s">
        <v>786</v>
      </c>
      <c r="U1153" s="4"/>
      <c r="V1153" s="4"/>
      <c r="W1153" s="4"/>
    </row>
    <row r="1154" spans="1:23" customFormat="1">
      <c r="A1154" s="10"/>
      <c r="B1154" s="4"/>
      <c r="C1154" s="4"/>
      <c r="D1154" s="4"/>
      <c r="E1154" s="4"/>
      <c r="F1154" s="152" t="s">
        <v>371</v>
      </c>
      <c r="G1154" s="4" t="s">
        <v>353</v>
      </c>
      <c r="H1154" s="4"/>
      <c r="I1154" s="196">
        <v>-828750</v>
      </c>
      <c r="J1154" s="196">
        <v>-637.5</v>
      </c>
      <c r="K1154" s="196">
        <v>1300</v>
      </c>
      <c r="L1154" s="454" t="s">
        <v>811</v>
      </c>
      <c r="M1154" s="4" t="s">
        <v>780</v>
      </c>
      <c r="N1154" s="133" t="s">
        <v>1407</v>
      </c>
      <c r="O1154" s="4" t="s">
        <v>812</v>
      </c>
      <c r="P1154" s="4" t="s">
        <v>783</v>
      </c>
      <c r="Q1154" s="4" t="s">
        <v>813</v>
      </c>
      <c r="R1154" s="4" t="s">
        <v>1436</v>
      </c>
      <c r="S1154" s="4" t="s">
        <v>815</v>
      </c>
      <c r="T1154" s="4" t="s">
        <v>786</v>
      </c>
      <c r="U1154" s="4"/>
      <c r="V1154" s="4"/>
      <c r="W1154" s="4"/>
    </row>
    <row r="1155" spans="1:23" customFormat="1">
      <c r="A1155" s="10"/>
      <c r="B1155" s="4"/>
      <c r="C1155" s="4"/>
      <c r="D1155" s="4"/>
      <c r="E1155" s="4"/>
      <c r="F1155" s="152" t="s">
        <v>371</v>
      </c>
      <c r="G1155" s="4" t="s">
        <v>353</v>
      </c>
      <c r="H1155" s="4"/>
      <c r="I1155" s="196">
        <v>-136500000</v>
      </c>
      <c r="J1155" s="196">
        <v>-105000</v>
      </c>
      <c r="K1155" s="196">
        <v>1300</v>
      </c>
      <c r="L1155" s="454" t="s">
        <v>811</v>
      </c>
      <c r="M1155" s="4" t="s">
        <v>780</v>
      </c>
      <c r="N1155" s="133" t="s">
        <v>1407</v>
      </c>
      <c r="O1155" s="4" t="s">
        <v>812</v>
      </c>
      <c r="P1155" s="4" t="s">
        <v>783</v>
      </c>
      <c r="Q1155" s="4" t="s">
        <v>813</v>
      </c>
      <c r="R1155" s="4" t="s">
        <v>1437</v>
      </c>
      <c r="S1155" s="4" t="s">
        <v>815</v>
      </c>
      <c r="T1155" s="4" t="s">
        <v>786</v>
      </c>
      <c r="U1155" s="4"/>
      <c r="V1155" s="4"/>
      <c r="W1155" s="4"/>
    </row>
    <row r="1156" spans="1:23" customFormat="1">
      <c r="A1156" s="10"/>
      <c r="B1156" s="4"/>
      <c r="C1156" s="4"/>
      <c r="D1156" s="4"/>
      <c r="E1156" s="4"/>
      <c r="F1156" s="152" t="s">
        <v>371</v>
      </c>
      <c r="G1156" s="4" t="s">
        <v>353</v>
      </c>
      <c r="H1156" s="4"/>
      <c r="I1156" s="196">
        <v>-2125500</v>
      </c>
      <c r="J1156" s="196">
        <v>-1635</v>
      </c>
      <c r="K1156" s="196">
        <v>1300</v>
      </c>
      <c r="L1156" s="454" t="s">
        <v>811</v>
      </c>
      <c r="M1156" s="4" t="s">
        <v>780</v>
      </c>
      <c r="N1156" s="133" t="s">
        <v>1407</v>
      </c>
      <c r="O1156" s="4" t="s">
        <v>812</v>
      </c>
      <c r="P1156" s="4" t="s">
        <v>783</v>
      </c>
      <c r="Q1156" s="4" t="s">
        <v>813</v>
      </c>
      <c r="R1156" s="4" t="s">
        <v>1438</v>
      </c>
      <c r="S1156" s="4" t="s">
        <v>815</v>
      </c>
      <c r="T1156" s="4" t="s">
        <v>786</v>
      </c>
      <c r="U1156" s="4"/>
      <c r="V1156" s="4"/>
      <c r="W1156" s="4"/>
    </row>
    <row r="1157" spans="1:23" customFormat="1">
      <c r="A1157" s="10"/>
      <c r="B1157" s="4"/>
      <c r="C1157" s="4"/>
      <c r="D1157" s="4"/>
      <c r="E1157" s="4"/>
      <c r="F1157" s="152" t="s">
        <v>371</v>
      </c>
      <c r="G1157" s="4" t="s">
        <v>353</v>
      </c>
      <c r="H1157" s="4"/>
      <c r="I1157" s="196">
        <v>-36990000</v>
      </c>
      <c r="J1157" s="196">
        <v>-27000</v>
      </c>
      <c r="K1157" s="196">
        <v>1370</v>
      </c>
      <c r="L1157" s="454" t="s">
        <v>817</v>
      </c>
      <c r="M1157" s="4" t="s">
        <v>780</v>
      </c>
      <c r="N1157" s="133" t="s">
        <v>1407</v>
      </c>
      <c r="O1157" s="4" t="s">
        <v>818</v>
      </c>
      <c r="P1157" s="4" t="s">
        <v>783</v>
      </c>
      <c r="Q1157" s="4" t="s">
        <v>819</v>
      </c>
      <c r="R1157" s="4" t="s">
        <v>1439</v>
      </c>
      <c r="S1157" s="4" t="s">
        <v>821</v>
      </c>
      <c r="T1157" s="4" t="s">
        <v>786</v>
      </c>
      <c r="U1157" s="4"/>
      <c r="V1157" s="4"/>
      <c r="W1157" s="4"/>
    </row>
    <row r="1158" spans="1:23" customFormat="1">
      <c r="A1158" s="10"/>
      <c r="B1158" s="4"/>
      <c r="C1158" s="4"/>
      <c r="D1158" s="4"/>
      <c r="E1158" s="4"/>
      <c r="F1158" s="152" t="s">
        <v>371</v>
      </c>
      <c r="G1158" s="4" t="s">
        <v>353</v>
      </c>
      <c r="H1158" s="4"/>
      <c r="I1158" s="196">
        <v>-4703210</v>
      </c>
      <c r="J1158" s="196">
        <v>-3433</v>
      </c>
      <c r="K1158" s="196">
        <v>1370</v>
      </c>
      <c r="L1158" s="454" t="s">
        <v>817</v>
      </c>
      <c r="M1158" s="4" t="s">
        <v>780</v>
      </c>
      <c r="N1158" s="133" t="s">
        <v>1407</v>
      </c>
      <c r="O1158" s="4" t="s">
        <v>818</v>
      </c>
      <c r="P1158" s="4" t="s">
        <v>783</v>
      </c>
      <c r="Q1158" s="4" t="s">
        <v>819</v>
      </c>
      <c r="R1158" s="4" t="s">
        <v>1440</v>
      </c>
      <c r="S1158" s="4" t="s">
        <v>821</v>
      </c>
      <c r="T1158" s="4" t="s">
        <v>786</v>
      </c>
      <c r="U1158" s="4"/>
      <c r="V1158" s="4"/>
      <c r="W1158" s="4"/>
    </row>
    <row r="1159" spans="1:23" customFormat="1">
      <c r="A1159" s="10"/>
      <c r="B1159" s="4"/>
      <c r="C1159" s="4"/>
      <c r="D1159" s="4"/>
      <c r="E1159" s="4"/>
      <c r="F1159" s="152" t="s">
        <v>371</v>
      </c>
      <c r="G1159" s="4" t="s">
        <v>353</v>
      </c>
      <c r="H1159" s="4"/>
      <c r="I1159" s="196">
        <v>-16900000</v>
      </c>
      <c r="J1159" s="196">
        <v>-13000</v>
      </c>
      <c r="K1159" s="196">
        <v>1300</v>
      </c>
      <c r="L1159" s="454" t="s">
        <v>1406</v>
      </c>
      <c r="M1159" s="4" t="s">
        <v>780</v>
      </c>
      <c r="N1159" s="133" t="s">
        <v>1407</v>
      </c>
      <c r="O1159" s="4" t="s">
        <v>1441</v>
      </c>
      <c r="P1159" s="4" t="s">
        <v>783</v>
      </c>
      <c r="Q1159" s="4" t="s">
        <v>1442</v>
      </c>
      <c r="R1159" s="4" t="s">
        <v>1443</v>
      </c>
      <c r="S1159" s="4" t="s">
        <v>1444</v>
      </c>
      <c r="T1159" s="4" t="s">
        <v>786</v>
      </c>
      <c r="U1159" s="4"/>
      <c r="V1159" s="4"/>
      <c r="W1159" s="4"/>
    </row>
    <row r="1160" spans="1:23" customFormat="1">
      <c r="A1160" s="10"/>
      <c r="B1160" s="4"/>
      <c r="C1160" s="4"/>
      <c r="D1160" s="4"/>
      <c r="E1160" s="4"/>
      <c r="F1160" s="152" t="s">
        <v>371</v>
      </c>
      <c r="G1160" s="4" t="s">
        <v>353</v>
      </c>
      <c r="H1160" s="4"/>
      <c r="I1160" s="196">
        <v>-45440000</v>
      </c>
      <c r="J1160" s="196">
        <v>-32000</v>
      </c>
      <c r="K1160" s="196">
        <v>1420</v>
      </c>
      <c r="L1160" s="454" t="s">
        <v>825</v>
      </c>
      <c r="M1160" s="4" t="s">
        <v>780</v>
      </c>
      <c r="N1160" s="133" t="s">
        <v>1407</v>
      </c>
      <c r="O1160" s="4" t="s">
        <v>826</v>
      </c>
      <c r="P1160" s="4" t="s">
        <v>783</v>
      </c>
      <c r="Q1160" s="4" t="s">
        <v>827</v>
      </c>
      <c r="R1160" s="4" t="s">
        <v>1445</v>
      </c>
      <c r="S1160" s="4" t="s">
        <v>829</v>
      </c>
      <c r="T1160" s="4" t="s">
        <v>786</v>
      </c>
      <c r="U1160" s="4"/>
      <c r="V1160" s="4"/>
      <c r="W1160" s="4"/>
    </row>
    <row r="1161" spans="1:23" customFormat="1">
      <c r="A1161" s="10"/>
      <c r="B1161" s="4"/>
      <c r="C1161" s="4"/>
      <c r="D1161" s="4"/>
      <c r="E1161" s="4"/>
      <c r="F1161" s="152" t="s">
        <v>371</v>
      </c>
      <c r="G1161" s="4" t="s">
        <v>353</v>
      </c>
      <c r="H1161" s="4"/>
      <c r="I1161" s="196">
        <v>3367000</v>
      </c>
      <c r="J1161" s="196">
        <v>2590</v>
      </c>
      <c r="K1161" s="196">
        <v>1300</v>
      </c>
      <c r="L1161" s="454" t="s">
        <v>811</v>
      </c>
      <c r="M1161" s="4" t="s">
        <v>780</v>
      </c>
      <c r="N1161" s="133" t="s">
        <v>1407</v>
      </c>
      <c r="O1161" s="4" t="s">
        <v>877</v>
      </c>
      <c r="P1161" s="4" t="s">
        <v>783</v>
      </c>
      <c r="Q1161" s="4" t="s">
        <v>878</v>
      </c>
      <c r="R1161" s="4" t="s">
        <v>1535</v>
      </c>
      <c r="S1161" s="4" t="s">
        <v>880</v>
      </c>
      <c r="T1161" s="4" t="s">
        <v>786</v>
      </c>
      <c r="U1161" s="4"/>
      <c r="V1161" s="4"/>
      <c r="W1161" s="4"/>
    </row>
    <row r="1162" spans="1:23" customFormat="1">
      <c r="A1162" s="10"/>
      <c r="B1162" s="4"/>
      <c r="C1162" s="4"/>
      <c r="D1162" s="4"/>
      <c r="E1162" s="4"/>
      <c r="F1162" s="152" t="s">
        <v>371</v>
      </c>
      <c r="G1162" s="4" t="s">
        <v>353</v>
      </c>
      <c r="H1162" s="4"/>
      <c r="I1162" s="196">
        <v>9854000</v>
      </c>
      <c r="J1162" s="196">
        <v>7580</v>
      </c>
      <c r="K1162" s="196">
        <v>1300</v>
      </c>
      <c r="L1162" s="454" t="s">
        <v>811</v>
      </c>
      <c r="M1162" s="4" t="s">
        <v>780</v>
      </c>
      <c r="N1162" s="133" t="s">
        <v>1407</v>
      </c>
      <c r="O1162" s="4" t="s">
        <v>877</v>
      </c>
      <c r="P1162" s="4" t="s">
        <v>783</v>
      </c>
      <c r="Q1162" s="4" t="s">
        <v>878</v>
      </c>
      <c r="R1162" s="4" t="s">
        <v>1534</v>
      </c>
      <c r="S1162" s="4" t="s">
        <v>880</v>
      </c>
      <c r="T1162" s="4" t="s">
        <v>786</v>
      </c>
      <c r="U1162" s="4"/>
      <c r="V1162" s="4"/>
      <c r="W1162" s="4"/>
    </row>
    <row r="1163" spans="1:23" customFormat="1">
      <c r="A1163" s="10"/>
      <c r="B1163" s="4"/>
      <c r="C1163" s="4"/>
      <c r="D1163" s="4"/>
      <c r="E1163" s="4"/>
      <c r="F1163" s="152" t="s">
        <v>371</v>
      </c>
      <c r="G1163" s="4" t="s">
        <v>353</v>
      </c>
      <c r="H1163" s="4"/>
      <c r="I1163" s="196">
        <v>7020000</v>
      </c>
      <c r="J1163" s="196">
        <v>5400</v>
      </c>
      <c r="K1163" s="196">
        <v>1300</v>
      </c>
      <c r="L1163" s="454" t="s">
        <v>817</v>
      </c>
      <c r="M1163" s="4" t="s">
        <v>780</v>
      </c>
      <c r="N1163" s="133" t="s">
        <v>1407</v>
      </c>
      <c r="O1163" s="4" t="s">
        <v>881</v>
      </c>
      <c r="P1163" s="4" t="s">
        <v>783</v>
      </c>
      <c r="Q1163" s="4" t="s">
        <v>882</v>
      </c>
      <c r="R1163" s="4" t="s">
        <v>1536</v>
      </c>
      <c r="S1163" s="4" t="s">
        <v>884</v>
      </c>
      <c r="T1163" s="4" t="s">
        <v>786</v>
      </c>
      <c r="U1163" s="4"/>
      <c r="V1163" s="4"/>
      <c r="W1163" s="4"/>
    </row>
    <row r="1164" spans="1:23" customFormat="1">
      <c r="A1164" s="10"/>
      <c r="B1164" s="4"/>
      <c r="C1164" s="4"/>
      <c r="D1164" s="4"/>
      <c r="E1164" s="4"/>
      <c r="F1164" s="152" t="s">
        <v>371</v>
      </c>
      <c r="G1164" s="4" t="s">
        <v>353</v>
      </c>
      <c r="H1164" s="4"/>
      <c r="I1164" s="196">
        <v>3809000</v>
      </c>
      <c r="J1164" s="196">
        <v>2930</v>
      </c>
      <c r="K1164" s="196">
        <v>1300</v>
      </c>
      <c r="L1164" s="454" t="s">
        <v>817</v>
      </c>
      <c r="M1164" s="4" t="s">
        <v>780</v>
      </c>
      <c r="N1164" s="133" t="s">
        <v>1407</v>
      </c>
      <c r="O1164" s="4" t="s">
        <v>881</v>
      </c>
      <c r="P1164" s="4" t="s">
        <v>783</v>
      </c>
      <c r="Q1164" s="4" t="s">
        <v>882</v>
      </c>
      <c r="R1164" s="4" t="s">
        <v>1537</v>
      </c>
      <c r="S1164" s="4" t="s">
        <v>884</v>
      </c>
      <c r="T1164" s="4" t="s">
        <v>786</v>
      </c>
      <c r="U1164" s="4"/>
      <c r="V1164" s="4"/>
      <c r="W1164" s="4"/>
    </row>
    <row r="1165" spans="1:23" customFormat="1">
      <c r="A1165" s="10"/>
      <c r="B1165" s="4"/>
      <c r="C1165" s="4"/>
      <c r="D1165" s="4"/>
      <c r="E1165" s="4"/>
      <c r="F1165" s="152" t="s">
        <v>371</v>
      </c>
      <c r="G1165" s="4" t="s">
        <v>353</v>
      </c>
      <c r="H1165" s="4"/>
      <c r="I1165" s="196">
        <v>947850</v>
      </c>
      <c r="J1165" s="196">
        <v>667.5</v>
      </c>
      <c r="K1165" s="196">
        <v>1420</v>
      </c>
      <c r="L1165" s="454" t="s">
        <v>825</v>
      </c>
      <c r="M1165" s="4" t="s">
        <v>780</v>
      </c>
      <c r="N1165" s="133" t="s">
        <v>1407</v>
      </c>
      <c r="O1165" s="4" t="s">
        <v>886</v>
      </c>
      <c r="P1165" s="4" t="s">
        <v>783</v>
      </c>
      <c r="Q1165" s="4" t="s">
        <v>887</v>
      </c>
      <c r="R1165" s="4" t="s">
        <v>1538</v>
      </c>
      <c r="S1165" s="4" t="s">
        <v>889</v>
      </c>
      <c r="T1165" s="4" t="s">
        <v>786</v>
      </c>
      <c r="U1165" s="4"/>
      <c r="V1165" s="4"/>
      <c r="W1165" s="4"/>
    </row>
    <row r="1166" spans="1:23" customFormat="1">
      <c r="A1166" s="10"/>
      <c r="B1166" s="4"/>
      <c r="C1166" s="4"/>
      <c r="D1166" s="4"/>
      <c r="E1166" s="4"/>
      <c r="F1166" s="152" t="s">
        <v>371</v>
      </c>
      <c r="G1166" s="4" t="s">
        <v>353</v>
      </c>
      <c r="H1166" s="4"/>
      <c r="I1166" s="196">
        <v>4544000</v>
      </c>
      <c r="J1166" s="196">
        <v>3200</v>
      </c>
      <c r="K1166" s="196">
        <v>1420</v>
      </c>
      <c r="L1166" s="454" t="s">
        <v>825</v>
      </c>
      <c r="M1166" s="4" t="s">
        <v>780</v>
      </c>
      <c r="N1166" s="133" t="s">
        <v>1407</v>
      </c>
      <c r="O1166" s="4" t="s">
        <v>886</v>
      </c>
      <c r="P1166" s="4" t="s">
        <v>783</v>
      </c>
      <c r="Q1166" s="4" t="s">
        <v>887</v>
      </c>
      <c r="R1166" s="4" t="s">
        <v>1539</v>
      </c>
      <c r="S1166" s="4" t="s">
        <v>889</v>
      </c>
      <c r="T1166" s="4" t="s">
        <v>786</v>
      </c>
      <c r="U1166" s="4"/>
      <c r="V1166" s="4"/>
      <c r="W1166" s="4"/>
    </row>
    <row r="1167" spans="1:23" customFormat="1">
      <c r="A1167" s="10"/>
      <c r="B1167" s="4"/>
      <c r="C1167" s="4"/>
      <c r="D1167" s="4"/>
      <c r="E1167" s="4"/>
      <c r="F1167" s="152" t="s">
        <v>371</v>
      </c>
      <c r="G1167" s="4" t="s">
        <v>353</v>
      </c>
      <c r="H1167" s="4"/>
      <c r="I1167" s="196">
        <v>-73122.600000000006</v>
      </c>
      <c r="J1167" s="196">
        <v>-51.86</v>
      </c>
      <c r="K1167" s="196">
        <v>1410</v>
      </c>
      <c r="L1167" s="454" t="s">
        <v>919</v>
      </c>
      <c r="M1167" s="4" t="s">
        <v>780</v>
      </c>
      <c r="N1167" s="133" t="s">
        <v>1407</v>
      </c>
      <c r="O1167" s="4" t="s">
        <v>920</v>
      </c>
      <c r="P1167" s="4" t="s">
        <v>892</v>
      </c>
      <c r="Q1167" s="4" t="s">
        <v>921</v>
      </c>
      <c r="R1167" s="4" t="s">
        <v>1720</v>
      </c>
      <c r="S1167" s="4" t="s">
        <v>923</v>
      </c>
      <c r="T1167" s="4" t="s">
        <v>786</v>
      </c>
      <c r="U1167" s="4"/>
      <c r="V1167" s="4"/>
      <c r="W1167" s="4"/>
    </row>
    <row r="1168" spans="1:23" customFormat="1">
      <c r="A1168" s="10"/>
      <c r="B1168" s="4"/>
      <c r="C1168" s="4"/>
      <c r="D1168" s="4"/>
      <c r="E1168" s="4"/>
      <c r="F1168" s="152" t="s">
        <v>371</v>
      </c>
      <c r="G1168" s="4" t="s">
        <v>353</v>
      </c>
      <c r="H1168" s="4"/>
      <c r="I1168" s="196">
        <v>-161727</v>
      </c>
      <c r="J1168" s="196">
        <v>-114.7</v>
      </c>
      <c r="K1168" s="196">
        <v>1410</v>
      </c>
      <c r="L1168" s="454" t="s">
        <v>919</v>
      </c>
      <c r="M1168" s="4" t="s">
        <v>780</v>
      </c>
      <c r="N1168" s="133" t="s">
        <v>1407</v>
      </c>
      <c r="O1168" s="4" t="s">
        <v>920</v>
      </c>
      <c r="P1168" s="4" t="s">
        <v>892</v>
      </c>
      <c r="Q1168" s="4" t="s">
        <v>921</v>
      </c>
      <c r="R1168" s="4" t="s">
        <v>1721</v>
      </c>
      <c r="S1168" s="4" t="s">
        <v>923</v>
      </c>
      <c r="T1168" s="4" t="s">
        <v>786</v>
      </c>
      <c r="U1168" s="4"/>
      <c r="V1168" s="4"/>
      <c r="W1168" s="4"/>
    </row>
    <row r="1169" spans="1:23" customFormat="1">
      <c r="A1169" s="10"/>
      <c r="B1169" s="4"/>
      <c r="C1169" s="4"/>
      <c r="D1169" s="4"/>
      <c r="E1169" s="4"/>
      <c r="F1169" s="152" t="s">
        <v>371</v>
      </c>
      <c r="G1169" s="4" t="s">
        <v>353</v>
      </c>
      <c r="H1169" s="4"/>
      <c r="I1169" s="196">
        <v>-67792.800000000003</v>
      </c>
      <c r="J1169" s="196">
        <v>-48.08</v>
      </c>
      <c r="K1169" s="196">
        <v>1410</v>
      </c>
      <c r="L1169" s="454" t="s">
        <v>919</v>
      </c>
      <c r="M1169" s="4" t="s">
        <v>780</v>
      </c>
      <c r="N1169" s="133" t="s">
        <v>1407</v>
      </c>
      <c r="O1169" s="4" t="s">
        <v>920</v>
      </c>
      <c r="P1169" s="4" t="s">
        <v>892</v>
      </c>
      <c r="Q1169" s="4" t="s">
        <v>921</v>
      </c>
      <c r="R1169" s="4" t="s">
        <v>1722</v>
      </c>
      <c r="S1169" s="4" t="s">
        <v>923</v>
      </c>
      <c r="T1169" s="4" t="s">
        <v>786</v>
      </c>
      <c r="U1169" s="4"/>
      <c r="V1169" s="4"/>
      <c r="W1169" s="4"/>
    </row>
    <row r="1170" spans="1:23" customFormat="1">
      <c r="A1170" s="10"/>
      <c r="B1170" s="4"/>
      <c r="C1170" s="4"/>
      <c r="D1170" s="4"/>
      <c r="E1170" s="4"/>
      <c r="F1170" s="152" t="s">
        <v>371</v>
      </c>
      <c r="G1170" s="4" t="s">
        <v>353</v>
      </c>
      <c r="H1170" s="4"/>
      <c r="I1170" s="196">
        <v>-73122.600000000006</v>
      </c>
      <c r="J1170" s="196">
        <v>-51.86</v>
      </c>
      <c r="K1170" s="196">
        <v>1410</v>
      </c>
      <c r="L1170" s="454" t="s">
        <v>919</v>
      </c>
      <c r="M1170" s="4" t="s">
        <v>780</v>
      </c>
      <c r="N1170" s="133" t="s">
        <v>1407</v>
      </c>
      <c r="O1170" s="4" t="s">
        <v>920</v>
      </c>
      <c r="P1170" s="4" t="s">
        <v>892</v>
      </c>
      <c r="Q1170" s="4" t="s">
        <v>921</v>
      </c>
      <c r="R1170" s="4" t="s">
        <v>1723</v>
      </c>
      <c r="S1170" s="4" t="s">
        <v>923</v>
      </c>
      <c r="T1170" s="4" t="s">
        <v>786</v>
      </c>
      <c r="U1170" s="4"/>
      <c r="V1170" s="4"/>
      <c r="W1170" s="4"/>
    </row>
    <row r="1171" spans="1:23" customFormat="1">
      <c r="A1171" s="10"/>
      <c r="B1171" s="4"/>
      <c r="C1171" s="4"/>
      <c r="D1171" s="4"/>
      <c r="E1171" s="4"/>
      <c r="F1171" s="152" t="s">
        <v>371</v>
      </c>
      <c r="G1171" s="4" t="s">
        <v>353</v>
      </c>
      <c r="H1171" s="4"/>
      <c r="I1171" s="196">
        <v>-132850.20000000001</v>
      </c>
      <c r="J1171" s="196">
        <v>-94.22</v>
      </c>
      <c r="K1171" s="196">
        <v>1410</v>
      </c>
      <c r="L1171" s="454" t="s">
        <v>919</v>
      </c>
      <c r="M1171" s="4" t="s">
        <v>780</v>
      </c>
      <c r="N1171" s="133" t="s">
        <v>1407</v>
      </c>
      <c r="O1171" s="4" t="s">
        <v>920</v>
      </c>
      <c r="P1171" s="4" t="s">
        <v>892</v>
      </c>
      <c r="Q1171" s="4" t="s">
        <v>921</v>
      </c>
      <c r="R1171" s="4" t="s">
        <v>1726</v>
      </c>
      <c r="S1171" s="4" t="s">
        <v>923</v>
      </c>
      <c r="T1171" s="4" t="s">
        <v>786</v>
      </c>
      <c r="U1171" s="4"/>
      <c r="V1171" s="4"/>
      <c r="W1171" s="4"/>
    </row>
    <row r="1172" spans="1:23" customFormat="1">
      <c r="A1172" s="10"/>
      <c r="B1172" s="4"/>
      <c r="C1172" s="4"/>
      <c r="D1172" s="4"/>
      <c r="E1172" s="4"/>
      <c r="F1172" s="152" t="s">
        <v>371</v>
      </c>
      <c r="G1172" s="4" t="s">
        <v>353</v>
      </c>
      <c r="H1172" s="4"/>
      <c r="I1172" s="196">
        <v>-109585.2</v>
      </c>
      <c r="J1172" s="196">
        <v>-77.72</v>
      </c>
      <c r="K1172" s="196">
        <v>1410</v>
      </c>
      <c r="L1172" s="454" t="s">
        <v>919</v>
      </c>
      <c r="M1172" s="4" t="s">
        <v>780</v>
      </c>
      <c r="N1172" s="133" t="s">
        <v>1407</v>
      </c>
      <c r="O1172" s="4" t="s">
        <v>920</v>
      </c>
      <c r="P1172" s="4" t="s">
        <v>892</v>
      </c>
      <c r="Q1172" s="4" t="s">
        <v>921</v>
      </c>
      <c r="R1172" s="4" t="s">
        <v>1727</v>
      </c>
      <c r="S1172" s="4" t="s">
        <v>923</v>
      </c>
      <c r="T1172" s="4" t="s">
        <v>786</v>
      </c>
      <c r="U1172" s="4"/>
      <c r="V1172" s="4"/>
      <c r="W1172" s="4"/>
    </row>
    <row r="1173" spans="1:23" customFormat="1">
      <c r="A1173" s="10"/>
      <c r="B1173" s="4"/>
      <c r="C1173" s="4"/>
      <c r="D1173" s="4"/>
      <c r="E1173" s="4"/>
      <c r="F1173" s="152" t="s">
        <v>371</v>
      </c>
      <c r="G1173" s="4" t="s">
        <v>353</v>
      </c>
      <c r="H1173" s="4"/>
      <c r="I1173" s="196">
        <v>-109627.5</v>
      </c>
      <c r="J1173" s="196">
        <v>-77.75</v>
      </c>
      <c r="K1173" s="196">
        <v>1410</v>
      </c>
      <c r="L1173" s="454" t="s">
        <v>919</v>
      </c>
      <c r="M1173" s="4" t="s">
        <v>780</v>
      </c>
      <c r="N1173" s="133" t="s">
        <v>1407</v>
      </c>
      <c r="O1173" s="4" t="s">
        <v>920</v>
      </c>
      <c r="P1173" s="4" t="s">
        <v>892</v>
      </c>
      <c r="Q1173" s="4" t="s">
        <v>921</v>
      </c>
      <c r="R1173" s="4" t="s">
        <v>1728</v>
      </c>
      <c r="S1173" s="4" t="s">
        <v>923</v>
      </c>
      <c r="T1173" s="4" t="s">
        <v>786</v>
      </c>
      <c r="U1173" s="4"/>
      <c r="V1173" s="4"/>
      <c r="W1173" s="4"/>
    </row>
    <row r="1174" spans="1:23" customFormat="1">
      <c r="A1174" s="10"/>
      <c r="B1174" s="4"/>
      <c r="C1174" s="4"/>
      <c r="D1174" s="4"/>
      <c r="E1174" s="4"/>
      <c r="F1174" s="152" t="s">
        <v>371</v>
      </c>
      <c r="G1174" s="4" t="s">
        <v>353</v>
      </c>
      <c r="H1174" s="4"/>
      <c r="I1174" s="196">
        <v>-23081.7</v>
      </c>
      <c r="J1174" s="196">
        <v>-16.37</v>
      </c>
      <c r="K1174" s="196">
        <v>1410</v>
      </c>
      <c r="L1174" s="454" t="s">
        <v>919</v>
      </c>
      <c r="M1174" s="4" t="s">
        <v>780</v>
      </c>
      <c r="N1174" s="133" t="s">
        <v>1407</v>
      </c>
      <c r="O1174" s="4" t="s">
        <v>920</v>
      </c>
      <c r="P1174" s="4" t="s">
        <v>892</v>
      </c>
      <c r="Q1174" s="4" t="s">
        <v>921</v>
      </c>
      <c r="R1174" s="4" t="s">
        <v>1729</v>
      </c>
      <c r="S1174" s="4" t="s">
        <v>923</v>
      </c>
      <c r="T1174" s="4" t="s">
        <v>786</v>
      </c>
      <c r="U1174" s="4"/>
      <c r="V1174" s="4"/>
      <c r="W1174" s="4"/>
    </row>
    <row r="1175" spans="1:23" customFormat="1">
      <c r="A1175" s="10"/>
      <c r="B1175" s="4"/>
      <c r="C1175" s="4"/>
      <c r="D1175" s="4"/>
      <c r="E1175" s="4"/>
      <c r="F1175" s="152" t="s">
        <v>371</v>
      </c>
      <c r="G1175" s="4" t="s">
        <v>353</v>
      </c>
      <c r="H1175" s="4"/>
      <c r="I1175" s="196">
        <v>-23081.7</v>
      </c>
      <c r="J1175" s="196">
        <v>-16.37</v>
      </c>
      <c r="K1175" s="196">
        <v>1410</v>
      </c>
      <c r="L1175" s="454" t="s">
        <v>919</v>
      </c>
      <c r="M1175" s="4" t="s">
        <v>780</v>
      </c>
      <c r="N1175" s="133" t="s">
        <v>1407</v>
      </c>
      <c r="O1175" s="4" t="s">
        <v>920</v>
      </c>
      <c r="P1175" s="4" t="s">
        <v>892</v>
      </c>
      <c r="Q1175" s="4" t="s">
        <v>921</v>
      </c>
      <c r="R1175" s="4" t="s">
        <v>1733</v>
      </c>
      <c r="S1175" s="4" t="s">
        <v>923</v>
      </c>
      <c r="T1175" s="4" t="s">
        <v>786</v>
      </c>
      <c r="U1175" s="4"/>
      <c r="V1175" s="4"/>
      <c r="W1175" s="4"/>
    </row>
    <row r="1176" spans="1:23" customFormat="1">
      <c r="A1176" s="10"/>
      <c r="B1176" s="4"/>
      <c r="C1176" s="4"/>
      <c r="D1176" s="4"/>
      <c r="E1176" s="4"/>
      <c r="F1176" s="152" t="s">
        <v>371</v>
      </c>
      <c r="G1176" s="4" t="s">
        <v>353</v>
      </c>
      <c r="H1176" s="4"/>
      <c r="I1176" s="196">
        <v>-586672.80000000005</v>
      </c>
      <c r="J1176" s="196">
        <v>-416.08</v>
      </c>
      <c r="K1176" s="196">
        <v>1410</v>
      </c>
      <c r="L1176" s="454" t="s">
        <v>919</v>
      </c>
      <c r="M1176" s="4" t="s">
        <v>780</v>
      </c>
      <c r="N1176" s="133" t="s">
        <v>1407</v>
      </c>
      <c r="O1176" s="4" t="s">
        <v>920</v>
      </c>
      <c r="P1176" s="4" t="s">
        <v>892</v>
      </c>
      <c r="Q1176" s="4" t="s">
        <v>921</v>
      </c>
      <c r="R1176" s="4" t="s">
        <v>1734</v>
      </c>
      <c r="S1176" s="4" t="s">
        <v>923</v>
      </c>
      <c r="T1176" s="4" t="s">
        <v>786</v>
      </c>
      <c r="U1176" s="4"/>
      <c r="V1176" s="4"/>
      <c r="W1176" s="4"/>
    </row>
    <row r="1177" spans="1:23" customFormat="1">
      <c r="A1177" s="10"/>
      <c r="B1177" s="4"/>
      <c r="C1177" s="4"/>
      <c r="D1177" s="4"/>
      <c r="E1177" s="4"/>
      <c r="F1177" s="152" t="s">
        <v>371</v>
      </c>
      <c r="G1177" s="4" t="s">
        <v>353</v>
      </c>
      <c r="H1177" s="4"/>
      <c r="I1177" s="196">
        <v>-23786.7</v>
      </c>
      <c r="J1177" s="196">
        <v>-16.87</v>
      </c>
      <c r="K1177" s="196">
        <v>1410</v>
      </c>
      <c r="L1177" s="454" t="s">
        <v>919</v>
      </c>
      <c r="M1177" s="4" t="s">
        <v>780</v>
      </c>
      <c r="N1177" s="133" t="s">
        <v>1407</v>
      </c>
      <c r="O1177" s="4" t="s">
        <v>920</v>
      </c>
      <c r="P1177" s="4" t="s">
        <v>892</v>
      </c>
      <c r="Q1177" s="4" t="s">
        <v>921</v>
      </c>
      <c r="R1177" s="4" t="s">
        <v>1735</v>
      </c>
      <c r="S1177" s="4" t="s">
        <v>923</v>
      </c>
      <c r="T1177" s="4" t="s">
        <v>786</v>
      </c>
      <c r="U1177" s="4"/>
      <c r="V1177" s="4"/>
      <c r="W1177" s="4"/>
    </row>
    <row r="1178" spans="1:23" customFormat="1">
      <c r="A1178" s="10"/>
      <c r="B1178" s="4"/>
      <c r="C1178" s="4"/>
      <c r="D1178" s="4"/>
      <c r="E1178" s="4"/>
      <c r="F1178" s="152" t="s">
        <v>371</v>
      </c>
      <c r="G1178" s="4" t="s">
        <v>353</v>
      </c>
      <c r="H1178" s="4"/>
      <c r="I1178" s="196">
        <v>-35250000</v>
      </c>
      <c r="J1178" s="196">
        <v>-25000</v>
      </c>
      <c r="K1178" s="196">
        <v>1410</v>
      </c>
      <c r="L1178" s="454" t="s">
        <v>919</v>
      </c>
      <c r="M1178" s="4" t="s">
        <v>780</v>
      </c>
      <c r="N1178" s="133" t="s">
        <v>1407</v>
      </c>
      <c r="O1178" s="4" t="s">
        <v>920</v>
      </c>
      <c r="P1178" s="4" t="s">
        <v>892</v>
      </c>
      <c r="Q1178" s="4" t="s">
        <v>921</v>
      </c>
      <c r="R1178" s="4" t="s">
        <v>1725</v>
      </c>
      <c r="S1178" s="4" t="s">
        <v>923</v>
      </c>
      <c r="T1178" s="4" t="s">
        <v>786</v>
      </c>
      <c r="U1178" s="4"/>
      <c r="V1178" s="4"/>
      <c r="W1178" s="4"/>
    </row>
    <row r="1179" spans="1:23" customFormat="1">
      <c r="A1179" s="10"/>
      <c r="B1179" s="4"/>
      <c r="C1179" s="4"/>
      <c r="D1179" s="4"/>
      <c r="E1179" s="4"/>
      <c r="F1179" s="152" t="s">
        <v>371</v>
      </c>
      <c r="G1179" s="4" t="s">
        <v>353</v>
      </c>
      <c r="H1179" s="4"/>
      <c r="I1179" s="196">
        <v>-1833000</v>
      </c>
      <c r="J1179" s="196">
        <v>-1300</v>
      </c>
      <c r="K1179" s="196">
        <v>1410</v>
      </c>
      <c r="L1179" s="454" t="s">
        <v>919</v>
      </c>
      <c r="M1179" s="4" t="s">
        <v>780</v>
      </c>
      <c r="N1179" s="133" t="s">
        <v>1407</v>
      </c>
      <c r="O1179" s="4" t="s">
        <v>920</v>
      </c>
      <c r="P1179" s="4" t="s">
        <v>892</v>
      </c>
      <c r="Q1179" s="4" t="s">
        <v>921</v>
      </c>
      <c r="R1179" s="4" t="s">
        <v>1740</v>
      </c>
      <c r="S1179" s="4" t="s">
        <v>923</v>
      </c>
      <c r="T1179" s="4" t="s">
        <v>786</v>
      </c>
      <c r="U1179" s="4"/>
      <c r="V1179" s="4"/>
      <c r="W1179" s="4"/>
    </row>
    <row r="1180" spans="1:23" customFormat="1">
      <c r="A1180" s="10"/>
      <c r="B1180" s="4"/>
      <c r="C1180" s="4"/>
      <c r="D1180" s="4"/>
      <c r="E1180" s="4"/>
      <c r="F1180" s="152" t="s">
        <v>371</v>
      </c>
      <c r="G1180" s="4" t="s">
        <v>353</v>
      </c>
      <c r="H1180" s="4"/>
      <c r="I1180" s="196">
        <v>-169961.4</v>
      </c>
      <c r="J1180" s="196">
        <v>-120.54</v>
      </c>
      <c r="K1180" s="196">
        <v>1410</v>
      </c>
      <c r="L1180" s="454" t="s">
        <v>919</v>
      </c>
      <c r="M1180" s="4" t="s">
        <v>780</v>
      </c>
      <c r="N1180" s="133" t="s">
        <v>1407</v>
      </c>
      <c r="O1180" s="4" t="s">
        <v>920</v>
      </c>
      <c r="P1180" s="4" t="s">
        <v>892</v>
      </c>
      <c r="Q1180" s="4" t="s">
        <v>921</v>
      </c>
      <c r="R1180" s="4" t="s">
        <v>1739</v>
      </c>
      <c r="S1180" s="4" t="s">
        <v>923</v>
      </c>
      <c r="T1180" s="4" t="s">
        <v>786</v>
      </c>
      <c r="U1180" s="4"/>
      <c r="V1180" s="4"/>
      <c r="W1180" s="4"/>
    </row>
    <row r="1181" spans="1:23" customFormat="1">
      <c r="A1181" s="10"/>
      <c r="B1181" s="4"/>
      <c r="C1181" s="4"/>
      <c r="D1181" s="4"/>
      <c r="E1181" s="4"/>
      <c r="F1181" s="152" t="s">
        <v>371</v>
      </c>
      <c r="G1181" s="4" t="s">
        <v>353</v>
      </c>
      <c r="H1181" s="4"/>
      <c r="I1181" s="196">
        <v>-96599.1</v>
      </c>
      <c r="J1181" s="196">
        <v>-68.510000000000005</v>
      </c>
      <c r="K1181" s="196">
        <v>1410</v>
      </c>
      <c r="L1181" s="454" t="s">
        <v>919</v>
      </c>
      <c r="M1181" s="4" t="s">
        <v>780</v>
      </c>
      <c r="N1181" s="133" t="s">
        <v>1407</v>
      </c>
      <c r="O1181" s="4" t="s">
        <v>920</v>
      </c>
      <c r="P1181" s="4" t="s">
        <v>892</v>
      </c>
      <c r="Q1181" s="4" t="s">
        <v>921</v>
      </c>
      <c r="R1181" s="4" t="s">
        <v>1738</v>
      </c>
      <c r="S1181" s="4" t="s">
        <v>923</v>
      </c>
      <c r="T1181" s="4" t="s">
        <v>786</v>
      </c>
      <c r="U1181" s="4"/>
      <c r="V1181" s="4"/>
      <c r="W1181" s="4"/>
    </row>
    <row r="1182" spans="1:23" customFormat="1">
      <c r="A1182" s="10"/>
      <c r="B1182" s="4"/>
      <c r="C1182" s="4"/>
      <c r="D1182" s="4"/>
      <c r="E1182" s="4"/>
      <c r="F1182" s="152" t="s">
        <v>371</v>
      </c>
      <c r="G1182" s="4" t="s">
        <v>353</v>
      </c>
      <c r="H1182" s="4"/>
      <c r="I1182" s="196">
        <v>-1001100</v>
      </c>
      <c r="J1182" s="196">
        <v>-710</v>
      </c>
      <c r="K1182" s="196">
        <v>1410</v>
      </c>
      <c r="L1182" s="454" t="s">
        <v>919</v>
      </c>
      <c r="M1182" s="4" t="s">
        <v>780</v>
      </c>
      <c r="N1182" s="133" t="s">
        <v>1407</v>
      </c>
      <c r="O1182" s="4" t="s">
        <v>920</v>
      </c>
      <c r="P1182" s="4" t="s">
        <v>892</v>
      </c>
      <c r="Q1182" s="4" t="s">
        <v>921</v>
      </c>
      <c r="R1182" s="4" t="s">
        <v>1724</v>
      </c>
      <c r="S1182" s="4" t="s">
        <v>923</v>
      </c>
      <c r="T1182" s="4" t="s">
        <v>786</v>
      </c>
      <c r="U1182" s="4"/>
      <c r="V1182" s="4"/>
      <c r="W1182" s="4"/>
    </row>
    <row r="1183" spans="1:23" customFormat="1">
      <c r="A1183" s="10"/>
      <c r="B1183" s="4"/>
      <c r="C1183" s="4"/>
      <c r="D1183" s="4"/>
      <c r="E1183" s="4"/>
      <c r="F1183" s="152" t="s">
        <v>371</v>
      </c>
      <c r="G1183" s="4" t="s">
        <v>353</v>
      </c>
      <c r="H1183" s="4"/>
      <c r="I1183" s="196">
        <v>-150461.1</v>
      </c>
      <c r="J1183" s="196">
        <v>-106.71</v>
      </c>
      <c r="K1183" s="196">
        <v>1410</v>
      </c>
      <c r="L1183" s="454" t="s">
        <v>919</v>
      </c>
      <c r="M1183" s="4" t="s">
        <v>780</v>
      </c>
      <c r="N1183" s="133" t="s">
        <v>1407</v>
      </c>
      <c r="O1183" s="4" t="s">
        <v>920</v>
      </c>
      <c r="P1183" s="4" t="s">
        <v>892</v>
      </c>
      <c r="Q1183" s="4" t="s">
        <v>921</v>
      </c>
      <c r="R1183" s="4" t="s">
        <v>1737</v>
      </c>
      <c r="S1183" s="4" t="s">
        <v>923</v>
      </c>
      <c r="T1183" s="4" t="s">
        <v>786</v>
      </c>
      <c r="U1183" s="4"/>
      <c r="V1183" s="4"/>
      <c r="W1183" s="4"/>
    </row>
    <row r="1184" spans="1:23" customFormat="1">
      <c r="A1184" s="10"/>
      <c r="B1184" s="4"/>
      <c r="C1184" s="4"/>
      <c r="D1184" s="4"/>
      <c r="E1184" s="4"/>
      <c r="F1184" s="152" t="s">
        <v>371</v>
      </c>
      <c r="G1184" s="4" t="s">
        <v>353</v>
      </c>
      <c r="H1184" s="4"/>
      <c r="I1184" s="196">
        <v>-282366.59999999998</v>
      </c>
      <c r="J1184" s="196">
        <v>-200.26</v>
      </c>
      <c r="K1184" s="196">
        <v>1410</v>
      </c>
      <c r="L1184" s="454" t="s">
        <v>919</v>
      </c>
      <c r="M1184" s="4" t="s">
        <v>780</v>
      </c>
      <c r="N1184" s="133" t="s">
        <v>1407</v>
      </c>
      <c r="O1184" s="4" t="s">
        <v>920</v>
      </c>
      <c r="P1184" s="4" t="s">
        <v>892</v>
      </c>
      <c r="Q1184" s="4" t="s">
        <v>921</v>
      </c>
      <c r="R1184" s="4" t="s">
        <v>1736</v>
      </c>
      <c r="S1184" s="4" t="s">
        <v>923</v>
      </c>
      <c r="T1184" s="4" t="s">
        <v>786</v>
      </c>
      <c r="U1184" s="4"/>
      <c r="V1184" s="4"/>
      <c r="W1184" s="4"/>
    </row>
    <row r="1185" spans="1:23" customFormat="1">
      <c r="A1185" s="10"/>
      <c r="B1185" s="4"/>
      <c r="C1185" s="4"/>
      <c r="D1185" s="4"/>
      <c r="E1185" s="4"/>
      <c r="F1185" s="152" t="s">
        <v>371</v>
      </c>
      <c r="G1185" s="4" t="s">
        <v>353</v>
      </c>
      <c r="H1185" s="4"/>
      <c r="I1185" s="196">
        <v>-99517.8</v>
      </c>
      <c r="J1185" s="196">
        <v>-70.58</v>
      </c>
      <c r="K1185" s="196">
        <v>1410</v>
      </c>
      <c r="L1185" s="454" t="s">
        <v>919</v>
      </c>
      <c r="M1185" s="4" t="s">
        <v>780</v>
      </c>
      <c r="N1185" s="133" t="s">
        <v>1407</v>
      </c>
      <c r="O1185" s="4" t="s">
        <v>920</v>
      </c>
      <c r="P1185" s="4" t="s">
        <v>892</v>
      </c>
      <c r="Q1185" s="4" t="s">
        <v>921</v>
      </c>
      <c r="R1185" s="4" t="s">
        <v>1731</v>
      </c>
      <c r="S1185" s="4" t="s">
        <v>923</v>
      </c>
      <c r="T1185" s="4" t="s">
        <v>786</v>
      </c>
      <c r="U1185" s="4"/>
      <c r="V1185" s="4"/>
      <c r="W1185" s="4"/>
    </row>
    <row r="1186" spans="1:23" customFormat="1">
      <c r="A1186" s="10"/>
      <c r="B1186" s="4"/>
      <c r="C1186" s="4"/>
      <c r="D1186" s="4"/>
      <c r="E1186" s="4"/>
      <c r="F1186" s="152" t="s">
        <v>371</v>
      </c>
      <c r="G1186" s="4" t="s">
        <v>353</v>
      </c>
      <c r="H1186" s="4"/>
      <c r="I1186" s="196">
        <v>-9658.5</v>
      </c>
      <c r="J1186" s="196">
        <v>-6.85</v>
      </c>
      <c r="K1186" s="196">
        <v>1410</v>
      </c>
      <c r="L1186" s="454" t="s">
        <v>919</v>
      </c>
      <c r="M1186" s="4" t="s">
        <v>780</v>
      </c>
      <c r="N1186" s="133" t="s">
        <v>1407</v>
      </c>
      <c r="O1186" s="4" t="s">
        <v>920</v>
      </c>
      <c r="P1186" s="4" t="s">
        <v>892</v>
      </c>
      <c r="Q1186" s="4" t="s">
        <v>921</v>
      </c>
      <c r="R1186" s="4" t="s">
        <v>1736</v>
      </c>
      <c r="S1186" s="4" t="s">
        <v>923</v>
      </c>
      <c r="T1186" s="4" t="s">
        <v>786</v>
      </c>
      <c r="U1186" s="4"/>
      <c r="V1186" s="4"/>
      <c r="W1186" s="4"/>
    </row>
    <row r="1187" spans="1:23" customFormat="1">
      <c r="A1187" s="10"/>
      <c r="B1187" s="4"/>
      <c r="C1187" s="4"/>
      <c r="D1187" s="4"/>
      <c r="E1187" s="4"/>
      <c r="F1187" s="152" t="s">
        <v>371</v>
      </c>
      <c r="G1187" s="4" t="s">
        <v>353</v>
      </c>
      <c r="H1187" s="4"/>
      <c r="I1187" s="196">
        <v>-155988.29999999999</v>
      </c>
      <c r="J1187" s="196">
        <v>-110.63</v>
      </c>
      <c r="K1187" s="196">
        <v>1410</v>
      </c>
      <c r="L1187" s="454" t="s">
        <v>919</v>
      </c>
      <c r="M1187" s="4" t="s">
        <v>780</v>
      </c>
      <c r="N1187" s="133" t="s">
        <v>1407</v>
      </c>
      <c r="O1187" s="4" t="s">
        <v>920</v>
      </c>
      <c r="P1187" s="4" t="s">
        <v>892</v>
      </c>
      <c r="Q1187" s="4" t="s">
        <v>921</v>
      </c>
      <c r="R1187" s="4" t="s">
        <v>1730</v>
      </c>
      <c r="S1187" s="4" t="s">
        <v>923</v>
      </c>
      <c r="T1187" s="4" t="s">
        <v>786</v>
      </c>
      <c r="U1187" s="4"/>
      <c r="V1187" s="4"/>
      <c r="W1187" s="4"/>
    </row>
    <row r="1188" spans="1:23" customFormat="1">
      <c r="A1188" s="10"/>
      <c r="B1188" s="4"/>
      <c r="C1188" s="4"/>
      <c r="D1188" s="4"/>
      <c r="E1188" s="4"/>
      <c r="F1188" s="152" t="s">
        <v>371</v>
      </c>
      <c r="G1188" s="4" t="s">
        <v>353</v>
      </c>
      <c r="H1188" s="4"/>
      <c r="I1188" s="196">
        <v>-91057.8</v>
      </c>
      <c r="J1188" s="196">
        <v>-64.58</v>
      </c>
      <c r="K1188" s="196">
        <v>1410</v>
      </c>
      <c r="L1188" s="454" t="s">
        <v>919</v>
      </c>
      <c r="M1188" s="4" t="s">
        <v>780</v>
      </c>
      <c r="N1188" s="133" t="s">
        <v>1407</v>
      </c>
      <c r="O1188" s="4" t="s">
        <v>920</v>
      </c>
      <c r="P1188" s="4" t="s">
        <v>892</v>
      </c>
      <c r="Q1188" s="4" t="s">
        <v>921</v>
      </c>
      <c r="R1188" s="4" t="s">
        <v>1732</v>
      </c>
      <c r="S1188" s="4" t="s">
        <v>923</v>
      </c>
      <c r="T1188" s="4" t="s">
        <v>786</v>
      </c>
      <c r="U1188" s="4"/>
      <c r="V1188" s="4"/>
      <c r="W1188" s="4"/>
    </row>
    <row r="1189" spans="1:23" customFormat="1">
      <c r="A1189" s="10"/>
      <c r="B1189" s="4"/>
      <c r="C1189" s="4"/>
      <c r="D1189" s="4"/>
      <c r="E1189" s="4"/>
      <c r="F1189" s="152" t="s">
        <v>371</v>
      </c>
      <c r="G1189" s="4" t="s">
        <v>353</v>
      </c>
      <c r="H1189" s="4"/>
      <c r="I1189" s="196">
        <v>-52000.800000000003</v>
      </c>
      <c r="J1189" s="196">
        <v>-36.880000000000003</v>
      </c>
      <c r="K1189" s="196">
        <v>1410</v>
      </c>
      <c r="L1189" s="454" t="s">
        <v>919</v>
      </c>
      <c r="M1189" s="4" t="s">
        <v>780</v>
      </c>
      <c r="N1189" s="133" t="s">
        <v>1407</v>
      </c>
      <c r="O1189" s="4" t="s">
        <v>920</v>
      </c>
      <c r="P1189" s="4" t="s">
        <v>892</v>
      </c>
      <c r="Q1189" s="4" t="s">
        <v>921</v>
      </c>
      <c r="R1189" s="4" t="s">
        <v>1720</v>
      </c>
      <c r="S1189" s="4" t="s">
        <v>923</v>
      </c>
      <c r="T1189" s="4" t="s">
        <v>786</v>
      </c>
      <c r="U1189" s="4"/>
      <c r="V1189" s="4"/>
      <c r="W1189" s="4"/>
    </row>
    <row r="1190" spans="1:23" customFormat="1">
      <c r="A1190" s="10"/>
      <c r="B1190" s="4"/>
      <c r="C1190" s="4"/>
      <c r="D1190" s="4"/>
      <c r="E1190" s="4"/>
      <c r="F1190" s="152" t="s">
        <v>371</v>
      </c>
      <c r="G1190" s="4" t="s">
        <v>353</v>
      </c>
      <c r="H1190" s="4"/>
      <c r="I1190" s="196">
        <v>-14300000</v>
      </c>
      <c r="J1190" s="196">
        <v>-10000</v>
      </c>
      <c r="K1190" s="196">
        <v>1430</v>
      </c>
      <c r="L1190" s="454" t="s">
        <v>927</v>
      </c>
      <c r="M1190" s="4" t="s">
        <v>780</v>
      </c>
      <c r="N1190" s="133" t="s">
        <v>1407</v>
      </c>
      <c r="O1190" s="4" t="s">
        <v>928</v>
      </c>
      <c r="P1190" s="4" t="s">
        <v>892</v>
      </c>
      <c r="Q1190" s="4" t="s">
        <v>929</v>
      </c>
      <c r="R1190" s="4" t="s">
        <v>1746</v>
      </c>
      <c r="S1190" s="4" t="s">
        <v>931</v>
      </c>
      <c r="T1190" s="4" t="s">
        <v>786</v>
      </c>
      <c r="U1190" s="4"/>
      <c r="V1190" s="4"/>
      <c r="W1190" s="4"/>
    </row>
    <row r="1191" spans="1:23" customFormat="1">
      <c r="A1191" s="10"/>
      <c r="B1191" s="4"/>
      <c r="C1191" s="4"/>
      <c r="D1191" s="4"/>
      <c r="E1191" s="4"/>
      <c r="F1191" s="152" t="s">
        <v>371</v>
      </c>
      <c r="G1191" s="4" t="s">
        <v>353</v>
      </c>
      <c r="H1191" s="4"/>
      <c r="I1191" s="196">
        <v>-293150</v>
      </c>
      <c r="J1191" s="196">
        <v>-205</v>
      </c>
      <c r="K1191" s="196">
        <v>1430</v>
      </c>
      <c r="L1191" s="454" t="s">
        <v>927</v>
      </c>
      <c r="M1191" s="4" t="s">
        <v>780</v>
      </c>
      <c r="N1191" s="133" t="s">
        <v>1407</v>
      </c>
      <c r="O1191" s="4" t="s">
        <v>928</v>
      </c>
      <c r="P1191" s="4" t="s">
        <v>892</v>
      </c>
      <c r="Q1191" s="4" t="s">
        <v>929</v>
      </c>
      <c r="R1191" s="4" t="s">
        <v>1747</v>
      </c>
      <c r="S1191" s="4" t="s">
        <v>931</v>
      </c>
      <c r="T1191" s="4" t="s">
        <v>786</v>
      </c>
      <c r="U1191" s="4"/>
      <c r="V1191" s="4"/>
      <c r="W1191" s="4"/>
    </row>
    <row r="1192" spans="1:23" customFormat="1">
      <c r="A1192" s="10"/>
      <c r="B1192" s="4"/>
      <c r="C1192" s="4"/>
      <c r="D1192" s="4"/>
      <c r="E1192" s="4"/>
      <c r="F1192" s="152" t="s">
        <v>371</v>
      </c>
      <c r="G1192" s="4" t="s">
        <v>353</v>
      </c>
      <c r="H1192" s="4"/>
      <c r="I1192" s="196">
        <v>-357500</v>
      </c>
      <c r="J1192" s="196">
        <v>-250</v>
      </c>
      <c r="K1192" s="196">
        <v>1430</v>
      </c>
      <c r="L1192" s="454" t="s">
        <v>927</v>
      </c>
      <c r="M1192" s="4" t="s">
        <v>780</v>
      </c>
      <c r="N1192" s="133" t="s">
        <v>1407</v>
      </c>
      <c r="O1192" s="4" t="s">
        <v>928</v>
      </c>
      <c r="P1192" s="4" t="s">
        <v>892</v>
      </c>
      <c r="Q1192" s="4" t="s">
        <v>929</v>
      </c>
      <c r="R1192" s="4" t="s">
        <v>1748</v>
      </c>
      <c r="S1192" s="4" t="s">
        <v>931</v>
      </c>
      <c r="T1192" s="4" t="s">
        <v>786</v>
      </c>
      <c r="U1192" s="4"/>
      <c r="V1192" s="4"/>
      <c r="W1192" s="4"/>
    </row>
    <row r="1193" spans="1:23" customFormat="1">
      <c r="A1193" s="10"/>
      <c r="B1193" s="4"/>
      <c r="C1193" s="4"/>
      <c r="D1193" s="4"/>
      <c r="E1193" s="4"/>
      <c r="F1193" s="152" t="s">
        <v>371</v>
      </c>
      <c r="G1193" s="4" t="s">
        <v>353</v>
      </c>
      <c r="H1193" s="4"/>
      <c r="I1193" s="196">
        <v>3195000</v>
      </c>
      <c r="J1193" s="196">
        <v>2250</v>
      </c>
      <c r="K1193" s="196">
        <v>1420</v>
      </c>
      <c r="L1193" s="454" t="s">
        <v>913</v>
      </c>
      <c r="M1193" s="4" t="s">
        <v>780</v>
      </c>
      <c r="N1193" s="133" t="s">
        <v>1407</v>
      </c>
      <c r="O1193" s="4" t="s">
        <v>977</v>
      </c>
      <c r="P1193" s="4" t="s">
        <v>892</v>
      </c>
      <c r="Q1193" s="4" t="s">
        <v>978</v>
      </c>
      <c r="R1193" s="4" t="s">
        <v>1801</v>
      </c>
      <c r="S1193" s="4" t="s">
        <v>980</v>
      </c>
      <c r="T1193" s="4" t="s">
        <v>786</v>
      </c>
      <c r="U1193" s="4"/>
      <c r="V1193" s="4"/>
      <c r="W1193" s="4"/>
    </row>
    <row r="1194" spans="1:23" customFormat="1">
      <c r="A1194" s="10"/>
      <c r="B1194" s="4"/>
      <c r="C1194" s="4"/>
      <c r="D1194" s="4"/>
      <c r="E1194" s="4"/>
      <c r="F1194" s="152" t="s">
        <v>371</v>
      </c>
      <c r="G1194" s="4" t="s">
        <v>353</v>
      </c>
      <c r="H1194" s="4"/>
      <c r="I1194" s="196">
        <v>3313500</v>
      </c>
      <c r="J1194" s="196">
        <v>2350</v>
      </c>
      <c r="K1194" s="196">
        <v>1410</v>
      </c>
      <c r="L1194" s="454" t="s">
        <v>919</v>
      </c>
      <c r="M1194" s="4" t="s">
        <v>780</v>
      </c>
      <c r="N1194" s="133" t="s">
        <v>1407</v>
      </c>
      <c r="O1194" s="4" t="s">
        <v>983</v>
      </c>
      <c r="P1194" s="4" t="s">
        <v>892</v>
      </c>
      <c r="Q1194" s="4" t="s">
        <v>984</v>
      </c>
      <c r="R1194" s="4" t="s">
        <v>1806</v>
      </c>
      <c r="S1194" s="4" t="s">
        <v>986</v>
      </c>
      <c r="T1194" s="4" t="s">
        <v>786</v>
      </c>
      <c r="U1194" s="4"/>
      <c r="V1194" s="4"/>
      <c r="W1194" s="4"/>
    </row>
    <row r="1195" spans="1:23" customFormat="1">
      <c r="A1195" s="10"/>
      <c r="B1195" s="4"/>
      <c r="C1195" s="4"/>
      <c r="D1195" s="4"/>
      <c r="E1195" s="4"/>
      <c r="F1195" s="152" t="s">
        <v>371</v>
      </c>
      <c r="G1195" s="4" t="s">
        <v>353</v>
      </c>
      <c r="H1195" s="4"/>
      <c r="I1195" s="196">
        <v>2210880</v>
      </c>
      <c r="J1195" s="196">
        <v>1568</v>
      </c>
      <c r="K1195" s="196">
        <v>1410</v>
      </c>
      <c r="L1195" s="454" t="s">
        <v>919</v>
      </c>
      <c r="M1195" s="4" t="s">
        <v>780</v>
      </c>
      <c r="N1195" s="133" t="s">
        <v>1407</v>
      </c>
      <c r="O1195" s="4" t="s">
        <v>983</v>
      </c>
      <c r="P1195" s="4" t="s">
        <v>892</v>
      </c>
      <c r="Q1195" s="4" t="s">
        <v>984</v>
      </c>
      <c r="R1195" s="4" t="s">
        <v>1807</v>
      </c>
      <c r="S1195" s="4" t="s">
        <v>986</v>
      </c>
      <c r="T1195" s="4" t="s">
        <v>786</v>
      </c>
      <c r="U1195" s="4"/>
      <c r="V1195" s="4"/>
      <c r="W1195" s="4"/>
    </row>
    <row r="1196" spans="1:23" customFormat="1">
      <c r="A1196" s="10"/>
      <c r="B1196" s="4"/>
      <c r="C1196" s="4"/>
      <c r="D1196" s="4"/>
      <c r="E1196" s="4"/>
      <c r="F1196" s="152" t="s">
        <v>371</v>
      </c>
      <c r="G1196" s="4" t="s">
        <v>353</v>
      </c>
      <c r="H1196" s="4"/>
      <c r="I1196" s="196">
        <v>1572150</v>
      </c>
      <c r="J1196" s="196">
        <v>1115</v>
      </c>
      <c r="K1196" s="196">
        <v>1410</v>
      </c>
      <c r="L1196" s="454" t="s">
        <v>919</v>
      </c>
      <c r="M1196" s="4" t="s">
        <v>780</v>
      </c>
      <c r="N1196" s="133" t="s">
        <v>1407</v>
      </c>
      <c r="O1196" s="4" t="s">
        <v>983</v>
      </c>
      <c r="P1196" s="4" t="s">
        <v>892</v>
      </c>
      <c r="Q1196" s="4" t="s">
        <v>984</v>
      </c>
      <c r="R1196" s="4" t="s">
        <v>1808</v>
      </c>
      <c r="S1196" s="4" t="s">
        <v>986</v>
      </c>
      <c r="T1196" s="4" t="s">
        <v>786</v>
      </c>
      <c r="U1196" s="4"/>
      <c r="V1196" s="4"/>
      <c r="W1196" s="4"/>
    </row>
    <row r="1197" spans="1:23" customFormat="1">
      <c r="A1197" s="10"/>
      <c r="B1197" s="4"/>
      <c r="C1197" s="4"/>
      <c r="D1197" s="4"/>
      <c r="E1197" s="4"/>
      <c r="F1197" s="152" t="s">
        <v>371</v>
      </c>
      <c r="G1197" s="4" t="s">
        <v>353</v>
      </c>
      <c r="H1197" s="4"/>
      <c r="I1197" s="196">
        <v>4716450</v>
      </c>
      <c r="J1197" s="196">
        <v>3345</v>
      </c>
      <c r="K1197" s="196">
        <v>1410</v>
      </c>
      <c r="L1197" s="454" t="s">
        <v>919</v>
      </c>
      <c r="M1197" s="4" t="s">
        <v>780</v>
      </c>
      <c r="N1197" s="133" t="s">
        <v>1407</v>
      </c>
      <c r="O1197" s="4" t="s">
        <v>983</v>
      </c>
      <c r="P1197" s="4" t="s">
        <v>892</v>
      </c>
      <c r="Q1197" s="4" t="s">
        <v>984</v>
      </c>
      <c r="R1197" s="4" t="s">
        <v>1809</v>
      </c>
      <c r="S1197" s="4" t="s">
        <v>986</v>
      </c>
      <c r="T1197" s="4" t="s">
        <v>786</v>
      </c>
      <c r="U1197" s="4"/>
      <c r="V1197" s="4"/>
      <c r="W1197" s="4"/>
    </row>
    <row r="1198" spans="1:23" customFormat="1">
      <c r="A1198" s="10"/>
      <c r="B1198" s="4"/>
      <c r="C1198" s="4"/>
      <c r="D1198" s="4"/>
      <c r="E1198" s="4"/>
      <c r="F1198" s="152" t="s">
        <v>371</v>
      </c>
      <c r="G1198" s="4" t="s">
        <v>353</v>
      </c>
      <c r="H1198" s="4"/>
      <c r="I1198" s="196">
        <v>719100</v>
      </c>
      <c r="J1198" s="196">
        <v>510</v>
      </c>
      <c r="K1198" s="196">
        <v>1410</v>
      </c>
      <c r="L1198" s="454" t="s">
        <v>919</v>
      </c>
      <c r="M1198" s="4" t="s">
        <v>780</v>
      </c>
      <c r="N1198" s="133" t="s">
        <v>1407</v>
      </c>
      <c r="O1198" s="4" t="s">
        <v>983</v>
      </c>
      <c r="P1198" s="4" t="s">
        <v>892</v>
      </c>
      <c r="Q1198" s="4" t="s">
        <v>984</v>
      </c>
      <c r="R1198" s="4" t="s">
        <v>1810</v>
      </c>
      <c r="S1198" s="4" t="s">
        <v>986</v>
      </c>
      <c r="T1198" s="4" t="s">
        <v>786</v>
      </c>
      <c r="U1198" s="4"/>
      <c r="V1198" s="4"/>
      <c r="W1198" s="4"/>
    </row>
    <row r="1199" spans="1:23" customFormat="1">
      <c r="A1199" s="10"/>
      <c r="B1199" s="4"/>
      <c r="C1199" s="4"/>
      <c r="D1199" s="4"/>
      <c r="E1199" s="4"/>
      <c r="F1199" s="152" t="s">
        <v>371</v>
      </c>
      <c r="G1199" s="4" t="s">
        <v>353</v>
      </c>
      <c r="H1199" s="4"/>
      <c r="I1199" s="196">
        <v>4039650</v>
      </c>
      <c r="J1199" s="196">
        <v>2865</v>
      </c>
      <c r="K1199" s="196">
        <v>1410</v>
      </c>
      <c r="L1199" s="454" t="s">
        <v>919</v>
      </c>
      <c r="M1199" s="4" t="s">
        <v>780</v>
      </c>
      <c r="N1199" s="133" t="s">
        <v>1407</v>
      </c>
      <c r="O1199" s="4" t="s">
        <v>983</v>
      </c>
      <c r="P1199" s="4" t="s">
        <v>892</v>
      </c>
      <c r="Q1199" s="4" t="s">
        <v>984</v>
      </c>
      <c r="R1199" s="4" t="s">
        <v>1811</v>
      </c>
      <c r="S1199" s="4" t="s">
        <v>986</v>
      </c>
      <c r="T1199" s="4" t="s">
        <v>786</v>
      </c>
      <c r="U1199" s="4"/>
      <c r="V1199" s="4"/>
      <c r="W1199" s="4"/>
    </row>
    <row r="1200" spans="1:23" customFormat="1">
      <c r="A1200" s="10"/>
      <c r="B1200" s="4"/>
      <c r="C1200" s="4"/>
      <c r="D1200" s="4"/>
      <c r="E1200" s="4"/>
      <c r="F1200" s="152" t="s">
        <v>371</v>
      </c>
      <c r="G1200" s="4" t="s">
        <v>353</v>
      </c>
      <c r="H1200" s="4"/>
      <c r="I1200" s="196">
        <v>4039650</v>
      </c>
      <c r="J1200" s="196">
        <v>2865</v>
      </c>
      <c r="K1200" s="196">
        <v>1410</v>
      </c>
      <c r="L1200" s="454" t="s">
        <v>919</v>
      </c>
      <c r="M1200" s="4" t="s">
        <v>780</v>
      </c>
      <c r="N1200" s="133" t="s">
        <v>1407</v>
      </c>
      <c r="O1200" s="4" t="s">
        <v>983</v>
      </c>
      <c r="P1200" s="4" t="s">
        <v>892</v>
      </c>
      <c r="Q1200" s="4" t="s">
        <v>984</v>
      </c>
      <c r="R1200" s="4" t="s">
        <v>1812</v>
      </c>
      <c r="S1200" s="4" t="s">
        <v>986</v>
      </c>
      <c r="T1200" s="4" t="s">
        <v>786</v>
      </c>
      <c r="U1200" s="4"/>
      <c r="V1200" s="4"/>
      <c r="W1200" s="4"/>
    </row>
    <row r="1201" spans="1:23" customFormat="1">
      <c r="A1201" s="10"/>
      <c r="B1201" s="4"/>
      <c r="C1201" s="4"/>
      <c r="D1201" s="4"/>
      <c r="E1201" s="4"/>
      <c r="F1201" s="152" t="s">
        <v>371</v>
      </c>
      <c r="G1201" s="4" t="s">
        <v>353</v>
      </c>
      <c r="H1201" s="4"/>
      <c r="I1201" s="196">
        <v>133900</v>
      </c>
      <c r="J1201" s="196">
        <v>103</v>
      </c>
      <c r="K1201" s="196">
        <v>1300</v>
      </c>
      <c r="L1201" s="454" t="s">
        <v>919</v>
      </c>
      <c r="M1201" s="4" t="s">
        <v>780</v>
      </c>
      <c r="N1201" s="133" t="s">
        <v>1407</v>
      </c>
      <c r="O1201" s="4" t="s">
        <v>983</v>
      </c>
      <c r="P1201" s="4" t="s">
        <v>892</v>
      </c>
      <c r="Q1201" s="4" t="s">
        <v>984</v>
      </c>
      <c r="R1201" s="4" t="s">
        <v>1813</v>
      </c>
      <c r="S1201" s="4" t="s">
        <v>986</v>
      </c>
      <c r="T1201" s="4" t="s">
        <v>786</v>
      </c>
      <c r="U1201" s="4"/>
      <c r="V1201" s="4"/>
      <c r="W1201" s="4"/>
    </row>
    <row r="1202" spans="1:23" customFormat="1">
      <c r="A1202" s="10"/>
      <c r="B1202" s="4"/>
      <c r="C1202" s="4"/>
      <c r="D1202" s="4"/>
      <c r="E1202" s="4"/>
      <c r="F1202" s="152" t="s">
        <v>371</v>
      </c>
      <c r="G1202" s="4" t="s">
        <v>353</v>
      </c>
      <c r="H1202" s="4"/>
      <c r="I1202" s="196">
        <v>9173200</v>
      </c>
      <c r="J1202" s="196">
        <v>6460</v>
      </c>
      <c r="K1202" s="196">
        <v>1420</v>
      </c>
      <c r="L1202" s="454" t="s">
        <v>919</v>
      </c>
      <c r="M1202" s="4" t="s">
        <v>780</v>
      </c>
      <c r="N1202" s="133" t="s">
        <v>1407</v>
      </c>
      <c r="O1202" s="4" t="s">
        <v>983</v>
      </c>
      <c r="P1202" s="4" t="s">
        <v>892</v>
      </c>
      <c r="Q1202" s="4" t="s">
        <v>984</v>
      </c>
      <c r="R1202" s="4" t="s">
        <v>1814</v>
      </c>
      <c r="S1202" s="4" t="s">
        <v>986</v>
      </c>
      <c r="T1202" s="4" t="s">
        <v>786</v>
      </c>
      <c r="U1202" s="4"/>
      <c r="V1202" s="4"/>
      <c r="W1202" s="4"/>
    </row>
    <row r="1203" spans="1:23" customFormat="1">
      <c r="A1203" s="10"/>
      <c r="B1203" s="4"/>
      <c r="C1203" s="4"/>
      <c r="D1203" s="4"/>
      <c r="E1203" s="4"/>
      <c r="F1203" s="152" t="s">
        <v>371</v>
      </c>
      <c r="G1203" s="4" t="s">
        <v>353</v>
      </c>
      <c r="H1203" s="4"/>
      <c r="I1203" s="196">
        <v>3771750</v>
      </c>
      <c r="J1203" s="196">
        <v>2675</v>
      </c>
      <c r="K1203" s="196">
        <v>1410</v>
      </c>
      <c r="L1203" s="454" t="s">
        <v>919</v>
      </c>
      <c r="M1203" s="4" t="s">
        <v>780</v>
      </c>
      <c r="N1203" s="133" t="s">
        <v>1407</v>
      </c>
      <c r="O1203" s="4" t="s">
        <v>983</v>
      </c>
      <c r="P1203" s="4" t="s">
        <v>892</v>
      </c>
      <c r="Q1203" s="4" t="s">
        <v>984</v>
      </c>
      <c r="R1203" s="4" t="s">
        <v>1815</v>
      </c>
      <c r="S1203" s="4" t="s">
        <v>986</v>
      </c>
      <c r="T1203" s="4" t="s">
        <v>786</v>
      </c>
      <c r="U1203" s="4"/>
      <c r="V1203" s="4"/>
      <c r="W1203" s="4"/>
    </row>
    <row r="1204" spans="1:23" customFormat="1">
      <c r="A1204" s="10"/>
      <c r="B1204" s="4"/>
      <c r="C1204" s="4"/>
      <c r="D1204" s="4"/>
      <c r="E1204" s="4"/>
      <c r="F1204" s="152" t="s">
        <v>371</v>
      </c>
      <c r="G1204" s="4" t="s">
        <v>353</v>
      </c>
      <c r="H1204" s="4"/>
      <c r="I1204" s="196">
        <v>697950</v>
      </c>
      <c r="J1204" s="196">
        <v>495</v>
      </c>
      <c r="K1204" s="196">
        <v>1410</v>
      </c>
      <c r="L1204" s="454" t="s">
        <v>919</v>
      </c>
      <c r="M1204" s="4" t="s">
        <v>780</v>
      </c>
      <c r="N1204" s="133" t="s">
        <v>1407</v>
      </c>
      <c r="O1204" s="4" t="s">
        <v>983</v>
      </c>
      <c r="P1204" s="4" t="s">
        <v>892</v>
      </c>
      <c r="Q1204" s="4" t="s">
        <v>984</v>
      </c>
      <c r="R1204" s="4" t="s">
        <v>1816</v>
      </c>
      <c r="S1204" s="4" t="s">
        <v>986</v>
      </c>
      <c r="T1204" s="4" t="s">
        <v>786</v>
      </c>
      <c r="U1204" s="4"/>
      <c r="V1204" s="4"/>
      <c r="W1204" s="4"/>
    </row>
    <row r="1205" spans="1:23" customFormat="1">
      <c r="A1205" s="10"/>
      <c r="B1205" s="4"/>
      <c r="C1205" s="4"/>
      <c r="D1205" s="4"/>
      <c r="E1205" s="4"/>
      <c r="F1205" s="152" t="s">
        <v>371</v>
      </c>
      <c r="G1205" s="4" t="s">
        <v>353</v>
      </c>
      <c r="H1205" s="4"/>
      <c r="I1205" s="196">
        <v>697950</v>
      </c>
      <c r="J1205" s="196">
        <v>495</v>
      </c>
      <c r="K1205" s="196">
        <v>1410</v>
      </c>
      <c r="L1205" s="454" t="s">
        <v>919</v>
      </c>
      <c r="M1205" s="4" t="s">
        <v>780</v>
      </c>
      <c r="N1205" s="133" t="s">
        <v>1407</v>
      </c>
      <c r="O1205" s="4" t="s">
        <v>983</v>
      </c>
      <c r="P1205" s="4" t="s">
        <v>892</v>
      </c>
      <c r="Q1205" s="4" t="s">
        <v>984</v>
      </c>
      <c r="R1205" s="4" t="s">
        <v>1817</v>
      </c>
      <c r="S1205" s="4" t="s">
        <v>986</v>
      </c>
      <c r="T1205" s="4" t="s">
        <v>786</v>
      </c>
      <c r="U1205" s="4"/>
      <c r="V1205" s="4"/>
      <c r="W1205" s="4"/>
    </row>
    <row r="1206" spans="1:23" customFormat="1">
      <c r="A1206" s="10"/>
      <c r="B1206" s="4"/>
      <c r="C1206" s="4"/>
      <c r="D1206" s="4"/>
      <c r="E1206" s="4"/>
      <c r="F1206" s="152" t="s">
        <v>371</v>
      </c>
      <c r="G1206" s="4" t="s">
        <v>353</v>
      </c>
      <c r="H1206" s="4"/>
      <c r="I1206" s="196">
        <v>2210880</v>
      </c>
      <c r="J1206" s="196">
        <v>1568</v>
      </c>
      <c r="K1206" s="196">
        <v>1410</v>
      </c>
      <c r="L1206" s="454" t="s">
        <v>919</v>
      </c>
      <c r="M1206" s="4" t="s">
        <v>780</v>
      </c>
      <c r="N1206" s="133" t="s">
        <v>1407</v>
      </c>
      <c r="O1206" s="4" t="s">
        <v>983</v>
      </c>
      <c r="P1206" s="4" t="s">
        <v>892</v>
      </c>
      <c r="Q1206" s="4" t="s">
        <v>984</v>
      </c>
      <c r="R1206" s="4" t="s">
        <v>1807</v>
      </c>
      <c r="S1206" s="4" t="s">
        <v>986</v>
      </c>
      <c r="T1206" s="4" t="s">
        <v>786</v>
      </c>
      <c r="U1206" s="4"/>
      <c r="V1206" s="4"/>
      <c r="W1206" s="4"/>
    </row>
    <row r="1207" spans="1:23" customFormat="1">
      <c r="A1207" s="10"/>
      <c r="B1207" s="4"/>
      <c r="C1207" s="4"/>
      <c r="D1207" s="4"/>
      <c r="E1207" s="4"/>
      <c r="F1207" s="152" t="s">
        <v>371</v>
      </c>
      <c r="G1207" s="4" t="s">
        <v>353</v>
      </c>
      <c r="H1207" s="4"/>
      <c r="I1207" s="196">
        <v>173782.5</v>
      </c>
      <c r="J1207" s="196">
        <v>123.25</v>
      </c>
      <c r="K1207" s="196">
        <v>1410</v>
      </c>
      <c r="L1207" s="454" t="s">
        <v>919</v>
      </c>
      <c r="M1207" s="4" t="s">
        <v>780</v>
      </c>
      <c r="N1207" s="133" t="s">
        <v>1407</v>
      </c>
      <c r="O1207" s="4" t="s">
        <v>1818</v>
      </c>
      <c r="P1207" s="4" t="s">
        <v>892</v>
      </c>
      <c r="Q1207" s="4" t="s">
        <v>1819</v>
      </c>
      <c r="R1207" s="4" t="s">
        <v>1739</v>
      </c>
      <c r="S1207" s="4" t="s">
        <v>1820</v>
      </c>
      <c r="T1207" s="4" t="s">
        <v>786</v>
      </c>
      <c r="U1207" s="4"/>
      <c r="V1207" s="4"/>
      <c r="W1207" s="4"/>
    </row>
    <row r="1208" spans="1:23" customFormat="1">
      <c r="A1208" s="10"/>
      <c r="B1208" s="4"/>
      <c r="C1208" s="4"/>
      <c r="D1208" s="4"/>
      <c r="E1208" s="4"/>
      <c r="F1208" s="152" t="s">
        <v>371</v>
      </c>
      <c r="G1208" s="4" t="s">
        <v>353</v>
      </c>
      <c r="H1208" s="4"/>
      <c r="I1208" s="196">
        <v>101759.7</v>
      </c>
      <c r="J1208" s="196">
        <v>72.17</v>
      </c>
      <c r="K1208" s="196">
        <v>1410</v>
      </c>
      <c r="L1208" s="454" t="s">
        <v>919</v>
      </c>
      <c r="M1208" s="4" t="s">
        <v>780</v>
      </c>
      <c r="N1208" s="133" t="s">
        <v>1407</v>
      </c>
      <c r="O1208" s="4" t="s">
        <v>1818</v>
      </c>
      <c r="P1208" s="4" t="s">
        <v>892</v>
      </c>
      <c r="Q1208" s="4" t="s">
        <v>1819</v>
      </c>
      <c r="R1208" s="4" t="s">
        <v>1821</v>
      </c>
      <c r="S1208" s="4" t="s">
        <v>1820</v>
      </c>
      <c r="T1208" s="4" t="s">
        <v>786</v>
      </c>
      <c r="U1208" s="4"/>
      <c r="V1208" s="4"/>
      <c r="W1208" s="4"/>
    </row>
    <row r="1209" spans="1:23" customFormat="1">
      <c r="A1209" s="10"/>
      <c r="B1209" s="4"/>
      <c r="C1209" s="4"/>
      <c r="D1209" s="4"/>
      <c r="E1209" s="4"/>
      <c r="F1209" s="152" t="s">
        <v>371</v>
      </c>
      <c r="G1209" s="4" t="s">
        <v>353</v>
      </c>
      <c r="H1209" s="4"/>
      <c r="I1209" s="196">
        <v>112095</v>
      </c>
      <c r="J1209" s="196">
        <v>79.5</v>
      </c>
      <c r="K1209" s="196">
        <v>1410</v>
      </c>
      <c r="L1209" s="454" t="s">
        <v>919</v>
      </c>
      <c r="M1209" s="4" t="s">
        <v>780</v>
      </c>
      <c r="N1209" s="133" t="s">
        <v>1407</v>
      </c>
      <c r="O1209" s="4" t="s">
        <v>1818</v>
      </c>
      <c r="P1209" s="4" t="s">
        <v>892</v>
      </c>
      <c r="Q1209" s="4" t="s">
        <v>1819</v>
      </c>
      <c r="R1209" s="4" t="s">
        <v>1822</v>
      </c>
      <c r="S1209" s="4" t="s">
        <v>1820</v>
      </c>
      <c r="T1209" s="4" t="s">
        <v>786</v>
      </c>
      <c r="U1209" s="4"/>
      <c r="V1209" s="4"/>
      <c r="W1209" s="4"/>
    </row>
    <row r="1210" spans="1:23" customFormat="1">
      <c r="A1210" s="10"/>
      <c r="B1210" s="4"/>
      <c r="C1210" s="4"/>
      <c r="D1210" s="4"/>
      <c r="E1210" s="4"/>
      <c r="F1210" s="152" t="s">
        <v>371</v>
      </c>
      <c r="G1210" s="4" t="s">
        <v>353</v>
      </c>
      <c r="H1210" s="4"/>
      <c r="I1210" s="196">
        <v>135839.4</v>
      </c>
      <c r="J1210" s="196">
        <v>96.34</v>
      </c>
      <c r="K1210" s="196">
        <v>1410</v>
      </c>
      <c r="L1210" s="454" t="s">
        <v>919</v>
      </c>
      <c r="M1210" s="4" t="s">
        <v>780</v>
      </c>
      <c r="N1210" s="133" t="s">
        <v>1407</v>
      </c>
      <c r="O1210" s="4" t="s">
        <v>1818</v>
      </c>
      <c r="P1210" s="4" t="s">
        <v>892</v>
      </c>
      <c r="Q1210" s="4" t="s">
        <v>1819</v>
      </c>
      <c r="R1210" s="4" t="s">
        <v>1823</v>
      </c>
      <c r="S1210" s="4" t="s">
        <v>1820</v>
      </c>
      <c r="T1210" s="4" t="s">
        <v>786</v>
      </c>
      <c r="U1210" s="4"/>
      <c r="V1210" s="4"/>
      <c r="W1210" s="4"/>
    </row>
    <row r="1211" spans="1:23" customFormat="1">
      <c r="A1211" s="10"/>
      <c r="B1211" s="4"/>
      <c r="C1211" s="4"/>
      <c r="D1211" s="4"/>
      <c r="E1211" s="4"/>
      <c r="F1211" s="152" t="s">
        <v>371</v>
      </c>
      <c r="G1211" s="4" t="s">
        <v>353</v>
      </c>
      <c r="H1211" s="4"/>
      <c r="I1211" s="196">
        <v>153845.1</v>
      </c>
      <c r="J1211" s="196">
        <v>109.11</v>
      </c>
      <c r="K1211" s="196">
        <v>1410</v>
      </c>
      <c r="L1211" s="454" t="s">
        <v>919</v>
      </c>
      <c r="M1211" s="4" t="s">
        <v>780</v>
      </c>
      <c r="N1211" s="133" t="s">
        <v>1407</v>
      </c>
      <c r="O1211" s="4" t="s">
        <v>1818</v>
      </c>
      <c r="P1211" s="4" t="s">
        <v>892</v>
      </c>
      <c r="Q1211" s="4" t="s">
        <v>1819</v>
      </c>
      <c r="R1211" s="4" t="s">
        <v>1737</v>
      </c>
      <c r="S1211" s="4" t="s">
        <v>1820</v>
      </c>
      <c r="T1211" s="4" t="s">
        <v>786</v>
      </c>
      <c r="U1211" s="4"/>
      <c r="V1211" s="4"/>
      <c r="W1211" s="4"/>
    </row>
    <row r="1212" spans="1:23" customFormat="1">
      <c r="A1212" s="10"/>
      <c r="B1212" s="4"/>
      <c r="C1212" s="4"/>
      <c r="D1212" s="4"/>
      <c r="E1212" s="4"/>
      <c r="F1212" s="152" t="s">
        <v>371</v>
      </c>
      <c r="G1212" s="4" t="s">
        <v>353</v>
      </c>
      <c r="H1212" s="4"/>
      <c r="I1212" s="196">
        <v>288725.7</v>
      </c>
      <c r="J1212" s="196">
        <v>204.77</v>
      </c>
      <c r="K1212" s="196">
        <v>1410</v>
      </c>
      <c r="L1212" s="454" t="s">
        <v>919</v>
      </c>
      <c r="M1212" s="4" t="s">
        <v>780</v>
      </c>
      <c r="N1212" s="133" t="s">
        <v>1407</v>
      </c>
      <c r="O1212" s="4" t="s">
        <v>1818</v>
      </c>
      <c r="P1212" s="4" t="s">
        <v>892</v>
      </c>
      <c r="Q1212" s="4" t="s">
        <v>1819</v>
      </c>
      <c r="R1212" s="4" t="s">
        <v>1736</v>
      </c>
      <c r="S1212" s="4" t="s">
        <v>1820</v>
      </c>
      <c r="T1212" s="4" t="s">
        <v>786</v>
      </c>
      <c r="U1212" s="4"/>
      <c r="V1212" s="4"/>
      <c r="W1212" s="4"/>
    </row>
    <row r="1213" spans="1:23" customFormat="1">
      <c r="A1213" s="10"/>
      <c r="B1213" s="4"/>
      <c r="C1213" s="4"/>
      <c r="D1213" s="4"/>
      <c r="E1213" s="4"/>
      <c r="F1213" s="152" t="s">
        <v>371</v>
      </c>
      <c r="G1213" s="4" t="s">
        <v>353</v>
      </c>
      <c r="H1213" s="4"/>
      <c r="I1213" s="196">
        <v>165378.9</v>
      </c>
      <c r="J1213" s="196">
        <v>117.29</v>
      </c>
      <c r="K1213" s="196">
        <v>1410</v>
      </c>
      <c r="L1213" s="454" t="s">
        <v>919</v>
      </c>
      <c r="M1213" s="4" t="s">
        <v>780</v>
      </c>
      <c r="N1213" s="133" t="s">
        <v>1407</v>
      </c>
      <c r="O1213" s="4" t="s">
        <v>1818</v>
      </c>
      <c r="P1213" s="4" t="s">
        <v>892</v>
      </c>
      <c r="Q1213" s="4" t="s">
        <v>1819</v>
      </c>
      <c r="R1213" s="4" t="s">
        <v>1825</v>
      </c>
      <c r="S1213" s="4" t="s">
        <v>1820</v>
      </c>
      <c r="T1213" s="4" t="s">
        <v>786</v>
      </c>
      <c r="U1213" s="4"/>
      <c r="V1213" s="4"/>
      <c r="W1213" s="4"/>
    </row>
    <row r="1214" spans="1:23" customFormat="1">
      <c r="A1214" s="10"/>
      <c r="B1214" s="4"/>
      <c r="C1214" s="4"/>
      <c r="D1214" s="4"/>
      <c r="E1214" s="4"/>
      <c r="F1214" s="152" t="s">
        <v>371</v>
      </c>
      <c r="G1214" s="4" t="s">
        <v>353</v>
      </c>
      <c r="H1214" s="4"/>
      <c r="I1214" s="196">
        <v>69315.600000000006</v>
      </c>
      <c r="J1214" s="196">
        <v>49.16</v>
      </c>
      <c r="K1214" s="196">
        <v>1410</v>
      </c>
      <c r="L1214" s="454" t="s">
        <v>919</v>
      </c>
      <c r="M1214" s="4" t="s">
        <v>780</v>
      </c>
      <c r="N1214" s="133" t="s">
        <v>1407</v>
      </c>
      <c r="O1214" s="4" t="s">
        <v>1818</v>
      </c>
      <c r="P1214" s="4" t="s">
        <v>892</v>
      </c>
      <c r="Q1214" s="4" t="s">
        <v>1819</v>
      </c>
      <c r="R1214" s="4" t="s">
        <v>1826</v>
      </c>
      <c r="S1214" s="4" t="s">
        <v>1820</v>
      </c>
      <c r="T1214" s="4" t="s">
        <v>786</v>
      </c>
      <c r="U1214" s="4"/>
      <c r="V1214" s="4"/>
      <c r="W1214" s="4"/>
    </row>
    <row r="1215" spans="1:23" customFormat="1">
      <c r="A1215" s="10"/>
      <c r="B1215" s="4"/>
      <c r="C1215" s="4"/>
      <c r="D1215" s="4"/>
      <c r="E1215" s="4"/>
      <c r="F1215" s="152" t="s">
        <v>371</v>
      </c>
      <c r="G1215" s="4" t="s">
        <v>353</v>
      </c>
      <c r="H1215" s="4"/>
      <c r="I1215" s="196">
        <v>9870</v>
      </c>
      <c r="J1215" s="196">
        <v>7</v>
      </c>
      <c r="K1215" s="196">
        <v>1410</v>
      </c>
      <c r="L1215" s="454" t="s">
        <v>919</v>
      </c>
      <c r="M1215" s="4" t="s">
        <v>780</v>
      </c>
      <c r="N1215" s="133" t="s">
        <v>1407</v>
      </c>
      <c r="O1215" s="4" t="s">
        <v>1818</v>
      </c>
      <c r="P1215" s="4" t="s">
        <v>892</v>
      </c>
      <c r="Q1215" s="4" t="s">
        <v>1819</v>
      </c>
      <c r="R1215" s="4" t="s">
        <v>1736</v>
      </c>
      <c r="S1215" s="4" t="s">
        <v>1820</v>
      </c>
      <c r="T1215" s="4" t="s">
        <v>786</v>
      </c>
      <c r="U1215" s="4"/>
      <c r="V1215" s="4"/>
      <c r="W1215" s="4"/>
    </row>
    <row r="1216" spans="1:23" customFormat="1">
      <c r="A1216" s="10"/>
      <c r="B1216" s="4"/>
      <c r="C1216" s="4"/>
      <c r="D1216" s="4"/>
      <c r="E1216" s="4"/>
      <c r="F1216" s="152" t="s">
        <v>371</v>
      </c>
      <c r="G1216" s="4" t="s">
        <v>353</v>
      </c>
      <c r="H1216" s="4"/>
      <c r="I1216" s="196">
        <v>98770.5</v>
      </c>
      <c r="J1216" s="196">
        <v>70.05</v>
      </c>
      <c r="K1216" s="196">
        <v>1410</v>
      </c>
      <c r="L1216" s="454" t="s">
        <v>919</v>
      </c>
      <c r="M1216" s="4" t="s">
        <v>780</v>
      </c>
      <c r="N1216" s="133" t="s">
        <v>1407</v>
      </c>
      <c r="O1216" s="4" t="s">
        <v>1818</v>
      </c>
      <c r="P1216" s="4" t="s">
        <v>892</v>
      </c>
      <c r="Q1216" s="4" t="s">
        <v>1819</v>
      </c>
      <c r="R1216" s="4" t="s">
        <v>1824</v>
      </c>
      <c r="S1216" s="4" t="s">
        <v>1820</v>
      </c>
      <c r="T1216" s="4" t="s">
        <v>786</v>
      </c>
      <c r="U1216" s="4"/>
      <c r="V1216" s="4"/>
      <c r="W1216" s="4"/>
    </row>
    <row r="1217" spans="1:23" customFormat="1">
      <c r="A1217" s="10"/>
      <c r="B1217" s="4"/>
      <c r="C1217" s="4"/>
      <c r="D1217" s="4"/>
      <c r="E1217" s="4"/>
      <c r="F1217" s="152" t="s">
        <v>371</v>
      </c>
      <c r="G1217" s="4" t="s">
        <v>353</v>
      </c>
      <c r="H1217" s="4"/>
      <c r="I1217" s="196">
        <v>347500</v>
      </c>
      <c r="J1217" s="196">
        <v>250</v>
      </c>
      <c r="K1217" s="196">
        <v>1390</v>
      </c>
      <c r="L1217" s="454" t="s">
        <v>927</v>
      </c>
      <c r="M1217" s="4" t="s">
        <v>780</v>
      </c>
      <c r="N1217" s="133" t="s">
        <v>1407</v>
      </c>
      <c r="O1217" s="4" t="s">
        <v>1827</v>
      </c>
      <c r="P1217" s="4" t="s">
        <v>892</v>
      </c>
      <c r="Q1217" s="4" t="s">
        <v>1828</v>
      </c>
      <c r="R1217" s="4" t="s">
        <v>1829</v>
      </c>
      <c r="S1217" s="4" t="s">
        <v>1830</v>
      </c>
      <c r="T1217" s="4" t="s">
        <v>786</v>
      </c>
      <c r="U1217" s="4"/>
      <c r="V1217" s="4"/>
      <c r="W1217" s="4"/>
    </row>
    <row r="1218" spans="1:23" customFormat="1">
      <c r="A1218" s="10"/>
      <c r="B1218" s="4"/>
      <c r="C1218" s="4"/>
      <c r="D1218" s="4"/>
      <c r="E1218" s="4"/>
      <c r="F1218" s="152" t="s">
        <v>371</v>
      </c>
      <c r="G1218" s="4" t="s">
        <v>353</v>
      </c>
      <c r="H1218" s="4"/>
      <c r="I1218" s="196">
        <v>2249655</v>
      </c>
      <c r="J1218" s="196">
        <v>1595.5</v>
      </c>
      <c r="K1218" s="196">
        <v>1410</v>
      </c>
      <c r="L1218" s="454" t="s">
        <v>919</v>
      </c>
      <c r="M1218" s="4" t="s">
        <v>1540</v>
      </c>
      <c r="N1218" s="133" t="s">
        <v>1407</v>
      </c>
      <c r="O1218" s="4" t="s">
        <v>1844</v>
      </c>
      <c r="P1218" s="4" t="s">
        <v>1832</v>
      </c>
      <c r="Q1218" s="4" t="s">
        <v>1845</v>
      </c>
      <c r="R1218" s="4"/>
      <c r="S1218" s="4" t="s">
        <v>1846</v>
      </c>
      <c r="T1218" s="4" t="s">
        <v>786</v>
      </c>
      <c r="U1218" s="4"/>
      <c r="V1218" s="4"/>
      <c r="W1218" s="4"/>
    </row>
    <row r="1219" spans="1:23" customFormat="1">
      <c r="A1219" s="10"/>
      <c r="B1219" s="4"/>
      <c r="C1219" s="4"/>
      <c r="D1219" s="4"/>
      <c r="E1219" s="4"/>
      <c r="F1219" s="152" t="s">
        <v>371</v>
      </c>
      <c r="G1219" s="4" t="s">
        <v>353</v>
      </c>
      <c r="H1219" s="4"/>
      <c r="I1219" s="196">
        <v>6281550</v>
      </c>
      <c r="J1219" s="196">
        <v>4455</v>
      </c>
      <c r="K1219" s="196">
        <v>1410</v>
      </c>
      <c r="L1219" s="454" t="s">
        <v>919</v>
      </c>
      <c r="M1219" s="4" t="s">
        <v>1540</v>
      </c>
      <c r="N1219" s="133" t="s">
        <v>1407</v>
      </c>
      <c r="O1219" s="4" t="s">
        <v>1847</v>
      </c>
      <c r="P1219" s="4" t="s">
        <v>1832</v>
      </c>
      <c r="Q1219" s="4" t="s">
        <v>1848</v>
      </c>
      <c r="R1219" s="4"/>
      <c r="S1219" s="4" t="s">
        <v>1849</v>
      </c>
      <c r="T1219" s="4" t="s">
        <v>786</v>
      </c>
      <c r="U1219" s="4"/>
      <c r="V1219" s="4"/>
      <c r="W1219" s="4"/>
    </row>
    <row r="1220" spans="1:23" customFormat="1">
      <c r="A1220" s="10"/>
      <c r="B1220" s="4"/>
      <c r="C1220" s="4"/>
      <c r="D1220" s="4"/>
      <c r="E1220" s="4"/>
      <c r="F1220" s="152" t="s">
        <v>371</v>
      </c>
      <c r="G1220" s="4" t="s">
        <v>353</v>
      </c>
      <c r="H1220" s="4"/>
      <c r="I1220" s="196">
        <v>4208850</v>
      </c>
      <c r="J1220" s="196">
        <v>2985</v>
      </c>
      <c r="K1220" s="196">
        <v>1410</v>
      </c>
      <c r="L1220" s="454" t="s">
        <v>919</v>
      </c>
      <c r="M1220" s="4" t="s">
        <v>1540</v>
      </c>
      <c r="N1220" s="133" t="s">
        <v>1407</v>
      </c>
      <c r="O1220" s="4" t="s">
        <v>1850</v>
      </c>
      <c r="P1220" s="4" t="s">
        <v>1832</v>
      </c>
      <c r="Q1220" s="4" t="s">
        <v>1851</v>
      </c>
      <c r="R1220" s="4"/>
      <c r="S1220" s="4" t="s">
        <v>1852</v>
      </c>
      <c r="T1220" s="4" t="s">
        <v>786</v>
      </c>
      <c r="U1220" s="4"/>
      <c r="V1220" s="4"/>
      <c r="W1220" s="4"/>
    </row>
    <row r="1221" spans="1:23" customFormat="1">
      <c r="A1221" s="10"/>
      <c r="B1221" s="4"/>
      <c r="C1221" s="4"/>
      <c r="D1221" s="4"/>
      <c r="E1221" s="4"/>
      <c r="F1221" s="152" t="s">
        <v>371</v>
      </c>
      <c r="G1221" s="4" t="s">
        <v>353</v>
      </c>
      <c r="H1221" s="4"/>
      <c r="I1221" s="196">
        <v>186825</v>
      </c>
      <c r="J1221" s="196">
        <v>132.5</v>
      </c>
      <c r="K1221" s="196">
        <v>1410</v>
      </c>
      <c r="L1221" s="454" t="s">
        <v>919</v>
      </c>
      <c r="M1221" s="4" t="s">
        <v>1540</v>
      </c>
      <c r="N1221" s="133" t="s">
        <v>1407</v>
      </c>
      <c r="O1221" s="4" t="s">
        <v>1853</v>
      </c>
      <c r="P1221" s="4" t="s">
        <v>1832</v>
      </c>
      <c r="Q1221" s="4" t="s">
        <v>1854</v>
      </c>
      <c r="R1221" s="4"/>
      <c r="S1221" s="4" t="s">
        <v>1855</v>
      </c>
      <c r="T1221" s="4" t="s">
        <v>786</v>
      </c>
      <c r="U1221" s="4"/>
      <c r="V1221" s="4"/>
      <c r="W1221" s="4"/>
    </row>
    <row r="1222" spans="1:23" customFormat="1">
      <c r="A1222" s="10"/>
      <c r="B1222" s="4"/>
      <c r="C1222" s="4"/>
      <c r="D1222" s="4"/>
      <c r="E1222" s="4"/>
      <c r="F1222" s="152" t="s">
        <v>371</v>
      </c>
      <c r="G1222" s="4" t="s">
        <v>353</v>
      </c>
      <c r="H1222" s="4"/>
      <c r="I1222" s="196">
        <v>2822115</v>
      </c>
      <c r="J1222" s="196">
        <v>2001.5</v>
      </c>
      <c r="K1222" s="196">
        <v>1410</v>
      </c>
      <c r="L1222" s="454" t="s">
        <v>919</v>
      </c>
      <c r="M1222" s="4" t="s">
        <v>1540</v>
      </c>
      <c r="N1222" s="133" t="s">
        <v>1407</v>
      </c>
      <c r="O1222" s="4" t="s">
        <v>1856</v>
      </c>
      <c r="P1222" s="4" t="s">
        <v>1832</v>
      </c>
      <c r="Q1222" s="4" t="s">
        <v>1857</v>
      </c>
      <c r="R1222" s="4"/>
      <c r="S1222" s="4" t="s">
        <v>1858</v>
      </c>
      <c r="T1222" s="4" t="s">
        <v>786</v>
      </c>
      <c r="U1222" s="4"/>
      <c r="V1222" s="4"/>
      <c r="W1222" s="4"/>
    </row>
    <row r="1223" spans="1:23" customFormat="1">
      <c r="A1223" s="10"/>
      <c r="B1223" s="4"/>
      <c r="C1223" s="4"/>
      <c r="D1223" s="4"/>
      <c r="E1223" s="4"/>
      <c r="F1223" s="152" t="s">
        <v>371</v>
      </c>
      <c r="G1223" s="4" t="s">
        <v>353</v>
      </c>
      <c r="H1223" s="4"/>
      <c r="I1223" s="196">
        <v>1565805</v>
      </c>
      <c r="J1223" s="196">
        <v>1110.5</v>
      </c>
      <c r="K1223" s="196">
        <v>1410</v>
      </c>
      <c r="L1223" s="454" t="s">
        <v>919</v>
      </c>
      <c r="M1223" s="4" t="s">
        <v>1540</v>
      </c>
      <c r="N1223" s="133" t="s">
        <v>1407</v>
      </c>
      <c r="O1223" s="4" t="s">
        <v>1859</v>
      </c>
      <c r="P1223" s="4" t="s">
        <v>1832</v>
      </c>
      <c r="Q1223" s="4" t="s">
        <v>1860</v>
      </c>
      <c r="R1223" s="4"/>
      <c r="S1223" s="4" t="s">
        <v>1861</v>
      </c>
      <c r="T1223" s="4" t="s">
        <v>786</v>
      </c>
      <c r="U1223" s="4"/>
      <c r="V1223" s="4"/>
      <c r="W1223" s="4"/>
    </row>
    <row r="1224" spans="1:23" customFormat="1">
      <c r="A1224" s="10"/>
      <c r="B1224" s="4"/>
      <c r="C1224" s="4"/>
      <c r="D1224" s="4"/>
      <c r="E1224" s="4"/>
      <c r="F1224" s="152" t="s">
        <v>371</v>
      </c>
      <c r="G1224" s="4" t="s">
        <v>353</v>
      </c>
      <c r="H1224" s="4"/>
      <c r="I1224" s="196">
        <v>3399510</v>
      </c>
      <c r="J1224" s="196">
        <v>2411</v>
      </c>
      <c r="K1224" s="196">
        <v>1410</v>
      </c>
      <c r="L1224" s="454" t="s">
        <v>919</v>
      </c>
      <c r="M1224" s="4" t="s">
        <v>1540</v>
      </c>
      <c r="N1224" s="133" t="s">
        <v>1407</v>
      </c>
      <c r="O1224" s="4" t="s">
        <v>1862</v>
      </c>
      <c r="P1224" s="4" t="s">
        <v>1832</v>
      </c>
      <c r="Q1224" s="4" t="s">
        <v>1863</v>
      </c>
      <c r="R1224" s="4"/>
      <c r="S1224" s="4" t="s">
        <v>1864</v>
      </c>
      <c r="T1224" s="4" t="s">
        <v>786</v>
      </c>
      <c r="U1224" s="4"/>
      <c r="V1224" s="4"/>
      <c r="W1224" s="4"/>
    </row>
    <row r="1225" spans="1:23" customFormat="1">
      <c r="A1225" s="10"/>
      <c r="B1225" s="4"/>
      <c r="C1225" s="4"/>
      <c r="D1225" s="4"/>
      <c r="E1225" s="4"/>
      <c r="F1225" s="152" t="s">
        <v>371</v>
      </c>
      <c r="G1225" s="4" t="s">
        <v>353</v>
      </c>
      <c r="H1225" s="4"/>
      <c r="I1225" s="196">
        <v>2928040</v>
      </c>
      <c r="J1225" s="196">
        <v>2062</v>
      </c>
      <c r="K1225" s="196">
        <v>1420</v>
      </c>
      <c r="L1225" s="454" t="s">
        <v>919</v>
      </c>
      <c r="M1225" s="4" t="s">
        <v>1540</v>
      </c>
      <c r="N1225" s="133" t="s">
        <v>1407</v>
      </c>
      <c r="O1225" s="4" t="s">
        <v>1865</v>
      </c>
      <c r="P1225" s="4" t="s">
        <v>1832</v>
      </c>
      <c r="Q1225" s="4" t="s">
        <v>1866</v>
      </c>
      <c r="R1225" s="4"/>
      <c r="S1225" s="4" t="s">
        <v>1867</v>
      </c>
      <c r="T1225" s="4" t="s">
        <v>786</v>
      </c>
      <c r="U1225" s="4"/>
      <c r="V1225" s="4"/>
      <c r="W1225" s="4"/>
    </row>
    <row r="1226" spans="1:23" customFormat="1">
      <c r="A1226" s="10"/>
      <c r="B1226" s="4"/>
      <c r="C1226" s="4"/>
      <c r="D1226" s="4"/>
      <c r="E1226" s="4"/>
      <c r="F1226" s="152" t="s">
        <v>371</v>
      </c>
      <c r="G1226" s="4" t="s">
        <v>353</v>
      </c>
      <c r="H1226" s="4"/>
      <c r="I1226" s="196">
        <v>4758420</v>
      </c>
      <c r="J1226" s="196">
        <v>3351</v>
      </c>
      <c r="K1226" s="196">
        <v>1420</v>
      </c>
      <c r="L1226" s="454" t="s">
        <v>919</v>
      </c>
      <c r="M1226" s="4" t="s">
        <v>1540</v>
      </c>
      <c r="N1226" s="133" t="s">
        <v>1407</v>
      </c>
      <c r="O1226" s="4" t="s">
        <v>1868</v>
      </c>
      <c r="P1226" s="4" t="s">
        <v>1832</v>
      </c>
      <c r="Q1226" s="4" t="s">
        <v>1869</v>
      </c>
      <c r="R1226" s="4"/>
      <c r="S1226" s="4" t="s">
        <v>1870</v>
      </c>
      <c r="T1226" s="4" t="s">
        <v>786</v>
      </c>
      <c r="U1226" s="4"/>
      <c r="V1226" s="4"/>
      <c r="W1226" s="4"/>
    </row>
    <row r="1227" spans="1:23" customFormat="1">
      <c r="A1227" s="10"/>
      <c r="B1227" s="4"/>
      <c r="C1227" s="4"/>
      <c r="D1227" s="4"/>
      <c r="E1227" s="4"/>
      <c r="F1227" s="152" t="s">
        <v>371</v>
      </c>
      <c r="G1227" s="4" t="s">
        <v>353</v>
      </c>
      <c r="H1227" s="4"/>
      <c r="I1227" s="196">
        <v>1994390</v>
      </c>
      <c r="J1227" s="196">
        <v>1404.5</v>
      </c>
      <c r="K1227" s="196">
        <v>1420</v>
      </c>
      <c r="L1227" s="454" t="s">
        <v>919</v>
      </c>
      <c r="M1227" s="4" t="s">
        <v>1540</v>
      </c>
      <c r="N1227" s="133" t="s">
        <v>1407</v>
      </c>
      <c r="O1227" s="4" t="s">
        <v>1871</v>
      </c>
      <c r="P1227" s="4" t="s">
        <v>1832</v>
      </c>
      <c r="Q1227" s="4" t="s">
        <v>1872</v>
      </c>
      <c r="R1227" s="4"/>
      <c r="S1227" s="4" t="s">
        <v>1873</v>
      </c>
      <c r="T1227" s="4" t="s">
        <v>786</v>
      </c>
      <c r="U1227" s="4"/>
      <c r="V1227" s="4"/>
      <c r="W1227" s="4"/>
    </row>
    <row r="1228" spans="1:23" customFormat="1">
      <c r="A1228" s="10"/>
      <c r="B1228" s="4"/>
      <c r="C1228" s="4"/>
      <c r="D1228" s="4"/>
      <c r="E1228" s="4"/>
      <c r="F1228" s="152" t="s">
        <v>371</v>
      </c>
      <c r="G1228" s="4" t="s">
        <v>353</v>
      </c>
      <c r="H1228" s="4"/>
      <c r="I1228" s="196">
        <v>3908550</v>
      </c>
      <c r="J1228" s="196">
        <v>2752.5</v>
      </c>
      <c r="K1228" s="196">
        <v>1420</v>
      </c>
      <c r="L1228" s="454" t="s">
        <v>919</v>
      </c>
      <c r="M1228" s="4" t="s">
        <v>1540</v>
      </c>
      <c r="N1228" s="133" t="s">
        <v>1407</v>
      </c>
      <c r="O1228" s="4" t="s">
        <v>1874</v>
      </c>
      <c r="P1228" s="4" t="s">
        <v>1832</v>
      </c>
      <c r="Q1228" s="4" t="s">
        <v>1875</v>
      </c>
      <c r="R1228" s="4"/>
      <c r="S1228" s="4" t="s">
        <v>1876</v>
      </c>
      <c r="T1228" s="4" t="s">
        <v>786</v>
      </c>
      <c r="U1228" s="4"/>
      <c r="V1228" s="4"/>
      <c r="W1228" s="4"/>
    </row>
    <row r="1229" spans="1:23" customFormat="1">
      <c r="A1229" s="10"/>
      <c r="B1229" s="4"/>
      <c r="C1229" s="4"/>
      <c r="D1229" s="4"/>
      <c r="E1229" s="4"/>
      <c r="F1229" s="152" t="s">
        <v>371</v>
      </c>
      <c r="G1229" s="4" t="s">
        <v>353</v>
      </c>
      <c r="H1229" s="4"/>
      <c r="I1229" s="196">
        <v>3225530</v>
      </c>
      <c r="J1229" s="196">
        <v>2271.5</v>
      </c>
      <c r="K1229" s="196">
        <v>1420</v>
      </c>
      <c r="L1229" s="454" t="s">
        <v>919</v>
      </c>
      <c r="M1229" s="4" t="s">
        <v>1540</v>
      </c>
      <c r="N1229" s="133" t="s">
        <v>1407</v>
      </c>
      <c r="O1229" s="4" t="s">
        <v>1877</v>
      </c>
      <c r="P1229" s="4" t="s">
        <v>1832</v>
      </c>
      <c r="Q1229" s="4" t="s">
        <v>1878</v>
      </c>
      <c r="R1229" s="4"/>
      <c r="S1229" s="4" t="s">
        <v>1879</v>
      </c>
      <c r="T1229" s="4" t="s">
        <v>786</v>
      </c>
      <c r="U1229" s="4"/>
      <c r="V1229" s="4"/>
      <c r="W1229" s="4"/>
    </row>
    <row r="1230" spans="1:23" customFormat="1">
      <c r="A1230" s="10"/>
      <c r="B1230" s="4"/>
      <c r="C1230" s="4"/>
      <c r="D1230" s="4"/>
      <c r="E1230" s="4"/>
      <c r="F1230" s="152" t="s">
        <v>371</v>
      </c>
      <c r="G1230" s="4" t="s">
        <v>353</v>
      </c>
      <c r="H1230" s="4"/>
      <c r="I1230" s="196">
        <v>4096950</v>
      </c>
      <c r="J1230" s="196">
        <v>2865</v>
      </c>
      <c r="K1230" s="196">
        <v>1430</v>
      </c>
      <c r="L1230" s="454" t="s">
        <v>1007</v>
      </c>
      <c r="M1230" s="4" t="s">
        <v>780</v>
      </c>
      <c r="N1230" s="133" t="s">
        <v>1407</v>
      </c>
      <c r="O1230" s="4" t="s">
        <v>1008</v>
      </c>
      <c r="P1230" s="4" t="s">
        <v>892</v>
      </c>
      <c r="Q1230" s="4" t="s">
        <v>1009</v>
      </c>
      <c r="R1230" s="4" t="s">
        <v>1925</v>
      </c>
      <c r="S1230" s="4" t="s">
        <v>1011</v>
      </c>
      <c r="T1230" s="4" t="s">
        <v>786</v>
      </c>
      <c r="U1230" s="4"/>
      <c r="V1230" s="4"/>
      <c r="W1230" s="4"/>
    </row>
    <row r="1231" spans="1:23" customFormat="1">
      <c r="A1231" s="10"/>
      <c r="B1231" s="4"/>
      <c r="C1231" s="4"/>
      <c r="D1231" s="4"/>
      <c r="E1231" s="4"/>
      <c r="F1231" s="152" t="s">
        <v>371</v>
      </c>
      <c r="G1231" s="4" t="s">
        <v>353</v>
      </c>
      <c r="H1231" s="4"/>
      <c r="I1231" s="196">
        <v>20982050</v>
      </c>
      <c r="J1231" s="196">
        <v>15095</v>
      </c>
      <c r="K1231" s="196">
        <v>1390</v>
      </c>
      <c r="L1231" s="454" t="s">
        <v>1007</v>
      </c>
      <c r="M1231" s="4" t="s">
        <v>780</v>
      </c>
      <c r="N1231" s="133" t="s">
        <v>1407</v>
      </c>
      <c r="O1231" s="4" t="s">
        <v>1008</v>
      </c>
      <c r="P1231" s="4" t="s">
        <v>892</v>
      </c>
      <c r="Q1231" s="4" t="s">
        <v>1009</v>
      </c>
      <c r="R1231" s="4" t="s">
        <v>1926</v>
      </c>
      <c r="S1231" s="4" t="s">
        <v>1011</v>
      </c>
      <c r="T1231" s="4" t="s">
        <v>786</v>
      </c>
      <c r="U1231" s="4"/>
      <c r="V1231" s="4"/>
      <c r="W1231" s="4"/>
    </row>
    <row r="1232" spans="1:23" customFormat="1">
      <c r="A1232" s="10"/>
      <c r="B1232" s="4"/>
      <c r="C1232" s="4"/>
      <c r="D1232" s="4"/>
      <c r="E1232" s="4"/>
      <c r="F1232" s="152" t="s">
        <v>371</v>
      </c>
      <c r="G1232" s="4" t="s">
        <v>353</v>
      </c>
      <c r="H1232" s="4"/>
      <c r="I1232" s="196">
        <v>1903500</v>
      </c>
      <c r="J1232" s="196">
        <v>1350</v>
      </c>
      <c r="K1232" s="196">
        <v>1410</v>
      </c>
      <c r="L1232" s="454" t="s">
        <v>1007</v>
      </c>
      <c r="M1232" s="4" t="s">
        <v>780</v>
      </c>
      <c r="N1232" s="133" t="s">
        <v>1407</v>
      </c>
      <c r="O1232" s="4" t="s">
        <v>1008</v>
      </c>
      <c r="P1232" s="4" t="s">
        <v>892</v>
      </c>
      <c r="Q1232" s="4" t="s">
        <v>1009</v>
      </c>
      <c r="R1232" s="4" t="s">
        <v>1932</v>
      </c>
      <c r="S1232" s="4" t="s">
        <v>1011</v>
      </c>
      <c r="T1232" s="4" t="s">
        <v>786</v>
      </c>
      <c r="U1232" s="4"/>
      <c r="V1232" s="4"/>
      <c r="W1232" s="4"/>
    </row>
    <row r="1233" spans="1:23" customFormat="1">
      <c r="A1233" s="10"/>
      <c r="B1233" s="4"/>
      <c r="C1233" s="4"/>
      <c r="D1233" s="4"/>
      <c r="E1233" s="4"/>
      <c r="F1233" s="152" t="s">
        <v>371</v>
      </c>
      <c r="G1233" s="4" t="s">
        <v>353</v>
      </c>
      <c r="H1233" s="4"/>
      <c r="I1233" s="196">
        <v>1882350</v>
      </c>
      <c r="J1233" s="196">
        <v>1335</v>
      </c>
      <c r="K1233" s="196">
        <v>1410</v>
      </c>
      <c r="L1233" s="454" t="s">
        <v>1007</v>
      </c>
      <c r="M1233" s="4" t="s">
        <v>780</v>
      </c>
      <c r="N1233" s="133" t="s">
        <v>1407</v>
      </c>
      <c r="O1233" s="4" t="s">
        <v>1008</v>
      </c>
      <c r="P1233" s="4" t="s">
        <v>892</v>
      </c>
      <c r="Q1233" s="4" t="s">
        <v>1009</v>
      </c>
      <c r="R1233" s="4" t="s">
        <v>1933</v>
      </c>
      <c r="S1233" s="4" t="s">
        <v>1011</v>
      </c>
      <c r="T1233" s="4" t="s">
        <v>786</v>
      </c>
      <c r="U1233" s="4"/>
      <c r="V1233" s="4"/>
      <c r="W1233" s="4"/>
    </row>
    <row r="1234" spans="1:23" customFormat="1">
      <c r="A1234" s="10"/>
      <c r="B1234" s="4"/>
      <c r="C1234" s="4"/>
      <c r="D1234" s="4"/>
      <c r="E1234" s="4"/>
      <c r="F1234" s="152" t="s">
        <v>371</v>
      </c>
      <c r="G1234" s="4" t="s">
        <v>353</v>
      </c>
      <c r="H1234" s="4"/>
      <c r="I1234" s="196">
        <v>2992500</v>
      </c>
      <c r="J1234" s="196">
        <v>2137.5</v>
      </c>
      <c r="K1234" s="196">
        <v>1400</v>
      </c>
      <c r="L1234" s="454" t="s">
        <v>1007</v>
      </c>
      <c r="M1234" s="4" t="s">
        <v>780</v>
      </c>
      <c r="N1234" s="133" t="s">
        <v>1407</v>
      </c>
      <c r="O1234" s="4" t="s">
        <v>1008</v>
      </c>
      <c r="P1234" s="4" t="s">
        <v>892</v>
      </c>
      <c r="Q1234" s="4" t="s">
        <v>1009</v>
      </c>
      <c r="R1234" s="4" t="s">
        <v>1927</v>
      </c>
      <c r="S1234" s="4" t="s">
        <v>1011</v>
      </c>
      <c r="T1234" s="4" t="s">
        <v>786</v>
      </c>
      <c r="U1234" s="4"/>
      <c r="V1234" s="4"/>
      <c r="W1234" s="4"/>
    </row>
    <row r="1235" spans="1:23" customFormat="1">
      <c r="A1235" s="10"/>
      <c r="B1235" s="4"/>
      <c r="C1235" s="4"/>
      <c r="D1235" s="4"/>
      <c r="E1235" s="4"/>
      <c r="F1235" s="152" t="s">
        <v>371</v>
      </c>
      <c r="G1235" s="4" t="s">
        <v>353</v>
      </c>
      <c r="H1235" s="4"/>
      <c r="I1235" s="196">
        <v>14628900</v>
      </c>
      <c r="J1235" s="196">
        <v>10230</v>
      </c>
      <c r="K1235" s="196">
        <v>1430</v>
      </c>
      <c r="L1235" s="454" t="s">
        <v>1007</v>
      </c>
      <c r="M1235" s="4" t="s">
        <v>780</v>
      </c>
      <c r="N1235" s="133" t="s">
        <v>1407</v>
      </c>
      <c r="O1235" s="4" t="s">
        <v>1008</v>
      </c>
      <c r="P1235" s="4" t="s">
        <v>892</v>
      </c>
      <c r="Q1235" s="4" t="s">
        <v>1009</v>
      </c>
      <c r="R1235" s="4" t="s">
        <v>1934</v>
      </c>
      <c r="S1235" s="4" t="s">
        <v>1011</v>
      </c>
      <c r="T1235" s="4" t="s">
        <v>786</v>
      </c>
      <c r="U1235" s="4"/>
      <c r="V1235" s="4"/>
      <c r="W1235" s="4"/>
    </row>
    <row r="1236" spans="1:23" customFormat="1">
      <c r="A1236" s="10"/>
      <c r="B1236" s="4"/>
      <c r="C1236" s="4"/>
      <c r="D1236" s="4"/>
      <c r="E1236" s="4"/>
      <c r="F1236" s="152" t="s">
        <v>371</v>
      </c>
      <c r="G1236" s="4" t="s">
        <v>353</v>
      </c>
      <c r="H1236" s="4"/>
      <c r="I1236" s="196">
        <v>1903500</v>
      </c>
      <c r="J1236" s="196">
        <v>1350</v>
      </c>
      <c r="K1236" s="196">
        <v>1410</v>
      </c>
      <c r="L1236" s="454" t="s">
        <v>1007</v>
      </c>
      <c r="M1236" s="4" t="s">
        <v>780</v>
      </c>
      <c r="N1236" s="133" t="s">
        <v>1407</v>
      </c>
      <c r="O1236" s="4" t="s">
        <v>1008</v>
      </c>
      <c r="P1236" s="4" t="s">
        <v>892</v>
      </c>
      <c r="Q1236" s="4" t="s">
        <v>1009</v>
      </c>
      <c r="R1236" s="4" t="s">
        <v>1935</v>
      </c>
      <c r="S1236" s="4" t="s">
        <v>1011</v>
      </c>
      <c r="T1236" s="4" t="s">
        <v>786</v>
      </c>
      <c r="U1236" s="4"/>
      <c r="V1236" s="4"/>
      <c r="W1236" s="4"/>
    </row>
    <row r="1237" spans="1:23" customFormat="1">
      <c r="A1237" s="10"/>
      <c r="B1237" s="4"/>
      <c r="C1237" s="4"/>
      <c r="D1237" s="4"/>
      <c r="E1237" s="4"/>
      <c r="F1237" s="152" t="s">
        <v>371</v>
      </c>
      <c r="G1237" s="4" t="s">
        <v>353</v>
      </c>
      <c r="H1237" s="4"/>
      <c r="I1237" s="196">
        <v>3889600</v>
      </c>
      <c r="J1237" s="196">
        <v>2720</v>
      </c>
      <c r="K1237" s="196">
        <v>1430</v>
      </c>
      <c r="L1237" s="454" t="s">
        <v>1007</v>
      </c>
      <c r="M1237" s="4" t="s">
        <v>780</v>
      </c>
      <c r="N1237" s="133" t="s">
        <v>1407</v>
      </c>
      <c r="O1237" s="4" t="s">
        <v>1008</v>
      </c>
      <c r="P1237" s="4" t="s">
        <v>892</v>
      </c>
      <c r="Q1237" s="4" t="s">
        <v>1009</v>
      </c>
      <c r="R1237" s="4" t="s">
        <v>1928</v>
      </c>
      <c r="S1237" s="4" t="s">
        <v>1011</v>
      </c>
      <c r="T1237" s="4" t="s">
        <v>786</v>
      </c>
      <c r="U1237" s="4"/>
      <c r="V1237" s="4"/>
      <c r="W1237" s="4"/>
    </row>
    <row r="1238" spans="1:23" customFormat="1">
      <c r="A1238" s="10"/>
      <c r="B1238" s="4"/>
      <c r="C1238" s="4"/>
      <c r="D1238" s="4"/>
      <c r="E1238" s="4"/>
      <c r="F1238" s="152" t="s">
        <v>371</v>
      </c>
      <c r="G1238" s="4" t="s">
        <v>353</v>
      </c>
      <c r="H1238" s="4"/>
      <c r="I1238" s="196">
        <v>4290000</v>
      </c>
      <c r="J1238" s="196">
        <v>3000</v>
      </c>
      <c r="K1238" s="196">
        <v>1430</v>
      </c>
      <c r="L1238" s="454" t="s">
        <v>1007</v>
      </c>
      <c r="M1238" s="4" t="s">
        <v>780</v>
      </c>
      <c r="N1238" s="133" t="s">
        <v>1407</v>
      </c>
      <c r="O1238" s="4" t="s">
        <v>1008</v>
      </c>
      <c r="P1238" s="4" t="s">
        <v>892</v>
      </c>
      <c r="Q1238" s="4" t="s">
        <v>1009</v>
      </c>
      <c r="R1238" s="4" t="s">
        <v>1929</v>
      </c>
      <c r="S1238" s="4" t="s">
        <v>1011</v>
      </c>
      <c r="T1238" s="4" t="s">
        <v>786</v>
      </c>
      <c r="U1238" s="4"/>
      <c r="V1238" s="4"/>
      <c r="W1238" s="4"/>
    </row>
    <row r="1239" spans="1:23" customFormat="1">
      <c r="A1239" s="10"/>
      <c r="B1239" s="4"/>
      <c r="C1239" s="4"/>
      <c r="D1239" s="4"/>
      <c r="E1239" s="4"/>
      <c r="F1239" s="152" t="s">
        <v>371</v>
      </c>
      <c r="G1239" s="4" t="s">
        <v>353</v>
      </c>
      <c r="H1239" s="4"/>
      <c r="I1239" s="196">
        <v>2876400</v>
      </c>
      <c r="J1239" s="196">
        <v>2040</v>
      </c>
      <c r="K1239" s="196">
        <v>1410</v>
      </c>
      <c r="L1239" s="454" t="s">
        <v>1007</v>
      </c>
      <c r="M1239" s="4" t="s">
        <v>780</v>
      </c>
      <c r="N1239" s="133" t="s">
        <v>1407</v>
      </c>
      <c r="O1239" s="4" t="s">
        <v>1008</v>
      </c>
      <c r="P1239" s="4" t="s">
        <v>892</v>
      </c>
      <c r="Q1239" s="4" t="s">
        <v>1009</v>
      </c>
      <c r="R1239" s="4" t="s">
        <v>1936</v>
      </c>
      <c r="S1239" s="4" t="s">
        <v>1011</v>
      </c>
      <c r="T1239" s="4" t="s">
        <v>786</v>
      </c>
      <c r="U1239" s="4"/>
      <c r="V1239" s="4"/>
      <c r="W1239" s="4"/>
    </row>
    <row r="1240" spans="1:23" customFormat="1">
      <c r="A1240" s="10"/>
      <c r="B1240" s="4"/>
      <c r="C1240" s="4"/>
      <c r="D1240" s="4"/>
      <c r="E1240" s="4"/>
      <c r="F1240" s="152" t="s">
        <v>371</v>
      </c>
      <c r="G1240" s="4" t="s">
        <v>353</v>
      </c>
      <c r="H1240" s="4"/>
      <c r="I1240" s="196">
        <v>4290000</v>
      </c>
      <c r="J1240" s="196">
        <v>3000</v>
      </c>
      <c r="K1240" s="196">
        <v>1430</v>
      </c>
      <c r="L1240" s="454" t="s">
        <v>1007</v>
      </c>
      <c r="M1240" s="4" t="s">
        <v>780</v>
      </c>
      <c r="N1240" s="133" t="s">
        <v>1407</v>
      </c>
      <c r="O1240" s="4" t="s">
        <v>1008</v>
      </c>
      <c r="P1240" s="4" t="s">
        <v>892</v>
      </c>
      <c r="Q1240" s="4" t="s">
        <v>1009</v>
      </c>
      <c r="R1240" s="4" t="s">
        <v>1930</v>
      </c>
      <c r="S1240" s="4" t="s">
        <v>1011</v>
      </c>
      <c r="T1240" s="4" t="s">
        <v>786</v>
      </c>
      <c r="U1240" s="4"/>
      <c r="V1240" s="4"/>
      <c r="W1240" s="4"/>
    </row>
    <row r="1241" spans="1:23" customFormat="1">
      <c r="A1241" s="10"/>
      <c r="B1241" s="4"/>
      <c r="C1241" s="4"/>
      <c r="D1241" s="4"/>
      <c r="E1241" s="4"/>
      <c r="F1241" s="152" t="s">
        <v>371</v>
      </c>
      <c r="G1241" s="4" t="s">
        <v>353</v>
      </c>
      <c r="H1241" s="4"/>
      <c r="I1241" s="196">
        <v>7579000</v>
      </c>
      <c r="J1241" s="196">
        <v>5300</v>
      </c>
      <c r="K1241" s="196">
        <v>1430</v>
      </c>
      <c r="L1241" s="454" t="s">
        <v>1007</v>
      </c>
      <c r="M1241" s="4" t="s">
        <v>780</v>
      </c>
      <c r="N1241" s="133" t="s">
        <v>1407</v>
      </c>
      <c r="O1241" s="4" t="s">
        <v>1008</v>
      </c>
      <c r="P1241" s="4" t="s">
        <v>892</v>
      </c>
      <c r="Q1241" s="4" t="s">
        <v>1009</v>
      </c>
      <c r="R1241" s="4" t="s">
        <v>1931</v>
      </c>
      <c r="S1241" s="4" t="s">
        <v>1011</v>
      </c>
      <c r="T1241" s="4" t="s">
        <v>786</v>
      </c>
      <c r="U1241" s="4"/>
      <c r="V1241" s="4"/>
      <c r="W1241" s="4"/>
    </row>
    <row r="1242" spans="1:23" customFormat="1">
      <c r="A1242" s="10"/>
      <c r="B1242" s="4"/>
      <c r="C1242" s="4"/>
      <c r="D1242" s="4"/>
      <c r="E1242" s="4"/>
      <c r="F1242" s="152" t="s">
        <v>371</v>
      </c>
      <c r="G1242" s="4" t="s">
        <v>353</v>
      </c>
      <c r="H1242" s="4"/>
      <c r="I1242" s="196">
        <v>-266250</v>
      </c>
      <c r="J1242" s="196">
        <v>-187.5</v>
      </c>
      <c r="K1242" s="196">
        <v>1420</v>
      </c>
      <c r="L1242" s="454" t="s">
        <v>1012</v>
      </c>
      <c r="M1242" s="4" t="s">
        <v>780</v>
      </c>
      <c r="N1242" s="133" t="s">
        <v>1407</v>
      </c>
      <c r="O1242" s="4" t="s">
        <v>1013</v>
      </c>
      <c r="P1242" s="4" t="s">
        <v>892</v>
      </c>
      <c r="Q1242" s="4" t="s">
        <v>1014</v>
      </c>
      <c r="R1242" s="4" t="s">
        <v>1945</v>
      </c>
      <c r="S1242" s="4" t="s">
        <v>1016</v>
      </c>
      <c r="T1242" s="4" t="s">
        <v>786</v>
      </c>
      <c r="U1242" s="4"/>
      <c r="V1242" s="4"/>
      <c r="W1242" s="4"/>
    </row>
    <row r="1243" spans="1:23" customFormat="1">
      <c r="A1243" s="10"/>
      <c r="B1243" s="4"/>
      <c r="C1243" s="4"/>
      <c r="D1243" s="4"/>
      <c r="E1243" s="4"/>
      <c r="F1243" s="152" t="s">
        <v>371</v>
      </c>
      <c r="G1243" s="4" t="s">
        <v>353</v>
      </c>
      <c r="H1243" s="4"/>
      <c r="I1243" s="196">
        <v>-1579750</v>
      </c>
      <c r="J1243" s="196">
        <v>-1112.5</v>
      </c>
      <c r="K1243" s="196">
        <v>1420</v>
      </c>
      <c r="L1243" s="454" t="s">
        <v>1012</v>
      </c>
      <c r="M1243" s="4" t="s">
        <v>780</v>
      </c>
      <c r="N1243" s="133" t="s">
        <v>1407</v>
      </c>
      <c r="O1243" s="4" t="s">
        <v>1013</v>
      </c>
      <c r="P1243" s="4" t="s">
        <v>892</v>
      </c>
      <c r="Q1243" s="4" t="s">
        <v>1014</v>
      </c>
      <c r="R1243" s="4" t="s">
        <v>1944</v>
      </c>
      <c r="S1243" s="4" t="s">
        <v>1016</v>
      </c>
      <c r="T1243" s="4" t="s">
        <v>786</v>
      </c>
      <c r="U1243" s="4"/>
      <c r="V1243" s="4"/>
      <c r="W1243" s="4"/>
    </row>
    <row r="1244" spans="1:23" customFormat="1">
      <c r="A1244" s="10"/>
      <c r="B1244" s="4"/>
      <c r="C1244" s="4"/>
      <c r="D1244" s="4"/>
      <c r="E1244" s="4"/>
      <c r="F1244" s="152" t="s">
        <v>371</v>
      </c>
      <c r="G1244" s="4" t="s">
        <v>353</v>
      </c>
      <c r="H1244" s="4"/>
      <c r="I1244" s="196">
        <v>-533920</v>
      </c>
      <c r="J1244" s="196">
        <v>-376</v>
      </c>
      <c r="K1244" s="196">
        <v>1420</v>
      </c>
      <c r="L1244" s="454" t="s">
        <v>1012</v>
      </c>
      <c r="M1244" s="4" t="s">
        <v>780</v>
      </c>
      <c r="N1244" s="133" t="s">
        <v>1407</v>
      </c>
      <c r="O1244" s="4" t="s">
        <v>1013</v>
      </c>
      <c r="P1244" s="4" t="s">
        <v>892</v>
      </c>
      <c r="Q1244" s="4" t="s">
        <v>1014</v>
      </c>
      <c r="R1244" s="4" t="s">
        <v>1943</v>
      </c>
      <c r="S1244" s="4" t="s">
        <v>1016</v>
      </c>
      <c r="T1244" s="4" t="s">
        <v>786</v>
      </c>
      <c r="U1244" s="4"/>
      <c r="V1244" s="4"/>
      <c r="W1244" s="4"/>
    </row>
    <row r="1245" spans="1:23" customFormat="1">
      <c r="A1245" s="10"/>
      <c r="B1245" s="4"/>
      <c r="C1245" s="4"/>
      <c r="D1245" s="4"/>
      <c r="E1245" s="4"/>
      <c r="F1245" s="152" t="s">
        <v>371</v>
      </c>
      <c r="G1245" s="4" t="s">
        <v>353</v>
      </c>
      <c r="H1245" s="4"/>
      <c r="I1245" s="196">
        <v>1962675</v>
      </c>
      <c r="J1245" s="196">
        <v>1372.5</v>
      </c>
      <c r="K1245" s="196">
        <v>1430</v>
      </c>
      <c r="L1245" s="454" t="s">
        <v>1012</v>
      </c>
      <c r="M1245" s="4" t="s">
        <v>780</v>
      </c>
      <c r="N1245" s="133" t="s">
        <v>1407</v>
      </c>
      <c r="O1245" s="4" t="s">
        <v>1027</v>
      </c>
      <c r="P1245" s="4" t="s">
        <v>892</v>
      </c>
      <c r="Q1245" s="4" t="s">
        <v>1028</v>
      </c>
      <c r="R1245" s="4" t="s">
        <v>2015</v>
      </c>
      <c r="S1245" s="4" t="s">
        <v>1030</v>
      </c>
      <c r="T1245" s="4" t="s">
        <v>786</v>
      </c>
      <c r="U1245" s="4"/>
      <c r="V1245" s="4"/>
      <c r="W1245" s="4"/>
    </row>
    <row r="1246" spans="1:23" customFormat="1">
      <c r="A1246" s="10"/>
      <c r="B1246" s="4"/>
      <c r="C1246" s="4"/>
      <c r="D1246" s="4"/>
      <c r="E1246" s="4"/>
      <c r="F1246" s="152" t="s">
        <v>371</v>
      </c>
      <c r="G1246" s="4" t="s">
        <v>353</v>
      </c>
      <c r="H1246" s="4"/>
      <c r="I1246" s="196">
        <v>3985800</v>
      </c>
      <c r="J1246" s="196">
        <v>2847</v>
      </c>
      <c r="K1246" s="196">
        <v>1400</v>
      </c>
      <c r="L1246" s="454" t="s">
        <v>1012</v>
      </c>
      <c r="M1246" s="4" t="s">
        <v>780</v>
      </c>
      <c r="N1246" s="133" t="s">
        <v>1407</v>
      </c>
      <c r="O1246" s="4" t="s">
        <v>1027</v>
      </c>
      <c r="P1246" s="4" t="s">
        <v>892</v>
      </c>
      <c r="Q1246" s="4" t="s">
        <v>1028</v>
      </c>
      <c r="R1246" s="4" t="s">
        <v>2018</v>
      </c>
      <c r="S1246" s="4" t="s">
        <v>1030</v>
      </c>
      <c r="T1246" s="4" t="s">
        <v>786</v>
      </c>
      <c r="U1246" s="4"/>
      <c r="V1246" s="4"/>
      <c r="W1246" s="4"/>
    </row>
    <row r="1247" spans="1:23" customFormat="1">
      <c r="A1247" s="10"/>
      <c r="B1247" s="4"/>
      <c r="C1247" s="4"/>
      <c r="D1247" s="4"/>
      <c r="E1247" s="4"/>
      <c r="F1247" s="152" t="s">
        <v>371</v>
      </c>
      <c r="G1247" s="4" t="s">
        <v>353</v>
      </c>
      <c r="H1247" s="4"/>
      <c r="I1247" s="196">
        <v>3710000</v>
      </c>
      <c r="J1247" s="196">
        <v>2650</v>
      </c>
      <c r="K1247" s="196">
        <v>1400</v>
      </c>
      <c r="L1247" s="454" t="s">
        <v>1012</v>
      </c>
      <c r="M1247" s="4" t="s">
        <v>780</v>
      </c>
      <c r="N1247" s="133" t="s">
        <v>1407</v>
      </c>
      <c r="O1247" s="4" t="s">
        <v>1027</v>
      </c>
      <c r="P1247" s="4" t="s">
        <v>892</v>
      </c>
      <c r="Q1247" s="4" t="s">
        <v>1028</v>
      </c>
      <c r="R1247" s="4" t="s">
        <v>2017</v>
      </c>
      <c r="S1247" s="4" t="s">
        <v>1030</v>
      </c>
      <c r="T1247" s="4" t="s">
        <v>786</v>
      </c>
      <c r="U1247" s="4"/>
      <c r="V1247" s="4"/>
      <c r="W1247" s="4"/>
    </row>
    <row r="1248" spans="1:23" customFormat="1">
      <c r="A1248" s="10"/>
      <c r="B1248" s="4"/>
      <c r="C1248" s="4"/>
      <c r="D1248" s="4"/>
      <c r="E1248" s="4"/>
      <c r="F1248" s="152" t="s">
        <v>371</v>
      </c>
      <c r="G1248" s="4" t="s">
        <v>353</v>
      </c>
      <c r="H1248" s="4"/>
      <c r="I1248" s="196">
        <v>1890000</v>
      </c>
      <c r="J1248" s="196">
        <v>1350</v>
      </c>
      <c r="K1248" s="196">
        <v>1400</v>
      </c>
      <c r="L1248" s="454" t="s">
        <v>1012</v>
      </c>
      <c r="M1248" s="4" t="s">
        <v>780</v>
      </c>
      <c r="N1248" s="133" t="s">
        <v>1407</v>
      </c>
      <c r="O1248" s="4" t="s">
        <v>1027</v>
      </c>
      <c r="P1248" s="4" t="s">
        <v>892</v>
      </c>
      <c r="Q1248" s="4" t="s">
        <v>1028</v>
      </c>
      <c r="R1248" s="4" t="s">
        <v>2013</v>
      </c>
      <c r="S1248" s="4" t="s">
        <v>1030</v>
      </c>
      <c r="T1248" s="4" t="s">
        <v>786</v>
      </c>
      <c r="U1248" s="4"/>
      <c r="V1248" s="4"/>
      <c r="W1248" s="4"/>
    </row>
    <row r="1249" spans="1:23" customFormat="1">
      <c r="A1249" s="10"/>
      <c r="B1249" s="4"/>
      <c r="C1249" s="4"/>
      <c r="D1249" s="4"/>
      <c r="E1249" s="4"/>
      <c r="F1249" s="152" t="s">
        <v>371</v>
      </c>
      <c r="G1249" s="4" t="s">
        <v>353</v>
      </c>
      <c r="H1249" s="4"/>
      <c r="I1249" s="196">
        <v>852000</v>
      </c>
      <c r="J1249" s="196">
        <v>600</v>
      </c>
      <c r="K1249" s="196">
        <v>1420</v>
      </c>
      <c r="L1249" s="454" t="s">
        <v>1012</v>
      </c>
      <c r="M1249" s="4" t="s">
        <v>780</v>
      </c>
      <c r="N1249" s="133" t="s">
        <v>1407</v>
      </c>
      <c r="O1249" s="4" t="s">
        <v>1027</v>
      </c>
      <c r="P1249" s="4" t="s">
        <v>892</v>
      </c>
      <c r="Q1249" s="4" t="s">
        <v>1028</v>
      </c>
      <c r="R1249" s="4" t="s">
        <v>2014</v>
      </c>
      <c r="S1249" s="4" t="s">
        <v>1030</v>
      </c>
      <c r="T1249" s="4" t="s">
        <v>786</v>
      </c>
      <c r="U1249" s="4"/>
      <c r="V1249" s="4"/>
      <c r="W1249" s="4"/>
    </row>
    <row r="1250" spans="1:23" customFormat="1">
      <c r="A1250" s="10"/>
      <c r="B1250" s="4"/>
      <c r="C1250" s="4"/>
      <c r="D1250" s="4"/>
      <c r="E1250" s="4"/>
      <c r="F1250" s="152" t="s">
        <v>371</v>
      </c>
      <c r="G1250" s="4" t="s">
        <v>353</v>
      </c>
      <c r="H1250" s="4"/>
      <c r="I1250" s="196">
        <v>674800</v>
      </c>
      <c r="J1250" s="196">
        <v>482</v>
      </c>
      <c r="K1250" s="196">
        <v>1400</v>
      </c>
      <c r="L1250" s="454" t="s">
        <v>1012</v>
      </c>
      <c r="M1250" s="4" t="s">
        <v>780</v>
      </c>
      <c r="N1250" s="133" t="s">
        <v>1407</v>
      </c>
      <c r="O1250" s="4" t="s">
        <v>1027</v>
      </c>
      <c r="P1250" s="4" t="s">
        <v>892</v>
      </c>
      <c r="Q1250" s="4" t="s">
        <v>1028</v>
      </c>
      <c r="R1250" s="4" t="s">
        <v>2016</v>
      </c>
      <c r="S1250" s="4" t="s">
        <v>1030</v>
      </c>
      <c r="T1250" s="4" t="s">
        <v>786</v>
      </c>
      <c r="U1250" s="4"/>
      <c r="V1250" s="4"/>
      <c r="W1250" s="4"/>
    </row>
    <row r="1251" spans="1:23" customFormat="1">
      <c r="A1251" s="10"/>
      <c r="B1251" s="4"/>
      <c r="C1251" s="4"/>
      <c r="D1251" s="4"/>
      <c r="E1251" s="4"/>
      <c r="F1251" s="152" t="s">
        <v>371</v>
      </c>
      <c r="G1251" s="4" t="s">
        <v>353</v>
      </c>
      <c r="H1251" s="4"/>
      <c r="I1251" s="196">
        <v>4914555</v>
      </c>
      <c r="J1251" s="196">
        <v>3485.5</v>
      </c>
      <c r="K1251" s="196">
        <v>1410</v>
      </c>
      <c r="L1251" s="454" t="s">
        <v>2024</v>
      </c>
      <c r="M1251" s="4" t="s">
        <v>1540</v>
      </c>
      <c r="N1251" s="133" t="s">
        <v>1407</v>
      </c>
      <c r="O1251" s="4" t="s">
        <v>2025</v>
      </c>
      <c r="P1251" s="4" t="s">
        <v>1832</v>
      </c>
      <c r="Q1251" s="4" t="s">
        <v>2026</v>
      </c>
      <c r="R1251" s="4"/>
      <c r="S1251" s="4" t="s">
        <v>2027</v>
      </c>
      <c r="T1251" s="4" t="s">
        <v>786</v>
      </c>
      <c r="U1251" s="4"/>
      <c r="V1251" s="4"/>
      <c r="W1251" s="4"/>
    </row>
    <row r="1252" spans="1:23" customFormat="1">
      <c r="A1252" s="10"/>
      <c r="B1252" s="4"/>
      <c r="C1252" s="4"/>
      <c r="D1252" s="4"/>
      <c r="E1252" s="4"/>
      <c r="F1252" s="152" t="s">
        <v>371</v>
      </c>
      <c r="G1252" s="4" t="s">
        <v>353</v>
      </c>
      <c r="H1252" s="4"/>
      <c r="I1252" s="196">
        <v>-852000</v>
      </c>
      <c r="J1252" s="196">
        <v>-600</v>
      </c>
      <c r="K1252" s="196">
        <v>1420</v>
      </c>
      <c r="L1252" s="454" t="s">
        <v>899</v>
      </c>
      <c r="M1252" s="4" t="s">
        <v>780</v>
      </c>
      <c r="N1252" s="133" t="s">
        <v>1407</v>
      </c>
      <c r="O1252" s="4" t="s">
        <v>2161</v>
      </c>
      <c r="P1252" s="4" t="s">
        <v>892</v>
      </c>
      <c r="Q1252" s="4" t="s">
        <v>2162</v>
      </c>
      <c r="R1252" s="4" t="s">
        <v>2014</v>
      </c>
      <c r="S1252" s="4" t="s">
        <v>2163</v>
      </c>
      <c r="T1252" s="4" t="s">
        <v>786</v>
      </c>
      <c r="U1252" s="4"/>
      <c r="V1252" s="4"/>
      <c r="W1252" s="4"/>
    </row>
    <row r="1253" spans="1:23" customFormat="1">
      <c r="A1253" s="10"/>
      <c r="B1253" s="4"/>
      <c r="C1253" s="4"/>
      <c r="D1253" s="4"/>
      <c r="E1253" s="4"/>
      <c r="F1253" s="152" t="s">
        <v>371</v>
      </c>
      <c r="G1253" s="4" t="s">
        <v>353</v>
      </c>
      <c r="H1253" s="4"/>
      <c r="I1253" s="196">
        <v>-15000000</v>
      </c>
      <c r="J1253" s="196">
        <v>-10000</v>
      </c>
      <c r="K1253" s="196">
        <v>1500</v>
      </c>
      <c r="L1253" s="454" t="s">
        <v>1045</v>
      </c>
      <c r="M1253" s="4" t="s">
        <v>780</v>
      </c>
      <c r="N1253" s="133" t="s">
        <v>1407</v>
      </c>
      <c r="O1253" s="4" t="s">
        <v>2164</v>
      </c>
      <c r="P1253" s="4" t="s">
        <v>892</v>
      </c>
      <c r="Q1253" s="4" t="s">
        <v>2165</v>
      </c>
      <c r="R1253" s="4" t="s">
        <v>2166</v>
      </c>
      <c r="S1253" s="4" t="s">
        <v>2167</v>
      </c>
      <c r="T1253" s="4" t="s">
        <v>786</v>
      </c>
      <c r="U1253" s="4"/>
      <c r="V1253" s="4"/>
      <c r="W1253" s="4"/>
    </row>
    <row r="1254" spans="1:23" customFormat="1">
      <c r="A1254" s="10"/>
      <c r="B1254" s="4"/>
      <c r="C1254" s="4"/>
      <c r="D1254" s="4"/>
      <c r="E1254" s="4"/>
      <c r="F1254" s="152" t="s">
        <v>371</v>
      </c>
      <c r="G1254" s="4" t="s">
        <v>353</v>
      </c>
      <c r="H1254" s="4"/>
      <c r="I1254" s="196">
        <v>-29200000</v>
      </c>
      <c r="J1254" s="196">
        <v>-20000</v>
      </c>
      <c r="K1254" s="196">
        <v>1460</v>
      </c>
      <c r="L1254" s="454" t="s">
        <v>1045</v>
      </c>
      <c r="M1254" s="4" t="s">
        <v>780</v>
      </c>
      <c r="N1254" s="133" t="s">
        <v>1407</v>
      </c>
      <c r="O1254" s="4" t="s">
        <v>2164</v>
      </c>
      <c r="P1254" s="4" t="s">
        <v>892</v>
      </c>
      <c r="Q1254" s="4" t="s">
        <v>2165</v>
      </c>
      <c r="R1254" s="4" t="s">
        <v>2168</v>
      </c>
      <c r="S1254" s="4" t="s">
        <v>2167</v>
      </c>
      <c r="T1254" s="4" t="s">
        <v>786</v>
      </c>
      <c r="U1254" s="4"/>
      <c r="V1254" s="4"/>
      <c r="W1254" s="4"/>
    </row>
    <row r="1255" spans="1:23" customFormat="1">
      <c r="A1255" s="10"/>
      <c r="B1255" s="4"/>
      <c r="C1255" s="4"/>
      <c r="D1255" s="4"/>
      <c r="E1255" s="4"/>
      <c r="F1255" s="152" t="s">
        <v>371</v>
      </c>
      <c r="G1255" s="4" t="s">
        <v>353</v>
      </c>
      <c r="H1255" s="4"/>
      <c r="I1255" s="196">
        <v>-91571.199999999997</v>
      </c>
      <c r="J1255" s="196">
        <v>-62.72</v>
      </c>
      <c r="K1255" s="196">
        <v>1460</v>
      </c>
      <c r="L1255" s="454" t="s">
        <v>1045</v>
      </c>
      <c r="M1255" s="4" t="s">
        <v>780</v>
      </c>
      <c r="N1255" s="133" t="s">
        <v>1407</v>
      </c>
      <c r="O1255" s="4" t="s">
        <v>2185</v>
      </c>
      <c r="P1255" s="4" t="s">
        <v>892</v>
      </c>
      <c r="Q1255" s="4" t="s">
        <v>2186</v>
      </c>
      <c r="R1255" s="4" t="s">
        <v>2187</v>
      </c>
      <c r="S1255" s="4" t="s">
        <v>2188</v>
      </c>
      <c r="T1255" s="4" t="s">
        <v>786</v>
      </c>
      <c r="U1255" s="4"/>
      <c r="V1255" s="4"/>
      <c r="W1255" s="4"/>
    </row>
    <row r="1256" spans="1:23" customFormat="1">
      <c r="A1256" s="10"/>
      <c r="B1256" s="4"/>
      <c r="C1256" s="4"/>
      <c r="D1256" s="4"/>
      <c r="E1256" s="4"/>
      <c r="F1256" s="152" t="s">
        <v>371</v>
      </c>
      <c r="G1256" s="4" t="s">
        <v>353</v>
      </c>
      <c r="H1256" s="4"/>
      <c r="I1256" s="196">
        <v>-425663</v>
      </c>
      <c r="J1256" s="196">
        <v>-291.55</v>
      </c>
      <c r="K1256" s="196">
        <v>1460</v>
      </c>
      <c r="L1256" s="454" t="s">
        <v>1045</v>
      </c>
      <c r="M1256" s="4" t="s">
        <v>780</v>
      </c>
      <c r="N1256" s="133" t="s">
        <v>1407</v>
      </c>
      <c r="O1256" s="4" t="s">
        <v>2185</v>
      </c>
      <c r="P1256" s="4" t="s">
        <v>892</v>
      </c>
      <c r="Q1256" s="4" t="s">
        <v>2186</v>
      </c>
      <c r="R1256" s="4" t="s">
        <v>2189</v>
      </c>
      <c r="S1256" s="4" t="s">
        <v>2188</v>
      </c>
      <c r="T1256" s="4" t="s">
        <v>786</v>
      </c>
      <c r="U1256" s="4"/>
      <c r="V1256" s="4"/>
      <c r="W1256" s="4"/>
    </row>
    <row r="1257" spans="1:23" customFormat="1">
      <c r="A1257" s="10"/>
      <c r="B1257" s="4"/>
      <c r="C1257" s="4"/>
      <c r="D1257" s="4"/>
      <c r="E1257" s="4"/>
      <c r="F1257" s="152" t="s">
        <v>371</v>
      </c>
      <c r="G1257" s="4" t="s">
        <v>353</v>
      </c>
      <c r="H1257" s="4"/>
      <c r="I1257" s="196">
        <v>-25550</v>
      </c>
      <c r="J1257" s="196">
        <v>-17.5</v>
      </c>
      <c r="K1257" s="196">
        <v>1460</v>
      </c>
      <c r="L1257" s="454" t="s">
        <v>1045</v>
      </c>
      <c r="M1257" s="4" t="s">
        <v>780</v>
      </c>
      <c r="N1257" s="133" t="s">
        <v>1407</v>
      </c>
      <c r="O1257" s="4" t="s">
        <v>2185</v>
      </c>
      <c r="P1257" s="4" t="s">
        <v>892</v>
      </c>
      <c r="Q1257" s="4" t="s">
        <v>2186</v>
      </c>
      <c r="R1257" s="4" t="s">
        <v>2189</v>
      </c>
      <c r="S1257" s="4" t="s">
        <v>2188</v>
      </c>
      <c r="T1257" s="4" t="s">
        <v>786</v>
      </c>
      <c r="U1257" s="4"/>
      <c r="V1257" s="4"/>
      <c r="W1257" s="4"/>
    </row>
    <row r="1258" spans="1:23" customFormat="1">
      <c r="A1258" s="10"/>
      <c r="B1258" s="4"/>
      <c r="C1258" s="4"/>
      <c r="D1258" s="4"/>
      <c r="E1258" s="4"/>
      <c r="F1258" s="152" t="s">
        <v>371</v>
      </c>
      <c r="G1258" s="4" t="s">
        <v>353</v>
      </c>
      <c r="H1258" s="4"/>
      <c r="I1258" s="196">
        <v>-291941.59999999998</v>
      </c>
      <c r="J1258" s="196">
        <v>-199.96</v>
      </c>
      <c r="K1258" s="196">
        <v>1460</v>
      </c>
      <c r="L1258" s="454" t="s">
        <v>1045</v>
      </c>
      <c r="M1258" s="4" t="s">
        <v>780</v>
      </c>
      <c r="N1258" s="133" t="s">
        <v>1407</v>
      </c>
      <c r="O1258" s="4" t="s">
        <v>2185</v>
      </c>
      <c r="P1258" s="4" t="s">
        <v>892</v>
      </c>
      <c r="Q1258" s="4" t="s">
        <v>2186</v>
      </c>
      <c r="R1258" s="4" t="s">
        <v>2190</v>
      </c>
      <c r="S1258" s="4" t="s">
        <v>2188</v>
      </c>
      <c r="T1258" s="4" t="s">
        <v>786</v>
      </c>
      <c r="U1258" s="4"/>
      <c r="V1258" s="4"/>
      <c r="W1258" s="4"/>
    </row>
    <row r="1259" spans="1:23" customFormat="1">
      <c r="A1259" s="10"/>
      <c r="B1259" s="4"/>
      <c r="C1259" s="4"/>
      <c r="D1259" s="4"/>
      <c r="E1259" s="4"/>
      <c r="F1259" s="152" t="s">
        <v>371</v>
      </c>
      <c r="G1259" s="4" t="s">
        <v>353</v>
      </c>
      <c r="H1259" s="4"/>
      <c r="I1259" s="196">
        <v>-51100</v>
      </c>
      <c r="J1259" s="196">
        <v>-35</v>
      </c>
      <c r="K1259" s="196">
        <v>1460</v>
      </c>
      <c r="L1259" s="454" t="s">
        <v>1045</v>
      </c>
      <c r="M1259" s="4" t="s">
        <v>780</v>
      </c>
      <c r="N1259" s="133" t="s">
        <v>1407</v>
      </c>
      <c r="O1259" s="4" t="s">
        <v>2185</v>
      </c>
      <c r="P1259" s="4" t="s">
        <v>892</v>
      </c>
      <c r="Q1259" s="4" t="s">
        <v>2186</v>
      </c>
      <c r="R1259" s="4" t="s">
        <v>2191</v>
      </c>
      <c r="S1259" s="4" t="s">
        <v>2188</v>
      </c>
      <c r="T1259" s="4" t="s">
        <v>786</v>
      </c>
      <c r="U1259" s="4"/>
      <c r="V1259" s="4"/>
      <c r="W1259" s="4"/>
    </row>
    <row r="1260" spans="1:23" customFormat="1">
      <c r="A1260" s="10"/>
      <c r="B1260" s="4"/>
      <c r="C1260" s="4"/>
      <c r="D1260" s="4"/>
      <c r="E1260" s="4"/>
      <c r="F1260" s="152" t="s">
        <v>371</v>
      </c>
      <c r="G1260" s="4" t="s">
        <v>353</v>
      </c>
      <c r="H1260" s="4"/>
      <c r="I1260" s="196">
        <v>-79336.399999999994</v>
      </c>
      <c r="J1260" s="196">
        <v>-54.34</v>
      </c>
      <c r="K1260" s="196">
        <v>1460</v>
      </c>
      <c r="L1260" s="454" t="s">
        <v>1045</v>
      </c>
      <c r="M1260" s="4" t="s">
        <v>780</v>
      </c>
      <c r="N1260" s="133" t="s">
        <v>1407</v>
      </c>
      <c r="O1260" s="4" t="s">
        <v>2185</v>
      </c>
      <c r="P1260" s="4" t="s">
        <v>892</v>
      </c>
      <c r="Q1260" s="4" t="s">
        <v>2186</v>
      </c>
      <c r="R1260" s="4" t="s">
        <v>2193</v>
      </c>
      <c r="S1260" s="4" t="s">
        <v>2188</v>
      </c>
      <c r="T1260" s="4" t="s">
        <v>786</v>
      </c>
      <c r="U1260" s="4"/>
      <c r="V1260" s="4"/>
      <c r="W1260" s="4"/>
    </row>
    <row r="1261" spans="1:23" customFormat="1">
      <c r="A1261" s="10"/>
      <c r="B1261" s="4"/>
      <c r="C1261" s="4"/>
      <c r="D1261" s="4"/>
      <c r="E1261" s="4"/>
      <c r="F1261" s="152" t="s">
        <v>371</v>
      </c>
      <c r="G1261" s="4" t="s">
        <v>353</v>
      </c>
      <c r="H1261" s="4"/>
      <c r="I1261" s="196">
        <v>-140160</v>
      </c>
      <c r="J1261" s="196">
        <v>-96</v>
      </c>
      <c r="K1261" s="196">
        <v>1460</v>
      </c>
      <c r="L1261" s="454" t="s">
        <v>1045</v>
      </c>
      <c r="M1261" s="4" t="s">
        <v>780</v>
      </c>
      <c r="N1261" s="133" t="s">
        <v>1407</v>
      </c>
      <c r="O1261" s="4" t="s">
        <v>2185</v>
      </c>
      <c r="P1261" s="4" t="s">
        <v>892</v>
      </c>
      <c r="Q1261" s="4" t="s">
        <v>2186</v>
      </c>
      <c r="R1261" s="4" t="s">
        <v>2195</v>
      </c>
      <c r="S1261" s="4" t="s">
        <v>2188</v>
      </c>
      <c r="T1261" s="4" t="s">
        <v>786</v>
      </c>
      <c r="U1261" s="4"/>
      <c r="V1261" s="4"/>
      <c r="W1261" s="4"/>
    </row>
    <row r="1262" spans="1:23" customFormat="1">
      <c r="A1262" s="10"/>
      <c r="B1262" s="4"/>
      <c r="C1262" s="4"/>
      <c r="D1262" s="4"/>
      <c r="E1262" s="4"/>
      <c r="F1262" s="152" t="s">
        <v>371</v>
      </c>
      <c r="G1262" s="4" t="s">
        <v>353</v>
      </c>
      <c r="H1262" s="4"/>
      <c r="I1262" s="196">
        <v>-169243.2</v>
      </c>
      <c r="J1262" s="196">
        <v>-115.92</v>
      </c>
      <c r="K1262" s="196">
        <v>1460</v>
      </c>
      <c r="L1262" s="454" t="s">
        <v>1045</v>
      </c>
      <c r="M1262" s="4" t="s">
        <v>780</v>
      </c>
      <c r="N1262" s="133" t="s">
        <v>1407</v>
      </c>
      <c r="O1262" s="4" t="s">
        <v>2185</v>
      </c>
      <c r="P1262" s="4" t="s">
        <v>892</v>
      </c>
      <c r="Q1262" s="4" t="s">
        <v>2186</v>
      </c>
      <c r="R1262" s="4" t="s">
        <v>2196</v>
      </c>
      <c r="S1262" s="4" t="s">
        <v>2188</v>
      </c>
      <c r="T1262" s="4" t="s">
        <v>786</v>
      </c>
      <c r="U1262" s="4"/>
      <c r="V1262" s="4"/>
      <c r="W1262" s="4"/>
    </row>
    <row r="1263" spans="1:23" customFormat="1">
      <c r="A1263" s="10"/>
      <c r="B1263" s="4"/>
      <c r="C1263" s="4"/>
      <c r="D1263" s="4"/>
      <c r="E1263" s="4"/>
      <c r="F1263" s="152" t="s">
        <v>371</v>
      </c>
      <c r="G1263" s="4" t="s">
        <v>353</v>
      </c>
      <c r="H1263" s="4"/>
      <c r="I1263" s="196">
        <v>-733299.6</v>
      </c>
      <c r="J1263" s="196">
        <v>-502.26</v>
      </c>
      <c r="K1263" s="196">
        <v>1460</v>
      </c>
      <c r="L1263" s="454" t="s">
        <v>1045</v>
      </c>
      <c r="M1263" s="4" t="s">
        <v>780</v>
      </c>
      <c r="N1263" s="133" t="s">
        <v>1407</v>
      </c>
      <c r="O1263" s="4" t="s">
        <v>2185</v>
      </c>
      <c r="P1263" s="4" t="s">
        <v>892</v>
      </c>
      <c r="Q1263" s="4" t="s">
        <v>2186</v>
      </c>
      <c r="R1263" s="4" t="s">
        <v>2192</v>
      </c>
      <c r="S1263" s="4" t="s">
        <v>2188</v>
      </c>
      <c r="T1263" s="4" t="s">
        <v>786</v>
      </c>
      <c r="U1263" s="4"/>
      <c r="V1263" s="4"/>
      <c r="W1263" s="4"/>
    </row>
    <row r="1264" spans="1:23" customFormat="1">
      <c r="A1264" s="10"/>
      <c r="B1264" s="4"/>
      <c r="C1264" s="4"/>
      <c r="D1264" s="4"/>
      <c r="E1264" s="4"/>
      <c r="F1264" s="152" t="s">
        <v>371</v>
      </c>
      <c r="G1264" s="4" t="s">
        <v>353</v>
      </c>
      <c r="H1264" s="4"/>
      <c r="I1264" s="196">
        <v>-243294.4</v>
      </c>
      <c r="J1264" s="196">
        <v>-166.64</v>
      </c>
      <c r="K1264" s="196">
        <v>1460</v>
      </c>
      <c r="L1264" s="454" t="s">
        <v>1045</v>
      </c>
      <c r="M1264" s="4" t="s">
        <v>780</v>
      </c>
      <c r="N1264" s="133" t="s">
        <v>1407</v>
      </c>
      <c r="O1264" s="4" t="s">
        <v>2185</v>
      </c>
      <c r="P1264" s="4" t="s">
        <v>892</v>
      </c>
      <c r="Q1264" s="4" t="s">
        <v>2186</v>
      </c>
      <c r="R1264" s="4" t="s">
        <v>2197</v>
      </c>
      <c r="S1264" s="4" t="s">
        <v>2188</v>
      </c>
      <c r="T1264" s="4" t="s">
        <v>786</v>
      </c>
      <c r="U1264" s="4"/>
      <c r="V1264" s="4"/>
      <c r="W1264" s="4"/>
    </row>
    <row r="1265" spans="1:23" customFormat="1">
      <c r="A1265" s="10"/>
      <c r="B1265" s="4"/>
      <c r="C1265" s="4"/>
      <c r="D1265" s="4"/>
      <c r="E1265" s="4"/>
      <c r="F1265" s="152" t="s">
        <v>371</v>
      </c>
      <c r="G1265" s="4" t="s">
        <v>353</v>
      </c>
      <c r="H1265" s="4"/>
      <c r="I1265" s="196">
        <v>-100754.6</v>
      </c>
      <c r="J1265" s="196">
        <v>-69.010000000000005</v>
      </c>
      <c r="K1265" s="196">
        <v>1460</v>
      </c>
      <c r="L1265" s="454" t="s">
        <v>1045</v>
      </c>
      <c r="M1265" s="4" t="s">
        <v>780</v>
      </c>
      <c r="N1265" s="133" t="s">
        <v>1407</v>
      </c>
      <c r="O1265" s="4" t="s">
        <v>2185</v>
      </c>
      <c r="P1265" s="4" t="s">
        <v>892</v>
      </c>
      <c r="Q1265" s="4" t="s">
        <v>2186</v>
      </c>
      <c r="R1265" s="4" t="s">
        <v>2198</v>
      </c>
      <c r="S1265" s="4" t="s">
        <v>2188</v>
      </c>
      <c r="T1265" s="4" t="s">
        <v>786</v>
      </c>
      <c r="U1265" s="4"/>
      <c r="V1265" s="4"/>
      <c r="W1265" s="4"/>
    </row>
    <row r="1266" spans="1:23" customFormat="1">
      <c r="A1266" s="10"/>
      <c r="B1266" s="4"/>
      <c r="C1266" s="4"/>
      <c r="D1266" s="4"/>
      <c r="E1266" s="4"/>
      <c r="F1266" s="152" t="s">
        <v>371</v>
      </c>
      <c r="G1266" s="4" t="s">
        <v>353</v>
      </c>
      <c r="H1266" s="4"/>
      <c r="I1266" s="196">
        <v>-108419.6</v>
      </c>
      <c r="J1266" s="196">
        <v>-74.260000000000005</v>
      </c>
      <c r="K1266" s="196">
        <v>1460</v>
      </c>
      <c r="L1266" s="454" t="s">
        <v>1045</v>
      </c>
      <c r="M1266" s="4" t="s">
        <v>780</v>
      </c>
      <c r="N1266" s="133" t="s">
        <v>1407</v>
      </c>
      <c r="O1266" s="4" t="s">
        <v>2185</v>
      </c>
      <c r="P1266" s="4" t="s">
        <v>892</v>
      </c>
      <c r="Q1266" s="4" t="s">
        <v>2186</v>
      </c>
      <c r="R1266" s="4" t="s">
        <v>2194</v>
      </c>
      <c r="S1266" s="4" t="s">
        <v>2188</v>
      </c>
      <c r="T1266" s="4" t="s">
        <v>786</v>
      </c>
      <c r="U1266" s="4"/>
      <c r="V1266" s="4"/>
      <c r="W1266" s="4"/>
    </row>
    <row r="1267" spans="1:23" customFormat="1">
      <c r="A1267" s="10"/>
      <c r="B1267" s="4"/>
      <c r="C1267" s="4"/>
      <c r="D1267" s="4"/>
      <c r="E1267" s="4"/>
      <c r="F1267" s="152" t="s">
        <v>371</v>
      </c>
      <c r="G1267" s="4" t="s">
        <v>353</v>
      </c>
      <c r="H1267" s="4"/>
      <c r="I1267" s="196">
        <v>-80650.399999999994</v>
      </c>
      <c r="J1267" s="196">
        <v>-55.24</v>
      </c>
      <c r="K1267" s="196">
        <v>1460</v>
      </c>
      <c r="L1267" s="454" t="s">
        <v>1045</v>
      </c>
      <c r="M1267" s="4" t="s">
        <v>780</v>
      </c>
      <c r="N1267" s="133" t="s">
        <v>1407</v>
      </c>
      <c r="O1267" s="4" t="s">
        <v>2185</v>
      </c>
      <c r="P1267" s="4" t="s">
        <v>892</v>
      </c>
      <c r="Q1267" s="4" t="s">
        <v>2186</v>
      </c>
      <c r="R1267" s="4" t="s">
        <v>2199</v>
      </c>
      <c r="S1267" s="4" t="s">
        <v>2188</v>
      </c>
      <c r="T1267" s="4" t="s">
        <v>786</v>
      </c>
      <c r="U1267" s="4"/>
      <c r="V1267" s="4"/>
      <c r="W1267" s="4"/>
    </row>
    <row r="1268" spans="1:23" customFormat="1">
      <c r="A1268" s="10"/>
      <c r="B1268" s="4"/>
      <c r="C1268" s="4"/>
      <c r="D1268" s="4"/>
      <c r="E1268" s="4"/>
      <c r="F1268" s="152" t="s">
        <v>371</v>
      </c>
      <c r="G1268" s="4" t="s">
        <v>353</v>
      </c>
      <c r="H1268" s="4"/>
      <c r="I1268" s="196">
        <v>-337157.8</v>
      </c>
      <c r="J1268" s="196">
        <v>-230.93</v>
      </c>
      <c r="K1268" s="196">
        <v>1460</v>
      </c>
      <c r="L1268" s="454" t="s">
        <v>1045</v>
      </c>
      <c r="M1268" s="4" t="s">
        <v>780</v>
      </c>
      <c r="N1268" s="133" t="s">
        <v>1407</v>
      </c>
      <c r="O1268" s="4" t="s">
        <v>2185</v>
      </c>
      <c r="P1268" s="4" t="s">
        <v>892</v>
      </c>
      <c r="Q1268" s="4" t="s">
        <v>2186</v>
      </c>
      <c r="R1268" s="4" t="s">
        <v>2200</v>
      </c>
      <c r="S1268" s="4" t="s">
        <v>2188</v>
      </c>
      <c r="T1268" s="4" t="s">
        <v>786</v>
      </c>
      <c r="U1268" s="4"/>
      <c r="V1268" s="4"/>
      <c r="W1268" s="4"/>
    </row>
    <row r="1269" spans="1:23" customFormat="1">
      <c r="A1269" s="10"/>
      <c r="B1269" s="4"/>
      <c r="C1269" s="4"/>
      <c r="D1269" s="4"/>
      <c r="E1269" s="4"/>
      <c r="F1269" s="152" t="s">
        <v>371</v>
      </c>
      <c r="G1269" s="4" t="s">
        <v>353</v>
      </c>
      <c r="H1269" s="4"/>
      <c r="I1269" s="196">
        <v>-294482</v>
      </c>
      <c r="J1269" s="196">
        <v>-201.7</v>
      </c>
      <c r="K1269" s="196">
        <v>1460</v>
      </c>
      <c r="L1269" s="454" t="s">
        <v>1045</v>
      </c>
      <c r="M1269" s="4" t="s">
        <v>780</v>
      </c>
      <c r="N1269" s="133" t="s">
        <v>1407</v>
      </c>
      <c r="O1269" s="4" t="s">
        <v>2185</v>
      </c>
      <c r="P1269" s="4" t="s">
        <v>892</v>
      </c>
      <c r="Q1269" s="4" t="s">
        <v>2186</v>
      </c>
      <c r="R1269" s="4" t="s">
        <v>2201</v>
      </c>
      <c r="S1269" s="4" t="s">
        <v>2188</v>
      </c>
      <c r="T1269" s="4" t="s">
        <v>786</v>
      </c>
      <c r="U1269" s="4"/>
      <c r="V1269" s="4"/>
      <c r="W1269" s="4"/>
    </row>
    <row r="1270" spans="1:23" customFormat="1">
      <c r="A1270" s="10"/>
      <c r="B1270" s="4"/>
      <c r="C1270" s="4"/>
      <c r="D1270" s="4"/>
      <c r="E1270" s="4"/>
      <c r="F1270" s="152" t="s">
        <v>371</v>
      </c>
      <c r="G1270" s="4" t="s">
        <v>353</v>
      </c>
      <c r="H1270" s="4"/>
      <c r="I1270" s="196">
        <v>-150891</v>
      </c>
      <c r="J1270" s="196">
        <v>-103.35</v>
      </c>
      <c r="K1270" s="196">
        <v>1460</v>
      </c>
      <c r="L1270" s="454" t="s">
        <v>1045</v>
      </c>
      <c r="M1270" s="4" t="s">
        <v>780</v>
      </c>
      <c r="N1270" s="133" t="s">
        <v>1407</v>
      </c>
      <c r="O1270" s="4" t="s">
        <v>2185</v>
      </c>
      <c r="P1270" s="4" t="s">
        <v>892</v>
      </c>
      <c r="Q1270" s="4" t="s">
        <v>2186</v>
      </c>
      <c r="R1270" s="4" t="s">
        <v>2202</v>
      </c>
      <c r="S1270" s="4" t="s">
        <v>2188</v>
      </c>
      <c r="T1270" s="4" t="s">
        <v>786</v>
      </c>
      <c r="U1270" s="4"/>
      <c r="V1270" s="4"/>
      <c r="W1270" s="4"/>
    </row>
    <row r="1271" spans="1:23" customFormat="1">
      <c r="A1271" s="10"/>
      <c r="B1271" s="4"/>
      <c r="C1271" s="4"/>
      <c r="D1271" s="4"/>
      <c r="E1271" s="4"/>
      <c r="F1271" s="152" t="s">
        <v>371</v>
      </c>
      <c r="G1271" s="4" t="s">
        <v>353</v>
      </c>
      <c r="H1271" s="4"/>
      <c r="I1271" s="196">
        <v>-138568.6</v>
      </c>
      <c r="J1271" s="196">
        <v>-94.91</v>
      </c>
      <c r="K1271" s="196">
        <v>1460</v>
      </c>
      <c r="L1271" s="454" t="s">
        <v>1045</v>
      </c>
      <c r="M1271" s="4" t="s">
        <v>780</v>
      </c>
      <c r="N1271" s="133" t="s">
        <v>1407</v>
      </c>
      <c r="O1271" s="4" t="s">
        <v>2185</v>
      </c>
      <c r="P1271" s="4" t="s">
        <v>892</v>
      </c>
      <c r="Q1271" s="4" t="s">
        <v>2186</v>
      </c>
      <c r="R1271" s="4" t="s">
        <v>2204</v>
      </c>
      <c r="S1271" s="4" t="s">
        <v>2188</v>
      </c>
      <c r="T1271" s="4" t="s">
        <v>786</v>
      </c>
      <c r="U1271" s="4"/>
      <c r="V1271" s="4"/>
      <c r="W1271" s="4"/>
    </row>
    <row r="1272" spans="1:23" customFormat="1">
      <c r="A1272" s="10"/>
      <c r="B1272" s="4"/>
      <c r="C1272" s="4"/>
      <c r="D1272" s="4"/>
      <c r="E1272" s="4"/>
      <c r="F1272" s="152" t="s">
        <v>371</v>
      </c>
      <c r="G1272" s="4" t="s">
        <v>353</v>
      </c>
      <c r="H1272" s="4"/>
      <c r="I1272" s="196">
        <v>-102462.8</v>
      </c>
      <c r="J1272" s="196">
        <v>-70.180000000000007</v>
      </c>
      <c r="K1272" s="196">
        <v>1460</v>
      </c>
      <c r="L1272" s="454" t="s">
        <v>1045</v>
      </c>
      <c r="M1272" s="4" t="s">
        <v>780</v>
      </c>
      <c r="N1272" s="133" t="s">
        <v>1407</v>
      </c>
      <c r="O1272" s="4" t="s">
        <v>2185</v>
      </c>
      <c r="P1272" s="4" t="s">
        <v>892</v>
      </c>
      <c r="Q1272" s="4" t="s">
        <v>2186</v>
      </c>
      <c r="R1272" s="4" t="s">
        <v>2203</v>
      </c>
      <c r="S1272" s="4" t="s">
        <v>2188</v>
      </c>
      <c r="T1272" s="4" t="s">
        <v>786</v>
      </c>
      <c r="U1272" s="4"/>
      <c r="V1272" s="4"/>
      <c r="W1272" s="4"/>
    </row>
    <row r="1273" spans="1:23" customFormat="1">
      <c r="A1273" s="10"/>
      <c r="B1273" s="4"/>
      <c r="C1273" s="4"/>
      <c r="D1273" s="4"/>
      <c r="E1273" s="4"/>
      <c r="F1273" s="152" t="s">
        <v>371</v>
      </c>
      <c r="G1273" s="4" t="s">
        <v>353</v>
      </c>
      <c r="H1273" s="4"/>
      <c r="I1273" s="196">
        <v>-167359.79999999999</v>
      </c>
      <c r="J1273" s="196">
        <v>-114.63</v>
      </c>
      <c r="K1273" s="196">
        <v>1460</v>
      </c>
      <c r="L1273" s="454" t="s">
        <v>1045</v>
      </c>
      <c r="M1273" s="4" t="s">
        <v>780</v>
      </c>
      <c r="N1273" s="133" t="s">
        <v>1407</v>
      </c>
      <c r="O1273" s="4" t="s">
        <v>2185</v>
      </c>
      <c r="P1273" s="4" t="s">
        <v>892</v>
      </c>
      <c r="Q1273" s="4" t="s">
        <v>2186</v>
      </c>
      <c r="R1273" s="4" t="s">
        <v>2205</v>
      </c>
      <c r="S1273" s="4" t="s">
        <v>2188</v>
      </c>
      <c r="T1273" s="4" t="s">
        <v>786</v>
      </c>
      <c r="U1273" s="4"/>
      <c r="V1273" s="4"/>
      <c r="W1273" s="4"/>
    </row>
    <row r="1274" spans="1:23" customFormat="1">
      <c r="A1274" s="10"/>
      <c r="B1274" s="4"/>
      <c r="C1274" s="4"/>
      <c r="D1274" s="4"/>
      <c r="E1274" s="4"/>
      <c r="F1274" s="152" t="s">
        <v>371</v>
      </c>
      <c r="G1274" s="4" t="s">
        <v>353</v>
      </c>
      <c r="H1274" s="4"/>
      <c r="I1274" s="196">
        <v>16874000</v>
      </c>
      <c r="J1274" s="196">
        <v>11800</v>
      </c>
      <c r="K1274" s="196">
        <v>1430</v>
      </c>
      <c r="L1274" s="454" t="s">
        <v>1045</v>
      </c>
      <c r="M1274" s="4" t="s">
        <v>780</v>
      </c>
      <c r="N1274" s="133" t="s">
        <v>1407</v>
      </c>
      <c r="O1274" s="4" t="s">
        <v>2242</v>
      </c>
      <c r="P1274" s="4" t="s">
        <v>892</v>
      </c>
      <c r="Q1274" s="4" t="s">
        <v>2243</v>
      </c>
      <c r="R1274" s="4" t="s">
        <v>2249</v>
      </c>
      <c r="S1274" s="4" t="s">
        <v>2245</v>
      </c>
      <c r="T1274" s="4" t="s">
        <v>786</v>
      </c>
      <c r="U1274" s="4"/>
      <c r="V1274" s="4"/>
      <c r="W1274" s="4"/>
    </row>
    <row r="1275" spans="1:23" customFormat="1">
      <c r="A1275" s="10"/>
      <c r="B1275" s="4"/>
      <c r="C1275" s="4"/>
      <c r="D1275" s="4"/>
      <c r="E1275" s="4"/>
      <c r="F1275" s="152" t="s">
        <v>371</v>
      </c>
      <c r="G1275" s="4" t="s">
        <v>353</v>
      </c>
      <c r="H1275" s="4"/>
      <c r="I1275" s="196">
        <v>3206250</v>
      </c>
      <c r="J1275" s="196">
        <v>2137.5</v>
      </c>
      <c r="K1275" s="196">
        <v>1500</v>
      </c>
      <c r="L1275" s="454" t="s">
        <v>1045</v>
      </c>
      <c r="M1275" s="4" t="s">
        <v>780</v>
      </c>
      <c r="N1275" s="133" t="s">
        <v>1407</v>
      </c>
      <c r="O1275" s="4" t="s">
        <v>2242</v>
      </c>
      <c r="P1275" s="4" t="s">
        <v>892</v>
      </c>
      <c r="Q1275" s="4" t="s">
        <v>2243</v>
      </c>
      <c r="R1275" s="4" t="s">
        <v>2250</v>
      </c>
      <c r="S1275" s="4" t="s">
        <v>2245</v>
      </c>
      <c r="T1275" s="4" t="s">
        <v>786</v>
      </c>
      <c r="U1275" s="4"/>
      <c r="V1275" s="4"/>
      <c r="W1275" s="4"/>
    </row>
    <row r="1276" spans="1:23" customFormat="1">
      <c r="A1276" s="10"/>
      <c r="B1276" s="4"/>
      <c r="C1276" s="4"/>
      <c r="D1276" s="4"/>
      <c r="E1276" s="4"/>
      <c r="F1276" s="152" t="s">
        <v>371</v>
      </c>
      <c r="G1276" s="4" t="s">
        <v>353</v>
      </c>
      <c r="H1276" s="4"/>
      <c r="I1276" s="196">
        <v>2992500</v>
      </c>
      <c r="J1276" s="196">
        <v>2137.5</v>
      </c>
      <c r="K1276" s="196">
        <v>1400</v>
      </c>
      <c r="L1276" s="454" t="s">
        <v>1045</v>
      </c>
      <c r="M1276" s="4" t="s">
        <v>780</v>
      </c>
      <c r="N1276" s="133" t="s">
        <v>1407</v>
      </c>
      <c r="O1276" s="4" t="s">
        <v>2242</v>
      </c>
      <c r="P1276" s="4" t="s">
        <v>892</v>
      </c>
      <c r="Q1276" s="4" t="s">
        <v>2243</v>
      </c>
      <c r="R1276" s="4" t="s">
        <v>2247</v>
      </c>
      <c r="S1276" s="4" t="s">
        <v>2245</v>
      </c>
      <c r="T1276" s="4" t="s">
        <v>786</v>
      </c>
      <c r="U1276" s="4"/>
      <c r="V1276" s="4"/>
      <c r="W1276" s="4"/>
    </row>
    <row r="1277" spans="1:23" customFormat="1">
      <c r="A1277" s="10"/>
      <c r="B1277" s="4"/>
      <c r="C1277" s="4"/>
      <c r="D1277" s="4"/>
      <c r="E1277" s="4"/>
      <c r="F1277" s="152" t="s">
        <v>371</v>
      </c>
      <c r="G1277" s="4" t="s">
        <v>353</v>
      </c>
      <c r="H1277" s="4"/>
      <c r="I1277" s="196">
        <v>6510000</v>
      </c>
      <c r="J1277" s="196">
        <v>4340</v>
      </c>
      <c r="K1277" s="196">
        <v>1500</v>
      </c>
      <c r="L1277" s="454" t="s">
        <v>1045</v>
      </c>
      <c r="M1277" s="4" t="s">
        <v>780</v>
      </c>
      <c r="N1277" s="133" t="s">
        <v>1407</v>
      </c>
      <c r="O1277" s="4" t="s">
        <v>2242</v>
      </c>
      <c r="P1277" s="4" t="s">
        <v>892</v>
      </c>
      <c r="Q1277" s="4" t="s">
        <v>2243</v>
      </c>
      <c r="R1277" s="4" t="s">
        <v>2251</v>
      </c>
      <c r="S1277" s="4" t="s">
        <v>2245</v>
      </c>
      <c r="T1277" s="4" t="s">
        <v>786</v>
      </c>
      <c r="U1277" s="4"/>
      <c r="V1277" s="4"/>
      <c r="W1277" s="4"/>
    </row>
    <row r="1278" spans="1:23" customFormat="1">
      <c r="A1278" s="10"/>
      <c r="B1278" s="4"/>
      <c r="C1278" s="4"/>
      <c r="D1278" s="4"/>
      <c r="E1278" s="4"/>
      <c r="F1278" s="152" t="s">
        <v>371</v>
      </c>
      <c r="G1278" s="4" t="s">
        <v>353</v>
      </c>
      <c r="H1278" s="4"/>
      <c r="I1278" s="196">
        <v>3206250</v>
      </c>
      <c r="J1278" s="196">
        <v>2137.5</v>
      </c>
      <c r="K1278" s="196">
        <v>1500</v>
      </c>
      <c r="L1278" s="454" t="s">
        <v>1045</v>
      </c>
      <c r="M1278" s="4" t="s">
        <v>780</v>
      </c>
      <c r="N1278" s="133" t="s">
        <v>1407</v>
      </c>
      <c r="O1278" s="4" t="s">
        <v>2242</v>
      </c>
      <c r="P1278" s="4" t="s">
        <v>892</v>
      </c>
      <c r="Q1278" s="4" t="s">
        <v>2243</v>
      </c>
      <c r="R1278" s="4" t="s">
        <v>2246</v>
      </c>
      <c r="S1278" s="4" t="s">
        <v>2245</v>
      </c>
      <c r="T1278" s="4" t="s">
        <v>786</v>
      </c>
      <c r="U1278" s="4"/>
      <c r="V1278" s="4"/>
      <c r="W1278" s="4"/>
    </row>
    <row r="1279" spans="1:23" customFormat="1">
      <c r="A1279" s="10"/>
      <c r="B1279" s="4"/>
      <c r="C1279" s="4"/>
      <c r="D1279" s="4"/>
      <c r="E1279" s="4"/>
      <c r="F1279" s="152" t="s">
        <v>371</v>
      </c>
      <c r="G1279" s="4" t="s">
        <v>353</v>
      </c>
      <c r="H1279" s="4"/>
      <c r="I1279" s="196">
        <v>10425000</v>
      </c>
      <c r="J1279" s="196">
        <v>6950</v>
      </c>
      <c r="K1279" s="196">
        <v>1500</v>
      </c>
      <c r="L1279" s="454" t="s">
        <v>1045</v>
      </c>
      <c r="M1279" s="4" t="s">
        <v>780</v>
      </c>
      <c r="N1279" s="133" t="s">
        <v>1407</v>
      </c>
      <c r="O1279" s="4" t="s">
        <v>2242</v>
      </c>
      <c r="P1279" s="4" t="s">
        <v>892</v>
      </c>
      <c r="Q1279" s="4" t="s">
        <v>2243</v>
      </c>
      <c r="R1279" s="4" t="s">
        <v>2248</v>
      </c>
      <c r="S1279" s="4" t="s">
        <v>2245</v>
      </c>
      <c r="T1279" s="4" t="s">
        <v>786</v>
      </c>
      <c r="U1279" s="4"/>
      <c r="V1279" s="4"/>
      <c r="W1279" s="4"/>
    </row>
    <row r="1280" spans="1:23" customFormat="1">
      <c r="A1280" s="10"/>
      <c r="B1280" s="4"/>
      <c r="C1280" s="4"/>
      <c r="D1280" s="4"/>
      <c r="E1280" s="4"/>
      <c r="F1280" s="152" t="s">
        <v>371</v>
      </c>
      <c r="G1280" s="4" t="s">
        <v>353</v>
      </c>
      <c r="H1280" s="4"/>
      <c r="I1280" s="196">
        <v>3869000</v>
      </c>
      <c r="J1280" s="196">
        <v>2650</v>
      </c>
      <c r="K1280" s="196">
        <v>1460</v>
      </c>
      <c r="L1280" s="454" t="s">
        <v>1045</v>
      </c>
      <c r="M1280" s="4" t="s">
        <v>780</v>
      </c>
      <c r="N1280" s="133" t="s">
        <v>1407</v>
      </c>
      <c r="O1280" s="4" t="s">
        <v>2242</v>
      </c>
      <c r="P1280" s="4" t="s">
        <v>892</v>
      </c>
      <c r="Q1280" s="4" t="s">
        <v>2243</v>
      </c>
      <c r="R1280" s="4" t="s">
        <v>2244</v>
      </c>
      <c r="S1280" s="4" t="s">
        <v>2245</v>
      </c>
      <c r="T1280" s="4" t="s">
        <v>786</v>
      </c>
      <c r="U1280" s="4"/>
      <c r="V1280" s="4"/>
      <c r="W1280" s="4"/>
    </row>
    <row r="1281" spans="1:23" customFormat="1">
      <c r="A1281" s="10"/>
      <c r="B1281" s="4"/>
      <c r="C1281" s="4"/>
      <c r="D1281" s="4"/>
      <c r="E1281" s="4"/>
      <c r="F1281" s="152" t="s">
        <v>371</v>
      </c>
      <c r="G1281" s="4" t="s">
        <v>353</v>
      </c>
      <c r="H1281" s="4"/>
      <c r="I1281" s="196">
        <v>2003850</v>
      </c>
      <c r="J1281" s="196">
        <v>1372.5</v>
      </c>
      <c r="K1281" s="196">
        <v>1460</v>
      </c>
      <c r="L1281" s="454" t="s">
        <v>1045</v>
      </c>
      <c r="M1281" s="4" t="s">
        <v>780</v>
      </c>
      <c r="N1281" s="133" t="s">
        <v>1407</v>
      </c>
      <c r="O1281" s="4" t="s">
        <v>2256</v>
      </c>
      <c r="P1281" s="4" t="s">
        <v>892</v>
      </c>
      <c r="Q1281" s="4" t="s">
        <v>2257</v>
      </c>
      <c r="R1281" s="4" t="s">
        <v>2260</v>
      </c>
      <c r="S1281" s="4" t="s">
        <v>2259</v>
      </c>
      <c r="T1281" s="4" t="s">
        <v>786</v>
      </c>
      <c r="U1281" s="4"/>
      <c r="V1281" s="4"/>
      <c r="W1281" s="4"/>
    </row>
    <row r="1282" spans="1:23" customFormat="1">
      <c r="A1282" s="10"/>
      <c r="B1282" s="4"/>
      <c r="C1282" s="4"/>
      <c r="D1282" s="4"/>
      <c r="E1282" s="4"/>
      <c r="F1282" s="152" t="s">
        <v>371</v>
      </c>
      <c r="G1282" s="4" t="s">
        <v>353</v>
      </c>
      <c r="H1282" s="4"/>
      <c r="I1282" s="196">
        <v>12161800</v>
      </c>
      <c r="J1282" s="196">
        <v>8330</v>
      </c>
      <c r="K1282" s="196">
        <v>1460</v>
      </c>
      <c r="L1282" s="454" t="s">
        <v>1045</v>
      </c>
      <c r="M1282" s="4" t="s">
        <v>780</v>
      </c>
      <c r="N1282" s="133" t="s">
        <v>1407</v>
      </c>
      <c r="O1282" s="4" t="s">
        <v>2256</v>
      </c>
      <c r="P1282" s="4" t="s">
        <v>892</v>
      </c>
      <c r="Q1282" s="4" t="s">
        <v>2257</v>
      </c>
      <c r="R1282" s="4" t="s">
        <v>2258</v>
      </c>
      <c r="S1282" s="4" t="s">
        <v>2259</v>
      </c>
      <c r="T1282" s="4" t="s">
        <v>786</v>
      </c>
      <c r="U1282" s="4"/>
      <c r="V1282" s="4"/>
      <c r="W1282" s="4"/>
    </row>
    <row r="1283" spans="1:23" customFormat="1">
      <c r="A1283" s="10"/>
      <c r="B1283" s="4"/>
      <c r="C1283" s="4"/>
      <c r="D1283" s="4"/>
      <c r="E1283" s="4"/>
      <c r="F1283" s="152" t="s">
        <v>371</v>
      </c>
      <c r="G1283" s="4" t="s">
        <v>353</v>
      </c>
      <c r="H1283" s="4"/>
      <c r="I1283" s="196">
        <v>730000</v>
      </c>
      <c r="J1283" s="196">
        <v>500</v>
      </c>
      <c r="K1283" s="196">
        <v>1460</v>
      </c>
      <c r="L1283" s="454" t="s">
        <v>1045</v>
      </c>
      <c r="M1283" s="4" t="s">
        <v>780</v>
      </c>
      <c r="N1283" s="133" t="s">
        <v>1407</v>
      </c>
      <c r="O1283" s="4" t="s">
        <v>2256</v>
      </c>
      <c r="P1283" s="4" t="s">
        <v>892</v>
      </c>
      <c r="Q1283" s="4" t="s">
        <v>2257</v>
      </c>
      <c r="R1283" s="4" t="s">
        <v>2258</v>
      </c>
      <c r="S1283" s="4" t="s">
        <v>2259</v>
      </c>
      <c r="T1283" s="4" t="s">
        <v>786</v>
      </c>
      <c r="U1283" s="4"/>
      <c r="V1283" s="4"/>
      <c r="W1283" s="4"/>
    </row>
    <row r="1284" spans="1:23" customFormat="1">
      <c r="A1284" s="10"/>
      <c r="B1284" s="4"/>
      <c r="C1284" s="4"/>
      <c r="D1284" s="4"/>
      <c r="E1284" s="4"/>
      <c r="F1284" s="152" t="s">
        <v>371</v>
      </c>
      <c r="G1284" s="4" t="s">
        <v>353</v>
      </c>
      <c r="H1284" s="4"/>
      <c r="I1284" s="196">
        <v>8340980</v>
      </c>
      <c r="J1284" s="196">
        <v>5713</v>
      </c>
      <c r="K1284" s="196">
        <v>1460</v>
      </c>
      <c r="L1284" s="454" t="s">
        <v>1045</v>
      </c>
      <c r="M1284" s="4" t="s">
        <v>780</v>
      </c>
      <c r="N1284" s="133" t="s">
        <v>1407</v>
      </c>
      <c r="O1284" s="4" t="s">
        <v>2256</v>
      </c>
      <c r="P1284" s="4" t="s">
        <v>892</v>
      </c>
      <c r="Q1284" s="4" t="s">
        <v>2257</v>
      </c>
      <c r="R1284" s="4" t="s">
        <v>2263</v>
      </c>
      <c r="S1284" s="4" t="s">
        <v>2259</v>
      </c>
      <c r="T1284" s="4" t="s">
        <v>786</v>
      </c>
      <c r="U1284" s="4"/>
      <c r="V1284" s="4"/>
      <c r="W1284" s="4"/>
    </row>
    <row r="1285" spans="1:23" customFormat="1">
      <c r="A1285" s="10"/>
      <c r="B1285" s="4"/>
      <c r="C1285" s="4"/>
      <c r="D1285" s="4"/>
      <c r="E1285" s="4"/>
      <c r="F1285" s="152" t="s">
        <v>371</v>
      </c>
      <c r="G1285" s="4" t="s">
        <v>353</v>
      </c>
      <c r="H1285" s="4"/>
      <c r="I1285" s="196">
        <v>1460000</v>
      </c>
      <c r="J1285" s="196">
        <v>1000</v>
      </c>
      <c r="K1285" s="196">
        <v>1460</v>
      </c>
      <c r="L1285" s="454" t="s">
        <v>1045</v>
      </c>
      <c r="M1285" s="4" t="s">
        <v>780</v>
      </c>
      <c r="N1285" s="133" t="s">
        <v>1407</v>
      </c>
      <c r="O1285" s="4" t="s">
        <v>2256</v>
      </c>
      <c r="P1285" s="4" t="s">
        <v>892</v>
      </c>
      <c r="Q1285" s="4" t="s">
        <v>2257</v>
      </c>
      <c r="R1285" s="4" t="s">
        <v>2265</v>
      </c>
      <c r="S1285" s="4" t="s">
        <v>2259</v>
      </c>
      <c r="T1285" s="4" t="s">
        <v>786</v>
      </c>
      <c r="U1285" s="4"/>
      <c r="V1285" s="4"/>
      <c r="W1285" s="4"/>
    </row>
    <row r="1286" spans="1:23" customFormat="1">
      <c r="A1286" s="10"/>
      <c r="B1286" s="4"/>
      <c r="C1286" s="4"/>
      <c r="D1286" s="4"/>
      <c r="E1286" s="4"/>
      <c r="F1286" s="152" t="s">
        <v>371</v>
      </c>
      <c r="G1286" s="4" t="s">
        <v>353</v>
      </c>
      <c r="H1286" s="4"/>
      <c r="I1286" s="196">
        <v>2266650</v>
      </c>
      <c r="J1286" s="196">
        <v>1552.5</v>
      </c>
      <c r="K1286" s="196">
        <v>1460</v>
      </c>
      <c r="L1286" s="454" t="s">
        <v>1045</v>
      </c>
      <c r="M1286" s="4" t="s">
        <v>780</v>
      </c>
      <c r="N1286" s="133" t="s">
        <v>1407</v>
      </c>
      <c r="O1286" s="4" t="s">
        <v>2256</v>
      </c>
      <c r="P1286" s="4" t="s">
        <v>892</v>
      </c>
      <c r="Q1286" s="4" t="s">
        <v>2257</v>
      </c>
      <c r="R1286" s="4" t="s">
        <v>2266</v>
      </c>
      <c r="S1286" s="4" t="s">
        <v>2259</v>
      </c>
      <c r="T1286" s="4" t="s">
        <v>786</v>
      </c>
      <c r="U1286" s="4"/>
      <c r="V1286" s="4"/>
      <c r="W1286" s="4"/>
    </row>
    <row r="1287" spans="1:23" customFormat="1">
      <c r="A1287" s="10"/>
      <c r="B1287" s="4"/>
      <c r="C1287" s="4"/>
      <c r="D1287" s="4"/>
      <c r="E1287" s="4"/>
      <c r="F1287" s="152" t="s">
        <v>371</v>
      </c>
      <c r="G1287" s="4" t="s">
        <v>353</v>
      </c>
      <c r="H1287" s="4"/>
      <c r="I1287" s="196">
        <v>3959082</v>
      </c>
      <c r="J1287" s="196">
        <v>2711.7</v>
      </c>
      <c r="K1287" s="196">
        <v>1460</v>
      </c>
      <c r="L1287" s="454" t="s">
        <v>1045</v>
      </c>
      <c r="M1287" s="4" t="s">
        <v>780</v>
      </c>
      <c r="N1287" s="133" t="s">
        <v>1407</v>
      </c>
      <c r="O1287" s="4" t="s">
        <v>2256</v>
      </c>
      <c r="P1287" s="4" t="s">
        <v>892</v>
      </c>
      <c r="Q1287" s="4" t="s">
        <v>2257</v>
      </c>
      <c r="R1287" s="4" t="s">
        <v>2267</v>
      </c>
      <c r="S1287" s="4" t="s">
        <v>2259</v>
      </c>
      <c r="T1287" s="4" t="s">
        <v>786</v>
      </c>
      <c r="U1287" s="4"/>
      <c r="V1287" s="4"/>
      <c r="W1287" s="4"/>
    </row>
    <row r="1288" spans="1:23" customFormat="1">
      <c r="A1288" s="10"/>
      <c r="B1288" s="4"/>
      <c r="C1288" s="4"/>
      <c r="D1288" s="4"/>
      <c r="E1288" s="4"/>
      <c r="F1288" s="152" t="s">
        <v>371</v>
      </c>
      <c r="G1288" s="4" t="s">
        <v>353</v>
      </c>
      <c r="H1288" s="4"/>
      <c r="I1288" s="196">
        <v>2927300</v>
      </c>
      <c r="J1288" s="196">
        <v>2005</v>
      </c>
      <c r="K1288" s="196">
        <v>1460</v>
      </c>
      <c r="L1288" s="454" t="s">
        <v>1045</v>
      </c>
      <c r="M1288" s="4" t="s">
        <v>780</v>
      </c>
      <c r="N1288" s="133" t="s">
        <v>1407</v>
      </c>
      <c r="O1288" s="4" t="s">
        <v>2256</v>
      </c>
      <c r="P1288" s="4" t="s">
        <v>892</v>
      </c>
      <c r="Q1288" s="4" t="s">
        <v>2257</v>
      </c>
      <c r="R1288" s="4" t="s">
        <v>2261</v>
      </c>
      <c r="S1288" s="4" t="s">
        <v>2259</v>
      </c>
      <c r="T1288" s="4" t="s">
        <v>786</v>
      </c>
      <c r="U1288" s="4"/>
      <c r="V1288" s="4"/>
      <c r="W1288" s="4"/>
    </row>
    <row r="1289" spans="1:23" customFormat="1">
      <c r="A1289" s="10"/>
      <c r="B1289" s="4"/>
      <c r="C1289" s="4"/>
      <c r="D1289" s="4"/>
      <c r="E1289" s="4"/>
      <c r="F1289" s="152" t="s">
        <v>371</v>
      </c>
      <c r="G1289" s="4" t="s">
        <v>353</v>
      </c>
      <c r="H1289" s="4"/>
      <c r="I1289" s="196">
        <v>2616320</v>
      </c>
      <c r="J1289" s="196">
        <v>1792</v>
      </c>
      <c r="K1289" s="196">
        <v>1460</v>
      </c>
      <c r="L1289" s="454" t="s">
        <v>1045</v>
      </c>
      <c r="M1289" s="4" t="s">
        <v>780</v>
      </c>
      <c r="N1289" s="133" t="s">
        <v>1407</v>
      </c>
      <c r="O1289" s="4" t="s">
        <v>2256</v>
      </c>
      <c r="P1289" s="4" t="s">
        <v>892</v>
      </c>
      <c r="Q1289" s="4" t="s">
        <v>2257</v>
      </c>
      <c r="R1289" s="4" t="s">
        <v>2264</v>
      </c>
      <c r="S1289" s="4" t="s">
        <v>2259</v>
      </c>
      <c r="T1289" s="4" t="s">
        <v>786</v>
      </c>
      <c r="U1289" s="4"/>
      <c r="V1289" s="4"/>
      <c r="W1289" s="4"/>
    </row>
    <row r="1290" spans="1:23" customFormat="1">
      <c r="A1290" s="10"/>
      <c r="B1290" s="4"/>
      <c r="C1290" s="4"/>
      <c r="D1290" s="4"/>
      <c r="E1290" s="4"/>
      <c r="F1290" s="152" t="s">
        <v>371</v>
      </c>
      <c r="G1290" s="4" t="s">
        <v>353</v>
      </c>
      <c r="H1290" s="4"/>
      <c r="I1290" s="196">
        <v>4781500</v>
      </c>
      <c r="J1290" s="196">
        <v>3275</v>
      </c>
      <c r="K1290" s="196">
        <v>1460</v>
      </c>
      <c r="L1290" s="454" t="s">
        <v>1045</v>
      </c>
      <c r="M1290" s="4" t="s">
        <v>780</v>
      </c>
      <c r="N1290" s="133" t="s">
        <v>1407</v>
      </c>
      <c r="O1290" s="4" t="s">
        <v>2256</v>
      </c>
      <c r="P1290" s="4" t="s">
        <v>892</v>
      </c>
      <c r="Q1290" s="4" t="s">
        <v>2257</v>
      </c>
      <c r="R1290" s="4" t="s">
        <v>2262</v>
      </c>
      <c r="S1290" s="4" t="s">
        <v>2259</v>
      </c>
      <c r="T1290" s="4" t="s">
        <v>786</v>
      </c>
      <c r="U1290" s="4"/>
      <c r="V1290" s="4"/>
      <c r="W1290" s="4"/>
    </row>
    <row r="1291" spans="1:23" customFormat="1">
      <c r="A1291" s="10"/>
      <c r="B1291" s="4"/>
      <c r="C1291" s="4"/>
      <c r="D1291" s="4"/>
      <c r="E1291" s="4"/>
      <c r="F1291" s="152" t="s">
        <v>371</v>
      </c>
      <c r="G1291" s="4" t="s">
        <v>353</v>
      </c>
      <c r="H1291" s="4"/>
      <c r="I1291" s="196">
        <v>235060</v>
      </c>
      <c r="J1291" s="196">
        <v>161</v>
      </c>
      <c r="K1291" s="196">
        <v>1460</v>
      </c>
      <c r="L1291" s="454" t="s">
        <v>1045</v>
      </c>
      <c r="M1291" s="4" t="s">
        <v>780</v>
      </c>
      <c r="N1291" s="133" t="s">
        <v>1407</v>
      </c>
      <c r="O1291" s="4" t="s">
        <v>2268</v>
      </c>
      <c r="P1291" s="4" t="s">
        <v>892</v>
      </c>
      <c r="Q1291" s="4" t="s">
        <v>2269</v>
      </c>
      <c r="R1291" s="4" t="s">
        <v>2273</v>
      </c>
      <c r="S1291" s="4" t="s">
        <v>2271</v>
      </c>
      <c r="T1291" s="4" t="s">
        <v>786</v>
      </c>
      <c r="U1291" s="4"/>
      <c r="V1291" s="4"/>
      <c r="W1291" s="4"/>
    </row>
    <row r="1292" spans="1:23" customFormat="1">
      <c r="A1292" s="10"/>
      <c r="B1292" s="4"/>
      <c r="C1292" s="4"/>
      <c r="D1292" s="4"/>
      <c r="E1292" s="4"/>
      <c r="F1292" s="152" t="s">
        <v>371</v>
      </c>
      <c r="G1292" s="4" t="s">
        <v>353</v>
      </c>
      <c r="H1292" s="4"/>
      <c r="I1292" s="196">
        <v>77934.8</v>
      </c>
      <c r="J1292" s="196">
        <v>53.38</v>
      </c>
      <c r="K1292" s="196">
        <v>1460</v>
      </c>
      <c r="L1292" s="454" t="s">
        <v>1045</v>
      </c>
      <c r="M1292" s="4" t="s">
        <v>780</v>
      </c>
      <c r="N1292" s="133" t="s">
        <v>1407</v>
      </c>
      <c r="O1292" s="4" t="s">
        <v>2268</v>
      </c>
      <c r="P1292" s="4" t="s">
        <v>892</v>
      </c>
      <c r="Q1292" s="4" t="s">
        <v>2269</v>
      </c>
      <c r="R1292" s="4" t="s">
        <v>2276</v>
      </c>
      <c r="S1292" s="4" t="s">
        <v>2271</v>
      </c>
      <c r="T1292" s="4" t="s">
        <v>786</v>
      </c>
      <c r="U1292" s="4"/>
      <c r="V1292" s="4"/>
      <c r="W1292" s="4"/>
    </row>
    <row r="1293" spans="1:23" customFormat="1">
      <c r="A1293" s="10"/>
      <c r="B1293" s="4"/>
      <c r="C1293" s="4"/>
      <c r="D1293" s="4"/>
      <c r="E1293" s="4"/>
      <c r="F1293" s="152" t="s">
        <v>371</v>
      </c>
      <c r="G1293" s="4" t="s">
        <v>353</v>
      </c>
      <c r="H1293" s="4"/>
      <c r="I1293" s="196">
        <v>163520</v>
      </c>
      <c r="J1293" s="196">
        <v>112</v>
      </c>
      <c r="K1293" s="196">
        <v>1460</v>
      </c>
      <c r="L1293" s="454" t="s">
        <v>1045</v>
      </c>
      <c r="M1293" s="4" t="s">
        <v>780</v>
      </c>
      <c r="N1293" s="133" t="s">
        <v>1407</v>
      </c>
      <c r="O1293" s="4" t="s">
        <v>2268</v>
      </c>
      <c r="P1293" s="4" t="s">
        <v>892</v>
      </c>
      <c r="Q1293" s="4" t="s">
        <v>2269</v>
      </c>
      <c r="R1293" s="4" t="s">
        <v>2274</v>
      </c>
      <c r="S1293" s="4" t="s">
        <v>2271</v>
      </c>
      <c r="T1293" s="4" t="s">
        <v>786</v>
      </c>
      <c r="U1293" s="4"/>
      <c r="V1293" s="4"/>
      <c r="W1293" s="4"/>
    </row>
    <row r="1294" spans="1:23" customFormat="1">
      <c r="A1294" s="10"/>
      <c r="B1294" s="4"/>
      <c r="C1294" s="4"/>
      <c r="D1294" s="4"/>
      <c r="E1294" s="4"/>
      <c r="F1294" s="152" t="s">
        <v>371</v>
      </c>
      <c r="G1294" s="4" t="s">
        <v>353</v>
      </c>
      <c r="H1294" s="4"/>
      <c r="I1294" s="196">
        <v>708508.8</v>
      </c>
      <c r="J1294" s="196">
        <v>485.28</v>
      </c>
      <c r="K1294" s="196">
        <v>1460</v>
      </c>
      <c r="L1294" s="454" t="s">
        <v>1045</v>
      </c>
      <c r="M1294" s="4" t="s">
        <v>780</v>
      </c>
      <c r="N1294" s="133" t="s">
        <v>1407</v>
      </c>
      <c r="O1294" s="4" t="s">
        <v>2268</v>
      </c>
      <c r="P1294" s="4" t="s">
        <v>892</v>
      </c>
      <c r="Q1294" s="4" t="s">
        <v>2269</v>
      </c>
      <c r="R1294" s="4" t="s">
        <v>2272</v>
      </c>
      <c r="S1294" s="4" t="s">
        <v>2271</v>
      </c>
      <c r="T1294" s="4" t="s">
        <v>786</v>
      </c>
      <c r="U1294" s="4"/>
      <c r="V1294" s="4"/>
      <c r="W1294" s="4"/>
    </row>
    <row r="1295" spans="1:23" customFormat="1">
      <c r="A1295" s="10"/>
      <c r="B1295" s="4"/>
      <c r="C1295" s="4"/>
      <c r="D1295" s="4"/>
      <c r="E1295" s="4"/>
      <c r="F1295" s="152" t="s">
        <v>371</v>
      </c>
      <c r="G1295" s="4" t="s">
        <v>353</v>
      </c>
      <c r="H1295" s="4"/>
      <c r="I1295" s="196">
        <v>97352.8</v>
      </c>
      <c r="J1295" s="196">
        <v>66.680000000000007</v>
      </c>
      <c r="K1295" s="196">
        <v>1460</v>
      </c>
      <c r="L1295" s="454" t="s">
        <v>1045</v>
      </c>
      <c r="M1295" s="4" t="s">
        <v>780</v>
      </c>
      <c r="N1295" s="133" t="s">
        <v>1407</v>
      </c>
      <c r="O1295" s="4" t="s">
        <v>2268</v>
      </c>
      <c r="P1295" s="4" t="s">
        <v>892</v>
      </c>
      <c r="Q1295" s="4" t="s">
        <v>2269</v>
      </c>
      <c r="R1295" s="4" t="s">
        <v>2278</v>
      </c>
      <c r="S1295" s="4" t="s">
        <v>2271</v>
      </c>
      <c r="T1295" s="4" t="s">
        <v>786</v>
      </c>
      <c r="U1295" s="4"/>
      <c r="V1295" s="4"/>
      <c r="W1295" s="4"/>
    </row>
    <row r="1296" spans="1:23" customFormat="1">
      <c r="A1296" s="10"/>
      <c r="B1296" s="4"/>
      <c r="C1296" s="4"/>
      <c r="D1296" s="4"/>
      <c r="E1296" s="4"/>
      <c r="F1296" s="152" t="s">
        <v>371</v>
      </c>
      <c r="G1296" s="4" t="s">
        <v>353</v>
      </c>
      <c r="H1296" s="4"/>
      <c r="I1296" s="196">
        <v>325769.8</v>
      </c>
      <c r="J1296" s="196">
        <v>223.13</v>
      </c>
      <c r="K1296" s="196">
        <v>1460</v>
      </c>
      <c r="L1296" s="454" t="s">
        <v>1045</v>
      </c>
      <c r="M1296" s="4" t="s">
        <v>780</v>
      </c>
      <c r="N1296" s="133" t="s">
        <v>1407</v>
      </c>
      <c r="O1296" s="4" t="s">
        <v>2268</v>
      </c>
      <c r="P1296" s="4" t="s">
        <v>892</v>
      </c>
      <c r="Q1296" s="4" t="s">
        <v>2269</v>
      </c>
      <c r="R1296" s="4" t="s">
        <v>2275</v>
      </c>
      <c r="S1296" s="4" t="s">
        <v>2271</v>
      </c>
      <c r="T1296" s="4" t="s">
        <v>786</v>
      </c>
      <c r="U1296" s="4"/>
      <c r="V1296" s="4"/>
      <c r="W1296" s="4"/>
    </row>
    <row r="1297" spans="1:23" customFormat="1">
      <c r="A1297" s="10"/>
      <c r="B1297" s="4"/>
      <c r="C1297" s="4"/>
      <c r="D1297" s="4"/>
      <c r="E1297" s="4"/>
      <c r="F1297" s="152" t="s">
        <v>371</v>
      </c>
      <c r="G1297" s="4" t="s">
        <v>353</v>
      </c>
      <c r="H1297" s="4"/>
      <c r="I1297" s="196">
        <v>145795.6</v>
      </c>
      <c r="J1297" s="196">
        <v>99.86</v>
      </c>
      <c r="K1297" s="196">
        <v>1460</v>
      </c>
      <c r="L1297" s="454" t="s">
        <v>1045</v>
      </c>
      <c r="M1297" s="4" t="s">
        <v>780</v>
      </c>
      <c r="N1297" s="133" t="s">
        <v>1407</v>
      </c>
      <c r="O1297" s="4" t="s">
        <v>2268</v>
      </c>
      <c r="P1297" s="4" t="s">
        <v>892</v>
      </c>
      <c r="Q1297" s="4" t="s">
        <v>2269</v>
      </c>
      <c r="R1297" s="4" t="s">
        <v>2277</v>
      </c>
      <c r="S1297" s="4" t="s">
        <v>2271</v>
      </c>
      <c r="T1297" s="4" t="s">
        <v>786</v>
      </c>
      <c r="U1297" s="4"/>
      <c r="V1297" s="4"/>
      <c r="W1297" s="4"/>
    </row>
    <row r="1298" spans="1:23" customFormat="1">
      <c r="A1298" s="10"/>
      <c r="B1298" s="4"/>
      <c r="C1298" s="4"/>
      <c r="D1298" s="4"/>
      <c r="E1298" s="4"/>
      <c r="F1298" s="152" t="s">
        <v>371</v>
      </c>
      <c r="G1298" s="4" t="s">
        <v>353</v>
      </c>
      <c r="H1298" s="4"/>
      <c r="I1298" s="196">
        <v>284524.79999999999</v>
      </c>
      <c r="J1298" s="196">
        <v>194.88</v>
      </c>
      <c r="K1298" s="196">
        <v>1460</v>
      </c>
      <c r="L1298" s="454" t="s">
        <v>1045</v>
      </c>
      <c r="M1298" s="4" t="s">
        <v>780</v>
      </c>
      <c r="N1298" s="133" t="s">
        <v>1407</v>
      </c>
      <c r="O1298" s="4" t="s">
        <v>2268</v>
      </c>
      <c r="P1298" s="4" t="s">
        <v>892</v>
      </c>
      <c r="Q1298" s="4" t="s">
        <v>2269</v>
      </c>
      <c r="R1298" s="4" t="s">
        <v>2279</v>
      </c>
      <c r="S1298" s="4" t="s">
        <v>2271</v>
      </c>
      <c r="T1298" s="4" t="s">
        <v>786</v>
      </c>
      <c r="U1298" s="4"/>
      <c r="V1298" s="4"/>
      <c r="W1298" s="4"/>
    </row>
    <row r="1299" spans="1:23" customFormat="1">
      <c r="A1299" s="10"/>
      <c r="B1299" s="4"/>
      <c r="C1299" s="4"/>
      <c r="D1299" s="4"/>
      <c r="E1299" s="4"/>
      <c r="F1299" s="152" t="s">
        <v>371</v>
      </c>
      <c r="G1299" s="4" t="s">
        <v>353</v>
      </c>
      <c r="H1299" s="4"/>
      <c r="I1299" s="196">
        <v>135415</v>
      </c>
      <c r="J1299" s="196">
        <v>92.75</v>
      </c>
      <c r="K1299" s="196">
        <v>1460</v>
      </c>
      <c r="L1299" s="454" t="s">
        <v>1045</v>
      </c>
      <c r="M1299" s="4" t="s">
        <v>780</v>
      </c>
      <c r="N1299" s="133" t="s">
        <v>1407</v>
      </c>
      <c r="O1299" s="4" t="s">
        <v>2268</v>
      </c>
      <c r="P1299" s="4" t="s">
        <v>892</v>
      </c>
      <c r="Q1299" s="4" t="s">
        <v>2269</v>
      </c>
      <c r="R1299" s="4" t="s">
        <v>2270</v>
      </c>
      <c r="S1299" s="4" t="s">
        <v>2271</v>
      </c>
      <c r="T1299" s="4" t="s">
        <v>786</v>
      </c>
      <c r="U1299" s="4"/>
      <c r="V1299" s="4"/>
      <c r="W1299" s="4"/>
    </row>
    <row r="1300" spans="1:23" customFormat="1">
      <c r="A1300" s="10"/>
      <c r="B1300" s="4"/>
      <c r="C1300" s="4"/>
      <c r="D1300" s="4"/>
      <c r="E1300" s="4"/>
      <c r="F1300" s="152" t="s">
        <v>371</v>
      </c>
      <c r="G1300" s="4" t="s">
        <v>353</v>
      </c>
      <c r="H1300" s="4"/>
      <c r="I1300" s="196">
        <v>104755</v>
      </c>
      <c r="J1300" s="196">
        <v>71.75</v>
      </c>
      <c r="K1300" s="196">
        <v>1460</v>
      </c>
      <c r="L1300" s="454" t="s">
        <v>1045</v>
      </c>
      <c r="M1300" s="4" t="s">
        <v>780</v>
      </c>
      <c r="N1300" s="133" t="s">
        <v>1407</v>
      </c>
      <c r="O1300" s="4" t="s">
        <v>2268</v>
      </c>
      <c r="P1300" s="4" t="s">
        <v>892</v>
      </c>
      <c r="Q1300" s="4" t="s">
        <v>2269</v>
      </c>
      <c r="R1300" s="4" t="s">
        <v>2280</v>
      </c>
      <c r="S1300" s="4" t="s">
        <v>2271</v>
      </c>
      <c r="T1300" s="4" t="s">
        <v>786</v>
      </c>
      <c r="U1300" s="4"/>
      <c r="V1300" s="4"/>
      <c r="W1300" s="4"/>
    </row>
    <row r="1301" spans="1:23" customFormat="1">
      <c r="A1301" s="10"/>
      <c r="B1301" s="4"/>
      <c r="C1301" s="4"/>
      <c r="D1301" s="4"/>
      <c r="E1301" s="4"/>
      <c r="F1301" s="152" t="s">
        <v>371</v>
      </c>
      <c r="G1301" s="4" t="s">
        <v>353</v>
      </c>
      <c r="H1301" s="4"/>
      <c r="I1301" s="196">
        <v>4280250</v>
      </c>
      <c r="J1301" s="196">
        <v>2853.5</v>
      </c>
      <c r="K1301" s="196">
        <v>1500</v>
      </c>
      <c r="L1301" s="454" t="s">
        <v>1045</v>
      </c>
      <c r="M1301" s="4" t="s">
        <v>1540</v>
      </c>
      <c r="N1301" s="133" t="s">
        <v>1407</v>
      </c>
      <c r="O1301" s="4" t="s">
        <v>2281</v>
      </c>
      <c r="P1301" s="4" t="s">
        <v>1832</v>
      </c>
      <c r="Q1301" s="4" t="s">
        <v>2282</v>
      </c>
      <c r="R1301" s="4"/>
      <c r="S1301" s="4" t="s">
        <v>2283</v>
      </c>
      <c r="T1301" s="4" t="s">
        <v>786</v>
      </c>
      <c r="U1301" s="4"/>
      <c r="V1301" s="4"/>
      <c r="W1301" s="4"/>
    </row>
    <row r="1302" spans="1:23" customFormat="1">
      <c r="A1302" s="10"/>
      <c r="B1302" s="4"/>
      <c r="C1302" s="4"/>
      <c r="D1302" s="4"/>
      <c r="E1302" s="4"/>
      <c r="F1302" s="152" t="s">
        <v>371</v>
      </c>
      <c r="G1302" s="4" t="s">
        <v>353</v>
      </c>
      <c r="H1302" s="4"/>
      <c r="I1302" s="196">
        <v>3975000</v>
      </c>
      <c r="J1302" s="196">
        <v>2650</v>
      </c>
      <c r="K1302" s="196">
        <v>1500</v>
      </c>
      <c r="L1302" s="454" t="s">
        <v>1045</v>
      </c>
      <c r="M1302" s="4" t="s">
        <v>1540</v>
      </c>
      <c r="N1302" s="133" t="s">
        <v>1407</v>
      </c>
      <c r="O1302" s="4" t="s">
        <v>2284</v>
      </c>
      <c r="P1302" s="4" t="s">
        <v>1832</v>
      </c>
      <c r="Q1302" s="4" t="s">
        <v>2285</v>
      </c>
      <c r="R1302" s="4"/>
      <c r="S1302" s="4" t="s">
        <v>2286</v>
      </c>
      <c r="T1302" s="4" t="s">
        <v>786</v>
      </c>
      <c r="U1302" s="4"/>
      <c r="V1302" s="4"/>
      <c r="W1302" s="4"/>
    </row>
    <row r="1303" spans="1:23" customFormat="1">
      <c r="A1303" s="10"/>
      <c r="B1303" s="4"/>
      <c r="C1303" s="4"/>
      <c r="D1303" s="4"/>
      <c r="E1303" s="4"/>
      <c r="F1303" s="152" t="s">
        <v>371</v>
      </c>
      <c r="G1303" s="4" t="s">
        <v>353</v>
      </c>
      <c r="H1303" s="4"/>
      <c r="I1303" s="196">
        <v>4800000</v>
      </c>
      <c r="J1303" s="196">
        <v>3200</v>
      </c>
      <c r="K1303" s="196">
        <v>1500</v>
      </c>
      <c r="L1303" s="454" t="s">
        <v>1045</v>
      </c>
      <c r="M1303" s="4" t="s">
        <v>1540</v>
      </c>
      <c r="N1303" s="133" t="s">
        <v>1407</v>
      </c>
      <c r="O1303" s="4" t="s">
        <v>2287</v>
      </c>
      <c r="P1303" s="4" t="s">
        <v>1832</v>
      </c>
      <c r="Q1303" s="4" t="s">
        <v>2288</v>
      </c>
      <c r="R1303" s="4"/>
      <c r="S1303" s="4" t="s">
        <v>2289</v>
      </c>
      <c r="T1303" s="4" t="s">
        <v>786</v>
      </c>
      <c r="U1303" s="4"/>
      <c r="V1303" s="4"/>
      <c r="W1303" s="4"/>
    </row>
    <row r="1304" spans="1:23" customFormat="1">
      <c r="A1304" s="10"/>
      <c r="B1304" s="4"/>
      <c r="C1304" s="4"/>
      <c r="D1304" s="4"/>
      <c r="E1304" s="4"/>
      <c r="F1304" s="152" t="s">
        <v>371</v>
      </c>
      <c r="G1304" s="4" t="s">
        <v>353</v>
      </c>
      <c r="H1304" s="4"/>
      <c r="I1304" s="196">
        <v>20798250</v>
      </c>
      <c r="J1304" s="196">
        <v>13865.5</v>
      </c>
      <c r="K1304" s="196">
        <v>1500</v>
      </c>
      <c r="L1304" s="454" t="s">
        <v>1045</v>
      </c>
      <c r="M1304" s="4" t="s">
        <v>1540</v>
      </c>
      <c r="N1304" s="133" t="s">
        <v>1407</v>
      </c>
      <c r="O1304" s="4" t="s">
        <v>2290</v>
      </c>
      <c r="P1304" s="4" t="s">
        <v>1832</v>
      </c>
      <c r="Q1304" s="4" t="s">
        <v>2291</v>
      </c>
      <c r="R1304" s="4"/>
      <c r="S1304" s="4" t="s">
        <v>2292</v>
      </c>
      <c r="T1304" s="4" t="s">
        <v>786</v>
      </c>
      <c r="U1304" s="4"/>
      <c r="V1304" s="4"/>
      <c r="W1304" s="4"/>
    </row>
    <row r="1305" spans="1:23" customFormat="1">
      <c r="A1305" s="10"/>
      <c r="B1305" s="4"/>
      <c r="C1305" s="4"/>
      <c r="D1305" s="4"/>
      <c r="E1305" s="4"/>
      <c r="F1305" s="152" t="s">
        <v>371</v>
      </c>
      <c r="G1305" s="4" t="s">
        <v>353</v>
      </c>
      <c r="H1305" s="4"/>
      <c r="I1305" s="196">
        <v>6900000</v>
      </c>
      <c r="J1305" s="196">
        <v>4600</v>
      </c>
      <c r="K1305" s="196">
        <v>1500</v>
      </c>
      <c r="L1305" s="454" t="s">
        <v>1045</v>
      </c>
      <c r="M1305" s="4" t="s">
        <v>1540</v>
      </c>
      <c r="N1305" s="133" t="s">
        <v>1407</v>
      </c>
      <c r="O1305" s="4" t="s">
        <v>2293</v>
      </c>
      <c r="P1305" s="4" t="s">
        <v>1832</v>
      </c>
      <c r="Q1305" s="4" t="s">
        <v>2294</v>
      </c>
      <c r="R1305" s="4"/>
      <c r="S1305" s="4" t="s">
        <v>2295</v>
      </c>
      <c r="T1305" s="4" t="s">
        <v>786</v>
      </c>
      <c r="U1305" s="4"/>
      <c r="V1305" s="4"/>
      <c r="W1305" s="4"/>
    </row>
    <row r="1306" spans="1:23" customFormat="1">
      <c r="A1306" s="10"/>
      <c r="B1306" s="4"/>
      <c r="C1306" s="4"/>
      <c r="D1306" s="4"/>
      <c r="E1306" s="4"/>
      <c r="F1306" s="152" t="s">
        <v>371</v>
      </c>
      <c r="G1306" s="4" t="s">
        <v>353</v>
      </c>
      <c r="H1306" s="4"/>
      <c r="I1306" s="196">
        <v>2857500</v>
      </c>
      <c r="J1306" s="196">
        <v>1905</v>
      </c>
      <c r="K1306" s="196">
        <v>1500</v>
      </c>
      <c r="L1306" s="454" t="s">
        <v>1045</v>
      </c>
      <c r="M1306" s="4" t="s">
        <v>1540</v>
      </c>
      <c r="N1306" s="133" t="s">
        <v>1407</v>
      </c>
      <c r="O1306" s="4" t="s">
        <v>2296</v>
      </c>
      <c r="P1306" s="4" t="s">
        <v>1832</v>
      </c>
      <c r="Q1306" s="4" t="s">
        <v>2297</v>
      </c>
      <c r="R1306" s="4"/>
      <c r="S1306" s="4" t="s">
        <v>2298</v>
      </c>
      <c r="T1306" s="4" t="s">
        <v>786</v>
      </c>
      <c r="U1306" s="4"/>
      <c r="V1306" s="4"/>
      <c r="W1306" s="4"/>
    </row>
    <row r="1307" spans="1:23" customFormat="1">
      <c r="A1307" s="10"/>
      <c r="B1307" s="4"/>
      <c r="C1307" s="4"/>
      <c r="D1307" s="4"/>
      <c r="E1307" s="4"/>
      <c r="F1307" s="152" t="s">
        <v>371</v>
      </c>
      <c r="G1307" s="4" t="s">
        <v>353</v>
      </c>
      <c r="H1307" s="4"/>
      <c r="I1307" s="196">
        <v>3075000</v>
      </c>
      <c r="J1307" s="196">
        <v>2050</v>
      </c>
      <c r="K1307" s="196">
        <v>1500</v>
      </c>
      <c r="L1307" s="454" t="s">
        <v>1045</v>
      </c>
      <c r="M1307" s="4" t="s">
        <v>1540</v>
      </c>
      <c r="N1307" s="133" t="s">
        <v>1407</v>
      </c>
      <c r="O1307" s="4" t="s">
        <v>2299</v>
      </c>
      <c r="P1307" s="4" t="s">
        <v>1832</v>
      </c>
      <c r="Q1307" s="4" t="s">
        <v>2300</v>
      </c>
      <c r="R1307" s="4"/>
      <c r="S1307" s="4" t="s">
        <v>2301</v>
      </c>
      <c r="T1307" s="4" t="s">
        <v>786</v>
      </c>
      <c r="U1307" s="4"/>
      <c r="V1307" s="4"/>
      <c r="W1307" s="4"/>
    </row>
    <row r="1308" spans="1:23" customFormat="1">
      <c r="A1308" s="10"/>
      <c r="B1308" s="4"/>
      <c r="C1308" s="4"/>
      <c r="D1308" s="4"/>
      <c r="E1308" s="4"/>
      <c r="F1308" s="152" t="s">
        <v>371</v>
      </c>
      <c r="G1308" s="4" t="s">
        <v>353</v>
      </c>
      <c r="H1308" s="4"/>
      <c r="I1308" s="196">
        <v>2287500</v>
      </c>
      <c r="J1308" s="196">
        <v>1525</v>
      </c>
      <c r="K1308" s="196">
        <v>1500</v>
      </c>
      <c r="L1308" s="454" t="s">
        <v>1045</v>
      </c>
      <c r="M1308" s="4" t="s">
        <v>1540</v>
      </c>
      <c r="N1308" s="133" t="s">
        <v>1407</v>
      </c>
      <c r="O1308" s="4" t="s">
        <v>2302</v>
      </c>
      <c r="P1308" s="4" t="s">
        <v>1832</v>
      </c>
      <c r="Q1308" s="4" t="s">
        <v>2303</v>
      </c>
      <c r="R1308" s="4"/>
      <c r="S1308" s="4" t="s">
        <v>2304</v>
      </c>
      <c r="T1308" s="4" t="s">
        <v>786</v>
      </c>
      <c r="U1308" s="4"/>
      <c r="V1308" s="4"/>
      <c r="W1308" s="4"/>
    </row>
    <row r="1309" spans="1:23" customFormat="1">
      <c r="A1309" s="10"/>
      <c r="B1309" s="4"/>
      <c r="C1309" s="4"/>
      <c r="D1309" s="4"/>
      <c r="E1309" s="4"/>
      <c r="F1309" s="152" t="s">
        <v>371</v>
      </c>
      <c r="G1309" s="4" t="s">
        <v>353</v>
      </c>
      <c r="H1309" s="4"/>
      <c r="I1309" s="196">
        <v>9562500</v>
      </c>
      <c r="J1309" s="196">
        <v>6375</v>
      </c>
      <c r="K1309" s="196">
        <v>1500</v>
      </c>
      <c r="L1309" s="454" t="s">
        <v>1045</v>
      </c>
      <c r="M1309" s="4" t="s">
        <v>1540</v>
      </c>
      <c r="N1309" s="133" t="s">
        <v>1407</v>
      </c>
      <c r="O1309" s="4" t="s">
        <v>2305</v>
      </c>
      <c r="P1309" s="4" t="s">
        <v>1832</v>
      </c>
      <c r="Q1309" s="4" t="s">
        <v>2306</v>
      </c>
      <c r="R1309" s="4"/>
      <c r="S1309" s="4" t="s">
        <v>2307</v>
      </c>
      <c r="T1309" s="4" t="s">
        <v>786</v>
      </c>
      <c r="U1309" s="4"/>
      <c r="V1309" s="4"/>
      <c r="W1309" s="4"/>
    </row>
    <row r="1310" spans="1:23" customFormat="1">
      <c r="A1310" s="10"/>
      <c r="B1310" s="4"/>
      <c r="C1310" s="4"/>
      <c r="D1310" s="4"/>
      <c r="E1310" s="4"/>
      <c r="F1310" s="152" t="s">
        <v>371</v>
      </c>
      <c r="G1310" s="4" t="s">
        <v>353</v>
      </c>
      <c r="H1310" s="4"/>
      <c r="I1310" s="196">
        <v>8351999.8499999996</v>
      </c>
      <c r="J1310" s="196">
        <v>5567.9998999999998</v>
      </c>
      <c r="K1310" s="196">
        <v>1500</v>
      </c>
      <c r="L1310" s="454" t="s">
        <v>1045</v>
      </c>
      <c r="M1310" s="4" t="s">
        <v>1540</v>
      </c>
      <c r="N1310" s="133" t="s">
        <v>1407</v>
      </c>
      <c r="O1310" s="4" t="s">
        <v>2308</v>
      </c>
      <c r="P1310" s="4" t="s">
        <v>1832</v>
      </c>
      <c r="Q1310" s="4" t="s">
        <v>2309</v>
      </c>
      <c r="R1310" s="4"/>
      <c r="S1310" s="4" t="s">
        <v>2310</v>
      </c>
      <c r="T1310" s="4" t="s">
        <v>786</v>
      </c>
      <c r="U1310" s="4"/>
      <c r="V1310" s="4"/>
      <c r="W1310" s="4"/>
    </row>
    <row r="1311" spans="1:23" customFormat="1">
      <c r="A1311" s="10"/>
      <c r="B1311" s="4"/>
      <c r="C1311" s="4"/>
      <c r="D1311" s="4"/>
      <c r="E1311" s="4"/>
      <c r="F1311" s="152" t="s">
        <v>371</v>
      </c>
      <c r="G1311" s="4" t="s">
        <v>353</v>
      </c>
      <c r="H1311" s="4"/>
      <c r="I1311" s="196">
        <v>-408070</v>
      </c>
      <c r="J1311" s="196">
        <v>-279.5</v>
      </c>
      <c r="K1311" s="196">
        <v>1460</v>
      </c>
      <c r="L1311" s="454" t="s">
        <v>1045</v>
      </c>
      <c r="M1311" s="4"/>
      <c r="N1311" s="133" t="s">
        <v>1407</v>
      </c>
      <c r="O1311" s="4"/>
      <c r="P1311" s="4" t="s">
        <v>2311</v>
      </c>
      <c r="Q1311" s="4" t="s">
        <v>2312</v>
      </c>
      <c r="R1311" s="4"/>
      <c r="S1311" s="4" t="s">
        <v>2313</v>
      </c>
      <c r="T1311" s="4" t="s">
        <v>786</v>
      </c>
      <c r="U1311" s="4"/>
      <c r="V1311" s="4"/>
      <c r="W1311" s="4"/>
    </row>
    <row r="1312" spans="1:23" customFormat="1">
      <c r="A1312" s="10"/>
      <c r="B1312" s="4"/>
      <c r="C1312" s="4"/>
      <c r="D1312" s="4"/>
      <c r="E1312" s="4"/>
      <c r="F1312" s="152" t="s">
        <v>371</v>
      </c>
      <c r="G1312" s="4" t="s">
        <v>353</v>
      </c>
      <c r="H1312" s="4"/>
      <c r="I1312" s="196">
        <v>-569400</v>
      </c>
      <c r="J1312" s="196">
        <v>-390</v>
      </c>
      <c r="K1312" s="196">
        <v>1460</v>
      </c>
      <c r="L1312" s="454" t="s">
        <v>1045</v>
      </c>
      <c r="M1312" s="4"/>
      <c r="N1312" s="133" t="s">
        <v>1407</v>
      </c>
      <c r="O1312" s="4"/>
      <c r="P1312" s="4" t="s">
        <v>2311</v>
      </c>
      <c r="Q1312" s="4" t="s">
        <v>2315</v>
      </c>
      <c r="R1312" s="4"/>
      <c r="S1312" s="4" t="s">
        <v>2313</v>
      </c>
      <c r="T1312" s="4" t="s">
        <v>786</v>
      </c>
      <c r="U1312" s="4"/>
      <c r="V1312" s="4"/>
      <c r="W1312" s="4"/>
    </row>
    <row r="1313" spans="1:23" customFormat="1">
      <c r="A1313" s="10"/>
      <c r="B1313" s="4"/>
      <c r="C1313" s="4"/>
      <c r="D1313" s="4"/>
      <c r="E1313" s="4"/>
      <c r="F1313" s="152" t="s">
        <v>371</v>
      </c>
      <c r="G1313" s="4" t="s">
        <v>353</v>
      </c>
      <c r="H1313" s="4"/>
      <c r="I1313" s="196">
        <v>-569400</v>
      </c>
      <c r="J1313" s="196">
        <v>-390</v>
      </c>
      <c r="K1313" s="196">
        <v>1460</v>
      </c>
      <c r="L1313" s="454" t="s">
        <v>1045</v>
      </c>
      <c r="M1313" s="4"/>
      <c r="N1313" s="133" t="s">
        <v>1407</v>
      </c>
      <c r="O1313" s="4"/>
      <c r="P1313" s="4" t="s">
        <v>2311</v>
      </c>
      <c r="Q1313" s="4" t="s">
        <v>2315</v>
      </c>
      <c r="R1313" s="4"/>
      <c r="S1313" s="4" t="s">
        <v>2313</v>
      </c>
      <c r="T1313" s="4" t="s">
        <v>786</v>
      </c>
      <c r="U1313" s="4"/>
      <c r="V1313" s="4"/>
      <c r="W1313" s="4"/>
    </row>
    <row r="1314" spans="1:23" customFormat="1">
      <c r="A1314" s="10"/>
      <c r="B1314" s="4"/>
      <c r="C1314" s="4"/>
      <c r="D1314" s="4"/>
      <c r="E1314" s="4"/>
      <c r="F1314" s="152" t="s">
        <v>371</v>
      </c>
      <c r="G1314" s="4" t="s">
        <v>353</v>
      </c>
      <c r="H1314" s="4"/>
      <c r="I1314" s="196">
        <v>-569400</v>
      </c>
      <c r="J1314" s="196">
        <v>-390</v>
      </c>
      <c r="K1314" s="196">
        <v>1460</v>
      </c>
      <c r="L1314" s="454" t="s">
        <v>1045</v>
      </c>
      <c r="M1314" s="4"/>
      <c r="N1314" s="133" t="s">
        <v>1407</v>
      </c>
      <c r="O1314" s="4"/>
      <c r="P1314" s="4" t="s">
        <v>2311</v>
      </c>
      <c r="Q1314" s="4" t="s">
        <v>2315</v>
      </c>
      <c r="R1314" s="4"/>
      <c r="S1314" s="4" t="s">
        <v>2313</v>
      </c>
      <c r="T1314" s="4" t="s">
        <v>786</v>
      </c>
      <c r="U1314" s="4"/>
      <c r="V1314" s="4"/>
      <c r="W1314" s="4"/>
    </row>
    <row r="1315" spans="1:23" customFormat="1">
      <c r="A1315" s="10"/>
      <c r="B1315" s="4"/>
      <c r="C1315" s="4"/>
      <c r="D1315" s="4"/>
      <c r="E1315" s="4"/>
      <c r="F1315" s="152" t="s">
        <v>371</v>
      </c>
      <c r="G1315" s="4" t="s">
        <v>353</v>
      </c>
      <c r="H1315" s="4"/>
      <c r="I1315" s="196">
        <v>-569400</v>
      </c>
      <c r="J1315" s="196">
        <v>-390</v>
      </c>
      <c r="K1315" s="196">
        <v>1460</v>
      </c>
      <c r="L1315" s="454" t="s">
        <v>1045</v>
      </c>
      <c r="M1315" s="4"/>
      <c r="N1315" s="133" t="s">
        <v>1407</v>
      </c>
      <c r="O1315" s="4"/>
      <c r="P1315" s="4" t="s">
        <v>2311</v>
      </c>
      <c r="Q1315" s="4" t="s">
        <v>2315</v>
      </c>
      <c r="R1315" s="4"/>
      <c r="S1315" s="4" t="s">
        <v>2313</v>
      </c>
      <c r="T1315" s="4" t="s">
        <v>786</v>
      </c>
      <c r="U1315" s="4"/>
      <c r="V1315" s="4"/>
      <c r="W1315" s="4"/>
    </row>
    <row r="1316" spans="1:23" customFormat="1">
      <c r="A1316" s="10"/>
      <c r="B1316" s="4"/>
      <c r="C1316" s="4"/>
      <c r="D1316" s="4"/>
      <c r="E1316" s="4"/>
      <c r="F1316" s="152" t="s">
        <v>371</v>
      </c>
      <c r="G1316" s="4" t="s">
        <v>353</v>
      </c>
      <c r="H1316" s="4"/>
      <c r="I1316" s="196">
        <v>-569400</v>
      </c>
      <c r="J1316" s="196">
        <v>-390</v>
      </c>
      <c r="K1316" s="196">
        <v>1460</v>
      </c>
      <c r="L1316" s="454" t="s">
        <v>1045</v>
      </c>
      <c r="M1316" s="4"/>
      <c r="N1316" s="133" t="s">
        <v>1407</v>
      </c>
      <c r="O1316" s="4"/>
      <c r="P1316" s="4" t="s">
        <v>2311</v>
      </c>
      <c r="Q1316" s="4" t="s">
        <v>2314</v>
      </c>
      <c r="R1316" s="4"/>
      <c r="S1316" s="4" t="s">
        <v>2313</v>
      </c>
      <c r="T1316" s="4" t="s">
        <v>786</v>
      </c>
      <c r="U1316" s="4"/>
      <c r="V1316" s="4"/>
      <c r="W1316" s="4"/>
    </row>
    <row r="1317" spans="1:23" customFormat="1">
      <c r="A1317" s="10"/>
      <c r="B1317" s="4"/>
      <c r="C1317" s="4"/>
      <c r="D1317" s="4"/>
      <c r="E1317" s="4"/>
      <c r="F1317" s="152" t="s">
        <v>371</v>
      </c>
      <c r="G1317" s="4" t="s">
        <v>353</v>
      </c>
      <c r="H1317" s="4"/>
      <c r="I1317" s="196">
        <v>-569400</v>
      </c>
      <c r="J1317" s="196">
        <v>-390</v>
      </c>
      <c r="K1317" s="196">
        <v>1460</v>
      </c>
      <c r="L1317" s="454" t="s">
        <v>1045</v>
      </c>
      <c r="M1317" s="4"/>
      <c r="N1317" s="133" t="s">
        <v>1407</v>
      </c>
      <c r="O1317" s="4"/>
      <c r="P1317" s="4" t="s">
        <v>2311</v>
      </c>
      <c r="Q1317" s="4" t="s">
        <v>2314</v>
      </c>
      <c r="R1317" s="4"/>
      <c r="S1317" s="4" t="s">
        <v>2313</v>
      </c>
      <c r="T1317" s="4" t="s">
        <v>786</v>
      </c>
      <c r="U1317" s="4"/>
      <c r="V1317" s="4"/>
      <c r="W1317" s="4"/>
    </row>
    <row r="1318" spans="1:23" customFormat="1">
      <c r="A1318" s="10"/>
      <c r="B1318" s="4"/>
      <c r="C1318" s="4"/>
      <c r="D1318" s="4"/>
      <c r="E1318" s="4"/>
      <c r="F1318" s="152" t="s">
        <v>371</v>
      </c>
      <c r="G1318" s="4" t="s">
        <v>353</v>
      </c>
      <c r="H1318" s="4"/>
      <c r="I1318" s="196">
        <v>-569400</v>
      </c>
      <c r="J1318" s="196">
        <v>-390</v>
      </c>
      <c r="K1318" s="196">
        <v>1460</v>
      </c>
      <c r="L1318" s="454" t="s">
        <v>1045</v>
      </c>
      <c r="M1318" s="4"/>
      <c r="N1318" s="133" t="s">
        <v>1407</v>
      </c>
      <c r="O1318" s="4"/>
      <c r="P1318" s="4" t="s">
        <v>2311</v>
      </c>
      <c r="Q1318" s="4" t="s">
        <v>2315</v>
      </c>
      <c r="R1318" s="4"/>
      <c r="S1318" s="4" t="s">
        <v>2313</v>
      </c>
      <c r="T1318" s="4" t="s">
        <v>786</v>
      </c>
      <c r="U1318" s="4"/>
      <c r="V1318" s="4"/>
      <c r="W1318" s="4"/>
    </row>
    <row r="1319" spans="1:23" customFormat="1">
      <c r="A1319" s="10"/>
      <c r="B1319" s="4"/>
      <c r="C1319" s="4"/>
      <c r="D1319" s="4"/>
      <c r="E1319" s="4"/>
      <c r="F1319" s="152" t="s">
        <v>371</v>
      </c>
      <c r="G1319" s="4" t="s">
        <v>353</v>
      </c>
      <c r="H1319" s="4"/>
      <c r="I1319" s="196">
        <v>-569400</v>
      </c>
      <c r="J1319" s="196">
        <v>-390</v>
      </c>
      <c r="K1319" s="196">
        <v>1460</v>
      </c>
      <c r="L1319" s="454" t="s">
        <v>1045</v>
      </c>
      <c r="M1319" s="4"/>
      <c r="N1319" s="133" t="s">
        <v>1407</v>
      </c>
      <c r="O1319" s="4"/>
      <c r="P1319" s="4" t="s">
        <v>2311</v>
      </c>
      <c r="Q1319" s="4" t="s">
        <v>2315</v>
      </c>
      <c r="R1319" s="4"/>
      <c r="S1319" s="4" t="s">
        <v>2313</v>
      </c>
      <c r="T1319" s="4" t="s">
        <v>786</v>
      </c>
      <c r="U1319" s="4"/>
      <c r="V1319" s="4"/>
      <c r="W1319" s="4"/>
    </row>
    <row r="1320" spans="1:23" customFormat="1">
      <c r="A1320" s="10"/>
      <c r="B1320" s="4"/>
      <c r="C1320" s="4"/>
      <c r="D1320" s="4"/>
      <c r="E1320" s="4"/>
      <c r="F1320" s="152" t="s">
        <v>371</v>
      </c>
      <c r="G1320" s="4" t="s">
        <v>353</v>
      </c>
      <c r="H1320" s="4"/>
      <c r="I1320" s="196">
        <v>-569400</v>
      </c>
      <c r="J1320" s="196">
        <v>-390</v>
      </c>
      <c r="K1320" s="196">
        <v>1460</v>
      </c>
      <c r="L1320" s="454" t="s">
        <v>1045</v>
      </c>
      <c r="M1320" s="4"/>
      <c r="N1320" s="133" t="s">
        <v>1407</v>
      </c>
      <c r="O1320" s="4"/>
      <c r="P1320" s="4" t="s">
        <v>2311</v>
      </c>
      <c r="Q1320" s="4" t="s">
        <v>2315</v>
      </c>
      <c r="R1320" s="4"/>
      <c r="S1320" s="4" t="s">
        <v>2313</v>
      </c>
      <c r="T1320" s="4" t="s">
        <v>786</v>
      </c>
      <c r="U1320" s="4"/>
      <c r="V1320" s="4"/>
      <c r="W1320" s="4"/>
    </row>
    <row r="1321" spans="1:23" customFormat="1">
      <c r="A1321" s="10"/>
      <c r="B1321" s="4"/>
      <c r="C1321" s="4"/>
      <c r="D1321" s="4"/>
      <c r="E1321" s="4"/>
      <c r="F1321" s="152" t="s">
        <v>371</v>
      </c>
      <c r="G1321" s="4" t="s">
        <v>353</v>
      </c>
      <c r="H1321" s="4"/>
      <c r="I1321" s="196">
        <v>-569400</v>
      </c>
      <c r="J1321" s="196">
        <v>-390</v>
      </c>
      <c r="K1321" s="196">
        <v>1460</v>
      </c>
      <c r="L1321" s="454" t="s">
        <v>1045</v>
      </c>
      <c r="M1321" s="4"/>
      <c r="N1321" s="133" t="s">
        <v>1407</v>
      </c>
      <c r="O1321" s="4"/>
      <c r="P1321" s="4" t="s">
        <v>2311</v>
      </c>
      <c r="Q1321" s="4" t="s">
        <v>2315</v>
      </c>
      <c r="R1321" s="4"/>
      <c r="S1321" s="4" t="s">
        <v>2313</v>
      </c>
      <c r="T1321" s="4" t="s">
        <v>786</v>
      </c>
      <c r="U1321" s="4"/>
      <c r="V1321" s="4"/>
      <c r="W1321" s="4"/>
    </row>
    <row r="1322" spans="1:23" customFormat="1">
      <c r="A1322" s="10"/>
      <c r="B1322" s="4"/>
      <c r="C1322" s="4"/>
      <c r="D1322" s="4"/>
      <c r="E1322" s="4"/>
      <c r="F1322" s="152" t="s">
        <v>371</v>
      </c>
      <c r="G1322" s="4" t="s">
        <v>353</v>
      </c>
      <c r="H1322" s="4"/>
      <c r="I1322" s="196">
        <v>-569400</v>
      </c>
      <c r="J1322" s="196">
        <v>-390</v>
      </c>
      <c r="K1322" s="196">
        <v>1460</v>
      </c>
      <c r="L1322" s="454" t="s">
        <v>1045</v>
      </c>
      <c r="M1322" s="4"/>
      <c r="N1322" s="133" t="s">
        <v>1407</v>
      </c>
      <c r="O1322" s="4"/>
      <c r="P1322" s="4" t="s">
        <v>2311</v>
      </c>
      <c r="Q1322" s="4" t="s">
        <v>2315</v>
      </c>
      <c r="R1322" s="4"/>
      <c r="S1322" s="4" t="s">
        <v>2313</v>
      </c>
      <c r="T1322" s="4" t="s">
        <v>786</v>
      </c>
      <c r="U1322" s="4"/>
      <c r="V1322" s="4"/>
      <c r="W1322" s="4"/>
    </row>
    <row r="1323" spans="1:23" customFormat="1">
      <c r="A1323" s="10"/>
      <c r="B1323" s="4"/>
      <c r="C1323" s="4"/>
      <c r="D1323" s="4"/>
      <c r="E1323" s="4"/>
      <c r="F1323" s="152" t="s">
        <v>371</v>
      </c>
      <c r="G1323" s="4" t="s">
        <v>353</v>
      </c>
      <c r="H1323" s="4"/>
      <c r="I1323" s="196">
        <v>-569400</v>
      </c>
      <c r="J1323" s="196">
        <v>-390</v>
      </c>
      <c r="K1323" s="196">
        <v>1460</v>
      </c>
      <c r="L1323" s="454" t="s">
        <v>1045</v>
      </c>
      <c r="M1323" s="4"/>
      <c r="N1323" s="133" t="s">
        <v>1407</v>
      </c>
      <c r="O1323" s="4"/>
      <c r="P1323" s="4" t="s">
        <v>2311</v>
      </c>
      <c r="Q1323" s="4" t="s">
        <v>2315</v>
      </c>
      <c r="R1323" s="4"/>
      <c r="S1323" s="4" t="s">
        <v>2313</v>
      </c>
      <c r="T1323" s="4" t="s">
        <v>786</v>
      </c>
      <c r="U1323" s="4"/>
      <c r="V1323" s="4"/>
      <c r="W1323" s="4"/>
    </row>
    <row r="1324" spans="1:23" customFormat="1">
      <c r="A1324" s="10"/>
      <c r="B1324" s="4"/>
      <c r="C1324" s="4"/>
      <c r="D1324" s="4"/>
      <c r="E1324" s="4"/>
      <c r="F1324" s="152" t="s">
        <v>371</v>
      </c>
      <c r="G1324" s="4" t="s">
        <v>353</v>
      </c>
      <c r="H1324" s="4"/>
      <c r="I1324" s="196">
        <v>-569400</v>
      </c>
      <c r="J1324" s="196">
        <v>-390</v>
      </c>
      <c r="K1324" s="196">
        <v>1460</v>
      </c>
      <c r="L1324" s="454" t="s">
        <v>1045</v>
      </c>
      <c r="M1324" s="4"/>
      <c r="N1324" s="133" t="s">
        <v>1407</v>
      </c>
      <c r="O1324" s="4"/>
      <c r="P1324" s="4" t="s">
        <v>2311</v>
      </c>
      <c r="Q1324" s="4" t="s">
        <v>2315</v>
      </c>
      <c r="R1324" s="4"/>
      <c r="S1324" s="4" t="s">
        <v>2313</v>
      </c>
      <c r="T1324" s="4" t="s">
        <v>786</v>
      </c>
      <c r="U1324" s="4"/>
      <c r="V1324" s="4"/>
      <c r="W1324" s="4"/>
    </row>
    <row r="1325" spans="1:23" customFormat="1">
      <c r="A1325" s="10"/>
      <c r="B1325" s="4"/>
      <c r="C1325" s="4"/>
      <c r="D1325" s="4"/>
      <c r="E1325" s="4"/>
      <c r="F1325" s="152" t="s">
        <v>371</v>
      </c>
      <c r="G1325" s="4" t="s">
        <v>353</v>
      </c>
      <c r="H1325" s="4"/>
      <c r="I1325" s="196">
        <v>-569400</v>
      </c>
      <c r="J1325" s="196">
        <v>-390</v>
      </c>
      <c r="K1325" s="196">
        <v>1460</v>
      </c>
      <c r="L1325" s="454" t="s">
        <v>1045</v>
      </c>
      <c r="M1325" s="4"/>
      <c r="N1325" s="133" t="s">
        <v>1407</v>
      </c>
      <c r="O1325" s="4"/>
      <c r="P1325" s="4" t="s">
        <v>2311</v>
      </c>
      <c r="Q1325" s="4" t="s">
        <v>2314</v>
      </c>
      <c r="R1325" s="4"/>
      <c r="S1325" s="4" t="s">
        <v>2313</v>
      </c>
      <c r="T1325" s="4" t="s">
        <v>786</v>
      </c>
      <c r="U1325" s="4"/>
      <c r="V1325" s="4"/>
      <c r="W1325" s="4"/>
    </row>
    <row r="1326" spans="1:23" customFormat="1">
      <c r="A1326" s="10"/>
      <c r="B1326" s="4"/>
      <c r="C1326" s="4"/>
      <c r="D1326" s="4"/>
      <c r="E1326" s="4"/>
      <c r="F1326" s="152" t="s">
        <v>371</v>
      </c>
      <c r="G1326" s="4" t="s">
        <v>353</v>
      </c>
      <c r="H1326" s="4"/>
      <c r="I1326" s="196">
        <v>-569400</v>
      </c>
      <c r="J1326" s="196">
        <v>-390</v>
      </c>
      <c r="K1326" s="196">
        <v>1460</v>
      </c>
      <c r="L1326" s="454" t="s">
        <v>1045</v>
      </c>
      <c r="M1326" s="4"/>
      <c r="N1326" s="133" t="s">
        <v>1407</v>
      </c>
      <c r="O1326" s="4"/>
      <c r="P1326" s="4" t="s">
        <v>2311</v>
      </c>
      <c r="Q1326" s="4" t="s">
        <v>2315</v>
      </c>
      <c r="R1326" s="4"/>
      <c r="S1326" s="4" t="s">
        <v>2313</v>
      </c>
      <c r="T1326" s="4" t="s">
        <v>786</v>
      </c>
      <c r="U1326" s="4"/>
      <c r="V1326" s="4"/>
      <c r="W1326" s="4"/>
    </row>
    <row r="1327" spans="1:23" customFormat="1">
      <c r="A1327" s="10"/>
      <c r="B1327" s="4"/>
      <c r="C1327" s="4"/>
      <c r="D1327" s="4"/>
      <c r="E1327" s="4"/>
      <c r="F1327" s="152" t="s">
        <v>371</v>
      </c>
      <c r="G1327" s="4" t="s">
        <v>353</v>
      </c>
      <c r="H1327" s="4"/>
      <c r="I1327" s="196">
        <v>-575225.4</v>
      </c>
      <c r="J1327" s="196">
        <v>-393.99</v>
      </c>
      <c r="K1327" s="196">
        <v>1460</v>
      </c>
      <c r="L1327" s="454" t="s">
        <v>1045</v>
      </c>
      <c r="M1327" s="4" t="s">
        <v>780</v>
      </c>
      <c r="N1327" s="133" t="s">
        <v>1407</v>
      </c>
      <c r="O1327" s="4" t="s">
        <v>2343</v>
      </c>
      <c r="P1327" s="4" t="s">
        <v>892</v>
      </c>
      <c r="Q1327" s="4" t="s">
        <v>2344</v>
      </c>
      <c r="R1327" s="4" t="s">
        <v>2345</v>
      </c>
      <c r="S1327" s="4" t="s">
        <v>2346</v>
      </c>
      <c r="T1327" s="4" t="s">
        <v>786</v>
      </c>
      <c r="U1327" s="4"/>
      <c r="V1327" s="4"/>
      <c r="W1327" s="4"/>
    </row>
    <row r="1328" spans="1:23" customFormat="1">
      <c r="A1328" s="10"/>
      <c r="B1328" s="4"/>
      <c r="C1328" s="4"/>
      <c r="D1328" s="4"/>
      <c r="E1328" s="4"/>
      <c r="F1328" s="152" t="s">
        <v>371</v>
      </c>
      <c r="G1328" s="4" t="s">
        <v>353</v>
      </c>
      <c r="H1328" s="4"/>
      <c r="I1328" s="196">
        <v>-355000</v>
      </c>
      <c r="J1328" s="196">
        <v>-250</v>
      </c>
      <c r="K1328" s="196">
        <v>1420</v>
      </c>
      <c r="L1328" s="454" t="s">
        <v>1109</v>
      </c>
      <c r="M1328" s="4" t="s">
        <v>780</v>
      </c>
      <c r="N1328" s="133" t="s">
        <v>1407</v>
      </c>
      <c r="O1328" s="4" t="s">
        <v>2347</v>
      </c>
      <c r="P1328" s="4" t="s">
        <v>892</v>
      </c>
      <c r="Q1328" s="4" t="s">
        <v>2348</v>
      </c>
      <c r="R1328" s="4" t="s">
        <v>2349</v>
      </c>
      <c r="S1328" s="4" t="s">
        <v>2350</v>
      </c>
      <c r="T1328" s="4" t="s">
        <v>786</v>
      </c>
      <c r="U1328" s="4"/>
      <c r="V1328" s="4"/>
      <c r="W1328" s="4"/>
    </row>
    <row r="1329" spans="1:23" customFormat="1">
      <c r="A1329" s="10"/>
      <c r="B1329" s="4"/>
      <c r="C1329" s="4"/>
      <c r="D1329" s="4"/>
      <c r="E1329" s="4"/>
      <c r="F1329" s="152" t="s">
        <v>371</v>
      </c>
      <c r="G1329" s="4" t="s">
        <v>353</v>
      </c>
      <c r="H1329" s="4"/>
      <c r="I1329" s="196">
        <v>-4828000</v>
      </c>
      <c r="J1329" s="196">
        <v>-3400</v>
      </c>
      <c r="K1329" s="196">
        <v>1420</v>
      </c>
      <c r="L1329" s="454" t="s">
        <v>1109</v>
      </c>
      <c r="M1329" s="4" t="s">
        <v>780</v>
      </c>
      <c r="N1329" s="133" t="s">
        <v>1407</v>
      </c>
      <c r="O1329" s="4" t="s">
        <v>2347</v>
      </c>
      <c r="P1329" s="4" t="s">
        <v>892</v>
      </c>
      <c r="Q1329" s="4" t="s">
        <v>2348</v>
      </c>
      <c r="R1329" s="4" t="s">
        <v>2353</v>
      </c>
      <c r="S1329" s="4" t="s">
        <v>2350</v>
      </c>
      <c r="T1329" s="4" t="s">
        <v>786</v>
      </c>
      <c r="U1329" s="4"/>
      <c r="V1329" s="4"/>
      <c r="W1329" s="4"/>
    </row>
    <row r="1330" spans="1:23" customFormat="1">
      <c r="A1330" s="10"/>
      <c r="B1330" s="4"/>
      <c r="C1330" s="4"/>
      <c r="D1330" s="4"/>
      <c r="E1330" s="4"/>
      <c r="F1330" s="152" t="s">
        <v>371</v>
      </c>
      <c r="G1330" s="4" t="s">
        <v>353</v>
      </c>
      <c r="H1330" s="4"/>
      <c r="I1330" s="196">
        <v>-7100000</v>
      </c>
      <c r="J1330" s="196">
        <v>-5000</v>
      </c>
      <c r="K1330" s="196">
        <v>1420</v>
      </c>
      <c r="L1330" s="454" t="s">
        <v>1109</v>
      </c>
      <c r="M1330" s="4" t="s">
        <v>780</v>
      </c>
      <c r="N1330" s="133" t="s">
        <v>1407</v>
      </c>
      <c r="O1330" s="4" t="s">
        <v>2347</v>
      </c>
      <c r="P1330" s="4" t="s">
        <v>892</v>
      </c>
      <c r="Q1330" s="4" t="s">
        <v>2348</v>
      </c>
      <c r="R1330" s="4" t="s">
        <v>2354</v>
      </c>
      <c r="S1330" s="4" t="s">
        <v>2350</v>
      </c>
      <c r="T1330" s="4" t="s">
        <v>786</v>
      </c>
      <c r="U1330" s="4"/>
      <c r="V1330" s="4"/>
      <c r="W1330" s="4"/>
    </row>
    <row r="1331" spans="1:23" customFormat="1">
      <c r="A1331" s="10"/>
      <c r="B1331" s="4"/>
      <c r="C1331" s="4"/>
      <c r="D1331" s="4"/>
      <c r="E1331" s="4"/>
      <c r="F1331" s="152" t="s">
        <v>371</v>
      </c>
      <c r="G1331" s="4" t="s">
        <v>353</v>
      </c>
      <c r="H1331" s="4"/>
      <c r="I1331" s="196">
        <v>-2272000</v>
      </c>
      <c r="J1331" s="196">
        <v>-1600</v>
      </c>
      <c r="K1331" s="196">
        <v>1420</v>
      </c>
      <c r="L1331" s="454" t="s">
        <v>1109</v>
      </c>
      <c r="M1331" s="4" t="s">
        <v>780</v>
      </c>
      <c r="N1331" s="133" t="s">
        <v>1407</v>
      </c>
      <c r="O1331" s="4" t="s">
        <v>2347</v>
      </c>
      <c r="P1331" s="4" t="s">
        <v>892</v>
      </c>
      <c r="Q1331" s="4" t="s">
        <v>2348</v>
      </c>
      <c r="R1331" s="4" t="s">
        <v>2352</v>
      </c>
      <c r="S1331" s="4" t="s">
        <v>2350</v>
      </c>
      <c r="T1331" s="4" t="s">
        <v>786</v>
      </c>
      <c r="U1331" s="4"/>
      <c r="V1331" s="4"/>
      <c r="W1331" s="4"/>
    </row>
    <row r="1332" spans="1:23" customFormat="1">
      <c r="A1332" s="10"/>
      <c r="B1332" s="4"/>
      <c r="C1332" s="4"/>
      <c r="D1332" s="4"/>
      <c r="E1332" s="4"/>
      <c r="F1332" s="152" t="s">
        <v>371</v>
      </c>
      <c r="G1332" s="4" t="s">
        <v>353</v>
      </c>
      <c r="H1332" s="4"/>
      <c r="I1332" s="196">
        <v>-143420</v>
      </c>
      <c r="J1332" s="196">
        <v>-101</v>
      </c>
      <c r="K1332" s="196">
        <v>1420</v>
      </c>
      <c r="L1332" s="454" t="s">
        <v>1109</v>
      </c>
      <c r="M1332" s="4" t="s">
        <v>780</v>
      </c>
      <c r="N1332" s="133" t="s">
        <v>1407</v>
      </c>
      <c r="O1332" s="4" t="s">
        <v>2347</v>
      </c>
      <c r="P1332" s="4" t="s">
        <v>892</v>
      </c>
      <c r="Q1332" s="4" t="s">
        <v>2348</v>
      </c>
      <c r="R1332" s="4" t="s">
        <v>2355</v>
      </c>
      <c r="S1332" s="4" t="s">
        <v>2350</v>
      </c>
      <c r="T1332" s="4" t="s">
        <v>786</v>
      </c>
      <c r="U1332" s="4"/>
      <c r="V1332" s="4"/>
      <c r="W1332" s="4"/>
    </row>
    <row r="1333" spans="1:23" customFormat="1">
      <c r="A1333" s="10"/>
      <c r="B1333" s="4"/>
      <c r="C1333" s="4"/>
      <c r="D1333" s="4"/>
      <c r="E1333" s="4"/>
      <c r="F1333" s="152" t="s">
        <v>371</v>
      </c>
      <c r="G1333" s="4" t="s">
        <v>353</v>
      </c>
      <c r="H1333" s="4"/>
      <c r="I1333" s="196">
        <v>-2414000</v>
      </c>
      <c r="J1333" s="196">
        <v>-1700</v>
      </c>
      <c r="K1333" s="196">
        <v>1420</v>
      </c>
      <c r="L1333" s="454" t="s">
        <v>1109</v>
      </c>
      <c r="M1333" s="4" t="s">
        <v>780</v>
      </c>
      <c r="N1333" s="133" t="s">
        <v>1407</v>
      </c>
      <c r="O1333" s="4" t="s">
        <v>2347</v>
      </c>
      <c r="P1333" s="4" t="s">
        <v>892</v>
      </c>
      <c r="Q1333" s="4" t="s">
        <v>2348</v>
      </c>
      <c r="R1333" s="4" t="s">
        <v>2351</v>
      </c>
      <c r="S1333" s="4" t="s">
        <v>2350</v>
      </c>
      <c r="T1333" s="4" t="s">
        <v>786</v>
      </c>
      <c r="U1333" s="4"/>
      <c r="V1333" s="4"/>
      <c r="W1333" s="4"/>
    </row>
    <row r="1334" spans="1:23" customFormat="1">
      <c r="A1334" s="10"/>
      <c r="B1334" s="4"/>
      <c r="C1334" s="4"/>
      <c r="D1334" s="4"/>
      <c r="E1334" s="4"/>
      <c r="F1334" s="152" t="s">
        <v>371</v>
      </c>
      <c r="G1334" s="4" t="s">
        <v>353</v>
      </c>
      <c r="H1334" s="4"/>
      <c r="I1334" s="196">
        <v>-374880</v>
      </c>
      <c r="J1334" s="196">
        <v>-264</v>
      </c>
      <c r="K1334" s="196">
        <v>1420</v>
      </c>
      <c r="L1334" s="454" t="s">
        <v>1109</v>
      </c>
      <c r="M1334" s="4" t="s">
        <v>780</v>
      </c>
      <c r="N1334" s="133" t="s">
        <v>1407</v>
      </c>
      <c r="O1334" s="4" t="s">
        <v>2347</v>
      </c>
      <c r="P1334" s="4" t="s">
        <v>892</v>
      </c>
      <c r="Q1334" s="4" t="s">
        <v>2348</v>
      </c>
      <c r="R1334" s="4" t="s">
        <v>2356</v>
      </c>
      <c r="S1334" s="4" t="s">
        <v>2350</v>
      </c>
      <c r="T1334" s="4" t="s">
        <v>786</v>
      </c>
      <c r="U1334" s="4"/>
      <c r="V1334" s="4"/>
      <c r="W1334" s="4"/>
    </row>
    <row r="1335" spans="1:23" customFormat="1">
      <c r="A1335" s="10"/>
      <c r="B1335" s="4"/>
      <c r="C1335" s="4"/>
      <c r="D1335" s="4"/>
      <c r="E1335" s="4"/>
      <c r="F1335" s="152" t="s">
        <v>371</v>
      </c>
      <c r="G1335" s="4" t="s">
        <v>353</v>
      </c>
      <c r="H1335" s="4"/>
      <c r="I1335" s="196">
        <v>-2208100</v>
      </c>
      <c r="J1335" s="196">
        <v>-1555</v>
      </c>
      <c r="K1335" s="196">
        <v>1420</v>
      </c>
      <c r="L1335" s="454" t="s">
        <v>1109</v>
      </c>
      <c r="M1335" s="4" t="s">
        <v>780</v>
      </c>
      <c r="N1335" s="133" t="s">
        <v>1407</v>
      </c>
      <c r="O1335" s="4" t="s">
        <v>2347</v>
      </c>
      <c r="P1335" s="4" t="s">
        <v>892</v>
      </c>
      <c r="Q1335" s="4" t="s">
        <v>2348</v>
      </c>
      <c r="R1335" s="4" t="s">
        <v>2357</v>
      </c>
      <c r="S1335" s="4" t="s">
        <v>2350</v>
      </c>
      <c r="T1335" s="4" t="s">
        <v>786</v>
      </c>
      <c r="U1335" s="4"/>
      <c r="V1335" s="4"/>
      <c r="W1335" s="4"/>
    </row>
    <row r="1336" spans="1:23" customFormat="1">
      <c r="A1336" s="10"/>
      <c r="B1336" s="4"/>
      <c r="C1336" s="4"/>
      <c r="D1336" s="4"/>
      <c r="E1336" s="4"/>
      <c r="F1336" s="152" t="s">
        <v>371</v>
      </c>
      <c r="G1336" s="4" t="s">
        <v>353</v>
      </c>
      <c r="H1336" s="4"/>
      <c r="I1336" s="196">
        <v>-329440</v>
      </c>
      <c r="J1336" s="196">
        <v>-232</v>
      </c>
      <c r="K1336" s="196">
        <v>1420</v>
      </c>
      <c r="L1336" s="454" t="s">
        <v>1109</v>
      </c>
      <c r="M1336" s="4" t="s">
        <v>780</v>
      </c>
      <c r="N1336" s="133" t="s">
        <v>1407</v>
      </c>
      <c r="O1336" s="4" t="s">
        <v>2347</v>
      </c>
      <c r="P1336" s="4" t="s">
        <v>892</v>
      </c>
      <c r="Q1336" s="4" t="s">
        <v>2348</v>
      </c>
      <c r="R1336" s="4" t="s">
        <v>2358</v>
      </c>
      <c r="S1336" s="4" t="s">
        <v>2350</v>
      </c>
      <c r="T1336" s="4" t="s">
        <v>786</v>
      </c>
      <c r="U1336" s="4"/>
      <c r="V1336" s="4"/>
      <c r="W1336" s="4"/>
    </row>
    <row r="1337" spans="1:23" customFormat="1">
      <c r="A1337" s="10"/>
      <c r="B1337" s="4"/>
      <c r="C1337" s="4"/>
      <c r="D1337" s="4"/>
      <c r="E1337" s="4"/>
      <c r="F1337" s="152" t="s">
        <v>371</v>
      </c>
      <c r="G1337" s="4" t="s">
        <v>353</v>
      </c>
      <c r="H1337" s="4"/>
      <c r="I1337" s="196">
        <v>-2125500</v>
      </c>
      <c r="J1337" s="196">
        <v>-1635</v>
      </c>
      <c r="K1337" s="196">
        <v>1300</v>
      </c>
      <c r="L1337" s="454" t="s">
        <v>899</v>
      </c>
      <c r="M1337" s="4" t="s">
        <v>780</v>
      </c>
      <c r="N1337" s="133" t="s">
        <v>1407</v>
      </c>
      <c r="O1337" s="4" t="s">
        <v>2363</v>
      </c>
      <c r="P1337" s="4" t="s">
        <v>892</v>
      </c>
      <c r="Q1337" s="4" t="s">
        <v>2364</v>
      </c>
      <c r="R1337" s="4" t="s">
        <v>1438</v>
      </c>
      <c r="S1337" s="4" t="s">
        <v>2365</v>
      </c>
      <c r="T1337" s="4" t="s">
        <v>786</v>
      </c>
      <c r="U1337" s="4"/>
      <c r="V1337" s="4"/>
      <c r="W1337" s="4"/>
    </row>
    <row r="1338" spans="1:23" customFormat="1">
      <c r="A1338" s="10"/>
      <c r="B1338" s="4"/>
      <c r="C1338" s="4"/>
      <c r="D1338" s="4"/>
      <c r="E1338" s="4"/>
      <c r="F1338" s="152" t="s">
        <v>371</v>
      </c>
      <c r="G1338" s="4" t="s">
        <v>353</v>
      </c>
      <c r="H1338" s="4"/>
      <c r="I1338" s="196">
        <v>-426000</v>
      </c>
      <c r="J1338" s="196">
        <v>-300</v>
      </c>
      <c r="K1338" s="196">
        <v>1420</v>
      </c>
      <c r="L1338" s="454" t="s">
        <v>1088</v>
      </c>
      <c r="M1338" s="4" t="s">
        <v>780</v>
      </c>
      <c r="N1338" s="133" t="s">
        <v>1407</v>
      </c>
      <c r="O1338" s="4" t="s">
        <v>2368</v>
      </c>
      <c r="P1338" s="4" t="s">
        <v>892</v>
      </c>
      <c r="Q1338" s="4" t="s">
        <v>2369</v>
      </c>
      <c r="R1338" s="4" t="s">
        <v>2370</v>
      </c>
      <c r="S1338" s="4" t="s">
        <v>2371</v>
      </c>
      <c r="T1338" s="4" t="s">
        <v>786</v>
      </c>
      <c r="U1338" s="4"/>
      <c r="V1338" s="4"/>
      <c r="W1338" s="4"/>
    </row>
    <row r="1339" spans="1:23" customFormat="1">
      <c r="A1339" s="10"/>
      <c r="B1339" s="4"/>
      <c r="C1339" s="4"/>
      <c r="D1339" s="4"/>
      <c r="E1339" s="4"/>
      <c r="F1339" s="152" t="s">
        <v>371</v>
      </c>
      <c r="G1339" s="4" t="s">
        <v>353</v>
      </c>
      <c r="H1339" s="4"/>
      <c r="I1339" s="196">
        <v>-106580500</v>
      </c>
      <c r="J1339" s="196">
        <v>-81985</v>
      </c>
      <c r="K1339" s="196">
        <v>1300</v>
      </c>
      <c r="L1339" s="454" t="s">
        <v>899</v>
      </c>
      <c r="M1339" s="4" t="s">
        <v>780</v>
      </c>
      <c r="N1339" s="133" t="s">
        <v>1407</v>
      </c>
      <c r="O1339" s="4" t="s">
        <v>1119</v>
      </c>
      <c r="P1339" s="4" t="s">
        <v>892</v>
      </c>
      <c r="Q1339" s="4" t="s">
        <v>1120</v>
      </c>
      <c r="R1339" s="4" t="s">
        <v>2389</v>
      </c>
      <c r="S1339" s="4" t="s">
        <v>1122</v>
      </c>
      <c r="T1339" s="4" t="s">
        <v>786</v>
      </c>
      <c r="U1339" s="4"/>
      <c r="V1339" s="4"/>
      <c r="W1339" s="4"/>
    </row>
    <row r="1340" spans="1:23" customFormat="1">
      <c r="A1340" s="10"/>
      <c r="B1340" s="4"/>
      <c r="C1340" s="4"/>
      <c r="D1340" s="4"/>
      <c r="E1340" s="4"/>
      <c r="F1340" s="152" t="s">
        <v>371</v>
      </c>
      <c r="G1340" s="4" t="s">
        <v>353</v>
      </c>
      <c r="H1340" s="4"/>
      <c r="I1340" s="196">
        <v>-4260000</v>
      </c>
      <c r="J1340" s="196">
        <v>-3000</v>
      </c>
      <c r="K1340" s="196">
        <v>1420</v>
      </c>
      <c r="L1340" s="454" t="s">
        <v>1123</v>
      </c>
      <c r="M1340" s="4" t="s">
        <v>780</v>
      </c>
      <c r="N1340" s="133" t="s">
        <v>1407</v>
      </c>
      <c r="O1340" s="4" t="s">
        <v>1124</v>
      </c>
      <c r="P1340" s="4" t="s">
        <v>892</v>
      </c>
      <c r="Q1340" s="4" t="s">
        <v>1125</v>
      </c>
      <c r="R1340" s="4" t="s">
        <v>2390</v>
      </c>
      <c r="S1340" s="4" t="s">
        <v>1127</v>
      </c>
      <c r="T1340" s="4" t="s">
        <v>786</v>
      </c>
      <c r="U1340" s="4"/>
      <c r="V1340" s="4"/>
      <c r="W1340" s="4"/>
    </row>
    <row r="1341" spans="1:23" customFormat="1">
      <c r="A1341" s="10"/>
      <c r="B1341" s="4"/>
      <c r="C1341" s="4"/>
      <c r="D1341" s="4"/>
      <c r="E1341" s="4"/>
      <c r="F1341" s="152" t="s">
        <v>371</v>
      </c>
      <c r="G1341" s="4" t="s">
        <v>353</v>
      </c>
      <c r="H1341" s="4"/>
      <c r="I1341" s="196">
        <v>-852000</v>
      </c>
      <c r="J1341" s="196">
        <v>-600</v>
      </c>
      <c r="K1341" s="196">
        <v>1420</v>
      </c>
      <c r="L1341" s="454" t="s">
        <v>1093</v>
      </c>
      <c r="M1341" s="4" t="s">
        <v>780</v>
      </c>
      <c r="N1341" s="133" t="s">
        <v>1407</v>
      </c>
      <c r="O1341" s="4" t="s">
        <v>2397</v>
      </c>
      <c r="P1341" s="4" t="s">
        <v>892</v>
      </c>
      <c r="Q1341" s="4" t="s">
        <v>2398</v>
      </c>
      <c r="R1341" s="4" t="s">
        <v>2399</v>
      </c>
      <c r="S1341" s="4" t="s">
        <v>2400</v>
      </c>
      <c r="T1341" s="4" t="s">
        <v>786</v>
      </c>
      <c r="U1341" s="4"/>
      <c r="V1341" s="4"/>
      <c r="W1341" s="4"/>
    </row>
    <row r="1342" spans="1:23" customFormat="1">
      <c r="A1342" s="10"/>
      <c r="B1342" s="4"/>
      <c r="C1342" s="4"/>
      <c r="D1342" s="4"/>
      <c r="E1342" s="4"/>
      <c r="F1342" s="152" t="s">
        <v>371</v>
      </c>
      <c r="G1342" s="4" t="s">
        <v>353</v>
      </c>
      <c r="H1342" s="4"/>
      <c r="I1342" s="196">
        <v>-18119200</v>
      </c>
      <c r="J1342" s="196">
        <v>-12760</v>
      </c>
      <c r="K1342" s="196">
        <v>1420</v>
      </c>
      <c r="L1342" s="454" t="s">
        <v>1135</v>
      </c>
      <c r="M1342" s="4" t="s">
        <v>780</v>
      </c>
      <c r="N1342" s="133" t="s">
        <v>1407</v>
      </c>
      <c r="O1342" s="4" t="s">
        <v>1136</v>
      </c>
      <c r="P1342" s="4" t="s">
        <v>892</v>
      </c>
      <c r="Q1342" s="4" t="s">
        <v>1137</v>
      </c>
      <c r="R1342" s="4" t="s">
        <v>2402</v>
      </c>
      <c r="S1342" s="4" t="s">
        <v>1139</v>
      </c>
      <c r="T1342" s="4" t="s">
        <v>786</v>
      </c>
      <c r="U1342" s="4"/>
      <c r="V1342" s="4"/>
      <c r="W1342" s="4"/>
    </row>
    <row r="1343" spans="1:23" customFormat="1">
      <c r="A1343" s="10"/>
      <c r="B1343" s="4"/>
      <c r="C1343" s="4"/>
      <c r="D1343" s="4"/>
      <c r="E1343" s="4"/>
      <c r="F1343" s="152" t="s">
        <v>371</v>
      </c>
      <c r="G1343" s="4" t="s">
        <v>353</v>
      </c>
      <c r="H1343" s="4"/>
      <c r="I1343" s="196">
        <v>-7226380</v>
      </c>
      <c r="J1343" s="196">
        <v>-5089</v>
      </c>
      <c r="K1343" s="196">
        <v>1420</v>
      </c>
      <c r="L1343" s="454" t="s">
        <v>1135</v>
      </c>
      <c r="M1343" s="4" t="s">
        <v>780</v>
      </c>
      <c r="N1343" s="133" t="s">
        <v>1407</v>
      </c>
      <c r="O1343" s="4" t="s">
        <v>1136</v>
      </c>
      <c r="P1343" s="4" t="s">
        <v>892</v>
      </c>
      <c r="Q1343" s="4" t="s">
        <v>1137</v>
      </c>
      <c r="R1343" s="4" t="s">
        <v>2401</v>
      </c>
      <c r="S1343" s="4" t="s">
        <v>1139</v>
      </c>
      <c r="T1343" s="4" t="s">
        <v>786</v>
      </c>
      <c r="U1343" s="4"/>
      <c r="V1343" s="4"/>
      <c r="W1343" s="4"/>
    </row>
    <row r="1344" spans="1:23" customFormat="1">
      <c r="A1344" s="10"/>
      <c r="B1344" s="4"/>
      <c r="C1344" s="4"/>
      <c r="D1344" s="4"/>
      <c r="E1344" s="4"/>
      <c r="F1344" s="152" t="s">
        <v>371</v>
      </c>
      <c r="G1344" s="4" t="s">
        <v>353</v>
      </c>
      <c r="H1344" s="4"/>
      <c r="I1344" s="196">
        <v>14200000</v>
      </c>
      <c r="J1344" s="196">
        <v>10000</v>
      </c>
      <c r="K1344" s="196">
        <v>1420</v>
      </c>
      <c r="L1344" s="454" t="s">
        <v>1109</v>
      </c>
      <c r="M1344" s="4" t="s">
        <v>780</v>
      </c>
      <c r="N1344" s="133" t="s">
        <v>1407</v>
      </c>
      <c r="O1344" s="4" t="s">
        <v>1190</v>
      </c>
      <c r="P1344" s="4" t="s">
        <v>892</v>
      </c>
      <c r="Q1344" s="4" t="s">
        <v>1191</v>
      </c>
      <c r="R1344" s="4" t="s">
        <v>2452</v>
      </c>
      <c r="S1344" s="4" t="s">
        <v>1193</v>
      </c>
      <c r="T1344" s="4" t="s">
        <v>786</v>
      </c>
      <c r="U1344" s="4"/>
      <c r="V1344" s="4"/>
      <c r="W1344" s="4"/>
    </row>
    <row r="1345" spans="1:23" customFormat="1">
      <c r="A1345" s="10"/>
      <c r="B1345" s="4"/>
      <c r="C1345" s="4"/>
      <c r="D1345" s="4"/>
      <c r="E1345" s="4"/>
      <c r="F1345" s="152" t="s">
        <v>371</v>
      </c>
      <c r="G1345" s="4" t="s">
        <v>353</v>
      </c>
      <c r="H1345" s="4"/>
      <c r="I1345" s="196">
        <v>6022500</v>
      </c>
      <c r="J1345" s="196">
        <v>4125</v>
      </c>
      <c r="K1345" s="196">
        <v>1460</v>
      </c>
      <c r="L1345" s="454" t="s">
        <v>1109</v>
      </c>
      <c r="M1345" s="4" t="s">
        <v>780</v>
      </c>
      <c r="N1345" s="133" t="s">
        <v>1407</v>
      </c>
      <c r="O1345" s="4" t="s">
        <v>1190</v>
      </c>
      <c r="P1345" s="4" t="s">
        <v>892</v>
      </c>
      <c r="Q1345" s="4" t="s">
        <v>1191</v>
      </c>
      <c r="R1345" s="4" t="s">
        <v>2453</v>
      </c>
      <c r="S1345" s="4" t="s">
        <v>1193</v>
      </c>
      <c r="T1345" s="4" t="s">
        <v>786</v>
      </c>
      <c r="U1345" s="4"/>
      <c r="V1345" s="4"/>
      <c r="W1345" s="4"/>
    </row>
    <row r="1346" spans="1:23" customFormat="1">
      <c r="A1346" s="10"/>
      <c r="B1346" s="4"/>
      <c r="C1346" s="4"/>
      <c r="D1346" s="4"/>
      <c r="E1346" s="4"/>
      <c r="F1346" s="152" t="s">
        <v>371</v>
      </c>
      <c r="G1346" s="4" t="s">
        <v>353</v>
      </c>
      <c r="H1346" s="4"/>
      <c r="I1346" s="196">
        <v>3120750</v>
      </c>
      <c r="J1346" s="196">
        <v>2137.5</v>
      </c>
      <c r="K1346" s="196">
        <v>1460</v>
      </c>
      <c r="L1346" s="454" t="s">
        <v>1109</v>
      </c>
      <c r="M1346" s="4" t="s">
        <v>780</v>
      </c>
      <c r="N1346" s="133" t="s">
        <v>1407</v>
      </c>
      <c r="O1346" s="4" t="s">
        <v>1190</v>
      </c>
      <c r="P1346" s="4" t="s">
        <v>892</v>
      </c>
      <c r="Q1346" s="4" t="s">
        <v>1191</v>
      </c>
      <c r="R1346" s="4" t="s">
        <v>2451</v>
      </c>
      <c r="S1346" s="4" t="s">
        <v>1193</v>
      </c>
      <c r="T1346" s="4" t="s">
        <v>786</v>
      </c>
      <c r="U1346" s="4"/>
      <c r="V1346" s="4"/>
      <c r="W1346" s="4"/>
    </row>
    <row r="1347" spans="1:23" customFormat="1">
      <c r="A1347" s="10"/>
      <c r="B1347" s="4"/>
      <c r="C1347" s="4"/>
      <c r="D1347" s="4"/>
      <c r="E1347" s="4"/>
      <c r="F1347" s="152" t="s">
        <v>371</v>
      </c>
      <c r="G1347" s="4" t="s">
        <v>353</v>
      </c>
      <c r="H1347" s="4"/>
      <c r="I1347" s="196">
        <v>6285300</v>
      </c>
      <c r="J1347" s="196">
        <v>4305</v>
      </c>
      <c r="K1347" s="196">
        <v>1460</v>
      </c>
      <c r="L1347" s="454" t="s">
        <v>1109</v>
      </c>
      <c r="M1347" s="4" t="s">
        <v>780</v>
      </c>
      <c r="N1347" s="133" t="s">
        <v>1407</v>
      </c>
      <c r="O1347" s="4" t="s">
        <v>1190</v>
      </c>
      <c r="P1347" s="4" t="s">
        <v>892</v>
      </c>
      <c r="Q1347" s="4" t="s">
        <v>1191</v>
      </c>
      <c r="R1347" s="4" t="s">
        <v>2443</v>
      </c>
      <c r="S1347" s="4" t="s">
        <v>1193</v>
      </c>
      <c r="T1347" s="4" t="s">
        <v>786</v>
      </c>
      <c r="U1347" s="4"/>
      <c r="V1347" s="4"/>
      <c r="W1347" s="4"/>
    </row>
    <row r="1348" spans="1:23" customFormat="1">
      <c r="A1348" s="10"/>
      <c r="B1348" s="4"/>
      <c r="C1348" s="4"/>
      <c r="D1348" s="4"/>
      <c r="E1348" s="4"/>
      <c r="F1348" s="152" t="s">
        <v>371</v>
      </c>
      <c r="G1348" s="4" t="s">
        <v>353</v>
      </c>
      <c r="H1348" s="4"/>
      <c r="I1348" s="196">
        <v>985500</v>
      </c>
      <c r="J1348" s="196">
        <v>675</v>
      </c>
      <c r="K1348" s="196">
        <v>1460</v>
      </c>
      <c r="L1348" s="454" t="s">
        <v>1109</v>
      </c>
      <c r="M1348" s="4" t="s">
        <v>780</v>
      </c>
      <c r="N1348" s="133" t="s">
        <v>1407</v>
      </c>
      <c r="O1348" s="4" t="s">
        <v>1190</v>
      </c>
      <c r="P1348" s="4" t="s">
        <v>892</v>
      </c>
      <c r="Q1348" s="4" t="s">
        <v>1191</v>
      </c>
      <c r="R1348" s="4" t="s">
        <v>2444</v>
      </c>
      <c r="S1348" s="4" t="s">
        <v>1193</v>
      </c>
      <c r="T1348" s="4" t="s">
        <v>786</v>
      </c>
      <c r="U1348" s="4"/>
      <c r="V1348" s="4"/>
      <c r="W1348" s="4"/>
    </row>
    <row r="1349" spans="1:23" customFormat="1">
      <c r="A1349" s="10"/>
      <c r="B1349" s="4"/>
      <c r="C1349" s="4"/>
      <c r="D1349" s="4"/>
      <c r="E1349" s="4"/>
      <c r="F1349" s="152" t="s">
        <v>371</v>
      </c>
      <c r="G1349" s="4" t="s">
        <v>353</v>
      </c>
      <c r="H1349" s="4"/>
      <c r="I1349" s="196">
        <v>4686600</v>
      </c>
      <c r="J1349" s="196">
        <v>3210</v>
      </c>
      <c r="K1349" s="196">
        <v>1460</v>
      </c>
      <c r="L1349" s="454" t="s">
        <v>1109</v>
      </c>
      <c r="M1349" s="4" t="s">
        <v>780</v>
      </c>
      <c r="N1349" s="133" t="s">
        <v>1407</v>
      </c>
      <c r="O1349" s="4" t="s">
        <v>1190</v>
      </c>
      <c r="P1349" s="4" t="s">
        <v>892</v>
      </c>
      <c r="Q1349" s="4" t="s">
        <v>1191</v>
      </c>
      <c r="R1349" s="4" t="s">
        <v>2446</v>
      </c>
      <c r="S1349" s="4" t="s">
        <v>1193</v>
      </c>
      <c r="T1349" s="4" t="s">
        <v>786</v>
      </c>
      <c r="U1349" s="4"/>
      <c r="V1349" s="4"/>
      <c r="W1349" s="4"/>
    </row>
    <row r="1350" spans="1:23" customFormat="1">
      <c r="A1350" s="10"/>
      <c r="B1350" s="4"/>
      <c r="C1350" s="4"/>
      <c r="D1350" s="4"/>
      <c r="E1350" s="4"/>
      <c r="F1350" s="152" t="s">
        <v>371</v>
      </c>
      <c r="G1350" s="4" t="s">
        <v>353</v>
      </c>
      <c r="H1350" s="4"/>
      <c r="I1350" s="196">
        <v>4686600</v>
      </c>
      <c r="J1350" s="196">
        <v>3210</v>
      </c>
      <c r="K1350" s="196">
        <v>1460</v>
      </c>
      <c r="L1350" s="454" t="s">
        <v>1109</v>
      </c>
      <c r="M1350" s="4" t="s">
        <v>780</v>
      </c>
      <c r="N1350" s="133" t="s">
        <v>1407</v>
      </c>
      <c r="O1350" s="4" t="s">
        <v>1190</v>
      </c>
      <c r="P1350" s="4" t="s">
        <v>892</v>
      </c>
      <c r="Q1350" s="4" t="s">
        <v>1191</v>
      </c>
      <c r="R1350" s="4" t="s">
        <v>2442</v>
      </c>
      <c r="S1350" s="4" t="s">
        <v>1193</v>
      </c>
      <c r="T1350" s="4" t="s">
        <v>786</v>
      </c>
      <c r="U1350" s="4"/>
      <c r="V1350" s="4"/>
      <c r="W1350" s="4"/>
    </row>
    <row r="1351" spans="1:23" customFormat="1">
      <c r="A1351" s="10"/>
      <c r="B1351" s="4"/>
      <c r="C1351" s="4"/>
      <c r="D1351" s="4"/>
      <c r="E1351" s="4"/>
      <c r="F1351" s="152" t="s">
        <v>371</v>
      </c>
      <c r="G1351" s="4" t="s">
        <v>353</v>
      </c>
      <c r="H1351" s="4"/>
      <c r="I1351" s="196">
        <v>2591500</v>
      </c>
      <c r="J1351" s="196">
        <v>1775</v>
      </c>
      <c r="K1351" s="196">
        <v>1460</v>
      </c>
      <c r="L1351" s="454" t="s">
        <v>1109</v>
      </c>
      <c r="M1351" s="4" t="s">
        <v>780</v>
      </c>
      <c r="N1351" s="133" t="s">
        <v>1407</v>
      </c>
      <c r="O1351" s="4" t="s">
        <v>1190</v>
      </c>
      <c r="P1351" s="4" t="s">
        <v>892</v>
      </c>
      <c r="Q1351" s="4" t="s">
        <v>1191</v>
      </c>
      <c r="R1351" s="4" t="s">
        <v>2448</v>
      </c>
      <c r="S1351" s="4" t="s">
        <v>1193</v>
      </c>
      <c r="T1351" s="4" t="s">
        <v>786</v>
      </c>
      <c r="U1351" s="4"/>
      <c r="V1351" s="4"/>
      <c r="W1351" s="4"/>
    </row>
    <row r="1352" spans="1:23" customFormat="1">
      <c r="A1352" s="10"/>
      <c r="B1352" s="4"/>
      <c r="C1352" s="4"/>
      <c r="D1352" s="4"/>
      <c r="E1352" s="4"/>
      <c r="F1352" s="152" t="s">
        <v>371</v>
      </c>
      <c r="G1352" s="4" t="s">
        <v>353</v>
      </c>
      <c r="H1352" s="4"/>
      <c r="I1352" s="196">
        <v>985500</v>
      </c>
      <c r="J1352" s="196">
        <v>675</v>
      </c>
      <c r="K1352" s="196">
        <v>1460</v>
      </c>
      <c r="L1352" s="454" t="s">
        <v>1109</v>
      </c>
      <c r="M1352" s="4" t="s">
        <v>780</v>
      </c>
      <c r="N1352" s="133" t="s">
        <v>1407</v>
      </c>
      <c r="O1352" s="4" t="s">
        <v>1190</v>
      </c>
      <c r="P1352" s="4" t="s">
        <v>892</v>
      </c>
      <c r="Q1352" s="4" t="s">
        <v>1191</v>
      </c>
      <c r="R1352" s="4" t="s">
        <v>2449</v>
      </c>
      <c r="S1352" s="4" t="s">
        <v>1193</v>
      </c>
      <c r="T1352" s="4" t="s">
        <v>786</v>
      </c>
      <c r="U1352" s="4"/>
      <c r="V1352" s="4"/>
      <c r="W1352" s="4"/>
    </row>
    <row r="1353" spans="1:23" customFormat="1">
      <c r="A1353" s="10"/>
      <c r="B1353" s="4"/>
      <c r="C1353" s="4"/>
      <c r="D1353" s="4"/>
      <c r="E1353" s="4"/>
      <c r="F1353" s="152" t="s">
        <v>371</v>
      </c>
      <c r="G1353" s="4" t="s">
        <v>353</v>
      </c>
      <c r="H1353" s="4"/>
      <c r="I1353" s="196">
        <v>6285300</v>
      </c>
      <c r="J1353" s="196">
        <v>4305</v>
      </c>
      <c r="K1353" s="196">
        <v>1460</v>
      </c>
      <c r="L1353" s="454" t="s">
        <v>1109</v>
      </c>
      <c r="M1353" s="4" t="s">
        <v>780</v>
      </c>
      <c r="N1353" s="133" t="s">
        <v>1407</v>
      </c>
      <c r="O1353" s="4" t="s">
        <v>1190</v>
      </c>
      <c r="P1353" s="4" t="s">
        <v>892</v>
      </c>
      <c r="Q1353" s="4" t="s">
        <v>1191</v>
      </c>
      <c r="R1353" s="4" t="s">
        <v>2447</v>
      </c>
      <c r="S1353" s="4" t="s">
        <v>1193</v>
      </c>
      <c r="T1353" s="4" t="s">
        <v>786</v>
      </c>
      <c r="U1353" s="4"/>
      <c r="V1353" s="4"/>
      <c r="W1353" s="4"/>
    </row>
    <row r="1354" spans="1:23" customFormat="1">
      <c r="A1354" s="10"/>
      <c r="B1354" s="4"/>
      <c r="C1354" s="4"/>
      <c r="D1354" s="4"/>
      <c r="E1354" s="4"/>
      <c r="F1354" s="152" t="s">
        <v>371</v>
      </c>
      <c r="G1354" s="4" t="s">
        <v>353</v>
      </c>
      <c r="H1354" s="4"/>
      <c r="I1354" s="196">
        <v>4956700</v>
      </c>
      <c r="J1354" s="196">
        <v>3395</v>
      </c>
      <c r="K1354" s="196">
        <v>1460</v>
      </c>
      <c r="L1354" s="454" t="s">
        <v>1109</v>
      </c>
      <c r="M1354" s="4" t="s">
        <v>780</v>
      </c>
      <c r="N1354" s="133" t="s">
        <v>1407</v>
      </c>
      <c r="O1354" s="4" t="s">
        <v>1190</v>
      </c>
      <c r="P1354" s="4" t="s">
        <v>892</v>
      </c>
      <c r="Q1354" s="4" t="s">
        <v>1191</v>
      </c>
      <c r="R1354" s="4" t="s">
        <v>2450</v>
      </c>
      <c r="S1354" s="4" t="s">
        <v>1193</v>
      </c>
      <c r="T1354" s="4" t="s">
        <v>786</v>
      </c>
      <c r="U1354" s="4"/>
      <c r="V1354" s="4"/>
      <c r="W1354" s="4"/>
    </row>
    <row r="1355" spans="1:23" customFormat="1">
      <c r="A1355" s="10"/>
      <c r="B1355" s="4"/>
      <c r="C1355" s="4"/>
      <c r="D1355" s="4"/>
      <c r="E1355" s="4"/>
      <c r="F1355" s="152" t="s">
        <v>371</v>
      </c>
      <c r="G1355" s="4" t="s">
        <v>353</v>
      </c>
      <c r="H1355" s="4"/>
      <c r="I1355" s="196">
        <v>4572400</v>
      </c>
      <c r="J1355" s="196">
        <v>3220</v>
      </c>
      <c r="K1355" s="196">
        <v>1420</v>
      </c>
      <c r="L1355" s="454" t="s">
        <v>1109</v>
      </c>
      <c r="M1355" s="4" t="s">
        <v>780</v>
      </c>
      <c r="N1355" s="133" t="s">
        <v>1407</v>
      </c>
      <c r="O1355" s="4" t="s">
        <v>1190</v>
      </c>
      <c r="P1355" s="4" t="s">
        <v>892</v>
      </c>
      <c r="Q1355" s="4" t="s">
        <v>1191</v>
      </c>
      <c r="R1355" s="4" t="s">
        <v>2445</v>
      </c>
      <c r="S1355" s="4" t="s">
        <v>1193</v>
      </c>
      <c r="T1355" s="4" t="s">
        <v>786</v>
      </c>
      <c r="U1355" s="4"/>
      <c r="V1355" s="4"/>
      <c r="W1355" s="4"/>
    </row>
    <row r="1356" spans="1:23" customFormat="1">
      <c r="A1356" s="10"/>
      <c r="B1356" s="4"/>
      <c r="C1356" s="4"/>
      <c r="D1356" s="4"/>
      <c r="E1356" s="4"/>
      <c r="F1356" s="152" t="s">
        <v>371</v>
      </c>
      <c r="G1356" s="4" t="s">
        <v>353</v>
      </c>
      <c r="H1356" s="4"/>
      <c r="I1356" s="196">
        <v>2125500</v>
      </c>
      <c r="J1356" s="196">
        <v>1635</v>
      </c>
      <c r="K1356" s="196">
        <v>1300</v>
      </c>
      <c r="L1356" s="454" t="s">
        <v>899</v>
      </c>
      <c r="M1356" s="4" t="s">
        <v>780</v>
      </c>
      <c r="N1356" s="133" t="s">
        <v>1407</v>
      </c>
      <c r="O1356" s="4" t="s">
        <v>2454</v>
      </c>
      <c r="P1356" s="4" t="s">
        <v>892</v>
      </c>
      <c r="Q1356" s="4" t="s">
        <v>2455</v>
      </c>
      <c r="R1356" s="4" t="s">
        <v>1438</v>
      </c>
      <c r="S1356" s="4" t="s">
        <v>2456</v>
      </c>
      <c r="T1356" s="4" t="s">
        <v>786</v>
      </c>
      <c r="U1356" s="4"/>
      <c r="V1356" s="4"/>
      <c r="W1356" s="4"/>
    </row>
    <row r="1357" spans="1:23" customFormat="1">
      <c r="A1357" s="10"/>
      <c r="B1357" s="4"/>
      <c r="C1357" s="4"/>
      <c r="D1357" s="4"/>
      <c r="E1357" s="4"/>
      <c r="F1357" s="152" t="s">
        <v>371</v>
      </c>
      <c r="G1357" s="4" t="s">
        <v>353</v>
      </c>
      <c r="H1357" s="4"/>
      <c r="I1357" s="196">
        <v>68120000</v>
      </c>
      <c r="J1357" s="196">
        <v>52400</v>
      </c>
      <c r="K1357" s="196">
        <v>1300</v>
      </c>
      <c r="L1357" s="454" t="s">
        <v>899</v>
      </c>
      <c r="M1357" s="4" t="s">
        <v>780</v>
      </c>
      <c r="N1357" s="133" t="s">
        <v>1407</v>
      </c>
      <c r="O1357" s="4" t="s">
        <v>2454</v>
      </c>
      <c r="P1357" s="4" t="s">
        <v>892</v>
      </c>
      <c r="Q1357" s="4" t="s">
        <v>2455</v>
      </c>
      <c r="R1357" s="4" t="s">
        <v>2457</v>
      </c>
      <c r="S1357" s="4" t="s">
        <v>2456</v>
      </c>
      <c r="T1357" s="4" t="s">
        <v>786</v>
      </c>
      <c r="U1357" s="4"/>
      <c r="V1357" s="4"/>
      <c r="W1357" s="4"/>
    </row>
    <row r="1358" spans="1:23" customFormat="1">
      <c r="A1358" s="10"/>
      <c r="B1358" s="4"/>
      <c r="C1358" s="4"/>
      <c r="D1358" s="4"/>
      <c r="E1358" s="4"/>
      <c r="F1358" s="152" t="s">
        <v>371</v>
      </c>
      <c r="G1358" s="4" t="s">
        <v>353</v>
      </c>
      <c r="H1358" s="4"/>
      <c r="I1358" s="196">
        <v>2410450</v>
      </c>
      <c r="J1358" s="196">
        <v>1697.5</v>
      </c>
      <c r="K1358" s="196">
        <v>1420</v>
      </c>
      <c r="L1358" s="454" t="s">
        <v>1088</v>
      </c>
      <c r="M1358" s="4" t="s">
        <v>780</v>
      </c>
      <c r="N1358" s="133" t="s">
        <v>1407</v>
      </c>
      <c r="O1358" s="4" t="s">
        <v>1194</v>
      </c>
      <c r="P1358" s="4" t="s">
        <v>892</v>
      </c>
      <c r="Q1358" s="4" t="s">
        <v>1195</v>
      </c>
      <c r="R1358" s="4" t="s">
        <v>2458</v>
      </c>
      <c r="S1358" s="4" t="s">
        <v>1197</v>
      </c>
      <c r="T1358" s="4" t="s">
        <v>786</v>
      </c>
      <c r="U1358" s="4"/>
      <c r="V1358" s="4"/>
      <c r="W1358" s="4"/>
    </row>
    <row r="1359" spans="1:23" customFormat="1">
      <c r="A1359" s="10"/>
      <c r="B1359" s="4"/>
      <c r="C1359" s="4"/>
      <c r="D1359" s="4"/>
      <c r="E1359" s="4"/>
      <c r="F1359" s="152" t="s">
        <v>371</v>
      </c>
      <c r="G1359" s="4" t="s">
        <v>353</v>
      </c>
      <c r="H1359" s="4"/>
      <c r="I1359" s="196">
        <v>4742800</v>
      </c>
      <c r="J1359" s="196">
        <v>3340</v>
      </c>
      <c r="K1359" s="196">
        <v>1420</v>
      </c>
      <c r="L1359" s="454" t="s">
        <v>1088</v>
      </c>
      <c r="M1359" s="4" t="s">
        <v>780</v>
      </c>
      <c r="N1359" s="133" t="s">
        <v>1407</v>
      </c>
      <c r="O1359" s="4" t="s">
        <v>1194</v>
      </c>
      <c r="P1359" s="4" t="s">
        <v>892</v>
      </c>
      <c r="Q1359" s="4" t="s">
        <v>1195</v>
      </c>
      <c r="R1359" s="4" t="s">
        <v>2462</v>
      </c>
      <c r="S1359" s="4" t="s">
        <v>1197</v>
      </c>
      <c r="T1359" s="4" t="s">
        <v>786</v>
      </c>
      <c r="U1359" s="4"/>
      <c r="V1359" s="4"/>
      <c r="W1359" s="4"/>
    </row>
    <row r="1360" spans="1:23" customFormat="1">
      <c r="A1360" s="10"/>
      <c r="B1360" s="4"/>
      <c r="C1360" s="4"/>
      <c r="D1360" s="4"/>
      <c r="E1360" s="4"/>
      <c r="F1360" s="152" t="s">
        <v>371</v>
      </c>
      <c r="G1360" s="4" t="s">
        <v>353</v>
      </c>
      <c r="H1360" s="4"/>
      <c r="I1360" s="196">
        <v>958500</v>
      </c>
      <c r="J1360" s="196">
        <v>675</v>
      </c>
      <c r="K1360" s="196">
        <v>1420</v>
      </c>
      <c r="L1360" s="454" t="s">
        <v>1088</v>
      </c>
      <c r="M1360" s="4" t="s">
        <v>780</v>
      </c>
      <c r="N1360" s="133" t="s">
        <v>1407</v>
      </c>
      <c r="O1360" s="4" t="s">
        <v>1194</v>
      </c>
      <c r="P1360" s="4" t="s">
        <v>892</v>
      </c>
      <c r="Q1360" s="4" t="s">
        <v>1195</v>
      </c>
      <c r="R1360" s="4" t="s">
        <v>2463</v>
      </c>
      <c r="S1360" s="4" t="s">
        <v>1197</v>
      </c>
      <c r="T1360" s="4" t="s">
        <v>786</v>
      </c>
      <c r="U1360" s="4"/>
      <c r="V1360" s="4"/>
      <c r="W1360" s="4"/>
    </row>
    <row r="1361" spans="1:23" customFormat="1">
      <c r="A1361" s="10"/>
      <c r="B1361" s="4"/>
      <c r="C1361" s="4"/>
      <c r="D1361" s="4"/>
      <c r="E1361" s="4"/>
      <c r="F1361" s="152" t="s">
        <v>371</v>
      </c>
      <c r="G1361" s="4" t="s">
        <v>353</v>
      </c>
      <c r="H1361" s="4"/>
      <c r="I1361" s="196">
        <v>958500</v>
      </c>
      <c r="J1361" s="196">
        <v>675</v>
      </c>
      <c r="K1361" s="196">
        <v>1420</v>
      </c>
      <c r="L1361" s="454" t="s">
        <v>1088</v>
      </c>
      <c r="M1361" s="4" t="s">
        <v>780</v>
      </c>
      <c r="N1361" s="133" t="s">
        <v>1407</v>
      </c>
      <c r="O1361" s="4" t="s">
        <v>1194</v>
      </c>
      <c r="P1361" s="4" t="s">
        <v>892</v>
      </c>
      <c r="Q1361" s="4" t="s">
        <v>1195</v>
      </c>
      <c r="R1361" s="4" t="s">
        <v>2464</v>
      </c>
      <c r="S1361" s="4" t="s">
        <v>1197</v>
      </c>
      <c r="T1361" s="4" t="s">
        <v>786</v>
      </c>
      <c r="U1361" s="4"/>
      <c r="V1361" s="4"/>
      <c r="W1361" s="4"/>
    </row>
    <row r="1362" spans="1:23" customFormat="1">
      <c r="A1362" s="10"/>
      <c r="B1362" s="4"/>
      <c r="C1362" s="4"/>
      <c r="D1362" s="4"/>
      <c r="E1362" s="4"/>
      <c r="F1362" s="152" t="s">
        <v>371</v>
      </c>
      <c r="G1362" s="4" t="s">
        <v>353</v>
      </c>
      <c r="H1362" s="4"/>
      <c r="I1362" s="196">
        <v>6790440</v>
      </c>
      <c r="J1362" s="196">
        <v>4782</v>
      </c>
      <c r="K1362" s="196">
        <v>1420</v>
      </c>
      <c r="L1362" s="454" t="s">
        <v>1088</v>
      </c>
      <c r="M1362" s="4" t="s">
        <v>780</v>
      </c>
      <c r="N1362" s="133" t="s">
        <v>1407</v>
      </c>
      <c r="O1362" s="4" t="s">
        <v>1194</v>
      </c>
      <c r="P1362" s="4" t="s">
        <v>892</v>
      </c>
      <c r="Q1362" s="4" t="s">
        <v>1195</v>
      </c>
      <c r="R1362" s="4" t="s">
        <v>2461</v>
      </c>
      <c r="S1362" s="4" t="s">
        <v>1197</v>
      </c>
      <c r="T1362" s="4" t="s">
        <v>786</v>
      </c>
      <c r="U1362" s="4"/>
      <c r="V1362" s="4"/>
      <c r="W1362" s="4"/>
    </row>
    <row r="1363" spans="1:23" customFormat="1">
      <c r="A1363" s="10"/>
      <c r="B1363" s="4"/>
      <c r="C1363" s="4"/>
      <c r="D1363" s="4"/>
      <c r="E1363" s="4"/>
      <c r="F1363" s="152" t="s">
        <v>371</v>
      </c>
      <c r="G1363" s="4" t="s">
        <v>353</v>
      </c>
      <c r="H1363" s="4"/>
      <c r="I1363" s="196">
        <v>1448400</v>
      </c>
      <c r="J1363" s="196">
        <v>1020</v>
      </c>
      <c r="K1363" s="196">
        <v>1420</v>
      </c>
      <c r="L1363" s="454" t="s">
        <v>1088</v>
      </c>
      <c r="M1363" s="4" t="s">
        <v>780</v>
      </c>
      <c r="N1363" s="133" t="s">
        <v>1407</v>
      </c>
      <c r="O1363" s="4" t="s">
        <v>1194</v>
      </c>
      <c r="P1363" s="4" t="s">
        <v>892</v>
      </c>
      <c r="Q1363" s="4" t="s">
        <v>1195</v>
      </c>
      <c r="R1363" s="4" t="s">
        <v>2459</v>
      </c>
      <c r="S1363" s="4" t="s">
        <v>1197</v>
      </c>
      <c r="T1363" s="4" t="s">
        <v>786</v>
      </c>
      <c r="U1363" s="4"/>
      <c r="V1363" s="4"/>
      <c r="W1363" s="4"/>
    </row>
    <row r="1364" spans="1:23" customFormat="1">
      <c r="A1364" s="10"/>
      <c r="B1364" s="4"/>
      <c r="C1364" s="4"/>
      <c r="D1364" s="4"/>
      <c r="E1364" s="4"/>
      <c r="F1364" s="152" t="s">
        <v>371</v>
      </c>
      <c r="G1364" s="4" t="s">
        <v>353</v>
      </c>
      <c r="H1364" s="4"/>
      <c r="I1364" s="196">
        <v>13603600</v>
      </c>
      <c r="J1364" s="196">
        <v>9580</v>
      </c>
      <c r="K1364" s="196">
        <v>1420</v>
      </c>
      <c r="L1364" s="454" t="s">
        <v>1088</v>
      </c>
      <c r="M1364" s="4" t="s">
        <v>780</v>
      </c>
      <c r="N1364" s="133" t="s">
        <v>1407</v>
      </c>
      <c r="O1364" s="4" t="s">
        <v>1194</v>
      </c>
      <c r="P1364" s="4" t="s">
        <v>892</v>
      </c>
      <c r="Q1364" s="4" t="s">
        <v>1195</v>
      </c>
      <c r="R1364" s="4" t="s">
        <v>2460</v>
      </c>
      <c r="S1364" s="4" t="s">
        <v>1197</v>
      </c>
      <c r="T1364" s="4" t="s">
        <v>786</v>
      </c>
      <c r="U1364" s="4"/>
      <c r="V1364" s="4"/>
      <c r="W1364" s="4"/>
    </row>
    <row r="1365" spans="1:23" customFormat="1">
      <c r="A1365" s="10"/>
      <c r="B1365" s="4"/>
      <c r="C1365" s="4"/>
      <c r="D1365" s="4"/>
      <c r="E1365" s="4"/>
      <c r="F1365" s="152" t="s">
        <v>371</v>
      </c>
      <c r="G1365" s="4" t="s">
        <v>353</v>
      </c>
      <c r="H1365" s="4"/>
      <c r="I1365" s="196">
        <v>2903900</v>
      </c>
      <c r="J1365" s="196">
        <v>2045</v>
      </c>
      <c r="K1365" s="196">
        <v>1420</v>
      </c>
      <c r="L1365" s="454" t="s">
        <v>1088</v>
      </c>
      <c r="M1365" s="4" t="s">
        <v>780</v>
      </c>
      <c r="N1365" s="133" t="s">
        <v>1407</v>
      </c>
      <c r="O1365" s="4" t="s">
        <v>1194</v>
      </c>
      <c r="P1365" s="4" t="s">
        <v>892</v>
      </c>
      <c r="Q1365" s="4" t="s">
        <v>1195</v>
      </c>
      <c r="R1365" s="4" t="s">
        <v>2465</v>
      </c>
      <c r="S1365" s="4" t="s">
        <v>1197</v>
      </c>
      <c r="T1365" s="4" t="s">
        <v>786</v>
      </c>
      <c r="U1365" s="4"/>
      <c r="V1365" s="4"/>
      <c r="W1365" s="4"/>
    </row>
    <row r="1366" spans="1:23" customFormat="1">
      <c r="A1366" s="10"/>
      <c r="B1366" s="4"/>
      <c r="C1366" s="4"/>
      <c r="D1366" s="4"/>
      <c r="E1366" s="4"/>
      <c r="F1366" s="152" t="s">
        <v>371</v>
      </c>
      <c r="G1366" s="4" t="s">
        <v>353</v>
      </c>
      <c r="H1366" s="4"/>
      <c r="I1366" s="196">
        <v>1959600</v>
      </c>
      <c r="J1366" s="196">
        <v>1380</v>
      </c>
      <c r="K1366" s="196">
        <v>1420</v>
      </c>
      <c r="L1366" s="454" t="s">
        <v>1123</v>
      </c>
      <c r="M1366" s="4" t="s">
        <v>780</v>
      </c>
      <c r="N1366" s="133" t="s">
        <v>1407</v>
      </c>
      <c r="O1366" s="4" t="s">
        <v>1374</v>
      </c>
      <c r="P1366" s="4" t="s">
        <v>892</v>
      </c>
      <c r="Q1366" s="4" t="s">
        <v>1375</v>
      </c>
      <c r="R1366" s="4" t="s">
        <v>2471</v>
      </c>
      <c r="S1366" s="4" t="s">
        <v>1377</v>
      </c>
      <c r="T1366" s="4" t="s">
        <v>786</v>
      </c>
      <c r="U1366" s="4"/>
      <c r="V1366" s="4"/>
      <c r="W1366" s="4"/>
    </row>
    <row r="1367" spans="1:23" customFormat="1">
      <c r="A1367" s="10"/>
      <c r="B1367" s="4"/>
      <c r="C1367" s="4"/>
      <c r="D1367" s="4"/>
      <c r="E1367" s="4"/>
      <c r="F1367" s="152" t="s">
        <v>371</v>
      </c>
      <c r="G1367" s="4" t="s">
        <v>353</v>
      </c>
      <c r="H1367" s="4"/>
      <c r="I1367" s="196">
        <v>8065600</v>
      </c>
      <c r="J1367" s="196">
        <v>5680</v>
      </c>
      <c r="K1367" s="196">
        <v>1420</v>
      </c>
      <c r="L1367" s="454" t="s">
        <v>1123</v>
      </c>
      <c r="M1367" s="4" t="s">
        <v>780</v>
      </c>
      <c r="N1367" s="133" t="s">
        <v>1407</v>
      </c>
      <c r="O1367" s="4" t="s">
        <v>1374</v>
      </c>
      <c r="P1367" s="4" t="s">
        <v>892</v>
      </c>
      <c r="Q1367" s="4" t="s">
        <v>1375</v>
      </c>
      <c r="R1367" s="4" t="s">
        <v>2474</v>
      </c>
      <c r="S1367" s="4" t="s">
        <v>1377</v>
      </c>
      <c r="T1367" s="4" t="s">
        <v>786</v>
      </c>
      <c r="U1367" s="4"/>
      <c r="V1367" s="4"/>
      <c r="W1367" s="4"/>
    </row>
    <row r="1368" spans="1:23" customFormat="1">
      <c r="A1368" s="10"/>
      <c r="B1368" s="4"/>
      <c r="C1368" s="4"/>
      <c r="D1368" s="4"/>
      <c r="E1368" s="4"/>
      <c r="F1368" s="152" t="s">
        <v>371</v>
      </c>
      <c r="G1368" s="4" t="s">
        <v>353</v>
      </c>
      <c r="H1368" s="4"/>
      <c r="I1368" s="196">
        <v>8406400</v>
      </c>
      <c r="J1368" s="196">
        <v>5920</v>
      </c>
      <c r="K1368" s="196">
        <v>1420</v>
      </c>
      <c r="L1368" s="454" t="s">
        <v>1123</v>
      </c>
      <c r="M1368" s="4" t="s">
        <v>780</v>
      </c>
      <c r="N1368" s="133" t="s">
        <v>1407</v>
      </c>
      <c r="O1368" s="4" t="s">
        <v>1374</v>
      </c>
      <c r="P1368" s="4" t="s">
        <v>892</v>
      </c>
      <c r="Q1368" s="4" t="s">
        <v>1375</v>
      </c>
      <c r="R1368" s="4" t="s">
        <v>2475</v>
      </c>
      <c r="S1368" s="4" t="s">
        <v>1377</v>
      </c>
      <c r="T1368" s="4" t="s">
        <v>786</v>
      </c>
      <c r="U1368" s="4"/>
      <c r="V1368" s="4"/>
      <c r="W1368" s="4"/>
    </row>
    <row r="1369" spans="1:23" customFormat="1">
      <c r="A1369" s="10"/>
      <c r="B1369" s="4"/>
      <c r="C1369" s="4"/>
      <c r="D1369" s="4"/>
      <c r="E1369" s="4"/>
      <c r="F1369" s="152" t="s">
        <v>371</v>
      </c>
      <c r="G1369" s="4" t="s">
        <v>353</v>
      </c>
      <c r="H1369" s="4"/>
      <c r="I1369" s="196">
        <v>4572400</v>
      </c>
      <c r="J1369" s="196">
        <v>3220</v>
      </c>
      <c r="K1369" s="196">
        <v>1420</v>
      </c>
      <c r="L1369" s="454" t="s">
        <v>1123</v>
      </c>
      <c r="M1369" s="4" t="s">
        <v>780</v>
      </c>
      <c r="N1369" s="133" t="s">
        <v>1407</v>
      </c>
      <c r="O1369" s="4" t="s">
        <v>1374</v>
      </c>
      <c r="P1369" s="4" t="s">
        <v>892</v>
      </c>
      <c r="Q1369" s="4" t="s">
        <v>1375</v>
      </c>
      <c r="R1369" s="4" t="s">
        <v>2476</v>
      </c>
      <c r="S1369" s="4" t="s">
        <v>1377</v>
      </c>
      <c r="T1369" s="4" t="s">
        <v>786</v>
      </c>
      <c r="U1369" s="4"/>
      <c r="V1369" s="4"/>
      <c r="W1369" s="4"/>
    </row>
    <row r="1370" spans="1:23" customFormat="1">
      <c r="A1370" s="10"/>
      <c r="B1370" s="4"/>
      <c r="C1370" s="4"/>
      <c r="D1370" s="4"/>
      <c r="E1370" s="4"/>
      <c r="F1370" s="152" t="s">
        <v>371</v>
      </c>
      <c r="G1370" s="4" t="s">
        <v>353</v>
      </c>
      <c r="H1370" s="4"/>
      <c r="I1370" s="196">
        <v>1959600</v>
      </c>
      <c r="J1370" s="196">
        <v>1380</v>
      </c>
      <c r="K1370" s="196">
        <v>1420</v>
      </c>
      <c r="L1370" s="454" t="s">
        <v>1123</v>
      </c>
      <c r="M1370" s="4" t="s">
        <v>780</v>
      </c>
      <c r="N1370" s="133" t="s">
        <v>1407</v>
      </c>
      <c r="O1370" s="4" t="s">
        <v>1374</v>
      </c>
      <c r="P1370" s="4" t="s">
        <v>892</v>
      </c>
      <c r="Q1370" s="4" t="s">
        <v>1375</v>
      </c>
      <c r="R1370" s="4" t="s">
        <v>2472</v>
      </c>
      <c r="S1370" s="4" t="s">
        <v>1377</v>
      </c>
      <c r="T1370" s="4" t="s">
        <v>786</v>
      </c>
      <c r="U1370" s="4"/>
      <c r="V1370" s="4"/>
      <c r="W1370" s="4"/>
    </row>
    <row r="1371" spans="1:23" customFormat="1">
      <c r="A1371" s="10"/>
      <c r="B1371" s="4"/>
      <c r="C1371" s="4"/>
      <c r="D1371" s="4"/>
      <c r="E1371" s="4"/>
      <c r="F1371" s="152" t="s">
        <v>371</v>
      </c>
      <c r="G1371" s="4" t="s">
        <v>353</v>
      </c>
      <c r="H1371" s="4"/>
      <c r="I1371" s="196">
        <v>1959600</v>
      </c>
      <c r="J1371" s="196">
        <v>1380</v>
      </c>
      <c r="K1371" s="196">
        <v>1420</v>
      </c>
      <c r="L1371" s="454" t="s">
        <v>1123</v>
      </c>
      <c r="M1371" s="4" t="s">
        <v>780</v>
      </c>
      <c r="N1371" s="133" t="s">
        <v>1407</v>
      </c>
      <c r="O1371" s="4" t="s">
        <v>1374</v>
      </c>
      <c r="P1371" s="4" t="s">
        <v>892</v>
      </c>
      <c r="Q1371" s="4" t="s">
        <v>1375</v>
      </c>
      <c r="R1371" s="4" t="s">
        <v>2473</v>
      </c>
      <c r="S1371" s="4" t="s">
        <v>1377</v>
      </c>
      <c r="T1371" s="4" t="s">
        <v>786</v>
      </c>
      <c r="U1371" s="4"/>
      <c r="V1371" s="4"/>
      <c r="W1371" s="4"/>
    </row>
    <row r="1372" spans="1:23" customFormat="1">
      <c r="A1372" s="10"/>
      <c r="B1372" s="4"/>
      <c r="C1372" s="4"/>
      <c r="D1372" s="4"/>
      <c r="E1372" s="4"/>
      <c r="F1372" s="152" t="s">
        <v>371</v>
      </c>
      <c r="G1372" s="4" t="s">
        <v>353</v>
      </c>
      <c r="H1372" s="4"/>
      <c r="I1372" s="196">
        <v>10373100</v>
      </c>
      <c r="J1372" s="196">
        <v>7305</v>
      </c>
      <c r="K1372" s="196">
        <v>1420</v>
      </c>
      <c r="L1372" s="454" t="s">
        <v>1093</v>
      </c>
      <c r="M1372" s="4" t="s">
        <v>780</v>
      </c>
      <c r="N1372" s="133" t="s">
        <v>1407</v>
      </c>
      <c r="O1372" s="4" t="s">
        <v>2477</v>
      </c>
      <c r="P1372" s="4" t="s">
        <v>892</v>
      </c>
      <c r="Q1372" s="4" t="s">
        <v>2478</v>
      </c>
      <c r="R1372" s="4" t="s">
        <v>2479</v>
      </c>
      <c r="S1372" s="4" t="s">
        <v>2480</v>
      </c>
      <c r="T1372" s="4" t="s">
        <v>786</v>
      </c>
      <c r="U1372" s="4"/>
      <c r="V1372" s="4"/>
      <c r="W1372" s="4"/>
    </row>
    <row r="1373" spans="1:23" customFormat="1">
      <c r="A1373" s="10"/>
      <c r="B1373" s="4"/>
      <c r="C1373" s="4"/>
      <c r="D1373" s="4"/>
      <c r="E1373" s="4"/>
      <c r="F1373" s="152" t="s">
        <v>371</v>
      </c>
      <c r="G1373" s="4" t="s">
        <v>353</v>
      </c>
      <c r="H1373" s="4"/>
      <c r="I1373" s="196">
        <v>9173200</v>
      </c>
      <c r="J1373" s="196">
        <v>6460</v>
      </c>
      <c r="K1373" s="196">
        <v>1420</v>
      </c>
      <c r="L1373" s="454" t="s">
        <v>1093</v>
      </c>
      <c r="M1373" s="4" t="s">
        <v>780</v>
      </c>
      <c r="N1373" s="133" t="s">
        <v>1407</v>
      </c>
      <c r="O1373" s="4" t="s">
        <v>2477</v>
      </c>
      <c r="P1373" s="4" t="s">
        <v>892</v>
      </c>
      <c r="Q1373" s="4" t="s">
        <v>2478</v>
      </c>
      <c r="R1373" s="4" t="s">
        <v>2482</v>
      </c>
      <c r="S1373" s="4" t="s">
        <v>2480</v>
      </c>
      <c r="T1373" s="4" t="s">
        <v>786</v>
      </c>
      <c r="U1373" s="4"/>
      <c r="V1373" s="4"/>
      <c r="W1373" s="4"/>
    </row>
    <row r="1374" spans="1:23" customFormat="1">
      <c r="A1374" s="10"/>
      <c r="B1374" s="4"/>
      <c r="C1374" s="4"/>
      <c r="D1374" s="4"/>
      <c r="E1374" s="4"/>
      <c r="F1374" s="152" t="s">
        <v>371</v>
      </c>
      <c r="G1374" s="4" t="s">
        <v>353</v>
      </c>
      <c r="H1374" s="4"/>
      <c r="I1374" s="196">
        <v>19482400</v>
      </c>
      <c r="J1374" s="196">
        <v>13720</v>
      </c>
      <c r="K1374" s="196">
        <v>1420</v>
      </c>
      <c r="L1374" s="454" t="s">
        <v>1093</v>
      </c>
      <c r="M1374" s="4" t="s">
        <v>780</v>
      </c>
      <c r="N1374" s="133" t="s">
        <v>1407</v>
      </c>
      <c r="O1374" s="4" t="s">
        <v>2477</v>
      </c>
      <c r="P1374" s="4" t="s">
        <v>892</v>
      </c>
      <c r="Q1374" s="4" t="s">
        <v>2478</v>
      </c>
      <c r="R1374" s="4" t="s">
        <v>2483</v>
      </c>
      <c r="S1374" s="4" t="s">
        <v>2480</v>
      </c>
      <c r="T1374" s="4" t="s">
        <v>786</v>
      </c>
      <c r="U1374" s="4"/>
      <c r="V1374" s="4"/>
      <c r="W1374" s="4"/>
    </row>
    <row r="1375" spans="1:23" customFormat="1">
      <c r="A1375" s="10"/>
      <c r="B1375" s="4"/>
      <c r="C1375" s="4"/>
      <c r="D1375" s="4"/>
      <c r="E1375" s="4"/>
      <c r="F1375" s="152" t="s">
        <v>371</v>
      </c>
      <c r="G1375" s="4" t="s">
        <v>353</v>
      </c>
      <c r="H1375" s="4"/>
      <c r="I1375" s="196">
        <v>4260000</v>
      </c>
      <c r="J1375" s="196">
        <v>3000</v>
      </c>
      <c r="K1375" s="196">
        <v>1420</v>
      </c>
      <c r="L1375" s="454" t="s">
        <v>1093</v>
      </c>
      <c r="M1375" s="4" t="s">
        <v>780</v>
      </c>
      <c r="N1375" s="133" t="s">
        <v>1407</v>
      </c>
      <c r="O1375" s="4" t="s">
        <v>2477</v>
      </c>
      <c r="P1375" s="4" t="s">
        <v>892</v>
      </c>
      <c r="Q1375" s="4" t="s">
        <v>2478</v>
      </c>
      <c r="R1375" s="4" t="s">
        <v>2481</v>
      </c>
      <c r="S1375" s="4" t="s">
        <v>2480</v>
      </c>
      <c r="T1375" s="4" t="s">
        <v>786</v>
      </c>
      <c r="U1375" s="4"/>
      <c r="V1375" s="4"/>
      <c r="W1375" s="4"/>
    </row>
    <row r="1376" spans="1:23" customFormat="1">
      <c r="A1376" s="10"/>
      <c r="B1376" s="4"/>
      <c r="C1376" s="4"/>
      <c r="D1376" s="4"/>
      <c r="E1376" s="4"/>
      <c r="F1376" s="152" t="s">
        <v>371</v>
      </c>
      <c r="G1376" s="4" t="s">
        <v>353</v>
      </c>
      <c r="H1376" s="4"/>
      <c r="I1376" s="196">
        <v>2197450</v>
      </c>
      <c r="J1376" s="196">
        <v>1547.5</v>
      </c>
      <c r="K1376" s="196">
        <v>1420</v>
      </c>
      <c r="L1376" s="454" t="s">
        <v>1093</v>
      </c>
      <c r="M1376" s="4" t="s">
        <v>780</v>
      </c>
      <c r="N1376" s="133" t="s">
        <v>1407</v>
      </c>
      <c r="O1376" s="4" t="s">
        <v>2477</v>
      </c>
      <c r="P1376" s="4" t="s">
        <v>892</v>
      </c>
      <c r="Q1376" s="4" t="s">
        <v>2478</v>
      </c>
      <c r="R1376" s="4" t="s">
        <v>2485</v>
      </c>
      <c r="S1376" s="4" t="s">
        <v>2480</v>
      </c>
      <c r="T1376" s="4" t="s">
        <v>786</v>
      </c>
      <c r="U1376" s="4"/>
      <c r="V1376" s="4"/>
      <c r="W1376" s="4"/>
    </row>
    <row r="1377" spans="1:23" customFormat="1">
      <c r="A1377" s="10"/>
      <c r="B1377" s="4"/>
      <c r="C1377" s="4"/>
      <c r="D1377" s="4"/>
      <c r="E1377" s="4"/>
      <c r="F1377" s="152" t="s">
        <v>371</v>
      </c>
      <c r="G1377" s="4" t="s">
        <v>353</v>
      </c>
      <c r="H1377" s="4"/>
      <c r="I1377" s="196">
        <v>8065600</v>
      </c>
      <c r="J1377" s="196">
        <v>5680</v>
      </c>
      <c r="K1377" s="196">
        <v>1420</v>
      </c>
      <c r="L1377" s="454" t="s">
        <v>1093</v>
      </c>
      <c r="M1377" s="4" t="s">
        <v>780</v>
      </c>
      <c r="N1377" s="133" t="s">
        <v>1407</v>
      </c>
      <c r="O1377" s="4" t="s">
        <v>2477</v>
      </c>
      <c r="P1377" s="4" t="s">
        <v>892</v>
      </c>
      <c r="Q1377" s="4" t="s">
        <v>2478</v>
      </c>
      <c r="R1377" s="4" t="s">
        <v>2484</v>
      </c>
      <c r="S1377" s="4" t="s">
        <v>2480</v>
      </c>
      <c r="T1377" s="4" t="s">
        <v>786</v>
      </c>
      <c r="U1377" s="4"/>
      <c r="V1377" s="4"/>
      <c r="W1377" s="4"/>
    </row>
    <row r="1378" spans="1:23" customFormat="1">
      <c r="A1378" s="10"/>
      <c r="B1378" s="4"/>
      <c r="C1378" s="4"/>
      <c r="D1378" s="4"/>
      <c r="E1378" s="4"/>
      <c r="F1378" s="152" t="s">
        <v>371</v>
      </c>
      <c r="G1378" s="4" t="s">
        <v>353</v>
      </c>
      <c r="H1378" s="4"/>
      <c r="I1378" s="196">
        <v>4828000</v>
      </c>
      <c r="J1378" s="196">
        <v>3400</v>
      </c>
      <c r="K1378" s="196">
        <v>1420</v>
      </c>
      <c r="L1378" s="454" t="s">
        <v>1135</v>
      </c>
      <c r="M1378" s="4" t="s">
        <v>780</v>
      </c>
      <c r="N1378" s="133" t="s">
        <v>1407</v>
      </c>
      <c r="O1378" s="4" t="s">
        <v>2486</v>
      </c>
      <c r="P1378" s="4" t="s">
        <v>892</v>
      </c>
      <c r="Q1378" s="4" t="s">
        <v>2487</v>
      </c>
      <c r="R1378" s="4" t="s">
        <v>2488</v>
      </c>
      <c r="S1378" s="4" t="s">
        <v>2489</v>
      </c>
      <c r="T1378" s="4" t="s">
        <v>786</v>
      </c>
      <c r="U1378" s="4"/>
      <c r="V1378" s="4"/>
      <c r="W1378" s="4"/>
    </row>
    <row r="1379" spans="1:23" customFormat="1">
      <c r="A1379" s="10"/>
      <c r="B1379" s="4"/>
      <c r="C1379" s="4"/>
      <c r="D1379" s="4"/>
      <c r="E1379" s="4"/>
      <c r="F1379" s="152" t="s">
        <v>371</v>
      </c>
      <c r="G1379" s="4" t="s">
        <v>353</v>
      </c>
      <c r="H1379" s="4"/>
      <c r="I1379" s="196">
        <v>553800</v>
      </c>
      <c r="J1379" s="196">
        <v>390</v>
      </c>
      <c r="K1379" s="196">
        <v>1420</v>
      </c>
      <c r="L1379" s="454" t="s">
        <v>1045</v>
      </c>
      <c r="M1379" s="4" t="s">
        <v>1540</v>
      </c>
      <c r="N1379" s="133" t="s">
        <v>1407</v>
      </c>
      <c r="O1379" s="4" t="s">
        <v>2490</v>
      </c>
      <c r="P1379" s="4" t="s">
        <v>2491</v>
      </c>
      <c r="Q1379" s="4" t="s">
        <v>2492</v>
      </c>
      <c r="R1379" s="4"/>
      <c r="S1379" s="4" t="s">
        <v>2493</v>
      </c>
      <c r="T1379" s="4" t="s">
        <v>786</v>
      </c>
      <c r="U1379" s="4"/>
      <c r="V1379" s="4"/>
      <c r="W1379" s="4"/>
    </row>
    <row r="1380" spans="1:23" customFormat="1">
      <c r="A1380" s="10"/>
      <c r="B1380" s="4"/>
      <c r="C1380" s="4"/>
      <c r="D1380" s="4"/>
      <c r="E1380" s="4"/>
      <c r="F1380" s="152" t="s">
        <v>371</v>
      </c>
      <c r="G1380" s="4" t="s">
        <v>353</v>
      </c>
      <c r="H1380" s="4"/>
      <c r="I1380" s="196">
        <v>553800</v>
      </c>
      <c r="J1380" s="196">
        <v>390</v>
      </c>
      <c r="K1380" s="196">
        <v>1420</v>
      </c>
      <c r="L1380" s="454" t="s">
        <v>1045</v>
      </c>
      <c r="M1380" s="4" t="s">
        <v>1540</v>
      </c>
      <c r="N1380" s="133" t="s">
        <v>1407</v>
      </c>
      <c r="O1380" s="4" t="s">
        <v>2494</v>
      </c>
      <c r="P1380" s="4" t="s">
        <v>2491</v>
      </c>
      <c r="Q1380" s="4" t="s">
        <v>2495</v>
      </c>
      <c r="R1380" s="4"/>
      <c r="S1380" s="4" t="s">
        <v>2496</v>
      </c>
      <c r="T1380" s="4" t="s">
        <v>786</v>
      </c>
      <c r="U1380" s="4"/>
      <c r="V1380" s="4"/>
      <c r="W1380" s="4"/>
    </row>
    <row r="1381" spans="1:23" customFormat="1">
      <c r="A1381" s="10"/>
      <c r="B1381" s="4"/>
      <c r="C1381" s="4"/>
      <c r="D1381" s="4"/>
      <c r="E1381" s="4"/>
      <c r="F1381" s="152" t="s">
        <v>371</v>
      </c>
      <c r="G1381" s="4" t="s">
        <v>353</v>
      </c>
      <c r="H1381" s="4"/>
      <c r="I1381" s="196">
        <v>553800</v>
      </c>
      <c r="J1381" s="196">
        <v>390</v>
      </c>
      <c r="K1381" s="196">
        <v>1420</v>
      </c>
      <c r="L1381" s="454" t="s">
        <v>1045</v>
      </c>
      <c r="M1381" s="4" t="s">
        <v>1540</v>
      </c>
      <c r="N1381" s="133" t="s">
        <v>1407</v>
      </c>
      <c r="O1381" s="4" t="s">
        <v>2497</v>
      </c>
      <c r="P1381" s="4" t="s">
        <v>2491</v>
      </c>
      <c r="Q1381" s="4" t="s">
        <v>2498</v>
      </c>
      <c r="R1381" s="4"/>
      <c r="S1381" s="4" t="s">
        <v>2499</v>
      </c>
      <c r="T1381" s="4" t="s">
        <v>786</v>
      </c>
      <c r="U1381" s="4"/>
      <c r="V1381" s="4"/>
      <c r="W1381" s="4"/>
    </row>
    <row r="1382" spans="1:23" customFormat="1">
      <c r="A1382" s="10"/>
      <c r="B1382" s="4"/>
      <c r="C1382" s="4"/>
      <c r="D1382" s="4"/>
      <c r="E1382" s="4"/>
      <c r="F1382" s="152" t="s">
        <v>371</v>
      </c>
      <c r="G1382" s="4" t="s">
        <v>353</v>
      </c>
      <c r="H1382" s="4"/>
      <c r="I1382" s="196">
        <v>553800</v>
      </c>
      <c r="J1382" s="196">
        <v>390</v>
      </c>
      <c r="K1382" s="196">
        <v>1420</v>
      </c>
      <c r="L1382" s="454" t="s">
        <v>1045</v>
      </c>
      <c r="M1382" s="4" t="s">
        <v>1540</v>
      </c>
      <c r="N1382" s="133" t="s">
        <v>1407</v>
      </c>
      <c r="O1382" s="4" t="s">
        <v>2500</v>
      </c>
      <c r="P1382" s="4" t="s">
        <v>2491</v>
      </c>
      <c r="Q1382" s="4" t="s">
        <v>2501</v>
      </c>
      <c r="R1382" s="4"/>
      <c r="S1382" s="4" t="s">
        <v>2502</v>
      </c>
      <c r="T1382" s="4" t="s">
        <v>786</v>
      </c>
      <c r="U1382" s="4"/>
      <c r="V1382" s="4"/>
      <c r="W1382" s="4"/>
    </row>
    <row r="1383" spans="1:23" customFormat="1">
      <c r="A1383" s="10"/>
      <c r="B1383" s="4"/>
      <c r="C1383" s="4"/>
      <c r="D1383" s="4"/>
      <c r="E1383" s="4"/>
      <c r="F1383" s="152" t="s">
        <v>371</v>
      </c>
      <c r="G1383" s="4" t="s">
        <v>353</v>
      </c>
      <c r="H1383" s="4"/>
      <c r="I1383" s="196">
        <v>549900</v>
      </c>
      <c r="J1383" s="196">
        <v>390</v>
      </c>
      <c r="K1383" s="196">
        <v>1410</v>
      </c>
      <c r="L1383" s="454" t="s">
        <v>1045</v>
      </c>
      <c r="M1383" s="4" t="s">
        <v>1540</v>
      </c>
      <c r="N1383" s="133" t="s">
        <v>1407</v>
      </c>
      <c r="O1383" s="4" t="s">
        <v>2503</v>
      </c>
      <c r="P1383" s="4" t="s">
        <v>2491</v>
      </c>
      <c r="Q1383" s="4" t="s">
        <v>2504</v>
      </c>
      <c r="R1383" s="4"/>
      <c r="S1383" s="4" t="s">
        <v>2505</v>
      </c>
      <c r="T1383" s="4" t="s">
        <v>786</v>
      </c>
      <c r="U1383" s="4"/>
      <c r="V1383" s="4"/>
      <c r="W1383" s="4"/>
    </row>
    <row r="1384" spans="1:23" customFormat="1">
      <c r="A1384" s="10"/>
      <c r="B1384" s="4"/>
      <c r="C1384" s="4"/>
      <c r="D1384" s="4"/>
      <c r="E1384" s="4"/>
      <c r="F1384" s="152" t="s">
        <v>371</v>
      </c>
      <c r="G1384" s="4" t="s">
        <v>353</v>
      </c>
      <c r="H1384" s="4"/>
      <c r="I1384" s="196">
        <v>549900</v>
      </c>
      <c r="J1384" s="196">
        <v>390</v>
      </c>
      <c r="K1384" s="196">
        <v>1410</v>
      </c>
      <c r="L1384" s="454" t="s">
        <v>1045</v>
      </c>
      <c r="M1384" s="4" t="s">
        <v>1540</v>
      </c>
      <c r="N1384" s="133" t="s">
        <v>1407</v>
      </c>
      <c r="O1384" s="4" t="s">
        <v>2506</v>
      </c>
      <c r="P1384" s="4" t="s">
        <v>2491</v>
      </c>
      <c r="Q1384" s="4" t="s">
        <v>2507</v>
      </c>
      <c r="R1384" s="4"/>
      <c r="S1384" s="4" t="s">
        <v>2508</v>
      </c>
      <c r="T1384" s="4" t="s">
        <v>786</v>
      </c>
      <c r="U1384" s="4"/>
      <c r="V1384" s="4"/>
      <c r="W1384" s="4"/>
    </row>
    <row r="1385" spans="1:23" customFormat="1">
      <c r="A1385" s="10"/>
      <c r="B1385" s="4"/>
      <c r="C1385" s="4"/>
      <c r="D1385" s="4"/>
      <c r="E1385" s="4"/>
      <c r="F1385" s="152" t="s">
        <v>371</v>
      </c>
      <c r="G1385" s="4" t="s">
        <v>353</v>
      </c>
      <c r="H1385" s="4"/>
      <c r="I1385" s="196">
        <v>553800</v>
      </c>
      <c r="J1385" s="196">
        <v>390</v>
      </c>
      <c r="K1385" s="196">
        <v>1420</v>
      </c>
      <c r="L1385" s="454" t="s">
        <v>1045</v>
      </c>
      <c r="M1385" s="4" t="s">
        <v>1540</v>
      </c>
      <c r="N1385" s="133" t="s">
        <v>1407</v>
      </c>
      <c r="O1385" s="4" t="s">
        <v>2509</v>
      </c>
      <c r="P1385" s="4" t="s">
        <v>2491</v>
      </c>
      <c r="Q1385" s="4" t="s">
        <v>2510</v>
      </c>
      <c r="R1385" s="4"/>
      <c r="S1385" s="4" t="s">
        <v>2511</v>
      </c>
      <c r="T1385" s="4" t="s">
        <v>786</v>
      </c>
      <c r="U1385" s="4"/>
      <c r="V1385" s="4"/>
      <c r="W1385" s="4"/>
    </row>
    <row r="1386" spans="1:23" customFormat="1">
      <c r="A1386" s="10"/>
      <c r="B1386" s="4"/>
      <c r="C1386" s="4"/>
      <c r="D1386" s="4"/>
      <c r="E1386" s="4"/>
      <c r="F1386" s="152" t="s">
        <v>371</v>
      </c>
      <c r="G1386" s="4" t="s">
        <v>353</v>
      </c>
      <c r="H1386" s="4"/>
      <c r="I1386" s="196">
        <v>553800</v>
      </c>
      <c r="J1386" s="196">
        <v>390</v>
      </c>
      <c r="K1386" s="196">
        <v>1420</v>
      </c>
      <c r="L1386" s="454" t="s">
        <v>1045</v>
      </c>
      <c r="M1386" s="4" t="s">
        <v>1540</v>
      </c>
      <c r="N1386" s="133" t="s">
        <v>1407</v>
      </c>
      <c r="O1386" s="4" t="s">
        <v>2512</v>
      </c>
      <c r="P1386" s="4" t="s">
        <v>2491</v>
      </c>
      <c r="Q1386" s="4" t="s">
        <v>2513</v>
      </c>
      <c r="R1386" s="4"/>
      <c r="S1386" s="4" t="s">
        <v>2514</v>
      </c>
      <c r="T1386" s="4" t="s">
        <v>786</v>
      </c>
      <c r="U1386" s="4"/>
      <c r="V1386" s="4"/>
      <c r="W1386" s="4"/>
    </row>
    <row r="1387" spans="1:23" customFormat="1">
      <c r="A1387" s="10"/>
      <c r="B1387" s="4"/>
      <c r="C1387" s="4"/>
      <c r="D1387" s="4"/>
      <c r="E1387" s="4"/>
      <c r="F1387" s="152" t="s">
        <v>371</v>
      </c>
      <c r="G1387" s="4" t="s">
        <v>353</v>
      </c>
      <c r="H1387" s="4"/>
      <c r="I1387" s="196">
        <v>553800</v>
      </c>
      <c r="J1387" s="196">
        <v>390</v>
      </c>
      <c r="K1387" s="196">
        <v>1420</v>
      </c>
      <c r="L1387" s="454" t="s">
        <v>1045</v>
      </c>
      <c r="M1387" s="4" t="s">
        <v>1540</v>
      </c>
      <c r="N1387" s="133" t="s">
        <v>1407</v>
      </c>
      <c r="O1387" s="4" t="s">
        <v>2515</v>
      </c>
      <c r="P1387" s="4" t="s">
        <v>2491</v>
      </c>
      <c r="Q1387" s="4" t="s">
        <v>2516</v>
      </c>
      <c r="R1387" s="4"/>
      <c r="S1387" s="4" t="s">
        <v>2517</v>
      </c>
      <c r="T1387" s="4" t="s">
        <v>786</v>
      </c>
      <c r="U1387" s="4"/>
      <c r="V1387" s="4"/>
      <c r="W1387" s="4"/>
    </row>
    <row r="1388" spans="1:23" customFormat="1">
      <c r="A1388" s="10"/>
      <c r="B1388" s="4"/>
      <c r="C1388" s="4"/>
      <c r="D1388" s="4"/>
      <c r="E1388" s="4"/>
      <c r="F1388" s="152" t="s">
        <v>371</v>
      </c>
      <c r="G1388" s="4" t="s">
        <v>353</v>
      </c>
      <c r="H1388" s="4"/>
      <c r="I1388" s="196">
        <v>553800</v>
      </c>
      <c r="J1388" s="196">
        <v>390</v>
      </c>
      <c r="K1388" s="196">
        <v>1420</v>
      </c>
      <c r="L1388" s="454" t="s">
        <v>1045</v>
      </c>
      <c r="M1388" s="4" t="s">
        <v>1540</v>
      </c>
      <c r="N1388" s="133" t="s">
        <v>1407</v>
      </c>
      <c r="O1388" s="4" t="s">
        <v>2518</v>
      </c>
      <c r="P1388" s="4" t="s">
        <v>2491</v>
      </c>
      <c r="Q1388" s="4" t="s">
        <v>2519</v>
      </c>
      <c r="R1388" s="4"/>
      <c r="S1388" s="4" t="s">
        <v>2520</v>
      </c>
      <c r="T1388" s="4" t="s">
        <v>786</v>
      </c>
      <c r="U1388" s="4"/>
      <c r="V1388" s="4"/>
      <c r="W1388" s="4"/>
    </row>
    <row r="1389" spans="1:23" customFormat="1">
      <c r="A1389" s="10"/>
      <c r="B1389" s="4"/>
      <c r="C1389" s="4"/>
      <c r="D1389" s="4"/>
      <c r="E1389" s="4"/>
      <c r="F1389" s="152" t="s">
        <v>371</v>
      </c>
      <c r="G1389" s="4" t="s">
        <v>353</v>
      </c>
      <c r="H1389" s="4"/>
      <c r="I1389" s="196">
        <v>553800</v>
      </c>
      <c r="J1389" s="196">
        <v>390</v>
      </c>
      <c r="K1389" s="196">
        <v>1420</v>
      </c>
      <c r="L1389" s="454" t="s">
        <v>1045</v>
      </c>
      <c r="M1389" s="4" t="s">
        <v>1540</v>
      </c>
      <c r="N1389" s="133" t="s">
        <v>1407</v>
      </c>
      <c r="O1389" s="4" t="s">
        <v>2521</v>
      </c>
      <c r="P1389" s="4" t="s">
        <v>2491</v>
      </c>
      <c r="Q1389" s="4" t="s">
        <v>2522</v>
      </c>
      <c r="R1389" s="4"/>
      <c r="S1389" s="4" t="s">
        <v>2523</v>
      </c>
      <c r="T1389" s="4" t="s">
        <v>786</v>
      </c>
      <c r="U1389" s="4"/>
      <c r="V1389" s="4"/>
      <c r="W1389" s="4"/>
    </row>
    <row r="1390" spans="1:23" customFormat="1">
      <c r="A1390" s="10"/>
      <c r="B1390" s="4"/>
      <c r="C1390" s="4"/>
      <c r="D1390" s="4"/>
      <c r="E1390" s="4"/>
      <c r="F1390" s="152" t="s">
        <v>371</v>
      </c>
      <c r="G1390" s="4" t="s">
        <v>353</v>
      </c>
      <c r="H1390" s="4"/>
      <c r="I1390" s="196">
        <v>553800</v>
      </c>
      <c r="J1390" s="196">
        <v>390</v>
      </c>
      <c r="K1390" s="196">
        <v>1420</v>
      </c>
      <c r="L1390" s="454" t="s">
        <v>1045</v>
      </c>
      <c r="M1390" s="4" t="s">
        <v>1540</v>
      </c>
      <c r="N1390" s="133" t="s">
        <v>1407</v>
      </c>
      <c r="O1390" s="4" t="s">
        <v>2524</v>
      </c>
      <c r="P1390" s="4" t="s">
        <v>2491</v>
      </c>
      <c r="Q1390" s="4" t="s">
        <v>2525</v>
      </c>
      <c r="R1390" s="4"/>
      <c r="S1390" s="4" t="s">
        <v>2526</v>
      </c>
      <c r="T1390" s="4" t="s">
        <v>786</v>
      </c>
      <c r="U1390" s="4"/>
      <c r="V1390" s="4"/>
      <c r="W1390" s="4"/>
    </row>
    <row r="1391" spans="1:23" customFormat="1">
      <c r="A1391" s="10"/>
      <c r="B1391" s="4"/>
      <c r="C1391" s="4"/>
      <c r="D1391" s="4"/>
      <c r="E1391" s="4"/>
      <c r="F1391" s="152" t="s">
        <v>371</v>
      </c>
      <c r="G1391" s="4" t="s">
        <v>353</v>
      </c>
      <c r="H1391" s="4"/>
      <c r="I1391" s="196">
        <v>553800</v>
      </c>
      <c r="J1391" s="196">
        <v>390</v>
      </c>
      <c r="K1391" s="196">
        <v>1420</v>
      </c>
      <c r="L1391" s="454" t="s">
        <v>1045</v>
      </c>
      <c r="M1391" s="4" t="s">
        <v>1540</v>
      </c>
      <c r="N1391" s="133" t="s">
        <v>1407</v>
      </c>
      <c r="O1391" s="4" t="s">
        <v>2527</v>
      </c>
      <c r="P1391" s="4" t="s">
        <v>2491</v>
      </c>
      <c r="Q1391" s="4" t="s">
        <v>2528</v>
      </c>
      <c r="R1391" s="4"/>
      <c r="S1391" s="4" t="s">
        <v>2529</v>
      </c>
      <c r="T1391" s="4" t="s">
        <v>786</v>
      </c>
      <c r="U1391" s="4"/>
      <c r="V1391" s="4"/>
      <c r="W1391" s="4"/>
    </row>
    <row r="1392" spans="1:23" customFormat="1">
      <c r="A1392" s="10"/>
      <c r="B1392" s="4"/>
      <c r="C1392" s="4"/>
      <c r="D1392" s="4"/>
      <c r="E1392" s="4"/>
      <c r="F1392" s="152" t="s">
        <v>371</v>
      </c>
      <c r="G1392" s="4" t="s">
        <v>353</v>
      </c>
      <c r="H1392" s="4"/>
      <c r="I1392" s="196">
        <v>419250</v>
      </c>
      <c r="J1392" s="196">
        <v>279.5</v>
      </c>
      <c r="K1392" s="196">
        <v>1500</v>
      </c>
      <c r="L1392" s="454" t="s">
        <v>1045</v>
      </c>
      <c r="M1392" s="4" t="s">
        <v>1540</v>
      </c>
      <c r="N1392" s="133" t="s">
        <v>1407</v>
      </c>
      <c r="O1392" s="4" t="s">
        <v>2530</v>
      </c>
      <c r="P1392" s="4" t="s">
        <v>2491</v>
      </c>
      <c r="Q1392" s="4" t="s">
        <v>2531</v>
      </c>
      <c r="R1392" s="4"/>
      <c r="S1392" s="4" t="s">
        <v>2532</v>
      </c>
      <c r="T1392" s="4" t="s">
        <v>786</v>
      </c>
      <c r="U1392" s="4"/>
      <c r="V1392" s="4"/>
      <c r="W1392" s="4"/>
    </row>
    <row r="1393" spans="1:23" customFormat="1">
      <c r="A1393" s="10"/>
      <c r="B1393" s="4"/>
      <c r="C1393" s="4"/>
      <c r="D1393" s="4"/>
      <c r="E1393" s="4"/>
      <c r="F1393" s="152" t="s">
        <v>371</v>
      </c>
      <c r="G1393" s="4" t="s">
        <v>353</v>
      </c>
      <c r="H1393" s="4"/>
      <c r="I1393" s="196">
        <v>549900</v>
      </c>
      <c r="J1393" s="196">
        <v>390</v>
      </c>
      <c r="K1393" s="196">
        <v>1410</v>
      </c>
      <c r="L1393" s="454" t="s">
        <v>1045</v>
      </c>
      <c r="M1393" s="4" t="s">
        <v>1540</v>
      </c>
      <c r="N1393" s="133" t="s">
        <v>1407</v>
      </c>
      <c r="O1393" s="4" t="s">
        <v>2533</v>
      </c>
      <c r="P1393" s="4" t="s">
        <v>2491</v>
      </c>
      <c r="Q1393" s="4" t="s">
        <v>2534</v>
      </c>
      <c r="R1393" s="4"/>
      <c r="S1393" s="4" t="s">
        <v>2535</v>
      </c>
      <c r="T1393" s="4" t="s">
        <v>786</v>
      </c>
      <c r="U1393" s="4"/>
      <c r="V1393" s="4"/>
      <c r="W1393" s="4"/>
    </row>
    <row r="1394" spans="1:23" customFormat="1">
      <c r="A1394" s="10"/>
      <c r="B1394" s="4"/>
      <c r="C1394" s="4"/>
      <c r="D1394" s="4"/>
      <c r="E1394" s="4"/>
      <c r="F1394" s="152" t="s">
        <v>371</v>
      </c>
      <c r="G1394" s="4" t="s">
        <v>353</v>
      </c>
      <c r="H1394" s="4"/>
      <c r="I1394" s="196">
        <v>553800</v>
      </c>
      <c r="J1394" s="196">
        <v>390</v>
      </c>
      <c r="K1394" s="196">
        <v>1420</v>
      </c>
      <c r="L1394" s="454" t="s">
        <v>1045</v>
      </c>
      <c r="M1394" s="4" t="s">
        <v>1540</v>
      </c>
      <c r="N1394" s="133" t="s">
        <v>1407</v>
      </c>
      <c r="O1394" s="4" t="s">
        <v>2536</v>
      </c>
      <c r="P1394" s="4" t="s">
        <v>2491</v>
      </c>
      <c r="Q1394" s="4" t="s">
        <v>2537</v>
      </c>
      <c r="R1394" s="4"/>
      <c r="S1394" s="4" t="s">
        <v>2538</v>
      </c>
      <c r="T1394" s="4" t="s">
        <v>786</v>
      </c>
      <c r="U1394" s="4"/>
      <c r="V1394" s="4"/>
      <c r="W1394" s="4"/>
    </row>
    <row r="1395" spans="1:23" customFormat="1">
      <c r="A1395" s="10"/>
      <c r="B1395" s="4"/>
      <c r="C1395" s="4"/>
      <c r="D1395" s="4"/>
      <c r="E1395" s="4"/>
      <c r="F1395" s="152" t="s">
        <v>371</v>
      </c>
      <c r="G1395" s="4" t="s">
        <v>353</v>
      </c>
      <c r="H1395" s="4"/>
      <c r="I1395" s="196">
        <v>-766800</v>
      </c>
      <c r="J1395" s="196">
        <v>-540</v>
      </c>
      <c r="K1395" s="196">
        <v>1420</v>
      </c>
      <c r="L1395" s="454" t="s">
        <v>1093</v>
      </c>
      <c r="M1395" s="4" t="s">
        <v>780</v>
      </c>
      <c r="N1395" s="133" t="s">
        <v>1407</v>
      </c>
      <c r="O1395" s="4" t="s">
        <v>2549</v>
      </c>
      <c r="P1395" s="4" t="s">
        <v>892</v>
      </c>
      <c r="Q1395" s="4" t="s">
        <v>2550</v>
      </c>
      <c r="R1395" s="4" t="s">
        <v>2551</v>
      </c>
      <c r="S1395" s="4" t="s">
        <v>2552</v>
      </c>
      <c r="T1395" s="4" t="s">
        <v>786</v>
      </c>
      <c r="U1395" s="4"/>
      <c r="V1395" s="4"/>
      <c r="W1395" s="4"/>
    </row>
    <row r="1396" spans="1:23" customFormat="1">
      <c r="A1396" s="10"/>
      <c r="B1396" s="4"/>
      <c r="C1396" s="4"/>
      <c r="D1396" s="4"/>
      <c r="E1396" s="4"/>
      <c r="F1396" s="152" t="s">
        <v>371</v>
      </c>
      <c r="G1396" s="4" t="s">
        <v>353</v>
      </c>
      <c r="H1396" s="4"/>
      <c r="I1396" s="196">
        <v>-1752000</v>
      </c>
      <c r="J1396" s="196">
        <v>-1200</v>
      </c>
      <c r="K1396" s="196">
        <v>1460</v>
      </c>
      <c r="L1396" s="454" t="s">
        <v>1093</v>
      </c>
      <c r="M1396" s="4" t="s">
        <v>780</v>
      </c>
      <c r="N1396" s="133" t="s">
        <v>1407</v>
      </c>
      <c r="O1396" s="4" t="s">
        <v>2549</v>
      </c>
      <c r="P1396" s="4" t="s">
        <v>892</v>
      </c>
      <c r="Q1396" s="4" t="s">
        <v>2550</v>
      </c>
      <c r="R1396" s="4" t="s">
        <v>2553</v>
      </c>
      <c r="S1396" s="4" t="s">
        <v>2552</v>
      </c>
      <c r="T1396" s="4" t="s">
        <v>786</v>
      </c>
      <c r="U1396" s="4"/>
      <c r="V1396" s="4"/>
      <c r="W1396" s="4"/>
    </row>
    <row r="1397" spans="1:23" customFormat="1">
      <c r="A1397" s="10"/>
      <c r="B1397" s="4"/>
      <c r="C1397" s="4"/>
      <c r="D1397" s="4"/>
      <c r="E1397" s="4"/>
      <c r="F1397" s="152" t="s">
        <v>371</v>
      </c>
      <c r="G1397" s="4" t="s">
        <v>353</v>
      </c>
      <c r="H1397" s="4"/>
      <c r="I1397" s="196">
        <v>-14200000</v>
      </c>
      <c r="J1397" s="196">
        <v>-10000</v>
      </c>
      <c r="K1397" s="196">
        <v>1420</v>
      </c>
      <c r="L1397" s="454" t="s">
        <v>1258</v>
      </c>
      <c r="M1397" s="4" t="s">
        <v>780</v>
      </c>
      <c r="N1397" s="133" t="s">
        <v>1407</v>
      </c>
      <c r="O1397" s="4" t="s">
        <v>2554</v>
      </c>
      <c r="P1397" s="4" t="s">
        <v>892</v>
      </c>
      <c r="Q1397" s="4" t="s">
        <v>2555</v>
      </c>
      <c r="R1397" s="4" t="s">
        <v>2556</v>
      </c>
      <c r="S1397" s="4" t="s">
        <v>2557</v>
      </c>
      <c r="T1397" s="4" t="s">
        <v>786</v>
      </c>
      <c r="U1397" s="4"/>
      <c r="V1397" s="4"/>
      <c r="W1397" s="4"/>
    </row>
    <row r="1398" spans="1:23" customFormat="1">
      <c r="A1398" s="10"/>
      <c r="B1398" s="4"/>
      <c r="C1398" s="4"/>
      <c r="D1398" s="4"/>
      <c r="E1398" s="4"/>
      <c r="F1398" s="152" t="s">
        <v>371</v>
      </c>
      <c r="G1398" s="4" t="s">
        <v>353</v>
      </c>
      <c r="H1398" s="4"/>
      <c r="I1398" s="196">
        <v>-85384.6</v>
      </c>
      <c r="J1398" s="196">
        <v>-60.13</v>
      </c>
      <c r="K1398" s="196">
        <v>1420</v>
      </c>
      <c r="L1398" s="454" t="s">
        <v>1093</v>
      </c>
      <c r="M1398" s="4" t="s">
        <v>780</v>
      </c>
      <c r="N1398" s="133" t="s">
        <v>1407</v>
      </c>
      <c r="O1398" s="4" t="s">
        <v>2568</v>
      </c>
      <c r="P1398" s="4" t="s">
        <v>892</v>
      </c>
      <c r="Q1398" s="4" t="s">
        <v>2569</v>
      </c>
      <c r="R1398" s="4" t="s">
        <v>2572</v>
      </c>
      <c r="S1398" s="4" t="s">
        <v>2571</v>
      </c>
      <c r="T1398" s="4" t="s">
        <v>786</v>
      </c>
      <c r="U1398" s="4"/>
      <c r="V1398" s="4"/>
      <c r="W1398" s="4"/>
    </row>
    <row r="1399" spans="1:23" customFormat="1">
      <c r="A1399" s="10"/>
      <c r="B1399" s="4"/>
      <c r="C1399" s="4"/>
      <c r="D1399" s="4"/>
      <c r="E1399" s="4"/>
      <c r="F1399" s="152" t="s">
        <v>371</v>
      </c>
      <c r="G1399" s="4" t="s">
        <v>353</v>
      </c>
      <c r="H1399" s="4"/>
      <c r="I1399" s="196">
        <v>-62991.199999999997</v>
      </c>
      <c r="J1399" s="196">
        <v>-44.36</v>
      </c>
      <c r="K1399" s="196">
        <v>1420</v>
      </c>
      <c r="L1399" s="454" t="s">
        <v>1093</v>
      </c>
      <c r="M1399" s="4" t="s">
        <v>780</v>
      </c>
      <c r="N1399" s="133" t="s">
        <v>1407</v>
      </c>
      <c r="O1399" s="4" t="s">
        <v>2568</v>
      </c>
      <c r="P1399" s="4" t="s">
        <v>892</v>
      </c>
      <c r="Q1399" s="4" t="s">
        <v>2569</v>
      </c>
      <c r="R1399" s="4" t="s">
        <v>2573</v>
      </c>
      <c r="S1399" s="4" t="s">
        <v>2571</v>
      </c>
      <c r="T1399" s="4" t="s">
        <v>786</v>
      </c>
      <c r="U1399" s="4"/>
      <c r="V1399" s="4"/>
      <c r="W1399" s="4"/>
    </row>
    <row r="1400" spans="1:23" customFormat="1">
      <c r="A1400" s="10"/>
      <c r="B1400" s="4"/>
      <c r="C1400" s="4"/>
      <c r="D1400" s="4"/>
      <c r="E1400" s="4"/>
      <c r="F1400" s="152" t="s">
        <v>371</v>
      </c>
      <c r="G1400" s="4" t="s">
        <v>353</v>
      </c>
      <c r="H1400" s="4"/>
      <c r="I1400" s="196">
        <v>-298200</v>
      </c>
      <c r="J1400" s="196">
        <v>-210</v>
      </c>
      <c r="K1400" s="196">
        <v>1420</v>
      </c>
      <c r="L1400" s="454" t="s">
        <v>1093</v>
      </c>
      <c r="M1400" s="4" t="s">
        <v>780</v>
      </c>
      <c r="N1400" s="133" t="s">
        <v>1407</v>
      </c>
      <c r="O1400" s="4" t="s">
        <v>2568</v>
      </c>
      <c r="P1400" s="4" t="s">
        <v>892</v>
      </c>
      <c r="Q1400" s="4" t="s">
        <v>2569</v>
      </c>
      <c r="R1400" s="4" t="s">
        <v>2574</v>
      </c>
      <c r="S1400" s="4" t="s">
        <v>2571</v>
      </c>
      <c r="T1400" s="4" t="s">
        <v>786</v>
      </c>
      <c r="U1400" s="4"/>
      <c r="V1400" s="4"/>
      <c r="W1400" s="4"/>
    </row>
    <row r="1401" spans="1:23" customFormat="1">
      <c r="A1401" s="10"/>
      <c r="B1401" s="4"/>
      <c r="C1401" s="4"/>
      <c r="D1401" s="4"/>
      <c r="E1401" s="4"/>
      <c r="F1401" s="152" t="s">
        <v>371</v>
      </c>
      <c r="G1401" s="4" t="s">
        <v>353</v>
      </c>
      <c r="H1401" s="4"/>
      <c r="I1401" s="196">
        <v>-9940</v>
      </c>
      <c r="J1401" s="196">
        <v>-7</v>
      </c>
      <c r="K1401" s="196">
        <v>1420</v>
      </c>
      <c r="L1401" s="454" t="s">
        <v>1093</v>
      </c>
      <c r="M1401" s="4" t="s">
        <v>780</v>
      </c>
      <c r="N1401" s="133" t="s">
        <v>1407</v>
      </c>
      <c r="O1401" s="4" t="s">
        <v>2568</v>
      </c>
      <c r="P1401" s="4" t="s">
        <v>892</v>
      </c>
      <c r="Q1401" s="4" t="s">
        <v>2569</v>
      </c>
      <c r="R1401" s="4" t="s">
        <v>2570</v>
      </c>
      <c r="S1401" s="4" t="s">
        <v>2571</v>
      </c>
      <c r="T1401" s="4" t="s">
        <v>786</v>
      </c>
      <c r="U1401" s="4"/>
      <c r="V1401" s="4"/>
      <c r="W1401" s="4"/>
    </row>
    <row r="1402" spans="1:23" customFormat="1">
      <c r="A1402" s="10"/>
      <c r="B1402" s="4"/>
      <c r="C1402" s="4"/>
      <c r="D1402" s="4"/>
      <c r="E1402" s="4"/>
      <c r="F1402" s="152" t="s">
        <v>371</v>
      </c>
      <c r="G1402" s="4" t="s">
        <v>353</v>
      </c>
      <c r="H1402" s="4"/>
      <c r="I1402" s="196">
        <v>-95040.6</v>
      </c>
      <c r="J1402" s="196">
        <v>-66.930000000000007</v>
      </c>
      <c r="K1402" s="196">
        <v>1420</v>
      </c>
      <c r="L1402" s="454" t="s">
        <v>1093</v>
      </c>
      <c r="M1402" s="4" t="s">
        <v>780</v>
      </c>
      <c r="N1402" s="133" t="s">
        <v>1407</v>
      </c>
      <c r="O1402" s="4" t="s">
        <v>2568</v>
      </c>
      <c r="P1402" s="4" t="s">
        <v>892</v>
      </c>
      <c r="Q1402" s="4" t="s">
        <v>2569</v>
      </c>
      <c r="R1402" s="4" t="s">
        <v>2575</v>
      </c>
      <c r="S1402" s="4" t="s">
        <v>2571</v>
      </c>
      <c r="T1402" s="4" t="s">
        <v>786</v>
      </c>
      <c r="U1402" s="4"/>
      <c r="V1402" s="4"/>
      <c r="W1402" s="4"/>
    </row>
    <row r="1403" spans="1:23" customFormat="1">
      <c r="A1403" s="10"/>
      <c r="B1403" s="4"/>
      <c r="C1403" s="4"/>
      <c r="D1403" s="4"/>
      <c r="E1403" s="4"/>
      <c r="F1403" s="152" t="s">
        <v>371</v>
      </c>
      <c r="G1403" s="4" t="s">
        <v>353</v>
      </c>
      <c r="H1403" s="4"/>
      <c r="I1403" s="196">
        <v>-1111164.2</v>
      </c>
      <c r="J1403" s="196">
        <v>-782.51</v>
      </c>
      <c r="K1403" s="196">
        <v>1420</v>
      </c>
      <c r="L1403" s="454" t="s">
        <v>1093</v>
      </c>
      <c r="M1403" s="4" t="s">
        <v>780</v>
      </c>
      <c r="N1403" s="133" t="s">
        <v>1407</v>
      </c>
      <c r="O1403" s="4" t="s">
        <v>2568</v>
      </c>
      <c r="P1403" s="4" t="s">
        <v>892</v>
      </c>
      <c r="Q1403" s="4" t="s">
        <v>2569</v>
      </c>
      <c r="R1403" s="4" t="s">
        <v>2576</v>
      </c>
      <c r="S1403" s="4" t="s">
        <v>2571</v>
      </c>
      <c r="T1403" s="4" t="s">
        <v>786</v>
      </c>
      <c r="U1403" s="4"/>
      <c r="V1403" s="4"/>
      <c r="W1403" s="4"/>
    </row>
    <row r="1404" spans="1:23" customFormat="1">
      <c r="A1404" s="10"/>
      <c r="B1404" s="4"/>
      <c r="C1404" s="4"/>
      <c r="D1404" s="4"/>
      <c r="E1404" s="4"/>
      <c r="F1404" s="152" t="s">
        <v>371</v>
      </c>
      <c r="G1404" s="4" t="s">
        <v>353</v>
      </c>
      <c r="H1404" s="4"/>
      <c r="I1404" s="196">
        <v>-52440.6</v>
      </c>
      <c r="J1404" s="196">
        <v>-36.93</v>
      </c>
      <c r="K1404" s="196">
        <v>1420</v>
      </c>
      <c r="L1404" s="454" t="s">
        <v>1093</v>
      </c>
      <c r="M1404" s="4" t="s">
        <v>780</v>
      </c>
      <c r="N1404" s="133" t="s">
        <v>1407</v>
      </c>
      <c r="O1404" s="4" t="s">
        <v>2568</v>
      </c>
      <c r="P1404" s="4" t="s">
        <v>892</v>
      </c>
      <c r="Q1404" s="4" t="s">
        <v>2569</v>
      </c>
      <c r="R1404" s="4" t="s">
        <v>2577</v>
      </c>
      <c r="S1404" s="4" t="s">
        <v>2571</v>
      </c>
      <c r="T1404" s="4" t="s">
        <v>786</v>
      </c>
      <c r="U1404" s="4"/>
      <c r="V1404" s="4"/>
      <c r="W1404" s="4"/>
    </row>
    <row r="1405" spans="1:23" customFormat="1">
      <c r="A1405" s="10"/>
      <c r="B1405" s="4"/>
      <c r="C1405" s="4"/>
      <c r="D1405" s="4"/>
      <c r="E1405" s="4"/>
      <c r="F1405" s="152" t="s">
        <v>371</v>
      </c>
      <c r="G1405" s="4" t="s">
        <v>353</v>
      </c>
      <c r="H1405" s="4"/>
      <c r="I1405" s="196">
        <v>-123454.8</v>
      </c>
      <c r="J1405" s="196">
        <v>-86.94</v>
      </c>
      <c r="K1405" s="196">
        <v>1420</v>
      </c>
      <c r="L1405" s="454" t="s">
        <v>1093</v>
      </c>
      <c r="M1405" s="4" t="s">
        <v>780</v>
      </c>
      <c r="N1405" s="133" t="s">
        <v>1407</v>
      </c>
      <c r="O1405" s="4" t="s">
        <v>2568</v>
      </c>
      <c r="P1405" s="4" t="s">
        <v>892</v>
      </c>
      <c r="Q1405" s="4" t="s">
        <v>2569</v>
      </c>
      <c r="R1405" s="4" t="s">
        <v>2578</v>
      </c>
      <c r="S1405" s="4" t="s">
        <v>2571</v>
      </c>
      <c r="T1405" s="4" t="s">
        <v>786</v>
      </c>
      <c r="U1405" s="4"/>
      <c r="V1405" s="4"/>
      <c r="W1405" s="4"/>
    </row>
    <row r="1406" spans="1:23" customFormat="1">
      <c r="A1406" s="10"/>
      <c r="B1406" s="4"/>
      <c r="C1406" s="4"/>
      <c r="D1406" s="4"/>
      <c r="E1406" s="4"/>
      <c r="F1406" s="152" t="s">
        <v>371</v>
      </c>
      <c r="G1406" s="4" t="s">
        <v>353</v>
      </c>
      <c r="H1406" s="4"/>
      <c r="I1406" s="196">
        <v>-123454.8</v>
      </c>
      <c r="J1406" s="196">
        <v>-86.94</v>
      </c>
      <c r="K1406" s="196">
        <v>1420</v>
      </c>
      <c r="L1406" s="454" t="s">
        <v>1093</v>
      </c>
      <c r="M1406" s="4" t="s">
        <v>780</v>
      </c>
      <c r="N1406" s="133" t="s">
        <v>1407</v>
      </c>
      <c r="O1406" s="4" t="s">
        <v>2568</v>
      </c>
      <c r="P1406" s="4" t="s">
        <v>892</v>
      </c>
      <c r="Q1406" s="4" t="s">
        <v>2569</v>
      </c>
      <c r="R1406" s="4" t="s">
        <v>2584</v>
      </c>
      <c r="S1406" s="4" t="s">
        <v>2571</v>
      </c>
      <c r="T1406" s="4" t="s">
        <v>786</v>
      </c>
      <c r="U1406" s="4"/>
      <c r="V1406" s="4"/>
      <c r="W1406" s="4"/>
    </row>
    <row r="1407" spans="1:23" customFormat="1">
      <c r="A1407" s="10"/>
      <c r="B1407" s="4"/>
      <c r="C1407" s="4"/>
      <c r="D1407" s="4"/>
      <c r="E1407" s="4"/>
      <c r="F1407" s="152" t="s">
        <v>371</v>
      </c>
      <c r="G1407" s="4" t="s">
        <v>353</v>
      </c>
      <c r="H1407" s="4"/>
      <c r="I1407" s="196">
        <v>-339507.8</v>
      </c>
      <c r="J1407" s="196">
        <v>-239.09</v>
      </c>
      <c r="K1407" s="196">
        <v>1420</v>
      </c>
      <c r="L1407" s="454" t="s">
        <v>1093</v>
      </c>
      <c r="M1407" s="4" t="s">
        <v>780</v>
      </c>
      <c r="N1407" s="133" t="s">
        <v>1407</v>
      </c>
      <c r="O1407" s="4" t="s">
        <v>2568</v>
      </c>
      <c r="P1407" s="4" t="s">
        <v>892</v>
      </c>
      <c r="Q1407" s="4" t="s">
        <v>2569</v>
      </c>
      <c r="R1407" s="4" t="s">
        <v>2579</v>
      </c>
      <c r="S1407" s="4" t="s">
        <v>2571</v>
      </c>
      <c r="T1407" s="4" t="s">
        <v>786</v>
      </c>
      <c r="U1407" s="4"/>
      <c r="V1407" s="4"/>
      <c r="W1407" s="4"/>
    </row>
    <row r="1408" spans="1:23" customFormat="1">
      <c r="A1408" s="10"/>
      <c r="B1408" s="4"/>
      <c r="C1408" s="4"/>
      <c r="D1408" s="4"/>
      <c r="E1408" s="4"/>
      <c r="F1408" s="152" t="s">
        <v>371</v>
      </c>
      <c r="G1408" s="4" t="s">
        <v>353</v>
      </c>
      <c r="H1408" s="4"/>
      <c r="I1408" s="196">
        <v>-629613.80000000005</v>
      </c>
      <c r="J1408" s="196">
        <v>-443.39</v>
      </c>
      <c r="K1408" s="196">
        <v>1420</v>
      </c>
      <c r="L1408" s="454" t="s">
        <v>1093</v>
      </c>
      <c r="M1408" s="4" t="s">
        <v>780</v>
      </c>
      <c r="N1408" s="133" t="s">
        <v>1407</v>
      </c>
      <c r="O1408" s="4" t="s">
        <v>2568</v>
      </c>
      <c r="P1408" s="4" t="s">
        <v>892</v>
      </c>
      <c r="Q1408" s="4" t="s">
        <v>2569</v>
      </c>
      <c r="R1408" s="4" t="s">
        <v>2580</v>
      </c>
      <c r="S1408" s="4" t="s">
        <v>2571</v>
      </c>
      <c r="T1408" s="4" t="s">
        <v>786</v>
      </c>
      <c r="U1408" s="4"/>
      <c r="V1408" s="4"/>
      <c r="W1408" s="4"/>
    </row>
    <row r="1409" spans="1:23" customFormat="1">
      <c r="A1409" s="10"/>
      <c r="B1409" s="4"/>
      <c r="C1409" s="4"/>
      <c r="D1409" s="4"/>
      <c r="E1409" s="4"/>
      <c r="F1409" s="152" t="s">
        <v>371</v>
      </c>
      <c r="G1409" s="4" t="s">
        <v>353</v>
      </c>
      <c r="H1409" s="4"/>
      <c r="I1409" s="196">
        <v>-82502</v>
      </c>
      <c r="J1409" s="196">
        <v>-58.1</v>
      </c>
      <c r="K1409" s="196">
        <v>1420</v>
      </c>
      <c r="L1409" s="454" t="s">
        <v>1093</v>
      </c>
      <c r="M1409" s="4" t="s">
        <v>780</v>
      </c>
      <c r="N1409" s="133" t="s">
        <v>1407</v>
      </c>
      <c r="O1409" s="4" t="s">
        <v>2568</v>
      </c>
      <c r="P1409" s="4" t="s">
        <v>892</v>
      </c>
      <c r="Q1409" s="4" t="s">
        <v>2569</v>
      </c>
      <c r="R1409" s="4" t="s">
        <v>2583</v>
      </c>
      <c r="S1409" s="4" t="s">
        <v>2571</v>
      </c>
      <c r="T1409" s="4" t="s">
        <v>786</v>
      </c>
      <c r="U1409" s="4"/>
      <c r="V1409" s="4"/>
      <c r="W1409" s="4"/>
    </row>
    <row r="1410" spans="1:23" customFormat="1">
      <c r="A1410" s="10"/>
      <c r="B1410" s="4"/>
      <c r="C1410" s="4"/>
      <c r="D1410" s="4"/>
      <c r="E1410" s="4"/>
      <c r="F1410" s="152" t="s">
        <v>371</v>
      </c>
      <c r="G1410" s="4" t="s">
        <v>353</v>
      </c>
      <c r="H1410" s="4"/>
      <c r="I1410" s="196">
        <v>-82502</v>
      </c>
      <c r="J1410" s="196">
        <v>-58.1</v>
      </c>
      <c r="K1410" s="196">
        <v>1420</v>
      </c>
      <c r="L1410" s="454" t="s">
        <v>1093</v>
      </c>
      <c r="M1410" s="4" t="s">
        <v>780</v>
      </c>
      <c r="N1410" s="133" t="s">
        <v>1407</v>
      </c>
      <c r="O1410" s="4" t="s">
        <v>2568</v>
      </c>
      <c r="P1410" s="4" t="s">
        <v>892</v>
      </c>
      <c r="Q1410" s="4" t="s">
        <v>2569</v>
      </c>
      <c r="R1410" s="4" t="s">
        <v>2582</v>
      </c>
      <c r="S1410" s="4" t="s">
        <v>2571</v>
      </c>
      <c r="T1410" s="4" t="s">
        <v>786</v>
      </c>
      <c r="U1410" s="4"/>
      <c r="V1410" s="4"/>
      <c r="W1410" s="4"/>
    </row>
    <row r="1411" spans="1:23" customFormat="1">
      <c r="A1411" s="10"/>
      <c r="B1411" s="4"/>
      <c r="C1411" s="4"/>
      <c r="D1411" s="4"/>
      <c r="E1411" s="4"/>
      <c r="F1411" s="152" t="s">
        <v>371</v>
      </c>
      <c r="G1411" s="4" t="s">
        <v>353</v>
      </c>
      <c r="H1411" s="4"/>
      <c r="I1411" s="196">
        <v>-82502</v>
      </c>
      <c r="J1411" s="196">
        <v>-58.1</v>
      </c>
      <c r="K1411" s="196">
        <v>1420</v>
      </c>
      <c r="L1411" s="454" t="s">
        <v>1093</v>
      </c>
      <c r="M1411" s="4" t="s">
        <v>780</v>
      </c>
      <c r="N1411" s="133" t="s">
        <v>1407</v>
      </c>
      <c r="O1411" s="4" t="s">
        <v>2568</v>
      </c>
      <c r="P1411" s="4" t="s">
        <v>892</v>
      </c>
      <c r="Q1411" s="4" t="s">
        <v>2569</v>
      </c>
      <c r="R1411" s="4" t="s">
        <v>2581</v>
      </c>
      <c r="S1411" s="4" t="s">
        <v>2571</v>
      </c>
      <c r="T1411" s="4" t="s">
        <v>786</v>
      </c>
      <c r="U1411" s="4"/>
      <c r="V1411" s="4"/>
      <c r="W1411" s="4"/>
    </row>
    <row r="1412" spans="1:23" customFormat="1">
      <c r="A1412" s="10"/>
      <c r="B1412" s="4"/>
      <c r="C1412" s="4"/>
      <c r="D1412" s="4"/>
      <c r="E1412" s="4"/>
      <c r="F1412" s="152" t="s">
        <v>371</v>
      </c>
      <c r="G1412" s="4" t="s">
        <v>353</v>
      </c>
      <c r="H1412" s="4"/>
      <c r="I1412" s="196">
        <v>-1863750</v>
      </c>
      <c r="J1412" s="196">
        <v>-1312.5</v>
      </c>
      <c r="K1412" s="196">
        <v>1420</v>
      </c>
      <c r="L1412" s="454" t="s">
        <v>1210</v>
      </c>
      <c r="M1412" s="4" t="s">
        <v>780</v>
      </c>
      <c r="N1412" s="133" t="s">
        <v>1407</v>
      </c>
      <c r="O1412" s="4" t="s">
        <v>1221</v>
      </c>
      <c r="P1412" s="4" t="s">
        <v>892</v>
      </c>
      <c r="Q1412" s="4" t="s">
        <v>1222</v>
      </c>
      <c r="R1412" s="4" t="s">
        <v>2586</v>
      </c>
      <c r="S1412" s="4" t="s">
        <v>1224</v>
      </c>
      <c r="T1412" s="4" t="s">
        <v>786</v>
      </c>
      <c r="U1412" s="4"/>
      <c r="V1412" s="4"/>
      <c r="W1412" s="4"/>
    </row>
    <row r="1413" spans="1:23" customFormat="1">
      <c r="A1413" s="10"/>
      <c r="B1413" s="4"/>
      <c r="C1413" s="4"/>
      <c r="D1413" s="4"/>
      <c r="E1413" s="4"/>
      <c r="F1413" s="152" t="s">
        <v>371</v>
      </c>
      <c r="G1413" s="4" t="s">
        <v>353</v>
      </c>
      <c r="H1413" s="4"/>
      <c r="I1413" s="196">
        <v>-510135</v>
      </c>
      <c r="J1413" s="196">
        <v>-359.25</v>
      </c>
      <c r="K1413" s="196">
        <v>1420</v>
      </c>
      <c r="L1413" s="454" t="s">
        <v>1210</v>
      </c>
      <c r="M1413" s="4" t="s">
        <v>780</v>
      </c>
      <c r="N1413" s="133" t="s">
        <v>1407</v>
      </c>
      <c r="O1413" s="4" t="s">
        <v>1221</v>
      </c>
      <c r="P1413" s="4" t="s">
        <v>892</v>
      </c>
      <c r="Q1413" s="4" t="s">
        <v>1222</v>
      </c>
      <c r="R1413" s="4" t="s">
        <v>2587</v>
      </c>
      <c r="S1413" s="4" t="s">
        <v>1224</v>
      </c>
      <c r="T1413" s="4" t="s">
        <v>786</v>
      </c>
      <c r="U1413" s="4"/>
      <c r="V1413" s="4"/>
      <c r="W1413" s="4"/>
    </row>
    <row r="1414" spans="1:23" customFormat="1">
      <c r="A1414" s="10"/>
      <c r="B1414" s="4"/>
      <c r="C1414" s="4"/>
      <c r="D1414" s="4"/>
      <c r="E1414" s="4"/>
      <c r="F1414" s="152" t="s">
        <v>371</v>
      </c>
      <c r="G1414" s="4" t="s">
        <v>353</v>
      </c>
      <c r="H1414" s="4"/>
      <c r="I1414" s="196">
        <v>-12070000</v>
      </c>
      <c r="J1414" s="196">
        <v>-8500</v>
      </c>
      <c r="K1414" s="196">
        <v>1420</v>
      </c>
      <c r="L1414" s="454" t="s">
        <v>1210</v>
      </c>
      <c r="M1414" s="4" t="s">
        <v>780</v>
      </c>
      <c r="N1414" s="133" t="s">
        <v>1407</v>
      </c>
      <c r="O1414" s="4" t="s">
        <v>1221</v>
      </c>
      <c r="P1414" s="4" t="s">
        <v>892</v>
      </c>
      <c r="Q1414" s="4" t="s">
        <v>1222</v>
      </c>
      <c r="R1414" s="4" t="s">
        <v>2588</v>
      </c>
      <c r="S1414" s="4" t="s">
        <v>1224</v>
      </c>
      <c r="T1414" s="4" t="s">
        <v>786</v>
      </c>
      <c r="U1414" s="4"/>
      <c r="V1414" s="4"/>
      <c r="W1414" s="4"/>
    </row>
    <row r="1415" spans="1:23" customFormat="1">
      <c r="A1415" s="10"/>
      <c r="B1415" s="4"/>
      <c r="C1415" s="4"/>
      <c r="D1415" s="4"/>
      <c r="E1415" s="4"/>
      <c r="F1415" s="152" t="s">
        <v>371</v>
      </c>
      <c r="G1415" s="4" t="s">
        <v>353</v>
      </c>
      <c r="H1415" s="4"/>
      <c r="I1415" s="196">
        <v>-65320</v>
      </c>
      <c r="J1415" s="196">
        <v>-46</v>
      </c>
      <c r="K1415" s="196">
        <v>1420</v>
      </c>
      <c r="L1415" s="454" t="s">
        <v>1210</v>
      </c>
      <c r="M1415" s="4" t="s">
        <v>780</v>
      </c>
      <c r="N1415" s="133" t="s">
        <v>1407</v>
      </c>
      <c r="O1415" s="4" t="s">
        <v>1221</v>
      </c>
      <c r="P1415" s="4" t="s">
        <v>892</v>
      </c>
      <c r="Q1415" s="4" t="s">
        <v>1222</v>
      </c>
      <c r="R1415" s="4" t="s">
        <v>2590</v>
      </c>
      <c r="S1415" s="4" t="s">
        <v>1224</v>
      </c>
      <c r="T1415" s="4" t="s">
        <v>786</v>
      </c>
      <c r="U1415" s="4"/>
      <c r="V1415" s="4"/>
      <c r="W1415" s="4"/>
    </row>
    <row r="1416" spans="1:23" customFormat="1">
      <c r="A1416" s="10"/>
      <c r="B1416" s="4"/>
      <c r="C1416" s="4"/>
      <c r="D1416" s="4"/>
      <c r="E1416" s="4"/>
      <c r="F1416" s="152" t="s">
        <v>371</v>
      </c>
      <c r="G1416" s="4" t="s">
        <v>353</v>
      </c>
      <c r="H1416" s="4"/>
      <c r="I1416" s="196">
        <v>-65320</v>
      </c>
      <c r="J1416" s="196">
        <v>-46</v>
      </c>
      <c r="K1416" s="196">
        <v>1420</v>
      </c>
      <c r="L1416" s="454" t="s">
        <v>1210</v>
      </c>
      <c r="M1416" s="4" t="s">
        <v>780</v>
      </c>
      <c r="N1416" s="133" t="s">
        <v>1407</v>
      </c>
      <c r="O1416" s="4" t="s">
        <v>1221</v>
      </c>
      <c r="P1416" s="4" t="s">
        <v>892</v>
      </c>
      <c r="Q1416" s="4" t="s">
        <v>1222</v>
      </c>
      <c r="R1416" s="4" t="s">
        <v>2589</v>
      </c>
      <c r="S1416" s="4" t="s">
        <v>1224</v>
      </c>
      <c r="T1416" s="4" t="s">
        <v>786</v>
      </c>
      <c r="U1416" s="4"/>
      <c r="V1416" s="4"/>
      <c r="W1416" s="4"/>
    </row>
    <row r="1417" spans="1:23" customFormat="1">
      <c r="A1417" s="10"/>
      <c r="B1417" s="4"/>
      <c r="C1417" s="4"/>
      <c r="D1417" s="4"/>
      <c r="E1417" s="4"/>
      <c r="F1417" s="152" t="s">
        <v>371</v>
      </c>
      <c r="G1417" s="4" t="s">
        <v>353</v>
      </c>
      <c r="H1417" s="4"/>
      <c r="I1417" s="196">
        <v>-176080</v>
      </c>
      <c r="J1417" s="196">
        <v>-124</v>
      </c>
      <c r="K1417" s="196">
        <v>1420</v>
      </c>
      <c r="L1417" s="454" t="s">
        <v>1210</v>
      </c>
      <c r="M1417" s="4" t="s">
        <v>780</v>
      </c>
      <c r="N1417" s="133" t="s">
        <v>1407</v>
      </c>
      <c r="O1417" s="4" t="s">
        <v>1221</v>
      </c>
      <c r="P1417" s="4" t="s">
        <v>892</v>
      </c>
      <c r="Q1417" s="4" t="s">
        <v>1222</v>
      </c>
      <c r="R1417" s="4" t="s">
        <v>2591</v>
      </c>
      <c r="S1417" s="4" t="s">
        <v>1224</v>
      </c>
      <c r="T1417" s="4" t="s">
        <v>786</v>
      </c>
      <c r="U1417" s="4"/>
      <c r="V1417" s="4"/>
      <c r="W1417" s="4"/>
    </row>
    <row r="1418" spans="1:23" customFormat="1">
      <c r="A1418" s="10"/>
      <c r="B1418" s="4"/>
      <c r="C1418" s="4"/>
      <c r="D1418" s="4"/>
      <c r="E1418" s="4"/>
      <c r="F1418" s="152" t="s">
        <v>371</v>
      </c>
      <c r="G1418" s="4" t="s">
        <v>353</v>
      </c>
      <c r="H1418" s="4"/>
      <c r="I1418" s="196">
        <v>-337960</v>
      </c>
      <c r="J1418" s="196">
        <v>-238</v>
      </c>
      <c r="K1418" s="196">
        <v>1420</v>
      </c>
      <c r="L1418" s="454" t="s">
        <v>1210</v>
      </c>
      <c r="M1418" s="4" t="s">
        <v>780</v>
      </c>
      <c r="N1418" s="133" t="s">
        <v>1407</v>
      </c>
      <c r="O1418" s="4" t="s">
        <v>1221</v>
      </c>
      <c r="P1418" s="4" t="s">
        <v>892</v>
      </c>
      <c r="Q1418" s="4" t="s">
        <v>1222</v>
      </c>
      <c r="R1418" s="4" t="s">
        <v>2585</v>
      </c>
      <c r="S1418" s="4" t="s">
        <v>1224</v>
      </c>
      <c r="T1418" s="4" t="s">
        <v>786</v>
      </c>
      <c r="U1418" s="4"/>
      <c r="V1418" s="4"/>
      <c r="W1418" s="4"/>
    </row>
    <row r="1419" spans="1:23" customFormat="1">
      <c r="A1419" s="10"/>
      <c r="B1419" s="4"/>
      <c r="C1419" s="4"/>
      <c r="D1419" s="4"/>
      <c r="E1419" s="4"/>
      <c r="F1419" s="152" t="s">
        <v>371</v>
      </c>
      <c r="G1419" s="4" t="s">
        <v>353</v>
      </c>
      <c r="H1419" s="4"/>
      <c r="I1419" s="196">
        <v>-3985230</v>
      </c>
      <c r="J1419" s="196">
        <v>-2806.5</v>
      </c>
      <c r="K1419" s="196">
        <v>1420</v>
      </c>
      <c r="L1419" s="454" t="s">
        <v>1210</v>
      </c>
      <c r="M1419" s="4" t="s">
        <v>780</v>
      </c>
      <c r="N1419" s="133" t="s">
        <v>1407</v>
      </c>
      <c r="O1419" s="4" t="s">
        <v>1221</v>
      </c>
      <c r="P1419" s="4" t="s">
        <v>892</v>
      </c>
      <c r="Q1419" s="4" t="s">
        <v>1222</v>
      </c>
      <c r="R1419" s="4" t="s">
        <v>2585</v>
      </c>
      <c r="S1419" s="4" t="s">
        <v>1224</v>
      </c>
      <c r="T1419" s="4" t="s">
        <v>786</v>
      </c>
      <c r="U1419" s="4"/>
      <c r="V1419" s="4"/>
      <c r="W1419" s="4"/>
    </row>
    <row r="1420" spans="1:23" customFormat="1">
      <c r="A1420" s="10"/>
      <c r="B1420" s="4"/>
      <c r="C1420" s="4"/>
      <c r="D1420" s="4"/>
      <c r="E1420" s="4"/>
      <c r="F1420" s="152" t="s">
        <v>371</v>
      </c>
      <c r="G1420" s="4" t="s">
        <v>353</v>
      </c>
      <c r="H1420" s="4"/>
      <c r="I1420" s="196">
        <v>-2027760</v>
      </c>
      <c r="J1420" s="196">
        <v>-1428</v>
      </c>
      <c r="K1420" s="196">
        <v>1420</v>
      </c>
      <c r="L1420" s="454" t="s">
        <v>1210</v>
      </c>
      <c r="M1420" s="4" t="s">
        <v>780</v>
      </c>
      <c r="N1420" s="133" t="s">
        <v>1407</v>
      </c>
      <c r="O1420" s="4" t="s">
        <v>1221</v>
      </c>
      <c r="P1420" s="4" t="s">
        <v>892</v>
      </c>
      <c r="Q1420" s="4" t="s">
        <v>1222</v>
      </c>
      <c r="R1420" s="4" t="s">
        <v>2592</v>
      </c>
      <c r="S1420" s="4" t="s">
        <v>1224</v>
      </c>
      <c r="T1420" s="4" t="s">
        <v>786</v>
      </c>
      <c r="U1420" s="4"/>
      <c r="V1420" s="4"/>
      <c r="W1420" s="4"/>
    </row>
    <row r="1421" spans="1:23" customFormat="1">
      <c r="A1421" s="10"/>
      <c r="B1421" s="4"/>
      <c r="C1421" s="4"/>
      <c r="D1421" s="4"/>
      <c r="E1421" s="4"/>
      <c r="F1421" s="152" t="s">
        <v>371</v>
      </c>
      <c r="G1421" s="4" t="s">
        <v>353</v>
      </c>
      <c r="H1421" s="4"/>
      <c r="I1421" s="196">
        <v>-157437</v>
      </c>
      <c r="J1421" s="196">
        <v>-107.1</v>
      </c>
      <c r="K1421" s="196">
        <v>1470</v>
      </c>
      <c r="L1421" s="454" t="s">
        <v>1239</v>
      </c>
      <c r="M1421" s="4" t="s">
        <v>780</v>
      </c>
      <c r="N1421" s="133" t="s">
        <v>1407</v>
      </c>
      <c r="O1421" s="4" t="s">
        <v>2611</v>
      </c>
      <c r="P1421" s="4" t="s">
        <v>892</v>
      </c>
      <c r="Q1421" s="4" t="s">
        <v>2612</v>
      </c>
      <c r="R1421" s="4" t="s">
        <v>2615</v>
      </c>
      <c r="S1421" s="4" t="s">
        <v>2614</v>
      </c>
      <c r="T1421" s="4" t="s">
        <v>786</v>
      </c>
      <c r="U1421" s="4"/>
      <c r="V1421" s="4"/>
      <c r="W1421" s="4"/>
    </row>
    <row r="1422" spans="1:23" customFormat="1">
      <c r="A1422" s="10"/>
      <c r="B1422" s="4"/>
      <c r="C1422" s="4"/>
      <c r="D1422" s="4"/>
      <c r="E1422" s="4"/>
      <c r="F1422" s="152" t="s">
        <v>371</v>
      </c>
      <c r="G1422" s="4" t="s">
        <v>353</v>
      </c>
      <c r="H1422" s="4"/>
      <c r="I1422" s="196">
        <v>-492391.2</v>
      </c>
      <c r="J1422" s="196">
        <v>-334.96</v>
      </c>
      <c r="K1422" s="196">
        <v>1470</v>
      </c>
      <c r="L1422" s="454" t="s">
        <v>1239</v>
      </c>
      <c r="M1422" s="4" t="s">
        <v>780</v>
      </c>
      <c r="N1422" s="133" t="s">
        <v>1407</v>
      </c>
      <c r="O1422" s="4" t="s">
        <v>2611</v>
      </c>
      <c r="P1422" s="4" t="s">
        <v>892</v>
      </c>
      <c r="Q1422" s="4" t="s">
        <v>2612</v>
      </c>
      <c r="R1422" s="4" t="s">
        <v>2616</v>
      </c>
      <c r="S1422" s="4" t="s">
        <v>2614</v>
      </c>
      <c r="T1422" s="4" t="s">
        <v>786</v>
      </c>
      <c r="U1422" s="4"/>
      <c r="V1422" s="4"/>
      <c r="W1422" s="4"/>
    </row>
    <row r="1423" spans="1:23" customFormat="1">
      <c r="A1423" s="10"/>
      <c r="B1423" s="4"/>
      <c r="C1423" s="4"/>
      <c r="D1423" s="4"/>
      <c r="E1423" s="4"/>
      <c r="F1423" s="152" t="s">
        <v>371</v>
      </c>
      <c r="G1423" s="4" t="s">
        <v>353</v>
      </c>
      <c r="H1423" s="4"/>
      <c r="I1423" s="196">
        <v>-65238.6</v>
      </c>
      <c r="J1423" s="196">
        <v>-44.38</v>
      </c>
      <c r="K1423" s="196">
        <v>1470</v>
      </c>
      <c r="L1423" s="454" t="s">
        <v>1239</v>
      </c>
      <c r="M1423" s="4" t="s">
        <v>780</v>
      </c>
      <c r="N1423" s="133" t="s">
        <v>1407</v>
      </c>
      <c r="O1423" s="4" t="s">
        <v>2611</v>
      </c>
      <c r="P1423" s="4" t="s">
        <v>892</v>
      </c>
      <c r="Q1423" s="4" t="s">
        <v>2612</v>
      </c>
      <c r="R1423" s="4" t="s">
        <v>2620</v>
      </c>
      <c r="S1423" s="4" t="s">
        <v>2614</v>
      </c>
      <c r="T1423" s="4" t="s">
        <v>786</v>
      </c>
      <c r="U1423" s="4"/>
      <c r="V1423" s="4"/>
      <c r="W1423" s="4"/>
    </row>
    <row r="1424" spans="1:23" customFormat="1">
      <c r="A1424" s="10"/>
      <c r="B1424" s="4"/>
      <c r="C1424" s="4"/>
      <c r="D1424" s="4"/>
      <c r="E1424" s="4"/>
      <c r="F1424" s="152" t="s">
        <v>371</v>
      </c>
      <c r="G1424" s="4" t="s">
        <v>353</v>
      </c>
      <c r="H1424" s="4"/>
      <c r="I1424" s="196">
        <v>-175959</v>
      </c>
      <c r="J1424" s="196">
        <v>-119.7</v>
      </c>
      <c r="K1424" s="196">
        <v>1470</v>
      </c>
      <c r="L1424" s="454" t="s">
        <v>1239</v>
      </c>
      <c r="M1424" s="4" t="s">
        <v>780</v>
      </c>
      <c r="N1424" s="133" t="s">
        <v>1407</v>
      </c>
      <c r="O1424" s="4" t="s">
        <v>2611</v>
      </c>
      <c r="P1424" s="4" t="s">
        <v>892</v>
      </c>
      <c r="Q1424" s="4" t="s">
        <v>2612</v>
      </c>
      <c r="R1424" s="4" t="s">
        <v>2621</v>
      </c>
      <c r="S1424" s="4" t="s">
        <v>2614</v>
      </c>
      <c r="T1424" s="4" t="s">
        <v>786</v>
      </c>
      <c r="U1424" s="4"/>
      <c r="V1424" s="4"/>
      <c r="W1424" s="4"/>
    </row>
    <row r="1425" spans="1:23" customFormat="1">
      <c r="A1425" s="10"/>
      <c r="B1425" s="4"/>
      <c r="C1425" s="4"/>
      <c r="D1425" s="4"/>
      <c r="E1425" s="4"/>
      <c r="F1425" s="152" t="s">
        <v>371</v>
      </c>
      <c r="G1425" s="4" t="s">
        <v>353</v>
      </c>
      <c r="H1425" s="4"/>
      <c r="I1425" s="196">
        <v>-168506.1</v>
      </c>
      <c r="J1425" s="196">
        <v>-114.63</v>
      </c>
      <c r="K1425" s="196">
        <v>1470</v>
      </c>
      <c r="L1425" s="454" t="s">
        <v>1239</v>
      </c>
      <c r="M1425" s="4" t="s">
        <v>780</v>
      </c>
      <c r="N1425" s="133" t="s">
        <v>1407</v>
      </c>
      <c r="O1425" s="4" t="s">
        <v>2611</v>
      </c>
      <c r="P1425" s="4" t="s">
        <v>892</v>
      </c>
      <c r="Q1425" s="4" t="s">
        <v>2612</v>
      </c>
      <c r="R1425" s="4" t="s">
        <v>2622</v>
      </c>
      <c r="S1425" s="4" t="s">
        <v>2614</v>
      </c>
      <c r="T1425" s="4" t="s">
        <v>786</v>
      </c>
      <c r="U1425" s="4"/>
      <c r="V1425" s="4"/>
      <c r="W1425" s="4"/>
    </row>
    <row r="1426" spans="1:23" customFormat="1">
      <c r="A1426" s="10"/>
      <c r="B1426" s="4"/>
      <c r="C1426" s="4"/>
      <c r="D1426" s="4"/>
      <c r="E1426" s="4"/>
      <c r="F1426" s="152" t="s">
        <v>371</v>
      </c>
      <c r="G1426" s="4" t="s">
        <v>353</v>
      </c>
      <c r="H1426" s="4"/>
      <c r="I1426" s="196">
        <v>-103164.6</v>
      </c>
      <c r="J1426" s="196">
        <v>-70.180000000000007</v>
      </c>
      <c r="K1426" s="196">
        <v>1470</v>
      </c>
      <c r="L1426" s="454" t="s">
        <v>1239</v>
      </c>
      <c r="M1426" s="4" t="s">
        <v>780</v>
      </c>
      <c r="N1426" s="133" t="s">
        <v>1407</v>
      </c>
      <c r="O1426" s="4" t="s">
        <v>2611</v>
      </c>
      <c r="P1426" s="4" t="s">
        <v>892</v>
      </c>
      <c r="Q1426" s="4" t="s">
        <v>2612</v>
      </c>
      <c r="R1426" s="4" t="s">
        <v>2623</v>
      </c>
      <c r="S1426" s="4" t="s">
        <v>2614</v>
      </c>
      <c r="T1426" s="4" t="s">
        <v>786</v>
      </c>
      <c r="U1426" s="4"/>
      <c r="V1426" s="4"/>
      <c r="W1426" s="4"/>
    </row>
    <row r="1427" spans="1:23" customFormat="1">
      <c r="A1427" s="10"/>
      <c r="B1427" s="4"/>
      <c r="C1427" s="4"/>
      <c r="D1427" s="4"/>
      <c r="E1427" s="4"/>
      <c r="F1427" s="152" t="s">
        <v>371</v>
      </c>
      <c r="G1427" s="4" t="s">
        <v>353</v>
      </c>
      <c r="H1427" s="4"/>
      <c r="I1427" s="196">
        <v>-210210</v>
      </c>
      <c r="J1427" s="196">
        <v>-143</v>
      </c>
      <c r="K1427" s="196">
        <v>1470</v>
      </c>
      <c r="L1427" s="454" t="s">
        <v>1239</v>
      </c>
      <c r="M1427" s="4" t="s">
        <v>780</v>
      </c>
      <c r="N1427" s="133" t="s">
        <v>1407</v>
      </c>
      <c r="O1427" s="4" t="s">
        <v>2611</v>
      </c>
      <c r="P1427" s="4" t="s">
        <v>892</v>
      </c>
      <c r="Q1427" s="4" t="s">
        <v>2612</v>
      </c>
      <c r="R1427" s="4" t="s">
        <v>2624</v>
      </c>
      <c r="S1427" s="4" t="s">
        <v>2614</v>
      </c>
      <c r="T1427" s="4" t="s">
        <v>786</v>
      </c>
      <c r="U1427" s="4"/>
      <c r="V1427" s="4"/>
      <c r="W1427" s="4"/>
    </row>
    <row r="1428" spans="1:23" customFormat="1">
      <c r="A1428" s="10"/>
      <c r="B1428" s="4"/>
      <c r="C1428" s="4"/>
      <c r="D1428" s="4"/>
      <c r="E1428" s="4"/>
      <c r="F1428" s="152" t="s">
        <v>371</v>
      </c>
      <c r="G1428" s="4" t="s">
        <v>353</v>
      </c>
      <c r="H1428" s="4"/>
      <c r="I1428" s="196">
        <v>-311037.3</v>
      </c>
      <c r="J1428" s="196">
        <v>-211.59</v>
      </c>
      <c r="K1428" s="196">
        <v>1470</v>
      </c>
      <c r="L1428" s="454" t="s">
        <v>1239</v>
      </c>
      <c r="M1428" s="4" t="s">
        <v>780</v>
      </c>
      <c r="N1428" s="133" t="s">
        <v>1407</v>
      </c>
      <c r="O1428" s="4" t="s">
        <v>2611</v>
      </c>
      <c r="P1428" s="4" t="s">
        <v>892</v>
      </c>
      <c r="Q1428" s="4" t="s">
        <v>2612</v>
      </c>
      <c r="R1428" s="4" t="s">
        <v>2619</v>
      </c>
      <c r="S1428" s="4" t="s">
        <v>2614</v>
      </c>
      <c r="T1428" s="4" t="s">
        <v>786</v>
      </c>
      <c r="U1428" s="4"/>
      <c r="V1428" s="4"/>
      <c r="W1428" s="4"/>
    </row>
    <row r="1429" spans="1:23" customFormat="1">
      <c r="A1429" s="10"/>
      <c r="B1429" s="4"/>
      <c r="C1429" s="4"/>
      <c r="D1429" s="4"/>
      <c r="E1429" s="4"/>
      <c r="F1429" s="152" t="s">
        <v>371</v>
      </c>
      <c r="G1429" s="4" t="s">
        <v>353</v>
      </c>
      <c r="H1429" s="4"/>
      <c r="I1429" s="196">
        <v>-631570.80000000005</v>
      </c>
      <c r="J1429" s="196">
        <v>-429.64</v>
      </c>
      <c r="K1429" s="196">
        <v>1470</v>
      </c>
      <c r="L1429" s="454" t="s">
        <v>1239</v>
      </c>
      <c r="M1429" s="4" t="s">
        <v>780</v>
      </c>
      <c r="N1429" s="133" t="s">
        <v>1407</v>
      </c>
      <c r="O1429" s="4" t="s">
        <v>2611</v>
      </c>
      <c r="P1429" s="4" t="s">
        <v>892</v>
      </c>
      <c r="Q1429" s="4" t="s">
        <v>2612</v>
      </c>
      <c r="R1429" s="4" t="s">
        <v>2613</v>
      </c>
      <c r="S1429" s="4" t="s">
        <v>2614</v>
      </c>
      <c r="T1429" s="4" t="s">
        <v>786</v>
      </c>
      <c r="U1429" s="4"/>
      <c r="V1429" s="4"/>
      <c r="W1429" s="4"/>
    </row>
    <row r="1430" spans="1:23" customFormat="1">
      <c r="A1430" s="10"/>
      <c r="B1430" s="4"/>
      <c r="C1430" s="4"/>
      <c r="D1430" s="4"/>
      <c r="E1430" s="4"/>
      <c r="F1430" s="152" t="s">
        <v>371</v>
      </c>
      <c r="G1430" s="4" t="s">
        <v>353</v>
      </c>
      <c r="H1430" s="4"/>
      <c r="I1430" s="196">
        <v>-101003.7</v>
      </c>
      <c r="J1430" s="196">
        <v>-68.709999999999994</v>
      </c>
      <c r="K1430" s="196">
        <v>1470</v>
      </c>
      <c r="L1430" s="454" t="s">
        <v>1239</v>
      </c>
      <c r="M1430" s="4" t="s">
        <v>780</v>
      </c>
      <c r="N1430" s="133" t="s">
        <v>1407</v>
      </c>
      <c r="O1430" s="4" t="s">
        <v>2611</v>
      </c>
      <c r="P1430" s="4" t="s">
        <v>892</v>
      </c>
      <c r="Q1430" s="4" t="s">
        <v>2612</v>
      </c>
      <c r="R1430" s="4" t="s">
        <v>2618</v>
      </c>
      <c r="S1430" s="4" t="s">
        <v>2614</v>
      </c>
      <c r="T1430" s="4" t="s">
        <v>786</v>
      </c>
      <c r="U1430" s="4"/>
      <c r="V1430" s="4"/>
      <c r="W1430" s="4"/>
    </row>
    <row r="1431" spans="1:23" customFormat="1">
      <c r="A1431" s="10"/>
      <c r="B1431" s="4"/>
      <c r="C1431" s="4"/>
      <c r="D1431" s="4"/>
      <c r="E1431" s="4"/>
      <c r="F1431" s="152" t="s">
        <v>371</v>
      </c>
      <c r="G1431" s="4" t="s">
        <v>353</v>
      </c>
      <c r="H1431" s="4"/>
      <c r="I1431" s="196">
        <v>-34339.199999999997</v>
      </c>
      <c r="J1431" s="196">
        <v>-23.36</v>
      </c>
      <c r="K1431" s="196">
        <v>1470</v>
      </c>
      <c r="L1431" s="454" t="s">
        <v>1239</v>
      </c>
      <c r="M1431" s="4" t="s">
        <v>780</v>
      </c>
      <c r="N1431" s="133" t="s">
        <v>1407</v>
      </c>
      <c r="O1431" s="4" t="s">
        <v>2611</v>
      </c>
      <c r="P1431" s="4" t="s">
        <v>892</v>
      </c>
      <c r="Q1431" s="4" t="s">
        <v>2612</v>
      </c>
      <c r="R1431" s="4" t="s">
        <v>2617</v>
      </c>
      <c r="S1431" s="4" t="s">
        <v>2614</v>
      </c>
      <c r="T1431" s="4" t="s">
        <v>786</v>
      </c>
      <c r="U1431" s="4"/>
      <c r="V1431" s="4"/>
      <c r="W1431" s="4"/>
    </row>
    <row r="1432" spans="1:23" customFormat="1">
      <c r="A1432" s="10"/>
      <c r="B1432" s="4"/>
      <c r="C1432" s="4"/>
      <c r="D1432" s="4"/>
      <c r="E1432" s="4"/>
      <c r="F1432" s="152" t="s">
        <v>371</v>
      </c>
      <c r="G1432" s="4" t="s">
        <v>353</v>
      </c>
      <c r="H1432" s="4"/>
      <c r="I1432" s="196">
        <v>-88214.7</v>
      </c>
      <c r="J1432" s="196">
        <v>-60.01</v>
      </c>
      <c r="K1432" s="196">
        <v>1470</v>
      </c>
      <c r="L1432" s="454" t="s">
        <v>1239</v>
      </c>
      <c r="M1432" s="4" t="s">
        <v>780</v>
      </c>
      <c r="N1432" s="133" t="s">
        <v>1407</v>
      </c>
      <c r="O1432" s="4" t="s">
        <v>2611</v>
      </c>
      <c r="P1432" s="4" t="s">
        <v>892</v>
      </c>
      <c r="Q1432" s="4" t="s">
        <v>2612</v>
      </c>
      <c r="R1432" s="4" t="s">
        <v>2625</v>
      </c>
      <c r="S1432" s="4" t="s">
        <v>2614</v>
      </c>
      <c r="T1432" s="4" t="s">
        <v>786</v>
      </c>
      <c r="U1432" s="4"/>
      <c r="V1432" s="4"/>
      <c r="W1432" s="4"/>
    </row>
    <row r="1433" spans="1:23" customFormat="1">
      <c r="A1433" s="10"/>
      <c r="B1433" s="4"/>
      <c r="C1433" s="4"/>
      <c r="D1433" s="4"/>
      <c r="E1433" s="4"/>
      <c r="F1433" s="152" t="s">
        <v>371</v>
      </c>
      <c r="G1433" s="4" t="s">
        <v>353</v>
      </c>
      <c r="H1433" s="4"/>
      <c r="I1433" s="196">
        <v>1416450</v>
      </c>
      <c r="J1433" s="196">
        <v>997.5</v>
      </c>
      <c r="K1433" s="196">
        <v>1420</v>
      </c>
      <c r="L1433" s="454" t="s">
        <v>1093</v>
      </c>
      <c r="M1433" s="4" t="s">
        <v>780</v>
      </c>
      <c r="N1433" s="133" t="s">
        <v>1407</v>
      </c>
      <c r="O1433" s="4" t="s">
        <v>1254</v>
      </c>
      <c r="P1433" s="4" t="s">
        <v>892</v>
      </c>
      <c r="Q1433" s="4" t="s">
        <v>1255</v>
      </c>
      <c r="R1433" s="4" t="s">
        <v>2645</v>
      </c>
      <c r="S1433" s="4" t="s">
        <v>1257</v>
      </c>
      <c r="T1433" s="4" t="s">
        <v>786</v>
      </c>
      <c r="U1433" s="4"/>
      <c r="V1433" s="4"/>
      <c r="W1433" s="4"/>
    </row>
    <row r="1434" spans="1:23" customFormat="1">
      <c r="A1434" s="10"/>
      <c r="B1434" s="4"/>
      <c r="C1434" s="4"/>
      <c r="D1434" s="4"/>
      <c r="E1434" s="4"/>
      <c r="F1434" s="152" t="s">
        <v>371</v>
      </c>
      <c r="G1434" s="4" t="s">
        <v>353</v>
      </c>
      <c r="H1434" s="4"/>
      <c r="I1434" s="196">
        <v>4970000</v>
      </c>
      <c r="J1434" s="196">
        <v>3500</v>
      </c>
      <c r="K1434" s="196">
        <v>1420</v>
      </c>
      <c r="L1434" s="454" t="s">
        <v>1093</v>
      </c>
      <c r="M1434" s="4" t="s">
        <v>780</v>
      </c>
      <c r="N1434" s="133" t="s">
        <v>1407</v>
      </c>
      <c r="O1434" s="4" t="s">
        <v>1254</v>
      </c>
      <c r="P1434" s="4" t="s">
        <v>892</v>
      </c>
      <c r="Q1434" s="4" t="s">
        <v>1255</v>
      </c>
      <c r="R1434" s="4" t="s">
        <v>2646</v>
      </c>
      <c r="S1434" s="4" t="s">
        <v>1257</v>
      </c>
      <c r="T1434" s="4" t="s">
        <v>786</v>
      </c>
      <c r="U1434" s="4"/>
      <c r="V1434" s="4"/>
      <c r="W1434" s="4"/>
    </row>
    <row r="1435" spans="1:23" customFormat="1">
      <c r="A1435" s="10"/>
      <c r="B1435" s="4"/>
      <c r="C1435" s="4"/>
      <c r="D1435" s="4"/>
      <c r="E1435" s="4"/>
      <c r="F1435" s="152" t="s">
        <v>371</v>
      </c>
      <c r="G1435" s="4" t="s">
        <v>353</v>
      </c>
      <c r="H1435" s="4"/>
      <c r="I1435" s="196">
        <v>5715500</v>
      </c>
      <c r="J1435" s="196">
        <v>4025</v>
      </c>
      <c r="K1435" s="196">
        <v>1420</v>
      </c>
      <c r="L1435" s="454" t="s">
        <v>1093</v>
      </c>
      <c r="M1435" s="4" t="s">
        <v>780</v>
      </c>
      <c r="N1435" s="133" t="s">
        <v>1407</v>
      </c>
      <c r="O1435" s="4" t="s">
        <v>1254</v>
      </c>
      <c r="P1435" s="4" t="s">
        <v>892</v>
      </c>
      <c r="Q1435" s="4" t="s">
        <v>1255</v>
      </c>
      <c r="R1435" s="4" t="s">
        <v>2647</v>
      </c>
      <c r="S1435" s="4" t="s">
        <v>1257</v>
      </c>
      <c r="T1435" s="4" t="s">
        <v>786</v>
      </c>
      <c r="U1435" s="4"/>
      <c r="V1435" s="4"/>
      <c r="W1435" s="4"/>
    </row>
    <row r="1436" spans="1:23" customFormat="1">
      <c r="A1436" s="10"/>
      <c r="B1436" s="4"/>
      <c r="C1436" s="4"/>
      <c r="D1436" s="4"/>
      <c r="E1436" s="4"/>
      <c r="F1436" s="152" t="s">
        <v>371</v>
      </c>
      <c r="G1436" s="4" t="s">
        <v>353</v>
      </c>
      <c r="H1436" s="4"/>
      <c r="I1436" s="196">
        <v>12382400</v>
      </c>
      <c r="J1436" s="196">
        <v>8720</v>
      </c>
      <c r="K1436" s="196">
        <v>1420</v>
      </c>
      <c r="L1436" s="454" t="s">
        <v>1258</v>
      </c>
      <c r="M1436" s="4" t="s">
        <v>780</v>
      </c>
      <c r="N1436" s="133" t="s">
        <v>1407</v>
      </c>
      <c r="O1436" s="4" t="s">
        <v>1259</v>
      </c>
      <c r="P1436" s="4" t="s">
        <v>892</v>
      </c>
      <c r="Q1436" s="4" t="s">
        <v>1260</v>
      </c>
      <c r="R1436" s="4" t="s">
        <v>2650</v>
      </c>
      <c r="S1436" s="4" t="s">
        <v>1262</v>
      </c>
      <c r="T1436" s="4" t="s">
        <v>786</v>
      </c>
      <c r="U1436" s="4"/>
      <c r="V1436" s="4"/>
      <c r="W1436" s="4"/>
    </row>
    <row r="1437" spans="1:23" customFormat="1">
      <c r="A1437" s="10"/>
      <c r="B1437" s="4"/>
      <c r="C1437" s="4"/>
      <c r="D1437" s="4"/>
      <c r="E1437" s="4"/>
      <c r="F1437" s="152" t="s">
        <v>371</v>
      </c>
      <c r="G1437" s="4" t="s">
        <v>353</v>
      </c>
      <c r="H1437" s="4"/>
      <c r="I1437" s="196">
        <v>976250</v>
      </c>
      <c r="J1437" s="196">
        <v>687.5</v>
      </c>
      <c r="K1437" s="196">
        <v>1420</v>
      </c>
      <c r="L1437" s="454" t="s">
        <v>1258</v>
      </c>
      <c r="M1437" s="4" t="s">
        <v>780</v>
      </c>
      <c r="N1437" s="133" t="s">
        <v>1407</v>
      </c>
      <c r="O1437" s="4" t="s">
        <v>1259</v>
      </c>
      <c r="P1437" s="4" t="s">
        <v>892</v>
      </c>
      <c r="Q1437" s="4" t="s">
        <v>1260</v>
      </c>
      <c r="R1437" s="4" t="s">
        <v>2649</v>
      </c>
      <c r="S1437" s="4" t="s">
        <v>1262</v>
      </c>
      <c r="T1437" s="4" t="s">
        <v>786</v>
      </c>
      <c r="U1437" s="4"/>
      <c r="V1437" s="4"/>
      <c r="W1437" s="4"/>
    </row>
    <row r="1438" spans="1:23" customFormat="1">
      <c r="A1438" s="10"/>
      <c r="B1438" s="4"/>
      <c r="C1438" s="4"/>
      <c r="D1438" s="4"/>
      <c r="E1438" s="4"/>
      <c r="F1438" s="152" t="s">
        <v>371</v>
      </c>
      <c r="G1438" s="4" t="s">
        <v>353</v>
      </c>
      <c r="H1438" s="4"/>
      <c r="I1438" s="196">
        <v>14966800</v>
      </c>
      <c r="J1438" s="196">
        <v>10540</v>
      </c>
      <c r="K1438" s="196">
        <v>1420</v>
      </c>
      <c r="L1438" s="454" t="s">
        <v>1258</v>
      </c>
      <c r="M1438" s="4" t="s">
        <v>780</v>
      </c>
      <c r="N1438" s="133" t="s">
        <v>1407</v>
      </c>
      <c r="O1438" s="4" t="s">
        <v>1259</v>
      </c>
      <c r="P1438" s="4" t="s">
        <v>892</v>
      </c>
      <c r="Q1438" s="4" t="s">
        <v>1260</v>
      </c>
      <c r="R1438" s="4" t="s">
        <v>2648</v>
      </c>
      <c r="S1438" s="4" t="s">
        <v>1262</v>
      </c>
      <c r="T1438" s="4" t="s">
        <v>786</v>
      </c>
      <c r="U1438" s="4"/>
      <c r="V1438" s="4"/>
      <c r="W1438" s="4"/>
    </row>
    <row r="1439" spans="1:23" customFormat="1">
      <c r="A1439" s="10"/>
      <c r="B1439" s="4"/>
      <c r="C1439" s="4"/>
      <c r="D1439" s="4"/>
      <c r="E1439" s="4"/>
      <c r="F1439" s="152" t="s">
        <v>371</v>
      </c>
      <c r="G1439" s="4" t="s">
        <v>353</v>
      </c>
      <c r="H1439" s="4"/>
      <c r="I1439" s="196">
        <v>1498100</v>
      </c>
      <c r="J1439" s="196">
        <v>1055</v>
      </c>
      <c r="K1439" s="196">
        <v>1420</v>
      </c>
      <c r="L1439" s="454" t="s">
        <v>1093</v>
      </c>
      <c r="M1439" s="4" t="s">
        <v>780</v>
      </c>
      <c r="N1439" s="133" t="s">
        <v>1407</v>
      </c>
      <c r="O1439" s="4" t="s">
        <v>2651</v>
      </c>
      <c r="P1439" s="4" t="s">
        <v>892</v>
      </c>
      <c r="Q1439" s="4" t="s">
        <v>2652</v>
      </c>
      <c r="R1439" s="4" t="s">
        <v>2655</v>
      </c>
      <c r="S1439" s="4" t="s">
        <v>2654</v>
      </c>
      <c r="T1439" s="4" t="s">
        <v>786</v>
      </c>
      <c r="U1439" s="4"/>
      <c r="V1439" s="4"/>
      <c r="W1439" s="4"/>
    </row>
    <row r="1440" spans="1:23" customFormat="1">
      <c r="A1440" s="10"/>
      <c r="B1440" s="4"/>
      <c r="C1440" s="4"/>
      <c r="D1440" s="4"/>
      <c r="E1440" s="4"/>
      <c r="F1440" s="152" t="s">
        <v>371</v>
      </c>
      <c r="G1440" s="4" t="s">
        <v>353</v>
      </c>
      <c r="H1440" s="4"/>
      <c r="I1440" s="196">
        <v>3527280</v>
      </c>
      <c r="J1440" s="196">
        <v>2484</v>
      </c>
      <c r="K1440" s="196">
        <v>1420</v>
      </c>
      <c r="L1440" s="454" t="s">
        <v>1093</v>
      </c>
      <c r="M1440" s="4" t="s">
        <v>780</v>
      </c>
      <c r="N1440" s="133" t="s">
        <v>1407</v>
      </c>
      <c r="O1440" s="4" t="s">
        <v>2651</v>
      </c>
      <c r="P1440" s="4" t="s">
        <v>892</v>
      </c>
      <c r="Q1440" s="4" t="s">
        <v>2652</v>
      </c>
      <c r="R1440" s="4" t="s">
        <v>2657</v>
      </c>
      <c r="S1440" s="4" t="s">
        <v>2654</v>
      </c>
      <c r="T1440" s="4" t="s">
        <v>786</v>
      </c>
      <c r="U1440" s="4"/>
      <c r="V1440" s="4"/>
      <c r="W1440" s="4"/>
    </row>
    <row r="1441" spans="1:23" customFormat="1">
      <c r="A1441" s="10"/>
      <c r="B1441" s="4"/>
      <c r="C1441" s="4"/>
      <c r="D1441" s="4"/>
      <c r="E1441" s="4"/>
      <c r="F1441" s="152" t="s">
        <v>371</v>
      </c>
      <c r="G1441" s="4" t="s">
        <v>353</v>
      </c>
      <c r="H1441" s="4"/>
      <c r="I1441" s="196">
        <v>3527280</v>
      </c>
      <c r="J1441" s="196">
        <v>2484</v>
      </c>
      <c r="K1441" s="196">
        <v>1420</v>
      </c>
      <c r="L1441" s="454" t="s">
        <v>1093</v>
      </c>
      <c r="M1441" s="4" t="s">
        <v>780</v>
      </c>
      <c r="N1441" s="133" t="s">
        <v>1407</v>
      </c>
      <c r="O1441" s="4" t="s">
        <v>2651</v>
      </c>
      <c r="P1441" s="4" t="s">
        <v>892</v>
      </c>
      <c r="Q1441" s="4" t="s">
        <v>2652</v>
      </c>
      <c r="R1441" s="4" t="s">
        <v>2656</v>
      </c>
      <c r="S1441" s="4" t="s">
        <v>2654</v>
      </c>
      <c r="T1441" s="4" t="s">
        <v>786</v>
      </c>
      <c r="U1441" s="4"/>
      <c r="V1441" s="4"/>
      <c r="W1441" s="4"/>
    </row>
    <row r="1442" spans="1:23" customFormat="1">
      <c r="A1442" s="10"/>
      <c r="B1442" s="4"/>
      <c r="C1442" s="4"/>
      <c r="D1442" s="4"/>
      <c r="E1442" s="4"/>
      <c r="F1442" s="152" t="s">
        <v>371</v>
      </c>
      <c r="G1442" s="4" t="s">
        <v>353</v>
      </c>
      <c r="H1442" s="4"/>
      <c r="I1442" s="196">
        <v>9700020</v>
      </c>
      <c r="J1442" s="196">
        <v>6831</v>
      </c>
      <c r="K1442" s="196">
        <v>1420</v>
      </c>
      <c r="L1442" s="454" t="s">
        <v>1093</v>
      </c>
      <c r="M1442" s="4" t="s">
        <v>780</v>
      </c>
      <c r="N1442" s="133" t="s">
        <v>1407</v>
      </c>
      <c r="O1442" s="4" t="s">
        <v>2651</v>
      </c>
      <c r="P1442" s="4" t="s">
        <v>892</v>
      </c>
      <c r="Q1442" s="4" t="s">
        <v>2652</v>
      </c>
      <c r="R1442" s="4" t="s">
        <v>2653</v>
      </c>
      <c r="S1442" s="4" t="s">
        <v>2654</v>
      </c>
      <c r="T1442" s="4" t="s">
        <v>786</v>
      </c>
      <c r="U1442" s="4"/>
      <c r="V1442" s="4"/>
      <c r="W1442" s="4"/>
    </row>
    <row r="1443" spans="1:23" customFormat="1">
      <c r="A1443" s="10"/>
      <c r="B1443" s="4"/>
      <c r="C1443" s="4"/>
      <c r="D1443" s="4"/>
      <c r="E1443" s="4"/>
      <c r="F1443" s="152" t="s">
        <v>371</v>
      </c>
      <c r="G1443" s="4" t="s">
        <v>353</v>
      </c>
      <c r="H1443" s="4"/>
      <c r="I1443" s="196">
        <v>17989128</v>
      </c>
      <c r="J1443" s="196">
        <v>12668.4</v>
      </c>
      <c r="K1443" s="196">
        <v>1420</v>
      </c>
      <c r="L1443" s="454" t="s">
        <v>1093</v>
      </c>
      <c r="M1443" s="4" t="s">
        <v>780</v>
      </c>
      <c r="N1443" s="133" t="s">
        <v>1407</v>
      </c>
      <c r="O1443" s="4" t="s">
        <v>2651</v>
      </c>
      <c r="P1443" s="4" t="s">
        <v>892</v>
      </c>
      <c r="Q1443" s="4" t="s">
        <v>2652</v>
      </c>
      <c r="R1443" s="4" t="s">
        <v>2658</v>
      </c>
      <c r="S1443" s="4" t="s">
        <v>2654</v>
      </c>
      <c r="T1443" s="4" t="s">
        <v>786</v>
      </c>
      <c r="U1443" s="4"/>
      <c r="V1443" s="4"/>
      <c r="W1443" s="4"/>
    </row>
    <row r="1444" spans="1:23" customFormat="1">
      <c r="A1444" s="10"/>
      <c r="B1444" s="4"/>
      <c r="C1444" s="4"/>
      <c r="D1444" s="4"/>
      <c r="E1444" s="4"/>
      <c r="F1444" s="152" t="s">
        <v>371</v>
      </c>
      <c r="G1444" s="4" t="s">
        <v>353</v>
      </c>
      <c r="H1444" s="4"/>
      <c r="I1444" s="196">
        <v>2357200</v>
      </c>
      <c r="J1444" s="196">
        <v>1660</v>
      </c>
      <c r="K1444" s="196">
        <v>1420</v>
      </c>
      <c r="L1444" s="454" t="s">
        <v>1093</v>
      </c>
      <c r="M1444" s="4" t="s">
        <v>780</v>
      </c>
      <c r="N1444" s="133" t="s">
        <v>1407</v>
      </c>
      <c r="O1444" s="4" t="s">
        <v>2651</v>
      </c>
      <c r="P1444" s="4" t="s">
        <v>892</v>
      </c>
      <c r="Q1444" s="4" t="s">
        <v>2652</v>
      </c>
      <c r="R1444" s="4" t="s">
        <v>2659</v>
      </c>
      <c r="S1444" s="4" t="s">
        <v>2654</v>
      </c>
      <c r="T1444" s="4" t="s">
        <v>786</v>
      </c>
      <c r="U1444" s="4"/>
      <c r="V1444" s="4"/>
      <c r="W1444" s="4"/>
    </row>
    <row r="1445" spans="1:23" customFormat="1">
      <c r="A1445" s="10"/>
      <c r="B1445" s="4"/>
      <c r="C1445" s="4"/>
      <c r="D1445" s="4"/>
      <c r="E1445" s="4"/>
      <c r="F1445" s="152" t="s">
        <v>371</v>
      </c>
      <c r="G1445" s="4" t="s">
        <v>353</v>
      </c>
      <c r="H1445" s="4"/>
      <c r="I1445" s="196">
        <v>2357200</v>
      </c>
      <c r="J1445" s="196">
        <v>1660</v>
      </c>
      <c r="K1445" s="196">
        <v>1420</v>
      </c>
      <c r="L1445" s="454" t="s">
        <v>1093</v>
      </c>
      <c r="M1445" s="4" t="s">
        <v>780</v>
      </c>
      <c r="N1445" s="133" t="s">
        <v>1407</v>
      </c>
      <c r="O1445" s="4" t="s">
        <v>2651</v>
      </c>
      <c r="P1445" s="4" t="s">
        <v>892</v>
      </c>
      <c r="Q1445" s="4" t="s">
        <v>2652</v>
      </c>
      <c r="R1445" s="4" t="s">
        <v>2661</v>
      </c>
      <c r="S1445" s="4" t="s">
        <v>2654</v>
      </c>
      <c r="T1445" s="4" t="s">
        <v>786</v>
      </c>
      <c r="U1445" s="4"/>
      <c r="V1445" s="4"/>
      <c r="W1445" s="4"/>
    </row>
    <row r="1446" spans="1:23" customFormat="1">
      <c r="A1446" s="10"/>
      <c r="B1446" s="4"/>
      <c r="C1446" s="4"/>
      <c r="D1446" s="4"/>
      <c r="E1446" s="4"/>
      <c r="F1446" s="152" t="s">
        <v>371</v>
      </c>
      <c r="G1446" s="4" t="s">
        <v>353</v>
      </c>
      <c r="H1446" s="4"/>
      <c r="I1446" s="196">
        <v>2357200</v>
      </c>
      <c r="J1446" s="196">
        <v>1660</v>
      </c>
      <c r="K1446" s="196">
        <v>1420</v>
      </c>
      <c r="L1446" s="454" t="s">
        <v>1093</v>
      </c>
      <c r="M1446" s="4" t="s">
        <v>780</v>
      </c>
      <c r="N1446" s="133" t="s">
        <v>1407</v>
      </c>
      <c r="O1446" s="4" t="s">
        <v>2651</v>
      </c>
      <c r="P1446" s="4" t="s">
        <v>892</v>
      </c>
      <c r="Q1446" s="4" t="s">
        <v>2652</v>
      </c>
      <c r="R1446" s="4" t="s">
        <v>2663</v>
      </c>
      <c r="S1446" s="4" t="s">
        <v>2654</v>
      </c>
      <c r="T1446" s="4" t="s">
        <v>786</v>
      </c>
      <c r="U1446" s="4"/>
      <c r="V1446" s="4"/>
      <c r="W1446" s="4"/>
    </row>
    <row r="1447" spans="1:23" customFormat="1">
      <c r="A1447" s="10"/>
      <c r="B1447" s="4"/>
      <c r="C1447" s="4"/>
      <c r="D1447" s="4"/>
      <c r="E1447" s="4"/>
      <c r="F1447" s="152" t="s">
        <v>371</v>
      </c>
      <c r="G1447" s="4" t="s">
        <v>353</v>
      </c>
      <c r="H1447" s="4"/>
      <c r="I1447" s="196">
        <v>2439560</v>
      </c>
      <c r="J1447" s="196">
        <v>1718</v>
      </c>
      <c r="K1447" s="196">
        <v>1420</v>
      </c>
      <c r="L1447" s="454" t="s">
        <v>1093</v>
      </c>
      <c r="M1447" s="4" t="s">
        <v>780</v>
      </c>
      <c r="N1447" s="133" t="s">
        <v>1407</v>
      </c>
      <c r="O1447" s="4" t="s">
        <v>2651</v>
      </c>
      <c r="P1447" s="4" t="s">
        <v>892</v>
      </c>
      <c r="Q1447" s="4" t="s">
        <v>2652</v>
      </c>
      <c r="R1447" s="4" t="s">
        <v>2666</v>
      </c>
      <c r="S1447" s="4" t="s">
        <v>2654</v>
      </c>
      <c r="T1447" s="4" t="s">
        <v>786</v>
      </c>
      <c r="U1447" s="4"/>
      <c r="V1447" s="4"/>
      <c r="W1447" s="4"/>
    </row>
    <row r="1448" spans="1:23" customFormat="1">
      <c r="A1448" s="10"/>
      <c r="B1448" s="4"/>
      <c r="C1448" s="4"/>
      <c r="D1448" s="4"/>
      <c r="E1448" s="4"/>
      <c r="F1448" s="152" t="s">
        <v>371</v>
      </c>
      <c r="G1448" s="4" t="s">
        <v>353</v>
      </c>
      <c r="H1448" s="4"/>
      <c r="I1448" s="196">
        <v>1799850</v>
      </c>
      <c r="J1448" s="196">
        <v>1267.5</v>
      </c>
      <c r="K1448" s="196">
        <v>1420</v>
      </c>
      <c r="L1448" s="454" t="s">
        <v>1093</v>
      </c>
      <c r="M1448" s="4" t="s">
        <v>780</v>
      </c>
      <c r="N1448" s="133" t="s">
        <v>1407</v>
      </c>
      <c r="O1448" s="4" t="s">
        <v>2651</v>
      </c>
      <c r="P1448" s="4" t="s">
        <v>892</v>
      </c>
      <c r="Q1448" s="4" t="s">
        <v>2652</v>
      </c>
      <c r="R1448" s="4" t="s">
        <v>2665</v>
      </c>
      <c r="S1448" s="4" t="s">
        <v>2654</v>
      </c>
      <c r="T1448" s="4" t="s">
        <v>786</v>
      </c>
      <c r="U1448" s="4"/>
      <c r="V1448" s="4"/>
      <c r="W1448" s="4"/>
    </row>
    <row r="1449" spans="1:23" customFormat="1">
      <c r="A1449" s="10"/>
      <c r="B1449" s="4"/>
      <c r="C1449" s="4"/>
      <c r="D1449" s="4"/>
      <c r="E1449" s="4"/>
      <c r="F1449" s="152" t="s">
        <v>371</v>
      </c>
      <c r="G1449" s="4" t="s">
        <v>353</v>
      </c>
      <c r="H1449" s="4"/>
      <c r="I1449" s="196">
        <v>8520000</v>
      </c>
      <c r="J1449" s="196">
        <v>6000</v>
      </c>
      <c r="K1449" s="196">
        <v>1420</v>
      </c>
      <c r="L1449" s="454" t="s">
        <v>1093</v>
      </c>
      <c r="M1449" s="4" t="s">
        <v>780</v>
      </c>
      <c r="N1449" s="133" t="s">
        <v>1407</v>
      </c>
      <c r="O1449" s="4" t="s">
        <v>2651</v>
      </c>
      <c r="P1449" s="4" t="s">
        <v>892</v>
      </c>
      <c r="Q1449" s="4" t="s">
        <v>2652</v>
      </c>
      <c r="R1449" s="4" t="s">
        <v>2664</v>
      </c>
      <c r="S1449" s="4" t="s">
        <v>2654</v>
      </c>
      <c r="T1449" s="4" t="s">
        <v>786</v>
      </c>
      <c r="U1449" s="4"/>
      <c r="V1449" s="4"/>
      <c r="W1449" s="4"/>
    </row>
    <row r="1450" spans="1:23" customFormat="1">
      <c r="A1450" s="10"/>
      <c r="B1450" s="4"/>
      <c r="C1450" s="4"/>
      <c r="D1450" s="4"/>
      <c r="E1450" s="4"/>
      <c r="F1450" s="152" t="s">
        <v>371</v>
      </c>
      <c r="G1450" s="4" t="s">
        <v>353</v>
      </c>
      <c r="H1450" s="4"/>
      <c r="I1450" s="196">
        <v>284000</v>
      </c>
      <c r="J1450" s="196">
        <v>200</v>
      </c>
      <c r="K1450" s="196">
        <v>1420</v>
      </c>
      <c r="L1450" s="454" t="s">
        <v>1093</v>
      </c>
      <c r="M1450" s="4" t="s">
        <v>780</v>
      </c>
      <c r="N1450" s="133" t="s">
        <v>1407</v>
      </c>
      <c r="O1450" s="4" t="s">
        <v>2651</v>
      </c>
      <c r="P1450" s="4" t="s">
        <v>892</v>
      </c>
      <c r="Q1450" s="4" t="s">
        <v>2652</v>
      </c>
      <c r="R1450" s="4" t="s">
        <v>2662</v>
      </c>
      <c r="S1450" s="4" t="s">
        <v>2654</v>
      </c>
      <c r="T1450" s="4" t="s">
        <v>786</v>
      </c>
      <c r="U1450" s="4"/>
      <c r="V1450" s="4"/>
      <c r="W1450" s="4"/>
    </row>
    <row r="1451" spans="1:23" customFormat="1">
      <c r="A1451" s="10"/>
      <c r="B1451" s="4"/>
      <c r="C1451" s="4"/>
      <c r="D1451" s="4"/>
      <c r="E1451" s="4"/>
      <c r="F1451" s="152" t="s">
        <v>371</v>
      </c>
      <c r="G1451" s="4" t="s">
        <v>353</v>
      </c>
      <c r="H1451" s="4"/>
      <c r="I1451" s="196">
        <v>2715253</v>
      </c>
      <c r="J1451" s="196">
        <v>1912.15</v>
      </c>
      <c r="K1451" s="196">
        <v>1420</v>
      </c>
      <c r="L1451" s="454" t="s">
        <v>1093</v>
      </c>
      <c r="M1451" s="4" t="s">
        <v>780</v>
      </c>
      <c r="N1451" s="133" t="s">
        <v>1407</v>
      </c>
      <c r="O1451" s="4" t="s">
        <v>2651</v>
      </c>
      <c r="P1451" s="4" t="s">
        <v>892</v>
      </c>
      <c r="Q1451" s="4" t="s">
        <v>2652</v>
      </c>
      <c r="R1451" s="4" t="s">
        <v>2660</v>
      </c>
      <c r="S1451" s="4" t="s">
        <v>2654</v>
      </c>
      <c r="T1451" s="4" t="s">
        <v>786</v>
      </c>
      <c r="U1451" s="4"/>
      <c r="V1451" s="4"/>
      <c r="W1451" s="4"/>
    </row>
    <row r="1452" spans="1:23" customFormat="1">
      <c r="A1452" s="10"/>
      <c r="B1452" s="4"/>
      <c r="C1452" s="4"/>
      <c r="D1452" s="4"/>
      <c r="E1452" s="4"/>
      <c r="F1452" s="152" t="s">
        <v>371</v>
      </c>
      <c r="G1452" s="4" t="s">
        <v>353</v>
      </c>
      <c r="H1452" s="4"/>
      <c r="I1452" s="196">
        <v>7529550</v>
      </c>
      <c r="J1452" s="196">
        <v>5302.5</v>
      </c>
      <c r="K1452" s="196">
        <v>1420</v>
      </c>
      <c r="L1452" s="454" t="s">
        <v>1210</v>
      </c>
      <c r="M1452" s="4" t="s">
        <v>780</v>
      </c>
      <c r="N1452" s="133" t="s">
        <v>1407</v>
      </c>
      <c r="O1452" s="4" t="s">
        <v>1397</v>
      </c>
      <c r="P1452" s="4" t="s">
        <v>892</v>
      </c>
      <c r="Q1452" s="4" t="s">
        <v>1398</v>
      </c>
      <c r="R1452" s="4" t="s">
        <v>2667</v>
      </c>
      <c r="S1452" s="4" t="s">
        <v>1400</v>
      </c>
      <c r="T1452" s="4" t="s">
        <v>786</v>
      </c>
      <c r="U1452" s="4"/>
      <c r="V1452" s="4"/>
      <c r="W1452" s="4"/>
    </row>
    <row r="1453" spans="1:23" customFormat="1">
      <c r="A1453" s="10"/>
      <c r="B1453" s="4"/>
      <c r="C1453" s="4"/>
      <c r="D1453" s="4"/>
      <c r="E1453" s="4"/>
      <c r="F1453" s="152" t="s">
        <v>371</v>
      </c>
      <c r="G1453" s="4" t="s">
        <v>353</v>
      </c>
      <c r="H1453" s="4"/>
      <c r="I1453" s="196">
        <v>3195000</v>
      </c>
      <c r="J1453" s="196">
        <v>2250</v>
      </c>
      <c r="K1453" s="196">
        <v>1420</v>
      </c>
      <c r="L1453" s="454" t="s">
        <v>1267</v>
      </c>
      <c r="M1453" s="4" t="s">
        <v>780</v>
      </c>
      <c r="N1453" s="133" t="s">
        <v>1407</v>
      </c>
      <c r="O1453" s="4" t="s">
        <v>1268</v>
      </c>
      <c r="P1453" s="4" t="s">
        <v>892</v>
      </c>
      <c r="Q1453" s="4" t="s">
        <v>1269</v>
      </c>
      <c r="R1453" s="4" t="s">
        <v>2673</v>
      </c>
      <c r="S1453" s="4" t="s">
        <v>1271</v>
      </c>
      <c r="T1453" s="4" t="s">
        <v>786</v>
      </c>
      <c r="U1453" s="4"/>
      <c r="V1453" s="4"/>
      <c r="W1453" s="4"/>
    </row>
    <row r="1454" spans="1:23" customFormat="1">
      <c r="A1454" s="10"/>
      <c r="B1454" s="4"/>
      <c r="C1454" s="4"/>
      <c r="D1454" s="4"/>
      <c r="E1454" s="4"/>
      <c r="F1454" s="152" t="s">
        <v>371</v>
      </c>
      <c r="G1454" s="4" t="s">
        <v>353</v>
      </c>
      <c r="H1454" s="4"/>
      <c r="I1454" s="196">
        <v>16841200</v>
      </c>
      <c r="J1454" s="196">
        <v>11860</v>
      </c>
      <c r="K1454" s="196">
        <v>1420</v>
      </c>
      <c r="L1454" s="454" t="s">
        <v>1267</v>
      </c>
      <c r="M1454" s="4" t="s">
        <v>780</v>
      </c>
      <c r="N1454" s="133" t="s">
        <v>1407</v>
      </c>
      <c r="O1454" s="4" t="s">
        <v>1268</v>
      </c>
      <c r="P1454" s="4" t="s">
        <v>892</v>
      </c>
      <c r="Q1454" s="4" t="s">
        <v>1269</v>
      </c>
      <c r="R1454" s="4" t="s">
        <v>2674</v>
      </c>
      <c r="S1454" s="4" t="s">
        <v>1271</v>
      </c>
      <c r="T1454" s="4" t="s">
        <v>786</v>
      </c>
      <c r="U1454" s="4"/>
      <c r="V1454" s="4"/>
      <c r="W1454" s="4"/>
    </row>
    <row r="1455" spans="1:23" customFormat="1">
      <c r="A1455" s="10"/>
      <c r="B1455" s="4"/>
      <c r="C1455" s="4"/>
      <c r="D1455" s="4"/>
      <c r="E1455" s="4"/>
      <c r="F1455" s="152" t="s">
        <v>371</v>
      </c>
      <c r="G1455" s="4" t="s">
        <v>353</v>
      </c>
      <c r="H1455" s="4"/>
      <c r="I1455" s="196">
        <v>2197450</v>
      </c>
      <c r="J1455" s="196">
        <v>1547.5</v>
      </c>
      <c r="K1455" s="196">
        <v>1420</v>
      </c>
      <c r="L1455" s="454" t="s">
        <v>1267</v>
      </c>
      <c r="M1455" s="4" t="s">
        <v>780</v>
      </c>
      <c r="N1455" s="133" t="s">
        <v>1407</v>
      </c>
      <c r="O1455" s="4" t="s">
        <v>1268</v>
      </c>
      <c r="P1455" s="4" t="s">
        <v>892</v>
      </c>
      <c r="Q1455" s="4" t="s">
        <v>1269</v>
      </c>
      <c r="R1455" s="4" t="s">
        <v>2675</v>
      </c>
      <c r="S1455" s="4" t="s">
        <v>1271</v>
      </c>
      <c r="T1455" s="4" t="s">
        <v>786</v>
      </c>
      <c r="U1455" s="4"/>
      <c r="V1455" s="4"/>
      <c r="W1455" s="4"/>
    </row>
    <row r="1456" spans="1:23" customFormat="1">
      <c r="A1456" s="10"/>
      <c r="B1456" s="4"/>
      <c r="C1456" s="4"/>
      <c r="D1456" s="4"/>
      <c r="E1456" s="4"/>
      <c r="F1456" s="152" t="s">
        <v>371</v>
      </c>
      <c r="G1456" s="4" t="s">
        <v>353</v>
      </c>
      <c r="H1456" s="4"/>
      <c r="I1456" s="196">
        <v>1739500</v>
      </c>
      <c r="J1456" s="196">
        <v>1225</v>
      </c>
      <c r="K1456" s="196">
        <v>1420</v>
      </c>
      <c r="L1456" s="454" t="s">
        <v>1267</v>
      </c>
      <c r="M1456" s="4" t="s">
        <v>780</v>
      </c>
      <c r="N1456" s="133" t="s">
        <v>1407</v>
      </c>
      <c r="O1456" s="4" t="s">
        <v>1268</v>
      </c>
      <c r="P1456" s="4" t="s">
        <v>892</v>
      </c>
      <c r="Q1456" s="4" t="s">
        <v>1269</v>
      </c>
      <c r="R1456" s="4" t="s">
        <v>2676</v>
      </c>
      <c r="S1456" s="4" t="s">
        <v>1271</v>
      </c>
      <c r="T1456" s="4" t="s">
        <v>786</v>
      </c>
      <c r="U1456" s="4"/>
      <c r="V1456" s="4"/>
      <c r="W1456" s="4"/>
    </row>
    <row r="1457" spans="1:23" customFormat="1">
      <c r="A1457" s="10"/>
      <c r="B1457" s="4"/>
      <c r="C1457" s="4"/>
      <c r="D1457" s="4"/>
      <c r="E1457" s="4"/>
      <c r="F1457" s="152" t="s">
        <v>371</v>
      </c>
      <c r="G1457" s="4" t="s">
        <v>353</v>
      </c>
      <c r="H1457" s="4"/>
      <c r="I1457" s="196">
        <v>2197450</v>
      </c>
      <c r="J1457" s="196">
        <v>1547.5</v>
      </c>
      <c r="K1457" s="196">
        <v>1420</v>
      </c>
      <c r="L1457" s="454" t="s">
        <v>1267</v>
      </c>
      <c r="M1457" s="4" t="s">
        <v>780</v>
      </c>
      <c r="N1457" s="133" t="s">
        <v>1407</v>
      </c>
      <c r="O1457" s="4" t="s">
        <v>1268</v>
      </c>
      <c r="P1457" s="4" t="s">
        <v>892</v>
      </c>
      <c r="Q1457" s="4" t="s">
        <v>1269</v>
      </c>
      <c r="R1457" s="4" t="s">
        <v>2677</v>
      </c>
      <c r="S1457" s="4" t="s">
        <v>1271</v>
      </c>
      <c r="T1457" s="4" t="s">
        <v>786</v>
      </c>
      <c r="U1457" s="4"/>
      <c r="V1457" s="4"/>
      <c r="W1457" s="4"/>
    </row>
    <row r="1458" spans="1:23" customFormat="1">
      <c r="A1458" s="10"/>
      <c r="B1458" s="4"/>
      <c r="C1458" s="4"/>
      <c r="D1458" s="4"/>
      <c r="E1458" s="4"/>
      <c r="F1458" s="152" t="s">
        <v>371</v>
      </c>
      <c r="G1458" s="4" t="s">
        <v>353</v>
      </c>
      <c r="H1458" s="4"/>
      <c r="I1458" s="196">
        <v>11778900</v>
      </c>
      <c r="J1458" s="196">
        <v>8295</v>
      </c>
      <c r="K1458" s="196">
        <v>1420</v>
      </c>
      <c r="L1458" s="454" t="s">
        <v>1267</v>
      </c>
      <c r="M1458" s="4" t="s">
        <v>780</v>
      </c>
      <c r="N1458" s="133" t="s">
        <v>1407</v>
      </c>
      <c r="O1458" s="4" t="s">
        <v>1268</v>
      </c>
      <c r="P1458" s="4" t="s">
        <v>892</v>
      </c>
      <c r="Q1458" s="4" t="s">
        <v>1269</v>
      </c>
      <c r="R1458" s="4" t="s">
        <v>2678</v>
      </c>
      <c r="S1458" s="4" t="s">
        <v>1271</v>
      </c>
      <c r="T1458" s="4" t="s">
        <v>786</v>
      </c>
      <c r="U1458" s="4"/>
      <c r="V1458" s="4"/>
      <c r="W1458" s="4"/>
    </row>
    <row r="1459" spans="1:23" customFormat="1">
      <c r="A1459" s="10"/>
      <c r="B1459" s="4"/>
      <c r="C1459" s="4"/>
      <c r="D1459" s="4"/>
      <c r="E1459" s="4"/>
      <c r="F1459" s="152" t="s">
        <v>371</v>
      </c>
      <c r="G1459" s="4" t="s">
        <v>353</v>
      </c>
      <c r="H1459" s="4"/>
      <c r="I1459" s="196">
        <v>18044250</v>
      </c>
      <c r="J1459" s="196">
        <v>12275</v>
      </c>
      <c r="K1459" s="196">
        <v>1470</v>
      </c>
      <c r="L1459" s="454" t="s">
        <v>1239</v>
      </c>
      <c r="M1459" s="4" t="s">
        <v>780</v>
      </c>
      <c r="N1459" s="133" t="s">
        <v>1407</v>
      </c>
      <c r="O1459" s="4" t="s">
        <v>2679</v>
      </c>
      <c r="P1459" s="4" t="s">
        <v>892</v>
      </c>
      <c r="Q1459" s="4" t="s">
        <v>2680</v>
      </c>
      <c r="R1459" s="4" t="s">
        <v>2681</v>
      </c>
      <c r="S1459" s="4" t="s">
        <v>2682</v>
      </c>
      <c r="T1459" s="4" t="s">
        <v>786</v>
      </c>
      <c r="U1459" s="4"/>
      <c r="V1459" s="4"/>
      <c r="W1459" s="4"/>
    </row>
    <row r="1460" spans="1:23" customFormat="1">
      <c r="A1460" s="10"/>
      <c r="B1460" s="4"/>
      <c r="C1460" s="4"/>
      <c r="D1460" s="4"/>
      <c r="E1460" s="4"/>
      <c r="F1460" s="152" t="s">
        <v>371</v>
      </c>
      <c r="G1460" s="4" t="s">
        <v>353</v>
      </c>
      <c r="H1460" s="4"/>
      <c r="I1460" s="196">
        <v>1863739.5</v>
      </c>
      <c r="J1460" s="196">
        <v>1267.8499999999999</v>
      </c>
      <c r="K1460" s="196">
        <v>1470</v>
      </c>
      <c r="L1460" s="454" t="s">
        <v>1239</v>
      </c>
      <c r="M1460" s="4" t="s">
        <v>780</v>
      </c>
      <c r="N1460" s="133" t="s">
        <v>1407</v>
      </c>
      <c r="O1460" s="4" t="s">
        <v>2679</v>
      </c>
      <c r="P1460" s="4" t="s">
        <v>892</v>
      </c>
      <c r="Q1460" s="4" t="s">
        <v>2680</v>
      </c>
      <c r="R1460" s="4" t="s">
        <v>2683</v>
      </c>
      <c r="S1460" s="4" t="s">
        <v>2682</v>
      </c>
      <c r="T1460" s="4" t="s">
        <v>786</v>
      </c>
      <c r="U1460" s="4"/>
      <c r="V1460" s="4"/>
      <c r="W1460" s="4"/>
    </row>
    <row r="1461" spans="1:23" customFormat="1">
      <c r="A1461" s="10"/>
      <c r="B1461" s="4"/>
      <c r="C1461" s="4"/>
      <c r="D1461" s="4"/>
      <c r="E1461" s="4"/>
      <c r="F1461" s="152" t="s">
        <v>371</v>
      </c>
      <c r="G1461" s="4" t="s">
        <v>353</v>
      </c>
      <c r="H1461" s="4"/>
      <c r="I1461" s="196">
        <v>4498200</v>
      </c>
      <c r="J1461" s="196">
        <v>3060</v>
      </c>
      <c r="K1461" s="196">
        <v>1470</v>
      </c>
      <c r="L1461" s="454" t="s">
        <v>1239</v>
      </c>
      <c r="M1461" s="4" t="s">
        <v>780</v>
      </c>
      <c r="N1461" s="133" t="s">
        <v>1407</v>
      </c>
      <c r="O1461" s="4" t="s">
        <v>2679</v>
      </c>
      <c r="P1461" s="4" t="s">
        <v>892</v>
      </c>
      <c r="Q1461" s="4" t="s">
        <v>2680</v>
      </c>
      <c r="R1461" s="4" t="s">
        <v>2684</v>
      </c>
      <c r="S1461" s="4" t="s">
        <v>2682</v>
      </c>
      <c r="T1461" s="4" t="s">
        <v>786</v>
      </c>
      <c r="U1461" s="4"/>
      <c r="V1461" s="4"/>
      <c r="W1461" s="4"/>
    </row>
    <row r="1462" spans="1:23" customFormat="1">
      <c r="A1462" s="10"/>
      <c r="B1462" s="4"/>
      <c r="C1462" s="4"/>
      <c r="D1462" s="4"/>
      <c r="E1462" s="4"/>
      <c r="F1462" s="152" t="s">
        <v>371</v>
      </c>
      <c r="G1462" s="4" t="s">
        <v>353</v>
      </c>
      <c r="H1462" s="4"/>
      <c r="I1462" s="196">
        <v>2017575</v>
      </c>
      <c r="J1462" s="196">
        <v>1372.5</v>
      </c>
      <c r="K1462" s="196">
        <v>1470</v>
      </c>
      <c r="L1462" s="454" t="s">
        <v>1239</v>
      </c>
      <c r="M1462" s="4" t="s">
        <v>780</v>
      </c>
      <c r="N1462" s="133" t="s">
        <v>1407</v>
      </c>
      <c r="O1462" s="4" t="s">
        <v>2679</v>
      </c>
      <c r="P1462" s="4" t="s">
        <v>892</v>
      </c>
      <c r="Q1462" s="4" t="s">
        <v>2680</v>
      </c>
      <c r="R1462" s="4" t="s">
        <v>2685</v>
      </c>
      <c r="S1462" s="4" t="s">
        <v>2682</v>
      </c>
      <c r="T1462" s="4" t="s">
        <v>786</v>
      </c>
      <c r="U1462" s="4"/>
      <c r="V1462" s="4"/>
      <c r="W1462" s="4"/>
    </row>
    <row r="1463" spans="1:23" customFormat="1">
      <c r="A1463" s="10"/>
      <c r="B1463" s="4"/>
      <c r="C1463" s="4"/>
      <c r="D1463" s="4"/>
      <c r="E1463" s="4"/>
      <c r="F1463" s="152" t="s">
        <v>371</v>
      </c>
      <c r="G1463" s="4" t="s">
        <v>353</v>
      </c>
      <c r="H1463" s="4"/>
      <c r="I1463" s="196">
        <v>14067900</v>
      </c>
      <c r="J1463" s="196">
        <v>9570</v>
      </c>
      <c r="K1463" s="196">
        <v>1470</v>
      </c>
      <c r="L1463" s="454" t="s">
        <v>1239</v>
      </c>
      <c r="M1463" s="4" t="s">
        <v>780</v>
      </c>
      <c r="N1463" s="133" t="s">
        <v>1407</v>
      </c>
      <c r="O1463" s="4" t="s">
        <v>2679</v>
      </c>
      <c r="P1463" s="4" t="s">
        <v>892</v>
      </c>
      <c r="Q1463" s="4" t="s">
        <v>2680</v>
      </c>
      <c r="R1463" s="4" t="s">
        <v>2686</v>
      </c>
      <c r="S1463" s="4" t="s">
        <v>2682</v>
      </c>
      <c r="T1463" s="4" t="s">
        <v>786</v>
      </c>
      <c r="U1463" s="4"/>
      <c r="V1463" s="4"/>
      <c r="W1463" s="4"/>
    </row>
    <row r="1464" spans="1:23" customFormat="1">
      <c r="A1464" s="10"/>
      <c r="B1464" s="4"/>
      <c r="C1464" s="4"/>
      <c r="D1464" s="4"/>
      <c r="E1464" s="4"/>
      <c r="F1464" s="152" t="s">
        <v>371</v>
      </c>
      <c r="G1464" s="4" t="s">
        <v>353</v>
      </c>
      <c r="H1464" s="4"/>
      <c r="I1464" s="196">
        <v>6005979</v>
      </c>
      <c r="J1464" s="196">
        <v>4085.7</v>
      </c>
      <c r="K1464" s="196">
        <v>1470</v>
      </c>
      <c r="L1464" s="454" t="s">
        <v>1239</v>
      </c>
      <c r="M1464" s="4" t="s">
        <v>780</v>
      </c>
      <c r="N1464" s="133" t="s">
        <v>1407</v>
      </c>
      <c r="O1464" s="4" t="s">
        <v>2679</v>
      </c>
      <c r="P1464" s="4" t="s">
        <v>892</v>
      </c>
      <c r="Q1464" s="4" t="s">
        <v>2680</v>
      </c>
      <c r="R1464" s="4" t="s">
        <v>2687</v>
      </c>
      <c r="S1464" s="4" t="s">
        <v>2682</v>
      </c>
      <c r="T1464" s="4" t="s">
        <v>786</v>
      </c>
      <c r="U1464" s="4"/>
      <c r="V1464" s="4"/>
      <c r="W1464" s="4"/>
    </row>
    <row r="1465" spans="1:23" customFormat="1">
      <c r="A1465" s="10"/>
      <c r="B1465" s="4"/>
      <c r="C1465" s="4"/>
      <c r="D1465" s="4"/>
      <c r="E1465" s="4"/>
      <c r="F1465" s="152" t="s">
        <v>371</v>
      </c>
      <c r="G1465" s="4" t="s">
        <v>353</v>
      </c>
      <c r="H1465" s="4"/>
      <c r="I1465" s="196">
        <v>5027400</v>
      </c>
      <c r="J1465" s="196">
        <v>3420</v>
      </c>
      <c r="K1465" s="196">
        <v>1470</v>
      </c>
      <c r="L1465" s="454" t="s">
        <v>1239</v>
      </c>
      <c r="M1465" s="4" t="s">
        <v>780</v>
      </c>
      <c r="N1465" s="133" t="s">
        <v>1407</v>
      </c>
      <c r="O1465" s="4" t="s">
        <v>2679</v>
      </c>
      <c r="P1465" s="4" t="s">
        <v>892</v>
      </c>
      <c r="Q1465" s="4" t="s">
        <v>2680</v>
      </c>
      <c r="R1465" s="4" t="s">
        <v>2689</v>
      </c>
      <c r="S1465" s="4" t="s">
        <v>2682</v>
      </c>
      <c r="T1465" s="4" t="s">
        <v>786</v>
      </c>
      <c r="U1465" s="4"/>
      <c r="V1465" s="4"/>
      <c r="W1465" s="4"/>
    </row>
    <row r="1466" spans="1:23" customFormat="1">
      <c r="A1466" s="10"/>
      <c r="B1466" s="4"/>
      <c r="C1466" s="4"/>
      <c r="D1466" s="4"/>
      <c r="E1466" s="4"/>
      <c r="F1466" s="152" t="s">
        <v>371</v>
      </c>
      <c r="G1466" s="4" t="s">
        <v>353</v>
      </c>
      <c r="H1466" s="4"/>
      <c r="I1466" s="196">
        <v>2520315</v>
      </c>
      <c r="J1466" s="196">
        <v>1714.5</v>
      </c>
      <c r="K1466" s="196">
        <v>1470</v>
      </c>
      <c r="L1466" s="454" t="s">
        <v>1239</v>
      </c>
      <c r="M1466" s="4" t="s">
        <v>780</v>
      </c>
      <c r="N1466" s="133" t="s">
        <v>1407</v>
      </c>
      <c r="O1466" s="4" t="s">
        <v>2679</v>
      </c>
      <c r="P1466" s="4" t="s">
        <v>892</v>
      </c>
      <c r="Q1466" s="4" t="s">
        <v>2680</v>
      </c>
      <c r="R1466" s="4" t="s">
        <v>2692</v>
      </c>
      <c r="S1466" s="4" t="s">
        <v>2682</v>
      </c>
      <c r="T1466" s="4" t="s">
        <v>786</v>
      </c>
      <c r="U1466" s="4"/>
      <c r="V1466" s="4"/>
      <c r="W1466" s="4"/>
    </row>
    <row r="1467" spans="1:23" customFormat="1">
      <c r="A1467" s="10"/>
      <c r="B1467" s="4"/>
      <c r="C1467" s="4"/>
      <c r="D1467" s="4"/>
      <c r="E1467" s="4"/>
      <c r="F1467" s="152" t="s">
        <v>371</v>
      </c>
      <c r="G1467" s="4" t="s">
        <v>353</v>
      </c>
      <c r="H1467" s="4"/>
      <c r="I1467" s="196">
        <v>981225</v>
      </c>
      <c r="J1467" s="196">
        <v>667.5</v>
      </c>
      <c r="K1467" s="196">
        <v>1470</v>
      </c>
      <c r="L1467" s="454" t="s">
        <v>1239</v>
      </c>
      <c r="M1467" s="4" t="s">
        <v>780</v>
      </c>
      <c r="N1467" s="133" t="s">
        <v>1407</v>
      </c>
      <c r="O1467" s="4" t="s">
        <v>2679</v>
      </c>
      <c r="P1467" s="4" t="s">
        <v>892</v>
      </c>
      <c r="Q1467" s="4" t="s">
        <v>2680</v>
      </c>
      <c r="R1467" s="4" t="s">
        <v>2693</v>
      </c>
      <c r="S1467" s="4" t="s">
        <v>2682</v>
      </c>
      <c r="T1467" s="4" t="s">
        <v>786</v>
      </c>
      <c r="U1467" s="4"/>
      <c r="V1467" s="4"/>
      <c r="W1467" s="4"/>
    </row>
    <row r="1468" spans="1:23" customFormat="1">
      <c r="A1468" s="10"/>
      <c r="B1468" s="4"/>
      <c r="C1468" s="4"/>
      <c r="D1468" s="4"/>
      <c r="E1468" s="4"/>
      <c r="F1468" s="152" t="s">
        <v>371</v>
      </c>
      <c r="G1468" s="4" t="s">
        <v>353</v>
      </c>
      <c r="H1468" s="4"/>
      <c r="I1468" s="196">
        <v>2947350</v>
      </c>
      <c r="J1468" s="196">
        <v>2005</v>
      </c>
      <c r="K1468" s="196">
        <v>1470</v>
      </c>
      <c r="L1468" s="454" t="s">
        <v>1239</v>
      </c>
      <c r="M1468" s="4" t="s">
        <v>780</v>
      </c>
      <c r="N1468" s="133" t="s">
        <v>1407</v>
      </c>
      <c r="O1468" s="4" t="s">
        <v>2679</v>
      </c>
      <c r="P1468" s="4" t="s">
        <v>892</v>
      </c>
      <c r="Q1468" s="4" t="s">
        <v>2680</v>
      </c>
      <c r="R1468" s="4" t="s">
        <v>2690</v>
      </c>
      <c r="S1468" s="4" t="s">
        <v>2682</v>
      </c>
      <c r="T1468" s="4" t="s">
        <v>786</v>
      </c>
      <c r="U1468" s="4"/>
      <c r="V1468" s="4"/>
      <c r="W1468" s="4"/>
    </row>
    <row r="1469" spans="1:23" customFormat="1">
      <c r="A1469" s="10"/>
      <c r="B1469" s="4"/>
      <c r="C1469" s="4"/>
      <c r="D1469" s="4"/>
      <c r="E1469" s="4"/>
      <c r="F1469" s="152" t="s">
        <v>371</v>
      </c>
      <c r="G1469" s="4" t="s">
        <v>353</v>
      </c>
      <c r="H1469" s="4"/>
      <c r="I1469" s="196">
        <v>2454900</v>
      </c>
      <c r="J1469" s="196">
        <v>1670</v>
      </c>
      <c r="K1469" s="196">
        <v>1470</v>
      </c>
      <c r="L1469" s="454" t="s">
        <v>1239</v>
      </c>
      <c r="M1469" s="4" t="s">
        <v>780</v>
      </c>
      <c r="N1469" s="133" t="s">
        <v>1407</v>
      </c>
      <c r="O1469" s="4" t="s">
        <v>2679</v>
      </c>
      <c r="P1469" s="4" t="s">
        <v>892</v>
      </c>
      <c r="Q1469" s="4" t="s">
        <v>2680</v>
      </c>
      <c r="R1469" s="4" t="s">
        <v>2688</v>
      </c>
      <c r="S1469" s="4" t="s">
        <v>2682</v>
      </c>
      <c r="T1469" s="4" t="s">
        <v>786</v>
      </c>
      <c r="U1469" s="4"/>
      <c r="V1469" s="4"/>
      <c r="W1469" s="4"/>
    </row>
    <row r="1470" spans="1:23" customFormat="1">
      <c r="A1470" s="10"/>
      <c r="B1470" s="4"/>
      <c r="C1470" s="4"/>
      <c r="D1470" s="4"/>
      <c r="E1470" s="4"/>
      <c r="F1470" s="152" t="s">
        <v>371</v>
      </c>
      <c r="G1470" s="4" t="s">
        <v>353</v>
      </c>
      <c r="H1470" s="4"/>
      <c r="I1470" s="196">
        <v>4814250</v>
      </c>
      <c r="J1470" s="196">
        <v>3275</v>
      </c>
      <c r="K1470" s="196">
        <v>1470</v>
      </c>
      <c r="L1470" s="454" t="s">
        <v>1239</v>
      </c>
      <c r="M1470" s="4" t="s">
        <v>780</v>
      </c>
      <c r="N1470" s="133" t="s">
        <v>1407</v>
      </c>
      <c r="O1470" s="4" t="s">
        <v>2679</v>
      </c>
      <c r="P1470" s="4" t="s">
        <v>892</v>
      </c>
      <c r="Q1470" s="4" t="s">
        <v>2680</v>
      </c>
      <c r="R1470" s="4" t="s">
        <v>2691</v>
      </c>
      <c r="S1470" s="4" t="s">
        <v>2682</v>
      </c>
      <c r="T1470" s="4" t="s">
        <v>786</v>
      </c>
      <c r="U1470" s="4"/>
      <c r="V1470" s="4"/>
      <c r="W1470" s="4"/>
    </row>
    <row r="1471" spans="1:23" customFormat="1">
      <c r="A1471" s="10"/>
      <c r="B1471" s="4"/>
      <c r="C1471" s="4"/>
      <c r="D1471" s="4"/>
      <c r="E1471" s="4"/>
      <c r="F1471" s="152" t="s">
        <v>371</v>
      </c>
      <c r="G1471" s="4" t="s">
        <v>353</v>
      </c>
      <c r="H1471" s="4"/>
      <c r="I1471" s="196">
        <v>2885610</v>
      </c>
      <c r="J1471" s="196">
        <v>1963</v>
      </c>
      <c r="K1471" s="196">
        <v>1470</v>
      </c>
      <c r="L1471" s="454" t="s">
        <v>1239</v>
      </c>
      <c r="M1471" s="4" t="s">
        <v>780</v>
      </c>
      <c r="N1471" s="133" t="s">
        <v>1407</v>
      </c>
      <c r="O1471" s="4" t="s">
        <v>2679</v>
      </c>
      <c r="P1471" s="4" t="s">
        <v>892</v>
      </c>
      <c r="Q1471" s="4" t="s">
        <v>2680</v>
      </c>
      <c r="R1471" s="4" t="s">
        <v>2694</v>
      </c>
      <c r="S1471" s="4" t="s">
        <v>2682</v>
      </c>
      <c r="T1471" s="4" t="s">
        <v>786</v>
      </c>
      <c r="U1471" s="4"/>
      <c r="V1471" s="4"/>
      <c r="W1471" s="4"/>
    </row>
    <row r="1472" spans="1:23" customFormat="1">
      <c r="A1472" s="10"/>
      <c r="B1472" s="4"/>
      <c r="C1472" s="4"/>
      <c r="D1472" s="4"/>
      <c r="E1472" s="4"/>
      <c r="F1472" s="152" t="s">
        <v>371</v>
      </c>
      <c r="G1472" s="4" t="s">
        <v>353</v>
      </c>
      <c r="H1472" s="4"/>
      <c r="I1472" s="196">
        <v>3142125</v>
      </c>
      <c r="J1472" s="196">
        <v>2137.5</v>
      </c>
      <c r="K1472" s="196">
        <v>1470</v>
      </c>
      <c r="L1472" s="454" t="s">
        <v>1239</v>
      </c>
      <c r="M1472" s="4" t="s">
        <v>780</v>
      </c>
      <c r="N1472" s="133" t="s">
        <v>1407</v>
      </c>
      <c r="O1472" s="4" t="s">
        <v>1402</v>
      </c>
      <c r="P1472" s="4" t="s">
        <v>892</v>
      </c>
      <c r="Q1472" s="4" t="s">
        <v>1403</v>
      </c>
      <c r="R1472" s="4" t="s">
        <v>2696</v>
      </c>
      <c r="S1472" s="4" t="s">
        <v>1405</v>
      </c>
      <c r="T1472" s="4" t="s">
        <v>786</v>
      </c>
      <c r="U1472" s="4"/>
      <c r="V1472" s="4"/>
      <c r="W1472" s="4"/>
    </row>
    <row r="1473" spans="1:23" customFormat="1">
      <c r="A1473" s="10"/>
      <c r="B1473" s="4"/>
      <c r="C1473" s="4"/>
      <c r="D1473" s="4"/>
      <c r="E1473" s="4"/>
      <c r="F1473" s="152" t="s">
        <v>371</v>
      </c>
      <c r="G1473" s="4" t="s">
        <v>353</v>
      </c>
      <c r="H1473" s="4"/>
      <c r="I1473" s="196">
        <v>617400</v>
      </c>
      <c r="J1473" s="196">
        <v>420</v>
      </c>
      <c r="K1473" s="196">
        <v>1470</v>
      </c>
      <c r="L1473" s="454" t="s">
        <v>1239</v>
      </c>
      <c r="M1473" s="4" t="s">
        <v>780</v>
      </c>
      <c r="N1473" s="133" t="s">
        <v>1407</v>
      </c>
      <c r="O1473" s="4" t="s">
        <v>1402</v>
      </c>
      <c r="P1473" s="4" t="s">
        <v>892</v>
      </c>
      <c r="Q1473" s="4" t="s">
        <v>1403</v>
      </c>
      <c r="R1473" s="4" t="s">
        <v>2699</v>
      </c>
      <c r="S1473" s="4" t="s">
        <v>1405</v>
      </c>
      <c r="T1473" s="4" t="s">
        <v>786</v>
      </c>
      <c r="U1473" s="4"/>
      <c r="V1473" s="4"/>
      <c r="W1473" s="4"/>
    </row>
    <row r="1474" spans="1:23" customFormat="1">
      <c r="A1474" s="10"/>
      <c r="B1474" s="4"/>
      <c r="C1474" s="4"/>
      <c r="D1474" s="4"/>
      <c r="E1474" s="4"/>
      <c r="F1474" s="152" t="s">
        <v>371</v>
      </c>
      <c r="G1474" s="4" t="s">
        <v>353</v>
      </c>
      <c r="H1474" s="4"/>
      <c r="I1474" s="196">
        <v>1874250</v>
      </c>
      <c r="J1474" s="196">
        <v>1275</v>
      </c>
      <c r="K1474" s="196">
        <v>1470</v>
      </c>
      <c r="L1474" s="454" t="s">
        <v>1239</v>
      </c>
      <c r="M1474" s="4" t="s">
        <v>780</v>
      </c>
      <c r="N1474" s="133" t="s">
        <v>1407</v>
      </c>
      <c r="O1474" s="4" t="s">
        <v>1402</v>
      </c>
      <c r="P1474" s="4" t="s">
        <v>892</v>
      </c>
      <c r="Q1474" s="4" t="s">
        <v>1403</v>
      </c>
      <c r="R1474" s="4" t="s">
        <v>2695</v>
      </c>
      <c r="S1474" s="4" t="s">
        <v>1405</v>
      </c>
      <c r="T1474" s="4" t="s">
        <v>786</v>
      </c>
      <c r="U1474" s="4"/>
      <c r="V1474" s="4"/>
      <c r="W1474" s="4"/>
    </row>
    <row r="1475" spans="1:23" customFormat="1">
      <c r="A1475" s="10"/>
      <c r="B1475" s="4"/>
      <c r="C1475" s="4"/>
      <c r="D1475" s="4"/>
      <c r="E1475" s="4"/>
      <c r="F1475" s="152" t="s">
        <v>371</v>
      </c>
      <c r="G1475" s="4" t="s">
        <v>353</v>
      </c>
      <c r="H1475" s="4"/>
      <c r="I1475" s="196">
        <v>1874250</v>
      </c>
      <c r="J1475" s="196">
        <v>1275</v>
      </c>
      <c r="K1475" s="196">
        <v>1470</v>
      </c>
      <c r="L1475" s="454" t="s">
        <v>1239</v>
      </c>
      <c r="M1475" s="4" t="s">
        <v>780</v>
      </c>
      <c r="N1475" s="133" t="s">
        <v>1407</v>
      </c>
      <c r="O1475" s="4" t="s">
        <v>1402</v>
      </c>
      <c r="P1475" s="4" t="s">
        <v>892</v>
      </c>
      <c r="Q1475" s="4" t="s">
        <v>1403</v>
      </c>
      <c r="R1475" s="4" t="s">
        <v>2698</v>
      </c>
      <c r="S1475" s="4" t="s">
        <v>1405</v>
      </c>
      <c r="T1475" s="4" t="s">
        <v>786</v>
      </c>
      <c r="U1475" s="4"/>
      <c r="V1475" s="4"/>
      <c r="W1475" s="4"/>
    </row>
    <row r="1476" spans="1:23" customFormat="1">
      <c r="A1476" s="10"/>
      <c r="B1476" s="4"/>
      <c r="C1476" s="4"/>
      <c r="D1476" s="4"/>
      <c r="E1476" s="4"/>
      <c r="F1476" s="152" t="s">
        <v>371</v>
      </c>
      <c r="G1476" s="4" t="s">
        <v>353</v>
      </c>
      <c r="H1476" s="4"/>
      <c r="I1476" s="196">
        <v>5056800</v>
      </c>
      <c r="J1476" s="196">
        <v>3440</v>
      </c>
      <c r="K1476" s="196">
        <v>1470</v>
      </c>
      <c r="L1476" s="454" t="s">
        <v>1239</v>
      </c>
      <c r="M1476" s="4" t="s">
        <v>780</v>
      </c>
      <c r="N1476" s="133" t="s">
        <v>1407</v>
      </c>
      <c r="O1476" s="4" t="s">
        <v>1402</v>
      </c>
      <c r="P1476" s="4" t="s">
        <v>892</v>
      </c>
      <c r="Q1476" s="4" t="s">
        <v>1403</v>
      </c>
      <c r="R1476" s="4" t="s">
        <v>2697</v>
      </c>
      <c r="S1476" s="4" t="s">
        <v>1405</v>
      </c>
      <c r="T1476" s="4" t="s">
        <v>786</v>
      </c>
      <c r="U1476" s="4"/>
      <c r="V1476" s="4"/>
      <c r="W1476" s="4"/>
    </row>
    <row r="1477" spans="1:23" customFormat="1">
      <c r="A1477" s="10"/>
      <c r="B1477" s="4"/>
      <c r="C1477" s="4"/>
      <c r="D1477" s="4"/>
      <c r="E1477" s="4"/>
      <c r="F1477" s="152" t="s">
        <v>371</v>
      </c>
      <c r="G1477" s="4" t="s">
        <v>353</v>
      </c>
      <c r="H1477" s="4"/>
      <c r="I1477" s="196">
        <v>9922500</v>
      </c>
      <c r="J1477" s="196">
        <v>6750</v>
      </c>
      <c r="K1477" s="196">
        <v>1470</v>
      </c>
      <c r="L1477" s="454" t="s">
        <v>1239</v>
      </c>
      <c r="M1477" s="4" t="s">
        <v>780</v>
      </c>
      <c r="N1477" s="133" t="s">
        <v>1407</v>
      </c>
      <c r="O1477" s="4" t="s">
        <v>1402</v>
      </c>
      <c r="P1477" s="4" t="s">
        <v>892</v>
      </c>
      <c r="Q1477" s="4" t="s">
        <v>1403</v>
      </c>
      <c r="R1477" s="4" t="s">
        <v>2700</v>
      </c>
      <c r="S1477" s="4" t="s">
        <v>1405</v>
      </c>
      <c r="T1477" s="4" t="s">
        <v>786</v>
      </c>
      <c r="U1477" s="4"/>
      <c r="V1477" s="4"/>
      <c r="W1477" s="4"/>
    </row>
    <row r="1478" spans="1:23" customFormat="1">
      <c r="A1478" s="10"/>
      <c r="B1478" s="4"/>
      <c r="C1478" s="4"/>
      <c r="D1478" s="4"/>
      <c r="E1478" s="4"/>
      <c r="F1478" s="152" t="s">
        <v>371</v>
      </c>
      <c r="G1478" s="4" t="s">
        <v>353</v>
      </c>
      <c r="H1478" s="4"/>
      <c r="I1478" s="196">
        <v>3932250</v>
      </c>
      <c r="J1478" s="196">
        <v>2675</v>
      </c>
      <c r="K1478" s="196">
        <v>1470</v>
      </c>
      <c r="L1478" s="454" t="s">
        <v>1239</v>
      </c>
      <c r="M1478" s="4" t="s">
        <v>780</v>
      </c>
      <c r="N1478" s="133" t="s">
        <v>1407</v>
      </c>
      <c r="O1478" s="4" t="s">
        <v>1402</v>
      </c>
      <c r="P1478" s="4" t="s">
        <v>892</v>
      </c>
      <c r="Q1478" s="4" t="s">
        <v>1403</v>
      </c>
      <c r="R1478" s="4" t="s">
        <v>2701</v>
      </c>
      <c r="S1478" s="4" t="s">
        <v>1405</v>
      </c>
      <c r="T1478" s="4" t="s">
        <v>786</v>
      </c>
      <c r="U1478" s="4"/>
      <c r="V1478" s="4"/>
      <c r="W1478" s="4"/>
    </row>
    <row r="1479" spans="1:23" customFormat="1">
      <c r="A1479" s="10"/>
      <c r="B1479" s="4"/>
      <c r="C1479" s="4"/>
      <c r="D1479" s="4"/>
      <c r="E1479" s="4"/>
      <c r="F1479" s="152" t="s">
        <v>371</v>
      </c>
      <c r="G1479" s="4" t="s">
        <v>353</v>
      </c>
      <c r="H1479" s="4"/>
      <c r="I1479" s="196">
        <v>1739500</v>
      </c>
      <c r="J1479" s="196">
        <v>1225</v>
      </c>
      <c r="K1479" s="196">
        <v>1420</v>
      </c>
      <c r="L1479" s="454" t="s">
        <v>1239</v>
      </c>
      <c r="M1479" s="4" t="s">
        <v>780</v>
      </c>
      <c r="N1479" s="133" t="s">
        <v>1407</v>
      </c>
      <c r="O1479" s="4" t="s">
        <v>1402</v>
      </c>
      <c r="P1479" s="4" t="s">
        <v>892</v>
      </c>
      <c r="Q1479" s="4" t="s">
        <v>1403</v>
      </c>
      <c r="R1479" s="4" t="s">
        <v>2704</v>
      </c>
      <c r="S1479" s="4" t="s">
        <v>1405</v>
      </c>
      <c r="T1479" s="4" t="s">
        <v>786</v>
      </c>
      <c r="U1479" s="4"/>
      <c r="V1479" s="4"/>
      <c r="W1479" s="4"/>
    </row>
    <row r="1480" spans="1:23" customFormat="1">
      <c r="A1480" s="10"/>
      <c r="B1480" s="4"/>
      <c r="C1480" s="4"/>
      <c r="D1480" s="4"/>
      <c r="E1480" s="4"/>
      <c r="F1480" s="152" t="s">
        <v>371</v>
      </c>
      <c r="G1480" s="4" t="s">
        <v>353</v>
      </c>
      <c r="H1480" s="4"/>
      <c r="I1480" s="196">
        <v>1613325</v>
      </c>
      <c r="J1480" s="196">
        <v>1097.5</v>
      </c>
      <c r="K1480" s="196">
        <v>1470</v>
      </c>
      <c r="L1480" s="454" t="s">
        <v>1239</v>
      </c>
      <c r="M1480" s="4" t="s">
        <v>780</v>
      </c>
      <c r="N1480" s="133" t="s">
        <v>1407</v>
      </c>
      <c r="O1480" s="4" t="s">
        <v>1402</v>
      </c>
      <c r="P1480" s="4" t="s">
        <v>892</v>
      </c>
      <c r="Q1480" s="4" t="s">
        <v>1403</v>
      </c>
      <c r="R1480" s="4" t="s">
        <v>2702</v>
      </c>
      <c r="S1480" s="4" t="s">
        <v>1405</v>
      </c>
      <c r="T1480" s="4" t="s">
        <v>786</v>
      </c>
      <c r="U1480" s="4"/>
      <c r="V1480" s="4"/>
      <c r="W1480" s="4"/>
    </row>
    <row r="1481" spans="1:23" customFormat="1">
      <c r="A1481" s="10"/>
      <c r="B1481" s="4"/>
      <c r="C1481" s="4"/>
      <c r="D1481" s="4"/>
      <c r="E1481" s="4"/>
      <c r="F1481" s="152" t="s">
        <v>371</v>
      </c>
      <c r="G1481" s="4" t="s">
        <v>353</v>
      </c>
      <c r="H1481" s="4"/>
      <c r="I1481" s="196">
        <v>5541900</v>
      </c>
      <c r="J1481" s="196">
        <v>3770</v>
      </c>
      <c r="K1481" s="196">
        <v>1470</v>
      </c>
      <c r="L1481" s="454" t="s">
        <v>1239</v>
      </c>
      <c r="M1481" s="4" t="s">
        <v>780</v>
      </c>
      <c r="N1481" s="133" t="s">
        <v>1407</v>
      </c>
      <c r="O1481" s="4" t="s">
        <v>1402</v>
      </c>
      <c r="P1481" s="4" t="s">
        <v>892</v>
      </c>
      <c r="Q1481" s="4" t="s">
        <v>1403</v>
      </c>
      <c r="R1481" s="4" t="s">
        <v>2701</v>
      </c>
      <c r="S1481" s="4" t="s">
        <v>1405</v>
      </c>
      <c r="T1481" s="4" t="s">
        <v>786</v>
      </c>
      <c r="U1481" s="4"/>
      <c r="V1481" s="4"/>
      <c r="W1481" s="4"/>
    </row>
    <row r="1482" spans="1:23" customFormat="1">
      <c r="A1482" s="10"/>
      <c r="B1482" s="4"/>
      <c r="C1482" s="4"/>
      <c r="D1482" s="4"/>
      <c r="E1482" s="4"/>
      <c r="F1482" s="152" t="s">
        <v>371</v>
      </c>
      <c r="G1482" s="4" t="s">
        <v>353</v>
      </c>
      <c r="H1482" s="4"/>
      <c r="I1482" s="196">
        <v>1903650</v>
      </c>
      <c r="J1482" s="196">
        <v>1295</v>
      </c>
      <c r="K1482" s="196">
        <v>1470</v>
      </c>
      <c r="L1482" s="454" t="s">
        <v>1239</v>
      </c>
      <c r="M1482" s="4" t="s">
        <v>780</v>
      </c>
      <c r="N1482" s="133" t="s">
        <v>1407</v>
      </c>
      <c r="O1482" s="4" t="s">
        <v>1402</v>
      </c>
      <c r="P1482" s="4" t="s">
        <v>892</v>
      </c>
      <c r="Q1482" s="4" t="s">
        <v>1403</v>
      </c>
      <c r="R1482" s="4" t="s">
        <v>2703</v>
      </c>
      <c r="S1482" s="4" t="s">
        <v>1405</v>
      </c>
      <c r="T1482" s="4" t="s">
        <v>786</v>
      </c>
      <c r="U1482" s="4"/>
      <c r="V1482" s="4"/>
      <c r="W1482" s="4"/>
    </row>
    <row r="1483" spans="1:23" customFormat="1">
      <c r="A1483" s="10"/>
      <c r="B1483" s="4"/>
      <c r="C1483" s="4"/>
      <c r="D1483" s="4"/>
      <c r="E1483" s="4"/>
      <c r="F1483" s="152" t="s">
        <v>372</v>
      </c>
      <c r="G1483" s="4" t="s">
        <v>309</v>
      </c>
      <c r="H1483" s="4"/>
      <c r="I1483" s="196">
        <v>-4909976.5999999996</v>
      </c>
      <c r="J1483" s="196">
        <v>-3457.73</v>
      </c>
      <c r="K1483" s="196">
        <v>1420</v>
      </c>
      <c r="L1483" s="454" t="s">
        <v>1113</v>
      </c>
      <c r="M1483" s="4" t="s">
        <v>780</v>
      </c>
      <c r="N1483" s="133" t="s">
        <v>781</v>
      </c>
      <c r="O1483" s="4" t="s">
        <v>1114</v>
      </c>
      <c r="P1483" s="4" t="s">
        <v>892</v>
      </c>
      <c r="Q1483" s="4" t="s">
        <v>1115</v>
      </c>
      <c r="R1483" s="4" t="s">
        <v>1116</v>
      </c>
      <c r="S1483" s="4" t="s">
        <v>1117</v>
      </c>
      <c r="T1483" s="4" t="s">
        <v>786</v>
      </c>
      <c r="U1483" s="4"/>
      <c r="V1483" s="4"/>
      <c r="W1483" s="4"/>
    </row>
    <row r="1484" spans="1:23" customFormat="1">
      <c r="A1484" s="10"/>
      <c r="B1484" s="4"/>
      <c r="C1484" s="4"/>
      <c r="D1484" s="4"/>
      <c r="E1484" s="4"/>
      <c r="F1484" s="152" t="s">
        <v>372</v>
      </c>
      <c r="G1484" s="4" t="s">
        <v>309</v>
      </c>
      <c r="H1484" s="4"/>
      <c r="I1484" s="196">
        <v>-9230000</v>
      </c>
      <c r="J1484" s="196">
        <v>-6500</v>
      </c>
      <c r="K1484" s="196">
        <v>1420</v>
      </c>
      <c r="L1484" s="454" t="s">
        <v>1113</v>
      </c>
      <c r="M1484" s="4" t="s">
        <v>780</v>
      </c>
      <c r="N1484" s="133" t="s">
        <v>781</v>
      </c>
      <c r="O1484" s="4" t="s">
        <v>1114</v>
      </c>
      <c r="P1484" s="4" t="s">
        <v>892</v>
      </c>
      <c r="Q1484" s="4" t="s">
        <v>1115</v>
      </c>
      <c r="R1484" s="4" t="s">
        <v>1118</v>
      </c>
      <c r="S1484" s="4" t="s">
        <v>1117</v>
      </c>
      <c r="T1484" s="4" t="s">
        <v>786</v>
      </c>
      <c r="U1484" s="4"/>
      <c r="V1484" s="4"/>
      <c r="W1484" s="4"/>
    </row>
    <row r="1485" spans="1:23" customFormat="1">
      <c r="A1485" s="10"/>
      <c r="B1485" s="4"/>
      <c r="C1485" s="4"/>
      <c r="D1485" s="4"/>
      <c r="E1485" s="4"/>
      <c r="F1485" s="152" t="s">
        <v>372</v>
      </c>
      <c r="G1485" s="4" t="s">
        <v>309</v>
      </c>
      <c r="H1485" s="4"/>
      <c r="I1485" s="196">
        <v>-113600</v>
      </c>
      <c r="J1485" s="196">
        <v>-80</v>
      </c>
      <c r="K1485" s="196">
        <v>1420</v>
      </c>
      <c r="L1485" s="454" t="s">
        <v>1093</v>
      </c>
      <c r="M1485" s="4" t="s">
        <v>780</v>
      </c>
      <c r="N1485" s="133" t="s">
        <v>781</v>
      </c>
      <c r="O1485" s="4" t="s">
        <v>1129</v>
      </c>
      <c r="P1485" s="4" t="s">
        <v>892</v>
      </c>
      <c r="Q1485" s="4" t="s">
        <v>1130</v>
      </c>
      <c r="R1485" s="4" t="s">
        <v>1131</v>
      </c>
      <c r="S1485" s="4" t="s">
        <v>1132</v>
      </c>
      <c r="T1485" s="4" t="s">
        <v>786</v>
      </c>
      <c r="U1485" s="4"/>
      <c r="V1485" s="4"/>
      <c r="W1485" s="4"/>
    </row>
    <row r="1486" spans="1:23" customFormat="1">
      <c r="A1486" s="10"/>
      <c r="B1486" s="4"/>
      <c r="C1486" s="4"/>
      <c r="D1486" s="4"/>
      <c r="E1486" s="4"/>
      <c r="F1486" s="152" t="s">
        <v>372</v>
      </c>
      <c r="G1486" s="4" t="s">
        <v>309</v>
      </c>
      <c r="H1486" s="4"/>
      <c r="I1486" s="196">
        <v>-119280</v>
      </c>
      <c r="J1486" s="196">
        <v>-84</v>
      </c>
      <c r="K1486" s="196">
        <v>1420</v>
      </c>
      <c r="L1486" s="454" t="s">
        <v>1093</v>
      </c>
      <c r="M1486" s="4" t="s">
        <v>780</v>
      </c>
      <c r="N1486" s="133" t="s">
        <v>781</v>
      </c>
      <c r="O1486" s="4" t="s">
        <v>1129</v>
      </c>
      <c r="P1486" s="4" t="s">
        <v>892</v>
      </c>
      <c r="Q1486" s="4" t="s">
        <v>1130</v>
      </c>
      <c r="R1486" s="4" t="s">
        <v>1133</v>
      </c>
      <c r="S1486" s="4" t="s">
        <v>1132</v>
      </c>
      <c r="T1486" s="4" t="s">
        <v>786</v>
      </c>
      <c r="U1486" s="4"/>
      <c r="V1486" s="4"/>
      <c r="W1486" s="4"/>
    </row>
    <row r="1487" spans="1:23" customFormat="1">
      <c r="A1487" s="10"/>
      <c r="B1487" s="4"/>
      <c r="C1487" s="4"/>
      <c r="D1487" s="4"/>
      <c r="E1487" s="4"/>
      <c r="F1487" s="152" t="s">
        <v>372</v>
      </c>
      <c r="G1487" s="4" t="s">
        <v>309</v>
      </c>
      <c r="H1487" s="4"/>
      <c r="I1487" s="196">
        <v>-369200</v>
      </c>
      <c r="J1487" s="196">
        <v>-260</v>
      </c>
      <c r="K1487" s="196">
        <v>1420</v>
      </c>
      <c r="L1487" s="454" t="s">
        <v>1093</v>
      </c>
      <c r="M1487" s="4" t="s">
        <v>780</v>
      </c>
      <c r="N1487" s="133" t="s">
        <v>781</v>
      </c>
      <c r="O1487" s="4" t="s">
        <v>1129</v>
      </c>
      <c r="P1487" s="4" t="s">
        <v>892</v>
      </c>
      <c r="Q1487" s="4" t="s">
        <v>1130</v>
      </c>
      <c r="R1487" s="4" t="s">
        <v>1134</v>
      </c>
      <c r="S1487" s="4" t="s">
        <v>1132</v>
      </c>
      <c r="T1487" s="4" t="s">
        <v>786</v>
      </c>
      <c r="U1487" s="4"/>
      <c r="V1487" s="4"/>
      <c r="W1487" s="4"/>
    </row>
    <row r="1488" spans="1:23" customFormat="1">
      <c r="A1488" s="10"/>
      <c r="B1488" s="4"/>
      <c r="C1488" s="4"/>
      <c r="D1488" s="4"/>
      <c r="E1488" s="4"/>
      <c r="F1488" s="152" t="s">
        <v>372</v>
      </c>
      <c r="G1488" s="4" t="s">
        <v>309</v>
      </c>
      <c r="H1488" s="4"/>
      <c r="I1488" s="196">
        <v>-2130000</v>
      </c>
      <c r="J1488" s="196">
        <v>-1500</v>
      </c>
      <c r="K1488" s="196">
        <v>1420</v>
      </c>
      <c r="L1488" s="454" t="s">
        <v>1205</v>
      </c>
      <c r="M1488" s="4" t="s">
        <v>780</v>
      </c>
      <c r="N1488" s="133" t="s">
        <v>781</v>
      </c>
      <c r="O1488" s="4" t="s">
        <v>1214</v>
      </c>
      <c r="P1488" s="4" t="s">
        <v>892</v>
      </c>
      <c r="Q1488" s="4" t="s">
        <v>1215</v>
      </c>
      <c r="R1488" s="4" t="s">
        <v>1218</v>
      </c>
      <c r="S1488" s="4" t="s">
        <v>1217</v>
      </c>
      <c r="T1488" s="4" t="s">
        <v>786</v>
      </c>
      <c r="U1488" s="4"/>
      <c r="V1488" s="4"/>
      <c r="W1488" s="4"/>
    </row>
    <row r="1489" spans="1:23" customFormat="1">
      <c r="A1489" s="10"/>
      <c r="B1489" s="4"/>
      <c r="C1489" s="4"/>
      <c r="D1489" s="4"/>
      <c r="E1489" s="4"/>
      <c r="F1489" s="152" t="s">
        <v>372</v>
      </c>
      <c r="G1489" s="4" t="s">
        <v>309</v>
      </c>
      <c r="H1489" s="4"/>
      <c r="I1489" s="196">
        <v>-7395360</v>
      </c>
      <c r="J1489" s="196">
        <v>-5208</v>
      </c>
      <c r="K1489" s="196">
        <v>1420</v>
      </c>
      <c r="L1489" s="454" t="s">
        <v>1205</v>
      </c>
      <c r="M1489" s="4" t="s">
        <v>780</v>
      </c>
      <c r="N1489" s="133" t="s">
        <v>781</v>
      </c>
      <c r="O1489" s="4" t="s">
        <v>1214</v>
      </c>
      <c r="P1489" s="4" t="s">
        <v>892</v>
      </c>
      <c r="Q1489" s="4" t="s">
        <v>1215</v>
      </c>
      <c r="R1489" s="4" t="s">
        <v>1216</v>
      </c>
      <c r="S1489" s="4" t="s">
        <v>1217</v>
      </c>
      <c r="T1489" s="4" t="s">
        <v>786</v>
      </c>
      <c r="U1489" s="4"/>
      <c r="V1489" s="4"/>
      <c r="W1489" s="4"/>
    </row>
    <row r="1490" spans="1:23" customFormat="1">
      <c r="A1490" s="10"/>
      <c r="B1490" s="4"/>
      <c r="C1490" s="4"/>
      <c r="D1490" s="4"/>
      <c r="E1490" s="4"/>
      <c r="F1490" s="152" t="s">
        <v>372</v>
      </c>
      <c r="G1490" s="4" t="s">
        <v>309</v>
      </c>
      <c r="H1490" s="4"/>
      <c r="I1490" s="196">
        <v>-4979940</v>
      </c>
      <c r="J1490" s="196">
        <v>-3507</v>
      </c>
      <c r="K1490" s="196">
        <v>1420</v>
      </c>
      <c r="L1490" s="454" t="s">
        <v>1205</v>
      </c>
      <c r="M1490" s="4" t="s">
        <v>780</v>
      </c>
      <c r="N1490" s="133" t="s">
        <v>781</v>
      </c>
      <c r="O1490" s="4" t="s">
        <v>1214</v>
      </c>
      <c r="P1490" s="4" t="s">
        <v>892</v>
      </c>
      <c r="Q1490" s="4" t="s">
        <v>1215</v>
      </c>
      <c r="R1490" s="4" t="s">
        <v>1220</v>
      </c>
      <c r="S1490" s="4" t="s">
        <v>1217</v>
      </c>
      <c r="T1490" s="4" t="s">
        <v>786</v>
      </c>
      <c r="U1490" s="4"/>
      <c r="V1490" s="4"/>
      <c r="W1490" s="4"/>
    </row>
    <row r="1491" spans="1:23" customFormat="1">
      <c r="A1491" s="10"/>
      <c r="B1491" s="4"/>
      <c r="C1491" s="4"/>
      <c r="D1491" s="4"/>
      <c r="E1491" s="4"/>
      <c r="F1491" s="152" t="s">
        <v>372</v>
      </c>
      <c r="G1491" s="4" t="s">
        <v>309</v>
      </c>
      <c r="H1491" s="4"/>
      <c r="I1491" s="196">
        <v>-5680000</v>
      </c>
      <c r="J1491" s="196">
        <v>-4000</v>
      </c>
      <c r="K1491" s="196">
        <v>1420</v>
      </c>
      <c r="L1491" s="454" t="s">
        <v>1205</v>
      </c>
      <c r="M1491" s="4" t="s">
        <v>780</v>
      </c>
      <c r="N1491" s="133" t="s">
        <v>781</v>
      </c>
      <c r="O1491" s="4" t="s">
        <v>1214</v>
      </c>
      <c r="P1491" s="4" t="s">
        <v>892</v>
      </c>
      <c r="Q1491" s="4" t="s">
        <v>1215</v>
      </c>
      <c r="R1491" s="4" t="s">
        <v>1219</v>
      </c>
      <c r="S1491" s="4" t="s">
        <v>1217</v>
      </c>
      <c r="T1491" s="4" t="s">
        <v>786</v>
      </c>
      <c r="U1491" s="4"/>
      <c r="V1491" s="4"/>
      <c r="W1491" s="4"/>
    </row>
    <row r="1492" spans="1:23" customFormat="1">
      <c r="A1492" s="10"/>
      <c r="B1492" s="4"/>
      <c r="C1492" s="4"/>
      <c r="D1492" s="4"/>
      <c r="E1492" s="4"/>
      <c r="F1492" s="152" t="s">
        <v>372</v>
      </c>
      <c r="G1492" s="4" t="s">
        <v>309</v>
      </c>
      <c r="H1492" s="4"/>
      <c r="I1492" s="196">
        <v>16900000</v>
      </c>
      <c r="J1492" s="196">
        <v>13000</v>
      </c>
      <c r="K1492" s="196">
        <v>1300</v>
      </c>
      <c r="L1492" s="454" t="s">
        <v>1406</v>
      </c>
      <c r="M1492" s="4" t="s">
        <v>780</v>
      </c>
      <c r="N1492" s="133" t="s">
        <v>1407</v>
      </c>
      <c r="O1492" s="4" t="s">
        <v>1408</v>
      </c>
      <c r="P1492" s="4" t="s">
        <v>783</v>
      </c>
      <c r="Q1492" s="4" t="s">
        <v>1409</v>
      </c>
      <c r="R1492" s="4"/>
      <c r="S1492" s="4" t="s">
        <v>1410</v>
      </c>
      <c r="T1492" s="4" t="s">
        <v>786</v>
      </c>
      <c r="U1492" s="4"/>
      <c r="V1492" s="4"/>
      <c r="W1492" s="4"/>
    </row>
    <row r="1493" spans="1:23" customFormat="1">
      <c r="A1493" s="10"/>
      <c r="B1493" s="4"/>
      <c r="C1493" s="4"/>
      <c r="D1493" s="4"/>
      <c r="E1493" s="4"/>
      <c r="F1493" s="152" t="s">
        <v>372</v>
      </c>
      <c r="G1493" s="4" t="s">
        <v>309</v>
      </c>
      <c r="H1493" s="4"/>
      <c r="I1493" s="196">
        <v>-16900000</v>
      </c>
      <c r="J1493" s="196">
        <v>-13000</v>
      </c>
      <c r="K1493" s="196">
        <v>1300</v>
      </c>
      <c r="L1493" s="454" t="s">
        <v>1406</v>
      </c>
      <c r="M1493" s="4" t="s">
        <v>780</v>
      </c>
      <c r="N1493" s="133" t="s">
        <v>1407</v>
      </c>
      <c r="O1493" s="4" t="s">
        <v>1411</v>
      </c>
      <c r="P1493" s="4" t="s">
        <v>783</v>
      </c>
      <c r="Q1493" s="4" t="s">
        <v>1412</v>
      </c>
      <c r="R1493" s="4"/>
      <c r="S1493" s="4" t="s">
        <v>1413</v>
      </c>
      <c r="T1493" s="4" t="s">
        <v>786</v>
      </c>
      <c r="U1493" s="4"/>
      <c r="V1493" s="4"/>
      <c r="W1493" s="4"/>
    </row>
    <row r="1494" spans="1:23" customFormat="1">
      <c r="A1494" s="10"/>
      <c r="B1494" s="4"/>
      <c r="C1494" s="4"/>
      <c r="D1494" s="4"/>
      <c r="E1494" s="4"/>
      <c r="F1494" s="152" t="s">
        <v>372</v>
      </c>
      <c r="G1494" s="4" t="s">
        <v>309</v>
      </c>
      <c r="H1494" s="4"/>
      <c r="I1494" s="196">
        <v>2959280</v>
      </c>
      <c r="J1494" s="196">
        <v>2084</v>
      </c>
      <c r="K1494" s="196">
        <v>1420</v>
      </c>
      <c r="L1494" s="454" t="s">
        <v>787</v>
      </c>
      <c r="M1494" s="4" t="s">
        <v>1540</v>
      </c>
      <c r="N1494" s="133" t="s">
        <v>1407</v>
      </c>
      <c r="O1494" s="4" t="s">
        <v>1541</v>
      </c>
      <c r="P1494" s="4" t="s">
        <v>1542</v>
      </c>
      <c r="Q1494" s="4" t="s">
        <v>1543</v>
      </c>
      <c r="R1494" s="4"/>
      <c r="S1494" s="4" t="s">
        <v>1544</v>
      </c>
      <c r="T1494" s="4" t="s">
        <v>786</v>
      </c>
      <c r="U1494" s="4"/>
      <c r="V1494" s="4"/>
      <c r="W1494" s="4"/>
    </row>
    <row r="1495" spans="1:23" customFormat="1">
      <c r="A1495" s="10"/>
      <c r="B1495" s="4"/>
      <c r="C1495" s="4"/>
      <c r="D1495" s="4"/>
      <c r="E1495" s="4"/>
      <c r="F1495" s="152" t="s">
        <v>372</v>
      </c>
      <c r="G1495" s="4" t="s">
        <v>309</v>
      </c>
      <c r="H1495" s="4"/>
      <c r="I1495" s="196">
        <v>4464480</v>
      </c>
      <c r="J1495" s="196">
        <v>3144</v>
      </c>
      <c r="K1495" s="196">
        <v>1420</v>
      </c>
      <c r="L1495" s="454" t="s">
        <v>787</v>
      </c>
      <c r="M1495" s="4" t="s">
        <v>1540</v>
      </c>
      <c r="N1495" s="133" t="s">
        <v>1407</v>
      </c>
      <c r="O1495" s="4" t="s">
        <v>1545</v>
      </c>
      <c r="P1495" s="4" t="s">
        <v>1542</v>
      </c>
      <c r="Q1495" s="4" t="s">
        <v>1546</v>
      </c>
      <c r="R1495" s="4"/>
      <c r="S1495" s="4" t="s">
        <v>1547</v>
      </c>
      <c r="T1495" s="4" t="s">
        <v>786</v>
      </c>
      <c r="U1495" s="4"/>
      <c r="V1495" s="4"/>
      <c r="W1495" s="4"/>
    </row>
    <row r="1496" spans="1:23" customFormat="1">
      <c r="A1496" s="10"/>
      <c r="B1496" s="4"/>
      <c r="C1496" s="4"/>
      <c r="D1496" s="4"/>
      <c r="E1496" s="4"/>
      <c r="F1496" s="152" t="s">
        <v>372</v>
      </c>
      <c r="G1496" s="4" t="s">
        <v>309</v>
      </c>
      <c r="H1496" s="4"/>
      <c r="I1496" s="196">
        <v>3335580</v>
      </c>
      <c r="J1496" s="196">
        <v>2349</v>
      </c>
      <c r="K1496" s="196">
        <v>1420</v>
      </c>
      <c r="L1496" s="454" t="s">
        <v>787</v>
      </c>
      <c r="M1496" s="4" t="s">
        <v>1540</v>
      </c>
      <c r="N1496" s="133" t="s">
        <v>1407</v>
      </c>
      <c r="O1496" s="4" t="s">
        <v>1548</v>
      </c>
      <c r="P1496" s="4" t="s">
        <v>1542</v>
      </c>
      <c r="Q1496" s="4" t="s">
        <v>1549</v>
      </c>
      <c r="R1496" s="4"/>
      <c r="S1496" s="4" t="s">
        <v>1550</v>
      </c>
      <c r="T1496" s="4" t="s">
        <v>786</v>
      </c>
      <c r="U1496" s="4"/>
      <c r="V1496" s="4"/>
      <c r="W1496" s="4"/>
    </row>
    <row r="1497" spans="1:23" customFormat="1">
      <c r="A1497" s="10"/>
      <c r="B1497" s="4"/>
      <c r="C1497" s="4"/>
      <c r="D1497" s="4"/>
      <c r="E1497" s="4"/>
      <c r="F1497" s="152" t="s">
        <v>372</v>
      </c>
      <c r="G1497" s="4" t="s">
        <v>309</v>
      </c>
      <c r="H1497" s="4"/>
      <c r="I1497" s="196">
        <v>568000</v>
      </c>
      <c r="J1497" s="196">
        <v>400</v>
      </c>
      <c r="K1497" s="196">
        <v>1420</v>
      </c>
      <c r="L1497" s="454" t="s">
        <v>787</v>
      </c>
      <c r="M1497" s="4" t="s">
        <v>1540</v>
      </c>
      <c r="N1497" s="133" t="s">
        <v>1407</v>
      </c>
      <c r="O1497" s="4" t="s">
        <v>1551</v>
      </c>
      <c r="P1497" s="4" t="s">
        <v>1542</v>
      </c>
      <c r="Q1497" s="4" t="s">
        <v>1552</v>
      </c>
      <c r="R1497" s="4"/>
      <c r="S1497" s="4" t="s">
        <v>1553</v>
      </c>
      <c r="T1497" s="4" t="s">
        <v>786</v>
      </c>
      <c r="U1497" s="4"/>
      <c r="V1497" s="4"/>
      <c r="W1497" s="4"/>
    </row>
    <row r="1498" spans="1:23" customFormat="1">
      <c r="A1498" s="10"/>
      <c r="B1498" s="4"/>
      <c r="C1498" s="4"/>
      <c r="D1498" s="4"/>
      <c r="E1498" s="4"/>
      <c r="F1498" s="152" t="s">
        <v>372</v>
      </c>
      <c r="G1498" s="4" t="s">
        <v>309</v>
      </c>
      <c r="H1498" s="4"/>
      <c r="I1498" s="196">
        <v>4493590</v>
      </c>
      <c r="J1498" s="196">
        <v>3164.5</v>
      </c>
      <c r="K1498" s="196">
        <v>1420</v>
      </c>
      <c r="L1498" s="454" t="s">
        <v>787</v>
      </c>
      <c r="M1498" s="4" t="s">
        <v>1540</v>
      </c>
      <c r="N1498" s="133" t="s">
        <v>1407</v>
      </c>
      <c r="O1498" s="4" t="s">
        <v>1554</v>
      </c>
      <c r="P1498" s="4" t="s">
        <v>1542</v>
      </c>
      <c r="Q1498" s="4" t="s">
        <v>1555</v>
      </c>
      <c r="R1498" s="4"/>
      <c r="S1498" s="4" t="s">
        <v>1556</v>
      </c>
      <c r="T1498" s="4" t="s">
        <v>786</v>
      </c>
      <c r="U1498" s="4"/>
      <c r="V1498" s="4"/>
      <c r="W1498" s="4"/>
    </row>
    <row r="1499" spans="1:23" customFormat="1">
      <c r="A1499" s="10"/>
      <c r="B1499" s="4"/>
      <c r="C1499" s="4"/>
      <c r="D1499" s="4"/>
      <c r="E1499" s="4"/>
      <c r="F1499" s="152" t="s">
        <v>372</v>
      </c>
      <c r="G1499" s="4" t="s">
        <v>309</v>
      </c>
      <c r="H1499" s="4"/>
      <c r="I1499" s="196">
        <v>3124000</v>
      </c>
      <c r="J1499" s="196">
        <v>2200</v>
      </c>
      <c r="K1499" s="196">
        <v>1420</v>
      </c>
      <c r="L1499" s="454" t="s">
        <v>787</v>
      </c>
      <c r="M1499" s="4" t="s">
        <v>1540</v>
      </c>
      <c r="N1499" s="133" t="s">
        <v>1407</v>
      </c>
      <c r="O1499" s="4" t="s">
        <v>1557</v>
      </c>
      <c r="P1499" s="4" t="s">
        <v>1542</v>
      </c>
      <c r="Q1499" s="4" t="s">
        <v>1558</v>
      </c>
      <c r="R1499" s="4"/>
      <c r="S1499" s="4" t="s">
        <v>1559</v>
      </c>
      <c r="T1499" s="4" t="s">
        <v>786</v>
      </c>
      <c r="U1499" s="4"/>
      <c r="V1499" s="4"/>
      <c r="W1499" s="4"/>
    </row>
    <row r="1500" spans="1:23" customFormat="1">
      <c r="A1500" s="10"/>
      <c r="B1500" s="4"/>
      <c r="C1500" s="4"/>
      <c r="D1500" s="4"/>
      <c r="E1500" s="4"/>
      <c r="F1500" s="152" t="s">
        <v>372</v>
      </c>
      <c r="G1500" s="4" t="s">
        <v>309</v>
      </c>
      <c r="H1500" s="4"/>
      <c r="I1500" s="196">
        <v>2834320</v>
      </c>
      <c r="J1500" s="196">
        <v>1996</v>
      </c>
      <c r="K1500" s="196">
        <v>1420</v>
      </c>
      <c r="L1500" s="454" t="s">
        <v>787</v>
      </c>
      <c r="M1500" s="4" t="s">
        <v>1540</v>
      </c>
      <c r="N1500" s="133" t="s">
        <v>1407</v>
      </c>
      <c r="O1500" s="4" t="s">
        <v>1560</v>
      </c>
      <c r="P1500" s="4" t="s">
        <v>1542</v>
      </c>
      <c r="Q1500" s="4" t="s">
        <v>1561</v>
      </c>
      <c r="R1500" s="4"/>
      <c r="S1500" s="4" t="s">
        <v>1562</v>
      </c>
      <c r="T1500" s="4" t="s">
        <v>786</v>
      </c>
      <c r="U1500" s="4"/>
      <c r="V1500" s="4"/>
      <c r="W1500" s="4"/>
    </row>
    <row r="1501" spans="1:23" customFormat="1">
      <c r="A1501" s="10"/>
      <c r="B1501" s="4"/>
      <c r="C1501" s="4"/>
      <c r="D1501" s="4"/>
      <c r="E1501" s="4"/>
      <c r="F1501" s="152" t="s">
        <v>372</v>
      </c>
      <c r="G1501" s="4" t="s">
        <v>309</v>
      </c>
      <c r="H1501" s="4"/>
      <c r="I1501" s="196">
        <v>2742020</v>
      </c>
      <c r="J1501" s="196">
        <v>1931</v>
      </c>
      <c r="K1501" s="196">
        <v>1420</v>
      </c>
      <c r="L1501" s="454" t="s">
        <v>787</v>
      </c>
      <c r="M1501" s="4" t="s">
        <v>1540</v>
      </c>
      <c r="N1501" s="133" t="s">
        <v>1407</v>
      </c>
      <c r="O1501" s="4" t="s">
        <v>1563</v>
      </c>
      <c r="P1501" s="4" t="s">
        <v>1542</v>
      </c>
      <c r="Q1501" s="4" t="s">
        <v>1564</v>
      </c>
      <c r="R1501" s="4"/>
      <c r="S1501" s="4" t="s">
        <v>1565</v>
      </c>
      <c r="T1501" s="4" t="s">
        <v>786</v>
      </c>
      <c r="U1501" s="4"/>
      <c r="V1501" s="4"/>
      <c r="W1501" s="4"/>
    </row>
    <row r="1502" spans="1:23" customFormat="1">
      <c r="A1502" s="10"/>
      <c r="B1502" s="4"/>
      <c r="C1502" s="4"/>
      <c r="D1502" s="4"/>
      <c r="E1502" s="4"/>
      <c r="F1502" s="152" t="s">
        <v>372</v>
      </c>
      <c r="G1502" s="4" t="s">
        <v>309</v>
      </c>
      <c r="H1502" s="4"/>
      <c r="I1502" s="196">
        <v>-14706.2</v>
      </c>
      <c r="J1502" s="196">
        <v>-10.58</v>
      </c>
      <c r="K1502" s="196">
        <v>1390</v>
      </c>
      <c r="L1502" s="454" t="s">
        <v>899</v>
      </c>
      <c r="M1502" s="4" t="s">
        <v>780</v>
      </c>
      <c r="N1502" s="133" t="s">
        <v>1407</v>
      </c>
      <c r="O1502" s="4" t="s">
        <v>1620</v>
      </c>
      <c r="P1502" s="4" t="s">
        <v>892</v>
      </c>
      <c r="Q1502" s="4" t="s">
        <v>1621</v>
      </c>
      <c r="R1502" s="4" t="s">
        <v>1622</v>
      </c>
      <c r="S1502" s="4" t="s">
        <v>1623</v>
      </c>
      <c r="T1502" s="4" t="s">
        <v>786</v>
      </c>
      <c r="U1502" s="4"/>
      <c r="V1502" s="4"/>
      <c r="W1502" s="4"/>
    </row>
    <row r="1503" spans="1:23" customFormat="1">
      <c r="A1503" s="10"/>
      <c r="B1503" s="4"/>
      <c r="C1503" s="4"/>
      <c r="D1503" s="4"/>
      <c r="E1503" s="4"/>
      <c r="F1503" s="152" t="s">
        <v>372</v>
      </c>
      <c r="G1503" s="4" t="s">
        <v>309</v>
      </c>
      <c r="H1503" s="4"/>
      <c r="I1503" s="196">
        <v>-286612.8</v>
      </c>
      <c r="J1503" s="196">
        <v>-201.84</v>
      </c>
      <c r="K1503" s="196">
        <v>1420</v>
      </c>
      <c r="L1503" s="454" t="s">
        <v>899</v>
      </c>
      <c r="M1503" s="4" t="s">
        <v>780</v>
      </c>
      <c r="N1503" s="133" t="s">
        <v>1407</v>
      </c>
      <c r="O1503" s="4" t="s">
        <v>1620</v>
      </c>
      <c r="P1503" s="4" t="s">
        <v>892</v>
      </c>
      <c r="Q1503" s="4" t="s">
        <v>1621</v>
      </c>
      <c r="R1503" s="4" t="s">
        <v>1624</v>
      </c>
      <c r="S1503" s="4" t="s">
        <v>1623</v>
      </c>
      <c r="T1503" s="4" t="s">
        <v>786</v>
      </c>
      <c r="U1503" s="4"/>
      <c r="V1503" s="4"/>
      <c r="W1503" s="4"/>
    </row>
    <row r="1504" spans="1:23" customFormat="1">
      <c r="A1504" s="10"/>
      <c r="B1504" s="4"/>
      <c r="C1504" s="4"/>
      <c r="D1504" s="4"/>
      <c r="E1504" s="4"/>
      <c r="F1504" s="152" t="s">
        <v>372</v>
      </c>
      <c r="G1504" s="4" t="s">
        <v>309</v>
      </c>
      <c r="H1504" s="4"/>
      <c r="I1504" s="196">
        <v>-283587.8</v>
      </c>
      <c r="J1504" s="196">
        <v>-204.02</v>
      </c>
      <c r="K1504" s="196">
        <v>1390</v>
      </c>
      <c r="L1504" s="454" t="s">
        <v>899</v>
      </c>
      <c r="M1504" s="4" t="s">
        <v>780</v>
      </c>
      <c r="N1504" s="133" t="s">
        <v>1407</v>
      </c>
      <c r="O1504" s="4" t="s">
        <v>1620</v>
      </c>
      <c r="P1504" s="4" t="s">
        <v>892</v>
      </c>
      <c r="Q1504" s="4" t="s">
        <v>1621</v>
      </c>
      <c r="R1504" s="4" t="s">
        <v>1625</v>
      </c>
      <c r="S1504" s="4" t="s">
        <v>1623</v>
      </c>
      <c r="T1504" s="4" t="s">
        <v>786</v>
      </c>
      <c r="U1504" s="4"/>
      <c r="V1504" s="4"/>
      <c r="W1504" s="4"/>
    </row>
    <row r="1505" spans="1:23" customFormat="1">
      <c r="A1505" s="10"/>
      <c r="B1505" s="4"/>
      <c r="C1505" s="4"/>
      <c r="D1505" s="4"/>
      <c r="E1505" s="4"/>
      <c r="F1505" s="152" t="s">
        <v>372</v>
      </c>
      <c r="G1505" s="4" t="s">
        <v>309</v>
      </c>
      <c r="H1505" s="4"/>
      <c r="I1505" s="196">
        <v>-114111.2</v>
      </c>
      <c r="J1505" s="196">
        <v>-80.36</v>
      </c>
      <c r="K1505" s="196">
        <v>1420</v>
      </c>
      <c r="L1505" s="454" t="s">
        <v>899</v>
      </c>
      <c r="M1505" s="4" t="s">
        <v>780</v>
      </c>
      <c r="N1505" s="133" t="s">
        <v>1407</v>
      </c>
      <c r="O1505" s="4" t="s">
        <v>1620</v>
      </c>
      <c r="P1505" s="4" t="s">
        <v>892</v>
      </c>
      <c r="Q1505" s="4" t="s">
        <v>1621</v>
      </c>
      <c r="R1505" s="4" t="s">
        <v>1626</v>
      </c>
      <c r="S1505" s="4" t="s">
        <v>1623</v>
      </c>
      <c r="T1505" s="4" t="s">
        <v>786</v>
      </c>
      <c r="U1505" s="4"/>
      <c r="V1505" s="4"/>
      <c r="W1505" s="4"/>
    </row>
    <row r="1506" spans="1:23" customFormat="1">
      <c r="A1506" s="10"/>
      <c r="B1506" s="4"/>
      <c r="C1506" s="4"/>
      <c r="D1506" s="4"/>
      <c r="E1506" s="4"/>
      <c r="F1506" s="152" t="s">
        <v>372</v>
      </c>
      <c r="G1506" s="4" t="s">
        <v>309</v>
      </c>
      <c r="H1506" s="4"/>
      <c r="I1506" s="196">
        <v>-31427.9</v>
      </c>
      <c r="J1506" s="196">
        <v>-22.61</v>
      </c>
      <c r="K1506" s="196">
        <v>1390</v>
      </c>
      <c r="L1506" s="454" t="s">
        <v>899</v>
      </c>
      <c r="M1506" s="4" t="s">
        <v>780</v>
      </c>
      <c r="N1506" s="133" t="s">
        <v>1407</v>
      </c>
      <c r="O1506" s="4" t="s">
        <v>1620</v>
      </c>
      <c r="P1506" s="4" t="s">
        <v>892</v>
      </c>
      <c r="Q1506" s="4" t="s">
        <v>1621</v>
      </c>
      <c r="R1506" s="4" t="s">
        <v>1627</v>
      </c>
      <c r="S1506" s="4" t="s">
        <v>1623</v>
      </c>
      <c r="T1506" s="4" t="s">
        <v>786</v>
      </c>
      <c r="U1506" s="4"/>
      <c r="V1506" s="4"/>
      <c r="W1506" s="4"/>
    </row>
    <row r="1507" spans="1:23" customFormat="1">
      <c r="A1507" s="10"/>
      <c r="B1507" s="4"/>
      <c r="C1507" s="4"/>
      <c r="D1507" s="4"/>
      <c r="E1507" s="4"/>
      <c r="F1507" s="152" t="s">
        <v>372</v>
      </c>
      <c r="G1507" s="4" t="s">
        <v>309</v>
      </c>
      <c r="H1507" s="4"/>
      <c r="I1507" s="196">
        <v>-114111.2</v>
      </c>
      <c r="J1507" s="196">
        <v>-80.36</v>
      </c>
      <c r="K1507" s="196">
        <v>1420</v>
      </c>
      <c r="L1507" s="454" t="s">
        <v>899</v>
      </c>
      <c r="M1507" s="4" t="s">
        <v>780</v>
      </c>
      <c r="N1507" s="133" t="s">
        <v>1407</v>
      </c>
      <c r="O1507" s="4" t="s">
        <v>1620</v>
      </c>
      <c r="P1507" s="4" t="s">
        <v>892</v>
      </c>
      <c r="Q1507" s="4" t="s">
        <v>1621</v>
      </c>
      <c r="R1507" s="4" t="s">
        <v>1628</v>
      </c>
      <c r="S1507" s="4" t="s">
        <v>1623</v>
      </c>
      <c r="T1507" s="4" t="s">
        <v>786</v>
      </c>
      <c r="U1507" s="4"/>
      <c r="V1507" s="4"/>
      <c r="W1507" s="4"/>
    </row>
    <row r="1508" spans="1:23" customFormat="1">
      <c r="A1508" s="10"/>
      <c r="B1508" s="4"/>
      <c r="C1508" s="4"/>
      <c r="D1508" s="4"/>
      <c r="E1508" s="4"/>
      <c r="F1508" s="152" t="s">
        <v>372</v>
      </c>
      <c r="G1508" s="4" t="s">
        <v>309</v>
      </c>
      <c r="H1508" s="4"/>
      <c r="I1508" s="196">
        <v>-957070.6</v>
      </c>
      <c r="J1508" s="196">
        <v>-688.54</v>
      </c>
      <c r="K1508" s="196">
        <v>1390</v>
      </c>
      <c r="L1508" s="454" t="s">
        <v>899</v>
      </c>
      <c r="M1508" s="4" t="s">
        <v>780</v>
      </c>
      <c r="N1508" s="133" t="s">
        <v>1407</v>
      </c>
      <c r="O1508" s="4" t="s">
        <v>1620</v>
      </c>
      <c r="P1508" s="4" t="s">
        <v>892</v>
      </c>
      <c r="Q1508" s="4" t="s">
        <v>1621</v>
      </c>
      <c r="R1508" s="4" t="s">
        <v>1629</v>
      </c>
      <c r="S1508" s="4" t="s">
        <v>1623</v>
      </c>
      <c r="T1508" s="4" t="s">
        <v>786</v>
      </c>
      <c r="U1508" s="4"/>
      <c r="V1508" s="4"/>
      <c r="W1508" s="4"/>
    </row>
    <row r="1509" spans="1:23" customFormat="1">
      <c r="A1509" s="10"/>
      <c r="B1509" s="4"/>
      <c r="C1509" s="4"/>
      <c r="D1509" s="4"/>
      <c r="E1509" s="4"/>
      <c r="F1509" s="152" t="s">
        <v>372</v>
      </c>
      <c r="G1509" s="4" t="s">
        <v>309</v>
      </c>
      <c r="H1509" s="4"/>
      <c r="I1509" s="196">
        <v>-281671.2</v>
      </c>
      <c r="J1509" s="196">
        <v>-198.36</v>
      </c>
      <c r="K1509" s="196">
        <v>1420</v>
      </c>
      <c r="L1509" s="454" t="s">
        <v>899</v>
      </c>
      <c r="M1509" s="4" t="s">
        <v>780</v>
      </c>
      <c r="N1509" s="133" t="s">
        <v>1407</v>
      </c>
      <c r="O1509" s="4" t="s">
        <v>1620</v>
      </c>
      <c r="P1509" s="4" t="s">
        <v>892</v>
      </c>
      <c r="Q1509" s="4" t="s">
        <v>1621</v>
      </c>
      <c r="R1509" s="4" t="s">
        <v>1630</v>
      </c>
      <c r="S1509" s="4" t="s">
        <v>1623</v>
      </c>
      <c r="T1509" s="4" t="s">
        <v>786</v>
      </c>
      <c r="U1509" s="4"/>
      <c r="V1509" s="4"/>
      <c r="W1509" s="4"/>
    </row>
    <row r="1510" spans="1:23" customFormat="1">
      <c r="A1510" s="10"/>
      <c r="B1510" s="4"/>
      <c r="C1510" s="4"/>
      <c r="D1510" s="4"/>
      <c r="E1510" s="4"/>
      <c r="F1510" s="152" t="s">
        <v>372</v>
      </c>
      <c r="G1510" s="4" t="s">
        <v>309</v>
      </c>
      <c r="H1510" s="4"/>
      <c r="I1510" s="196">
        <v>-36891.599999999999</v>
      </c>
      <c r="J1510" s="196">
        <v>-25.98</v>
      </c>
      <c r="K1510" s="196">
        <v>1420</v>
      </c>
      <c r="L1510" s="454" t="s">
        <v>899</v>
      </c>
      <c r="M1510" s="4" t="s">
        <v>780</v>
      </c>
      <c r="N1510" s="133" t="s">
        <v>1407</v>
      </c>
      <c r="O1510" s="4" t="s">
        <v>1620</v>
      </c>
      <c r="P1510" s="4" t="s">
        <v>892</v>
      </c>
      <c r="Q1510" s="4" t="s">
        <v>1621</v>
      </c>
      <c r="R1510" s="4" t="s">
        <v>1631</v>
      </c>
      <c r="S1510" s="4" t="s">
        <v>1623</v>
      </c>
      <c r="T1510" s="4" t="s">
        <v>786</v>
      </c>
      <c r="U1510" s="4"/>
      <c r="V1510" s="4"/>
      <c r="W1510" s="4"/>
    </row>
    <row r="1511" spans="1:23" customFormat="1">
      <c r="A1511" s="10"/>
      <c r="B1511" s="4"/>
      <c r="C1511" s="4"/>
      <c r="D1511" s="4"/>
      <c r="E1511" s="4"/>
      <c r="F1511" s="152" t="s">
        <v>372</v>
      </c>
      <c r="G1511" s="4" t="s">
        <v>309</v>
      </c>
      <c r="H1511" s="4"/>
      <c r="I1511" s="196">
        <v>-1491000</v>
      </c>
      <c r="J1511" s="196">
        <v>-1050</v>
      </c>
      <c r="K1511" s="196">
        <v>1420</v>
      </c>
      <c r="L1511" s="454" t="s">
        <v>899</v>
      </c>
      <c r="M1511" s="4" t="s">
        <v>780</v>
      </c>
      <c r="N1511" s="133" t="s">
        <v>1407</v>
      </c>
      <c r="O1511" s="4" t="s">
        <v>1620</v>
      </c>
      <c r="P1511" s="4" t="s">
        <v>892</v>
      </c>
      <c r="Q1511" s="4" t="s">
        <v>1621</v>
      </c>
      <c r="R1511" s="4" t="s">
        <v>1632</v>
      </c>
      <c r="S1511" s="4" t="s">
        <v>1623</v>
      </c>
      <c r="T1511" s="4" t="s">
        <v>786</v>
      </c>
      <c r="U1511" s="4"/>
      <c r="V1511" s="4"/>
      <c r="W1511" s="4"/>
    </row>
    <row r="1512" spans="1:23" customFormat="1">
      <c r="A1512" s="10"/>
      <c r="B1512" s="4"/>
      <c r="C1512" s="4"/>
      <c r="D1512" s="4"/>
      <c r="E1512" s="4"/>
      <c r="F1512" s="152" t="s">
        <v>372</v>
      </c>
      <c r="G1512" s="4" t="s">
        <v>309</v>
      </c>
      <c r="H1512" s="4"/>
      <c r="I1512" s="196">
        <v>-1251000</v>
      </c>
      <c r="J1512" s="196">
        <v>-900</v>
      </c>
      <c r="K1512" s="196">
        <v>1390</v>
      </c>
      <c r="L1512" s="454" t="s">
        <v>899</v>
      </c>
      <c r="M1512" s="4" t="s">
        <v>780</v>
      </c>
      <c r="N1512" s="133" t="s">
        <v>1407</v>
      </c>
      <c r="O1512" s="4" t="s">
        <v>1620</v>
      </c>
      <c r="P1512" s="4" t="s">
        <v>892</v>
      </c>
      <c r="Q1512" s="4" t="s">
        <v>1621</v>
      </c>
      <c r="R1512" s="4" t="s">
        <v>1633</v>
      </c>
      <c r="S1512" s="4" t="s">
        <v>1623</v>
      </c>
      <c r="T1512" s="4" t="s">
        <v>786</v>
      </c>
      <c r="U1512" s="4"/>
      <c r="V1512" s="4"/>
      <c r="W1512" s="4"/>
    </row>
    <row r="1513" spans="1:23" customFormat="1">
      <c r="A1513" s="10"/>
      <c r="B1513" s="4"/>
      <c r="C1513" s="4"/>
      <c r="D1513" s="4"/>
      <c r="E1513" s="4"/>
      <c r="F1513" s="152" t="s">
        <v>372</v>
      </c>
      <c r="G1513" s="4" t="s">
        <v>309</v>
      </c>
      <c r="H1513" s="4"/>
      <c r="I1513" s="196">
        <v>-1349000</v>
      </c>
      <c r="J1513" s="196">
        <v>-950</v>
      </c>
      <c r="K1513" s="196">
        <v>1420</v>
      </c>
      <c r="L1513" s="454" t="s">
        <v>899</v>
      </c>
      <c r="M1513" s="4" t="s">
        <v>780</v>
      </c>
      <c r="N1513" s="133" t="s">
        <v>1407</v>
      </c>
      <c r="O1513" s="4" t="s">
        <v>1620</v>
      </c>
      <c r="P1513" s="4" t="s">
        <v>892</v>
      </c>
      <c r="Q1513" s="4" t="s">
        <v>1621</v>
      </c>
      <c r="R1513" s="4" t="s">
        <v>1634</v>
      </c>
      <c r="S1513" s="4" t="s">
        <v>1623</v>
      </c>
      <c r="T1513" s="4" t="s">
        <v>786</v>
      </c>
      <c r="U1513" s="4"/>
      <c r="V1513" s="4"/>
      <c r="W1513" s="4"/>
    </row>
    <row r="1514" spans="1:23" customFormat="1">
      <c r="A1514" s="10"/>
      <c r="B1514" s="4"/>
      <c r="C1514" s="4"/>
      <c r="D1514" s="4"/>
      <c r="E1514" s="4"/>
      <c r="F1514" s="152" t="s">
        <v>372</v>
      </c>
      <c r="G1514" s="4" t="s">
        <v>309</v>
      </c>
      <c r="H1514" s="4"/>
      <c r="I1514" s="196">
        <v>-111450.2</v>
      </c>
      <c r="J1514" s="196">
        <v>-80.180000000000007</v>
      </c>
      <c r="K1514" s="196">
        <v>1390</v>
      </c>
      <c r="L1514" s="454" t="s">
        <v>899</v>
      </c>
      <c r="M1514" s="4" t="s">
        <v>780</v>
      </c>
      <c r="N1514" s="133" t="s">
        <v>1407</v>
      </c>
      <c r="O1514" s="4" t="s">
        <v>1620</v>
      </c>
      <c r="P1514" s="4" t="s">
        <v>892</v>
      </c>
      <c r="Q1514" s="4" t="s">
        <v>1621</v>
      </c>
      <c r="R1514" s="4" t="s">
        <v>1635</v>
      </c>
      <c r="S1514" s="4" t="s">
        <v>1623</v>
      </c>
      <c r="T1514" s="4" t="s">
        <v>786</v>
      </c>
      <c r="U1514" s="4"/>
      <c r="V1514" s="4"/>
      <c r="W1514" s="4"/>
    </row>
    <row r="1515" spans="1:23" customFormat="1">
      <c r="A1515" s="10"/>
      <c r="B1515" s="4"/>
      <c r="C1515" s="4"/>
      <c r="D1515" s="4"/>
      <c r="E1515" s="4"/>
      <c r="F1515" s="152" t="s">
        <v>372</v>
      </c>
      <c r="G1515" s="4" t="s">
        <v>309</v>
      </c>
      <c r="H1515" s="4"/>
      <c r="I1515" s="196">
        <v>-1349000</v>
      </c>
      <c r="J1515" s="196">
        <v>-950</v>
      </c>
      <c r="K1515" s="196">
        <v>1420</v>
      </c>
      <c r="L1515" s="454" t="s">
        <v>899</v>
      </c>
      <c r="M1515" s="4" t="s">
        <v>780</v>
      </c>
      <c r="N1515" s="133" t="s">
        <v>1407</v>
      </c>
      <c r="O1515" s="4" t="s">
        <v>1620</v>
      </c>
      <c r="P1515" s="4" t="s">
        <v>892</v>
      </c>
      <c r="Q1515" s="4" t="s">
        <v>1621</v>
      </c>
      <c r="R1515" s="4" t="s">
        <v>1636</v>
      </c>
      <c r="S1515" s="4" t="s">
        <v>1623</v>
      </c>
      <c r="T1515" s="4" t="s">
        <v>786</v>
      </c>
      <c r="U1515" s="4"/>
      <c r="V1515" s="4"/>
      <c r="W1515" s="4"/>
    </row>
    <row r="1516" spans="1:23" customFormat="1">
      <c r="A1516" s="10"/>
      <c r="B1516" s="4"/>
      <c r="C1516" s="4"/>
      <c r="D1516" s="4"/>
      <c r="E1516" s="4"/>
      <c r="F1516" s="152" t="s">
        <v>372</v>
      </c>
      <c r="G1516" s="4" t="s">
        <v>309</v>
      </c>
      <c r="H1516" s="4"/>
      <c r="I1516" s="196">
        <v>-4170000</v>
      </c>
      <c r="J1516" s="196">
        <v>-3000</v>
      </c>
      <c r="K1516" s="196">
        <v>1390</v>
      </c>
      <c r="L1516" s="454" t="s">
        <v>899</v>
      </c>
      <c r="M1516" s="4" t="s">
        <v>780</v>
      </c>
      <c r="N1516" s="133" t="s">
        <v>1407</v>
      </c>
      <c r="O1516" s="4" t="s">
        <v>1620</v>
      </c>
      <c r="P1516" s="4" t="s">
        <v>892</v>
      </c>
      <c r="Q1516" s="4" t="s">
        <v>1621</v>
      </c>
      <c r="R1516" s="4" t="s">
        <v>1637</v>
      </c>
      <c r="S1516" s="4" t="s">
        <v>1623</v>
      </c>
      <c r="T1516" s="4" t="s">
        <v>786</v>
      </c>
      <c r="U1516" s="4"/>
      <c r="V1516" s="4"/>
      <c r="W1516" s="4"/>
    </row>
    <row r="1517" spans="1:23" customFormat="1">
      <c r="A1517" s="10"/>
      <c r="B1517" s="4"/>
      <c r="C1517" s="4"/>
      <c r="D1517" s="4"/>
      <c r="E1517" s="4"/>
      <c r="F1517" s="152" t="s">
        <v>372</v>
      </c>
      <c r="G1517" s="4" t="s">
        <v>309</v>
      </c>
      <c r="H1517" s="4"/>
      <c r="I1517" s="196">
        <v>-880400</v>
      </c>
      <c r="J1517" s="196">
        <v>-620</v>
      </c>
      <c r="K1517" s="196">
        <v>1420</v>
      </c>
      <c r="L1517" s="454" t="s">
        <v>899</v>
      </c>
      <c r="M1517" s="4" t="s">
        <v>780</v>
      </c>
      <c r="N1517" s="133" t="s">
        <v>1407</v>
      </c>
      <c r="O1517" s="4" t="s">
        <v>1620</v>
      </c>
      <c r="P1517" s="4" t="s">
        <v>892</v>
      </c>
      <c r="Q1517" s="4" t="s">
        <v>1621</v>
      </c>
      <c r="R1517" s="4" t="s">
        <v>1638</v>
      </c>
      <c r="S1517" s="4" t="s">
        <v>1623</v>
      </c>
      <c r="T1517" s="4" t="s">
        <v>786</v>
      </c>
      <c r="U1517" s="4"/>
      <c r="V1517" s="4"/>
      <c r="W1517" s="4"/>
    </row>
    <row r="1518" spans="1:23" customFormat="1">
      <c r="A1518" s="10"/>
      <c r="B1518" s="4"/>
      <c r="C1518" s="4"/>
      <c r="D1518" s="4"/>
      <c r="E1518" s="4"/>
      <c r="F1518" s="152" t="s">
        <v>372</v>
      </c>
      <c r="G1518" s="4" t="s">
        <v>309</v>
      </c>
      <c r="H1518" s="4"/>
      <c r="I1518" s="196">
        <v>-1042500</v>
      </c>
      <c r="J1518" s="196">
        <v>-750</v>
      </c>
      <c r="K1518" s="196">
        <v>1390</v>
      </c>
      <c r="L1518" s="454" t="s">
        <v>899</v>
      </c>
      <c r="M1518" s="4" t="s">
        <v>780</v>
      </c>
      <c r="N1518" s="133" t="s">
        <v>1407</v>
      </c>
      <c r="O1518" s="4" t="s">
        <v>1620</v>
      </c>
      <c r="P1518" s="4" t="s">
        <v>892</v>
      </c>
      <c r="Q1518" s="4" t="s">
        <v>1621</v>
      </c>
      <c r="R1518" s="4" t="s">
        <v>1639</v>
      </c>
      <c r="S1518" s="4" t="s">
        <v>1623</v>
      </c>
      <c r="T1518" s="4" t="s">
        <v>786</v>
      </c>
      <c r="U1518" s="4"/>
      <c r="V1518" s="4"/>
      <c r="W1518" s="4"/>
    </row>
    <row r="1519" spans="1:23" customFormat="1">
      <c r="A1519" s="10"/>
      <c r="B1519" s="4"/>
      <c r="C1519" s="4"/>
      <c r="D1519" s="4"/>
      <c r="E1519" s="4"/>
      <c r="F1519" s="152" t="s">
        <v>372</v>
      </c>
      <c r="G1519" s="4" t="s">
        <v>309</v>
      </c>
      <c r="H1519" s="4"/>
      <c r="I1519" s="196">
        <v>-511200</v>
      </c>
      <c r="J1519" s="196">
        <v>-360</v>
      </c>
      <c r="K1519" s="196">
        <v>1420</v>
      </c>
      <c r="L1519" s="454" t="s">
        <v>899</v>
      </c>
      <c r="M1519" s="4" t="s">
        <v>780</v>
      </c>
      <c r="N1519" s="133" t="s">
        <v>1407</v>
      </c>
      <c r="O1519" s="4" t="s">
        <v>1620</v>
      </c>
      <c r="P1519" s="4" t="s">
        <v>892</v>
      </c>
      <c r="Q1519" s="4" t="s">
        <v>1621</v>
      </c>
      <c r="R1519" s="4" t="s">
        <v>1640</v>
      </c>
      <c r="S1519" s="4" t="s">
        <v>1623</v>
      </c>
      <c r="T1519" s="4" t="s">
        <v>786</v>
      </c>
      <c r="U1519" s="4"/>
      <c r="V1519" s="4"/>
      <c r="W1519" s="4"/>
    </row>
    <row r="1520" spans="1:23" customFormat="1">
      <c r="A1520" s="10"/>
      <c r="B1520" s="4"/>
      <c r="C1520" s="4"/>
      <c r="D1520" s="4"/>
      <c r="E1520" s="4"/>
      <c r="F1520" s="152" t="s">
        <v>372</v>
      </c>
      <c r="G1520" s="4" t="s">
        <v>309</v>
      </c>
      <c r="H1520" s="4"/>
      <c r="I1520" s="196">
        <v>-144268.1</v>
      </c>
      <c r="J1520" s="196">
        <v>-103.79</v>
      </c>
      <c r="K1520" s="196">
        <v>1390</v>
      </c>
      <c r="L1520" s="454" t="s">
        <v>899</v>
      </c>
      <c r="M1520" s="4" t="s">
        <v>780</v>
      </c>
      <c r="N1520" s="133" t="s">
        <v>1407</v>
      </c>
      <c r="O1520" s="4" t="s">
        <v>1620</v>
      </c>
      <c r="P1520" s="4" t="s">
        <v>892</v>
      </c>
      <c r="Q1520" s="4" t="s">
        <v>1621</v>
      </c>
      <c r="R1520" s="4" t="s">
        <v>1641</v>
      </c>
      <c r="S1520" s="4" t="s">
        <v>1623</v>
      </c>
      <c r="T1520" s="4" t="s">
        <v>786</v>
      </c>
      <c r="U1520" s="4"/>
      <c r="V1520" s="4"/>
      <c r="W1520" s="4"/>
    </row>
    <row r="1521" spans="1:23" customFormat="1">
      <c r="A1521" s="10"/>
      <c r="B1521" s="4"/>
      <c r="C1521" s="4"/>
      <c r="D1521" s="4"/>
      <c r="E1521" s="4"/>
      <c r="F1521" s="152" t="s">
        <v>372</v>
      </c>
      <c r="G1521" s="4" t="s">
        <v>309</v>
      </c>
      <c r="H1521" s="4"/>
      <c r="I1521" s="196">
        <v>-624800</v>
      </c>
      <c r="J1521" s="196">
        <v>-440</v>
      </c>
      <c r="K1521" s="196">
        <v>1420</v>
      </c>
      <c r="L1521" s="454" t="s">
        <v>899</v>
      </c>
      <c r="M1521" s="4" t="s">
        <v>780</v>
      </c>
      <c r="N1521" s="133" t="s">
        <v>1407</v>
      </c>
      <c r="O1521" s="4" t="s">
        <v>1620</v>
      </c>
      <c r="P1521" s="4" t="s">
        <v>892</v>
      </c>
      <c r="Q1521" s="4" t="s">
        <v>1621</v>
      </c>
      <c r="R1521" s="4" t="s">
        <v>1642</v>
      </c>
      <c r="S1521" s="4" t="s">
        <v>1623</v>
      </c>
      <c r="T1521" s="4" t="s">
        <v>786</v>
      </c>
      <c r="U1521" s="4"/>
      <c r="V1521" s="4"/>
      <c r="W1521" s="4"/>
    </row>
    <row r="1522" spans="1:23" customFormat="1">
      <c r="A1522" s="10"/>
      <c r="B1522" s="4"/>
      <c r="C1522" s="4"/>
      <c r="D1522" s="4"/>
      <c r="E1522" s="4"/>
      <c r="F1522" s="152" t="s">
        <v>372</v>
      </c>
      <c r="G1522" s="4" t="s">
        <v>309</v>
      </c>
      <c r="H1522" s="4"/>
      <c r="I1522" s="196">
        <v>-7057.4</v>
      </c>
      <c r="J1522" s="196">
        <v>-4.97</v>
      </c>
      <c r="K1522" s="196">
        <v>1420</v>
      </c>
      <c r="L1522" s="454" t="s">
        <v>899</v>
      </c>
      <c r="M1522" s="4" t="s">
        <v>780</v>
      </c>
      <c r="N1522" s="133" t="s">
        <v>1407</v>
      </c>
      <c r="O1522" s="4" t="s">
        <v>1620</v>
      </c>
      <c r="P1522" s="4" t="s">
        <v>892</v>
      </c>
      <c r="Q1522" s="4" t="s">
        <v>1621</v>
      </c>
      <c r="R1522" s="4" t="s">
        <v>1643</v>
      </c>
      <c r="S1522" s="4" t="s">
        <v>1623</v>
      </c>
      <c r="T1522" s="4" t="s">
        <v>786</v>
      </c>
      <c r="U1522" s="4"/>
      <c r="V1522" s="4"/>
      <c r="W1522" s="4"/>
    </row>
    <row r="1523" spans="1:23" customFormat="1">
      <c r="A1523" s="10"/>
      <c r="B1523" s="4"/>
      <c r="C1523" s="4"/>
      <c r="D1523" s="4"/>
      <c r="E1523" s="4"/>
      <c r="F1523" s="152" t="s">
        <v>372</v>
      </c>
      <c r="G1523" s="4" t="s">
        <v>309</v>
      </c>
      <c r="H1523" s="4"/>
      <c r="I1523" s="196">
        <v>-624800</v>
      </c>
      <c r="J1523" s="196">
        <v>-440</v>
      </c>
      <c r="K1523" s="196">
        <v>1420</v>
      </c>
      <c r="L1523" s="454" t="s">
        <v>899</v>
      </c>
      <c r="M1523" s="4" t="s">
        <v>780</v>
      </c>
      <c r="N1523" s="133" t="s">
        <v>1407</v>
      </c>
      <c r="O1523" s="4" t="s">
        <v>1620</v>
      </c>
      <c r="P1523" s="4" t="s">
        <v>892</v>
      </c>
      <c r="Q1523" s="4" t="s">
        <v>1621</v>
      </c>
      <c r="R1523" s="4" t="s">
        <v>1644</v>
      </c>
      <c r="S1523" s="4" t="s">
        <v>1623</v>
      </c>
      <c r="T1523" s="4" t="s">
        <v>786</v>
      </c>
      <c r="U1523" s="4"/>
      <c r="V1523" s="4"/>
      <c r="W1523" s="4"/>
    </row>
    <row r="1524" spans="1:23" customFormat="1">
      <c r="A1524" s="10"/>
      <c r="B1524" s="4"/>
      <c r="C1524" s="4"/>
      <c r="D1524" s="4"/>
      <c r="E1524" s="4"/>
      <c r="F1524" s="152" t="s">
        <v>372</v>
      </c>
      <c r="G1524" s="4" t="s">
        <v>309</v>
      </c>
      <c r="H1524" s="4"/>
      <c r="I1524" s="196">
        <v>-278000</v>
      </c>
      <c r="J1524" s="196">
        <v>-200</v>
      </c>
      <c r="K1524" s="196">
        <v>1390</v>
      </c>
      <c r="L1524" s="454" t="s">
        <v>899</v>
      </c>
      <c r="M1524" s="4" t="s">
        <v>780</v>
      </c>
      <c r="N1524" s="133" t="s">
        <v>1407</v>
      </c>
      <c r="O1524" s="4" t="s">
        <v>1620</v>
      </c>
      <c r="P1524" s="4" t="s">
        <v>892</v>
      </c>
      <c r="Q1524" s="4" t="s">
        <v>1621</v>
      </c>
      <c r="R1524" s="4" t="s">
        <v>1645</v>
      </c>
      <c r="S1524" s="4" t="s">
        <v>1623</v>
      </c>
      <c r="T1524" s="4" t="s">
        <v>786</v>
      </c>
      <c r="U1524" s="4"/>
      <c r="V1524" s="4"/>
      <c r="W1524" s="4"/>
    </row>
    <row r="1525" spans="1:23" customFormat="1">
      <c r="A1525" s="10"/>
      <c r="B1525" s="4"/>
      <c r="C1525" s="4"/>
      <c r="D1525" s="4"/>
      <c r="E1525" s="4"/>
      <c r="F1525" s="152" t="s">
        <v>372</v>
      </c>
      <c r="G1525" s="4" t="s">
        <v>309</v>
      </c>
      <c r="H1525" s="4"/>
      <c r="I1525" s="196">
        <v>-624800</v>
      </c>
      <c r="J1525" s="196">
        <v>-440</v>
      </c>
      <c r="K1525" s="196">
        <v>1420</v>
      </c>
      <c r="L1525" s="454" t="s">
        <v>899</v>
      </c>
      <c r="M1525" s="4" t="s">
        <v>780</v>
      </c>
      <c r="N1525" s="133" t="s">
        <v>1407</v>
      </c>
      <c r="O1525" s="4" t="s">
        <v>1620</v>
      </c>
      <c r="P1525" s="4" t="s">
        <v>892</v>
      </c>
      <c r="Q1525" s="4" t="s">
        <v>1621</v>
      </c>
      <c r="R1525" s="4" t="s">
        <v>1646</v>
      </c>
      <c r="S1525" s="4" t="s">
        <v>1623</v>
      </c>
      <c r="T1525" s="4" t="s">
        <v>786</v>
      </c>
      <c r="U1525" s="4"/>
      <c r="V1525" s="4"/>
      <c r="W1525" s="4"/>
    </row>
    <row r="1526" spans="1:23" customFormat="1">
      <c r="A1526" s="10"/>
      <c r="B1526" s="4"/>
      <c r="C1526" s="4"/>
      <c r="D1526" s="4"/>
      <c r="E1526" s="4"/>
      <c r="F1526" s="152" t="s">
        <v>372</v>
      </c>
      <c r="G1526" s="4" t="s">
        <v>309</v>
      </c>
      <c r="H1526" s="4"/>
      <c r="I1526" s="196">
        <v>-624800</v>
      </c>
      <c r="J1526" s="196">
        <v>-440</v>
      </c>
      <c r="K1526" s="196">
        <v>1420</v>
      </c>
      <c r="L1526" s="454" t="s">
        <v>899</v>
      </c>
      <c r="M1526" s="4" t="s">
        <v>780</v>
      </c>
      <c r="N1526" s="133" t="s">
        <v>1407</v>
      </c>
      <c r="O1526" s="4" t="s">
        <v>1620</v>
      </c>
      <c r="P1526" s="4" t="s">
        <v>892</v>
      </c>
      <c r="Q1526" s="4" t="s">
        <v>1621</v>
      </c>
      <c r="R1526" s="4" t="s">
        <v>1647</v>
      </c>
      <c r="S1526" s="4" t="s">
        <v>1623</v>
      </c>
      <c r="T1526" s="4" t="s">
        <v>786</v>
      </c>
      <c r="U1526" s="4"/>
      <c r="V1526" s="4"/>
      <c r="W1526" s="4"/>
    </row>
    <row r="1527" spans="1:23" customFormat="1">
      <c r="A1527" s="10"/>
      <c r="B1527" s="4"/>
      <c r="C1527" s="4"/>
      <c r="D1527" s="4"/>
      <c r="E1527" s="4"/>
      <c r="F1527" s="152" t="s">
        <v>372</v>
      </c>
      <c r="G1527" s="4" t="s">
        <v>309</v>
      </c>
      <c r="H1527" s="4"/>
      <c r="I1527" s="196">
        <v>-1668000</v>
      </c>
      <c r="J1527" s="196">
        <v>-1200</v>
      </c>
      <c r="K1527" s="196">
        <v>1390</v>
      </c>
      <c r="L1527" s="454" t="s">
        <v>899</v>
      </c>
      <c r="M1527" s="4" t="s">
        <v>780</v>
      </c>
      <c r="N1527" s="133" t="s">
        <v>1407</v>
      </c>
      <c r="O1527" s="4" t="s">
        <v>1620</v>
      </c>
      <c r="P1527" s="4" t="s">
        <v>892</v>
      </c>
      <c r="Q1527" s="4" t="s">
        <v>1621</v>
      </c>
      <c r="R1527" s="4" t="s">
        <v>1648</v>
      </c>
      <c r="S1527" s="4" t="s">
        <v>1623</v>
      </c>
      <c r="T1527" s="4" t="s">
        <v>786</v>
      </c>
      <c r="U1527" s="4"/>
      <c r="V1527" s="4"/>
      <c r="W1527" s="4"/>
    </row>
    <row r="1528" spans="1:23" customFormat="1">
      <c r="A1528" s="10"/>
      <c r="B1528" s="4"/>
      <c r="C1528" s="4"/>
      <c r="D1528" s="4"/>
      <c r="E1528" s="4"/>
      <c r="F1528" s="152" t="s">
        <v>372</v>
      </c>
      <c r="G1528" s="4" t="s">
        <v>309</v>
      </c>
      <c r="H1528" s="4"/>
      <c r="I1528" s="196">
        <v>-168162.2</v>
      </c>
      <c r="J1528" s="196">
        <v>-120.98</v>
      </c>
      <c r="K1528" s="196">
        <v>1390</v>
      </c>
      <c r="L1528" s="454" t="s">
        <v>899</v>
      </c>
      <c r="M1528" s="4" t="s">
        <v>780</v>
      </c>
      <c r="N1528" s="133" t="s">
        <v>1407</v>
      </c>
      <c r="O1528" s="4" t="s">
        <v>1620</v>
      </c>
      <c r="P1528" s="4" t="s">
        <v>892</v>
      </c>
      <c r="Q1528" s="4" t="s">
        <v>1621</v>
      </c>
      <c r="R1528" s="4" t="s">
        <v>1649</v>
      </c>
      <c r="S1528" s="4" t="s">
        <v>1623</v>
      </c>
      <c r="T1528" s="4" t="s">
        <v>786</v>
      </c>
      <c r="U1528" s="4"/>
      <c r="V1528" s="4"/>
      <c r="W1528" s="4"/>
    </row>
    <row r="1529" spans="1:23" customFormat="1">
      <c r="A1529" s="10"/>
      <c r="B1529" s="4"/>
      <c r="C1529" s="4"/>
      <c r="D1529" s="4"/>
      <c r="E1529" s="4"/>
      <c r="F1529" s="152" t="s">
        <v>372</v>
      </c>
      <c r="G1529" s="4" t="s">
        <v>309</v>
      </c>
      <c r="H1529" s="4"/>
      <c r="I1529" s="196">
        <v>-143239.5</v>
      </c>
      <c r="J1529" s="196">
        <v>-103.05</v>
      </c>
      <c r="K1529" s="196">
        <v>1390</v>
      </c>
      <c r="L1529" s="454" t="s">
        <v>899</v>
      </c>
      <c r="M1529" s="4" t="s">
        <v>780</v>
      </c>
      <c r="N1529" s="133" t="s">
        <v>1407</v>
      </c>
      <c r="O1529" s="4" t="s">
        <v>1620</v>
      </c>
      <c r="P1529" s="4" t="s">
        <v>892</v>
      </c>
      <c r="Q1529" s="4" t="s">
        <v>1621</v>
      </c>
      <c r="R1529" s="4" t="s">
        <v>1650</v>
      </c>
      <c r="S1529" s="4" t="s">
        <v>1623</v>
      </c>
      <c r="T1529" s="4" t="s">
        <v>786</v>
      </c>
      <c r="U1529" s="4"/>
      <c r="V1529" s="4"/>
      <c r="W1529" s="4"/>
    </row>
    <row r="1530" spans="1:23" customFormat="1">
      <c r="A1530" s="10"/>
      <c r="B1530" s="4"/>
      <c r="C1530" s="4"/>
      <c r="D1530" s="4"/>
      <c r="E1530" s="4"/>
      <c r="F1530" s="152" t="s">
        <v>372</v>
      </c>
      <c r="G1530" s="4" t="s">
        <v>309</v>
      </c>
      <c r="H1530" s="4"/>
      <c r="I1530" s="196">
        <v>-55850.2</v>
      </c>
      <c r="J1530" s="196">
        <v>-40.18</v>
      </c>
      <c r="K1530" s="196">
        <v>1390</v>
      </c>
      <c r="L1530" s="454" t="s">
        <v>899</v>
      </c>
      <c r="M1530" s="4" t="s">
        <v>780</v>
      </c>
      <c r="N1530" s="133" t="s">
        <v>1407</v>
      </c>
      <c r="O1530" s="4" t="s">
        <v>1620</v>
      </c>
      <c r="P1530" s="4" t="s">
        <v>892</v>
      </c>
      <c r="Q1530" s="4" t="s">
        <v>1621</v>
      </c>
      <c r="R1530" s="4" t="s">
        <v>1651</v>
      </c>
      <c r="S1530" s="4" t="s">
        <v>1623</v>
      </c>
      <c r="T1530" s="4" t="s">
        <v>786</v>
      </c>
      <c r="U1530" s="4"/>
      <c r="V1530" s="4"/>
      <c r="W1530" s="4"/>
    </row>
    <row r="1531" spans="1:23" customFormat="1">
      <c r="A1531" s="10"/>
      <c r="B1531" s="4"/>
      <c r="C1531" s="4"/>
      <c r="D1531" s="4"/>
      <c r="E1531" s="4"/>
      <c r="F1531" s="152" t="s">
        <v>372</v>
      </c>
      <c r="G1531" s="4" t="s">
        <v>309</v>
      </c>
      <c r="H1531" s="4"/>
      <c r="I1531" s="196">
        <v>-27888.799999999999</v>
      </c>
      <c r="J1531" s="196">
        <v>-19.64</v>
      </c>
      <c r="K1531" s="196">
        <v>1420</v>
      </c>
      <c r="L1531" s="454" t="s">
        <v>899</v>
      </c>
      <c r="M1531" s="4" t="s">
        <v>780</v>
      </c>
      <c r="N1531" s="133" t="s">
        <v>1407</v>
      </c>
      <c r="O1531" s="4" t="s">
        <v>1620</v>
      </c>
      <c r="P1531" s="4" t="s">
        <v>892</v>
      </c>
      <c r="Q1531" s="4" t="s">
        <v>1621</v>
      </c>
      <c r="R1531" s="4" t="s">
        <v>1652</v>
      </c>
      <c r="S1531" s="4" t="s">
        <v>1623</v>
      </c>
      <c r="T1531" s="4" t="s">
        <v>786</v>
      </c>
      <c r="U1531" s="4"/>
      <c r="V1531" s="4"/>
      <c r="W1531" s="4"/>
    </row>
    <row r="1532" spans="1:23" customFormat="1">
      <c r="A1532" s="10"/>
      <c r="B1532" s="4"/>
      <c r="C1532" s="4"/>
      <c r="D1532" s="4"/>
      <c r="E1532" s="4"/>
      <c r="F1532" s="152" t="s">
        <v>372</v>
      </c>
      <c r="G1532" s="4" t="s">
        <v>309</v>
      </c>
      <c r="H1532" s="4"/>
      <c r="I1532" s="196">
        <v>-191736.6</v>
      </c>
      <c r="J1532" s="196">
        <v>-137.94</v>
      </c>
      <c r="K1532" s="196">
        <v>1390</v>
      </c>
      <c r="L1532" s="454" t="s">
        <v>899</v>
      </c>
      <c r="M1532" s="4" t="s">
        <v>780</v>
      </c>
      <c r="N1532" s="133" t="s">
        <v>1407</v>
      </c>
      <c r="O1532" s="4" t="s">
        <v>1620</v>
      </c>
      <c r="P1532" s="4" t="s">
        <v>892</v>
      </c>
      <c r="Q1532" s="4" t="s">
        <v>1621</v>
      </c>
      <c r="R1532" s="4" t="s">
        <v>1653</v>
      </c>
      <c r="S1532" s="4" t="s">
        <v>1623</v>
      </c>
      <c r="T1532" s="4" t="s">
        <v>786</v>
      </c>
      <c r="U1532" s="4"/>
      <c r="V1532" s="4"/>
      <c r="W1532" s="4"/>
    </row>
    <row r="1533" spans="1:23" customFormat="1">
      <c r="A1533" s="10"/>
      <c r="B1533" s="4"/>
      <c r="C1533" s="4"/>
      <c r="D1533" s="4"/>
      <c r="E1533" s="4"/>
      <c r="F1533" s="152" t="s">
        <v>372</v>
      </c>
      <c r="G1533" s="4" t="s">
        <v>309</v>
      </c>
      <c r="H1533" s="4"/>
      <c r="I1533" s="196">
        <v>-1042500</v>
      </c>
      <c r="J1533" s="196">
        <v>-750</v>
      </c>
      <c r="K1533" s="196">
        <v>1390</v>
      </c>
      <c r="L1533" s="454" t="s">
        <v>899</v>
      </c>
      <c r="M1533" s="4" t="s">
        <v>780</v>
      </c>
      <c r="N1533" s="133" t="s">
        <v>1407</v>
      </c>
      <c r="O1533" s="4" t="s">
        <v>1620</v>
      </c>
      <c r="P1533" s="4" t="s">
        <v>892</v>
      </c>
      <c r="Q1533" s="4" t="s">
        <v>1621</v>
      </c>
      <c r="R1533" s="4" t="s">
        <v>1654</v>
      </c>
      <c r="S1533" s="4" t="s">
        <v>1623</v>
      </c>
      <c r="T1533" s="4" t="s">
        <v>786</v>
      </c>
      <c r="U1533" s="4"/>
      <c r="V1533" s="4"/>
      <c r="W1533" s="4"/>
    </row>
    <row r="1534" spans="1:23" customFormat="1">
      <c r="A1534" s="10"/>
      <c r="B1534" s="4"/>
      <c r="C1534" s="4"/>
      <c r="D1534" s="4"/>
      <c r="E1534" s="4"/>
      <c r="F1534" s="152" t="s">
        <v>372</v>
      </c>
      <c r="G1534" s="4" t="s">
        <v>309</v>
      </c>
      <c r="H1534" s="4"/>
      <c r="I1534" s="196">
        <v>-56197.7</v>
      </c>
      <c r="J1534" s="196">
        <v>-40.43</v>
      </c>
      <c r="K1534" s="196">
        <v>1390</v>
      </c>
      <c r="L1534" s="454" t="s">
        <v>899</v>
      </c>
      <c r="M1534" s="4" t="s">
        <v>780</v>
      </c>
      <c r="N1534" s="133" t="s">
        <v>1407</v>
      </c>
      <c r="O1534" s="4" t="s">
        <v>1620</v>
      </c>
      <c r="P1534" s="4" t="s">
        <v>892</v>
      </c>
      <c r="Q1534" s="4" t="s">
        <v>1621</v>
      </c>
      <c r="R1534" s="4" t="s">
        <v>1655</v>
      </c>
      <c r="S1534" s="4" t="s">
        <v>1623</v>
      </c>
      <c r="T1534" s="4" t="s">
        <v>786</v>
      </c>
      <c r="U1534" s="4"/>
      <c r="V1534" s="4"/>
      <c r="W1534" s="4"/>
    </row>
    <row r="1535" spans="1:23" customFormat="1">
      <c r="A1535" s="10"/>
      <c r="B1535" s="4"/>
      <c r="C1535" s="4"/>
      <c r="D1535" s="4"/>
      <c r="E1535" s="4"/>
      <c r="F1535" s="152" t="s">
        <v>372</v>
      </c>
      <c r="G1535" s="4" t="s">
        <v>309</v>
      </c>
      <c r="H1535" s="4"/>
      <c r="I1535" s="196">
        <v>-17458.400000000001</v>
      </c>
      <c r="J1535" s="196">
        <v>-12.56</v>
      </c>
      <c r="K1535" s="196">
        <v>1390</v>
      </c>
      <c r="L1535" s="454" t="s">
        <v>899</v>
      </c>
      <c r="M1535" s="4" t="s">
        <v>780</v>
      </c>
      <c r="N1535" s="133" t="s">
        <v>1407</v>
      </c>
      <c r="O1535" s="4" t="s">
        <v>1620</v>
      </c>
      <c r="P1535" s="4" t="s">
        <v>892</v>
      </c>
      <c r="Q1535" s="4" t="s">
        <v>1621</v>
      </c>
      <c r="R1535" s="4" t="s">
        <v>1656</v>
      </c>
      <c r="S1535" s="4" t="s">
        <v>1623</v>
      </c>
      <c r="T1535" s="4" t="s">
        <v>786</v>
      </c>
      <c r="U1535" s="4"/>
      <c r="V1535" s="4"/>
      <c r="W1535" s="4"/>
    </row>
    <row r="1536" spans="1:23" customFormat="1">
      <c r="A1536" s="10"/>
      <c r="B1536" s="4"/>
      <c r="C1536" s="4"/>
      <c r="D1536" s="4"/>
      <c r="E1536" s="4"/>
      <c r="F1536" s="152" t="s">
        <v>372</v>
      </c>
      <c r="G1536" s="4" t="s">
        <v>309</v>
      </c>
      <c r="H1536" s="4"/>
      <c r="I1536" s="196">
        <v>-195156</v>
      </c>
      <c r="J1536" s="196">
        <v>-140.4</v>
      </c>
      <c r="K1536" s="196">
        <v>1390</v>
      </c>
      <c r="L1536" s="454" t="s">
        <v>899</v>
      </c>
      <c r="M1536" s="4" t="s">
        <v>780</v>
      </c>
      <c r="N1536" s="133" t="s">
        <v>1407</v>
      </c>
      <c r="O1536" s="4" t="s">
        <v>1620</v>
      </c>
      <c r="P1536" s="4" t="s">
        <v>892</v>
      </c>
      <c r="Q1536" s="4" t="s">
        <v>1621</v>
      </c>
      <c r="R1536" s="4" t="s">
        <v>1657</v>
      </c>
      <c r="S1536" s="4" t="s">
        <v>1623</v>
      </c>
      <c r="T1536" s="4" t="s">
        <v>786</v>
      </c>
      <c r="U1536" s="4"/>
      <c r="V1536" s="4"/>
      <c r="W1536" s="4"/>
    </row>
    <row r="1537" spans="1:23" customFormat="1">
      <c r="A1537" s="10"/>
      <c r="B1537" s="4"/>
      <c r="C1537" s="4"/>
      <c r="D1537" s="4"/>
      <c r="E1537" s="4"/>
      <c r="F1537" s="152" t="s">
        <v>372</v>
      </c>
      <c r="G1537" s="4" t="s">
        <v>309</v>
      </c>
      <c r="H1537" s="4"/>
      <c r="I1537" s="196">
        <v>-264600.40000000002</v>
      </c>
      <c r="J1537" s="196">
        <v>-190.36</v>
      </c>
      <c r="K1537" s="196">
        <v>1390</v>
      </c>
      <c r="L1537" s="454" t="s">
        <v>899</v>
      </c>
      <c r="M1537" s="4" t="s">
        <v>780</v>
      </c>
      <c r="N1537" s="133" t="s">
        <v>1407</v>
      </c>
      <c r="O1537" s="4" t="s">
        <v>1620</v>
      </c>
      <c r="P1537" s="4" t="s">
        <v>892</v>
      </c>
      <c r="Q1537" s="4" t="s">
        <v>1621</v>
      </c>
      <c r="R1537" s="4" t="s">
        <v>1658</v>
      </c>
      <c r="S1537" s="4" t="s">
        <v>1623</v>
      </c>
      <c r="T1537" s="4" t="s">
        <v>786</v>
      </c>
      <c r="U1537" s="4"/>
      <c r="V1537" s="4"/>
      <c r="W1537" s="4"/>
    </row>
    <row r="1538" spans="1:23" customFormat="1">
      <c r="A1538" s="10"/>
      <c r="B1538" s="4"/>
      <c r="C1538" s="4"/>
      <c r="D1538" s="4"/>
      <c r="E1538" s="4"/>
      <c r="F1538" s="152" t="s">
        <v>372</v>
      </c>
      <c r="G1538" s="4" t="s">
        <v>309</v>
      </c>
      <c r="H1538" s="4"/>
      <c r="I1538" s="196">
        <v>-15192.7</v>
      </c>
      <c r="J1538" s="196">
        <v>-10.93</v>
      </c>
      <c r="K1538" s="196">
        <v>1390</v>
      </c>
      <c r="L1538" s="454" t="s">
        <v>899</v>
      </c>
      <c r="M1538" s="4" t="s">
        <v>780</v>
      </c>
      <c r="N1538" s="133" t="s">
        <v>1407</v>
      </c>
      <c r="O1538" s="4" t="s">
        <v>1620</v>
      </c>
      <c r="P1538" s="4" t="s">
        <v>892</v>
      </c>
      <c r="Q1538" s="4" t="s">
        <v>1621</v>
      </c>
      <c r="R1538" s="4" t="s">
        <v>1659</v>
      </c>
      <c r="S1538" s="4" t="s">
        <v>1623</v>
      </c>
      <c r="T1538" s="4" t="s">
        <v>786</v>
      </c>
      <c r="U1538" s="4"/>
      <c r="V1538" s="4"/>
      <c r="W1538" s="4"/>
    </row>
    <row r="1539" spans="1:23" customFormat="1">
      <c r="A1539" s="10"/>
      <c r="B1539" s="4"/>
      <c r="C1539" s="4"/>
      <c r="D1539" s="4"/>
      <c r="E1539" s="4"/>
      <c r="F1539" s="152" t="s">
        <v>372</v>
      </c>
      <c r="G1539" s="4" t="s">
        <v>309</v>
      </c>
      <c r="H1539" s="4"/>
      <c r="I1539" s="196">
        <v>-41908.5</v>
      </c>
      <c r="J1539" s="196">
        <v>-30.15</v>
      </c>
      <c r="K1539" s="196">
        <v>1390</v>
      </c>
      <c r="L1539" s="454" t="s">
        <v>899</v>
      </c>
      <c r="M1539" s="4" t="s">
        <v>780</v>
      </c>
      <c r="N1539" s="133" t="s">
        <v>1407</v>
      </c>
      <c r="O1539" s="4" t="s">
        <v>1620</v>
      </c>
      <c r="P1539" s="4" t="s">
        <v>892</v>
      </c>
      <c r="Q1539" s="4" t="s">
        <v>1621</v>
      </c>
      <c r="R1539" s="4" t="s">
        <v>1660</v>
      </c>
      <c r="S1539" s="4" t="s">
        <v>1623</v>
      </c>
      <c r="T1539" s="4" t="s">
        <v>786</v>
      </c>
      <c r="U1539" s="4"/>
      <c r="V1539" s="4"/>
      <c r="W1539" s="4"/>
    </row>
    <row r="1540" spans="1:23" customFormat="1">
      <c r="A1540" s="10"/>
      <c r="B1540" s="4"/>
      <c r="C1540" s="4"/>
      <c r="D1540" s="4"/>
      <c r="E1540" s="4"/>
      <c r="F1540" s="152" t="s">
        <v>372</v>
      </c>
      <c r="G1540" s="4" t="s">
        <v>309</v>
      </c>
      <c r="H1540" s="4"/>
      <c r="I1540" s="196">
        <v>-46565</v>
      </c>
      <c r="J1540" s="196">
        <v>-33.5</v>
      </c>
      <c r="K1540" s="196">
        <v>1390</v>
      </c>
      <c r="L1540" s="454" t="s">
        <v>899</v>
      </c>
      <c r="M1540" s="4" t="s">
        <v>780</v>
      </c>
      <c r="N1540" s="133" t="s">
        <v>1407</v>
      </c>
      <c r="O1540" s="4" t="s">
        <v>1620</v>
      </c>
      <c r="P1540" s="4" t="s">
        <v>892</v>
      </c>
      <c r="Q1540" s="4" t="s">
        <v>1621</v>
      </c>
      <c r="R1540" s="4" t="s">
        <v>1661</v>
      </c>
      <c r="S1540" s="4" t="s">
        <v>1623</v>
      </c>
      <c r="T1540" s="4" t="s">
        <v>786</v>
      </c>
      <c r="U1540" s="4"/>
      <c r="V1540" s="4"/>
      <c r="W1540" s="4"/>
    </row>
    <row r="1541" spans="1:23" customFormat="1">
      <c r="A1541" s="10"/>
      <c r="B1541" s="4"/>
      <c r="C1541" s="4"/>
      <c r="D1541" s="4"/>
      <c r="E1541" s="4"/>
      <c r="F1541" s="152" t="s">
        <v>372</v>
      </c>
      <c r="G1541" s="4" t="s">
        <v>309</v>
      </c>
      <c r="H1541" s="4"/>
      <c r="I1541" s="196">
        <v>-430900</v>
      </c>
      <c r="J1541" s="196">
        <v>-310</v>
      </c>
      <c r="K1541" s="196">
        <v>1390</v>
      </c>
      <c r="L1541" s="454" t="s">
        <v>899</v>
      </c>
      <c r="M1541" s="4" t="s">
        <v>780</v>
      </c>
      <c r="N1541" s="133" t="s">
        <v>1407</v>
      </c>
      <c r="O1541" s="4" t="s">
        <v>1620</v>
      </c>
      <c r="P1541" s="4" t="s">
        <v>892</v>
      </c>
      <c r="Q1541" s="4" t="s">
        <v>1621</v>
      </c>
      <c r="R1541" s="4" t="s">
        <v>1662</v>
      </c>
      <c r="S1541" s="4" t="s">
        <v>1623</v>
      </c>
      <c r="T1541" s="4" t="s">
        <v>786</v>
      </c>
      <c r="U1541" s="4"/>
      <c r="V1541" s="4"/>
      <c r="W1541" s="4"/>
    </row>
    <row r="1542" spans="1:23" customFormat="1">
      <c r="A1542" s="10"/>
      <c r="B1542" s="4"/>
      <c r="C1542" s="4"/>
      <c r="D1542" s="4"/>
      <c r="E1542" s="4"/>
      <c r="F1542" s="152" t="s">
        <v>372</v>
      </c>
      <c r="G1542" s="4" t="s">
        <v>309</v>
      </c>
      <c r="H1542" s="4"/>
      <c r="I1542" s="196">
        <v>-1579200</v>
      </c>
      <c r="J1542" s="196">
        <v>-1120</v>
      </c>
      <c r="K1542" s="196">
        <v>1410</v>
      </c>
      <c r="L1542" s="454" t="s">
        <v>899</v>
      </c>
      <c r="M1542" s="4" t="s">
        <v>780</v>
      </c>
      <c r="N1542" s="133" t="s">
        <v>1407</v>
      </c>
      <c r="O1542" s="4" t="s">
        <v>1620</v>
      </c>
      <c r="P1542" s="4" t="s">
        <v>892</v>
      </c>
      <c r="Q1542" s="4" t="s">
        <v>1621</v>
      </c>
      <c r="R1542" s="4" t="s">
        <v>1663</v>
      </c>
      <c r="S1542" s="4" t="s">
        <v>1623</v>
      </c>
      <c r="T1542" s="4" t="s">
        <v>786</v>
      </c>
      <c r="U1542" s="4"/>
      <c r="V1542" s="4"/>
      <c r="W1542" s="4"/>
    </row>
    <row r="1543" spans="1:23" customFormat="1">
      <c r="A1543" s="10"/>
      <c r="B1543" s="4"/>
      <c r="C1543" s="4"/>
      <c r="D1543" s="4"/>
      <c r="E1543" s="4"/>
      <c r="F1543" s="152" t="s">
        <v>372</v>
      </c>
      <c r="G1543" s="4" t="s">
        <v>309</v>
      </c>
      <c r="H1543" s="4"/>
      <c r="I1543" s="196">
        <v>-441199.9</v>
      </c>
      <c r="J1543" s="196">
        <v>-317.41000000000003</v>
      </c>
      <c r="K1543" s="196">
        <v>1390</v>
      </c>
      <c r="L1543" s="454" t="s">
        <v>899</v>
      </c>
      <c r="M1543" s="4" t="s">
        <v>780</v>
      </c>
      <c r="N1543" s="133" t="s">
        <v>1407</v>
      </c>
      <c r="O1543" s="4" t="s">
        <v>1620</v>
      </c>
      <c r="P1543" s="4" t="s">
        <v>892</v>
      </c>
      <c r="Q1543" s="4" t="s">
        <v>1621</v>
      </c>
      <c r="R1543" s="4" t="s">
        <v>1664</v>
      </c>
      <c r="S1543" s="4" t="s">
        <v>1623</v>
      </c>
      <c r="T1543" s="4" t="s">
        <v>786</v>
      </c>
      <c r="U1543" s="4"/>
      <c r="V1543" s="4"/>
      <c r="W1543" s="4"/>
    </row>
    <row r="1544" spans="1:23" customFormat="1">
      <c r="A1544" s="10"/>
      <c r="B1544" s="4"/>
      <c r="C1544" s="4"/>
      <c r="D1544" s="4"/>
      <c r="E1544" s="4"/>
      <c r="F1544" s="152" t="s">
        <v>372</v>
      </c>
      <c r="G1544" s="4" t="s">
        <v>309</v>
      </c>
      <c r="H1544" s="4"/>
      <c r="I1544" s="196">
        <v>-762025.8</v>
      </c>
      <c r="J1544" s="196">
        <v>-548.22</v>
      </c>
      <c r="K1544" s="196">
        <v>1390</v>
      </c>
      <c r="L1544" s="454" t="s">
        <v>899</v>
      </c>
      <c r="M1544" s="4" t="s">
        <v>780</v>
      </c>
      <c r="N1544" s="133" t="s">
        <v>1407</v>
      </c>
      <c r="O1544" s="4" t="s">
        <v>1620</v>
      </c>
      <c r="P1544" s="4" t="s">
        <v>892</v>
      </c>
      <c r="Q1544" s="4" t="s">
        <v>1621</v>
      </c>
      <c r="R1544" s="4" t="s">
        <v>1665</v>
      </c>
      <c r="S1544" s="4" t="s">
        <v>1623</v>
      </c>
      <c r="T1544" s="4" t="s">
        <v>786</v>
      </c>
      <c r="U1544" s="4"/>
      <c r="V1544" s="4"/>
      <c r="W1544" s="4"/>
    </row>
    <row r="1545" spans="1:23" customFormat="1">
      <c r="A1545" s="10"/>
      <c r="B1545" s="4"/>
      <c r="C1545" s="4"/>
      <c r="D1545" s="4"/>
      <c r="E1545" s="4"/>
      <c r="F1545" s="152" t="s">
        <v>372</v>
      </c>
      <c r="G1545" s="4" t="s">
        <v>309</v>
      </c>
      <c r="H1545" s="4"/>
      <c r="I1545" s="196">
        <v>-704702.2</v>
      </c>
      <c r="J1545" s="196">
        <v>-506.98</v>
      </c>
      <c r="K1545" s="196">
        <v>1390</v>
      </c>
      <c r="L1545" s="454" t="s">
        <v>899</v>
      </c>
      <c r="M1545" s="4" t="s">
        <v>780</v>
      </c>
      <c r="N1545" s="133" t="s">
        <v>1407</v>
      </c>
      <c r="O1545" s="4" t="s">
        <v>1620</v>
      </c>
      <c r="P1545" s="4" t="s">
        <v>892</v>
      </c>
      <c r="Q1545" s="4" t="s">
        <v>1621</v>
      </c>
      <c r="R1545" s="4" t="s">
        <v>1666</v>
      </c>
      <c r="S1545" s="4" t="s">
        <v>1623</v>
      </c>
      <c r="T1545" s="4" t="s">
        <v>786</v>
      </c>
      <c r="U1545" s="4"/>
      <c r="V1545" s="4"/>
      <c r="W1545" s="4"/>
    </row>
    <row r="1546" spans="1:23" customFormat="1">
      <c r="A1546" s="10"/>
      <c r="B1546" s="4"/>
      <c r="C1546" s="4"/>
      <c r="D1546" s="4"/>
      <c r="E1546" s="4"/>
      <c r="F1546" s="152" t="s">
        <v>372</v>
      </c>
      <c r="G1546" s="4" t="s">
        <v>309</v>
      </c>
      <c r="H1546" s="4"/>
      <c r="I1546" s="196">
        <v>-105487.1</v>
      </c>
      <c r="J1546" s="196">
        <v>-75.89</v>
      </c>
      <c r="K1546" s="196">
        <v>1390</v>
      </c>
      <c r="L1546" s="454" t="s">
        <v>899</v>
      </c>
      <c r="M1546" s="4" t="s">
        <v>780</v>
      </c>
      <c r="N1546" s="133" t="s">
        <v>1407</v>
      </c>
      <c r="O1546" s="4" t="s">
        <v>1620</v>
      </c>
      <c r="P1546" s="4" t="s">
        <v>892</v>
      </c>
      <c r="Q1546" s="4" t="s">
        <v>1621</v>
      </c>
      <c r="R1546" s="4" t="s">
        <v>1667</v>
      </c>
      <c r="S1546" s="4" t="s">
        <v>1623</v>
      </c>
      <c r="T1546" s="4" t="s">
        <v>786</v>
      </c>
      <c r="U1546" s="4"/>
      <c r="V1546" s="4"/>
      <c r="W1546" s="4"/>
    </row>
    <row r="1547" spans="1:23" customFormat="1">
      <c r="A1547" s="10"/>
      <c r="B1547" s="4"/>
      <c r="C1547" s="4"/>
      <c r="D1547" s="4"/>
      <c r="E1547" s="4"/>
      <c r="F1547" s="152" t="s">
        <v>372</v>
      </c>
      <c r="G1547" s="4" t="s">
        <v>309</v>
      </c>
      <c r="H1547" s="4"/>
      <c r="I1547" s="196">
        <v>-281530.59999999998</v>
      </c>
      <c r="J1547" s="196">
        <v>-202.54</v>
      </c>
      <c r="K1547" s="196">
        <v>1390</v>
      </c>
      <c r="L1547" s="454" t="s">
        <v>899</v>
      </c>
      <c r="M1547" s="4" t="s">
        <v>780</v>
      </c>
      <c r="N1547" s="133" t="s">
        <v>1407</v>
      </c>
      <c r="O1547" s="4" t="s">
        <v>1620</v>
      </c>
      <c r="P1547" s="4" t="s">
        <v>892</v>
      </c>
      <c r="Q1547" s="4" t="s">
        <v>1621</v>
      </c>
      <c r="R1547" s="4" t="s">
        <v>1668</v>
      </c>
      <c r="S1547" s="4" t="s">
        <v>1623</v>
      </c>
      <c r="T1547" s="4" t="s">
        <v>786</v>
      </c>
      <c r="U1547" s="4"/>
      <c r="V1547" s="4"/>
      <c r="W1547" s="4"/>
    </row>
    <row r="1548" spans="1:23" customFormat="1">
      <c r="A1548" s="10"/>
      <c r="B1548" s="4"/>
      <c r="C1548" s="4"/>
      <c r="D1548" s="4"/>
      <c r="E1548" s="4"/>
      <c r="F1548" s="152" t="s">
        <v>372</v>
      </c>
      <c r="G1548" s="4" t="s">
        <v>309</v>
      </c>
      <c r="H1548" s="4"/>
      <c r="I1548" s="196">
        <v>-2119750</v>
      </c>
      <c r="J1548" s="196">
        <v>-1525</v>
      </c>
      <c r="K1548" s="196">
        <v>1390</v>
      </c>
      <c r="L1548" s="454" t="s">
        <v>899</v>
      </c>
      <c r="M1548" s="4" t="s">
        <v>780</v>
      </c>
      <c r="N1548" s="133" t="s">
        <v>1407</v>
      </c>
      <c r="O1548" s="4" t="s">
        <v>1620</v>
      </c>
      <c r="P1548" s="4" t="s">
        <v>892</v>
      </c>
      <c r="Q1548" s="4" t="s">
        <v>1621</v>
      </c>
      <c r="R1548" s="4" t="s">
        <v>1669</v>
      </c>
      <c r="S1548" s="4" t="s">
        <v>1623</v>
      </c>
      <c r="T1548" s="4" t="s">
        <v>786</v>
      </c>
      <c r="U1548" s="4"/>
      <c r="V1548" s="4"/>
      <c r="W1548" s="4"/>
    </row>
    <row r="1549" spans="1:23" customFormat="1">
      <c r="A1549" s="10"/>
      <c r="B1549" s="4"/>
      <c r="C1549" s="4"/>
      <c r="D1549" s="4"/>
      <c r="E1549" s="4"/>
      <c r="F1549" s="152" t="s">
        <v>372</v>
      </c>
      <c r="G1549" s="4" t="s">
        <v>309</v>
      </c>
      <c r="H1549" s="4"/>
      <c r="I1549" s="196">
        <v>-34875.199999999997</v>
      </c>
      <c r="J1549" s="196">
        <v>-24.56</v>
      </c>
      <c r="K1549" s="196">
        <v>1420</v>
      </c>
      <c r="L1549" s="454" t="s">
        <v>899</v>
      </c>
      <c r="M1549" s="4" t="s">
        <v>780</v>
      </c>
      <c r="N1549" s="133" t="s">
        <v>1407</v>
      </c>
      <c r="O1549" s="4" t="s">
        <v>1620</v>
      </c>
      <c r="P1549" s="4" t="s">
        <v>892</v>
      </c>
      <c r="Q1549" s="4" t="s">
        <v>1621</v>
      </c>
      <c r="R1549" s="4" t="s">
        <v>1670</v>
      </c>
      <c r="S1549" s="4" t="s">
        <v>1623</v>
      </c>
      <c r="T1549" s="4" t="s">
        <v>786</v>
      </c>
      <c r="U1549" s="4"/>
      <c r="V1549" s="4"/>
      <c r="W1549" s="4"/>
    </row>
    <row r="1550" spans="1:23" customFormat="1">
      <c r="A1550" s="10"/>
      <c r="B1550" s="4"/>
      <c r="C1550" s="4"/>
      <c r="D1550" s="4"/>
      <c r="E1550" s="4"/>
      <c r="F1550" s="152" t="s">
        <v>372</v>
      </c>
      <c r="G1550" s="4" t="s">
        <v>309</v>
      </c>
      <c r="H1550" s="4"/>
      <c r="I1550" s="196">
        <v>-138435.79999999999</v>
      </c>
      <c r="J1550" s="196">
        <v>-97.49</v>
      </c>
      <c r="K1550" s="196">
        <v>1420</v>
      </c>
      <c r="L1550" s="454" t="s">
        <v>899</v>
      </c>
      <c r="M1550" s="4" t="s">
        <v>780</v>
      </c>
      <c r="N1550" s="133" t="s">
        <v>1407</v>
      </c>
      <c r="O1550" s="4" t="s">
        <v>1620</v>
      </c>
      <c r="P1550" s="4" t="s">
        <v>892</v>
      </c>
      <c r="Q1550" s="4" t="s">
        <v>1621</v>
      </c>
      <c r="R1550" s="4" t="s">
        <v>1671</v>
      </c>
      <c r="S1550" s="4" t="s">
        <v>1623</v>
      </c>
      <c r="T1550" s="4" t="s">
        <v>786</v>
      </c>
      <c r="U1550" s="4"/>
      <c r="V1550" s="4"/>
      <c r="W1550" s="4"/>
    </row>
    <row r="1551" spans="1:23" customFormat="1">
      <c r="A1551" s="10"/>
      <c r="B1551" s="4"/>
      <c r="C1551" s="4"/>
      <c r="D1551" s="4"/>
      <c r="E1551" s="4"/>
      <c r="F1551" s="152" t="s">
        <v>372</v>
      </c>
      <c r="G1551" s="4" t="s">
        <v>309</v>
      </c>
      <c r="H1551" s="4"/>
      <c r="I1551" s="196">
        <v>-15889.8</v>
      </c>
      <c r="J1551" s="196">
        <v>-11.19</v>
      </c>
      <c r="K1551" s="196">
        <v>1420</v>
      </c>
      <c r="L1551" s="454" t="s">
        <v>899</v>
      </c>
      <c r="M1551" s="4" t="s">
        <v>780</v>
      </c>
      <c r="N1551" s="133" t="s">
        <v>1407</v>
      </c>
      <c r="O1551" s="4" t="s">
        <v>1620</v>
      </c>
      <c r="P1551" s="4" t="s">
        <v>892</v>
      </c>
      <c r="Q1551" s="4" t="s">
        <v>1621</v>
      </c>
      <c r="R1551" s="4" t="s">
        <v>1627</v>
      </c>
      <c r="S1551" s="4" t="s">
        <v>1623</v>
      </c>
      <c r="T1551" s="4" t="s">
        <v>786</v>
      </c>
      <c r="U1551" s="4"/>
      <c r="V1551" s="4"/>
      <c r="W1551" s="4"/>
    </row>
    <row r="1552" spans="1:23" customFormat="1">
      <c r="A1552" s="10"/>
      <c r="B1552" s="4"/>
      <c r="C1552" s="4"/>
      <c r="D1552" s="4"/>
      <c r="E1552" s="4"/>
      <c r="F1552" s="152" t="s">
        <v>372</v>
      </c>
      <c r="G1552" s="4" t="s">
        <v>309</v>
      </c>
      <c r="H1552" s="4"/>
      <c r="I1552" s="196">
        <v>-221804</v>
      </c>
      <c r="J1552" s="196">
        <v>-156.19999999999999</v>
      </c>
      <c r="K1552" s="196">
        <v>1420</v>
      </c>
      <c r="L1552" s="454" t="s">
        <v>899</v>
      </c>
      <c r="M1552" s="4" t="s">
        <v>780</v>
      </c>
      <c r="N1552" s="133" t="s">
        <v>1407</v>
      </c>
      <c r="O1552" s="4" t="s">
        <v>1620</v>
      </c>
      <c r="P1552" s="4" t="s">
        <v>892</v>
      </c>
      <c r="Q1552" s="4" t="s">
        <v>1621</v>
      </c>
      <c r="R1552" s="4" t="s">
        <v>1672</v>
      </c>
      <c r="S1552" s="4" t="s">
        <v>1623</v>
      </c>
      <c r="T1552" s="4" t="s">
        <v>786</v>
      </c>
      <c r="U1552" s="4"/>
      <c r="V1552" s="4"/>
      <c r="W1552" s="4"/>
    </row>
    <row r="1553" spans="1:23" customFormat="1">
      <c r="A1553" s="10"/>
      <c r="B1553" s="4"/>
      <c r="C1553" s="4"/>
      <c r="D1553" s="4"/>
      <c r="E1553" s="4"/>
      <c r="F1553" s="152" t="s">
        <v>372</v>
      </c>
      <c r="G1553" s="4" t="s">
        <v>309</v>
      </c>
      <c r="H1553" s="4"/>
      <c r="I1553" s="196">
        <v>-31169</v>
      </c>
      <c r="J1553" s="196">
        <v>-21.95</v>
      </c>
      <c r="K1553" s="196">
        <v>1420</v>
      </c>
      <c r="L1553" s="454" t="s">
        <v>899</v>
      </c>
      <c r="M1553" s="4" t="s">
        <v>780</v>
      </c>
      <c r="N1553" s="133" t="s">
        <v>1407</v>
      </c>
      <c r="O1553" s="4" t="s">
        <v>1620</v>
      </c>
      <c r="P1553" s="4" t="s">
        <v>892</v>
      </c>
      <c r="Q1553" s="4" t="s">
        <v>1621</v>
      </c>
      <c r="R1553" s="4" t="s">
        <v>1673</v>
      </c>
      <c r="S1553" s="4" t="s">
        <v>1623</v>
      </c>
      <c r="T1553" s="4" t="s">
        <v>786</v>
      </c>
      <c r="U1553" s="4"/>
      <c r="V1553" s="4"/>
      <c r="W1553" s="4"/>
    </row>
    <row r="1554" spans="1:23" customFormat="1">
      <c r="A1554" s="10"/>
      <c r="B1554" s="4"/>
      <c r="C1554" s="4"/>
      <c r="D1554" s="4"/>
      <c r="E1554" s="4"/>
      <c r="F1554" s="152" t="s">
        <v>372</v>
      </c>
      <c r="G1554" s="4" t="s">
        <v>309</v>
      </c>
      <c r="H1554" s="4"/>
      <c r="I1554" s="196">
        <v>-247080</v>
      </c>
      <c r="J1554" s="196">
        <v>-174</v>
      </c>
      <c r="K1554" s="196">
        <v>1420</v>
      </c>
      <c r="L1554" s="454" t="s">
        <v>899</v>
      </c>
      <c r="M1554" s="4" t="s">
        <v>780</v>
      </c>
      <c r="N1554" s="133" t="s">
        <v>1407</v>
      </c>
      <c r="O1554" s="4" t="s">
        <v>1620</v>
      </c>
      <c r="P1554" s="4" t="s">
        <v>892</v>
      </c>
      <c r="Q1554" s="4" t="s">
        <v>1621</v>
      </c>
      <c r="R1554" s="4" t="s">
        <v>1674</v>
      </c>
      <c r="S1554" s="4" t="s">
        <v>1623</v>
      </c>
      <c r="T1554" s="4" t="s">
        <v>786</v>
      </c>
      <c r="U1554" s="4"/>
      <c r="V1554" s="4"/>
      <c r="W1554" s="4"/>
    </row>
    <row r="1555" spans="1:23" customFormat="1">
      <c r="A1555" s="10"/>
      <c r="B1555" s="4"/>
      <c r="C1555" s="4"/>
      <c r="D1555" s="4"/>
      <c r="E1555" s="4"/>
      <c r="F1555" s="152" t="s">
        <v>372</v>
      </c>
      <c r="G1555" s="4" t="s">
        <v>309</v>
      </c>
      <c r="H1555" s="4"/>
      <c r="I1555" s="196">
        <v>-35301.199999999997</v>
      </c>
      <c r="J1555" s="196">
        <v>-24.86</v>
      </c>
      <c r="K1555" s="196">
        <v>1420</v>
      </c>
      <c r="L1555" s="454" t="s">
        <v>899</v>
      </c>
      <c r="M1555" s="4" t="s">
        <v>780</v>
      </c>
      <c r="N1555" s="133" t="s">
        <v>1407</v>
      </c>
      <c r="O1555" s="4" t="s">
        <v>1620</v>
      </c>
      <c r="P1555" s="4" t="s">
        <v>892</v>
      </c>
      <c r="Q1555" s="4" t="s">
        <v>1621</v>
      </c>
      <c r="R1555" s="4" t="s">
        <v>1675</v>
      </c>
      <c r="S1555" s="4" t="s">
        <v>1623</v>
      </c>
      <c r="T1555" s="4" t="s">
        <v>786</v>
      </c>
      <c r="U1555" s="4"/>
      <c r="V1555" s="4"/>
      <c r="W1555" s="4"/>
    </row>
    <row r="1556" spans="1:23" customFormat="1">
      <c r="A1556" s="10"/>
      <c r="B1556" s="4"/>
      <c r="C1556" s="4"/>
      <c r="D1556" s="4"/>
      <c r="E1556" s="4"/>
      <c r="F1556" s="152" t="s">
        <v>372</v>
      </c>
      <c r="G1556" s="4" t="s">
        <v>309</v>
      </c>
      <c r="H1556" s="4"/>
      <c r="I1556" s="196">
        <v>-46590.2</v>
      </c>
      <c r="J1556" s="196">
        <v>-32.81</v>
      </c>
      <c r="K1556" s="196">
        <v>1420</v>
      </c>
      <c r="L1556" s="454" t="s">
        <v>899</v>
      </c>
      <c r="M1556" s="4" t="s">
        <v>780</v>
      </c>
      <c r="N1556" s="133" t="s">
        <v>1407</v>
      </c>
      <c r="O1556" s="4" t="s">
        <v>1620</v>
      </c>
      <c r="P1556" s="4" t="s">
        <v>892</v>
      </c>
      <c r="Q1556" s="4" t="s">
        <v>1621</v>
      </c>
      <c r="R1556" s="4" t="s">
        <v>1676</v>
      </c>
      <c r="S1556" s="4" t="s">
        <v>1623</v>
      </c>
      <c r="T1556" s="4" t="s">
        <v>786</v>
      </c>
      <c r="U1556" s="4"/>
      <c r="V1556" s="4"/>
      <c r="W1556" s="4"/>
    </row>
    <row r="1557" spans="1:23" customFormat="1">
      <c r="A1557" s="10"/>
      <c r="B1557" s="4"/>
      <c r="C1557" s="4"/>
      <c r="D1557" s="4"/>
      <c r="E1557" s="4"/>
      <c r="F1557" s="152" t="s">
        <v>372</v>
      </c>
      <c r="G1557" s="4" t="s">
        <v>309</v>
      </c>
      <c r="H1557" s="4"/>
      <c r="I1557" s="196">
        <v>-264730.59999999998</v>
      </c>
      <c r="J1557" s="196">
        <v>-186.43</v>
      </c>
      <c r="K1557" s="196">
        <v>1420</v>
      </c>
      <c r="L1557" s="454" t="s">
        <v>899</v>
      </c>
      <c r="M1557" s="4" t="s">
        <v>780</v>
      </c>
      <c r="N1557" s="133" t="s">
        <v>1407</v>
      </c>
      <c r="O1557" s="4" t="s">
        <v>1620</v>
      </c>
      <c r="P1557" s="4" t="s">
        <v>892</v>
      </c>
      <c r="Q1557" s="4" t="s">
        <v>1621</v>
      </c>
      <c r="R1557" s="4" t="s">
        <v>776</v>
      </c>
      <c r="S1557" s="4" t="s">
        <v>1623</v>
      </c>
      <c r="T1557" s="4" t="s">
        <v>786</v>
      </c>
      <c r="U1557" s="4"/>
      <c r="V1557" s="4"/>
      <c r="W1557" s="4"/>
    </row>
    <row r="1558" spans="1:23" customFormat="1">
      <c r="A1558" s="10"/>
      <c r="B1558" s="4"/>
      <c r="C1558" s="4"/>
      <c r="D1558" s="4"/>
      <c r="E1558" s="4"/>
      <c r="F1558" s="152" t="s">
        <v>372</v>
      </c>
      <c r="G1558" s="4" t="s">
        <v>309</v>
      </c>
      <c r="H1558" s="4"/>
      <c r="I1558" s="196">
        <v>-112284.2</v>
      </c>
      <c r="J1558" s="196">
        <v>-80.78</v>
      </c>
      <c r="K1558" s="196">
        <v>1390</v>
      </c>
      <c r="L1558" s="454" t="s">
        <v>899</v>
      </c>
      <c r="M1558" s="4" t="s">
        <v>780</v>
      </c>
      <c r="N1558" s="133" t="s">
        <v>1407</v>
      </c>
      <c r="O1558" s="4" t="s">
        <v>1620</v>
      </c>
      <c r="P1558" s="4" t="s">
        <v>892</v>
      </c>
      <c r="Q1558" s="4" t="s">
        <v>1621</v>
      </c>
      <c r="R1558" s="4" t="s">
        <v>1677</v>
      </c>
      <c r="S1558" s="4" t="s">
        <v>1623</v>
      </c>
      <c r="T1558" s="4" t="s">
        <v>786</v>
      </c>
      <c r="U1558" s="4"/>
      <c r="V1558" s="4"/>
      <c r="W1558" s="4"/>
    </row>
    <row r="1559" spans="1:23" customFormat="1">
      <c r="A1559" s="10"/>
      <c r="B1559" s="4"/>
      <c r="C1559" s="4"/>
      <c r="D1559" s="4"/>
      <c r="E1559" s="4"/>
      <c r="F1559" s="152" t="s">
        <v>372</v>
      </c>
      <c r="G1559" s="4" t="s">
        <v>309</v>
      </c>
      <c r="H1559" s="4"/>
      <c r="I1559" s="196">
        <v>-60009.2</v>
      </c>
      <c r="J1559" s="196">
        <v>-42.26</v>
      </c>
      <c r="K1559" s="196">
        <v>1420</v>
      </c>
      <c r="L1559" s="454" t="s">
        <v>899</v>
      </c>
      <c r="M1559" s="4" t="s">
        <v>780</v>
      </c>
      <c r="N1559" s="133" t="s">
        <v>1407</v>
      </c>
      <c r="O1559" s="4" t="s">
        <v>1620</v>
      </c>
      <c r="P1559" s="4" t="s">
        <v>892</v>
      </c>
      <c r="Q1559" s="4" t="s">
        <v>1621</v>
      </c>
      <c r="R1559" s="4" t="s">
        <v>1678</v>
      </c>
      <c r="S1559" s="4" t="s">
        <v>1623</v>
      </c>
      <c r="T1559" s="4" t="s">
        <v>786</v>
      </c>
      <c r="U1559" s="4"/>
      <c r="V1559" s="4"/>
      <c r="W1559" s="4"/>
    </row>
    <row r="1560" spans="1:23" customFormat="1">
      <c r="A1560" s="10"/>
      <c r="B1560" s="4"/>
      <c r="C1560" s="4"/>
      <c r="D1560" s="4"/>
      <c r="E1560" s="4"/>
      <c r="F1560" s="152" t="s">
        <v>372</v>
      </c>
      <c r="G1560" s="4" t="s">
        <v>309</v>
      </c>
      <c r="H1560" s="4"/>
      <c r="I1560" s="196">
        <v>-470501.1</v>
      </c>
      <c r="J1560" s="196">
        <v>-338.49</v>
      </c>
      <c r="K1560" s="196">
        <v>1390</v>
      </c>
      <c r="L1560" s="454" t="s">
        <v>899</v>
      </c>
      <c r="M1560" s="4" t="s">
        <v>780</v>
      </c>
      <c r="N1560" s="133" t="s">
        <v>1407</v>
      </c>
      <c r="O1560" s="4" t="s">
        <v>1620</v>
      </c>
      <c r="P1560" s="4" t="s">
        <v>892</v>
      </c>
      <c r="Q1560" s="4" t="s">
        <v>1621</v>
      </c>
      <c r="R1560" s="4" t="s">
        <v>1679</v>
      </c>
      <c r="S1560" s="4" t="s">
        <v>1623</v>
      </c>
      <c r="T1560" s="4" t="s">
        <v>786</v>
      </c>
      <c r="U1560" s="4"/>
      <c r="V1560" s="4"/>
      <c r="W1560" s="4"/>
    </row>
    <row r="1561" spans="1:23" customFormat="1">
      <c r="A1561" s="10"/>
      <c r="B1561" s="4"/>
      <c r="C1561" s="4"/>
      <c r="D1561" s="4"/>
      <c r="E1561" s="4"/>
      <c r="F1561" s="152" t="s">
        <v>372</v>
      </c>
      <c r="G1561" s="4" t="s">
        <v>309</v>
      </c>
      <c r="H1561" s="4"/>
      <c r="I1561" s="196">
        <v>-925556</v>
      </c>
      <c r="J1561" s="196">
        <v>-651.79999999999995</v>
      </c>
      <c r="K1561" s="196">
        <v>1420</v>
      </c>
      <c r="L1561" s="454" t="s">
        <v>899</v>
      </c>
      <c r="M1561" s="4" t="s">
        <v>780</v>
      </c>
      <c r="N1561" s="133" t="s">
        <v>1407</v>
      </c>
      <c r="O1561" s="4" t="s">
        <v>1620</v>
      </c>
      <c r="P1561" s="4" t="s">
        <v>892</v>
      </c>
      <c r="Q1561" s="4" t="s">
        <v>1621</v>
      </c>
      <c r="R1561" s="4" t="s">
        <v>1680</v>
      </c>
      <c r="S1561" s="4" t="s">
        <v>1623</v>
      </c>
      <c r="T1561" s="4" t="s">
        <v>786</v>
      </c>
      <c r="U1561" s="4"/>
      <c r="V1561" s="4"/>
      <c r="W1561" s="4"/>
    </row>
    <row r="1562" spans="1:23" customFormat="1">
      <c r="A1562" s="10"/>
      <c r="B1562" s="4"/>
      <c r="C1562" s="4"/>
      <c r="D1562" s="4"/>
      <c r="E1562" s="4"/>
      <c r="F1562" s="152" t="s">
        <v>372</v>
      </c>
      <c r="G1562" s="4" t="s">
        <v>309</v>
      </c>
      <c r="H1562" s="4"/>
      <c r="I1562" s="196">
        <v>-11189.6</v>
      </c>
      <c r="J1562" s="196">
        <v>-7.88</v>
      </c>
      <c r="K1562" s="196">
        <v>1420</v>
      </c>
      <c r="L1562" s="454" t="s">
        <v>899</v>
      </c>
      <c r="M1562" s="4" t="s">
        <v>780</v>
      </c>
      <c r="N1562" s="133" t="s">
        <v>1407</v>
      </c>
      <c r="O1562" s="4" t="s">
        <v>1620</v>
      </c>
      <c r="P1562" s="4" t="s">
        <v>892</v>
      </c>
      <c r="Q1562" s="4" t="s">
        <v>1621</v>
      </c>
      <c r="R1562" s="4" t="s">
        <v>1681</v>
      </c>
      <c r="S1562" s="4" t="s">
        <v>1623</v>
      </c>
      <c r="T1562" s="4" t="s">
        <v>786</v>
      </c>
      <c r="U1562" s="4"/>
      <c r="V1562" s="4"/>
      <c r="W1562" s="4"/>
    </row>
    <row r="1563" spans="1:23" customFormat="1">
      <c r="A1563" s="10"/>
      <c r="B1563" s="4"/>
      <c r="C1563" s="4"/>
      <c r="D1563" s="4"/>
      <c r="E1563" s="4"/>
      <c r="F1563" s="152" t="s">
        <v>372</v>
      </c>
      <c r="G1563" s="4" t="s">
        <v>309</v>
      </c>
      <c r="H1563" s="4"/>
      <c r="I1563" s="196">
        <v>-2432500</v>
      </c>
      <c r="J1563" s="196">
        <v>-1750</v>
      </c>
      <c r="K1563" s="196">
        <v>1390</v>
      </c>
      <c r="L1563" s="454" t="s">
        <v>899</v>
      </c>
      <c r="M1563" s="4" t="s">
        <v>780</v>
      </c>
      <c r="N1563" s="133" t="s">
        <v>1407</v>
      </c>
      <c r="O1563" s="4" t="s">
        <v>1620</v>
      </c>
      <c r="P1563" s="4" t="s">
        <v>892</v>
      </c>
      <c r="Q1563" s="4" t="s">
        <v>1621</v>
      </c>
      <c r="R1563" s="4" t="s">
        <v>1682</v>
      </c>
      <c r="S1563" s="4" t="s">
        <v>1623</v>
      </c>
      <c r="T1563" s="4" t="s">
        <v>786</v>
      </c>
      <c r="U1563" s="4"/>
      <c r="V1563" s="4"/>
      <c r="W1563" s="4"/>
    </row>
    <row r="1564" spans="1:23" customFormat="1">
      <c r="A1564" s="10"/>
      <c r="B1564" s="4"/>
      <c r="C1564" s="4"/>
      <c r="D1564" s="4"/>
      <c r="E1564" s="4"/>
      <c r="F1564" s="152" t="s">
        <v>372</v>
      </c>
      <c r="G1564" s="4" t="s">
        <v>309</v>
      </c>
      <c r="H1564" s="4"/>
      <c r="I1564" s="196">
        <v>-10053.6</v>
      </c>
      <c r="J1564" s="196">
        <v>-7.08</v>
      </c>
      <c r="K1564" s="196">
        <v>1420</v>
      </c>
      <c r="L1564" s="454" t="s">
        <v>899</v>
      </c>
      <c r="M1564" s="4" t="s">
        <v>780</v>
      </c>
      <c r="N1564" s="133" t="s">
        <v>1407</v>
      </c>
      <c r="O1564" s="4" t="s">
        <v>1620</v>
      </c>
      <c r="P1564" s="4" t="s">
        <v>892</v>
      </c>
      <c r="Q1564" s="4" t="s">
        <v>1621</v>
      </c>
      <c r="R1564" s="4" t="s">
        <v>1683</v>
      </c>
      <c r="S1564" s="4" t="s">
        <v>1623</v>
      </c>
      <c r="T1564" s="4" t="s">
        <v>786</v>
      </c>
      <c r="U1564" s="4"/>
      <c r="V1564" s="4"/>
      <c r="W1564" s="4"/>
    </row>
    <row r="1565" spans="1:23" customFormat="1">
      <c r="A1565" s="10"/>
      <c r="B1565" s="4"/>
      <c r="C1565" s="4"/>
      <c r="D1565" s="4"/>
      <c r="E1565" s="4"/>
      <c r="F1565" s="152" t="s">
        <v>372</v>
      </c>
      <c r="G1565" s="4" t="s">
        <v>309</v>
      </c>
      <c r="H1565" s="4"/>
      <c r="I1565" s="196">
        <v>-417000</v>
      </c>
      <c r="J1565" s="196">
        <v>-300</v>
      </c>
      <c r="K1565" s="196">
        <v>1390</v>
      </c>
      <c r="L1565" s="454" t="s">
        <v>899</v>
      </c>
      <c r="M1565" s="4" t="s">
        <v>780</v>
      </c>
      <c r="N1565" s="133" t="s">
        <v>1407</v>
      </c>
      <c r="O1565" s="4" t="s">
        <v>1620</v>
      </c>
      <c r="P1565" s="4" t="s">
        <v>892</v>
      </c>
      <c r="Q1565" s="4" t="s">
        <v>1621</v>
      </c>
      <c r="R1565" s="4" t="s">
        <v>1684</v>
      </c>
      <c r="S1565" s="4" t="s">
        <v>1623</v>
      </c>
      <c r="T1565" s="4" t="s">
        <v>786</v>
      </c>
      <c r="U1565" s="4"/>
      <c r="V1565" s="4"/>
      <c r="W1565" s="4"/>
    </row>
    <row r="1566" spans="1:23" customFormat="1">
      <c r="A1566" s="10"/>
      <c r="B1566" s="4"/>
      <c r="C1566" s="4"/>
      <c r="D1566" s="4"/>
      <c r="E1566" s="4"/>
      <c r="F1566" s="152" t="s">
        <v>372</v>
      </c>
      <c r="G1566" s="4" t="s">
        <v>309</v>
      </c>
      <c r="H1566" s="4"/>
      <c r="I1566" s="196">
        <v>-93109.4</v>
      </c>
      <c r="J1566" s="196">
        <v>-65.569999999999993</v>
      </c>
      <c r="K1566" s="196">
        <v>1420</v>
      </c>
      <c r="L1566" s="454" t="s">
        <v>899</v>
      </c>
      <c r="M1566" s="4" t="s">
        <v>780</v>
      </c>
      <c r="N1566" s="133" t="s">
        <v>1407</v>
      </c>
      <c r="O1566" s="4" t="s">
        <v>1620</v>
      </c>
      <c r="P1566" s="4" t="s">
        <v>892</v>
      </c>
      <c r="Q1566" s="4" t="s">
        <v>1621</v>
      </c>
      <c r="R1566" s="4" t="s">
        <v>1685</v>
      </c>
      <c r="S1566" s="4" t="s">
        <v>1623</v>
      </c>
      <c r="T1566" s="4" t="s">
        <v>786</v>
      </c>
      <c r="U1566" s="4"/>
      <c r="V1566" s="4"/>
      <c r="W1566" s="4"/>
    </row>
    <row r="1567" spans="1:23" customFormat="1">
      <c r="A1567" s="10"/>
      <c r="B1567" s="4"/>
      <c r="C1567" s="4"/>
      <c r="D1567" s="4"/>
      <c r="E1567" s="4"/>
      <c r="F1567" s="152" t="s">
        <v>372</v>
      </c>
      <c r="G1567" s="4" t="s">
        <v>309</v>
      </c>
      <c r="H1567" s="4"/>
      <c r="I1567" s="196">
        <v>-84790</v>
      </c>
      <c r="J1567" s="196">
        <v>-61</v>
      </c>
      <c r="K1567" s="196">
        <v>1390</v>
      </c>
      <c r="L1567" s="454" t="s">
        <v>899</v>
      </c>
      <c r="M1567" s="4" t="s">
        <v>780</v>
      </c>
      <c r="N1567" s="133" t="s">
        <v>1407</v>
      </c>
      <c r="O1567" s="4" t="s">
        <v>1620</v>
      </c>
      <c r="P1567" s="4" t="s">
        <v>892</v>
      </c>
      <c r="Q1567" s="4" t="s">
        <v>1621</v>
      </c>
      <c r="R1567" s="4" t="s">
        <v>1686</v>
      </c>
      <c r="S1567" s="4" t="s">
        <v>1623</v>
      </c>
      <c r="T1567" s="4" t="s">
        <v>786</v>
      </c>
      <c r="U1567" s="4"/>
      <c r="V1567" s="4"/>
      <c r="W1567" s="4"/>
    </row>
    <row r="1568" spans="1:23" customFormat="1">
      <c r="A1568" s="10"/>
      <c r="B1568" s="4"/>
      <c r="C1568" s="4"/>
      <c r="D1568" s="4"/>
      <c r="E1568" s="4"/>
      <c r="F1568" s="152" t="s">
        <v>372</v>
      </c>
      <c r="G1568" s="4" t="s">
        <v>309</v>
      </c>
      <c r="H1568" s="4"/>
      <c r="I1568" s="196">
        <v>-316617.40000000002</v>
      </c>
      <c r="J1568" s="196">
        <v>-222.97</v>
      </c>
      <c r="K1568" s="196">
        <v>1420</v>
      </c>
      <c r="L1568" s="454" t="s">
        <v>899</v>
      </c>
      <c r="M1568" s="4" t="s">
        <v>780</v>
      </c>
      <c r="N1568" s="133" t="s">
        <v>1407</v>
      </c>
      <c r="O1568" s="4" t="s">
        <v>1620</v>
      </c>
      <c r="P1568" s="4" t="s">
        <v>892</v>
      </c>
      <c r="Q1568" s="4" t="s">
        <v>1621</v>
      </c>
      <c r="R1568" s="4" t="s">
        <v>1687</v>
      </c>
      <c r="S1568" s="4" t="s">
        <v>1623</v>
      </c>
      <c r="T1568" s="4" t="s">
        <v>786</v>
      </c>
      <c r="U1568" s="4"/>
      <c r="V1568" s="4"/>
      <c r="W1568" s="4"/>
    </row>
    <row r="1569" spans="1:23" customFormat="1">
      <c r="A1569" s="10"/>
      <c r="B1569" s="4"/>
      <c r="C1569" s="4"/>
      <c r="D1569" s="4"/>
      <c r="E1569" s="4"/>
      <c r="F1569" s="152" t="s">
        <v>372</v>
      </c>
      <c r="G1569" s="4" t="s">
        <v>309</v>
      </c>
      <c r="H1569" s="4"/>
      <c r="I1569" s="196">
        <v>-77840</v>
      </c>
      <c r="J1569" s="196">
        <v>-56</v>
      </c>
      <c r="K1569" s="196">
        <v>1390</v>
      </c>
      <c r="L1569" s="454" t="s">
        <v>899</v>
      </c>
      <c r="M1569" s="4" t="s">
        <v>780</v>
      </c>
      <c r="N1569" s="133" t="s">
        <v>1407</v>
      </c>
      <c r="O1569" s="4" t="s">
        <v>1620</v>
      </c>
      <c r="P1569" s="4" t="s">
        <v>892</v>
      </c>
      <c r="Q1569" s="4" t="s">
        <v>1621</v>
      </c>
      <c r="R1569" s="4" t="s">
        <v>1688</v>
      </c>
      <c r="S1569" s="4" t="s">
        <v>1623</v>
      </c>
      <c r="T1569" s="4" t="s">
        <v>786</v>
      </c>
      <c r="U1569" s="4"/>
      <c r="V1569" s="4"/>
      <c r="W1569" s="4"/>
    </row>
    <row r="1570" spans="1:23" customFormat="1">
      <c r="A1570" s="10"/>
      <c r="B1570" s="4"/>
      <c r="C1570" s="4"/>
      <c r="D1570" s="4"/>
      <c r="E1570" s="4"/>
      <c r="F1570" s="152" t="s">
        <v>372</v>
      </c>
      <c r="G1570" s="4" t="s">
        <v>309</v>
      </c>
      <c r="H1570" s="4"/>
      <c r="I1570" s="196">
        <v>-141190.6</v>
      </c>
      <c r="J1570" s="196">
        <v>-99.43</v>
      </c>
      <c r="K1570" s="196">
        <v>1420</v>
      </c>
      <c r="L1570" s="454" t="s">
        <v>899</v>
      </c>
      <c r="M1570" s="4" t="s">
        <v>780</v>
      </c>
      <c r="N1570" s="133" t="s">
        <v>1407</v>
      </c>
      <c r="O1570" s="4" t="s">
        <v>1620</v>
      </c>
      <c r="P1570" s="4" t="s">
        <v>892</v>
      </c>
      <c r="Q1570" s="4" t="s">
        <v>1621</v>
      </c>
      <c r="R1570" s="4" t="s">
        <v>1689</v>
      </c>
      <c r="S1570" s="4" t="s">
        <v>1623</v>
      </c>
      <c r="T1570" s="4" t="s">
        <v>786</v>
      </c>
      <c r="U1570" s="4"/>
      <c r="V1570" s="4"/>
      <c r="W1570" s="4"/>
    </row>
    <row r="1571" spans="1:23" customFormat="1">
      <c r="A1571" s="10"/>
      <c r="B1571" s="4"/>
      <c r="C1571" s="4"/>
      <c r="D1571" s="4"/>
      <c r="E1571" s="4"/>
      <c r="F1571" s="152" t="s">
        <v>372</v>
      </c>
      <c r="G1571" s="4" t="s">
        <v>309</v>
      </c>
      <c r="H1571" s="4"/>
      <c r="I1571" s="196">
        <v>-69847.5</v>
      </c>
      <c r="J1571" s="196">
        <v>-50.25</v>
      </c>
      <c r="K1571" s="196">
        <v>1390</v>
      </c>
      <c r="L1571" s="454" t="s">
        <v>899</v>
      </c>
      <c r="M1571" s="4" t="s">
        <v>780</v>
      </c>
      <c r="N1571" s="133" t="s">
        <v>1407</v>
      </c>
      <c r="O1571" s="4" t="s">
        <v>1620</v>
      </c>
      <c r="P1571" s="4" t="s">
        <v>892</v>
      </c>
      <c r="Q1571" s="4" t="s">
        <v>1621</v>
      </c>
      <c r="R1571" s="4" t="s">
        <v>1690</v>
      </c>
      <c r="S1571" s="4" t="s">
        <v>1623</v>
      </c>
      <c r="T1571" s="4" t="s">
        <v>786</v>
      </c>
      <c r="U1571" s="4"/>
      <c r="V1571" s="4"/>
      <c r="W1571" s="4"/>
    </row>
    <row r="1572" spans="1:23" customFormat="1">
      <c r="A1572" s="10"/>
      <c r="B1572" s="4"/>
      <c r="C1572" s="4"/>
      <c r="D1572" s="4"/>
      <c r="E1572" s="4"/>
      <c r="F1572" s="152" t="s">
        <v>372</v>
      </c>
      <c r="G1572" s="4" t="s">
        <v>309</v>
      </c>
      <c r="H1572" s="4"/>
      <c r="I1572" s="196">
        <v>-23827.599999999999</v>
      </c>
      <c r="J1572" s="196">
        <v>-16.78</v>
      </c>
      <c r="K1572" s="196">
        <v>1420</v>
      </c>
      <c r="L1572" s="454" t="s">
        <v>899</v>
      </c>
      <c r="M1572" s="4" t="s">
        <v>780</v>
      </c>
      <c r="N1572" s="133" t="s">
        <v>1407</v>
      </c>
      <c r="O1572" s="4" t="s">
        <v>1620</v>
      </c>
      <c r="P1572" s="4" t="s">
        <v>892</v>
      </c>
      <c r="Q1572" s="4" t="s">
        <v>1621</v>
      </c>
      <c r="R1572" s="4" t="s">
        <v>1627</v>
      </c>
      <c r="S1572" s="4" t="s">
        <v>1623</v>
      </c>
      <c r="T1572" s="4" t="s">
        <v>786</v>
      </c>
      <c r="U1572" s="4"/>
      <c r="V1572" s="4"/>
      <c r="W1572" s="4"/>
    </row>
    <row r="1573" spans="1:23" customFormat="1">
      <c r="A1573" s="10"/>
      <c r="B1573" s="4"/>
      <c r="C1573" s="4"/>
      <c r="D1573" s="4"/>
      <c r="E1573" s="4"/>
      <c r="F1573" s="152" t="s">
        <v>372</v>
      </c>
      <c r="G1573" s="4" t="s">
        <v>309</v>
      </c>
      <c r="H1573" s="4"/>
      <c r="I1573" s="196">
        <v>-27939</v>
      </c>
      <c r="J1573" s="196">
        <v>-20.100000000000001</v>
      </c>
      <c r="K1573" s="196">
        <v>1390</v>
      </c>
      <c r="L1573" s="454" t="s">
        <v>899</v>
      </c>
      <c r="M1573" s="4" t="s">
        <v>780</v>
      </c>
      <c r="N1573" s="133" t="s">
        <v>1407</v>
      </c>
      <c r="O1573" s="4" t="s">
        <v>1620</v>
      </c>
      <c r="P1573" s="4" t="s">
        <v>892</v>
      </c>
      <c r="Q1573" s="4" t="s">
        <v>1621</v>
      </c>
      <c r="R1573" s="4" t="s">
        <v>1691</v>
      </c>
      <c r="S1573" s="4" t="s">
        <v>1623</v>
      </c>
      <c r="T1573" s="4" t="s">
        <v>786</v>
      </c>
      <c r="U1573" s="4"/>
      <c r="V1573" s="4"/>
      <c r="W1573" s="4"/>
    </row>
    <row r="1574" spans="1:23" customFormat="1">
      <c r="A1574" s="10"/>
      <c r="B1574" s="4"/>
      <c r="C1574" s="4"/>
      <c r="D1574" s="4"/>
      <c r="E1574" s="4"/>
      <c r="F1574" s="152" t="s">
        <v>372</v>
      </c>
      <c r="G1574" s="4" t="s">
        <v>309</v>
      </c>
      <c r="H1574" s="4"/>
      <c r="I1574" s="196">
        <v>-19454</v>
      </c>
      <c r="J1574" s="196">
        <v>-13.7</v>
      </c>
      <c r="K1574" s="196">
        <v>1420</v>
      </c>
      <c r="L1574" s="454" t="s">
        <v>899</v>
      </c>
      <c r="M1574" s="4" t="s">
        <v>780</v>
      </c>
      <c r="N1574" s="133" t="s">
        <v>1407</v>
      </c>
      <c r="O1574" s="4" t="s">
        <v>1620</v>
      </c>
      <c r="P1574" s="4" t="s">
        <v>892</v>
      </c>
      <c r="Q1574" s="4" t="s">
        <v>1621</v>
      </c>
      <c r="R1574" s="4" t="s">
        <v>1692</v>
      </c>
      <c r="S1574" s="4" t="s">
        <v>1623</v>
      </c>
      <c r="T1574" s="4" t="s">
        <v>786</v>
      </c>
      <c r="U1574" s="4"/>
      <c r="V1574" s="4"/>
      <c r="W1574" s="4"/>
    </row>
    <row r="1575" spans="1:23" customFormat="1">
      <c r="A1575" s="10"/>
      <c r="B1575" s="4"/>
      <c r="C1575" s="4"/>
      <c r="D1575" s="4"/>
      <c r="E1575" s="4"/>
      <c r="F1575" s="152" t="s">
        <v>372</v>
      </c>
      <c r="G1575" s="4" t="s">
        <v>309</v>
      </c>
      <c r="H1575" s="4"/>
      <c r="I1575" s="196">
        <v>-261931.6</v>
      </c>
      <c r="J1575" s="196">
        <v>-188.44</v>
      </c>
      <c r="K1575" s="196">
        <v>1390</v>
      </c>
      <c r="L1575" s="454" t="s">
        <v>899</v>
      </c>
      <c r="M1575" s="4" t="s">
        <v>780</v>
      </c>
      <c r="N1575" s="133" t="s">
        <v>1407</v>
      </c>
      <c r="O1575" s="4" t="s">
        <v>1620</v>
      </c>
      <c r="P1575" s="4" t="s">
        <v>892</v>
      </c>
      <c r="Q1575" s="4" t="s">
        <v>1621</v>
      </c>
      <c r="R1575" s="4" t="s">
        <v>1693</v>
      </c>
      <c r="S1575" s="4" t="s">
        <v>1623</v>
      </c>
      <c r="T1575" s="4" t="s">
        <v>786</v>
      </c>
      <c r="U1575" s="4"/>
      <c r="V1575" s="4"/>
      <c r="W1575" s="4"/>
    </row>
    <row r="1576" spans="1:23" customFormat="1">
      <c r="A1576" s="10"/>
      <c r="B1576" s="4"/>
      <c r="C1576" s="4"/>
      <c r="D1576" s="4"/>
      <c r="E1576" s="4"/>
      <c r="F1576" s="152" t="s">
        <v>372</v>
      </c>
      <c r="G1576" s="4" t="s">
        <v>309</v>
      </c>
      <c r="H1576" s="4"/>
      <c r="I1576" s="196">
        <v>-135894</v>
      </c>
      <c r="J1576" s="196">
        <v>-95.7</v>
      </c>
      <c r="K1576" s="196">
        <v>1420</v>
      </c>
      <c r="L1576" s="454" t="s">
        <v>899</v>
      </c>
      <c r="M1576" s="4" t="s">
        <v>780</v>
      </c>
      <c r="N1576" s="133" t="s">
        <v>1407</v>
      </c>
      <c r="O1576" s="4" t="s">
        <v>1620</v>
      </c>
      <c r="P1576" s="4" t="s">
        <v>892</v>
      </c>
      <c r="Q1576" s="4" t="s">
        <v>1621</v>
      </c>
      <c r="R1576" s="4" t="s">
        <v>1694</v>
      </c>
      <c r="S1576" s="4" t="s">
        <v>1623</v>
      </c>
      <c r="T1576" s="4" t="s">
        <v>786</v>
      </c>
      <c r="U1576" s="4"/>
      <c r="V1576" s="4"/>
      <c r="W1576" s="4"/>
    </row>
    <row r="1577" spans="1:23" customFormat="1">
      <c r="A1577" s="10"/>
      <c r="B1577" s="4"/>
      <c r="C1577" s="4"/>
      <c r="D1577" s="4"/>
      <c r="E1577" s="4"/>
      <c r="F1577" s="152" t="s">
        <v>372</v>
      </c>
      <c r="G1577" s="4" t="s">
        <v>309</v>
      </c>
      <c r="H1577" s="4"/>
      <c r="I1577" s="196">
        <v>-227570.8</v>
      </c>
      <c r="J1577" s="196">
        <v>-163.72</v>
      </c>
      <c r="K1577" s="196">
        <v>1390</v>
      </c>
      <c r="L1577" s="454" t="s">
        <v>899</v>
      </c>
      <c r="M1577" s="4" t="s">
        <v>780</v>
      </c>
      <c r="N1577" s="133" t="s">
        <v>1407</v>
      </c>
      <c r="O1577" s="4" t="s">
        <v>1620</v>
      </c>
      <c r="P1577" s="4" t="s">
        <v>892</v>
      </c>
      <c r="Q1577" s="4" t="s">
        <v>1621</v>
      </c>
      <c r="R1577" s="4" t="s">
        <v>1695</v>
      </c>
      <c r="S1577" s="4" t="s">
        <v>1623</v>
      </c>
      <c r="T1577" s="4" t="s">
        <v>786</v>
      </c>
      <c r="U1577" s="4"/>
      <c r="V1577" s="4"/>
      <c r="W1577" s="4"/>
    </row>
    <row r="1578" spans="1:23" customFormat="1">
      <c r="A1578" s="10"/>
      <c r="B1578" s="4"/>
      <c r="C1578" s="4"/>
      <c r="D1578" s="4"/>
      <c r="E1578" s="4"/>
      <c r="F1578" s="152" t="s">
        <v>372</v>
      </c>
      <c r="G1578" s="4" t="s">
        <v>309</v>
      </c>
      <c r="H1578" s="4"/>
      <c r="I1578" s="196">
        <v>-1086016</v>
      </c>
      <c r="J1578" s="196">
        <v>-764.8</v>
      </c>
      <c r="K1578" s="196">
        <v>1420</v>
      </c>
      <c r="L1578" s="454" t="s">
        <v>899</v>
      </c>
      <c r="M1578" s="4" t="s">
        <v>780</v>
      </c>
      <c r="N1578" s="133" t="s">
        <v>1407</v>
      </c>
      <c r="O1578" s="4" t="s">
        <v>1620</v>
      </c>
      <c r="P1578" s="4" t="s">
        <v>892</v>
      </c>
      <c r="Q1578" s="4" t="s">
        <v>1621</v>
      </c>
      <c r="R1578" s="4" t="s">
        <v>1696</v>
      </c>
      <c r="S1578" s="4" t="s">
        <v>1623</v>
      </c>
      <c r="T1578" s="4" t="s">
        <v>786</v>
      </c>
      <c r="U1578" s="4"/>
      <c r="V1578" s="4"/>
      <c r="W1578" s="4"/>
    </row>
    <row r="1579" spans="1:23" customFormat="1">
      <c r="A1579" s="10"/>
      <c r="B1579" s="4"/>
      <c r="C1579" s="4"/>
      <c r="D1579" s="4"/>
      <c r="E1579" s="4"/>
      <c r="F1579" s="152" t="s">
        <v>372</v>
      </c>
      <c r="G1579" s="4" t="s">
        <v>309</v>
      </c>
      <c r="H1579" s="4"/>
      <c r="I1579" s="196">
        <v>-69152.5</v>
      </c>
      <c r="J1579" s="196">
        <v>-49.75</v>
      </c>
      <c r="K1579" s="196">
        <v>1390</v>
      </c>
      <c r="L1579" s="454" t="s">
        <v>899</v>
      </c>
      <c r="M1579" s="4" t="s">
        <v>780</v>
      </c>
      <c r="N1579" s="133" t="s">
        <v>1407</v>
      </c>
      <c r="O1579" s="4" t="s">
        <v>1620</v>
      </c>
      <c r="P1579" s="4" t="s">
        <v>892</v>
      </c>
      <c r="Q1579" s="4" t="s">
        <v>1621</v>
      </c>
      <c r="R1579" s="4" t="s">
        <v>1661</v>
      </c>
      <c r="S1579" s="4" t="s">
        <v>1623</v>
      </c>
      <c r="T1579" s="4" t="s">
        <v>786</v>
      </c>
      <c r="U1579" s="4"/>
      <c r="V1579" s="4"/>
      <c r="W1579" s="4"/>
    </row>
    <row r="1580" spans="1:23" customFormat="1">
      <c r="A1580" s="10"/>
      <c r="B1580" s="4"/>
      <c r="C1580" s="4"/>
      <c r="D1580" s="4"/>
      <c r="E1580" s="4"/>
      <c r="F1580" s="152" t="s">
        <v>372</v>
      </c>
      <c r="G1580" s="4" t="s">
        <v>309</v>
      </c>
      <c r="H1580" s="4"/>
      <c r="I1580" s="196">
        <v>-427093.4</v>
      </c>
      <c r="J1580" s="196">
        <v>-300.77</v>
      </c>
      <c r="K1580" s="196">
        <v>1420</v>
      </c>
      <c r="L1580" s="454" t="s">
        <v>899</v>
      </c>
      <c r="M1580" s="4" t="s">
        <v>780</v>
      </c>
      <c r="N1580" s="133" t="s">
        <v>1407</v>
      </c>
      <c r="O1580" s="4" t="s">
        <v>1620</v>
      </c>
      <c r="P1580" s="4" t="s">
        <v>892</v>
      </c>
      <c r="Q1580" s="4" t="s">
        <v>1621</v>
      </c>
      <c r="R1580" s="4" t="s">
        <v>1697</v>
      </c>
      <c r="S1580" s="4" t="s">
        <v>1623</v>
      </c>
      <c r="T1580" s="4" t="s">
        <v>786</v>
      </c>
      <c r="U1580" s="4"/>
      <c r="V1580" s="4"/>
      <c r="W1580" s="4"/>
    </row>
    <row r="1581" spans="1:23" customFormat="1">
      <c r="A1581" s="10"/>
      <c r="B1581" s="4"/>
      <c r="C1581" s="4"/>
      <c r="D1581" s="4"/>
      <c r="E1581" s="4"/>
      <c r="F1581" s="152" t="s">
        <v>372</v>
      </c>
      <c r="G1581" s="4" t="s">
        <v>309</v>
      </c>
      <c r="H1581" s="4"/>
      <c r="I1581" s="196">
        <v>-5935.3</v>
      </c>
      <c r="J1581" s="196">
        <v>-4.2699999999999996</v>
      </c>
      <c r="K1581" s="196">
        <v>1390</v>
      </c>
      <c r="L1581" s="454" t="s">
        <v>899</v>
      </c>
      <c r="M1581" s="4" t="s">
        <v>780</v>
      </c>
      <c r="N1581" s="133" t="s">
        <v>1407</v>
      </c>
      <c r="O1581" s="4" t="s">
        <v>1620</v>
      </c>
      <c r="P1581" s="4" t="s">
        <v>892</v>
      </c>
      <c r="Q1581" s="4" t="s">
        <v>1621</v>
      </c>
      <c r="R1581" s="4" t="s">
        <v>1698</v>
      </c>
      <c r="S1581" s="4" t="s">
        <v>1623</v>
      </c>
      <c r="T1581" s="4" t="s">
        <v>786</v>
      </c>
      <c r="U1581" s="4"/>
      <c r="V1581" s="4"/>
      <c r="W1581" s="4"/>
    </row>
    <row r="1582" spans="1:23" customFormat="1">
      <c r="A1582" s="10"/>
      <c r="B1582" s="4"/>
      <c r="C1582" s="4"/>
      <c r="D1582" s="4"/>
      <c r="E1582" s="4"/>
      <c r="F1582" s="152" t="s">
        <v>372</v>
      </c>
      <c r="G1582" s="4" t="s">
        <v>309</v>
      </c>
      <c r="H1582" s="4"/>
      <c r="I1582" s="196">
        <v>-502168.8</v>
      </c>
      <c r="J1582" s="196">
        <v>-353.64</v>
      </c>
      <c r="K1582" s="196">
        <v>1420</v>
      </c>
      <c r="L1582" s="454" t="s">
        <v>899</v>
      </c>
      <c r="M1582" s="4" t="s">
        <v>780</v>
      </c>
      <c r="N1582" s="133" t="s">
        <v>1407</v>
      </c>
      <c r="O1582" s="4" t="s">
        <v>1620</v>
      </c>
      <c r="P1582" s="4" t="s">
        <v>892</v>
      </c>
      <c r="Q1582" s="4" t="s">
        <v>1621</v>
      </c>
      <c r="R1582" s="4" t="s">
        <v>1699</v>
      </c>
      <c r="S1582" s="4" t="s">
        <v>1623</v>
      </c>
      <c r="T1582" s="4" t="s">
        <v>786</v>
      </c>
      <c r="U1582" s="4"/>
      <c r="V1582" s="4"/>
      <c r="W1582" s="4"/>
    </row>
    <row r="1583" spans="1:23" customFormat="1">
      <c r="A1583" s="10"/>
      <c r="B1583" s="4"/>
      <c r="C1583" s="4"/>
      <c r="D1583" s="4"/>
      <c r="E1583" s="4"/>
      <c r="F1583" s="152" t="s">
        <v>372</v>
      </c>
      <c r="G1583" s="4" t="s">
        <v>309</v>
      </c>
      <c r="H1583" s="4"/>
      <c r="I1583" s="196">
        <v>-14595</v>
      </c>
      <c r="J1583" s="196">
        <v>-10.5</v>
      </c>
      <c r="K1583" s="196">
        <v>1390</v>
      </c>
      <c r="L1583" s="454" t="s">
        <v>899</v>
      </c>
      <c r="M1583" s="4" t="s">
        <v>780</v>
      </c>
      <c r="N1583" s="133" t="s">
        <v>1407</v>
      </c>
      <c r="O1583" s="4" t="s">
        <v>1620</v>
      </c>
      <c r="P1583" s="4" t="s">
        <v>892</v>
      </c>
      <c r="Q1583" s="4" t="s">
        <v>1621</v>
      </c>
      <c r="R1583" s="4" t="s">
        <v>1700</v>
      </c>
      <c r="S1583" s="4" t="s">
        <v>1623</v>
      </c>
      <c r="T1583" s="4" t="s">
        <v>786</v>
      </c>
      <c r="U1583" s="4"/>
      <c r="V1583" s="4"/>
      <c r="W1583" s="4"/>
    </row>
    <row r="1584" spans="1:23" customFormat="1">
      <c r="A1584" s="10"/>
      <c r="B1584" s="4"/>
      <c r="C1584" s="4"/>
      <c r="D1584" s="4"/>
      <c r="E1584" s="4"/>
      <c r="F1584" s="152" t="s">
        <v>372</v>
      </c>
      <c r="G1584" s="4" t="s">
        <v>309</v>
      </c>
      <c r="H1584" s="4"/>
      <c r="I1584" s="196">
        <v>-250786.2</v>
      </c>
      <c r="J1584" s="196">
        <v>-176.61</v>
      </c>
      <c r="K1584" s="196">
        <v>1420</v>
      </c>
      <c r="L1584" s="454" t="s">
        <v>899</v>
      </c>
      <c r="M1584" s="4" t="s">
        <v>780</v>
      </c>
      <c r="N1584" s="133" t="s">
        <v>1407</v>
      </c>
      <c r="O1584" s="4" t="s">
        <v>1620</v>
      </c>
      <c r="P1584" s="4" t="s">
        <v>892</v>
      </c>
      <c r="Q1584" s="4" t="s">
        <v>1621</v>
      </c>
      <c r="R1584" s="4" t="s">
        <v>1701</v>
      </c>
      <c r="S1584" s="4" t="s">
        <v>1623</v>
      </c>
      <c r="T1584" s="4" t="s">
        <v>786</v>
      </c>
      <c r="U1584" s="4"/>
      <c r="V1584" s="4"/>
      <c r="W1584" s="4"/>
    </row>
    <row r="1585" spans="1:23" customFormat="1">
      <c r="A1585" s="10"/>
      <c r="B1585" s="4"/>
      <c r="C1585" s="4"/>
      <c r="D1585" s="4"/>
      <c r="E1585" s="4"/>
      <c r="F1585" s="152" t="s">
        <v>372</v>
      </c>
      <c r="G1585" s="4" t="s">
        <v>309</v>
      </c>
      <c r="H1585" s="4"/>
      <c r="I1585" s="196">
        <v>-55210.8</v>
      </c>
      <c r="J1585" s="196">
        <v>-39.72</v>
      </c>
      <c r="K1585" s="196">
        <v>1390</v>
      </c>
      <c r="L1585" s="454" t="s">
        <v>899</v>
      </c>
      <c r="M1585" s="4" t="s">
        <v>780</v>
      </c>
      <c r="N1585" s="133" t="s">
        <v>1407</v>
      </c>
      <c r="O1585" s="4" t="s">
        <v>1620</v>
      </c>
      <c r="P1585" s="4" t="s">
        <v>892</v>
      </c>
      <c r="Q1585" s="4" t="s">
        <v>1621</v>
      </c>
      <c r="R1585" s="4" t="s">
        <v>1702</v>
      </c>
      <c r="S1585" s="4" t="s">
        <v>1623</v>
      </c>
      <c r="T1585" s="4" t="s">
        <v>786</v>
      </c>
      <c r="U1585" s="4"/>
      <c r="V1585" s="4"/>
      <c r="W1585" s="4"/>
    </row>
    <row r="1586" spans="1:23" customFormat="1">
      <c r="A1586" s="10"/>
      <c r="B1586" s="4"/>
      <c r="C1586" s="4"/>
      <c r="D1586" s="4"/>
      <c r="E1586" s="4"/>
      <c r="F1586" s="152" t="s">
        <v>372</v>
      </c>
      <c r="G1586" s="4" t="s">
        <v>309</v>
      </c>
      <c r="H1586" s="4"/>
      <c r="I1586" s="196">
        <v>-8363.7999999999993</v>
      </c>
      <c r="J1586" s="196">
        <v>-5.89</v>
      </c>
      <c r="K1586" s="196">
        <v>1420</v>
      </c>
      <c r="L1586" s="454" t="s">
        <v>899</v>
      </c>
      <c r="M1586" s="4" t="s">
        <v>780</v>
      </c>
      <c r="N1586" s="133" t="s">
        <v>1407</v>
      </c>
      <c r="O1586" s="4" t="s">
        <v>1620</v>
      </c>
      <c r="P1586" s="4" t="s">
        <v>892</v>
      </c>
      <c r="Q1586" s="4" t="s">
        <v>1621</v>
      </c>
      <c r="R1586" s="4" t="s">
        <v>1703</v>
      </c>
      <c r="S1586" s="4" t="s">
        <v>1623</v>
      </c>
      <c r="T1586" s="4" t="s">
        <v>786</v>
      </c>
      <c r="U1586" s="4"/>
      <c r="V1586" s="4"/>
      <c r="W1586" s="4"/>
    </row>
    <row r="1587" spans="1:23" customFormat="1">
      <c r="A1587" s="10"/>
      <c r="B1587" s="4"/>
      <c r="C1587" s="4"/>
      <c r="D1587" s="4"/>
      <c r="E1587" s="4"/>
      <c r="F1587" s="152" t="s">
        <v>372</v>
      </c>
      <c r="G1587" s="4" t="s">
        <v>309</v>
      </c>
      <c r="H1587" s="4"/>
      <c r="I1587" s="196">
        <v>-811787.8</v>
      </c>
      <c r="J1587" s="196">
        <v>-584.02</v>
      </c>
      <c r="K1587" s="196">
        <v>1390</v>
      </c>
      <c r="L1587" s="454" t="s">
        <v>899</v>
      </c>
      <c r="M1587" s="4" t="s">
        <v>780</v>
      </c>
      <c r="N1587" s="133" t="s">
        <v>1407</v>
      </c>
      <c r="O1587" s="4" t="s">
        <v>1620</v>
      </c>
      <c r="P1587" s="4" t="s">
        <v>892</v>
      </c>
      <c r="Q1587" s="4" t="s">
        <v>1621</v>
      </c>
      <c r="R1587" s="4" t="s">
        <v>1704</v>
      </c>
      <c r="S1587" s="4" t="s">
        <v>1623</v>
      </c>
      <c r="T1587" s="4" t="s">
        <v>786</v>
      </c>
      <c r="U1587" s="4"/>
      <c r="V1587" s="4"/>
      <c r="W1587" s="4"/>
    </row>
    <row r="1588" spans="1:23" customFormat="1">
      <c r="A1588" s="10"/>
      <c r="B1588" s="4"/>
      <c r="C1588" s="4"/>
      <c r="D1588" s="4"/>
      <c r="E1588" s="4"/>
      <c r="F1588" s="152" t="s">
        <v>372</v>
      </c>
      <c r="G1588" s="4" t="s">
        <v>309</v>
      </c>
      <c r="H1588" s="4"/>
      <c r="I1588" s="196">
        <v>-27008.400000000001</v>
      </c>
      <c r="J1588" s="196">
        <v>-19.02</v>
      </c>
      <c r="K1588" s="196">
        <v>1420</v>
      </c>
      <c r="L1588" s="454" t="s">
        <v>899</v>
      </c>
      <c r="M1588" s="4" t="s">
        <v>780</v>
      </c>
      <c r="N1588" s="133" t="s">
        <v>1407</v>
      </c>
      <c r="O1588" s="4" t="s">
        <v>1620</v>
      </c>
      <c r="P1588" s="4" t="s">
        <v>892</v>
      </c>
      <c r="Q1588" s="4" t="s">
        <v>1621</v>
      </c>
      <c r="R1588" s="4" t="s">
        <v>1705</v>
      </c>
      <c r="S1588" s="4" t="s">
        <v>1623</v>
      </c>
      <c r="T1588" s="4" t="s">
        <v>786</v>
      </c>
      <c r="U1588" s="4"/>
      <c r="V1588" s="4"/>
      <c r="W1588" s="4"/>
    </row>
    <row r="1589" spans="1:23" customFormat="1">
      <c r="A1589" s="10"/>
      <c r="B1589" s="4"/>
      <c r="C1589" s="4"/>
      <c r="D1589" s="4"/>
      <c r="E1589" s="4"/>
      <c r="F1589" s="152" t="s">
        <v>372</v>
      </c>
      <c r="G1589" s="4" t="s">
        <v>309</v>
      </c>
      <c r="H1589" s="4"/>
      <c r="I1589" s="196">
        <v>-851083.1</v>
      </c>
      <c r="J1589" s="196">
        <v>-612.29</v>
      </c>
      <c r="K1589" s="196">
        <v>1390</v>
      </c>
      <c r="L1589" s="454" t="s">
        <v>899</v>
      </c>
      <c r="M1589" s="4" t="s">
        <v>780</v>
      </c>
      <c r="N1589" s="133" t="s">
        <v>1407</v>
      </c>
      <c r="O1589" s="4" t="s">
        <v>1620</v>
      </c>
      <c r="P1589" s="4" t="s">
        <v>892</v>
      </c>
      <c r="Q1589" s="4" t="s">
        <v>1621</v>
      </c>
      <c r="R1589" s="4" t="s">
        <v>1706</v>
      </c>
      <c r="S1589" s="4" t="s">
        <v>1623</v>
      </c>
      <c r="T1589" s="4" t="s">
        <v>786</v>
      </c>
      <c r="U1589" s="4"/>
      <c r="V1589" s="4"/>
      <c r="W1589" s="4"/>
    </row>
    <row r="1590" spans="1:23" customFormat="1">
      <c r="A1590" s="10"/>
      <c r="B1590" s="4"/>
      <c r="C1590" s="4"/>
      <c r="D1590" s="4"/>
      <c r="E1590" s="4"/>
      <c r="F1590" s="152" t="s">
        <v>372</v>
      </c>
      <c r="G1590" s="4" t="s">
        <v>309</v>
      </c>
      <c r="H1590" s="4"/>
      <c r="I1590" s="196">
        <v>-133849.20000000001</v>
      </c>
      <c r="J1590" s="196">
        <v>-94.26</v>
      </c>
      <c r="K1590" s="196">
        <v>1420</v>
      </c>
      <c r="L1590" s="454" t="s">
        <v>899</v>
      </c>
      <c r="M1590" s="4" t="s">
        <v>780</v>
      </c>
      <c r="N1590" s="133" t="s">
        <v>1407</v>
      </c>
      <c r="O1590" s="4" t="s">
        <v>1620</v>
      </c>
      <c r="P1590" s="4" t="s">
        <v>892</v>
      </c>
      <c r="Q1590" s="4" t="s">
        <v>1621</v>
      </c>
      <c r="R1590" s="4" t="s">
        <v>1707</v>
      </c>
      <c r="S1590" s="4" t="s">
        <v>1623</v>
      </c>
      <c r="T1590" s="4" t="s">
        <v>786</v>
      </c>
      <c r="U1590" s="4"/>
      <c r="V1590" s="4"/>
      <c r="W1590" s="4"/>
    </row>
    <row r="1591" spans="1:23" customFormat="1">
      <c r="A1591" s="10"/>
      <c r="B1591" s="4"/>
      <c r="C1591" s="4"/>
      <c r="D1591" s="4"/>
      <c r="E1591" s="4"/>
      <c r="F1591" s="152" t="s">
        <v>372</v>
      </c>
      <c r="G1591" s="4" t="s">
        <v>309</v>
      </c>
      <c r="H1591" s="4"/>
      <c r="I1591" s="196">
        <v>-439768.2</v>
      </c>
      <c r="J1591" s="196">
        <v>-316.38</v>
      </c>
      <c r="K1591" s="196">
        <v>1390</v>
      </c>
      <c r="L1591" s="454" t="s">
        <v>899</v>
      </c>
      <c r="M1591" s="4" t="s">
        <v>780</v>
      </c>
      <c r="N1591" s="133" t="s">
        <v>1407</v>
      </c>
      <c r="O1591" s="4" t="s">
        <v>1620</v>
      </c>
      <c r="P1591" s="4" t="s">
        <v>892</v>
      </c>
      <c r="Q1591" s="4" t="s">
        <v>1621</v>
      </c>
      <c r="R1591" s="4" t="s">
        <v>1708</v>
      </c>
      <c r="S1591" s="4" t="s">
        <v>1623</v>
      </c>
      <c r="T1591" s="4" t="s">
        <v>786</v>
      </c>
      <c r="U1591" s="4"/>
      <c r="V1591" s="4"/>
      <c r="W1591" s="4"/>
    </row>
    <row r="1592" spans="1:23" customFormat="1">
      <c r="A1592" s="10"/>
      <c r="B1592" s="4"/>
      <c r="C1592" s="4"/>
      <c r="D1592" s="4"/>
      <c r="E1592" s="4"/>
      <c r="F1592" s="152" t="s">
        <v>372</v>
      </c>
      <c r="G1592" s="4" t="s">
        <v>309</v>
      </c>
      <c r="H1592" s="4"/>
      <c r="I1592" s="196">
        <v>-2556000</v>
      </c>
      <c r="J1592" s="196">
        <v>-1800</v>
      </c>
      <c r="K1592" s="196">
        <v>1420</v>
      </c>
      <c r="L1592" s="454" t="s">
        <v>899</v>
      </c>
      <c r="M1592" s="4" t="s">
        <v>780</v>
      </c>
      <c r="N1592" s="133" t="s">
        <v>1407</v>
      </c>
      <c r="O1592" s="4" t="s">
        <v>1620</v>
      </c>
      <c r="P1592" s="4" t="s">
        <v>892</v>
      </c>
      <c r="Q1592" s="4" t="s">
        <v>1621</v>
      </c>
      <c r="R1592" s="4" t="s">
        <v>1711</v>
      </c>
      <c r="S1592" s="4" t="s">
        <v>1623</v>
      </c>
      <c r="T1592" s="4" t="s">
        <v>786</v>
      </c>
      <c r="U1592" s="4"/>
      <c r="V1592" s="4"/>
      <c r="W1592" s="4"/>
    </row>
    <row r="1593" spans="1:23" customFormat="1">
      <c r="A1593" s="10"/>
      <c r="B1593" s="4"/>
      <c r="C1593" s="4"/>
      <c r="D1593" s="4"/>
      <c r="E1593" s="4"/>
      <c r="F1593" s="152" t="s">
        <v>372</v>
      </c>
      <c r="G1593" s="4" t="s">
        <v>309</v>
      </c>
      <c r="H1593" s="4"/>
      <c r="I1593" s="196">
        <v>-577100.19999999995</v>
      </c>
      <c r="J1593" s="196">
        <v>-415.18</v>
      </c>
      <c r="K1593" s="196">
        <v>1390</v>
      </c>
      <c r="L1593" s="454" t="s">
        <v>899</v>
      </c>
      <c r="M1593" s="4" t="s">
        <v>780</v>
      </c>
      <c r="N1593" s="133" t="s">
        <v>1407</v>
      </c>
      <c r="O1593" s="4" t="s">
        <v>1620</v>
      </c>
      <c r="P1593" s="4" t="s">
        <v>892</v>
      </c>
      <c r="Q1593" s="4" t="s">
        <v>1621</v>
      </c>
      <c r="R1593" s="4" t="s">
        <v>1710</v>
      </c>
      <c r="S1593" s="4" t="s">
        <v>1623</v>
      </c>
      <c r="T1593" s="4" t="s">
        <v>786</v>
      </c>
      <c r="U1593" s="4"/>
      <c r="V1593" s="4"/>
      <c r="W1593" s="4"/>
    </row>
    <row r="1594" spans="1:23" customFormat="1">
      <c r="A1594" s="10"/>
      <c r="B1594" s="4"/>
      <c r="C1594" s="4"/>
      <c r="D1594" s="4"/>
      <c r="E1594" s="4"/>
      <c r="F1594" s="152" t="s">
        <v>372</v>
      </c>
      <c r="G1594" s="4" t="s">
        <v>309</v>
      </c>
      <c r="H1594" s="4"/>
      <c r="I1594" s="196">
        <v>-27939</v>
      </c>
      <c r="J1594" s="196">
        <v>-20.100000000000001</v>
      </c>
      <c r="K1594" s="196">
        <v>1390</v>
      </c>
      <c r="L1594" s="454" t="s">
        <v>899</v>
      </c>
      <c r="M1594" s="4" t="s">
        <v>780</v>
      </c>
      <c r="N1594" s="133" t="s">
        <v>1407</v>
      </c>
      <c r="O1594" s="4" t="s">
        <v>1620</v>
      </c>
      <c r="P1594" s="4" t="s">
        <v>892</v>
      </c>
      <c r="Q1594" s="4" t="s">
        <v>1621</v>
      </c>
      <c r="R1594" s="4" t="s">
        <v>1712</v>
      </c>
      <c r="S1594" s="4" t="s">
        <v>1623</v>
      </c>
      <c r="T1594" s="4" t="s">
        <v>786</v>
      </c>
      <c r="U1594" s="4"/>
      <c r="V1594" s="4"/>
      <c r="W1594" s="4"/>
    </row>
    <row r="1595" spans="1:23" customFormat="1">
      <c r="A1595" s="10"/>
      <c r="B1595" s="4"/>
      <c r="C1595" s="4"/>
      <c r="D1595" s="4"/>
      <c r="E1595" s="4"/>
      <c r="F1595" s="152" t="s">
        <v>372</v>
      </c>
      <c r="G1595" s="4" t="s">
        <v>309</v>
      </c>
      <c r="H1595" s="4"/>
      <c r="I1595" s="196">
        <v>-1704000</v>
      </c>
      <c r="J1595" s="196">
        <v>-1200</v>
      </c>
      <c r="K1595" s="196">
        <v>1420</v>
      </c>
      <c r="L1595" s="454" t="s">
        <v>899</v>
      </c>
      <c r="M1595" s="4" t="s">
        <v>780</v>
      </c>
      <c r="N1595" s="133" t="s">
        <v>1407</v>
      </c>
      <c r="O1595" s="4" t="s">
        <v>1620</v>
      </c>
      <c r="P1595" s="4" t="s">
        <v>892</v>
      </c>
      <c r="Q1595" s="4" t="s">
        <v>1621</v>
      </c>
      <c r="R1595" s="4" t="s">
        <v>1713</v>
      </c>
      <c r="S1595" s="4" t="s">
        <v>1623</v>
      </c>
      <c r="T1595" s="4" t="s">
        <v>786</v>
      </c>
      <c r="U1595" s="4"/>
      <c r="V1595" s="4"/>
      <c r="W1595" s="4"/>
    </row>
    <row r="1596" spans="1:23" customFormat="1">
      <c r="A1596" s="10"/>
      <c r="B1596" s="4"/>
      <c r="C1596" s="4"/>
      <c r="D1596" s="4"/>
      <c r="E1596" s="4"/>
      <c r="F1596" s="152" t="s">
        <v>372</v>
      </c>
      <c r="G1596" s="4" t="s">
        <v>309</v>
      </c>
      <c r="H1596" s="4"/>
      <c r="I1596" s="196">
        <v>-8909.9</v>
      </c>
      <c r="J1596" s="196">
        <v>-6.41</v>
      </c>
      <c r="K1596" s="196">
        <v>1390</v>
      </c>
      <c r="L1596" s="454" t="s">
        <v>899</v>
      </c>
      <c r="M1596" s="4" t="s">
        <v>780</v>
      </c>
      <c r="N1596" s="133" t="s">
        <v>1407</v>
      </c>
      <c r="O1596" s="4" t="s">
        <v>1620</v>
      </c>
      <c r="P1596" s="4" t="s">
        <v>892</v>
      </c>
      <c r="Q1596" s="4" t="s">
        <v>1621</v>
      </c>
      <c r="R1596" s="4" t="s">
        <v>1714</v>
      </c>
      <c r="S1596" s="4" t="s">
        <v>1623</v>
      </c>
      <c r="T1596" s="4" t="s">
        <v>786</v>
      </c>
      <c r="U1596" s="4"/>
      <c r="V1596" s="4"/>
      <c r="W1596" s="4"/>
    </row>
    <row r="1597" spans="1:23" customFormat="1">
      <c r="A1597" s="10"/>
      <c r="B1597" s="4"/>
      <c r="C1597" s="4"/>
      <c r="D1597" s="4"/>
      <c r="E1597" s="4"/>
      <c r="F1597" s="152" t="s">
        <v>372</v>
      </c>
      <c r="G1597" s="4" t="s">
        <v>309</v>
      </c>
      <c r="H1597" s="4"/>
      <c r="I1597" s="196">
        <v>-1278000</v>
      </c>
      <c r="J1597" s="196">
        <v>-900</v>
      </c>
      <c r="K1597" s="196">
        <v>1420</v>
      </c>
      <c r="L1597" s="454" t="s">
        <v>899</v>
      </c>
      <c r="M1597" s="4" t="s">
        <v>780</v>
      </c>
      <c r="N1597" s="133" t="s">
        <v>1407</v>
      </c>
      <c r="O1597" s="4" t="s">
        <v>1620</v>
      </c>
      <c r="P1597" s="4" t="s">
        <v>892</v>
      </c>
      <c r="Q1597" s="4" t="s">
        <v>1621</v>
      </c>
      <c r="R1597" s="4" t="s">
        <v>1709</v>
      </c>
      <c r="S1597" s="4" t="s">
        <v>1623</v>
      </c>
      <c r="T1597" s="4" t="s">
        <v>786</v>
      </c>
      <c r="U1597" s="4"/>
      <c r="V1597" s="4"/>
      <c r="W1597" s="4"/>
    </row>
    <row r="1598" spans="1:23" customFormat="1">
      <c r="A1598" s="10"/>
      <c r="B1598" s="4"/>
      <c r="C1598" s="4"/>
      <c r="D1598" s="4"/>
      <c r="E1598" s="4"/>
      <c r="F1598" s="152" t="s">
        <v>372</v>
      </c>
      <c r="G1598" s="4" t="s">
        <v>309</v>
      </c>
      <c r="H1598" s="4"/>
      <c r="I1598" s="196">
        <v>-69152.5</v>
      </c>
      <c r="J1598" s="196">
        <v>-49.75</v>
      </c>
      <c r="K1598" s="196">
        <v>1390</v>
      </c>
      <c r="L1598" s="454" t="s">
        <v>899</v>
      </c>
      <c r="M1598" s="4" t="s">
        <v>780</v>
      </c>
      <c r="N1598" s="133" t="s">
        <v>1407</v>
      </c>
      <c r="O1598" s="4" t="s">
        <v>1620</v>
      </c>
      <c r="P1598" s="4" t="s">
        <v>892</v>
      </c>
      <c r="Q1598" s="4" t="s">
        <v>1621</v>
      </c>
      <c r="R1598" s="4" t="s">
        <v>1661</v>
      </c>
      <c r="S1598" s="4" t="s">
        <v>1623</v>
      </c>
      <c r="T1598" s="4" t="s">
        <v>786</v>
      </c>
      <c r="U1598" s="4"/>
      <c r="V1598" s="4"/>
      <c r="W1598" s="4"/>
    </row>
    <row r="1599" spans="1:23" customFormat="1">
      <c r="A1599" s="10"/>
      <c r="B1599" s="4"/>
      <c r="C1599" s="4"/>
      <c r="D1599" s="4"/>
      <c r="E1599" s="4"/>
      <c r="F1599" s="152" t="s">
        <v>372</v>
      </c>
      <c r="G1599" s="4" t="s">
        <v>309</v>
      </c>
      <c r="H1599" s="4"/>
      <c r="I1599" s="196">
        <v>-1491000</v>
      </c>
      <c r="J1599" s="196">
        <v>-1050</v>
      </c>
      <c r="K1599" s="196">
        <v>1420</v>
      </c>
      <c r="L1599" s="454" t="s">
        <v>899</v>
      </c>
      <c r="M1599" s="4" t="s">
        <v>780</v>
      </c>
      <c r="N1599" s="133" t="s">
        <v>1407</v>
      </c>
      <c r="O1599" s="4" t="s">
        <v>1620</v>
      </c>
      <c r="P1599" s="4" t="s">
        <v>892</v>
      </c>
      <c r="Q1599" s="4" t="s">
        <v>1621</v>
      </c>
      <c r="R1599" s="4" t="s">
        <v>1715</v>
      </c>
      <c r="S1599" s="4" t="s">
        <v>1623</v>
      </c>
      <c r="T1599" s="4" t="s">
        <v>786</v>
      </c>
      <c r="U1599" s="4"/>
      <c r="V1599" s="4"/>
      <c r="W1599" s="4"/>
    </row>
    <row r="1600" spans="1:23" customFormat="1">
      <c r="A1600" s="10"/>
      <c r="B1600" s="4"/>
      <c r="C1600" s="4"/>
      <c r="D1600" s="4"/>
      <c r="E1600" s="4"/>
      <c r="F1600" s="152" t="s">
        <v>372</v>
      </c>
      <c r="G1600" s="4" t="s">
        <v>309</v>
      </c>
      <c r="H1600" s="4"/>
      <c r="I1600" s="196">
        <v>-282851.09999999998</v>
      </c>
      <c r="J1600" s="196">
        <v>-203.49</v>
      </c>
      <c r="K1600" s="196">
        <v>1390</v>
      </c>
      <c r="L1600" s="454" t="s">
        <v>899</v>
      </c>
      <c r="M1600" s="4" t="s">
        <v>780</v>
      </c>
      <c r="N1600" s="133" t="s">
        <v>1407</v>
      </c>
      <c r="O1600" s="4" t="s">
        <v>1620</v>
      </c>
      <c r="P1600" s="4" t="s">
        <v>892</v>
      </c>
      <c r="Q1600" s="4" t="s">
        <v>1621</v>
      </c>
      <c r="R1600" s="4" t="s">
        <v>1680</v>
      </c>
      <c r="S1600" s="4" t="s">
        <v>1623</v>
      </c>
      <c r="T1600" s="4" t="s">
        <v>786</v>
      </c>
      <c r="U1600" s="4"/>
      <c r="V1600" s="4"/>
      <c r="W1600" s="4"/>
    </row>
    <row r="1601" spans="1:23" customFormat="1">
      <c r="A1601" s="10"/>
      <c r="B1601" s="4"/>
      <c r="C1601" s="4"/>
      <c r="D1601" s="4"/>
      <c r="E1601" s="4"/>
      <c r="F1601" s="152" t="s">
        <v>372</v>
      </c>
      <c r="G1601" s="4" t="s">
        <v>309</v>
      </c>
      <c r="H1601" s="4"/>
      <c r="I1601" s="196">
        <v>-646100</v>
      </c>
      <c r="J1601" s="196">
        <v>-455</v>
      </c>
      <c r="K1601" s="196">
        <v>1420</v>
      </c>
      <c r="L1601" s="454" t="s">
        <v>899</v>
      </c>
      <c r="M1601" s="4" t="s">
        <v>780</v>
      </c>
      <c r="N1601" s="133" t="s">
        <v>1407</v>
      </c>
      <c r="O1601" s="4" t="s">
        <v>1620</v>
      </c>
      <c r="P1601" s="4" t="s">
        <v>892</v>
      </c>
      <c r="Q1601" s="4" t="s">
        <v>1621</v>
      </c>
      <c r="R1601" s="4" t="s">
        <v>1716</v>
      </c>
      <c r="S1601" s="4" t="s">
        <v>1623</v>
      </c>
      <c r="T1601" s="4" t="s">
        <v>786</v>
      </c>
      <c r="U1601" s="4"/>
      <c r="V1601" s="4"/>
      <c r="W1601" s="4"/>
    </row>
    <row r="1602" spans="1:23" customFormat="1">
      <c r="A1602" s="10"/>
      <c r="B1602" s="4"/>
      <c r="C1602" s="4"/>
      <c r="D1602" s="4"/>
      <c r="E1602" s="4"/>
      <c r="F1602" s="152" t="s">
        <v>372</v>
      </c>
      <c r="G1602" s="4" t="s">
        <v>309</v>
      </c>
      <c r="H1602" s="4"/>
      <c r="I1602" s="196">
        <v>-2158.4</v>
      </c>
      <c r="J1602" s="196">
        <v>-1.52</v>
      </c>
      <c r="K1602" s="196">
        <v>1420</v>
      </c>
      <c r="L1602" s="454" t="s">
        <v>899</v>
      </c>
      <c r="M1602" s="4" t="s">
        <v>780</v>
      </c>
      <c r="N1602" s="133" t="s">
        <v>1407</v>
      </c>
      <c r="O1602" s="4" t="s">
        <v>1620</v>
      </c>
      <c r="P1602" s="4" t="s">
        <v>892</v>
      </c>
      <c r="Q1602" s="4" t="s">
        <v>1621</v>
      </c>
      <c r="R1602" s="4" t="s">
        <v>1717</v>
      </c>
      <c r="S1602" s="4" t="s">
        <v>1623</v>
      </c>
      <c r="T1602" s="4" t="s">
        <v>786</v>
      </c>
      <c r="U1602" s="4"/>
      <c r="V1602" s="4"/>
      <c r="W1602" s="4"/>
    </row>
    <row r="1603" spans="1:23" customFormat="1">
      <c r="A1603" s="10"/>
      <c r="B1603" s="4"/>
      <c r="C1603" s="4"/>
      <c r="D1603" s="4"/>
      <c r="E1603" s="4"/>
      <c r="F1603" s="152" t="s">
        <v>372</v>
      </c>
      <c r="G1603" s="4" t="s">
        <v>309</v>
      </c>
      <c r="H1603" s="4"/>
      <c r="I1603" s="196">
        <v>18070000</v>
      </c>
      <c r="J1603" s="196">
        <v>13000</v>
      </c>
      <c r="K1603" s="196">
        <v>1390</v>
      </c>
      <c r="L1603" s="454" t="s">
        <v>899</v>
      </c>
      <c r="M1603" s="4" t="s">
        <v>780</v>
      </c>
      <c r="N1603" s="133" t="s">
        <v>1407</v>
      </c>
      <c r="O1603" s="4" t="s">
        <v>1802</v>
      </c>
      <c r="P1603" s="4" t="s">
        <v>892</v>
      </c>
      <c r="Q1603" s="4" t="s">
        <v>1803</v>
      </c>
      <c r="R1603" s="4" t="s">
        <v>1804</v>
      </c>
      <c r="S1603" s="4" t="s">
        <v>1805</v>
      </c>
      <c r="T1603" s="4" t="s">
        <v>786</v>
      </c>
      <c r="U1603" s="4"/>
      <c r="V1603" s="4"/>
      <c r="W1603" s="4"/>
    </row>
    <row r="1604" spans="1:23" customFormat="1">
      <c r="A1604" s="10"/>
      <c r="B1604" s="4"/>
      <c r="C1604" s="4"/>
      <c r="D1604" s="4"/>
      <c r="E1604" s="4"/>
      <c r="F1604" s="152" t="s">
        <v>372</v>
      </c>
      <c r="G1604" s="4" t="s">
        <v>309</v>
      </c>
      <c r="H1604" s="4"/>
      <c r="I1604" s="196">
        <v>987000</v>
      </c>
      <c r="J1604" s="196">
        <v>700</v>
      </c>
      <c r="K1604" s="196">
        <v>1410</v>
      </c>
      <c r="L1604" s="454" t="s">
        <v>899</v>
      </c>
      <c r="M1604" s="4" t="s">
        <v>1540</v>
      </c>
      <c r="N1604" s="133" t="s">
        <v>1407</v>
      </c>
      <c r="O1604" s="4" t="s">
        <v>1831</v>
      </c>
      <c r="P1604" s="4" t="s">
        <v>1832</v>
      </c>
      <c r="Q1604" s="4" t="s">
        <v>1833</v>
      </c>
      <c r="R1604" s="4"/>
      <c r="S1604" s="4" t="s">
        <v>1834</v>
      </c>
      <c r="T1604" s="4" t="s">
        <v>786</v>
      </c>
      <c r="U1604" s="4"/>
      <c r="V1604" s="4"/>
      <c r="W1604" s="4"/>
    </row>
    <row r="1605" spans="1:23" customFormat="1">
      <c r="A1605" s="10"/>
      <c r="B1605" s="4"/>
      <c r="C1605" s="4"/>
      <c r="D1605" s="4"/>
      <c r="E1605" s="4"/>
      <c r="F1605" s="152" t="s">
        <v>372</v>
      </c>
      <c r="G1605" s="4" t="s">
        <v>309</v>
      </c>
      <c r="H1605" s="4"/>
      <c r="I1605" s="196">
        <v>1663800</v>
      </c>
      <c r="J1605" s="196">
        <v>1180</v>
      </c>
      <c r="K1605" s="196">
        <v>1410</v>
      </c>
      <c r="L1605" s="454" t="s">
        <v>899</v>
      </c>
      <c r="M1605" s="4" t="s">
        <v>1540</v>
      </c>
      <c r="N1605" s="133" t="s">
        <v>1407</v>
      </c>
      <c r="O1605" s="4" t="s">
        <v>1835</v>
      </c>
      <c r="P1605" s="4" t="s">
        <v>1832</v>
      </c>
      <c r="Q1605" s="4" t="s">
        <v>1836</v>
      </c>
      <c r="R1605" s="4"/>
      <c r="S1605" s="4" t="s">
        <v>1837</v>
      </c>
      <c r="T1605" s="4" t="s">
        <v>786</v>
      </c>
      <c r="U1605" s="4"/>
      <c r="V1605" s="4"/>
      <c r="W1605" s="4"/>
    </row>
    <row r="1606" spans="1:23" customFormat="1">
      <c r="A1606" s="10"/>
      <c r="B1606" s="4"/>
      <c r="C1606" s="4"/>
      <c r="D1606" s="4"/>
      <c r="E1606" s="4"/>
      <c r="F1606" s="152" t="s">
        <v>372</v>
      </c>
      <c r="G1606" s="4" t="s">
        <v>309</v>
      </c>
      <c r="H1606" s="4"/>
      <c r="I1606" s="196">
        <v>1551000</v>
      </c>
      <c r="J1606" s="196">
        <v>1100</v>
      </c>
      <c r="K1606" s="196">
        <v>1410</v>
      </c>
      <c r="L1606" s="454" t="s">
        <v>899</v>
      </c>
      <c r="M1606" s="4" t="s">
        <v>1540</v>
      </c>
      <c r="N1606" s="133" t="s">
        <v>1407</v>
      </c>
      <c r="O1606" s="4" t="s">
        <v>1838</v>
      </c>
      <c r="P1606" s="4" t="s">
        <v>1832</v>
      </c>
      <c r="Q1606" s="4" t="s">
        <v>1839</v>
      </c>
      <c r="R1606" s="4"/>
      <c r="S1606" s="4" t="s">
        <v>1840</v>
      </c>
      <c r="T1606" s="4" t="s">
        <v>786</v>
      </c>
      <c r="U1606" s="4"/>
      <c r="V1606" s="4"/>
      <c r="W1606" s="4"/>
    </row>
    <row r="1607" spans="1:23" customFormat="1">
      <c r="A1607" s="10"/>
      <c r="B1607" s="4"/>
      <c r="C1607" s="4"/>
      <c r="D1607" s="4"/>
      <c r="E1607" s="4"/>
      <c r="F1607" s="152" t="s">
        <v>372</v>
      </c>
      <c r="G1607" s="4" t="s">
        <v>309</v>
      </c>
      <c r="H1607" s="4"/>
      <c r="I1607" s="196">
        <v>2115000</v>
      </c>
      <c r="J1607" s="196">
        <v>1500</v>
      </c>
      <c r="K1607" s="196">
        <v>1410</v>
      </c>
      <c r="L1607" s="454" t="s">
        <v>899</v>
      </c>
      <c r="M1607" s="4" t="s">
        <v>1540</v>
      </c>
      <c r="N1607" s="133" t="s">
        <v>1407</v>
      </c>
      <c r="O1607" s="4" t="s">
        <v>1841</v>
      </c>
      <c r="P1607" s="4" t="s">
        <v>1832</v>
      </c>
      <c r="Q1607" s="4" t="s">
        <v>1842</v>
      </c>
      <c r="R1607" s="4"/>
      <c r="S1607" s="4" t="s">
        <v>1843</v>
      </c>
      <c r="T1607" s="4" t="s">
        <v>786</v>
      </c>
      <c r="U1607" s="4"/>
      <c r="V1607" s="4"/>
      <c r="W1607" s="4"/>
    </row>
    <row r="1608" spans="1:23" customFormat="1">
      <c r="A1608" s="10"/>
      <c r="B1608" s="4"/>
      <c r="C1608" s="4"/>
      <c r="D1608" s="4"/>
      <c r="E1608" s="4"/>
      <c r="F1608" s="152" t="s">
        <v>372</v>
      </c>
      <c r="G1608" s="4" t="s">
        <v>309</v>
      </c>
      <c r="H1608" s="4"/>
      <c r="I1608" s="196">
        <v>-153405</v>
      </c>
      <c r="J1608" s="196">
        <v>-102.27</v>
      </c>
      <c r="K1608" s="196">
        <v>1500</v>
      </c>
      <c r="L1608" s="454" t="s">
        <v>1017</v>
      </c>
      <c r="M1608" s="4" t="s">
        <v>780</v>
      </c>
      <c r="N1608" s="133" t="s">
        <v>1407</v>
      </c>
      <c r="O1608" s="4" t="s">
        <v>1946</v>
      </c>
      <c r="P1608" s="4" t="s">
        <v>892</v>
      </c>
      <c r="Q1608" s="4" t="s">
        <v>1947</v>
      </c>
      <c r="R1608" s="4" t="s">
        <v>1950</v>
      </c>
      <c r="S1608" s="4" t="s">
        <v>1949</v>
      </c>
      <c r="T1608" s="4" t="s">
        <v>786</v>
      </c>
      <c r="U1608" s="4"/>
      <c r="V1608" s="4"/>
      <c r="W1608" s="4"/>
    </row>
    <row r="1609" spans="1:23" customFormat="1">
      <c r="A1609" s="10"/>
      <c r="B1609" s="4"/>
      <c r="C1609" s="4"/>
      <c r="D1609" s="4"/>
      <c r="E1609" s="4"/>
      <c r="F1609" s="152" t="s">
        <v>372</v>
      </c>
      <c r="G1609" s="4" t="s">
        <v>309</v>
      </c>
      <c r="H1609" s="4"/>
      <c r="I1609" s="196">
        <v>-192360</v>
      </c>
      <c r="J1609" s="196">
        <v>-128.24</v>
      </c>
      <c r="K1609" s="196">
        <v>1500</v>
      </c>
      <c r="L1609" s="454" t="s">
        <v>1017</v>
      </c>
      <c r="M1609" s="4" t="s">
        <v>780</v>
      </c>
      <c r="N1609" s="133" t="s">
        <v>1407</v>
      </c>
      <c r="O1609" s="4" t="s">
        <v>1946</v>
      </c>
      <c r="P1609" s="4" t="s">
        <v>892</v>
      </c>
      <c r="Q1609" s="4" t="s">
        <v>1947</v>
      </c>
      <c r="R1609" s="4" t="s">
        <v>1966</v>
      </c>
      <c r="S1609" s="4" t="s">
        <v>1949</v>
      </c>
      <c r="T1609" s="4" t="s">
        <v>786</v>
      </c>
      <c r="U1609" s="4"/>
      <c r="V1609" s="4"/>
      <c r="W1609" s="4"/>
    </row>
    <row r="1610" spans="1:23" customFormat="1">
      <c r="A1610" s="10"/>
      <c r="B1610" s="4"/>
      <c r="C1610" s="4"/>
      <c r="D1610" s="4"/>
      <c r="E1610" s="4"/>
      <c r="F1610" s="152" t="s">
        <v>372</v>
      </c>
      <c r="G1610" s="4" t="s">
        <v>309</v>
      </c>
      <c r="H1610" s="4"/>
      <c r="I1610" s="196">
        <v>-196500</v>
      </c>
      <c r="J1610" s="196">
        <v>-131</v>
      </c>
      <c r="K1610" s="196">
        <v>1500</v>
      </c>
      <c r="L1610" s="454" t="s">
        <v>1017</v>
      </c>
      <c r="M1610" s="4" t="s">
        <v>780</v>
      </c>
      <c r="N1610" s="133" t="s">
        <v>1407</v>
      </c>
      <c r="O1610" s="4" t="s">
        <v>1946</v>
      </c>
      <c r="P1610" s="4" t="s">
        <v>892</v>
      </c>
      <c r="Q1610" s="4" t="s">
        <v>1947</v>
      </c>
      <c r="R1610" s="4" t="s">
        <v>1956</v>
      </c>
      <c r="S1610" s="4" t="s">
        <v>1949</v>
      </c>
      <c r="T1610" s="4" t="s">
        <v>786</v>
      </c>
      <c r="U1610" s="4"/>
      <c r="V1610" s="4"/>
      <c r="W1610" s="4"/>
    </row>
    <row r="1611" spans="1:23" customFormat="1">
      <c r="A1611" s="10"/>
      <c r="B1611" s="4"/>
      <c r="C1611" s="4"/>
      <c r="D1611" s="4"/>
      <c r="E1611" s="4"/>
      <c r="F1611" s="152" t="s">
        <v>372</v>
      </c>
      <c r="G1611" s="4" t="s">
        <v>309</v>
      </c>
      <c r="H1611" s="4"/>
      <c r="I1611" s="196">
        <v>-232440</v>
      </c>
      <c r="J1611" s="196">
        <v>-154.96</v>
      </c>
      <c r="K1611" s="196">
        <v>1500</v>
      </c>
      <c r="L1611" s="454" t="s">
        <v>1017</v>
      </c>
      <c r="M1611" s="4" t="s">
        <v>780</v>
      </c>
      <c r="N1611" s="133" t="s">
        <v>1407</v>
      </c>
      <c r="O1611" s="4" t="s">
        <v>1946</v>
      </c>
      <c r="P1611" s="4" t="s">
        <v>892</v>
      </c>
      <c r="Q1611" s="4" t="s">
        <v>1947</v>
      </c>
      <c r="R1611" s="4" t="s">
        <v>1954</v>
      </c>
      <c r="S1611" s="4" t="s">
        <v>1949</v>
      </c>
      <c r="T1611" s="4" t="s">
        <v>786</v>
      </c>
      <c r="U1611" s="4"/>
      <c r="V1611" s="4"/>
      <c r="W1611" s="4"/>
    </row>
    <row r="1612" spans="1:23" customFormat="1">
      <c r="A1612" s="10"/>
      <c r="B1612" s="4"/>
      <c r="C1612" s="4"/>
      <c r="D1612" s="4"/>
      <c r="E1612" s="4"/>
      <c r="F1612" s="152" t="s">
        <v>372</v>
      </c>
      <c r="G1612" s="4" t="s">
        <v>309</v>
      </c>
      <c r="H1612" s="4"/>
      <c r="I1612" s="196">
        <v>-895380</v>
      </c>
      <c r="J1612" s="196">
        <v>-596.91999999999996</v>
      </c>
      <c r="K1612" s="196">
        <v>1500</v>
      </c>
      <c r="L1612" s="454" t="s">
        <v>1017</v>
      </c>
      <c r="M1612" s="4" t="s">
        <v>780</v>
      </c>
      <c r="N1612" s="133" t="s">
        <v>1407</v>
      </c>
      <c r="O1612" s="4" t="s">
        <v>1946</v>
      </c>
      <c r="P1612" s="4" t="s">
        <v>892</v>
      </c>
      <c r="Q1612" s="4" t="s">
        <v>1947</v>
      </c>
      <c r="R1612" s="4" t="s">
        <v>1978</v>
      </c>
      <c r="S1612" s="4" t="s">
        <v>1949</v>
      </c>
      <c r="T1612" s="4" t="s">
        <v>786</v>
      </c>
      <c r="U1612" s="4"/>
      <c r="V1612" s="4"/>
      <c r="W1612" s="4"/>
    </row>
    <row r="1613" spans="1:23" customFormat="1">
      <c r="A1613" s="10"/>
      <c r="B1613" s="4"/>
      <c r="C1613" s="4"/>
      <c r="D1613" s="4"/>
      <c r="E1613" s="4"/>
      <c r="F1613" s="152" t="s">
        <v>372</v>
      </c>
      <c r="G1613" s="4" t="s">
        <v>309</v>
      </c>
      <c r="H1613" s="4"/>
      <c r="I1613" s="196">
        <v>-19080</v>
      </c>
      <c r="J1613" s="196">
        <v>-12.72</v>
      </c>
      <c r="K1613" s="196">
        <v>1500</v>
      </c>
      <c r="L1613" s="454" t="s">
        <v>1017</v>
      </c>
      <c r="M1613" s="4" t="s">
        <v>780</v>
      </c>
      <c r="N1613" s="133" t="s">
        <v>1407</v>
      </c>
      <c r="O1613" s="4" t="s">
        <v>1946</v>
      </c>
      <c r="P1613" s="4" t="s">
        <v>892</v>
      </c>
      <c r="Q1613" s="4" t="s">
        <v>1947</v>
      </c>
      <c r="R1613" s="4" t="s">
        <v>1981</v>
      </c>
      <c r="S1613" s="4" t="s">
        <v>1949</v>
      </c>
      <c r="T1613" s="4" t="s">
        <v>786</v>
      </c>
      <c r="U1613" s="4"/>
      <c r="V1613" s="4"/>
      <c r="W1613" s="4"/>
    </row>
    <row r="1614" spans="1:23" customFormat="1">
      <c r="A1614" s="10"/>
      <c r="B1614" s="4"/>
      <c r="C1614" s="4"/>
      <c r="D1614" s="4"/>
      <c r="E1614" s="4"/>
      <c r="F1614" s="152" t="s">
        <v>372</v>
      </c>
      <c r="G1614" s="4" t="s">
        <v>309</v>
      </c>
      <c r="H1614" s="4"/>
      <c r="I1614" s="196">
        <v>-25770</v>
      </c>
      <c r="J1614" s="196">
        <v>-17.18</v>
      </c>
      <c r="K1614" s="196">
        <v>1500</v>
      </c>
      <c r="L1614" s="454" t="s">
        <v>1017</v>
      </c>
      <c r="M1614" s="4" t="s">
        <v>780</v>
      </c>
      <c r="N1614" s="133" t="s">
        <v>1407</v>
      </c>
      <c r="O1614" s="4" t="s">
        <v>1946</v>
      </c>
      <c r="P1614" s="4" t="s">
        <v>892</v>
      </c>
      <c r="Q1614" s="4" t="s">
        <v>1947</v>
      </c>
      <c r="R1614" s="4" t="s">
        <v>1964</v>
      </c>
      <c r="S1614" s="4" t="s">
        <v>1949</v>
      </c>
      <c r="T1614" s="4" t="s">
        <v>786</v>
      </c>
      <c r="U1614" s="4"/>
      <c r="V1614" s="4"/>
      <c r="W1614" s="4"/>
    </row>
    <row r="1615" spans="1:23" customFormat="1">
      <c r="A1615" s="10"/>
      <c r="B1615" s="4"/>
      <c r="C1615" s="4"/>
      <c r="D1615" s="4"/>
      <c r="E1615" s="4"/>
      <c r="F1615" s="152" t="s">
        <v>372</v>
      </c>
      <c r="G1615" s="4" t="s">
        <v>309</v>
      </c>
      <c r="H1615" s="4"/>
      <c r="I1615" s="196">
        <v>-315270</v>
      </c>
      <c r="J1615" s="196">
        <v>-210.18</v>
      </c>
      <c r="K1615" s="196">
        <v>1500</v>
      </c>
      <c r="L1615" s="454" t="s">
        <v>1017</v>
      </c>
      <c r="M1615" s="4" t="s">
        <v>780</v>
      </c>
      <c r="N1615" s="133" t="s">
        <v>1407</v>
      </c>
      <c r="O1615" s="4" t="s">
        <v>1946</v>
      </c>
      <c r="P1615" s="4" t="s">
        <v>892</v>
      </c>
      <c r="Q1615" s="4" t="s">
        <v>1947</v>
      </c>
      <c r="R1615" s="4" t="s">
        <v>1963</v>
      </c>
      <c r="S1615" s="4" t="s">
        <v>1949</v>
      </c>
      <c r="T1615" s="4" t="s">
        <v>786</v>
      </c>
      <c r="U1615" s="4"/>
      <c r="V1615" s="4"/>
      <c r="W1615" s="4"/>
    </row>
    <row r="1616" spans="1:23" customFormat="1">
      <c r="A1616" s="10"/>
      <c r="B1616" s="4"/>
      <c r="C1616" s="4"/>
      <c r="D1616" s="4"/>
      <c r="E1616" s="4"/>
      <c r="F1616" s="152" t="s">
        <v>372</v>
      </c>
      <c r="G1616" s="4" t="s">
        <v>309</v>
      </c>
      <c r="H1616" s="4"/>
      <c r="I1616" s="196">
        <v>-152670</v>
      </c>
      <c r="J1616" s="196">
        <v>-101.78</v>
      </c>
      <c r="K1616" s="196">
        <v>1500</v>
      </c>
      <c r="L1616" s="454" t="s">
        <v>1017</v>
      </c>
      <c r="M1616" s="4" t="s">
        <v>780</v>
      </c>
      <c r="N1616" s="133" t="s">
        <v>1407</v>
      </c>
      <c r="O1616" s="4" t="s">
        <v>1946</v>
      </c>
      <c r="P1616" s="4" t="s">
        <v>892</v>
      </c>
      <c r="Q1616" s="4" t="s">
        <v>1947</v>
      </c>
      <c r="R1616" s="4" t="s">
        <v>1951</v>
      </c>
      <c r="S1616" s="4" t="s">
        <v>1949</v>
      </c>
      <c r="T1616" s="4" t="s">
        <v>786</v>
      </c>
      <c r="U1616" s="4"/>
      <c r="V1616" s="4"/>
      <c r="W1616" s="4"/>
    </row>
    <row r="1617" spans="1:23" customFormat="1">
      <c r="A1617" s="10"/>
      <c r="B1617" s="4"/>
      <c r="C1617" s="4"/>
      <c r="D1617" s="4"/>
      <c r="E1617" s="4"/>
      <c r="F1617" s="152" t="s">
        <v>372</v>
      </c>
      <c r="G1617" s="4" t="s">
        <v>309</v>
      </c>
      <c r="H1617" s="4"/>
      <c r="I1617" s="196">
        <v>-114510</v>
      </c>
      <c r="J1617" s="196">
        <v>-76.34</v>
      </c>
      <c r="K1617" s="196">
        <v>1500</v>
      </c>
      <c r="L1617" s="454" t="s">
        <v>1017</v>
      </c>
      <c r="M1617" s="4" t="s">
        <v>780</v>
      </c>
      <c r="N1617" s="133" t="s">
        <v>1407</v>
      </c>
      <c r="O1617" s="4" t="s">
        <v>1946</v>
      </c>
      <c r="P1617" s="4" t="s">
        <v>892</v>
      </c>
      <c r="Q1617" s="4" t="s">
        <v>1947</v>
      </c>
      <c r="R1617" s="4" t="s">
        <v>1960</v>
      </c>
      <c r="S1617" s="4" t="s">
        <v>1949</v>
      </c>
      <c r="T1617" s="4" t="s">
        <v>786</v>
      </c>
      <c r="U1617" s="4"/>
      <c r="V1617" s="4"/>
      <c r="W1617" s="4"/>
    </row>
    <row r="1618" spans="1:23" customFormat="1">
      <c r="A1618" s="10"/>
      <c r="B1618" s="4"/>
      <c r="C1618" s="4"/>
      <c r="D1618" s="4"/>
      <c r="E1618" s="4"/>
      <c r="F1618" s="152" t="s">
        <v>372</v>
      </c>
      <c r="G1618" s="4" t="s">
        <v>309</v>
      </c>
      <c r="H1618" s="4"/>
      <c r="I1618" s="196">
        <v>-114510</v>
      </c>
      <c r="J1618" s="196">
        <v>-76.34</v>
      </c>
      <c r="K1618" s="196">
        <v>1500</v>
      </c>
      <c r="L1618" s="454" t="s">
        <v>1017</v>
      </c>
      <c r="M1618" s="4" t="s">
        <v>780</v>
      </c>
      <c r="N1618" s="133" t="s">
        <v>1407</v>
      </c>
      <c r="O1618" s="4" t="s">
        <v>1946</v>
      </c>
      <c r="P1618" s="4" t="s">
        <v>892</v>
      </c>
      <c r="Q1618" s="4" t="s">
        <v>1947</v>
      </c>
      <c r="R1618" s="4" t="s">
        <v>1952</v>
      </c>
      <c r="S1618" s="4" t="s">
        <v>1949</v>
      </c>
      <c r="T1618" s="4" t="s">
        <v>786</v>
      </c>
      <c r="U1618" s="4"/>
      <c r="V1618" s="4"/>
      <c r="W1618" s="4"/>
    </row>
    <row r="1619" spans="1:23" customFormat="1">
      <c r="A1619" s="10"/>
      <c r="B1619" s="4"/>
      <c r="C1619" s="4"/>
      <c r="D1619" s="4"/>
      <c r="E1619" s="4"/>
      <c r="F1619" s="152" t="s">
        <v>372</v>
      </c>
      <c r="G1619" s="4" t="s">
        <v>309</v>
      </c>
      <c r="H1619" s="4"/>
      <c r="I1619" s="196">
        <v>-108210</v>
      </c>
      <c r="J1619" s="196">
        <v>-72.14</v>
      </c>
      <c r="K1619" s="196">
        <v>1500</v>
      </c>
      <c r="L1619" s="454" t="s">
        <v>1017</v>
      </c>
      <c r="M1619" s="4" t="s">
        <v>780</v>
      </c>
      <c r="N1619" s="133" t="s">
        <v>1407</v>
      </c>
      <c r="O1619" s="4" t="s">
        <v>1946</v>
      </c>
      <c r="P1619" s="4" t="s">
        <v>892</v>
      </c>
      <c r="Q1619" s="4" t="s">
        <v>1947</v>
      </c>
      <c r="R1619" s="4" t="s">
        <v>1948</v>
      </c>
      <c r="S1619" s="4" t="s">
        <v>1949</v>
      </c>
      <c r="T1619" s="4" t="s">
        <v>786</v>
      </c>
      <c r="U1619" s="4"/>
      <c r="V1619" s="4"/>
      <c r="W1619" s="4"/>
    </row>
    <row r="1620" spans="1:23" customFormat="1">
      <c r="A1620" s="10"/>
      <c r="B1620" s="4"/>
      <c r="C1620" s="4"/>
      <c r="D1620" s="4"/>
      <c r="E1620" s="4"/>
      <c r="F1620" s="152" t="s">
        <v>372</v>
      </c>
      <c r="G1620" s="4" t="s">
        <v>309</v>
      </c>
      <c r="H1620" s="4"/>
      <c r="I1620" s="196">
        <v>-27975</v>
      </c>
      <c r="J1620" s="196">
        <v>-18.649999999999999</v>
      </c>
      <c r="K1620" s="196">
        <v>1500</v>
      </c>
      <c r="L1620" s="454" t="s">
        <v>1017</v>
      </c>
      <c r="M1620" s="4" t="s">
        <v>780</v>
      </c>
      <c r="N1620" s="133" t="s">
        <v>1407</v>
      </c>
      <c r="O1620" s="4" t="s">
        <v>1946</v>
      </c>
      <c r="P1620" s="4" t="s">
        <v>892</v>
      </c>
      <c r="Q1620" s="4" t="s">
        <v>1947</v>
      </c>
      <c r="R1620" s="4" t="s">
        <v>1965</v>
      </c>
      <c r="S1620" s="4" t="s">
        <v>1949</v>
      </c>
      <c r="T1620" s="4" t="s">
        <v>786</v>
      </c>
      <c r="U1620" s="4"/>
      <c r="V1620" s="4"/>
      <c r="W1620" s="4"/>
    </row>
    <row r="1621" spans="1:23" customFormat="1">
      <c r="A1621" s="10"/>
      <c r="B1621" s="4"/>
      <c r="C1621" s="4"/>
      <c r="D1621" s="4"/>
      <c r="E1621" s="4"/>
      <c r="F1621" s="152" t="s">
        <v>372</v>
      </c>
      <c r="G1621" s="4" t="s">
        <v>309</v>
      </c>
      <c r="H1621" s="4"/>
      <c r="I1621" s="196">
        <v>-30150</v>
      </c>
      <c r="J1621" s="196">
        <v>-20.100000000000001</v>
      </c>
      <c r="K1621" s="196">
        <v>1500</v>
      </c>
      <c r="L1621" s="454" t="s">
        <v>1017</v>
      </c>
      <c r="M1621" s="4" t="s">
        <v>780</v>
      </c>
      <c r="N1621" s="133" t="s">
        <v>1407</v>
      </c>
      <c r="O1621" s="4" t="s">
        <v>1946</v>
      </c>
      <c r="P1621" s="4" t="s">
        <v>892</v>
      </c>
      <c r="Q1621" s="4" t="s">
        <v>1947</v>
      </c>
      <c r="R1621" s="4" t="s">
        <v>1958</v>
      </c>
      <c r="S1621" s="4" t="s">
        <v>1949</v>
      </c>
      <c r="T1621" s="4" t="s">
        <v>786</v>
      </c>
      <c r="U1621" s="4"/>
      <c r="V1621" s="4"/>
      <c r="W1621" s="4"/>
    </row>
    <row r="1622" spans="1:23" customFormat="1">
      <c r="A1622" s="10"/>
      <c r="B1622" s="4"/>
      <c r="C1622" s="4"/>
      <c r="D1622" s="4"/>
      <c r="E1622" s="4"/>
      <c r="F1622" s="152" t="s">
        <v>372</v>
      </c>
      <c r="G1622" s="4" t="s">
        <v>309</v>
      </c>
      <c r="H1622" s="4"/>
      <c r="I1622" s="196">
        <v>-305340</v>
      </c>
      <c r="J1622" s="196">
        <v>-203.56</v>
      </c>
      <c r="K1622" s="196">
        <v>1500</v>
      </c>
      <c r="L1622" s="454" t="s">
        <v>1017</v>
      </c>
      <c r="M1622" s="4" t="s">
        <v>780</v>
      </c>
      <c r="N1622" s="133" t="s">
        <v>1407</v>
      </c>
      <c r="O1622" s="4" t="s">
        <v>1946</v>
      </c>
      <c r="P1622" s="4" t="s">
        <v>892</v>
      </c>
      <c r="Q1622" s="4" t="s">
        <v>1947</v>
      </c>
      <c r="R1622" s="4" t="s">
        <v>1953</v>
      </c>
      <c r="S1622" s="4" t="s">
        <v>1949</v>
      </c>
      <c r="T1622" s="4" t="s">
        <v>786</v>
      </c>
      <c r="U1622" s="4"/>
      <c r="V1622" s="4"/>
      <c r="W1622" s="4"/>
    </row>
    <row r="1623" spans="1:23" customFormat="1">
      <c r="A1623" s="10"/>
      <c r="B1623" s="4"/>
      <c r="C1623" s="4"/>
      <c r="D1623" s="4"/>
      <c r="E1623" s="4"/>
      <c r="F1623" s="152" t="s">
        <v>372</v>
      </c>
      <c r="G1623" s="4" t="s">
        <v>309</v>
      </c>
      <c r="H1623" s="4"/>
      <c r="I1623" s="196">
        <v>-4200</v>
      </c>
      <c r="J1623" s="196">
        <v>-2.8</v>
      </c>
      <c r="K1623" s="196">
        <v>1500</v>
      </c>
      <c r="L1623" s="454" t="s">
        <v>1017</v>
      </c>
      <c r="M1623" s="4" t="s">
        <v>780</v>
      </c>
      <c r="N1623" s="133" t="s">
        <v>1407</v>
      </c>
      <c r="O1623" s="4" t="s">
        <v>1946</v>
      </c>
      <c r="P1623" s="4" t="s">
        <v>892</v>
      </c>
      <c r="Q1623" s="4" t="s">
        <v>1947</v>
      </c>
      <c r="R1623" s="4" t="s">
        <v>1967</v>
      </c>
      <c r="S1623" s="4" t="s">
        <v>1949</v>
      </c>
      <c r="T1623" s="4" t="s">
        <v>786</v>
      </c>
      <c r="U1623" s="4"/>
      <c r="V1623" s="4"/>
      <c r="W1623" s="4"/>
    </row>
    <row r="1624" spans="1:23" customFormat="1">
      <c r="A1624" s="10"/>
      <c r="B1624" s="4"/>
      <c r="C1624" s="4"/>
      <c r="D1624" s="4"/>
      <c r="E1624" s="4"/>
      <c r="F1624" s="152" t="s">
        <v>372</v>
      </c>
      <c r="G1624" s="4" t="s">
        <v>309</v>
      </c>
      <c r="H1624" s="4"/>
      <c r="I1624" s="196">
        <v>-38175</v>
      </c>
      <c r="J1624" s="196">
        <v>-25.45</v>
      </c>
      <c r="K1624" s="196">
        <v>1500</v>
      </c>
      <c r="L1624" s="454" t="s">
        <v>1017</v>
      </c>
      <c r="M1624" s="4" t="s">
        <v>780</v>
      </c>
      <c r="N1624" s="133" t="s">
        <v>1407</v>
      </c>
      <c r="O1624" s="4" t="s">
        <v>1946</v>
      </c>
      <c r="P1624" s="4" t="s">
        <v>892</v>
      </c>
      <c r="Q1624" s="4" t="s">
        <v>1947</v>
      </c>
      <c r="R1624" s="4" t="s">
        <v>1976</v>
      </c>
      <c r="S1624" s="4" t="s">
        <v>1949</v>
      </c>
      <c r="T1624" s="4" t="s">
        <v>786</v>
      </c>
      <c r="U1624" s="4"/>
      <c r="V1624" s="4"/>
      <c r="W1624" s="4"/>
    </row>
    <row r="1625" spans="1:23" customFormat="1">
      <c r="A1625" s="10"/>
      <c r="B1625" s="4"/>
      <c r="C1625" s="4"/>
      <c r="D1625" s="4"/>
      <c r="E1625" s="4"/>
      <c r="F1625" s="152" t="s">
        <v>372</v>
      </c>
      <c r="G1625" s="4" t="s">
        <v>309</v>
      </c>
      <c r="H1625" s="4"/>
      <c r="I1625" s="196">
        <v>-930000</v>
      </c>
      <c r="J1625" s="196">
        <v>-620</v>
      </c>
      <c r="K1625" s="196">
        <v>1500</v>
      </c>
      <c r="L1625" s="454" t="s">
        <v>1017</v>
      </c>
      <c r="M1625" s="4" t="s">
        <v>780</v>
      </c>
      <c r="N1625" s="133" t="s">
        <v>1407</v>
      </c>
      <c r="O1625" s="4" t="s">
        <v>1946</v>
      </c>
      <c r="P1625" s="4" t="s">
        <v>892</v>
      </c>
      <c r="Q1625" s="4" t="s">
        <v>1947</v>
      </c>
      <c r="R1625" s="4" t="s">
        <v>1988</v>
      </c>
      <c r="S1625" s="4" t="s">
        <v>1949</v>
      </c>
      <c r="T1625" s="4" t="s">
        <v>786</v>
      </c>
      <c r="U1625" s="4"/>
      <c r="V1625" s="4"/>
      <c r="W1625" s="4"/>
    </row>
    <row r="1626" spans="1:23" customFormat="1">
      <c r="A1626" s="10"/>
      <c r="B1626" s="4"/>
      <c r="C1626" s="4"/>
      <c r="D1626" s="4"/>
      <c r="E1626" s="4"/>
      <c r="F1626" s="152" t="s">
        <v>372</v>
      </c>
      <c r="G1626" s="4" t="s">
        <v>309</v>
      </c>
      <c r="H1626" s="4"/>
      <c r="I1626" s="196">
        <v>-465000</v>
      </c>
      <c r="J1626" s="196">
        <v>-310</v>
      </c>
      <c r="K1626" s="196">
        <v>1500</v>
      </c>
      <c r="L1626" s="454" t="s">
        <v>1017</v>
      </c>
      <c r="M1626" s="4" t="s">
        <v>780</v>
      </c>
      <c r="N1626" s="133" t="s">
        <v>1407</v>
      </c>
      <c r="O1626" s="4" t="s">
        <v>1946</v>
      </c>
      <c r="P1626" s="4" t="s">
        <v>892</v>
      </c>
      <c r="Q1626" s="4" t="s">
        <v>1947</v>
      </c>
      <c r="R1626" s="4" t="s">
        <v>1989</v>
      </c>
      <c r="S1626" s="4" t="s">
        <v>1949</v>
      </c>
      <c r="T1626" s="4" t="s">
        <v>786</v>
      </c>
      <c r="U1626" s="4"/>
      <c r="V1626" s="4"/>
      <c r="W1626" s="4"/>
    </row>
    <row r="1627" spans="1:23" customFormat="1">
      <c r="A1627" s="10"/>
      <c r="B1627" s="4"/>
      <c r="C1627" s="4"/>
      <c r="D1627" s="4"/>
      <c r="E1627" s="4"/>
      <c r="F1627" s="152" t="s">
        <v>372</v>
      </c>
      <c r="G1627" s="4" t="s">
        <v>309</v>
      </c>
      <c r="H1627" s="4"/>
      <c r="I1627" s="196">
        <v>-900000</v>
      </c>
      <c r="J1627" s="196">
        <v>-600</v>
      </c>
      <c r="K1627" s="196">
        <v>1500</v>
      </c>
      <c r="L1627" s="454" t="s">
        <v>1017</v>
      </c>
      <c r="M1627" s="4" t="s">
        <v>780</v>
      </c>
      <c r="N1627" s="133" t="s">
        <v>1407</v>
      </c>
      <c r="O1627" s="4" t="s">
        <v>1946</v>
      </c>
      <c r="P1627" s="4" t="s">
        <v>892</v>
      </c>
      <c r="Q1627" s="4" t="s">
        <v>1947</v>
      </c>
      <c r="R1627" s="4" t="s">
        <v>1968</v>
      </c>
      <c r="S1627" s="4" t="s">
        <v>1949</v>
      </c>
      <c r="T1627" s="4" t="s">
        <v>786</v>
      </c>
      <c r="U1627" s="4"/>
      <c r="V1627" s="4"/>
      <c r="W1627" s="4"/>
    </row>
    <row r="1628" spans="1:23" customFormat="1">
      <c r="A1628" s="10"/>
      <c r="B1628" s="4"/>
      <c r="C1628" s="4"/>
      <c r="D1628" s="4"/>
      <c r="E1628" s="4"/>
      <c r="F1628" s="152" t="s">
        <v>372</v>
      </c>
      <c r="G1628" s="4" t="s">
        <v>309</v>
      </c>
      <c r="H1628" s="4"/>
      <c r="I1628" s="196">
        <v>-301500</v>
      </c>
      <c r="J1628" s="196">
        <v>-201</v>
      </c>
      <c r="K1628" s="196">
        <v>1500</v>
      </c>
      <c r="L1628" s="454" t="s">
        <v>1017</v>
      </c>
      <c r="M1628" s="4" t="s">
        <v>780</v>
      </c>
      <c r="N1628" s="133" t="s">
        <v>1407</v>
      </c>
      <c r="O1628" s="4" t="s">
        <v>1946</v>
      </c>
      <c r="P1628" s="4" t="s">
        <v>892</v>
      </c>
      <c r="Q1628" s="4" t="s">
        <v>1947</v>
      </c>
      <c r="R1628" s="4" t="s">
        <v>1969</v>
      </c>
      <c r="S1628" s="4" t="s">
        <v>1949</v>
      </c>
      <c r="T1628" s="4" t="s">
        <v>786</v>
      </c>
      <c r="U1628" s="4"/>
      <c r="V1628" s="4"/>
      <c r="W1628" s="4"/>
    </row>
    <row r="1629" spans="1:23" customFormat="1">
      <c r="A1629" s="10"/>
      <c r="B1629" s="4"/>
      <c r="C1629" s="4"/>
      <c r="D1629" s="4"/>
      <c r="E1629" s="4"/>
      <c r="F1629" s="152" t="s">
        <v>372</v>
      </c>
      <c r="G1629" s="4" t="s">
        <v>309</v>
      </c>
      <c r="H1629" s="4"/>
      <c r="I1629" s="196">
        <v>-810000</v>
      </c>
      <c r="J1629" s="196">
        <v>-540</v>
      </c>
      <c r="K1629" s="196">
        <v>1500</v>
      </c>
      <c r="L1629" s="454" t="s">
        <v>1017</v>
      </c>
      <c r="M1629" s="4" t="s">
        <v>780</v>
      </c>
      <c r="N1629" s="133" t="s">
        <v>1407</v>
      </c>
      <c r="O1629" s="4" t="s">
        <v>1946</v>
      </c>
      <c r="P1629" s="4" t="s">
        <v>892</v>
      </c>
      <c r="Q1629" s="4" t="s">
        <v>1947</v>
      </c>
      <c r="R1629" s="4" t="s">
        <v>1987</v>
      </c>
      <c r="S1629" s="4" t="s">
        <v>1949</v>
      </c>
      <c r="T1629" s="4" t="s">
        <v>786</v>
      </c>
      <c r="U1629" s="4"/>
      <c r="V1629" s="4"/>
      <c r="W1629" s="4"/>
    </row>
    <row r="1630" spans="1:23" customFormat="1">
      <c r="A1630" s="10"/>
      <c r="B1630" s="4"/>
      <c r="C1630" s="4"/>
      <c r="D1630" s="4"/>
      <c r="E1630" s="4"/>
      <c r="F1630" s="152" t="s">
        <v>372</v>
      </c>
      <c r="G1630" s="4" t="s">
        <v>309</v>
      </c>
      <c r="H1630" s="4"/>
      <c r="I1630" s="196">
        <v>-585000</v>
      </c>
      <c r="J1630" s="196">
        <v>-390</v>
      </c>
      <c r="K1630" s="196">
        <v>1500</v>
      </c>
      <c r="L1630" s="454" t="s">
        <v>1017</v>
      </c>
      <c r="M1630" s="4" t="s">
        <v>780</v>
      </c>
      <c r="N1630" s="133" t="s">
        <v>1407</v>
      </c>
      <c r="O1630" s="4" t="s">
        <v>1946</v>
      </c>
      <c r="P1630" s="4" t="s">
        <v>892</v>
      </c>
      <c r="Q1630" s="4" t="s">
        <v>1947</v>
      </c>
      <c r="R1630" s="4" t="s">
        <v>1985</v>
      </c>
      <c r="S1630" s="4" t="s">
        <v>1949</v>
      </c>
      <c r="T1630" s="4" t="s">
        <v>786</v>
      </c>
      <c r="U1630" s="4"/>
      <c r="V1630" s="4"/>
      <c r="W1630" s="4"/>
    </row>
    <row r="1631" spans="1:23" customFormat="1">
      <c r="A1631" s="10"/>
      <c r="B1631" s="4"/>
      <c r="C1631" s="4"/>
      <c r="D1631" s="4"/>
      <c r="E1631" s="4"/>
      <c r="F1631" s="152" t="s">
        <v>372</v>
      </c>
      <c r="G1631" s="4" t="s">
        <v>309</v>
      </c>
      <c r="H1631" s="4"/>
      <c r="I1631" s="196">
        <v>-585000</v>
      </c>
      <c r="J1631" s="196">
        <v>-390</v>
      </c>
      <c r="K1631" s="196">
        <v>1500</v>
      </c>
      <c r="L1631" s="454" t="s">
        <v>1017</v>
      </c>
      <c r="M1631" s="4" t="s">
        <v>780</v>
      </c>
      <c r="N1631" s="133" t="s">
        <v>1407</v>
      </c>
      <c r="O1631" s="4" t="s">
        <v>1946</v>
      </c>
      <c r="P1631" s="4" t="s">
        <v>892</v>
      </c>
      <c r="Q1631" s="4" t="s">
        <v>1947</v>
      </c>
      <c r="R1631" s="4" t="s">
        <v>1986</v>
      </c>
      <c r="S1631" s="4" t="s">
        <v>1949</v>
      </c>
      <c r="T1631" s="4" t="s">
        <v>786</v>
      </c>
      <c r="U1631" s="4"/>
      <c r="V1631" s="4"/>
      <c r="W1631" s="4"/>
    </row>
    <row r="1632" spans="1:23" customFormat="1">
      <c r="A1632" s="10"/>
      <c r="B1632" s="4"/>
      <c r="C1632" s="4"/>
      <c r="D1632" s="4"/>
      <c r="E1632" s="4"/>
      <c r="F1632" s="152" t="s">
        <v>372</v>
      </c>
      <c r="G1632" s="4" t="s">
        <v>309</v>
      </c>
      <c r="H1632" s="4"/>
      <c r="I1632" s="196">
        <v>-585000</v>
      </c>
      <c r="J1632" s="196">
        <v>-390</v>
      </c>
      <c r="K1632" s="196">
        <v>1500</v>
      </c>
      <c r="L1632" s="454" t="s">
        <v>1017</v>
      </c>
      <c r="M1632" s="4" t="s">
        <v>780</v>
      </c>
      <c r="N1632" s="133" t="s">
        <v>1407</v>
      </c>
      <c r="O1632" s="4" t="s">
        <v>1946</v>
      </c>
      <c r="P1632" s="4" t="s">
        <v>892</v>
      </c>
      <c r="Q1632" s="4" t="s">
        <v>1947</v>
      </c>
      <c r="R1632" s="4" t="s">
        <v>1990</v>
      </c>
      <c r="S1632" s="4" t="s">
        <v>1949</v>
      </c>
      <c r="T1632" s="4" t="s">
        <v>786</v>
      </c>
      <c r="U1632" s="4"/>
      <c r="V1632" s="4"/>
      <c r="W1632" s="4"/>
    </row>
    <row r="1633" spans="1:23" customFormat="1">
      <c r="A1633" s="10"/>
      <c r="B1633" s="4"/>
      <c r="C1633" s="4"/>
      <c r="D1633" s="4"/>
      <c r="E1633" s="4"/>
      <c r="F1633" s="152" t="s">
        <v>372</v>
      </c>
      <c r="G1633" s="4" t="s">
        <v>309</v>
      </c>
      <c r="H1633" s="4"/>
      <c r="I1633" s="196">
        <v>-585000</v>
      </c>
      <c r="J1633" s="196">
        <v>-390</v>
      </c>
      <c r="K1633" s="196">
        <v>1500</v>
      </c>
      <c r="L1633" s="454" t="s">
        <v>1017</v>
      </c>
      <c r="M1633" s="4" t="s">
        <v>780</v>
      </c>
      <c r="N1633" s="133" t="s">
        <v>1407</v>
      </c>
      <c r="O1633" s="4" t="s">
        <v>1946</v>
      </c>
      <c r="P1633" s="4" t="s">
        <v>892</v>
      </c>
      <c r="Q1633" s="4" t="s">
        <v>1947</v>
      </c>
      <c r="R1633" s="4" t="s">
        <v>1991</v>
      </c>
      <c r="S1633" s="4" t="s">
        <v>1949</v>
      </c>
      <c r="T1633" s="4" t="s">
        <v>786</v>
      </c>
      <c r="U1633" s="4"/>
      <c r="V1633" s="4"/>
      <c r="W1633" s="4"/>
    </row>
    <row r="1634" spans="1:23" customFormat="1">
      <c r="A1634" s="10"/>
      <c r="B1634" s="4"/>
      <c r="C1634" s="4"/>
      <c r="D1634" s="4"/>
      <c r="E1634" s="4"/>
      <c r="F1634" s="152" t="s">
        <v>372</v>
      </c>
      <c r="G1634" s="4" t="s">
        <v>309</v>
      </c>
      <c r="H1634" s="4"/>
      <c r="I1634" s="196">
        <v>-375000</v>
      </c>
      <c r="J1634" s="196">
        <v>-250</v>
      </c>
      <c r="K1634" s="196">
        <v>1500</v>
      </c>
      <c r="L1634" s="454" t="s">
        <v>1017</v>
      </c>
      <c r="M1634" s="4" t="s">
        <v>780</v>
      </c>
      <c r="N1634" s="133" t="s">
        <v>1407</v>
      </c>
      <c r="O1634" s="4" t="s">
        <v>1946</v>
      </c>
      <c r="P1634" s="4" t="s">
        <v>892</v>
      </c>
      <c r="Q1634" s="4" t="s">
        <v>1947</v>
      </c>
      <c r="R1634" s="4" t="s">
        <v>1984</v>
      </c>
      <c r="S1634" s="4" t="s">
        <v>1949</v>
      </c>
      <c r="T1634" s="4" t="s">
        <v>786</v>
      </c>
      <c r="U1634" s="4"/>
      <c r="V1634" s="4"/>
      <c r="W1634" s="4"/>
    </row>
    <row r="1635" spans="1:23" customFormat="1">
      <c r="A1635" s="10"/>
      <c r="B1635" s="4"/>
      <c r="C1635" s="4"/>
      <c r="D1635" s="4"/>
      <c r="E1635" s="4"/>
      <c r="F1635" s="152" t="s">
        <v>372</v>
      </c>
      <c r="G1635" s="4" t="s">
        <v>309</v>
      </c>
      <c r="H1635" s="4"/>
      <c r="I1635" s="196">
        <v>-750000</v>
      </c>
      <c r="J1635" s="196">
        <v>-500</v>
      </c>
      <c r="K1635" s="196">
        <v>1500</v>
      </c>
      <c r="L1635" s="454" t="s">
        <v>1017</v>
      </c>
      <c r="M1635" s="4" t="s">
        <v>780</v>
      </c>
      <c r="N1635" s="133" t="s">
        <v>1407</v>
      </c>
      <c r="O1635" s="4" t="s">
        <v>1946</v>
      </c>
      <c r="P1635" s="4" t="s">
        <v>892</v>
      </c>
      <c r="Q1635" s="4" t="s">
        <v>1947</v>
      </c>
      <c r="R1635" s="4" t="s">
        <v>1968</v>
      </c>
      <c r="S1635" s="4" t="s">
        <v>1949</v>
      </c>
      <c r="T1635" s="4" t="s">
        <v>786</v>
      </c>
      <c r="U1635" s="4"/>
      <c r="V1635" s="4"/>
      <c r="W1635" s="4"/>
    </row>
    <row r="1636" spans="1:23" customFormat="1">
      <c r="A1636" s="10"/>
      <c r="B1636" s="4"/>
      <c r="C1636" s="4"/>
      <c r="D1636" s="4"/>
      <c r="E1636" s="4"/>
      <c r="F1636" s="152" t="s">
        <v>372</v>
      </c>
      <c r="G1636" s="4" t="s">
        <v>309</v>
      </c>
      <c r="H1636" s="4"/>
      <c r="I1636" s="196">
        <v>-603000</v>
      </c>
      <c r="J1636" s="196">
        <v>-402</v>
      </c>
      <c r="K1636" s="196">
        <v>1500</v>
      </c>
      <c r="L1636" s="454" t="s">
        <v>1017</v>
      </c>
      <c r="M1636" s="4" t="s">
        <v>780</v>
      </c>
      <c r="N1636" s="133" t="s">
        <v>1407</v>
      </c>
      <c r="O1636" s="4" t="s">
        <v>1946</v>
      </c>
      <c r="P1636" s="4" t="s">
        <v>892</v>
      </c>
      <c r="Q1636" s="4" t="s">
        <v>1947</v>
      </c>
      <c r="R1636" s="4" t="s">
        <v>1970</v>
      </c>
      <c r="S1636" s="4" t="s">
        <v>1949</v>
      </c>
      <c r="T1636" s="4" t="s">
        <v>786</v>
      </c>
      <c r="U1636" s="4"/>
      <c r="V1636" s="4"/>
      <c r="W1636" s="4"/>
    </row>
    <row r="1637" spans="1:23" customFormat="1">
      <c r="A1637" s="10"/>
      <c r="B1637" s="4"/>
      <c r="C1637" s="4"/>
      <c r="D1637" s="4"/>
      <c r="E1637" s="4"/>
      <c r="F1637" s="152" t="s">
        <v>372</v>
      </c>
      <c r="G1637" s="4" t="s">
        <v>309</v>
      </c>
      <c r="H1637" s="4"/>
      <c r="I1637" s="196">
        <v>-8310</v>
      </c>
      <c r="J1637" s="196">
        <v>-5.54</v>
      </c>
      <c r="K1637" s="196">
        <v>1500</v>
      </c>
      <c r="L1637" s="454" t="s">
        <v>1017</v>
      </c>
      <c r="M1637" s="4" t="s">
        <v>780</v>
      </c>
      <c r="N1637" s="133" t="s">
        <v>1407</v>
      </c>
      <c r="O1637" s="4" t="s">
        <v>1946</v>
      </c>
      <c r="P1637" s="4" t="s">
        <v>892</v>
      </c>
      <c r="Q1637" s="4" t="s">
        <v>1947</v>
      </c>
      <c r="R1637" s="4" t="s">
        <v>1972</v>
      </c>
      <c r="S1637" s="4" t="s">
        <v>1949</v>
      </c>
      <c r="T1637" s="4" t="s">
        <v>786</v>
      </c>
      <c r="U1637" s="4"/>
      <c r="V1637" s="4"/>
      <c r="W1637" s="4"/>
    </row>
    <row r="1638" spans="1:23" customFormat="1">
      <c r="A1638" s="10"/>
      <c r="B1638" s="4"/>
      <c r="C1638" s="4"/>
      <c r="D1638" s="4"/>
      <c r="E1638" s="4"/>
      <c r="F1638" s="152" t="s">
        <v>372</v>
      </c>
      <c r="G1638" s="4" t="s">
        <v>309</v>
      </c>
      <c r="H1638" s="4"/>
      <c r="I1638" s="196">
        <v>-117090</v>
      </c>
      <c r="J1638" s="196">
        <v>-78.06</v>
      </c>
      <c r="K1638" s="196">
        <v>1500</v>
      </c>
      <c r="L1638" s="454" t="s">
        <v>1017</v>
      </c>
      <c r="M1638" s="4" t="s">
        <v>780</v>
      </c>
      <c r="N1638" s="133" t="s">
        <v>1407</v>
      </c>
      <c r="O1638" s="4" t="s">
        <v>1946</v>
      </c>
      <c r="P1638" s="4" t="s">
        <v>892</v>
      </c>
      <c r="Q1638" s="4" t="s">
        <v>1947</v>
      </c>
      <c r="R1638" s="4" t="s">
        <v>1975</v>
      </c>
      <c r="S1638" s="4" t="s">
        <v>1949</v>
      </c>
      <c r="T1638" s="4" t="s">
        <v>786</v>
      </c>
      <c r="U1638" s="4"/>
      <c r="V1638" s="4"/>
      <c r="W1638" s="4"/>
    </row>
    <row r="1639" spans="1:23" customFormat="1">
      <c r="A1639" s="10"/>
      <c r="B1639" s="4"/>
      <c r="C1639" s="4"/>
      <c r="D1639" s="4"/>
      <c r="E1639" s="4"/>
      <c r="F1639" s="152" t="s">
        <v>372</v>
      </c>
      <c r="G1639" s="4" t="s">
        <v>309</v>
      </c>
      <c r="H1639" s="4"/>
      <c r="I1639" s="196">
        <v>-30900</v>
      </c>
      <c r="J1639" s="196">
        <v>-20.6</v>
      </c>
      <c r="K1639" s="196">
        <v>1500</v>
      </c>
      <c r="L1639" s="454" t="s">
        <v>1017</v>
      </c>
      <c r="M1639" s="4" t="s">
        <v>780</v>
      </c>
      <c r="N1639" s="133" t="s">
        <v>1407</v>
      </c>
      <c r="O1639" s="4" t="s">
        <v>1946</v>
      </c>
      <c r="P1639" s="4" t="s">
        <v>892</v>
      </c>
      <c r="Q1639" s="4" t="s">
        <v>1947</v>
      </c>
      <c r="R1639" s="4" t="s">
        <v>1961</v>
      </c>
      <c r="S1639" s="4" t="s">
        <v>1949</v>
      </c>
      <c r="T1639" s="4" t="s">
        <v>786</v>
      </c>
      <c r="U1639" s="4"/>
      <c r="V1639" s="4"/>
      <c r="W1639" s="4"/>
    </row>
    <row r="1640" spans="1:23" customFormat="1">
      <c r="A1640" s="10"/>
      <c r="B1640" s="4"/>
      <c r="C1640" s="4"/>
      <c r="D1640" s="4"/>
      <c r="E1640" s="4"/>
      <c r="F1640" s="152" t="s">
        <v>372</v>
      </c>
      <c r="G1640" s="4" t="s">
        <v>309</v>
      </c>
      <c r="H1640" s="4"/>
      <c r="I1640" s="196">
        <v>-566745</v>
      </c>
      <c r="J1640" s="196">
        <v>-377.83</v>
      </c>
      <c r="K1640" s="196">
        <v>1500</v>
      </c>
      <c r="L1640" s="454" t="s">
        <v>1017</v>
      </c>
      <c r="M1640" s="4" t="s">
        <v>780</v>
      </c>
      <c r="N1640" s="133" t="s">
        <v>1407</v>
      </c>
      <c r="O1640" s="4" t="s">
        <v>1946</v>
      </c>
      <c r="P1640" s="4" t="s">
        <v>892</v>
      </c>
      <c r="Q1640" s="4" t="s">
        <v>1947</v>
      </c>
      <c r="R1640" s="4" t="s">
        <v>1977</v>
      </c>
      <c r="S1640" s="4" t="s">
        <v>1949</v>
      </c>
      <c r="T1640" s="4" t="s">
        <v>786</v>
      </c>
      <c r="U1640" s="4"/>
      <c r="V1640" s="4"/>
      <c r="W1640" s="4"/>
    </row>
    <row r="1641" spans="1:23" customFormat="1">
      <c r="A1641" s="10"/>
      <c r="B1641" s="4"/>
      <c r="C1641" s="4"/>
      <c r="D1641" s="4"/>
      <c r="E1641" s="4"/>
      <c r="F1641" s="152" t="s">
        <v>372</v>
      </c>
      <c r="G1641" s="4" t="s">
        <v>309</v>
      </c>
      <c r="H1641" s="4"/>
      <c r="I1641" s="196">
        <v>-655395</v>
      </c>
      <c r="J1641" s="196">
        <v>-436.93</v>
      </c>
      <c r="K1641" s="196">
        <v>1500</v>
      </c>
      <c r="L1641" s="454" t="s">
        <v>1017</v>
      </c>
      <c r="M1641" s="4" t="s">
        <v>780</v>
      </c>
      <c r="N1641" s="133" t="s">
        <v>1407</v>
      </c>
      <c r="O1641" s="4" t="s">
        <v>1946</v>
      </c>
      <c r="P1641" s="4" t="s">
        <v>892</v>
      </c>
      <c r="Q1641" s="4" t="s">
        <v>1947</v>
      </c>
      <c r="R1641" s="4" t="s">
        <v>1962</v>
      </c>
      <c r="S1641" s="4" t="s">
        <v>1949</v>
      </c>
      <c r="T1641" s="4" t="s">
        <v>786</v>
      </c>
      <c r="U1641" s="4"/>
      <c r="V1641" s="4"/>
      <c r="W1641" s="4"/>
    </row>
    <row r="1642" spans="1:23" customFormat="1">
      <c r="A1642" s="10"/>
      <c r="B1642" s="4"/>
      <c r="C1642" s="4"/>
      <c r="D1642" s="4"/>
      <c r="E1642" s="4"/>
      <c r="F1642" s="152" t="s">
        <v>372</v>
      </c>
      <c r="G1642" s="4" t="s">
        <v>309</v>
      </c>
      <c r="H1642" s="4"/>
      <c r="I1642" s="196">
        <v>-7560</v>
      </c>
      <c r="J1642" s="196">
        <v>-5.04</v>
      </c>
      <c r="K1642" s="196">
        <v>1500</v>
      </c>
      <c r="L1642" s="454" t="s">
        <v>1017</v>
      </c>
      <c r="M1642" s="4" t="s">
        <v>780</v>
      </c>
      <c r="N1642" s="133" t="s">
        <v>1407</v>
      </c>
      <c r="O1642" s="4" t="s">
        <v>1946</v>
      </c>
      <c r="P1642" s="4" t="s">
        <v>892</v>
      </c>
      <c r="Q1642" s="4" t="s">
        <v>1947</v>
      </c>
      <c r="R1642" s="4" t="s">
        <v>1957</v>
      </c>
      <c r="S1642" s="4" t="s">
        <v>1949</v>
      </c>
      <c r="T1642" s="4" t="s">
        <v>786</v>
      </c>
      <c r="U1642" s="4"/>
      <c r="V1642" s="4"/>
      <c r="W1642" s="4"/>
    </row>
    <row r="1643" spans="1:23" customFormat="1">
      <c r="A1643" s="10"/>
      <c r="B1643" s="4"/>
      <c r="C1643" s="4"/>
      <c r="D1643" s="4"/>
      <c r="E1643" s="4"/>
      <c r="F1643" s="152" t="s">
        <v>372</v>
      </c>
      <c r="G1643" s="4" t="s">
        <v>309</v>
      </c>
      <c r="H1643" s="4"/>
      <c r="I1643" s="196">
        <v>-16245</v>
      </c>
      <c r="J1643" s="196">
        <v>-10.83</v>
      </c>
      <c r="K1643" s="196">
        <v>1500</v>
      </c>
      <c r="L1643" s="454" t="s">
        <v>1017</v>
      </c>
      <c r="M1643" s="4" t="s">
        <v>780</v>
      </c>
      <c r="N1643" s="133" t="s">
        <v>1407</v>
      </c>
      <c r="O1643" s="4" t="s">
        <v>1946</v>
      </c>
      <c r="P1643" s="4" t="s">
        <v>892</v>
      </c>
      <c r="Q1643" s="4" t="s">
        <v>1947</v>
      </c>
      <c r="R1643" s="4" t="s">
        <v>1974</v>
      </c>
      <c r="S1643" s="4" t="s">
        <v>1949</v>
      </c>
      <c r="T1643" s="4" t="s">
        <v>786</v>
      </c>
      <c r="U1643" s="4"/>
      <c r="V1643" s="4"/>
      <c r="W1643" s="4"/>
    </row>
    <row r="1644" spans="1:23" customFormat="1">
      <c r="A1644" s="10"/>
      <c r="B1644" s="4"/>
      <c r="C1644" s="4"/>
      <c r="D1644" s="4"/>
      <c r="E1644" s="4"/>
      <c r="F1644" s="152" t="s">
        <v>372</v>
      </c>
      <c r="G1644" s="4" t="s">
        <v>309</v>
      </c>
      <c r="H1644" s="4"/>
      <c r="I1644" s="196">
        <v>-17010</v>
      </c>
      <c r="J1644" s="196">
        <v>-11.34</v>
      </c>
      <c r="K1644" s="196">
        <v>1500</v>
      </c>
      <c r="L1644" s="454" t="s">
        <v>1017</v>
      </c>
      <c r="M1644" s="4" t="s">
        <v>780</v>
      </c>
      <c r="N1644" s="133" t="s">
        <v>1407</v>
      </c>
      <c r="O1644" s="4" t="s">
        <v>1946</v>
      </c>
      <c r="P1644" s="4" t="s">
        <v>892</v>
      </c>
      <c r="Q1644" s="4" t="s">
        <v>1947</v>
      </c>
      <c r="R1644" s="4" t="s">
        <v>1955</v>
      </c>
      <c r="S1644" s="4" t="s">
        <v>1949</v>
      </c>
      <c r="T1644" s="4" t="s">
        <v>786</v>
      </c>
      <c r="U1644" s="4"/>
      <c r="V1644" s="4"/>
      <c r="W1644" s="4"/>
    </row>
    <row r="1645" spans="1:23" customFormat="1">
      <c r="A1645" s="10"/>
      <c r="B1645" s="4"/>
      <c r="C1645" s="4"/>
      <c r="D1645" s="4"/>
      <c r="E1645" s="4"/>
      <c r="F1645" s="152" t="s">
        <v>372</v>
      </c>
      <c r="G1645" s="4" t="s">
        <v>309</v>
      </c>
      <c r="H1645" s="4"/>
      <c r="I1645" s="196">
        <v>-38535</v>
      </c>
      <c r="J1645" s="196">
        <v>-25.69</v>
      </c>
      <c r="K1645" s="196">
        <v>1500</v>
      </c>
      <c r="L1645" s="454" t="s">
        <v>1017</v>
      </c>
      <c r="M1645" s="4" t="s">
        <v>780</v>
      </c>
      <c r="N1645" s="133" t="s">
        <v>1407</v>
      </c>
      <c r="O1645" s="4" t="s">
        <v>1946</v>
      </c>
      <c r="P1645" s="4" t="s">
        <v>892</v>
      </c>
      <c r="Q1645" s="4" t="s">
        <v>1947</v>
      </c>
      <c r="R1645" s="4" t="s">
        <v>1982</v>
      </c>
      <c r="S1645" s="4" t="s">
        <v>1949</v>
      </c>
      <c r="T1645" s="4" t="s">
        <v>786</v>
      </c>
      <c r="U1645" s="4"/>
      <c r="V1645" s="4"/>
      <c r="W1645" s="4"/>
    </row>
    <row r="1646" spans="1:23" customFormat="1">
      <c r="A1646" s="10"/>
      <c r="B1646" s="4"/>
      <c r="C1646" s="4"/>
      <c r="D1646" s="4"/>
      <c r="E1646" s="4"/>
      <c r="F1646" s="152" t="s">
        <v>372</v>
      </c>
      <c r="G1646" s="4" t="s">
        <v>309</v>
      </c>
      <c r="H1646" s="4"/>
      <c r="I1646" s="196">
        <v>-137160</v>
      </c>
      <c r="J1646" s="196">
        <v>-91.44</v>
      </c>
      <c r="K1646" s="196">
        <v>1500</v>
      </c>
      <c r="L1646" s="454" t="s">
        <v>1017</v>
      </c>
      <c r="M1646" s="4" t="s">
        <v>780</v>
      </c>
      <c r="N1646" s="133" t="s">
        <v>1407</v>
      </c>
      <c r="O1646" s="4" t="s">
        <v>1946</v>
      </c>
      <c r="P1646" s="4" t="s">
        <v>892</v>
      </c>
      <c r="Q1646" s="4" t="s">
        <v>1947</v>
      </c>
      <c r="R1646" s="4" t="s">
        <v>1973</v>
      </c>
      <c r="S1646" s="4" t="s">
        <v>1949</v>
      </c>
      <c r="T1646" s="4" t="s">
        <v>786</v>
      </c>
      <c r="U1646" s="4"/>
      <c r="V1646" s="4"/>
      <c r="W1646" s="4"/>
    </row>
    <row r="1647" spans="1:23" customFormat="1">
      <c r="A1647" s="10"/>
      <c r="B1647" s="4"/>
      <c r="C1647" s="4"/>
      <c r="D1647" s="4"/>
      <c r="E1647" s="4"/>
      <c r="F1647" s="152" t="s">
        <v>372</v>
      </c>
      <c r="G1647" s="4" t="s">
        <v>309</v>
      </c>
      <c r="H1647" s="4"/>
      <c r="I1647" s="196">
        <v>-18885</v>
      </c>
      <c r="J1647" s="196">
        <v>-12.59</v>
      </c>
      <c r="K1647" s="196">
        <v>1500</v>
      </c>
      <c r="L1647" s="454" t="s">
        <v>1017</v>
      </c>
      <c r="M1647" s="4" t="s">
        <v>780</v>
      </c>
      <c r="N1647" s="133" t="s">
        <v>1407</v>
      </c>
      <c r="O1647" s="4" t="s">
        <v>1946</v>
      </c>
      <c r="P1647" s="4" t="s">
        <v>892</v>
      </c>
      <c r="Q1647" s="4" t="s">
        <v>1947</v>
      </c>
      <c r="R1647" s="4" t="s">
        <v>1971</v>
      </c>
      <c r="S1647" s="4" t="s">
        <v>1949</v>
      </c>
      <c r="T1647" s="4" t="s">
        <v>786</v>
      </c>
      <c r="U1647" s="4"/>
      <c r="V1647" s="4"/>
      <c r="W1647" s="4"/>
    </row>
    <row r="1648" spans="1:23" customFormat="1">
      <c r="A1648" s="10"/>
      <c r="B1648" s="4"/>
      <c r="C1648" s="4"/>
      <c r="D1648" s="4"/>
      <c r="E1648" s="4"/>
      <c r="F1648" s="152" t="s">
        <v>372</v>
      </c>
      <c r="G1648" s="4" t="s">
        <v>309</v>
      </c>
      <c r="H1648" s="4"/>
      <c r="I1648" s="196">
        <v>-12990</v>
      </c>
      <c r="J1648" s="196">
        <v>-8.66</v>
      </c>
      <c r="K1648" s="196">
        <v>1500</v>
      </c>
      <c r="L1648" s="454" t="s">
        <v>1017</v>
      </c>
      <c r="M1648" s="4" t="s">
        <v>780</v>
      </c>
      <c r="N1648" s="133" t="s">
        <v>1407</v>
      </c>
      <c r="O1648" s="4" t="s">
        <v>1946</v>
      </c>
      <c r="P1648" s="4" t="s">
        <v>892</v>
      </c>
      <c r="Q1648" s="4" t="s">
        <v>1947</v>
      </c>
      <c r="R1648" s="4" t="s">
        <v>1979</v>
      </c>
      <c r="S1648" s="4" t="s">
        <v>1949</v>
      </c>
      <c r="T1648" s="4" t="s">
        <v>786</v>
      </c>
      <c r="U1648" s="4"/>
      <c r="V1648" s="4"/>
      <c r="W1648" s="4"/>
    </row>
    <row r="1649" spans="1:23" customFormat="1">
      <c r="A1649" s="10"/>
      <c r="B1649" s="4"/>
      <c r="C1649" s="4"/>
      <c r="D1649" s="4"/>
      <c r="E1649" s="4"/>
      <c r="F1649" s="152" t="s">
        <v>372</v>
      </c>
      <c r="G1649" s="4" t="s">
        <v>309</v>
      </c>
      <c r="H1649" s="4"/>
      <c r="I1649" s="196">
        <v>-113385</v>
      </c>
      <c r="J1649" s="196">
        <v>-75.59</v>
      </c>
      <c r="K1649" s="196">
        <v>1500</v>
      </c>
      <c r="L1649" s="454" t="s">
        <v>1017</v>
      </c>
      <c r="M1649" s="4" t="s">
        <v>780</v>
      </c>
      <c r="N1649" s="133" t="s">
        <v>1407</v>
      </c>
      <c r="O1649" s="4" t="s">
        <v>1946</v>
      </c>
      <c r="P1649" s="4" t="s">
        <v>892</v>
      </c>
      <c r="Q1649" s="4" t="s">
        <v>1947</v>
      </c>
      <c r="R1649" s="4" t="s">
        <v>1980</v>
      </c>
      <c r="S1649" s="4" t="s">
        <v>1949</v>
      </c>
      <c r="T1649" s="4" t="s">
        <v>786</v>
      </c>
      <c r="U1649" s="4"/>
      <c r="V1649" s="4"/>
      <c r="W1649" s="4"/>
    </row>
    <row r="1650" spans="1:23" customFormat="1">
      <c r="A1650" s="10"/>
      <c r="B1650" s="4"/>
      <c r="C1650" s="4"/>
      <c r="D1650" s="4"/>
      <c r="E1650" s="4"/>
      <c r="F1650" s="152" t="s">
        <v>372</v>
      </c>
      <c r="G1650" s="4" t="s">
        <v>309</v>
      </c>
      <c r="H1650" s="4"/>
      <c r="I1650" s="196">
        <v>-49350</v>
      </c>
      <c r="J1650" s="196">
        <v>-32.9</v>
      </c>
      <c r="K1650" s="196">
        <v>1500</v>
      </c>
      <c r="L1650" s="454" t="s">
        <v>1017</v>
      </c>
      <c r="M1650" s="4" t="s">
        <v>780</v>
      </c>
      <c r="N1650" s="133" t="s">
        <v>1407</v>
      </c>
      <c r="O1650" s="4" t="s">
        <v>1946</v>
      </c>
      <c r="P1650" s="4" t="s">
        <v>892</v>
      </c>
      <c r="Q1650" s="4" t="s">
        <v>1947</v>
      </c>
      <c r="R1650" s="4" t="s">
        <v>1983</v>
      </c>
      <c r="S1650" s="4" t="s">
        <v>1949</v>
      </c>
      <c r="T1650" s="4" t="s">
        <v>786</v>
      </c>
      <c r="U1650" s="4"/>
      <c r="V1650" s="4"/>
      <c r="W1650" s="4"/>
    </row>
    <row r="1651" spans="1:23" customFormat="1">
      <c r="A1651" s="10"/>
      <c r="B1651" s="4"/>
      <c r="C1651" s="4"/>
      <c r="D1651" s="4"/>
      <c r="E1651" s="4"/>
      <c r="F1651" s="152" t="s">
        <v>372</v>
      </c>
      <c r="G1651" s="4" t="s">
        <v>309</v>
      </c>
      <c r="H1651" s="4"/>
      <c r="I1651" s="196">
        <v>-103050</v>
      </c>
      <c r="J1651" s="196">
        <v>-68.7</v>
      </c>
      <c r="K1651" s="196">
        <v>1500</v>
      </c>
      <c r="L1651" s="454" t="s">
        <v>1017</v>
      </c>
      <c r="M1651" s="4" t="s">
        <v>780</v>
      </c>
      <c r="N1651" s="133" t="s">
        <v>1407</v>
      </c>
      <c r="O1651" s="4" t="s">
        <v>1946</v>
      </c>
      <c r="P1651" s="4" t="s">
        <v>892</v>
      </c>
      <c r="Q1651" s="4" t="s">
        <v>1947</v>
      </c>
      <c r="R1651" s="4" t="s">
        <v>1959</v>
      </c>
      <c r="S1651" s="4" t="s">
        <v>1949</v>
      </c>
      <c r="T1651" s="4" t="s">
        <v>786</v>
      </c>
      <c r="U1651" s="4"/>
      <c r="V1651" s="4"/>
      <c r="W1651" s="4"/>
    </row>
    <row r="1652" spans="1:23" customFormat="1">
      <c r="A1652" s="10"/>
      <c r="B1652" s="4"/>
      <c r="C1652" s="4"/>
      <c r="D1652" s="4"/>
      <c r="E1652" s="4"/>
      <c r="F1652" s="152" t="s">
        <v>372</v>
      </c>
      <c r="G1652" s="4" t="s">
        <v>309</v>
      </c>
      <c r="H1652" s="4"/>
      <c r="I1652" s="196">
        <v>1800000</v>
      </c>
      <c r="J1652" s="196">
        <v>1200</v>
      </c>
      <c r="K1652" s="196">
        <v>1500</v>
      </c>
      <c r="L1652" s="454" t="s">
        <v>2019</v>
      </c>
      <c r="M1652" s="4" t="s">
        <v>780</v>
      </c>
      <c r="N1652" s="133" t="s">
        <v>1407</v>
      </c>
      <c r="O1652" s="4" t="s">
        <v>2020</v>
      </c>
      <c r="P1652" s="4" t="s">
        <v>892</v>
      </c>
      <c r="Q1652" s="4" t="s">
        <v>2021</v>
      </c>
      <c r="R1652" s="4" t="s">
        <v>2022</v>
      </c>
      <c r="S1652" s="4" t="s">
        <v>2023</v>
      </c>
      <c r="T1652" s="4" t="s">
        <v>786</v>
      </c>
      <c r="U1652" s="4"/>
      <c r="V1652" s="4"/>
      <c r="W1652" s="4"/>
    </row>
    <row r="1653" spans="1:23" customFormat="1">
      <c r="A1653" s="10"/>
      <c r="B1653" s="4"/>
      <c r="C1653" s="4"/>
      <c r="D1653" s="4"/>
      <c r="E1653" s="4"/>
      <c r="F1653" s="152" t="s">
        <v>372</v>
      </c>
      <c r="G1653" s="4" t="s">
        <v>309</v>
      </c>
      <c r="H1653" s="4"/>
      <c r="I1653" s="196">
        <v>37500</v>
      </c>
      <c r="J1653" s="196">
        <v>25</v>
      </c>
      <c r="K1653" s="196">
        <v>1500</v>
      </c>
      <c r="L1653" s="454" t="s">
        <v>1305</v>
      </c>
      <c r="M1653" s="4" t="s">
        <v>1540</v>
      </c>
      <c r="N1653" s="133" t="s">
        <v>1407</v>
      </c>
      <c r="O1653" s="4" t="s">
        <v>2028</v>
      </c>
      <c r="P1653" s="4" t="s">
        <v>1832</v>
      </c>
      <c r="Q1653" s="4" t="s">
        <v>2029</v>
      </c>
      <c r="R1653" s="4"/>
      <c r="S1653" s="4" t="s">
        <v>2030</v>
      </c>
      <c r="T1653" s="4" t="s">
        <v>786</v>
      </c>
      <c r="U1653" s="4"/>
      <c r="V1653" s="4"/>
      <c r="W1653" s="4"/>
    </row>
    <row r="1654" spans="1:23" customFormat="1">
      <c r="A1654" s="10"/>
      <c r="B1654" s="4"/>
      <c r="C1654" s="4"/>
      <c r="D1654" s="4"/>
      <c r="E1654" s="4"/>
      <c r="F1654" s="152" t="s">
        <v>372</v>
      </c>
      <c r="G1654" s="4" t="s">
        <v>309</v>
      </c>
      <c r="H1654" s="4"/>
      <c r="I1654" s="196">
        <v>37500</v>
      </c>
      <c r="J1654" s="196">
        <v>25</v>
      </c>
      <c r="K1654" s="196">
        <v>1500</v>
      </c>
      <c r="L1654" s="454" t="s">
        <v>1017</v>
      </c>
      <c r="M1654" s="4" t="s">
        <v>1540</v>
      </c>
      <c r="N1654" s="133" t="s">
        <v>1407</v>
      </c>
      <c r="O1654" s="4" t="s">
        <v>2031</v>
      </c>
      <c r="P1654" s="4" t="s">
        <v>1832</v>
      </c>
      <c r="Q1654" s="4" t="s">
        <v>2032</v>
      </c>
      <c r="R1654" s="4"/>
      <c r="S1654" s="4" t="s">
        <v>2033</v>
      </c>
      <c r="T1654" s="4" t="s">
        <v>786</v>
      </c>
      <c r="U1654" s="4"/>
      <c r="V1654" s="4"/>
      <c r="W1654" s="4"/>
    </row>
    <row r="1655" spans="1:23" customFormat="1">
      <c r="A1655" s="10"/>
      <c r="B1655" s="4"/>
      <c r="C1655" s="4"/>
      <c r="D1655" s="4"/>
      <c r="E1655" s="4"/>
      <c r="F1655" s="152" t="s">
        <v>372</v>
      </c>
      <c r="G1655" s="4" t="s">
        <v>309</v>
      </c>
      <c r="H1655" s="4"/>
      <c r="I1655" s="196">
        <v>1515000</v>
      </c>
      <c r="J1655" s="196">
        <v>1010</v>
      </c>
      <c r="K1655" s="196">
        <v>1500</v>
      </c>
      <c r="L1655" s="454" t="s">
        <v>1017</v>
      </c>
      <c r="M1655" s="4" t="s">
        <v>1540</v>
      </c>
      <c r="N1655" s="133" t="s">
        <v>1407</v>
      </c>
      <c r="O1655" s="4" t="s">
        <v>2034</v>
      </c>
      <c r="P1655" s="4" t="s">
        <v>1832</v>
      </c>
      <c r="Q1655" s="4" t="s">
        <v>2035</v>
      </c>
      <c r="R1655" s="4"/>
      <c r="S1655" s="4" t="s">
        <v>2036</v>
      </c>
      <c r="T1655" s="4" t="s">
        <v>786</v>
      </c>
      <c r="U1655" s="4"/>
      <c r="V1655" s="4"/>
      <c r="W1655" s="4"/>
    </row>
    <row r="1656" spans="1:23" customFormat="1">
      <c r="A1656" s="10"/>
      <c r="B1656" s="4"/>
      <c r="C1656" s="4"/>
      <c r="D1656" s="4"/>
      <c r="E1656" s="4"/>
      <c r="F1656" s="152" t="s">
        <v>372</v>
      </c>
      <c r="G1656" s="4" t="s">
        <v>309</v>
      </c>
      <c r="H1656" s="4"/>
      <c r="I1656" s="196">
        <v>3240000</v>
      </c>
      <c r="J1656" s="196">
        <v>2160</v>
      </c>
      <c r="K1656" s="196">
        <v>1500</v>
      </c>
      <c r="L1656" s="454" t="s">
        <v>1017</v>
      </c>
      <c r="M1656" s="4" t="s">
        <v>1540</v>
      </c>
      <c r="N1656" s="133" t="s">
        <v>1407</v>
      </c>
      <c r="O1656" s="4" t="s">
        <v>2037</v>
      </c>
      <c r="P1656" s="4" t="s">
        <v>1832</v>
      </c>
      <c r="Q1656" s="4" t="s">
        <v>2038</v>
      </c>
      <c r="R1656" s="4"/>
      <c r="S1656" s="4" t="s">
        <v>2039</v>
      </c>
      <c r="T1656" s="4" t="s">
        <v>786</v>
      </c>
      <c r="U1656" s="4"/>
      <c r="V1656" s="4"/>
      <c r="W1656" s="4"/>
    </row>
    <row r="1657" spans="1:23" customFormat="1">
      <c r="A1657" s="10"/>
      <c r="B1657" s="4"/>
      <c r="C1657" s="4"/>
      <c r="D1657" s="4"/>
      <c r="E1657" s="4"/>
      <c r="F1657" s="152" t="s">
        <v>372</v>
      </c>
      <c r="G1657" s="4" t="s">
        <v>309</v>
      </c>
      <c r="H1657" s="4"/>
      <c r="I1657" s="196">
        <v>2287500</v>
      </c>
      <c r="J1657" s="196">
        <v>1525</v>
      </c>
      <c r="K1657" s="196">
        <v>1500</v>
      </c>
      <c r="L1657" s="454" t="s">
        <v>1017</v>
      </c>
      <c r="M1657" s="4" t="s">
        <v>1540</v>
      </c>
      <c r="N1657" s="133" t="s">
        <v>1407</v>
      </c>
      <c r="O1657" s="4" t="s">
        <v>2040</v>
      </c>
      <c r="P1657" s="4" t="s">
        <v>1832</v>
      </c>
      <c r="Q1657" s="4" t="s">
        <v>2041</v>
      </c>
      <c r="R1657" s="4"/>
      <c r="S1657" s="4" t="s">
        <v>2042</v>
      </c>
      <c r="T1657" s="4" t="s">
        <v>786</v>
      </c>
      <c r="U1657" s="4"/>
      <c r="V1657" s="4"/>
      <c r="W1657" s="4"/>
    </row>
    <row r="1658" spans="1:23" customFormat="1">
      <c r="A1658" s="10"/>
      <c r="B1658" s="4"/>
      <c r="C1658" s="4"/>
      <c r="D1658" s="4"/>
      <c r="E1658" s="4"/>
      <c r="F1658" s="152" t="s">
        <v>372</v>
      </c>
      <c r="G1658" s="4" t="s">
        <v>309</v>
      </c>
      <c r="H1658" s="4"/>
      <c r="I1658" s="196">
        <v>825000</v>
      </c>
      <c r="J1658" s="196">
        <v>550</v>
      </c>
      <c r="K1658" s="196">
        <v>1500</v>
      </c>
      <c r="L1658" s="454" t="s">
        <v>1017</v>
      </c>
      <c r="M1658" s="4" t="s">
        <v>1540</v>
      </c>
      <c r="N1658" s="133" t="s">
        <v>1407</v>
      </c>
      <c r="O1658" s="4" t="s">
        <v>2043</v>
      </c>
      <c r="P1658" s="4" t="s">
        <v>1832</v>
      </c>
      <c r="Q1658" s="4" t="s">
        <v>2044</v>
      </c>
      <c r="R1658" s="4"/>
      <c r="S1658" s="4" t="s">
        <v>2045</v>
      </c>
      <c r="T1658" s="4" t="s">
        <v>786</v>
      </c>
      <c r="U1658" s="4"/>
      <c r="V1658" s="4"/>
      <c r="W1658" s="4"/>
    </row>
    <row r="1659" spans="1:23" customFormat="1">
      <c r="A1659" s="10"/>
      <c r="B1659" s="4"/>
      <c r="C1659" s="4"/>
      <c r="D1659" s="4"/>
      <c r="E1659" s="4"/>
      <c r="F1659" s="152" t="s">
        <v>372</v>
      </c>
      <c r="G1659" s="4" t="s">
        <v>309</v>
      </c>
      <c r="H1659" s="4"/>
      <c r="I1659" s="196">
        <v>90000</v>
      </c>
      <c r="J1659" s="196">
        <v>60</v>
      </c>
      <c r="K1659" s="196">
        <v>1500</v>
      </c>
      <c r="L1659" s="454" t="s">
        <v>1017</v>
      </c>
      <c r="M1659" s="4" t="s">
        <v>1540</v>
      </c>
      <c r="N1659" s="133" t="s">
        <v>1407</v>
      </c>
      <c r="O1659" s="4" t="s">
        <v>2046</v>
      </c>
      <c r="P1659" s="4" t="s">
        <v>1832</v>
      </c>
      <c r="Q1659" s="4" t="s">
        <v>2047</v>
      </c>
      <c r="R1659" s="4"/>
      <c r="S1659" s="4" t="s">
        <v>2048</v>
      </c>
      <c r="T1659" s="4" t="s">
        <v>786</v>
      </c>
      <c r="U1659" s="4"/>
      <c r="V1659" s="4"/>
      <c r="W1659" s="4"/>
    </row>
    <row r="1660" spans="1:23" customFormat="1">
      <c r="A1660" s="10"/>
      <c r="B1660" s="4"/>
      <c r="C1660" s="4"/>
      <c r="D1660" s="4"/>
      <c r="E1660" s="4"/>
      <c r="F1660" s="152" t="s">
        <v>372</v>
      </c>
      <c r="G1660" s="4" t="s">
        <v>309</v>
      </c>
      <c r="H1660" s="4"/>
      <c r="I1660" s="196">
        <v>75000</v>
      </c>
      <c r="J1660" s="196">
        <v>50</v>
      </c>
      <c r="K1660" s="196">
        <v>1500</v>
      </c>
      <c r="L1660" s="454" t="s">
        <v>1017</v>
      </c>
      <c r="M1660" s="4" t="s">
        <v>1540</v>
      </c>
      <c r="N1660" s="133" t="s">
        <v>1407</v>
      </c>
      <c r="O1660" s="4" t="s">
        <v>2049</v>
      </c>
      <c r="P1660" s="4" t="s">
        <v>1832</v>
      </c>
      <c r="Q1660" s="4" t="s">
        <v>2050</v>
      </c>
      <c r="R1660" s="4"/>
      <c r="S1660" s="4" t="s">
        <v>2051</v>
      </c>
      <c r="T1660" s="4" t="s">
        <v>786</v>
      </c>
      <c r="U1660" s="4"/>
      <c r="V1660" s="4"/>
      <c r="W1660" s="4"/>
    </row>
    <row r="1661" spans="1:23" customFormat="1">
      <c r="A1661" s="10"/>
      <c r="B1661" s="4"/>
      <c r="C1661" s="4"/>
      <c r="D1661" s="4"/>
      <c r="E1661" s="4"/>
      <c r="F1661" s="152" t="s">
        <v>372</v>
      </c>
      <c r="G1661" s="4" t="s">
        <v>309</v>
      </c>
      <c r="H1661" s="4"/>
      <c r="I1661" s="196">
        <v>-321150</v>
      </c>
      <c r="J1661" s="196">
        <v>-214.1</v>
      </c>
      <c r="K1661" s="196">
        <v>1500</v>
      </c>
      <c r="L1661" s="454" t="s">
        <v>1045</v>
      </c>
      <c r="M1661" s="4" t="s">
        <v>780</v>
      </c>
      <c r="N1661" s="133" t="s">
        <v>1407</v>
      </c>
      <c r="O1661" s="4" t="s">
        <v>2174</v>
      </c>
      <c r="P1661" s="4" t="s">
        <v>892</v>
      </c>
      <c r="Q1661" s="4" t="s">
        <v>2175</v>
      </c>
      <c r="R1661" s="4" t="s">
        <v>2176</v>
      </c>
      <c r="S1661" s="4" t="s">
        <v>2177</v>
      </c>
      <c r="T1661" s="4" t="s">
        <v>786</v>
      </c>
      <c r="U1661" s="4"/>
      <c r="V1661" s="4"/>
      <c r="W1661" s="4"/>
    </row>
    <row r="1662" spans="1:23" customFormat="1">
      <c r="A1662" s="10"/>
      <c r="B1662" s="4"/>
      <c r="C1662" s="4"/>
      <c r="D1662" s="4"/>
      <c r="E1662" s="4"/>
      <c r="F1662" s="152" t="s">
        <v>372</v>
      </c>
      <c r="G1662" s="4" t="s">
        <v>309</v>
      </c>
      <c r="H1662" s="4"/>
      <c r="I1662" s="196">
        <v>-80183.199999999997</v>
      </c>
      <c r="J1662" s="196">
        <v>-54.92</v>
      </c>
      <c r="K1662" s="196">
        <v>1460</v>
      </c>
      <c r="L1662" s="454" t="s">
        <v>1045</v>
      </c>
      <c r="M1662" s="4" t="s">
        <v>780</v>
      </c>
      <c r="N1662" s="133" t="s">
        <v>1407</v>
      </c>
      <c r="O1662" s="4" t="s">
        <v>2174</v>
      </c>
      <c r="P1662" s="4" t="s">
        <v>892</v>
      </c>
      <c r="Q1662" s="4" t="s">
        <v>2175</v>
      </c>
      <c r="R1662" s="4" t="s">
        <v>2178</v>
      </c>
      <c r="S1662" s="4" t="s">
        <v>2177</v>
      </c>
      <c r="T1662" s="4" t="s">
        <v>786</v>
      </c>
      <c r="U1662" s="4"/>
      <c r="V1662" s="4"/>
      <c r="W1662" s="4"/>
    </row>
    <row r="1663" spans="1:23" customFormat="1">
      <c r="A1663" s="10"/>
      <c r="B1663" s="4"/>
      <c r="C1663" s="4"/>
      <c r="D1663" s="4"/>
      <c r="E1663" s="4"/>
      <c r="F1663" s="152" t="s">
        <v>372</v>
      </c>
      <c r="G1663" s="4" t="s">
        <v>309</v>
      </c>
      <c r="H1663" s="4"/>
      <c r="I1663" s="196">
        <v>-204400</v>
      </c>
      <c r="J1663" s="196">
        <v>-140</v>
      </c>
      <c r="K1663" s="196">
        <v>1460</v>
      </c>
      <c r="L1663" s="454" t="s">
        <v>1045</v>
      </c>
      <c r="M1663" s="4" t="s">
        <v>780</v>
      </c>
      <c r="N1663" s="133" t="s">
        <v>1407</v>
      </c>
      <c r="O1663" s="4" t="s">
        <v>2174</v>
      </c>
      <c r="P1663" s="4" t="s">
        <v>892</v>
      </c>
      <c r="Q1663" s="4" t="s">
        <v>2175</v>
      </c>
      <c r="R1663" s="4" t="s">
        <v>2180</v>
      </c>
      <c r="S1663" s="4" t="s">
        <v>2177</v>
      </c>
      <c r="T1663" s="4" t="s">
        <v>786</v>
      </c>
      <c r="U1663" s="4"/>
      <c r="V1663" s="4"/>
      <c r="W1663" s="4"/>
    </row>
    <row r="1664" spans="1:23" customFormat="1">
      <c r="A1664" s="10"/>
      <c r="B1664" s="4"/>
      <c r="C1664" s="4"/>
      <c r="D1664" s="4"/>
      <c r="E1664" s="4"/>
      <c r="F1664" s="152" t="s">
        <v>372</v>
      </c>
      <c r="G1664" s="4" t="s">
        <v>309</v>
      </c>
      <c r="H1664" s="4"/>
      <c r="I1664" s="196">
        <v>-1193700</v>
      </c>
      <c r="J1664" s="196">
        <v>-795.8</v>
      </c>
      <c r="K1664" s="196">
        <v>1500</v>
      </c>
      <c r="L1664" s="454" t="s">
        <v>1045</v>
      </c>
      <c r="M1664" s="4" t="s">
        <v>780</v>
      </c>
      <c r="N1664" s="133" t="s">
        <v>1407</v>
      </c>
      <c r="O1664" s="4" t="s">
        <v>2174</v>
      </c>
      <c r="P1664" s="4" t="s">
        <v>892</v>
      </c>
      <c r="Q1664" s="4" t="s">
        <v>2175</v>
      </c>
      <c r="R1664" s="4" t="s">
        <v>2184</v>
      </c>
      <c r="S1664" s="4" t="s">
        <v>2177</v>
      </c>
      <c r="T1664" s="4" t="s">
        <v>786</v>
      </c>
      <c r="U1664" s="4"/>
      <c r="V1664" s="4"/>
      <c r="W1664" s="4"/>
    </row>
    <row r="1665" spans="1:23" customFormat="1">
      <c r="A1665" s="10"/>
      <c r="B1665" s="4"/>
      <c r="C1665" s="4"/>
      <c r="D1665" s="4"/>
      <c r="E1665" s="4"/>
      <c r="F1665" s="152" t="s">
        <v>372</v>
      </c>
      <c r="G1665" s="4" t="s">
        <v>309</v>
      </c>
      <c r="H1665" s="4"/>
      <c r="I1665" s="196">
        <v>-69270</v>
      </c>
      <c r="J1665" s="196">
        <v>-46.18</v>
      </c>
      <c r="K1665" s="196">
        <v>1500</v>
      </c>
      <c r="L1665" s="454" t="s">
        <v>1045</v>
      </c>
      <c r="M1665" s="4" t="s">
        <v>780</v>
      </c>
      <c r="N1665" s="133" t="s">
        <v>1407</v>
      </c>
      <c r="O1665" s="4" t="s">
        <v>2174</v>
      </c>
      <c r="P1665" s="4" t="s">
        <v>892</v>
      </c>
      <c r="Q1665" s="4" t="s">
        <v>2175</v>
      </c>
      <c r="R1665" s="4" t="s">
        <v>2182</v>
      </c>
      <c r="S1665" s="4" t="s">
        <v>2177</v>
      </c>
      <c r="T1665" s="4" t="s">
        <v>786</v>
      </c>
      <c r="U1665" s="4"/>
      <c r="V1665" s="4"/>
      <c r="W1665" s="4"/>
    </row>
    <row r="1666" spans="1:23" customFormat="1">
      <c r="A1666" s="10"/>
      <c r="B1666" s="4"/>
      <c r="C1666" s="4"/>
      <c r="D1666" s="4"/>
      <c r="E1666" s="4"/>
      <c r="F1666" s="152" t="s">
        <v>372</v>
      </c>
      <c r="G1666" s="4" t="s">
        <v>309</v>
      </c>
      <c r="H1666" s="4"/>
      <c r="I1666" s="196">
        <v>-58785</v>
      </c>
      <c r="J1666" s="196">
        <v>-39.19</v>
      </c>
      <c r="K1666" s="196">
        <v>1500</v>
      </c>
      <c r="L1666" s="454" t="s">
        <v>1045</v>
      </c>
      <c r="M1666" s="4" t="s">
        <v>780</v>
      </c>
      <c r="N1666" s="133" t="s">
        <v>1407</v>
      </c>
      <c r="O1666" s="4" t="s">
        <v>2174</v>
      </c>
      <c r="P1666" s="4" t="s">
        <v>892</v>
      </c>
      <c r="Q1666" s="4" t="s">
        <v>2175</v>
      </c>
      <c r="R1666" s="4" t="s">
        <v>2181</v>
      </c>
      <c r="S1666" s="4" t="s">
        <v>2177</v>
      </c>
      <c r="T1666" s="4" t="s">
        <v>786</v>
      </c>
      <c r="U1666" s="4"/>
      <c r="V1666" s="4"/>
      <c r="W1666" s="4"/>
    </row>
    <row r="1667" spans="1:23" customFormat="1">
      <c r="A1667" s="10"/>
      <c r="B1667" s="4"/>
      <c r="C1667" s="4"/>
      <c r="D1667" s="4"/>
      <c r="E1667" s="4"/>
      <c r="F1667" s="152" t="s">
        <v>372</v>
      </c>
      <c r="G1667" s="4" t="s">
        <v>309</v>
      </c>
      <c r="H1667" s="4"/>
      <c r="I1667" s="196">
        <v>-175200</v>
      </c>
      <c r="J1667" s="196">
        <v>-120</v>
      </c>
      <c r="K1667" s="196">
        <v>1460</v>
      </c>
      <c r="L1667" s="454" t="s">
        <v>1045</v>
      </c>
      <c r="M1667" s="4" t="s">
        <v>780</v>
      </c>
      <c r="N1667" s="133" t="s">
        <v>1407</v>
      </c>
      <c r="O1667" s="4" t="s">
        <v>2174</v>
      </c>
      <c r="P1667" s="4" t="s">
        <v>892</v>
      </c>
      <c r="Q1667" s="4" t="s">
        <v>2175</v>
      </c>
      <c r="R1667" s="4" t="s">
        <v>2183</v>
      </c>
      <c r="S1667" s="4" t="s">
        <v>2177</v>
      </c>
      <c r="T1667" s="4" t="s">
        <v>786</v>
      </c>
      <c r="U1667" s="4"/>
      <c r="V1667" s="4"/>
      <c r="W1667" s="4"/>
    </row>
    <row r="1668" spans="1:23" customFormat="1">
      <c r="A1668" s="10"/>
      <c r="B1668" s="4"/>
      <c r="C1668" s="4"/>
      <c r="D1668" s="4"/>
      <c r="E1668" s="4"/>
      <c r="F1668" s="152" t="s">
        <v>372</v>
      </c>
      <c r="G1668" s="4" t="s">
        <v>309</v>
      </c>
      <c r="H1668" s="4"/>
      <c r="I1668" s="196">
        <v>154760</v>
      </c>
      <c r="J1668" s="196">
        <v>106</v>
      </c>
      <c r="K1668" s="196">
        <v>1460</v>
      </c>
      <c r="L1668" s="454" t="s">
        <v>1045</v>
      </c>
      <c r="M1668" s="4" t="s">
        <v>780</v>
      </c>
      <c r="N1668" s="133" t="s">
        <v>1407</v>
      </c>
      <c r="O1668" s="4" t="s">
        <v>2239</v>
      </c>
      <c r="P1668" s="4" t="s">
        <v>892</v>
      </c>
      <c r="Q1668" s="4" t="s">
        <v>2240</v>
      </c>
      <c r="R1668" s="4"/>
      <c r="S1668" s="4" t="s">
        <v>2241</v>
      </c>
      <c r="T1668" s="4" t="s">
        <v>786</v>
      </c>
      <c r="U1668" s="4"/>
      <c r="V1668" s="4"/>
      <c r="W1668" s="4"/>
    </row>
    <row r="1669" spans="1:23" customFormat="1">
      <c r="A1669" s="10"/>
      <c r="B1669" s="4"/>
      <c r="C1669" s="4"/>
      <c r="D1669" s="4"/>
      <c r="E1669" s="4"/>
      <c r="F1669" s="152" t="s">
        <v>372</v>
      </c>
      <c r="G1669" s="4" t="s">
        <v>309</v>
      </c>
      <c r="H1669" s="4"/>
      <c r="I1669" s="196">
        <v>23214</v>
      </c>
      <c r="J1669" s="196">
        <v>15.9</v>
      </c>
      <c r="K1669" s="196">
        <v>1460</v>
      </c>
      <c r="L1669" s="454" t="s">
        <v>1049</v>
      </c>
      <c r="M1669" s="4" t="s">
        <v>780</v>
      </c>
      <c r="N1669" s="133" t="s">
        <v>1407</v>
      </c>
      <c r="O1669" s="4" t="s">
        <v>2252</v>
      </c>
      <c r="P1669" s="4" t="s">
        <v>892</v>
      </c>
      <c r="Q1669" s="4" t="s">
        <v>2253</v>
      </c>
      <c r="R1669" s="4" t="s">
        <v>2254</v>
      </c>
      <c r="S1669" s="4" t="s">
        <v>2255</v>
      </c>
      <c r="T1669" s="4" t="s">
        <v>786</v>
      </c>
      <c r="U1669" s="4"/>
      <c r="V1669" s="4"/>
      <c r="W1669" s="4"/>
    </row>
    <row r="1670" spans="1:23" customFormat="1">
      <c r="A1670" s="10"/>
      <c r="B1670" s="4"/>
      <c r="C1670" s="4"/>
      <c r="D1670" s="4"/>
      <c r="E1670" s="4"/>
      <c r="F1670" s="152" t="s">
        <v>372</v>
      </c>
      <c r="G1670" s="4" t="s">
        <v>309</v>
      </c>
      <c r="H1670" s="4"/>
      <c r="I1670" s="196">
        <v>-213184.6</v>
      </c>
      <c r="J1670" s="196">
        <v>-150.13</v>
      </c>
      <c r="K1670" s="196">
        <v>1420</v>
      </c>
      <c r="L1670" s="454" t="s">
        <v>1113</v>
      </c>
      <c r="M1670" s="4" t="s">
        <v>780</v>
      </c>
      <c r="N1670" s="133" t="s">
        <v>1407</v>
      </c>
      <c r="O1670" s="4" t="s">
        <v>1114</v>
      </c>
      <c r="P1670" s="4" t="s">
        <v>892</v>
      </c>
      <c r="Q1670" s="4" t="s">
        <v>1115</v>
      </c>
      <c r="R1670" s="4" t="s">
        <v>2372</v>
      </c>
      <c r="S1670" s="4" t="s">
        <v>1117</v>
      </c>
      <c r="T1670" s="4" t="s">
        <v>786</v>
      </c>
      <c r="U1670" s="4"/>
      <c r="V1670" s="4"/>
      <c r="W1670" s="4"/>
    </row>
    <row r="1671" spans="1:23" customFormat="1">
      <c r="A1671" s="10"/>
      <c r="B1671" s="4"/>
      <c r="C1671" s="4"/>
      <c r="D1671" s="4"/>
      <c r="E1671" s="4"/>
      <c r="F1671" s="152" t="s">
        <v>372</v>
      </c>
      <c r="G1671" s="4" t="s">
        <v>309</v>
      </c>
      <c r="H1671" s="4"/>
      <c r="I1671" s="196">
        <v>-134715.4</v>
      </c>
      <c r="J1671" s="196">
        <v>-94.87</v>
      </c>
      <c r="K1671" s="196">
        <v>1420</v>
      </c>
      <c r="L1671" s="454" t="s">
        <v>1113</v>
      </c>
      <c r="M1671" s="4" t="s">
        <v>780</v>
      </c>
      <c r="N1671" s="133" t="s">
        <v>1407</v>
      </c>
      <c r="O1671" s="4" t="s">
        <v>1114</v>
      </c>
      <c r="P1671" s="4" t="s">
        <v>892</v>
      </c>
      <c r="Q1671" s="4" t="s">
        <v>1115</v>
      </c>
      <c r="R1671" s="4" t="s">
        <v>2373</v>
      </c>
      <c r="S1671" s="4" t="s">
        <v>1117</v>
      </c>
      <c r="T1671" s="4" t="s">
        <v>786</v>
      </c>
      <c r="U1671" s="4"/>
      <c r="V1671" s="4"/>
      <c r="W1671" s="4"/>
    </row>
    <row r="1672" spans="1:23" customFormat="1">
      <c r="A1672" s="10"/>
      <c r="B1672" s="4"/>
      <c r="C1672" s="4"/>
      <c r="D1672" s="4"/>
      <c r="E1672" s="4"/>
      <c r="F1672" s="152" t="s">
        <v>372</v>
      </c>
      <c r="G1672" s="4" t="s">
        <v>309</v>
      </c>
      <c r="H1672" s="4"/>
      <c r="I1672" s="196">
        <v>-29124.2</v>
      </c>
      <c r="J1672" s="196">
        <v>-20.51</v>
      </c>
      <c r="K1672" s="196">
        <v>1420</v>
      </c>
      <c r="L1672" s="454" t="s">
        <v>1113</v>
      </c>
      <c r="M1672" s="4" t="s">
        <v>780</v>
      </c>
      <c r="N1672" s="133" t="s">
        <v>1407</v>
      </c>
      <c r="O1672" s="4" t="s">
        <v>1114</v>
      </c>
      <c r="P1672" s="4" t="s">
        <v>892</v>
      </c>
      <c r="Q1672" s="4" t="s">
        <v>1115</v>
      </c>
      <c r="R1672" s="4" t="s">
        <v>2374</v>
      </c>
      <c r="S1672" s="4" t="s">
        <v>1117</v>
      </c>
      <c r="T1672" s="4" t="s">
        <v>786</v>
      </c>
      <c r="U1672" s="4"/>
      <c r="V1672" s="4"/>
      <c r="W1672" s="4"/>
    </row>
    <row r="1673" spans="1:23" customFormat="1">
      <c r="A1673" s="10"/>
      <c r="B1673" s="4"/>
      <c r="C1673" s="4"/>
      <c r="D1673" s="4"/>
      <c r="E1673" s="4"/>
      <c r="F1673" s="152" t="s">
        <v>372</v>
      </c>
      <c r="G1673" s="4" t="s">
        <v>309</v>
      </c>
      <c r="H1673" s="4"/>
      <c r="I1673" s="196">
        <v>-83126.8</v>
      </c>
      <c r="J1673" s="196">
        <v>-58.54</v>
      </c>
      <c r="K1673" s="196">
        <v>1420</v>
      </c>
      <c r="L1673" s="454" t="s">
        <v>1113</v>
      </c>
      <c r="M1673" s="4" t="s">
        <v>780</v>
      </c>
      <c r="N1673" s="133" t="s">
        <v>1407</v>
      </c>
      <c r="O1673" s="4" t="s">
        <v>1114</v>
      </c>
      <c r="P1673" s="4" t="s">
        <v>892</v>
      </c>
      <c r="Q1673" s="4" t="s">
        <v>1115</v>
      </c>
      <c r="R1673" s="4" t="s">
        <v>2375</v>
      </c>
      <c r="S1673" s="4" t="s">
        <v>1117</v>
      </c>
      <c r="T1673" s="4" t="s">
        <v>786</v>
      </c>
      <c r="U1673" s="4"/>
      <c r="V1673" s="4"/>
      <c r="W1673" s="4"/>
    </row>
    <row r="1674" spans="1:23" customFormat="1">
      <c r="A1674" s="10"/>
      <c r="B1674" s="4"/>
      <c r="C1674" s="4"/>
      <c r="D1674" s="4"/>
      <c r="E1674" s="4"/>
      <c r="F1674" s="152" t="s">
        <v>372</v>
      </c>
      <c r="G1674" s="4" t="s">
        <v>309</v>
      </c>
      <c r="H1674" s="4"/>
      <c r="I1674" s="196">
        <v>-2141360</v>
      </c>
      <c r="J1674" s="196">
        <v>-1508</v>
      </c>
      <c r="K1674" s="196">
        <v>1420</v>
      </c>
      <c r="L1674" s="454" t="s">
        <v>1113</v>
      </c>
      <c r="M1674" s="4" t="s">
        <v>780</v>
      </c>
      <c r="N1674" s="133" t="s">
        <v>1407</v>
      </c>
      <c r="O1674" s="4" t="s">
        <v>1114</v>
      </c>
      <c r="P1674" s="4" t="s">
        <v>892</v>
      </c>
      <c r="Q1674" s="4" t="s">
        <v>1115</v>
      </c>
      <c r="R1674" s="4" t="s">
        <v>2376</v>
      </c>
      <c r="S1674" s="4" t="s">
        <v>1117</v>
      </c>
      <c r="T1674" s="4" t="s">
        <v>786</v>
      </c>
      <c r="U1674" s="4"/>
      <c r="V1674" s="4"/>
      <c r="W1674" s="4"/>
    </row>
    <row r="1675" spans="1:23" customFormat="1">
      <c r="A1675" s="10"/>
      <c r="B1675" s="4"/>
      <c r="C1675" s="4"/>
      <c r="D1675" s="4"/>
      <c r="E1675" s="4"/>
      <c r="F1675" s="152" t="s">
        <v>372</v>
      </c>
      <c r="G1675" s="4" t="s">
        <v>309</v>
      </c>
      <c r="H1675" s="4"/>
      <c r="I1675" s="196">
        <v>-428840</v>
      </c>
      <c r="J1675" s="196">
        <v>-302</v>
      </c>
      <c r="K1675" s="196">
        <v>1420</v>
      </c>
      <c r="L1675" s="454" t="s">
        <v>1113</v>
      </c>
      <c r="M1675" s="4" t="s">
        <v>780</v>
      </c>
      <c r="N1675" s="133" t="s">
        <v>1407</v>
      </c>
      <c r="O1675" s="4" t="s">
        <v>1114</v>
      </c>
      <c r="P1675" s="4" t="s">
        <v>892</v>
      </c>
      <c r="Q1675" s="4" t="s">
        <v>1115</v>
      </c>
      <c r="R1675" s="4" t="s">
        <v>2377</v>
      </c>
      <c r="S1675" s="4" t="s">
        <v>1117</v>
      </c>
      <c r="T1675" s="4" t="s">
        <v>786</v>
      </c>
      <c r="U1675" s="4"/>
      <c r="V1675" s="4"/>
      <c r="W1675" s="4"/>
    </row>
    <row r="1676" spans="1:23" customFormat="1">
      <c r="A1676" s="10"/>
      <c r="B1676" s="4"/>
      <c r="C1676" s="4"/>
      <c r="D1676" s="4"/>
      <c r="E1676" s="4"/>
      <c r="F1676" s="152" t="s">
        <v>372</v>
      </c>
      <c r="G1676" s="4" t="s">
        <v>309</v>
      </c>
      <c r="H1676" s="4"/>
      <c r="I1676" s="196">
        <v>-72817.600000000006</v>
      </c>
      <c r="J1676" s="196">
        <v>-51.28</v>
      </c>
      <c r="K1676" s="196">
        <v>1420</v>
      </c>
      <c r="L1676" s="454" t="s">
        <v>1113</v>
      </c>
      <c r="M1676" s="4" t="s">
        <v>780</v>
      </c>
      <c r="N1676" s="133" t="s">
        <v>1407</v>
      </c>
      <c r="O1676" s="4" t="s">
        <v>1114</v>
      </c>
      <c r="P1676" s="4" t="s">
        <v>892</v>
      </c>
      <c r="Q1676" s="4" t="s">
        <v>1115</v>
      </c>
      <c r="R1676" s="4" t="s">
        <v>2378</v>
      </c>
      <c r="S1676" s="4" t="s">
        <v>1117</v>
      </c>
      <c r="T1676" s="4" t="s">
        <v>786</v>
      </c>
      <c r="U1676" s="4"/>
      <c r="V1676" s="4"/>
      <c r="W1676" s="4"/>
    </row>
    <row r="1677" spans="1:23" customFormat="1">
      <c r="A1677" s="10"/>
      <c r="B1677" s="4"/>
      <c r="C1677" s="4"/>
      <c r="D1677" s="4"/>
      <c r="E1677" s="4"/>
      <c r="F1677" s="152" t="s">
        <v>372</v>
      </c>
      <c r="G1677" s="4" t="s">
        <v>309</v>
      </c>
      <c r="H1677" s="4"/>
      <c r="I1677" s="196">
        <v>-383400</v>
      </c>
      <c r="J1677" s="196">
        <v>-270</v>
      </c>
      <c r="K1677" s="196">
        <v>1420</v>
      </c>
      <c r="L1677" s="454" t="s">
        <v>1113</v>
      </c>
      <c r="M1677" s="4" t="s">
        <v>780</v>
      </c>
      <c r="N1677" s="133" t="s">
        <v>1407</v>
      </c>
      <c r="O1677" s="4" t="s">
        <v>1114</v>
      </c>
      <c r="P1677" s="4" t="s">
        <v>892</v>
      </c>
      <c r="Q1677" s="4" t="s">
        <v>1115</v>
      </c>
      <c r="R1677" s="4" t="s">
        <v>2379</v>
      </c>
      <c r="S1677" s="4" t="s">
        <v>1117</v>
      </c>
      <c r="T1677" s="4" t="s">
        <v>786</v>
      </c>
      <c r="U1677" s="4"/>
      <c r="V1677" s="4"/>
      <c r="W1677" s="4"/>
    </row>
    <row r="1678" spans="1:23" customFormat="1">
      <c r="A1678" s="10"/>
      <c r="B1678" s="4"/>
      <c r="C1678" s="4"/>
      <c r="D1678" s="4"/>
      <c r="E1678" s="4"/>
      <c r="F1678" s="152" t="s">
        <v>372</v>
      </c>
      <c r="G1678" s="4" t="s">
        <v>309</v>
      </c>
      <c r="H1678" s="4"/>
      <c r="I1678" s="196">
        <v>-101941.8</v>
      </c>
      <c r="J1678" s="196">
        <v>-71.790000000000006</v>
      </c>
      <c r="K1678" s="196">
        <v>1420</v>
      </c>
      <c r="L1678" s="454" t="s">
        <v>1113</v>
      </c>
      <c r="M1678" s="4" t="s">
        <v>780</v>
      </c>
      <c r="N1678" s="133" t="s">
        <v>1407</v>
      </c>
      <c r="O1678" s="4" t="s">
        <v>1114</v>
      </c>
      <c r="P1678" s="4" t="s">
        <v>892</v>
      </c>
      <c r="Q1678" s="4" t="s">
        <v>1115</v>
      </c>
      <c r="R1678" s="4" t="s">
        <v>2380</v>
      </c>
      <c r="S1678" s="4" t="s">
        <v>1117</v>
      </c>
      <c r="T1678" s="4" t="s">
        <v>786</v>
      </c>
      <c r="U1678" s="4"/>
      <c r="V1678" s="4"/>
      <c r="W1678" s="4"/>
    </row>
    <row r="1679" spans="1:23" customFormat="1">
      <c r="A1679" s="10"/>
      <c r="B1679" s="4"/>
      <c r="C1679" s="4"/>
      <c r="D1679" s="4"/>
      <c r="E1679" s="4"/>
      <c r="F1679" s="152" t="s">
        <v>372</v>
      </c>
      <c r="G1679" s="4" t="s">
        <v>309</v>
      </c>
      <c r="H1679" s="4"/>
      <c r="I1679" s="196">
        <v>-4260000</v>
      </c>
      <c r="J1679" s="196">
        <v>-3000</v>
      </c>
      <c r="K1679" s="196">
        <v>1420</v>
      </c>
      <c r="L1679" s="454" t="s">
        <v>1113</v>
      </c>
      <c r="M1679" s="4" t="s">
        <v>780</v>
      </c>
      <c r="N1679" s="133" t="s">
        <v>1407</v>
      </c>
      <c r="O1679" s="4" t="s">
        <v>1114</v>
      </c>
      <c r="P1679" s="4" t="s">
        <v>892</v>
      </c>
      <c r="Q1679" s="4" t="s">
        <v>1115</v>
      </c>
      <c r="R1679" s="4" t="s">
        <v>2381</v>
      </c>
      <c r="S1679" s="4" t="s">
        <v>1117</v>
      </c>
      <c r="T1679" s="4" t="s">
        <v>786</v>
      </c>
      <c r="U1679" s="4"/>
      <c r="V1679" s="4"/>
      <c r="W1679" s="4"/>
    </row>
    <row r="1680" spans="1:23" customFormat="1">
      <c r="A1680" s="10"/>
      <c r="B1680" s="4"/>
      <c r="C1680" s="4"/>
      <c r="D1680" s="4"/>
      <c r="E1680" s="4"/>
      <c r="F1680" s="152" t="s">
        <v>372</v>
      </c>
      <c r="G1680" s="4" t="s">
        <v>309</v>
      </c>
      <c r="H1680" s="4"/>
      <c r="I1680" s="196">
        <v>-138364.79999999999</v>
      </c>
      <c r="J1680" s="196">
        <v>-97.44</v>
      </c>
      <c r="K1680" s="196">
        <v>1420</v>
      </c>
      <c r="L1680" s="454" t="s">
        <v>1113</v>
      </c>
      <c r="M1680" s="4" t="s">
        <v>780</v>
      </c>
      <c r="N1680" s="133" t="s">
        <v>1407</v>
      </c>
      <c r="O1680" s="4" t="s">
        <v>1114</v>
      </c>
      <c r="P1680" s="4" t="s">
        <v>892</v>
      </c>
      <c r="Q1680" s="4" t="s">
        <v>1115</v>
      </c>
      <c r="R1680" s="4" t="s">
        <v>2382</v>
      </c>
      <c r="S1680" s="4" t="s">
        <v>1117</v>
      </c>
      <c r="T1680" s="4" t="s">
        <v>786</v>
      </c>
      <c r="U1680" s="4"/>
      <c r="V1680" s="4"/>
      <c r="W1680" s="4"/>
    </row>
    <row r="1681" spans="1:23" customFormat="1">
      <c r="A1681" s="10"/>
      <c r="B1681" s="4"/>
      <c r="C1681" s="4"/>
      <c r="D1681" s="4"/>
      <c r="E1681" s="4"/>
      <c r="F1681" s="152" t="s">
        <v>372</v>
      </c>
      <c r="G1681" s="4" t="s">
        <v>309</v>
      </c>
      <c r="H1681" s="4"/>
      <c r="I1681" s="196">
        <v>-801760.4</v>
      </c>
      <c r="J1681" s="196">
        <v>-564.62</v>
      </c>
      <c r="K1681" s="196">
        <v>1420</v>
      </c>
      <c r="L1681" s="454" t="s">
        <v>1113</v>
      </c>
      <c r="M1681" s="4" t="s">
        <v>780</v>
      </c>
      <c r="N1681" s="133" t="s">
        <v>1407</v>
      </c>
      <c r="O1681" s="4" t="s">
        <v>1114</v>
      </c>
      <c r="P1681" s="4" t="s">
        <v>892</v>
      </c>
      <c r="Q1681" s="4" t="s">
        <v>1115</v>
      </c>
      <c r="R1681" s="4" t="s">
        <v>2383</v>
      </c>
      <c r="S1681" s="4" t="s">
        <v>1117</v>
      </c>
      <c r="T1681" s="4" t="s">
        <v>786</v>
      </c>
      <c r="U1681" s="4"/>
      <c r="V1681" s="4"/>
      <c r="W1681" s="4"/>
    </row>
    <row r="1682" spans="1:23" customFormat="1">
      <c r="A1682" s="10"/>
      <c r="B1682" s="4"/>
      <c r="C1682" s="4"/>
      <c r="D1682" s="4"/>
      <c r="E1682" s="4"/>
      <c r="F1682" s="152" t="s">
        <v>372</v>
      </c>
      <c r="G1682" s="4" t="s">
        <v>309</v>
      </c>
      <c r="H1682" s="4"/>
      <c r="I1682" s="196">
        <v>-94259.6</v>
      </c>
      <c r="J1682" s="196">
        <v>-66.38</v>
      </c>
      <c r="K1682" s="196">
        <v>1420</v>
      </c>
      <c r="L1682" s="454" t="s">
        <v>1113</v>
      </c>
      <c r="M1682" s="4" t="s">
        <v>780</v>
      </c>
      <c r="N1682" s="133" t="s">
        <v>1407</v>
      </c>
      <c r="O1682" s="4" t="s">
        <v>1114</v>
      </c>
      <c r="P1682" s="4" t="s">
        <v>892</v>
      </c>
      <c r="Q1682" s="4" t="s">
        <v>1115</v>
      </c>
      <c r="R1682" s="4" t="s">
        <v>2388</v>
      </c>
      <c r="S1682" s="4" t="s">
        <v>1117</v>
      </c>
      <c r="T1682" s="4" t="s">
        <v>786</v>
      </c>
      <c r="U1682" s="4"/>
      <c r="V1682" s="4"/>
      <c r="W1682" s="4"/>
    </row>
    <row r="1683" spans="1:23" customFormat="1">
      <c r="A1683" s="10"/>
      <c r="B1683" s="4"/>
      <c r="C1683" s="4"/>
      <c r="D1683" s="4"/>
      <c r="E1683" s="4"/>
      <c r="F1683" s="152" t="s">
        <v>372</v>
      </c>
      <c r="G1683" s="4" t="s">
        <v>309</v>
      </c>
      <c r="H1683" s="4"/>
      <c r="I1683" s="196">
        <v>-555915.80000000005</v>
      </c>
      <c r="J1683" s="196">
        <v>-391.49</v>
      </c>
      <c r="K1683" s="196">
        <v>1420</v>
      </c>
      <c r="L1683" s="454" t="s">
        <v>1113</v>
      </c>
      <c r="M1683" s="4" t="s">
        <v>780</v>
      </c>
      <c r="N1683" s="133" t="s">
        <v>1407</v>
      </c>
      <c r="O1683" s="4" t="s">
        <v>1114</v>
      </c>
      <c r="P1683" s="4" t="s">
        <v>892</v>
      </c>
      <c r="Q1683" s="4" t="s">
        <v>1115</v>
      </c>
      <c r="R1683" s="4" t="s">
        <v>2387</v>
      </c>
      <c r="S1683" s="4" t="s">
        <v>1117</v>
      </c>
      <c r="T1683" s="4" t="s">
        <v>786</v>
      </c>
      <c r="U1683" s="4"/>
      <c r="V1683" s="4"/>
      <c r="W1683" s="4"/>
    </row>
    <row r="1684" spans="1:23" customFormat="1">
      <c r="A1684" s="10"/>
      <c r="B1684" s="4"/>
      <c r="C1684" s="4"/>
      <c r="D1684" s="4"/>
      <c r="E1684" s="4"/>
      <c r="F1684" s="152" t="s">
        <v>372</v>
      </c>
      <c r="G1684" s="4" t="s">
        <v>309</v>
      </c>
      <c r="H1684" s="4"/>
      <c r="I1684" s="196">
        <v>-586417.4</v>
      </c>
      <c r="J1684" s="196">
        <v>-412.97</v>
      </c>
      <c r="K1684" s="196">
        <v>1420</v>
      </c>
      <c r="L1684" s="454" t="s">
        <v>1113</v>
      </c>
      <c r="M1684" s="4" t="s">
        <v>780</v>
      </c>
      <c r="N1684" s="133" t="s">
        <v>1407</v>
      </c>
      <c r="O1684" s="4" t="s">
        <v>1114</v>
      </c>
      <c r="P1684" s="4" t="s">
        <v>892</v>
      </c>
      <c r="Q1684" s="4" t="s">
        <v>1115</v>
      </c>
      <c r="R1684" s="4" t="s">
        <v>2386</v>
      </c>
      <c r="S1684" s="4" t="s">
        <v>1117</v>
      </c>
      <c r="T1684" s="4" t="s">
        <v>786</v>
      </c>
      <c r="U1684" s="4"/>
      <c r="V1684" s="4"/>
      <c r="W1684" s="4"/>
    </row>
    <row r="1685" spans="1:23" customFormat="1">
      <c r="A1685" s="10"/>
      <c r="B1685" s="4"/>
      <c r="C1685" s="4"/>
      <c r="D1685" s="4"/>
      <c r="E1685" s="4"/>
      <c r="F1685" s="152" t="s">
        <v>372</v>
      </c>
      <c r="G1685" s="4" t="s">
        <v>309</v>
      </c>
      <c r="H1685" s="4"/>
      <c r="I1685" s="196">
        <v>-5212820</v>
      </c>
      <c r="J1685" s="196">
        <v>-3671</v>
      </c>
      <c r="K1685" s="196">
        <v>1420</v>
      </c>
      <c r="L1685" s="454" t="s">
        <v>1113</v>
      </c>
      <c r="M1685" s="4" t="s">
        <v>780</v>
      </c>
      <c r="N1685" s="133" t="s">
        <v>1407</v>
      </c>
      <c r="O1685" s="4" t="s">
        <v>1114</v>
      </c>
      <c r="P1685" s="4" t="s">
        <v>892</v>
      </c>
      <c r="Q1685" s="4" t="s">
        <v>1115</v>
      </c>
      <c r="R1685" s="4" t="s">
        <v>2384</v>
      </c>
      <c r="S1685" s="4" t="s">
        <v>1117</v>
      </c>
      <c r="T1685" s="4" t="s">
        <v>786</v>
      </c>
      <c r="U1685" s="4"/>
      <c r="V1685" s="4"/>
      <c r="W1685" s="4"/>
    </row>
    <row r="1686" spans="1:23" customFormat="1">
      <c r="A1686" s="10"/>
      <c r="B1686" s="4"/>
      <c r="C1686" s="4"/>
      <c r="D1686" s="4"/>
      <c r="E1686" s="4"/>
      <c r="F1686" s="152" t="s">
        <v>372</v>
      </c>
      <c r="G1686" s="4" t="s">
        <v>309</v>
      </c>
      <c r="H1686" s="4"/>
      <c r="I1686" s="196">
        <v>-889104.6</v>
      </c>
      <c r="J1686" s="196">
        <v>-626.13</v>
      </c>
      <c r="K1686" s="196">
        <v>1420</v>
      </c>
      <c r="L1686" s="454" t="s">
        <v>1113</v>
      </c>
      <c r="M1686" s="4" t="s">
        <v>780</v>
      </c>
      <c r="N1686" s="133" t="s">
        <v>1407</v>
      </c>
      <c r="O1686" s="4" t="s">
        <v>1114</v>
      </c>
      <c r="P1686" s="4" t="s">
        <v>892</v>
      </c>
      <c r="Q1686" s="4" t="s">
        <v>1115</v>
      </c>
      <c r="R1686" s="4" t="s">
        <v>2386</v>
      </c>
      <c r="S1686" s="4" t="s">
        <v>1117</v>
      </c>
      <c r="T1686" s="4" t="s">
        <v>786</v>
      </c>
      <c r="U1686" s="4"/>
      <c r="V1686" s="4"/>
      <c r="W1686" s="4"/>
    </row>
    <row r="1687" spans="1:23" customFormat="1">
      <c r="A1687" s="10"/>
      <c r="B1687" s="4"/>
      <c r="C1687" s="4"/>
      <c r="D1687" s="4"/>
      <c r="E1687" s="4"/>
      <c r="F1687" s="152" t="s">
        <v>372</v>
      </c>
      <c r="G1687" s="4" t="s">
        <v>309</v>
      </c>
      <c r="H1687" s="4"/>
      <c r="I1687" s="196">
        <v>-291284.59999999998</v>
      </c>
      <c r="J1687" s="196">
        <v>-205.13</v>
      </c>
      <c r="K1687" s="196">
        <v>1420</v>
      </c>
      <c r="L1687" s="454" t="s">
        <v>1113</v>
      </c>
      <c r="M1687" s="4" t="s">
        <v>780</v>
      </c>
      <c r="N1687" s="133" t="s">
        <v>1407</v>
      </c>
      <c r="O1687" s="4" t="s">
        <v>1114</v>
      </c>
      <c r="P1687" s="4" t="s">
        <v>892</v>
      </c>
      <c r="Q1687" s="4" t="s">
        <v>1115</v>
      </c>
      <c r="R1687" s="4" t="s">
        <v>2385</v>
      </c>
      <c r="S1687" s="4" t="s">
        <v>1117</v>
      </c>
      <c r="T1687" s="4" t="s">
        <v>786</v>
      </c>
      <c r="U1687" s="4"/>
      <c r="V1687" s="4"/>
      <c r="W1687" s="4"/>
    </row>
    <row r="1688" spans="1:23" customFormat="1">
      <c r="A1688" s="10"/>
      <c r="B1688" s="4"/>
      <c r="C1688" s="4"/>
      <c r="D1688" s="4"/>
      <c r="E1688" s="4"/>
      <c r="F1688" s="152" t="s">
        <v>372</v>
      </c>
      <c r="G1688" s="4" t="s">
        <v>309</v>
      </c>
      <c r="H1688" s="4"/>
      <c r="I1688" s="196">
        <v>-26213.200000000001</v>
      </c>
      <c r="J1688" s="196">
        <v>-18.46</v>
      </c>
      <c r="K1688" s="196">
        <v>1420</v>
      </c>
      <c r="L1688" s="454" t="s">
        <v>1093</v>
      </c>
      <c r="M1688" s="4" t="s">
        <v>780</v>
      </c>
      <c r="N1688" s="133" t="s">
        <v>1407</v>
      </c>
      <c r="O1688" s="4" t="s">
        <v>1129</v>
      </c>
      <c r="P1688" s="4" t="s">
        <v>892</v>
      </c>
      <c r="Q1688" s="4" t="s">
        <v>1130</v>
      </c>
      <c r="R1688" s="4" t="s">
        <v>2391</v>
      </c>
      <c r="S1688" s="4" t="s">
        <v>1132</v>
      </c>
      <c r="T1688" s="4" t="s">
        <v>786</v>
      </c>
      <c r="U1688" s="4"/>
      <c r="V1688" s="4"/>
      <c r="W1688" s="4"/>
    </row>
    <row r="1689" spans="1:23" customFormat="1">
      <c r="A1689" s="10"/>
      <c r="B1689" s="4"/>
      <c r="C1689" s="4"/>
      <c r="D1689" s="4"/>
      <c r="E1689" s="4"/>
      <c r="F1689" s="152" t="s">
        <v>372</v>
      </c>
      <c r="G1689" s="4" t="s">
        <v>309</v>
      </c>
      <c r="H1689" s="4"/>
      <c r="I1689" s="196">
        <v>-673591.2</v>
      </c>
      <c r="J1689" s="196">
        <v>-474.36</v>
      </c>
      <c r="K1689" s="196">
        <v>1420</v>
      </c>
      <c r="L1689" s="454" t="s">
        <v>1093</v>
      </c>
      <c r="M1689" s="4" t="s">
        <v>780</v>
      </c>
      <c r="N1689" s="133" t="s">
        <v>1407</v>
      </c>
      <c r="O1689" s="4" t="s">
        <v>1129</v>
      </c>
      <c r="P1689" s="4" t="s">
        <v>892</v>
      </c>
      <c r="Q1689" s="4" t="s">
        <v>1130</v>
      </c>
      <c r="R1689" s="4" t="s">
        <v>2392</v>
      </c>
      <c r="S1689" s="4" t="s">
        <v>1132</v>
      </c>
      <c r="T1689" s="4" t="s">
        <v>786</v>
      </c>
      <c r="U1689" s="4"/>
      <c r="V1689" s="4"/>
      <c r="W1689" s="4"/>
    </row>
    <row r="1690" spans="1:23" customFormat="1">
      <c r="A1690" s="10"/>
      <c r="B1690" s="4"/>
      <c r="C1690" s="4"/>
      <c r="D1690" s="4"/>
      <c r="E1690" s="4"/>
      <c r="F1690" s="152" t="s">
        <v>372</v>
      </c>
      <c r="G1690" s="4" t="s">
        <v>309</v>
      </c>
      <c r="H1690" s="4"/>
      <c r="I1690" s="196">
        <v>-200262.6</v>
      </c>
      <c r="J1690" s="196">
        <v>-141.03</v>
      </c>
      <c r="K1690" s="196">
        <v>1420</v>
      </c>
      <c r="L1690" s="454" t="s">
        <v>1093</v>
      </c>
      <c r="M1690" s="4" t="s">
        <v>780</v>
      </c>
      <c r="N1690" s="133" t="s">
        <v>1407</v>
      </c>
      <c r="O1690" s="4" t="s">
        <v>1129</v>
      </c>
      <c r="P1690" s="4" t="s">
        <v>892</v>
      </c>
      <c r="Q1690" s="4" t="s">
        <v>1130</v>
      </c>
      <c r="R1690" s="4" t="s">
        <v>2393</v>
      </c>
      <c r="S1690" s="4" t="s">
        <v>1132</v>
      </c>
      <c r="T1690" s="4" t="s">
        <v>786</v>
      </c>
      <c r="U1690" s="4"/>
      <c r="V1690" s="4"/>
      <c r="W1690" s="4"/>
    </row>
    <row r="1691" spans="1:23" customFormat="1">
      <c r="A1691" s="10"/>
      <c r="B1691" s="4"/>
      <c r="C1691" s="4"/>
      <c r="D1691" s="4"/>
      <c r="E1691" s="4"/>
      <c r="F1691" s="152" t="s">
        <v>372</v>
      </c>
      <c r="G1691" s="4" t="s">
        <v>309</v>
      </c>
      <c r="H1691" s="4"/>
      <c r="I1691" s="196">
        <v>-20022</v>
      </c>
      <c r="J1691" s="196">
        <v>-14.1</v>
      </c>
      <c r="K1691" s="196">
        <v>1420</v>
      </c>
      <c r="L1691" s="454" t="s">
        <v>1093</v>
      </c>
      <c r="M1691" s="4" t="s">
        <v>780</v>
      </c>
      <c r="N1691" s="133" t="s">
        <v>1407</v>
      </c>
      <c r="O1691" s="4" t="s">
        <v>1129</v>
      </c>
      <c r="P1691" s="4" t="s">
        <v>892</v>
      </c>
      <c r="Q1691" s="4" t="s">
        <v>1130</v>
      </c>
      <c r="R1691" s="4" t="s">
        <v>2394</v>
      </c>
      <c r="S1691" s="4" t="s">
        <v>1132</v>
      </c>
      <c r="T1691" s="4" t="s">
        <v>786</v>
      </c>
      <c r="U1691" s="4"/>
      <c r="V1691" s="4"/>
      <c r="W1691" s="4"/>
    </row>
    <row r="1692" spans="1:23" customFormat="1">
      <c r="A1692" s="10"/>
      <c r="B1692" s="4"/>
      <c r="C1692" s="4"/>
      <c r="D1692" s="4"/>
      <c r="E1692" s="4"/>
      <c r="F1692" s="152" t="s">
        <v>372</v>
      </c>
      <c r="G1692" s="4" t="s">
        <v>309</v>
      </c>
      <c r="H1692" s="4"/>
      <c r="I1692" s="196">
        <v>-695800</v>
      </c>
      <c r="J1692" s="196">
        <v>-490</v>
      </c>
      <c r="K1692" s="196">
        <v>1420</v>
      </c>
      <c r="L1692" s="454" t="s">
        <v>1093</v>
      </c>
      <c r="M1692" s="4" t="s">
        <v>780</v>
      </c>
      <c r="N1692" s="133" t="s">
        <v>1407</v>
      </c>
      <c r="O1692" s="4" t="s">
        <v>1129</v>
      </c>
      <c r="P1692" s="4" t="s">
        <v>892</v>
      </c>
      <c r="Q1692" s="4" t="s">
        <v>1130</v>
      </c>
      <c r="R1692" s="4" t="s">
        <v>2395</v>
      </c>
      <c r="S1692" s="4" t="s">
        <v>1132</v>
      </c>
      <c r="T1692" s="4" t="s">
        <v>786</v>
      </c>
      <c r="U1692" s="4"/>
      <c r="V1692" s="4"/>
      <c r="W1692" s="4"/>
    </row>
    <row r="1693" spans="1:23" customFormat="1">
      <c r="A1693" s="10"/>
      <c r="B1693" s="4"/>
      <c r="C1693" s="4"/>
      <c r="D1693" s="4"/>
      <c r="E1693" s="4"/>
      <c r="F1693" s="152" t="s">
        <v>372</v>
      </c>
      <c r="G1693" s="4" t="s">
        <v>309</v>
      </c>
      <c r="H1693" s="4"/>
      <c r="I1693" s="196">
        <v>-432560.4</v>
      </c>
      <c r="J1693" s="196">
        <v>-304.62</v>
      </c>
      <c r="K1693" s="196">
        <v>1420</v>
      </c>
      <c r="L1693" s="454" t="s">
        <v>1093</v>
      </c>
      <c r="M1693" s="4" t="s">
        <v>780</v>
      </c>
      <c r="N1693" s="133" t="s">
        <v>1407</v>
      </c>
      <c r="O1693" s="4" t="s">
        <v>1129</v>
      </c>
      <c r="P1693" s="4" t="s">
        <v>892</v>
      </c>
      <c r="Q1693" s="4" t="s">
        <v>1130</v>
      </c>
      <c r="R1693" s="4" t="s">
        <v>2396</v>
      </c>
      <c r="S1693" s="4" t="s">
        <v>1132</v>
      </c>
      <c r="T1693" s="4" t="s">
        <v>786</v>
      </c>
      <c r="U1693" s="4"/>
      <c r="V1693" s="4"/>
      <c r="W1693" s="4"/>
    </row>
    <row r="1694" spans="1:23" customFormat="1">
      <c r="A1694" s="10"/>
      <c r="B1694" s="4"/>
      <c r="C1694" s="4"/>
      <c r="D1694" s="4"/>
      <c r="E1694" s="4"/>
      <c r="F1694" s="152" t="s">
        <v>372</v>
      </c>
      <c r="G1694" s="4" t="s">
        <v>309</v>
      </c>
      <c r="H1694" s="4"/>
      <c r="I1694" s="196">
        <v>14200000</v>
      </c>
      <c r="J1694" s="196">
        <v>10000</v>
      </c>
      <c r="K1694" s="196">
        <v>1420</v>
      </c>
      <c r="L1694" s="454" t="s">
        <v>2466</v>
      </c>
      <c r="M1694" s="4" t="s">
        <v>780</v>
      </c>
      <c r="N1694" s="133" t="s">
        <v>1407</v>
      </c>
      <c r="O1694" s="4" t="s">
        <v>2467</v>
      </c>
      <c r="P1694" s="4" t="s">
        <v>892</v>
      </c>
      <c r="Q1694" s="4" t="s">
        <v>2468</v>
      </c>
      <c r="R1694" s="4" t="s">
        <v>2469</v>
      </c>
      <c r="S1694" s="4" t="s">
        <v>2470</v>
      </c>
      <c r="T1694" s="4" t="s">
        <v>786</v>
      </c>
      <c r="U1694" s="4"/>
      <c r="V1694" s="4"/>
      <c r="W1694" s="4"/>
    </row>
    <row r="1695" spans="1:23" customFormat="1">
      <c r="A1695" s="10"/>
      <c r="B1695" s="4"/>
      <c r="C1695" s="4"/>
      <c r="D1695" s="4"/>
      <c r="E1695" s="4"/>
      <c r="F1695" s="152" t="s">
        <v>372</v>
      </c>
      <c r="G1695" s="4" t="s">
        <v>309</v>
      </c>
      <c r="H1695" s="4"/>
      <c r="I1695" s="196">
        <v>-34520.199999999997</v>
      </c>
      <c r="J1695" s="196">
        <v>-24.31</v>
      </c>
      <c r="K1695" s="196">
        <v>1420</v>
      </c>
      <c r="L1695" s="454" t="s">
        <v>1205</v>
      </c>
      <c r="M1695" s="4" t="s">
        <v>780</v>
      </c>
      <c r="N1695" s="133" t="s">
        <v>1407</v>
      </c>
      <c r="O1695" s="4" t="s">
        <v>1214</v>
      </c>
      <c r="P1695" s="4" t="s">
        <v>892</v>
      </c>
      <c r="Q1695" s="4" t="s">
        <v>1215</v>
      </c>
      <c r="R1695" s="4" t="s">
        <v>2391</v>
      </c>
      <c r="S1695" s="4" t="s">
        <v>1217</v>
      </c>
      <c r="T1695" s="4" t="s">
        <v>786</v>
      </c>
      <c r="U1695" s="4"/>
      <c r="V1695" s="4"/>
      <c r="W1695" s="4"/>
    </row>
    <row r="1696" spans="1:23" customFormat="1">
      <c r="A1696" s="10"/>
      <c r="B1696" s="4"/>
      <c r="C1696" s="4"/>
      <c r="D1696" s="4"/>
      <c r="E1696" s="4"/>
      <c r="F1696" s="152" t="s">
        <v>372</v>
      </c>
      <c r="G1696" s="4" t="s">
        <v>309</v>
      </c>
      <c r="H1696" s="4"/>
      <c r="I1696" s="196">
        <v>-63715.4</v>
      </c>
      <c r="J1696" s="196">
        <v>-44.87</v>
      </c>
      <c r="K1696" s="196">
        <v>1420</v>
      </c>
      <c r="L1696" s="454" t="s">
        <v>1205</v>
      </c>
      <c r="M1696" s="4" t="s">
        <v>780</v>
      </c>
      <c r="N1696" s="133" t="s">
        <v>1407</v>
      </c>
      <c r="O1696" s="4" t="s">
        <v>1214</v>
      </c>
      <c r="P1696" s="4" t="s">
        <v>892</v>
      </c>
      <c r="Q1696" s="4" t="s">
        <v>1215</v>
      </c>
      <c r="R1696" s="4" t="s">
        <v>2558</v>
      </c>
      <c r="S1696" s="4" t="s">
        <v>1217</v>
      </c>
      <c r="T1696" s="4" t="s">
        <v>786</v>
      </c>
      <c r="U1696" s="4"/>
      <c r="V1696" s="4"/>
      <c r="W1696" s="4"/>
    </row>
    <row r="1697" spans="1:23" customFormat="1">
      <c r="A1697" s="10"/>
      <c r="B1697" s="4"/>
      <c r="C1697" s="4"/>
      <c r="D1697" s="4"/>
      <c r="E1697" s="4"/>
      <c r="F1697" s="152" t="s">
        <v>372</v>
      </c>
      <c r="G1697" s="4" t="s">
        <v>309</v>
      </c>
      <c r="H1697" s="4"/>
      <c r="I1697" s="196">
        <v>-54471.199999999997</v>
      </c>
      <c r="J1697" s="196">
        <v>-38.36</v>
      </c>
      <c r="K1697" s="196">
        <v>1420</v>
      </c>
      <c r="L1697" s="454" t="s">
        <v>1205</v>
      </c>
      <c r="M1697" s="4" t="s">
        <v>780</v>
      </c>
      <c r="N1697" s="133" t="s">
        <v>1407</v>
      </c>
      <c r="O1697" s="4" t="s">
        <v>1214</v>
      </c>
      <c r="P1697" s="4" t="s">
        <v>892</v>
      </c>
      <c r="Q1697" s="4" t="s">
        <v>1215</v>
      </c>
      <c r="R1697" s="4" t="s">
        <v>2559</v>
      </c>
      <c r="S1697" s="4" t="s">
        <v>1217</v>
      </c>
      <c r="T1697" s="4" t="s">
        <v>786</v>
      </c>
      <c r="U1697" s="4"/>
      <c r="V1697" s="4"/>
      <c r="W1697" s="4"/>
    </row>
    <row r="1698" spans="1:23" customFormat="1">
      <c r="A1698" s="10"/>
      <c r="B1698" s="4"/>
      <c r="C1698" s="4"/>
      <c r="D1698" s="4"/>
      <c r="E1698" s="4"/>
      <c r="F1698" s="152" t="s">
        <v>372</v>
      </c>
      <c r="G1698" s="4" t="s">
        <v>309</v>
      </c>
      <c r="H1698" s="4"/>
      <c r="I1698" s="196">
        <v>-984060</v>
      </c>
      <c r="J1698" s="196">
        <v>-693</v>
      </c>
      <c r="K1698" s="196">
        <v>1420</v>
      </c>
      <c r="L1698" s="454" t="s">
        <v>1205</v>
      </c>
      <c r="M1698" s="4" t="s">
        <v>780</v>
      </c>
      <c r="N1698" s="133" t="s">
        <v>1407</v>
      </c>
      <c r="O1698" s="4" t="s">
        <v>1214</v>
      </c>
      <c r="P1698" s="4" t="s">
        <v>892</v>
      </c>
      <c r="Q1698" s="4" t="s">
        <v>1215</v>
      </c>
      <c r="R1698" s="4" t="s">
        <v>2392</v>
      </c>
      <c r="S1698" s="4" t="s">
        <v>1217</v>
      </c>
      <c r="T1698" s="4" t="s">
        <v>786</v>
      </c>
      <c r="U1698" s="4"/>
      <c r="V1698" s="4"/>
      <c r="W1698" s="4"/>
    </row>
    <row r="1699" spans="1:23" customFormat="1">
      <c r="A1699" s="10"/>
      <c r="B1699" s="4"/>
      <c r="C1699" s="4"/>
      <c r="D1699" s="4"/>
      <c r="E1699" s="4"/>
      <c r="F1699" s="152" t="s">
        <v>372</v>
      </c>
      <c r="G1699" s="4" t="s">
        <v>309</v>
      </c>
      <c r="H1699" s="4"/>
      <c r="I1699" s="196">
        <v>-1136000</v>
      </c>
      <c r="J1699" s="196">
        <v>-800</v>
      </c>
      <c r="K1699" s="196">
        <v>1420</v>
      </c>
      <c r="L1699" s="454" t="s">
        <v>1205</v>
      </c>
      <c r="M1699" s="4" t="s">
        <v>780</v>
      </c>
      <c r="N1699" s="133" t="s">
        <v>1407</v>
      </c>
      <c r="O1699" s="4" t="s">
        <v>1214</v>
      </c>
      <c r="P1699" s="4" t="s">
        <v>892</v>
      </c>
      <c r="Q1699" s="4" t="s">
        <v>1215</v>
      </c>
      <c r="R1699" s="4" t="s">
        <v>2560</v>
      </c>
      <c r="S1699" s="4" t="s">
        <v>1217</v>
      </c>
      <c r="T1699" s="4" t="s">
        <v>786</v>
      </c>
      <c r="U1699" s="4"/>
      <c r="V1699" s="4"/>
      <c r="W1699" s="4"/>
    </row>
    <row r="1700" spans="1:23" customFormat="1">
      <c r="A1700" s="10"/>
      <c r="B1700" s="4"/>
      <c r="C1700" s="4"/>
      <c r="D1700" s="4"/>
      <c r="E1700" s="4"/>
      <c r="F1700" s="152" t="s">
        <v>372</v>
      </c>
      <c r="G1700" s="4" t="s">
        <v>309</v>
      </c>
      <c r="H1700" s="4"/>
      <c r="I1700" s="196">
        <v>-471440</v>
      </c>
      <c r="J1700" s="196">
        <v>-332</v>
      </c>
      <c r="K1700" s="196">
        <v>1420</v>
      </c>
      <c r="L1700" s="454" t="s">
        <v>1205</v>
      </c>
      <c r="M1700" s="4" t="s">
        <v>780</v>
      </c>
      <c r="N1700" s="133" t="s">
        <v>1407</v>
      </c>
      <c r="O1700" s="4" t="s">
        <v>1214</v>
      </c>
      <c r="P1700" s="4" t="s">
        <v>892</v>
      </c>
      <c r="Q1700" s="4" t="s">
        <v>1215</v>
      </c>
      <c r="R1700" s="4" t="s">
        <v>2561</v>
      </c>
      <c r="S1700" s="4" t="s">
        <v>1217</v>
      </c>
      <c r="T1700" s="4" t="s">
        <v>786</v>
      </c>
      <c r="U1700" s="4"/>
      <c r="V1700" s="4"/>
      <c r="W1700" s="4"/>
    </row>
    <row r="1701" spans="1:23" customFormat="1">
      <c r="A1701" s="10"/>
      <c r="B1701" s="4"/>
      <c r="C1701" s="4"/>
      <c r="D1701" s="4"/>
      <c r="E1701" s="4"/>
      <c r="F1701" s="152" t="s">
        <v>372</v>
      </c>
      <c r="G1701" s="4" t="s">
        <v>309</v>
      </c>
      <c r="H1701" s="4"/>
      <c r="I1701" s="196">
        <v>-22208.799999999999</v>
      </c>
      <c r="J1701" s="196">
        <v>-15.64</v>
      </c>
      <c r="K1701" s="196">
        <v>1420</v>
      </c>
      <c r="L1701" s="454" t="s">
        <v>1205</v>
      </c>
      <c r="M1701" s="4" t="s">
        <v>780</v>
      </c>
      <c r="N1701" s="133" t="s">
        <v>1407</v>
      </c>
      <c r="O1701" s="4" t="s">
        <v>1214</v>
      </c>
      <c r="P1701" s="4" t="s">
        <v>892</v>
      </c>
      <c r="Q1701" s="4" t="s">
        <v>1215</v>
      </c>
      <c r="R1701" s="4" t="s">
        <v>2391</v>
      </c>
      <c r="S1701" s="4" t="s">
        <v>1217</v>
      </c>
      <c r="T1701" s="4" t="s">
        <v>786</v>
      </c>
      <c r="U1701" s="4"/>
      <c r="V1701" s="4"/>
      <c r="W1701" s="4"/>
    </row>
    <row r="1702" spans="1:23" customFormat="1">
      <c r="A1702" s="10"/>
      <c r="B1702" s="4"/>
      <c r="C1702" s="4"/>
      <c r="D1702" s="4"/>
      <c r="E1702" s="4"/>
      <c r="F1702" s="152" t="s">
        <v>372</v>
      </c>
      <c r="G1702" s="4" t="s">
        <v>309</v>
      </c>
      <c r="H1702" s="4"/>
      <c r="I1702" s="196">
        <v>-29607</v>
      </c>
      <c r="J1702" s="196">
        <v>-20.85</v>
      </c>
      <c r="K1702" s="196">
        <v>1420</v>
      </c>
      <c r="L1702" s="454" t="s">
        <v>1205</v>
      </c>
      <c r="M1702" s="4" t="s">
        <v>780</v>
      </c>
      <c r="N1702" s="133" t="s">
        <v>1407</v>
      </c>
      <c r="O1702" s="4" t="s">
        <v>1214</v>
      </c>
      <c r="P1702" s="4" t="s">
        <v>892</v>
      </c>
      <c r="Q1702" s="4" t="s">
        <v>1215</v>
      </c>
      <c r="R1702" s="4" t="s">
        <v>2563</v>
      </c>
      <c r="S1702" s="4" t="s">
        <v>1217</v>
      </c>
      <c r="T1702" s="4" t="s">
        <v>786</v>
      </c>
      <c r="U1702" s="4"/>
      <c r="V1702" s="4"/>
      <c r="W1702" s="4"/>
    </row>
    <row r="1703" spans="1:23" customFormat="1">
      <c r="A1703" s="10"/>
      <c r="B1703" s="4"/>
      <c r="C1703" s="4"/>
      <c r="D1703" s="4"/>
      <c r="E1703" s="4"/>
      <c r="F1703" s="152" t="s">
        <v>372</v>
      </c>
      <c r="G1703" s="4" t="s">
        <v>309</v>
      </c>
      <c r="H1703" s="4"/>
      <c r="I1703" s="196">
        <v>-273080.2</v>
      </c>
      <c r="J1703" s="196">
        <v>-192.31</v>
      </c>
      <c r="K1703" s="196">
        <v>1420</v>
      </c>
      <c r="L1703" s="454" t="s">
        <v>1205</v>
      </c>
      <c r="M1703" s="4" t="s">
        <v>780</v>
      </c>
      <c r="N1703" s="133" t="s">
        <v>1407</v>
      </c>
      <c r="O1703" s="4" t="s">
        <v>1214</v>
      </c>
      <c r="P1703" s="4" t="s">
        <v>892</v>
      </c>
      <c r="Q1703" s="4" t="s">
        <v>1215</v>
      </c>
      <c r="R1703" s="4" t="s">
        <v>2562</v>
      </c>
      <c r="S1703" s="4" t="s">
        <v>1217</v>
      </c>
      <c r="T1703" s="4" t="s">
        <v>786</v>
      </c>
      <c r="U1703" s="4"/>
      <c r="V1703" s="4"/>
      <c r="W1703" s="4"/>
    </row>
    <row r="1704" spans="1:23" customFormat="1">
      <c r="A1704" s="10"/>
      <c r="B1704" s="4"/>
      <c r="C1704" s="4"/>
      <c r="D1704" s="4"/>
      <c r="E1704" s="4"/>
      <c r="F1704" s="152" t="s">
        <v>372</v>
      </c>
      <c r="G1704" s="4" t="s">
        <v>309</v>
      </c>
      <c r="H1704" s="4"/>
      <c r="I1704" s="196">
        <v>-54726.8</v>
      </c>
      <c r="J1704" s="196">
        <v>-38.54</v>
      </c>
      <c r="K1704" s="196">
        <v>1420</v>
      </c>
      <c r="L1704" s="454" t="s">
        <v>1205</v>
      </c>
      <c r="M1704" s="4" t="s">
        <v>780</v>
      </c>
      <c r="N1704" s="133" t="s">
        <v>1407</v>
      </c>
      <c r="O1704" s="4" t="s">
        <v>1214</v>
      </c>
      <c r="P1704" s="4" t="s">
        <v>892</v>
      </c>
      <c r="Q1704" s="4" t="s">
        <v>1215</v>
      </c>
      <c r="R1704" s="4" t="s">
        <v>2567</v>
      </c>
      <c r="S1704" s="4" t="s">
        <v>1217</v>
      </c>
      <c r="T1704" s="4" t="s">
        <v>786</v>
      </c>
      <c r="U1704" s="4"/>
      <c r="V1704" s="4"/>
      <c r="W1704" s="4"/>
    </row>
    <row r="1705" spans="1:23" customFormat="1">
      <c r="A1705" s="10"/>
      <c r="B1705" s="4"/>
      <c r="C1705" s="4"/>
      <c r="D1705" s="4"/>
      <c r="E1705" s="4"/>
      <c r="F1705" s="152" t="s">
        <v>372</v>
      </c>
      <c r="G1705" s="4" t="s">
        <v>309</v>
      </c>
      <c r="H1705" s="4"/>
      <c r="I1705" s="196">
        <v>-33284.800000000003</v>
      </c>
      <c r="J1705" s="196">
        <v>-23.44</v>
      </c>
      <c r="K1705" s="196">
        <v>1420</v>
      </c>
      <c r="L1705" s="454" t="s">
        <v>1205</v>
      </c>
      <c r="M1705" s="4" t="s">
        <v>780</v>
      </c>
      <c r="N1705" s="133" t="s">
        <v>1407</v>
      </c>
      <c r="O1705" s="4" t="s">
        <v>1214</v>
      </c>
      <c r="P1705" s="4" t="s">
        <v>892</v>
      </c>
      <c r="Q1705" s="4" t="s">
        <v>1215</v>
      </c>
      <c r="R1705" s="4" t="s">
        <v>2391</v>
      </c>
      <c r="S1705" s="4" t="s">
        <v>1217</v>
      </c>
      <c r="T1705" s="4" t="s">
        <v>786</v>
      </c>
      <c r="U1705" s="4"/>
      <c r="V1705" s="4"/>
      <c r="W1705" s="4"/>
    </row>
    <row r="1706" spans="1:23" customFormat="1">
      <c r="A1706" s="10"/>
      <c r="B1706" s="4"/>
      <c r="C1706" s="4"/>
      <c r="D1706" s="4"/>
      <c r="E1706" s="4"/>
      <c r="F1706" s="152" t="s">
        <v>372</v>
      </c>
      <c r="G1706" s="4" t="s">
        <v>309</v>
      </c>
      <c r="H1706" s="4"/>
      <c r="I1706" s="196">
        <v>-1420000</v>
      </c>
      <c r="J1706" s="196">
        <v>-1000</v>
      </c>
      <c r="K1706" s="196">
        <v>1420</v>
      </c>
      <c r="L1706" s="454" t="s">
        <v>1205</v>
      </c>
      <c r="M1706" s="4" t="s">
        <v>780</v>
      </c>
      <c r="N1706" s="133" t="s">
        <v>1407</v>
      </c>
      <c r="O1706" s="4" t="s">
        <v>1214</v>
      </c>
      <c r="P1706" s="4" t="s">
        <v>892</v>
      </c>
      <c r="Q1706" s="4" t="s">
        <v>1215</v>
      </c>
      <c r="R1706" s="4" t="s">
        <v>2560</v>
      </c>
      <c r="S1706" s="4" t="s">
        <v>1217</v>
      </c>
      <c r="T1706" s="4" t="s">
        <v>786</v>
      </c>
      <c r="U1706" s="4"/>
      <c r="V1706" s="4"/>
      <c r="W1706" s="4"/>
    </row>
    <row r="1707" spans="1:23" customFormat="1">
      <c r="A1707" s="10"/>
      <c r="B1707" s="4"/>
      <c r="C1707" s="4"/>
      <c r="D1707" s="4"/>
      <c r="E1707" s="4"/>
      <c r="F1707" s="152" t="s">
        <v>372</v>
      </c>
      <c r="G1707" s="4" t="s">
        <v>309</v>
      </c>
      <c r="H1707" s="4"/>
      <c r="I1707" s="196">
        <v>-1136000</v>
      </c>
      <c r="J1707" s="196">
        <v>-800</v>
      </c>
      <c r="K1707" s="196">
        <v>1420</v>
      </c>
      <c r="L1707" s="454" t="s">
        <v>1205</v>
      </c>
      <c r="M1707" s="4" t="s">
        <v>780</v>
      </c>
      <c r="N1707" s="133" t="s">
        <v>1407</v>
      </c>
      <c r="O1707" s="4" t="s">
        <v>1214</v>
      </c>
      <c r="P1707" s="4" t="s">
        <v>892</v>
      </c>
      <c r="Q1707" s="4" t="s">
        <v>1215</v>
      </c>
      <c r="R1707" s="4" t="s">
        <v>2560</v>
      </c>
      <c r="S1707" s="4" t="s">
        <v>1217</v>
      </c>
      <c r="T1707" s="4" t="s">
        <v>786</v>
      </c>
      <c r="U1707" s="4"/>
      <c r="V1707" s="4"/>
      <c r="W1707" s="4"/>
    </row>
    <row r="1708" spans="1:23" customFormat="1">
      <c r="A1708" s="10"/>
      <c r="B1708" s="4"/>
      <c r="C1708" s="4"/>
      <c r="D1708" s="4"/>
      <c r="E1708" s="4"/>
      <c r="F1708" s="152" t="s">
        <v>372</v>
      </c>
      <c r="G1708" s="4" t="s">
        <v>309</v>
      </c>
      <c r="H1708" s="4"/>
      <c r="I1708" s="196">
        <v>-109226.4</v>
      </c>
      <c r="J1708" s="196">
        <v>-76.92</v>
      </c>
      <c r="K1708" s="196">
        <v>1420</v>
      </c>
      <c r="L1708" s="454" t="s">
        <v>1205</v>
      </c>
      <c r="M1708" s="4" t="s">
        <v>780</v>
      </c>
      <c r="N1708" s="133" t="s">
        <v>1407</v>
      </c>
      <c r="O1708" s="4" t="s">
        <v>1214</v>
      </c>
      <c r="P1708" s="4" t="s">
        <v>892</v>
      </c>
      <c r="Q1708" s="4" t="s">
        <v>1215</v>
      </c>
      <c r="R1708" s="4" t="s">
        <v>2566</v>
      </c>
      <c r="S1708" s="4" t="s">
        <v>1217</v>
      </c>
      <c r="T1708" s="4" t="s">
        <v>786</v>
      </c>
      <c r="U1708" s="4"/>
      <c r="V1708" s="4"/>
      <c r="W1708" s="4"/>
    </row>
    <row r="1709" spans="1:23" customFormat="1">
      <c r="A1709" s="10"/>
      <c r="B1709" s="4"/>
      <c r="C1709" s="4"/>
      <c r="D1709" s="4"/>
      <c r="E1709" s="4"/>
      <c r="F1709" s="152" t="s">
        <v>372</v>
      </c>
      <c r="G1709" s="4" t="s">
        <v>309</v>
      </c>
      <c r="H1709" s="4"/>
      <c r="I1709" s="196">
        <v>-1491000</v>
      </c>
      <c r="J1709" s="196">
        <v>-1050</v>
      </c>
      <c r="K1709" s="196">
        <v>1420</v>
      </c>
      <c r="L1709" s="454" t="s">
        <v>1205</v>
      </c>
      <c r="M1709" s="4" t="s">
        <v>780</v>
      </c>
      <c r="N1709" s="133" t="s">
        <v>1407</v>
      </c>
      <c r="O1709" s="4" t="s">
        <v>1214</v>
      </c>
      <c r="P1709" s="4" t="s">
        <v>892</v>
      </c>
      <c r="Q1709" s="4" t="s">
        <v>1215</v>
      </c>
      <c r="R1709" s="4" t="s">
        <v>2565</v>
      </c>
      <c r="S1709" s="4" t="s">
        <v>1217</v>
      </c>
      <c r="T1709" s="4" t="s">
        <v>786</v>
      </c>
      <c r="U1709" s="4"/>
      <c r="V1709" s="4"/>
      <c r="W1709" s="4"/>
    </row>
    <row r="1710" spans="1:23" customFormat="1">
      <c r="A1710" s="10"/>
      <c r="B1710" s="4"/>
      <c r="C1710" s="4"/>
      <c r="D1710" s="4"/>
      <c r="E1710" s="4"/>
      <c r="F1710" s="152" t="s">
        <v>372</v>
      </c>
      <c r="G1710" s="4" t="s">
        <v>309</v>
      </c>
      <c r="H1710" s="4"/>
      <c r="I1710" s="196">
        <v>-33725</v>
      </c>
      <c r="J1710" s="196">
        <v>-23.75</v>
      </c>
      <c r="K1710" s="196">
        <v>1420</v>
      </c>
      <c r="L1710" s="454" t="s">
        <v>1205</v>
      </c>
      <c r="M1710" s="4" t="s">
        <v>780</v>
      </c>
      <c r="N1710" s="133" t="s">
        <v>1407</v>
      </c>
      <c r="O1710" s="4" t="s">
        <v>1214</v>
      </c>
      <c r="P1710" s="4" t="s">
        <v>892</v>
      </c>
      <c r="Q1710" s="4" t="s">
        <v>1215</v>
      </c>
      <c r="R1710" s="4" t="s">
        <v>2564</v>
      </c>
      <c r="S1710" s="4" t="s">
        <v>1217</v>
      </c>
      <c r="T1710" s="4" t="s">
        <v>786</v>
      </c>
      <c r="U1710" s="4"/>
      <c r="V1710" s="4"/>
      <c r="W1710" s="4"/>
    </row>
    <row r="1711" spans="1:23" customFormat="1">
      <c r="A1711" s="10"/>
      <c r="B1711" s="4"/>
      <c r="C1711" s="4"/>
      <c r="D1711" s="4"/>
      <c r="E1711" s="4"/>
      <c r="F1711" s="152" t="s">
        <v>372</v>
      </c>
      <c r="G1711" s="4" t="s">
        <v>309</v>
      </c>
      <c r="H1711" s="4"/>
      <c r="I1711" s="196">
        <v>-282695.7</v>
      </c>
      <c r="J1711" s="196">
        <v>-192.31</v>
      </c>
      <c r="K1711" s="196">
        <v>1470</v>
      </c>
      <c r="L1711" s="454" t="s">
        <v>1239</v>
      </c>
      <c r="M1711" s="4" t="s">
        <v>780</v>
      </c>
      <c r="N1711" s="133" t="s">
        <v>1407</v>
      </c>
      <c r="O1711" s="4" t="s">
        <v>2601</v>
      </c>
      <c r="P1711" s="4" t="s">
        <v>892</v>
      </c>
      <c r="Q1711" s="4" t="s">
        <v>2602</v>
      </c>
      <c r="R1711" s="4" t="s">
        <v>2603</v>
      </c>
      <c r="S1711" s="4" t="s">
        <v>2604</v>
      </c>
      <c r="T1711" s="4" t="s">
        <v>786</v>
      </c>
      <c r="U1711" s="4"/>
      <c r="V1711" s="4"/>
      <c r="W1711" s="4"/>
    </row>
    <row r="1712" spans="1:23" customFormat="1">
      <c r="A1712" s="10"/>
      <c r="B1712" s="4"/>
      <c r="C1712" s="4"/>
      <c r="D1712" s="4"/>
      <c r="E1712" s="4"/>
      <c r="F1712" s="152" t="s">
        <v>372</v>
      </c>
      <c r="G1712" s="4" t="s">
        <v>309</v>
      </c>
      <c r="H1712" s="4"/>
      <c r="I1712" s="196">
        <v>-272934.90000000002</v>
      </c>
      <c r="J1712" s="196">
        <v>-185.67</v>
      </c>
      <c r="K1712" s="196">
        <v>1470</v>
      </c>
      <c r="L1712" s="454" t="s">
        <v>1239</v>
      </c>
      <c r="M1712" s="4" t="s">
        <v>780</v>
      </c>
      <c r="N1712" s="133" t="s">
        <v>1407</v>
      </c>
      <c r="O1712" s="4" t="s">
        <v>2601</v>
      </c>
      <c r="P1712" s="4" t="s">
        <v>892</v>
      </c>
      <c r="Q1712" s="4" t="s">
        <v>2602</v>
      </c>
      <c r="R1712" s="4" t="s">
        <v>2605</v>
      </c>
      <c r="S1712" s="4" t="s">
        <v>2604</v>
      </c>
      <c r="T1712" s="4" t="s">
        <v>786</v>
      </c>
      <c r="U1712" s="4"/>
      <c r="V1712" s="4"/>
      <c r="W1712" s="4"/>
    </row>
    <row r="1713" spans="1:23" customFormat="1">
      <c r="A1713" s="10"/>
      <c r="B1713" s="4"/>
      <c r="C1713" s="4"/>
      <c r="D1713" s="4"/>
      <c r="E1713" s="4"/>
      <c r="F1713" s="152" t="s">
        <v>372</v>
      </c>
      <c r="G1713" s="4" t="s">
        <v>309</v>
      </c>
      <c r="H1713" s="4"/>
      <c r="I1713" s="196">
        <v>-313110</v>
      </c>
      <c r="J1713" s="196">
        <v>-213</v>
      </c>
      <c r="K1713" s="196">
        <v>1470</v>
      </c>
      <c r="L1713" s="454" t="s">
        <v>1239</v>
      </c>
      <c r="M1713" s="4" t="s">
        <v>780</v>
      </c>
      <c r="N1713" s="133" t="s">
        <v>1407</v>
      </c>
      <c r="O1713" s="4" t="s">
        <v>2601</v>
      </c>
      <c r="P1713" s="4" t="s">
        <v>892</v>
      </c>
      <c r="Q1713" s="4" t="s">
        <v>2602</v>
      </c>
      <c r="R1713" s="4" t="s">
        <v>2608</v>
      </c>
      <c r="S1713" s="4" t="s">
        <v>2604</v>
      </c>
      <c r="T1713" s="4" t="s">
        <v>786</v>
      </c>
      <c r="U1713" s="4"/>
      <c r="V1713" s="4"/>
      <c r="W1713" s="4"/>
    </row>
    <row r="1714" spans="1:23" customFormat="1">
      <c r="A1714" s="10"/>
      <c r="B1714" s="4"/>
      <c r="C1714" s="4"/>
      <c r="D1714" s="4"/>
      <c r="E1714" s="4"/>
      <c r="F1714" s="152" t="s">
        <v>372</v>
      </c>
      <c r="G1714" s="4" t="s">
        <v>309</v>
      </c>
      <c r="H1714" s="4"/>
      <c r="I1714" s="196">
        <v>-735000</v>
      </c>
      <c r="J1714" s="196">
        <v>-500</v>
      </c>
      <c r="K1714" s="196">
        <v>1470</v>
      </c>
      <c r="L1714" s="454" t="s">
        <v>1239</v>
      </c>
      <c r="M1714" s="4" t="s">
        <v>780</v>
      </c>
      <c r="N1714" s="133" t="s">
        <v>1407</v>
      </c>
      <c r="O1714" s="4" t="s">
        <v>2601</v>
      </c>
      <c r="P1714" s="4" t="s">
        <v>892</v>
      </c>
      <c r="Q1714" s="4" t="s">
        <v>2602</v>
      </c>
      <c r="R1714" s="4" t="s">
        <v>2610</v>
      </c>
      <c r="S1714" s="4" t="s">
        <v>2604</v>
      </c>
      <c r="T1714" s="4" t="s">
        <v>786</v>
      </c>
      <c r="U1714" s="4"/>
      <c r="V1714" s="4"/>
      <c r="W1714" s="4"/>
    </row>
    <row r="1715" spans="1:23" customFormat="1">
      <c r="A1715" s="10"/>
      <c r="B1715" s="4"/>
      <c r="C1715" s="4"/>
      <c r="D1715" s="4"/>
      <c r="E1715" s="4"/>
      <c r="F1715" s="152" t="s">
        <v>372</v>
      </c>
      <c r="G1715" s="4" t="s">
        <v>309</v>
      </c>
      <c r="H1715" s="4"/>
      <c r="I1715" s="196">
        <v>-3528000</v>
      </c>
      <c r="J1715" s="196">
        <v>-2400</v>
      </c>
      <c r="K1715" s="196">
        <v>1470</v>
      </c>
      <c r="L1715" s="454" t="s">
        <v>1239</v>
      </c>
      <c r="M1715" s="4" t="s">
        <v>780</v>
      </c>
      <c r="N1715" s="133" t="s">
        <v>1407</v>
      </c>
      <c r="O1715" s="4" t="s">
        <v>2601</v>
      </c>
      <c r="P1715" s="4" t="s">
        <v>892</v>
      </c>
      <c r="Q1715" s="4" t="s">
        <v>2602</v>
      </c>
      <c r="R1715" s="4" t="s">
        <v>2607</v>
      </c>
      <c r="S1715" s="4" t="s">
        <v>2604</v>
      </c>
      <c r="T1715" s="4" t="s">
        <v>786</v>
      </c>
      <c r="U1715" s="4"/>
      <c r="V1715" s="4"/>
      <c r="W1715" s="4"/>
    </row>
    <row r="1716" spans="1:23" customFormat="1">
      <c r="A1716" s="10"/>
      <c r="B1716" s="4"/>
      <c r="C1716" s="4"/>
      <c r="D1716" s="4"/>
      <c r="E1716" s="4"/>
      <c r="F1716" s="152" t="s">
        <v>372</v>
      </c>
      <c r="G1716" s="4" t="s">
        <v>309</v>
      </c>
      <c r="H1716" s="4"/>
      <c r="I1716" s="196">
        <v>-1470000</v>
      </c>
      <c r="J1716" s="196">
        <v>-1000</v>
      </c>
      <c r="K1716" s="196">
        <v>1470</v>
      </c>
      <c r="L1716" s="454" t="s">
        <v>1239</v>
      </c>
      <c r="M1716" s="4" t="s">
        <v>780</v>
      </c>
      <c r="N1716" s="133" t="s">
        <v>1407</v>
      </c>
      <c r="O1716" s="4" t="s">
        <v>2601</v>
      </c>
      <c r="P1716" s="4" t="s">
        <v>892</v>
      </c>
      <c r="Q1716" s="4" t="s">
        <v>2602</v>
      </c>
      <c r="R1716" s="4" t="s">
        <v>2560</v>
      </c>
      <c r="S1716" s="4" t="s">
        <v>2604</v>
      </c>
      <c r="T1716" s="4" t="s">
        <v>786</v>
      </c>
      <c r="U1716" s="4"/>
      <c r="V1716" s="4"/>
      <c r="W1716" s="4"/>
    </row>
    <row r="1717" spans="1:23" customFormat="1">
      <c r="A1717" s="10"/>
      <c r="B1717" s="4"/>
      <c r="C1717" s="4"/>
      <c r="D1717" s="4"/>
      <c r="E1717" s="4"/>
      <c r="F1717" s="152" t="s">
        <v>372</v>
      </c>
      <c r="G1717" s="4" t="s">
        <v>309</v>
      </c>
      <c r="H1717" s="4"/>
      <c r="I1717" s="196">
        <v>-242550</v>
      </c>
      <c r="J1717" s="196">
        <v>-165</v>
      </c>
      <c r="K1717" s="196">
        <v>1470</v>
      </c>
      <c r="L1717" s="454" t="s">
        <v>1239</v>
      </c>
      <c r="M1717" s="4" t="s">
        <v>780</v>
      </c>
      <c r="N1717" s="133" t="s">
        <v>1407</v>
      </c>
      <c r="O1717" s="4" t="s">
        <v>2601</v>
      </c>
      <c r="P1717" s="4" t="s">
        <v>892</v>
      </c>
      <c r="Q1717" s="4" t="s">
        <v>2602</v>
      </c>
      <c r="R1717" s="4" t="s">
        <v>2609</v>
      </c>
      <c r="S1717" s="4" t="s">
        <v>2604</v>
      </c>
      <c r="T1717" s="4" t="s">
        <v>786</v>
      </c>
      <c r="U1717" s="4"/>
      <c r="V1717" s="4"/>
      <c r="W1717" s="4"/>
    </row>
    <row r="1718" spans="1:23" customFormat="1">
      <c r="A1718" s="10"/>
      <c r="B1718" s="4"/>
      <c r="C1718" s="4"/>
      <c r="D1718" s="4"/>
      <c r="E1718" s="4"/>
      <c r="F1718" s="152" t="s">
        <v>372</v>
      </c>
      <c r="G1718" s="4" t="s">
        <v>309</v>
      </c>
      <c r="H1718" s="4"/>
      <c r="I1718" s="196">
        <v>-882000</v>
      </c>
      <c r="J1718" s="196">
        <v>-600</v>
      </c>
      <c r="K1718" s="196">
        <v>1470</v>
      </c>
      <c r="L1718" s="454" t="s">
        <v>1239</v>
      </c>
      <c r="M1718" s="4" t="s">
        <v>780</v>
      </c>
      <c r="N1718" s="133" t="s">
        <v>1407</v>
      </c>
      <c r="O1718" s="4" t="s">
        <v>2601</v>
      </c>
      <c r="P1718" s="4" t="s">
        <v>892</v>
      </c>
      <c r="Q1718" s="4" t="s">
        <v>2602</v>
      </c>
      <c r="R1718" s="4" t="s">
        <v>2606</v>
      </c>
      <c r="S1718" s="4" t="s">
        <v>2604</v>
      </c>
      <c r="T1718" s="4" t="s">
        <v>786</v>
      </c>
      <c r="U1718" s="4"/>
      <c r="V1718" s="4"/>
      <c r="W1718" s="4"/>
    </row>
    <row r="1719" spans="1:23" customFormat="1">
      <c r="A1719" s="10"/>
      <c r="B1719" s="4"/>
      <c r="C1719" s="4"/>
      <c r="D1719" s="4"/>
      <c r="E1719" s="4"/>
      <c r="F1719" s="152" t="s">
        <v>372</v>
      </c>
      <c r="G1719" s="4" t="s">
        <v>309</v>
      </c>
      <c r="H1719" s="4"/>
      <c r="I1719" s="196">
        <v>14200000</v>
      </c>
      <c r="J1719" s="196">
        <v>10000</v>
      </c>
      <c r="K1719" s="196">
        <v>1420</v>
      </c>
      <c r="L1719" s="454" t="s">
        <v>2668</v>
      </c>
      <c r="M1719" s="4" t="s">
        <v>780</v>
      </c>
      <c r="N1719" s="133" t="s">
        <v>1407</v>
      </c>
      <c r="O1719" s="4" t="s">
        <v>2669</v>
      </c>
      <c r="P1719" s="4" t="s">
        <v>892</v>
      </c>
      <c r="Q1719" s="4" t="s">
        <v>2670</v>
      </c>
      <c r="R1719" s="4" t="s">
        <v>2671</v>
      </c>
      <c r="S1719" s="4" t="s">
        <v>2672</v>
      </c>
      <c r="T1719" s="4" t="s">
        <v>786</v>
      </c>
      <c r="U1719" s="4"/>
      <c r="V1719" s="4"/>
      <c r="W1719" s="4"/>
    </row>
    <row r="1720" spans="1:23" customFormat="1">
      <c r="A1720" s="10"/>
      <c r="B1720" s="4"/>
      <c r="C1720" s="4"/>
      <c r="D1720" s="4"/>
      <c r="E1720" s="4"/>
      <c r="F1720" s="152" t="s">
        <v>671</v>
      </c>
      <c r="G1720" s="4" t="s">
        <v>672</v>
      </c>
      <c r="H1720" s="4"/>
      <c r="I1720" s="196">
        <v>21300000</v>
      </c>
      <c r="J1720" s="196">
        <v>15000</v>
      </c>
      <c r="K1720" s="196">
        <v>1420</v>
      </c>
      <c r="L1720" s="454" t="s">
        <v>779</v>
      </c>
      <c r="M1720" s="4" t="s">
        <v>780</v>
      </c>
      <c r="N1720" s="133" t="s">
        <v>781</v>
      </c>
      <c r="O1720" s="4" t="s">
        <v>782</v>
      </c>
      <c r="P1720" s="4" t="s">
        <v>783</v>
      </c>
      <c r="Q1720" s="4" t="s">
        <v>784</v>
      </c>
      <c r="R1720" s="4"/>
      <c r="S1720" s="4" t="s">
        <v>785</v>
      </c>
      <c r="T1720" s="4" t="s">
        <v>786</v>
      </c>
      <c r="U1720" s="4"/>
      <c r="V1720" s="4"/>
      <c r="W1720" s="4"/>
    </row>
    <row r="1721" spans="1:23" customFormat="1">
      <c r="A1721" s="10"/>
      <c r="B1721" s="4"/>
      <c r="C1721" s="4"/>
      <c r="D1721" s="4"/>
      <c r="E1721" s="4"/>
      <c r="F1721" s="152" t="s">
        <v>671</v>
      </c>
      <c r="G1721" s="4" t="s">
        <v>672</v>
      </c>
      <c r="H1721" s="4"/>
      <c r="I1721" s="196">
        <v>4260000</v>
      </c>
      <c r="J1721" s="196">
        <v>3000</v>
      </c>
      <c r="K1721" s="196">
        <v>1420</v>
      </c>
      <c r="L1721" s="454" t="s">
        <v>787</v>
      </c>
      <c r="M1721" s="4" t="s">
        <v>780</v>
      </c>
      <c r="N1721" s="133" t="s">
        <v>781</v>
      </c>
      <c r="O1721" s="4" t="s">
        <v>788</v>
      </c>
      <c r="P1721" s="4" t="s">
        <v>783</v>
      </c>
      <c r="Q1721" s="4" t="s">
        <v>789</v>
      </c>
      <c r="R1721" s="4"/>
      <c r="S1721" s="4" t="s">
        <v>790</v>
      </c>
      <c r="T1721" s="4" t="s">
        <v>786</v>
      </c>
      <c r="U1721" s="4"/>
      <c r="V1721" s="4"/>
      <c r="W1721" s="4"/>
    </row>
    <row r="1722" spans="1:23" customFormat="1">
      <c r="A1722" s="10"/>
      <c r="B1722" s="4"/>
      <c r="C1722" s="4"/>
      <c r="D1722" s="4"/>
      <c r="E1722" s="4"/>
      <c r="F1722" s="152" t="s">
        <v>671</v>
      </c>
      <c r="G1722" s="4" t="s">
        <v>672</v>
      </c>
      <c r="H1722" s="4"/>
      <c r="I1722" s="196">
        <v>2919278.6</v>
      </c>
      <c r="J1722" s="196">
        <v>2055.83</v>
      </c>
      <c r="K1722" s="196">
        <v>1420</v>
      </c>
      <c r="L1722" s="454" t="s">
        <v>779</v>
      </c>
      <c r="M1722" s="4" t="s">
        <v>780</v>
      </c>
      <c r="N1722" s="133" t="s">
        <v>781</v>
      </c>
      <c r="O1722" s="4" t="s">
        <v>791</v>
      </c>
      <c r="P1722" s="4" t="s">
        <v>783</v>
      </c>
      <c r="Q1722" s="4" t="s">
        <v>792</v>
      </c>
      <c r="R1722" s="4"/>
      <c r="S1722" s="4" t="s">
        <v>793</v>
      </c>
      <c r="T1722" s="4" t="s">
        <v>786</v>
      </c>
      <c r="U1722" s="4"/>
      <c r="V1722" s="4"/>
      <c r="W1722" s="4"/>
    </row>
    <row r="1723" spans="1:23" customFormat="1">
      <c r="A1723" s="10"/>
      <c r="B1723" s="4"/>
      <c r="C1723" s="4"/>
      <c r="D1723" s="4"/>
      <c r="E1723" s="4"/>
      <c r="F1723" s="152" t="s">
        <v>671</v>
      </c>
      <c r="G1723" s="4" t="s">
        <v>672</v>
      </c>
      <c r="H1723" s="4"/>
      <c r="I1723" s="196">
        <v>549128.19999999995</v>
      </c>
      <c r="J1723" s="196">
        <v>386.71</v>
      </c>
      <c r="K1723" s="196">
        <v>1420</v>
      </c>
      <c r="L1723" s="454" t="s">
        <v>779</v>
      </c>
      <c r="M1723" s="4" t="s">
        <v>780</v>
      </c>
      <c r="N1723" s="133" t="s">
        <v>781</v>
      </c>
      <c r="O1723" s="4" t="s">
        <v>794</v>
      </c>
      <c r="P1723" s="4" t="s">
        <v>783</v>
      </c>
      <c r="Q1723" s="4" t="s">
        <v>795</v>
      </c>
      <c r="R1723" s="4"/>
      <c r="S1723" s="4" t="s">
        <v>796</v>
      </c>
      <c r="T1723" s="4" t="s">
        <v>786</v>
      </c>
      <c r="U1723" s="4"/>
      <c r="V1723" s="4"/>
      <c r="W1723" s="4"/>
    </row>
    <row r="1724" spans="1:23" customFormat="1">
      <c r="A1724" s="10"/>
      <c r="B1724" s="4"/>
      <c r="C1724" s="4"/>
      <c r="D1724" s="4"/>
      <c r="E1724" s="4"/>
      <c r="F1724" s="152" t="s">
        <v>671</v>
      </c>
      <c r="G1724" s="4" t="s">
        <v>672</v>
      </c>
      <c r="H1724" s="4"/>
      <c r="I1724" s="196">
        <v>150789.79999999999</v>
      </c>
      <c r="J1724" s="196">
        <v>106.19</v>
      </c>
      <c r="K1724" s="196">
        <v>1420</v>
      </c>
      <c r="L1724" s="454" t="s">
        <v>787</v>
      </c>
      <c r="M1724" s="4" t="s">
        <v>780</v>
      </c>
      <c r="N1724" s="133" t="s">
        <v>781</v>
      </c>
      <c r="O1724" s="4" t="s">
        <v>797</v>
      </c>
      <c r="P1724" s="4" t="s">
        <v>783</v>
      </c>
      <c r="Q1724" s="4" t="s">
        <v>798</v>
      </c>
      <c r="R1724" s="4"/>
      <c r="S1724" s="4" t="s">
        <v>799</v>
      </c>
      <c r="T1724" s="4" t="s">
        <v>786</v>
      </c>
      <c r="U1724" s="4"/>
      <c r="V1724" s="4"/>
      <c r="W1724" s="4"/>
    </row>
    <row r="1725" spans="1:23" customFormat="1">
      <c r="A1725" s="10"/>
      <c r="B1725" s="4"/>
      <c r="C1725" s="4"/>
      <c r="D1725" s="4"/>
      <c r="E1725" s="4"/>
      <c r="F1725" s="152" t="s">
        <v>671</v>
      </c>
      <c r="G1725" s="4" t="s">
        <v>672</v>
      </c>
      <c r="H1725" s="4"/>
      <c r="I1725" s="196">
        <v>1391.6</v>
      </c>
      <c r="J1725" s="196">
        <v>0.98</v>
      </c>
      <c r="K1725" s="196">
        <v>1420</v>
      </c>
      <c r="L1725" s="454" t="s">
        <v>787</v>
      </c>
      <c r="M1725" s="4" t="s">
        <v>780</v>
      </c>
      <c r="N1725" s="133" t="s">
        <v>781</v>
      </c>
      <c r="O1725" s="4" t="s">
        <v>800</v>
      </c>
      <c r="P1725" s="4" t="s">
        <v>783</v>
      </c>
      <c r="Q1725" s="4" t="s">
        <v>801</v>
      </c>
      <c r="R1725" s="4" t="s">
        <v>802</v>
      </c>
      <c r="S1725" s="4" t="s">
        <v>803</v>
      </c>
      <c r="T1725" s="4" t="s">
        <v>786</v>
      </c>
      <c r="U1725" s="4"/>
      <c r="V1725" s="4"/>
      <c r="W1725" s="4"/>
    </row>
    <row r="1726" spans="1:23" customFormat="1">
      <c r="A1726" s="10"/>
      <c r="B1726" s="4"/>
      <c r="C1726" s="4"/>
      <c r="D1726" s="4"/>
      <c r="E1726" s="4"/>
      <c r="F1726" s="152" t="s">
        <v>671</v>
      </c>
      <c r="G1726" s="4" t="s">
        <v>672</v>
      </c>
      <c r="H1726" s="4"/>
      <c r="I1726" s="196">
        <v>-2712.2</v>
      </c>
      <c r="J1726" s="196">
        <v>-1.91</v>
      </c>
      <c r="K1726" s="196">
        <v>1420</v>
      </c>
      <c r="L1726" s="454" t="s">
        <v>787</v>
      </c>
      <c r="M1726" s="4" t="s">
        <v>780</v>
      </c>
      <c r="N1726" s="133" t="s">
        <v>781</v>
      </c>
      <c r="O1726" s="4" t="s">
        <v>855</v>
      </c>
      <c r="P1726" s="4" t="s">
        <v>783</v>
      </c>
      <c r="Q1726" s="4" t="s">
        <v>856</v>
      </c>
      <c r="R1726" s="4" t="s">
        <v>832</v>
      </c>
      <c r="S1726" s="4" t="s">
        <v>857</v>
      </c>
      <c r="T1726" s="4" t="s">
        <v>786</v>
      </c>
      <c r="U1726" s="4"/>
      <c r="V1726" s="4"/>
      <c r="W1726" s="4"/>
    </row>
    <row r="1727" spans="1:23" customFormat="1">
      <c r="A1727" s="10"/>
      <c r="B1727" s="4"/>
      <c r="C1727" s="4"/>
      <c r="D1727" s="4"/>
      <c r="E1727" s="4"/>
      <c r="F1727" s="152" t="s">
        <v>671</v>
      </c>
      <c r="G1727" s="4" t="s">
        <v>672</v>
      </c>
      <c r="H1727" s="4"/>
      <c r="I1727" s="196">
        <v>-439731.4</v>
      </c>
      <c r="J1727" s="196">
        <v>-309.67</v>
      </c>
      <c r="K1727" s="196">
        <v>1420</v>
      </c>
      <c r="L1727" s="454" t="s">
        <v>787</v>
      </c>
      <c r="M1727" s="4" t="s">
        <v>780</v>
      </c>
      <c r="N1727" s="133" t="s">
        <v>781</v>
      </c>
      <c r="O1727" s="4" t="s">
        <v>855</v>
      </c>
      <c r="P1727" s="4" t="s">
        <v>783</v>
      </c>
      <c r="Q1727" s="4" t="s">
        <v>856</v>
      </c>
      <c r="R1727" s="4" t="s">
        <v>858</v>
      </c>
      <c r="S1727" s="4" t="s">
        <v>857</v>
      </c>
      <c r="T1727" s="4" t="s">
        <v>786</v>
      </c>
      <c r="U1727" s="4"/>
      <c r="V1727" s="4"/>
      <c r="W1727" s="4"/>
    </row>
    <row r="1728" spans="1:23" customFormat="1">
      <c r="A1728" s="10"/>
      <c r="B1728" s="4"/>
      <c r="C1728" s="4"/>
      <c r="D1728" s="4"/>
      <c r="E1728" s="4"/>
      <c r="F1728" s="152" t="s">
        <v>671</v>
      </c>
      <c r="G1728" s="4" t="s">
        <v>672</v>
      </c>
      <c r="H1728" s="4"/>
      <c r="I1728" s="196">
        <v>-11341639.4</v>
      </c>
      <c r="J1728" s="196">
        <v>-7987.07</v>
      </c>
      <c r="K1728" s="196">
        <v>1420</v>
      </c>
      <c r="L1728" s="454" t="s">
        <v>787</v>
      </c>
      <c r="M1728" s="4" t="s">
        <v>780</v>
      </c>
      <c r="N1728" s="133" t="s">
        <v>781</v>
      </c>
      <c r="O1728" s="4" t="s">
        <v>855</v>
      </c>
      <c r="P1728" s="4" t="s">
        <v>783</v>
      </c>
      <c r="Q1728" s="4" t="s">
        <v>856</v>
      </c>
      <c r="R1728" s="4" t="s">
        <v>861</v>
      </c>
      <c r="S1728" s="4" t="s">
        <v>857</v>
      </c>
      <c r="T1728" s="4" t="s">
        <v>786</v>
      </c>
      <c r="U1728" s="4"/>
      <c r="V1728" s="4"/>
      <c r="W1728" s="4"/>
    </row>
    <row r="1729" spans="1:23" customFormat="1">
      <c r="A1729" s="10"/>
      <c r="B1729" s="4"/>
      <c r="C1729" s="4"/>
      <c r="D1729" s="4"/>
      <c r="E1729" s="4"/>
      <c r="F1729" s="152" t="s">
        <v>671</v>
      </c>
      <c r="G1729" s="4" t="s">
        <v>672</v>
      </c>
      <c r="H1729" s="4"/>
      <c r="I1729" s="196">
        <v>-731697.6</v>
      </c>
      <c r="J1729" s="196">
        <v>-515.28</v>
      </c>
      <c r="K1729" s="196">
        <v>1420</v>
      </c>
      <c r="L1729" s="454" t="s">
        <v>787</v>
      </c>
      <c r="M1729" s="4" t="s">
        <v>780</v>
      </c>
      <c r="N1729" s="133" t="s">
        <v>781</v>
      </c>
      <c r="O1729" s="4" t="s">
        <v>855</v>
      </c>
      <c r="P1729" s="4" t="s">
        <v>783</v>
      </c>
      <c r="Q1729" s="4" t="s">
        <v>856</v>
      </c>
      <c r="R1729" s="4" t="s">
        <v>863</v>
      </c>
      <c r="S1729" s="4" t="s">
        <v>857</v>
      </c>
      <c r="T1729" s="4" t="s">
        <v>786</v>
      </c>
      <c r="U1729" s="4"/>
      <c r="V1729" s="4"/>
      <c r="W1729" s="4"/>
    </row>
    <row r="1730" spans="1:23" customFormat="1">
      <c r="A1730" s="10"/>
      <c r="B1730" s="4"/>
      <c r="C1730" s="4"/>
      <c r="D1730" s="4"/>
      <c r="E1730" s="4"/>
      <c r="F1730" s="152" t="s">
        <v>671</v>
      </c>
      <c r="G1730" s="4" t="s">
        <v>672</v>
      </c>
      <c r="H1730" s="4"/>
      <c r="I1730" s="196">
        <v>-2712.2</v>
      </c>
      <c r="J1730" s="196">
        <v>-1.91</v>
      </c>
      <c r="K1730" s="196">
        <v>1420</v>
      </c>
      <c r="L1730" s="454" t="s">
        <v>787</v>
      </c>
      <c r="M1730" s="4" t="s">
        <v>780</v>
      </c>
      <c r="N1730" s="133" t="s">
        <v>781</v>
      </c>
      <c r="O1730" s="4" t="s">
        <v>855</v>
      </c>
      <c r="P1730" s="4" t="s">
        <v>783</v>
      </c>
      <c r="Q1730" s="4" t="s">
        <v>856</v>
      </c>
      <c r="R1730" s="4" t="s">
        <v>832</v>
      </c>
      <c r="S1730" s="4" t="s">
        <v>857</v>
      </c>
      <c r="T1730" s="4" t="s">
        <v>786</v>
      </c>
      <c r="U1730" s="4"/>
      <c r="V1730" s="4"/>
      <c r="W1730" s="4"/>
    </row>
    <row r="1731" spans="1:23" customFormat="1">
      <c r="A1731" s="10"/>
      <c r="B1731" s="4"/>
      <c r="C1731" s="4"/>
      <c r="D1731" s="4"/>
      <c r="E1731" s="4"/>
      <c r="F1731" s="152" t="s">
        <v>671</v>
      </c>
      <c r="G1731" s="4" t="s">
        <v>672</v>
      </c>
      <c r="H1731" s="4"/>
      <c r="I1731" s="196">
        <v>-110632.2</v>
      </c>
      <c r="J1731" s="196">
        <v>-77.91</v>
      </c>
      <c r="K1731" s="196">
        <v>1420</v>
      </c>
      <c r="L1731" s="454" t="s">
        <v>787</v>
      </c>
      <c r="M1731" s="4" t="s">
        <v>780</v>
      </c>
      <c r="N1731" s="133" t="s">
        <v>781</v>
      </c>
      <c r="O1731" s="4" t="s">
        <v>855</v>
      </c>
      <c r="P1731" s="4" t="s">
        <v>783</v>
      </c>
      <c r="Q1731" s="4" t="s">
        <v>856</v>
      </c>
      <c r="R1731" s="4" t="s">
        <v>864</v>
      </c>
      <c r="S1731" s="4" t="s">
        <v>857</v>
      </c>
      <c r="T1731" s="4" t="s">
        <v>786</v>
      </c>
      <c r="U1731" s="4"/>
      <c r="V1731" s="4"/>
      <c r="W1731" s="4"/>
    </row>
    <row r="1732" spans="1:23" customFormat="1">
      <c r="A1732" s="10"/>
      <c r="B1732" s="4"/>
      <c r="C1732" s="4"/>
      <c r="D1732" s="4"/>
      <c r="E1732" s="4"/>
      <c r="F1732" s="152" t="s">
        <v>671</v>
      </c>
      <c r="G1732" s="4" t="s">
        <v>672</v>
      </c>
      <c r="H1732" s="4"/>
      <c r="I1732" s="196">
        <v>-131832.79999999999</v>
      </c>
      <c r="J1732" s="196">
        <v>-92.84</v>
      </c>
      <c r="K1732" s="196">
        <v>1420</v>
      </c>
      <c r="L1732" s="454" t="s">
        <v>787</v>
      </c>
      <c r="M1732" s="4" t="s">
        <v>780</v>
      </c>
      <c r="N1732" s="133" t="s">
        <v>781</v>
      </c>
      <c r="O1732" s="4" t="s">
        <v>855</v>
      </c>
      <c r="P1732" s="4" t="s">
        <v>783</v>
      </c>
      <c r="Q1732" s="4" t="s">
        <v>856</v>
      </c>
      <c r="R1732" s="4" t="s">
        <v>865</v>
      </c>
      <c r="S1732" s="4" t="s">
        <v>857</v>
      </c>
      <c r="T1732" s="4" t="s">
        <v>786</v>
      </c>
      <c r="U1732" s="4"/>
      <c r="V1732" s="4"/>
      <c r="W1732" s="4"/>
    </row>
    <row r="1733" spans="1:23" customFormat="1">
      <c r="A1733" s="10"/>
      <c r="B1733" s="4"/>
      <c r="C1733" s="4"/>
      <c r="D1733" s="4"/>
      <c r="E1733" s="4"/>
      <c r="F1733" s="152" t="s">
        <v>671</v>
      </c>
      <c r="G1733" s="4" t="s">
        <v>672</v>
      </c>
      <c r="H1733" s="4"/>
      <c r="I1733" s="196">
        <v>-2712.2</v>
      </c>
      <c r="J1733" s="196">
        <v>-1.91</v>
      </c>
      <c r="K1733" s="196">
        <v>1420</v>
      </c>
      <c r="L1733" s="454" t="s">
        <v>787</v>
      </c>
      <c r="M1733" s="4" t="s">
        <v>780</v>
      </c>
      <c r="N1733" s="133" t="s">
        <v>781</v>
      </c>
      <c r="O1733" s="4" t="s">
        <v>855</v>
      </c>
      <c r="P1733" s="4" t="s">
        <v>783</v>
      </c>
      <c r="Q1733" s="4" t="s">
        <v>856</v>
      </c>
      <c r="R1733" s="4" t="s">
        <v>832</v>
      </c>
      <c r="S1733" s="4" t="s">
        <v>857</v>
      </c>
      <c r="T1733" s="4" t="s">
        <v>786</v>
      </c>
      <c r="U1733" s="4"/>
      <c r="V1733" s="4"/>
      <c r="W1733" s="4"/>
    </row>
    <row r="1734" spans="1:23" customFormat="1">
      <c r="A1734" s="10"/>
      <c r="B1734" s="4"/>
      <c r="C1734" s="4"/>
      <c r="D1734" s="4"/>
      <c r="E1734" s="4"/>
      <c r="F1734" s="152" t="s">
        <v>671</v>
      </c>
      <c r="G1734" s="4" t="s">
        <v>672</v>
      </c>
      <c r="H1734" s="4"/>
      <c r="I1734" s="196">
        <v>-1915892.4</v>
      </c>
      <c r="J1734" s="196">
        <v>-1349.22</v>
      </c>
      <c r="K1734" s="196">
        <v>1420</v>
      </c>
      <c r="L1734" s="454" t="s">
        <v>787</v>
      </c>
      <c r="M1734" s="4" t="s">
        <v>780</v>
      </c>
      <c r="N1734" s="133" t="s">
        <v>781</v>
      </c>
      <c r="O1734" s="4" t="s">
        <v>855</v>
      </c>
      <c r="P1734" s="4" t="s">
        <v>783</v>
      </c>
      <c r="Q1734" s="4" t="s">
        <v>856</v>
      </c>
      <c r="R1734" s="4" t="s">
        <v>862</v>
      </c>
      <c r="S1734" s="4" t="s">
        <v>857</v>
      </c>
      <c r="T1734" s="4" t="s">
        <v>786</v>
      </c>
      <c r="U1734" s="4"/>
      <c r="V1734" s="4"/>
      <c r="W1734" s="4"/>
    </row>
    <row r="1735" spans="1:23" customFormat="1">
      <c r="A1735" s="10"/>
      <c r="B1735" s="4"/>
      <c r="C1735" s="4"/>
      <c r="D1735" s="4"/>
      <c r="E1735" s="4"/>
      <c r="F1735" s="152" t="s">
        <v>671</v>
      </c>
      <c r="G1735" s="4" t="s">
        <v>672</v>
      </c>
      <c r="H1735" s="4"/>
      <c r="I1735" s="196">
        <v>-932073.8</v>
      </c>
      <c r="J1735" s="196">
        <v>-656.39</v>
      </c>
      <c r="K1735" s="196">
        <v>1420</v>
      </c>
      <c r="L1735" s="454" t="s">
        <v>787</v>
      </c>
      <c r="M1735" s="4" t="s">
        <v>780</v>
      </c>
      <c r="N1735" s="133" t="s">
        <v>781</v>
      </c>
      <c r="O1735" s="4" t="s">
        <v>855</v>
      </c>
      <c r="P1735" s="4" t="s">
        <v>783</v>
      </c>
      <c r="Q1735" s="4" t="s">
        <v>856</v>
      </c>
      <c r="R1735" s="4" t="s">
        <v>867</v>
      </c>
      <c r="S1735" s="4" t="s">
        <v>857</v>
      </c>
      <c r="T1735" s="4" t="s">
        <v>786</v>
      </c>
      <c r="U1735" s="4"/>
      <c r="V1735" s="4"/>
      <c r="W1735" s="4"/>
    </row>
    <row r="1736" spans="1:23" customFormat="1">
      <c r="A1736" s="10"/>
      <c r="B1736" s="4"/>
      <c r="C1736" s="4"/>
      <c r="D1736" s="4"/>
      <c r="E1736" s="4"/>
      <c r="F1736" s="152" t="s">
        <v>671</v>
      </c>
      <c r="G1736" s="4" t="s">
        <v>672</v>
      </c>
      <c r="H1736" s="4"/>
      <c r="I1736" s="196">
        <v>-622499.6</v>
      </c>
      <c r="J1736" s="196">
        <v>-438.38</v>
      </c>
      <c r="K1736" s="196">
        <v>1420</v>
      </c>
      <c r="L1736" s="454" t="s">
        <v>787</v>
      </c>
      <c r="M1736" s="4" t="s">
        <v>780</v>
      </c>
      <c r="N1736" s="133" t="s">
        <v>781</v>
      </c>
      <c r="O1736" s="4" t="s">
        <v>855</v>
      </c>
      <c r="P1736" s="4" t="s">
        <v>783</v>
      </c>
      <c r="Q1736" s="4" t="s">
        <v>856</v>
      </c>
      <c r="R1736" s="4" t="s">
        <v>868</v>
      </c>
      <c r="S1736" s="4" t="s">
        <v>857</v>
      </c>
      <c r="T1736" s="4" t="s">
        <v>786</v>
      </c>
      <c r="U1736" s="4"/>
      <c r="V1736" s="4"/>
      <c r="W1736" s="4"/>
    </row>
    <row r="1737" spans="1:23" customFormat="1">
      <c r="A1737" s="10"/>
      <c r="B1737" s="4"/>
      <c r="C1737" s="4"/>
      <c r="D1737" s="4"/>
      <c r="E1737" s="4"/>
      <c r="F1737" s="152" t="s">
        <v>671</v>
      </c>
      <c r="G1737" s="4" t="s">
        <v>672</v>
      </c>
      <c r="H1737" s="4"/>
      <c r="I1737" s="196">
        <v>-622144.6</v>
      </c>
      <c r="J1737" s="196">
        <v>-438.13</v>
      </c>
      <c r="K1737" s="196">
        <v>1420</v>
      </c>
      <c r="L1737" s="454" t="s">
        <v>787</v>
      </c>
      <c r="M1737" s="4" t="s">
        <v>780</v>
      </c>
      <c r="N1737" s="133" t="s">
        <v>781</v>
      </c>
      <c r="O1737" s="4" t="s">
        <v>855</v>
      </c>
      <c r="P1737" s="4" t="s">
        <v>783</v>
      </c>
      <c r="Q1737" s="4" t="s">
        <v>856</v>
      </c>
      <c r="R1737" s="4" t="s">
        <v>860</v>
      </c>
      <c r="S1737" s="4" t="s">
        <v>857</v>
      </c>
      <c r="T1737" s="4" t="s">
        <v>786</v>
      </c>
      <c r="U1737" s="4"/>
      <c r="V1737" s="4"/>
      <c r="W1737" s="4"/>
    </row>
    <row r="1738" spans="1:23" customFormat="1">
      <c r="A1738" s="10"/>
      <c r="B1738" s="4"/>
      <c r="C1738" s="4"/>
      <c r="D1738" s="4"/>
      <c r="E1738" s="4"/>
      <c r="F1738" s="152" t="s">
        <v>671</v>
      </c>
      <c r="G1738" s="4" t="s">
        <v>672</v>
      </c>
      <c r="H1738" s="4"/>
      <c r="I1738" s="196">
        <v>-2712.2</v>
      </c>
      <c r="J1738" s="196">
        <v>-1.91</v>
      </c>
      <c r="K1738" s="196">
        <v>1420</v>
      </c>
      <c r="L1738" s="454" t="s">
        <v>787</v>
      </c>
      <c r="M1738" s="4" t="s">
        <v>780</v>
      </c>
      <c r="N1738" s="133" t="s">
        <v>781</v>
      </c>
      <c r="O1738" s="4" t="s">
        <v>855</v>
      </c>
      <c r="P1738" s="4" t="s">
        <v>783</v>
      </c>
      <c r="Q1738" s="4" t="s">
        <v>856</v>
      </c>
      <c r="R1738" s="4" t="s">
        <v>832</v>
      </c>
      <c r="S1738" s="4" t="s">
        <v>857</v>
      </c>
      <c r="T1738" s="4" t="s">
        <v>786</v>
      </c>
      <c r="U1738" s="4"/>
      <c r="V1738" s="4"/>
      <c r="W1738" s="4"/>
    </row>
    <row r="1739" spans="1:23" customFormat="1">
      <c r="A1739" s="10"/>
      <c r="B1739" s="4"/>
      <c r="C1739" s="4"/>
      <c r="D1739" s="4"/>
      <c r="E1739" s="4"/>
      <c r="F1739" s="152" t="s">
        <v>671</v>
      </c>
      <c r="G1739" s="4" t="s">
        <v>672</v>
      </c>
      <c r="H1739" s="4"/>
      <c r="I1739" s="196">
        <v>-538549.19999999995</v>
      </c>
      <c r="J1739" s="196">
        <v>-379.26</v>
      </c>
      <c r="K1739" s="196">
        <v>1420</v>
      </c>
      <c r="L1739" s="454" t="s">
        <v>787</v>
      </c>
      <c r="M1739" s="4" t="s">
        <v>780</v>
      </c>
      <c r="N1739" s="133" t="s">
        <v>781</v>
      </c>
      <c r="O1739" s="4" t="s">
        <v>855</v>
      </c>
      <c r="P1739" s="4" t="s">
        <v>783</v>
      </c>
      <c r="Q1739" s="4" t="s">
        <v>856</v>
      </c>
      <c r="R1739" s="4" t="s">
        <v>870</v>
      </c>
      <c r="S1739" s="4" t="s">
        <v>857</v>
      </c>
      <c r="T1739" s="4" t="s">
        <v>786</v>
      </c>
      <c r="U1739" s="4"/>
      <c r="V1739" s="4"/>
      <c r="W1739" s="4"/>
    </row>
    <row r="1740" spans="1:23" customFormat="1">
      <c r="A1740" s="10"/>
      <c r="B1740" s="4"/>
      <c r="C1740" s="4"/>
      <c r="D1740" s="4"/>
      <c r="E1740" s="4"/>
      <c r="F1740" s="152" t="s">
        <v>671</v>
      </c>
      <c r="G1740" s="4" t="s">
        <v>672</v>
      </c>
      <c r="H1740" s="4"/>
      <c r="I1740" s="196">
        <v>-4576376</v>
      </c>
      <c r="J1740" s="196">
        <v>-3222.8</v>
      </c>
      <c r="K1740" s="196">
        <v>1420</v>
      </c>
      <c r="L1740" s="454" t="s">
        <v>787</v>
      </c>
      <c r="M1740" s="4" t="s">
        <v>780</v>
      </c>
      <c r="N1740" s="133" t="s">
        <v>781</v>
      </c>
      <c r="O1740" s="4" t="s">
        <v>855</v>
      </c>
      <c r="P1740" s="4" t="s">
        <v>783</v>
      </c>
      <c r="Q1740" s="4" t="s">
        <v>856</v>
      </c>
      <c r="R1740" s="4" t="s">
        <v>873</v>
      </c>
      <c r="S1740" s="4" t="s">
        <v>857</v>
      </c>
      <c r="T1740" s="4" t="s">
        <v>786</v>
      </c>
      <c r="U1740" s="4"/>
      <c r="V1740" s="4"/>
      <c r="W1740" s="4"/>
    </row>
    <row r="1741" spans="1:23" customFormat="1">
      <c r="A1741" s="10"/>
      <c r="B1741" s="4"/>
      <c r="C1741" s="4"/>
      <c r="D1741" s="4"/>
      <c r="E1741" s="4"/>
      <c r="F1741" s="152" t="s">
        <v>671</v>
      </c>
      <c r="G1741" s="4" t="s">
        <v>672</v>
      </c>
      <c r="H1741" s="4"/>
      <c r="I1741" s="196">
        <v>-2712.2</v>
      </c>
      <c r="J1741" s="196">
        <v>-1.91</v>
      </c>
      <c r="K1741" s="196">
        <v>1420</v>
      </c>
      <c r="L1741" s="454" t="s">
        <v>787</v>
      </c>
      <c r="M1741" s="4" t="s">
        <v>780</v>
      </c>
      <c r="N1741" s="133" t="s">
        <v>781</v>
      </c>
      <c r="O1741" s="4" t="s">
        <v>855</v>
      </c>
      <c r="P1741" s="4" t="s">
        <v>783</v>
      </c>
      <c r="Q1741" s="4" t="s">
        <v>856</v>
      </c>
      <c r="R1741" s="4" t="s">
        <v>832</v>
      </c>
      <c r="S1741" s="4" t="s">
        <v>857</v>
      </c>
      <c r="T1741" s="4" t="s">
        <v>786</v>
      </c>
      <c r="U1741" s="4"/>
      <c r="V1741" s="4"/>
      <c r="W1741" s="4"/>
    </row>
    <row r="1742" spans="1:23" customFormat="1">
      <c r="A1742" s="10"/>
      <c r="B1742" s="4"/>
      <c r="C1742" s="4"/>
      <c r="D1742" s="4"/>
      <c r="E1742" s="4"/>
      <c r="F1742" s="152" t="s">
        <v>671</v>
      </c>
      <c r="G1742" s="4" t="s">
        <v>672</v>
      </c>
      <c r="H1742" s="4"/>
      <c r="I1742" s="196">
        <v>-2712.2</v>
      </c>
      <c r="J1742" s="196">
        <v>-1.91</v>
      </c>
      <c r="K1742" s="196">
        <v>1420</v>
      </c>
      <c r="L1742" s="454" t="s">
        <v>787</v>
      </c>
      <c r="M1742" s="4" t="s">
        <v>780</v>
      </c>
      <c r="N1742" s="133" t="s">
        <v>781</v>
      </c>
      <c r="O1742" s="4" t="s">
        <v>855</v>
      </c>
      <c r="P1742" s="4" t="s">
        <v>783</v>
      </c>
      <c r="Q1742" s="4" t="s">
        <v>856</v>
      </c>
      <c r="R1742" s="4" t="s">
        <v>869</v>
      </c>
      <c r="S1742" s="4" t="s">
        <v>857</v>
      </c>
      <c r="T1742" s="4" t="s">
        <v>786</v>
      </c>
      <c r="U1742" s="4"/>
      <c r="V1742" s="4"/>
      <c r="W1742" s="4"/>
    </row>
    <row r="1743" spans="1:23" customFormat="1">
      <c r="A1743" s="10"/>
      <c r="B1743" s="4"/>
      <c r="C1743" s="4"/>
      <c r="D1743" s="4"/>
      <c r="E1743" s="4"/>
      <c r="F1743" s="152" t="s">
        <v>671</v>
      </c>
      <c r="G1743" s="4" t="s">
        <v>672</v>
      </c>
      <c r="H1743" s="4"/>
      <c r="I1743" s="196">
        <v>-679441.6</v>
      </c>
      <c r="J1743" s="196">
        <v>-478.48</v>
      </c>
      <c r="K1743" s="196">
        <v>1420</v>
      </c>
      <c r="L1743" s="454" t="s">
        <v>787</v>
      </c>
      <c r="M1743" s="4" t="s">
        <v>780</v>
      </c>
      <c r="N1743" s="133" t="s">
        <v>781</v>
      </c>
      <c r="O1743" s="4" t="s">
        <v>855</v>
      </c>
      <c r="P1743" s="4" t="s">
        <v>783</v>
      </c>
      <c r="Q1743" s="4" t="s">
        <v>856</v>
      </c>
      <c r="R1743" s="4" t="s">
        <v>875</v>
      </c>
      <c r="S1743" s="4" t="s">
        <v>857</v>
      </c>
      <c r="T1743" s="4" t="s">
        <v>786</v>
      </c>
      <c r="U1743" s="4"/>
      <c r="V1743" s="4"/>
      <c r="W1743" s="4"/>
    </row>
    <row r="1744" spans="1:23" customFormat="1">
      <c r="A1744" s="10"/>
      <c r="B1744" s="4"/>
      <c r="C1744" s="4"/>
      <c r="D1744" s="4"/>
      <c r="E1744" s="4"/>
      <c r="F1744" s="152" t="s">
        <v>671</v>
      </c>
      <c r="G1744" s="4" t="s">
        <v>672</v>
      </c>
      <c r="H1744" s="4"/>
      <c r="I1744" s="196">
        <v>-243373.8</v>
      </c>
      <c r="J1744" s="196">
        <v>-171.39</v>
      </c>
      <c r="K1744" s="196">
        <v>1420</v>
      </c>
      <c r="L1744" s="454" t="s">
        <v>787</v>
      </c>
      <c r="M1744" s="4" t="s">
        <v>780</v>
      </c>
      <c r="N1744" s="133" t="s">
        <v>781</v>
      </c>
      <c r="O1744" s="4" t="s">
        <v>855</v>
      </c>
      <c r="P1744" s="4" t="s">
        <v>783</v>
      </c>
      <c r="Q1744" s="4" t="s">
        <v>856</v>
      </c>
      <c r="R1744" s="4" t="s">
        <v>866</v>
      </c>
      <c r="S1744" s="4" t="s">
        <v>857</v>
      </c>
      <c r="T1744" s="4" t="s">
        <v>786</v>
      </c>
      <c r="U1744" s="4"/>
      <c r="V1744" s="4"/>
      <c r="W1744" s="4"/>
    </row>
    <row r="1745" spans="1:23" customFormat="1">
      <c r="A1745" s="10"/>
      <c r="B1745" s="4"/>
      <c r="C1745" s="4"/>
      <c r="D1745" s="4"/>
      <c r="E1745" s="4"/>
      <c r="F1745" s="152" t="s">
        <v>671</v>
      </c>
      <c r="G1745" s="4" t="s">
        <v>672</v>
      </c>
      <c r="H1745" s="4"/>
      <c r="I1745" s="196">
        <v>-78043.199999999997</v>
      </c>
      <c r="J1745" s="196">
        <v>-54.96</v>
      </c>
      <c r="K1745" s="196">
        <v>1420</v>
      </c>
      <c r="L1745" s="454" t="s">
        <v>787</v>
      </c>
      <c r="M1745" s="4" t="s">
        <v>780</v>
      </c>
      <c r="N1745" s="133" t="s">
        <v>781</v>
      </c>
      <c r="O1745" s="4" t="s">
        <v>855</v>
      </c>
      <c r="P1745" s="4" t="s">
        <v>783</v>
      </c>
      <c r="Q1745" s="4" t="s">
        <v>856</v>
      </c>
      <c r="R1745" s="4" t="s">
        <v>874</v>
      </c>
      <c r="S1745" s="4" t="s">
        <v>857</v>
      </c>
      <c r="T1745" s="4" t="s">
        <v>786</v>
      </c>
      <c r="U1745" s="4"/>
      <c r="V1745" s="4"/>
      <c r="W1745" s="4"/>
    </row>
    <row r="1746" spans="1:23" customFormat="1">
      <c r="A1746" s="10"/>
      <c r="B1746" s="4"/>
      <c r="C1746" s="4"/>
      <c r="D1746" s="4"/>
      <c r="E1746" s="4"/>
      <c r="F1746" s="152" t="s">
        <v>671</v>
      </c>
      <c r="G1746" s="4" t="s">
        <v>672</v>
      </c>
      <c r="H1746" s="4"/>
      <c r="I1746" s="196">
        <v>-14271</v>
      </c>
      <c r="J1746" s="196">
        <v>-10.050000000000001</v>
      </c>
      <c r="K1746" s="196">
        <v>1420</v>
      </c>
      <c r="L1746" s="454" t="s">
        <v>787</v>
      </c>
      <c r="M1746" s="4" t="s">
        <v>780</v>
      </c>
      <c r="N1746" s="133" t="s">
        <v>781</v>
      </c>
      <c r="O1746" s="4" t="s">
        <v>855</v>
      </c>
      <c r="P1746" s="4" t="s">
        <v>783</v>
      </c>
      <c r="Q1746" s="4" t="s">
        <v>856</v>
      </c>
      <c r="R1746" s="4" t="s">
        <v>832</v>
      </c>
      <c r="S1746" s="4" t="s">
        <v>857</v>
      </c>
      <c r="T1746" s="4" t="s">
        <v>786</v>
      </c>
      <c r="U1746" s="4"/>
      <c r="V1746" s="4"/>
      <c r="W1746" s="4"/>
    </row>
    <row r="1747" spans="1:23" customFormat="1">
      <c r="A1747" s="10"/>
      <c r="B1747" s="4"/>
      <c r="C1747" s="4"/>
      <c r="D1747" s="4"/>
      <c r="E1747" s="4"/>
      <c r="F1747" s="152" t="s">
        <v>671</v>
      </c>
      <c r="G1747" s="4" t="s">
        <v>672</v>
      </c>
      <c r="H1747" s="4"/>
      <c r="I1747" s="196">
        <v>-354361</v>
      </c>
      <c r="J1747" s="196">
        <v>-249.55</v>
      </c>
      <c r="K1747" s="196">
        <v>1420</v>
      </c>
      <c r="L1747" s="454" t="s">
        <v>787</v>
      </c>
      <c r="M1747" s="4" t="s">
        <v>780</v>
      </c>
      <c r="N1747" s="133" t="s">
        <v>781</v>
      </c>
      <c r="O1747" s="4" t="s">
        <v>855</v>
      </c>
      <c r="P1747" s="4" t="s">
        <v>783</v>
      </c>
      <c r="Q1747" s="4" t="s">
        <v>856</v>
      </c>
      <c r="R1747" s="4" t="s">
        <v>876</v>
      </c>
      <c r="S1747" s="4" t="s">
        <v>857</v>
      </c>
      <c r="T1747" s="4" t="s">
        <v>786</v>
      </c>
      <c r="U1747" s="4"/>
      <c r="V1747" s="4"/>
      <c r="W1747" s="4"/>
    </row>
    <row r="1748" spans="1:23" customFormat="1">
      <c r="A1748" s="10"/>
      <c r="B1748" s="4"/>
      <c r="C1748" s="4"/>
      <c r="D1748" s="4"/>
      <c r="E1748" s="4"/>
      <c r="F1748" s="152" t="s">
        <v>671</v>
      </c>
      <c r="G1748" s="4" t="s">
        <v>672</v>
      </c>
      <c r="H1748" s="4"/>
      <c r="I1748" s="196">
        <v>-84617.8</v>
      </c>
      <c r="J1748" s="196">
        <v>-59.59</v>
      </c>
      <c r="K1748" s="196">
        <v>1420</v>
      </c>
      <c r="L1748" s="454" t="s">
        <v>787</v>
      </c>
      <c r="M1748" s="4" t="s">
        <v>780</v>
      </c>
      <c r="N1748" s="133" t="s">
        <v>781</v>
      </c>
      <c r="O1748" s="4" t="s">
        <v>855</v>
      </c>
      <c r="P1748" s="4" t="s">
        <v>783</v>
      </c>
      <c r="Q1748" s="4" t="s">
        <v>856</v>
      </c>
      <c r="R1748" s="4" t="s">
        <v>871</v>
      </c>
      <c r="S1748" s="4" t="s">
        <v>857</v>
      </c>
      <c r="T1748" s="4" t="s">
        <v>786</v>
      </c>
      <c r="U1748" s="4"/>
      <c r="V1748" s="4"/>
      <c r="W1748" s="4"/>
    </row>
    <row r="1749" spans="1:23" customFormat="1">
      <c r="A1749" s="10"/>
      <c r="B1749" s="4"/>
      <c r="C1749" s="4"/>
      <c r="D1749" s="4"/>
      <c r="E1749" s="4"/>
      <c r="F1749" s="152" t="s">
        <v>671</v>
      </c>
      <c r="G1749" s="4" t="s">
        <v>672</v>
      </c>
      <c r="H1749" s="4"/>
      <c r="I1749" s="196">
        <v>-330916.8</v>
      </c>
      <c r="J1749" s="196">
        <v>-233.04</v>
      </c>
      <c r="K1749" s="196">
        <v>1420</v>
      </c>
      <c r="L1749" s="454" t="s">
        <v>787</v>
      </c>
      <c r="M1749" s="4" t="s">
        <v>780</v>
      </c>
      <c r="N1749" s="133" t="s">
        <v>781</v>
      </c>
      <c r="O1749" s="4" t="s">
        <v>855</v>
      </c>
      <c r="P1749" s="4" t="s">
        <v>783</v>
      </c>
      <c r="Q1749" s="4" t="s">
        <v>856</v>
      </c>
      <c r="R1749" s="4" t="s">
        <v>859</v>
      </c>
      <c r="S1749" s="4" t="s">
        <v>857</v>
      </c>
      <c r="T1749" s="4" t="s">
        <v>786</v>
      </c>
      <c r="U1749" s="4"/>
      <c r="V1749" s="4"/>
      <c r="W1749" s="4"/>
    </row>
    <row r="1750" spans="1:23" customFormat="1">
      <c r="A1750" s="10"/>
      <c r="B1750" s="4"/>
      <c r="C1750" s="4"/>
      <c r="D1750" s="4"/>
      <c r="E1750" s="4"/>
      <c r="F1750" s="152" t="s">
        <v>671</v>
      </c>
      <c r="G1750" s="4" t="s">
        <v>672</v>
      </c>
      <c r="H1750" s="4"/>
      <c r="I1750" s="196">
        <v>-2712.2</v>
      </c>
      <c r="J1750" s="196">
        <v>-1.91</v>
      </c>
      <c r="K1750" s="196">
        <v>1420</v>
      </c>
      <c r="L1750" s="454" t="s">
        <v>787</v>
      </c>
      <c r="M1750" s="4" t="s">
        <v>780</v>
      </c>
      <c r="N1750" s="133" t="s">
        <v>781</v>
      </c>
      <c r="O1750" s="4" t="s">
        <v>855</v>
      </c>
      <c r="P1750" s="4" t="s">
        <v>783</v>
      </c>
      <c r="Q1750" s="4" t="s">
        <v>856</v>
      </c>
      <c r="R1750" s="4" t="s">
        <v>832</v>
      </c>
      <c r="S1750" s="4" t="s">
        <v>857</v>
      </c>
      <c r="T1750" s="4" t="s">
        <v>786</v>
      </c>
      <c r="U1750" s="4"/>
      <c r="V1750" s="4"/>
      <c r="W1750" s="4"/>
    </row>
    <row r="1751" spans="1:23" customFormat="1">
      <c r="A1751" s="10"/>
      <c r="B1751" s="4"/>
      <c r="C1751" s="4"/>
      <c r="D1751" s="4"/>
      <c r="E1751" s="4"/>
      <c r="F1751" s="152" t="s">
        <v>671</v>
      </c>
      <c r="G1751" s="4" t="s">
        <v>672</v>
      </c>
      <c r="H1751" s="4"/>
      <c r="I1751" s="196">
        <v>-1576981</v>
      </c>
      <c r="J1751" s="196">
        <v>-1110.55</v>
      </c>
      <c r="K1751" s="196">
        <v>1420</v>
      </c>
      <c r="L1751" s="454" t="s">
        <v>787</v>
      </c>
      <c r="M1751" s="4" t="s">
        <v>780</v>
      </c>
      <c r="N1751" s="133" t="s">
        <v>781</v>
      </c>
      <c r="O1751" s="4" t="s">
        <v>855</v>
      </c>
      <c r="P1751" s="4" t="s">
        <v>783</v>
      </c>
      <c r="Q1751" s="4" t="s">
        <v>856</v>
      </c>
      <c r="R1751" s="4" t="s">
        <v>872</v>
      </c>
      <c r="S1751" s="4" t="s">
        <v>857</v>
      </c>
      <c r="T1751" s="4" t="s">
        <v>786</v>
      </c>
      <c r="U1751" s="4"/>
      <c r="V1751" s="4"/>
      <c r="W1751" s="4"/>
    </row>
    <row r="1752" spans="1:23" customFormat="1">
      <c r="A1752" s="10"/>
      <c r="B1752" s="4"/>
      <c r="C1752" s="4"/>
      <c r="D1752" s="4"/>
      <c r="E1752" s="4"/>
      <c r="F1752" s="152" t="s">
        <v>671</v>
      </c>
      <c r="G1752" s="4" t="s">
        <v>672</v>
      </c>
      <c r="H1752" s="4"/>
      <c r="I1752" s="196">
        <v>11440000</v>
      </c>
      <c r="J1752" s="196">
        <v>8000</v>
      </c>
      <c r="K1752" s="196">
        <v>1430</v>
      </c>
      <c r="L1752" s="454" t="s">
        <v>890</v>
      </c>
      <c r="M1752" s="4" t="s">
        <v>780</v>
      </c>
      <c r="N1752" s="133" t="s">
        <v>781</v>
      </c>
      <c r="O1752" s="4" t="s">
        <v>891</v>
      </c>
      <c r="P1752" s="4" t="s">
        <v>892</v>
      </c>
      <c r="Q1752" s="4" t="s">
        <v>893</v>
      </c>
      <c r="R1752" s="4"/>
      <c r="S1752" s="4" t="s">
        <v>894</v>
      </c>
      <c r="T1752" s="4" t="s">
        <v>786</v>
      </c>
      <c r="U1752" s="4"/>
      <c r="V1752" s="4"/>
      <c r="W1752" s="4"/>
    </row>
    <row r="1753" spans="1:23" customFormat="1">
      <c r="A1753" s="10"/>
      <c r="B1753" s="4"/>
      <c r="C1753" s="4"/>
      <c r="D1753" s="4"/>
      <c r="E1753" s="4"/>
      <c r="F1753" s="152" t="s">
        <v>671</v>
      </c>
      <c r="G1753" s="4" t="s">
        <v>672</v>
      </c>
      <c r="H1753" s="4"/>
      <c r="I1753" s="196">
        <v>-228800</v>
      </c>
      <c r="J1753" s="196">
        <v>-160</v>
      </c>
      <c r="K1753" s="196">
        <v>1430</v>
      </c>
      <c r="L1753" s="454" t="s">
        <v>895</v>
      </c>
      <c r="M1753" s="4" t="s">
        <v>780</v>
      </c>
      <c r="N1753" s="133" t="s">
        <v>781</v>
      </c>
      <c r="O1753" s="4" t="s">
        <v>896</v>
      </c>
      <c r="P1753" s="4" t="s">
        <v>892</v>
      </c>
      <c r="Q1753" s="4" t="s">
        <v>897</v>
      </c>
      <c r="R1753" s="4"/>
      <c r="S1753" s="4" t="s">
        <v>898</v>
      </c>
      <c r="T1753" s="4" t="s">
        <v>786</v>
      </c>
      <c r="U1753" s="4"/>
      <c r="V1753" s="4"/>
      <c r="W1753" s="4"/>
    </row>
    <row r="1754" spans="1:23" customFormat="1">
      <c r="A1754" s="10"/>
      <c r="B1754" s="4"/>
      <c r="C1754" s="4"/>
      <c r="D1754" s="4"/>
      <c r="E1754" s="4"/>
      <c r="F1754" s="152" t="s">
        <v>671</v>
      </c>
      <c r="G1754" s="4" t="s">
        <v>672</v>
      </c>
      <c r="H1754" s="4"/>
      <c r="I1754" s="196">
        <v>1251</v>
      </c>
      <c r="J1754" s="196">
        <v>0.9</v>
      </c>
      <c r="K1754" s="196">
        <v>1390</v>
      </c>
      <c r="L1754" s="454" t="s">
        <v>899</v>
      </c>
      <c r="M1754" s="4" t="s">
        <v>780</v>
      </c>
      <c r="N1754" s="133" t="s">
        <v>781</v>
      </c>
      <c r="O1754" s="4" t="s">
        <v>900</v>
      </c>
      <c r="P1754" s="4" t="s">
        <v>892</v>
      </c>
      <c r="Q1754" s="4" t="s">
        <v>901</v>
      </c>
      <c r="R1754" s="4" t="s">
        <v>902</v>
      </c>
      <c r="S1754" s="4" t="s">
        <v>903</v>
      </c>
      <c r="T1754" s="4" t="s">
        <v>786</v>
      </c>
      <c r="U1754" s="4"/>
      <c r="V1754" s="4"/>
      <c r="W1754" s="4"/>
    </row>
    <row r="1755" spans="1:23" customFormat="1">
      <c r="A1755" s="10"/>
      <c r="B1755" s="4"/>
      <c r="C1755" s="4"/>
      <c r="D1755" s="4"/>
      <c r="E1755" s="4"/>
      <c r="F1755" s="152" t="s">
        <v>671</v>
      </c>
      <c r="G1755" s="4" t="s">
        <v>672</v>
      </c>
      <c r="H1755" s="4"/>
      <c r="I1755" s="196">
        <v>1287</v>
      </c>
      <c r="J1755" s="196">
        <v>0.9</v>
      </c>
      <c r="K1755" s="196">
        <v>1430</v>
      </c>
      <c r="L1755" s="454" t="s">
        <v>890</v>
      </c>
      <c r="M1755" s="4" t="s">
        <v>780</v>
      </c>
      <c r="N1755" s="133" t="s">
        <v>781</v>
      </c>
      <c r="O1755" s="4" t="s">
        <v>904</v>
      </c>
      <c r="P1755" s="4" t="s">
        <v>892</v>
      </c>
      <c r="Q1755" s="4" t="s">
        <v>905</v>
      </c>
      <c r="R1755" s="4" t="s">
        <v>906</v>
      </c>
      <c r="S1755" s="4" t="s">
        <v>907</v>
      </c>
      <c r="T1755" s="4" t="s">
        <v>786</v>
      </c>
      <c r="U1755" s="4"/>
      <c r="V1755" s="4"/>
      <c r="W1755" s="4"/>
    </row>
    <row r="1756" spans="1:23" customFormat="1">
      <c r="A1756" s="10"/>
      <c r="B1756" s="4"/>
      <c r="C1756" s="4"/>
      <c r="D1756" s="4"/>
      <c r="E1756" s="4"/>
      <c r="F1756" s="152" t="s">
        <v>671</v>
      </c>
      <c r="G1756" s="4" t="s">
        <v>672</v>
      </c>
      <c r="H1756" s="4"/>
      <c r="I1756" s="196">
        <v>-75991.3</v>
      </c>
      <c r="J1756" s="196">
        <v>-54.67</v>
      </c>
      <c r="K1756" s="196">
        <v>1390</v>
      </c>
      <c r="L1756" s="454" t="s">
        <v>899</v>
      </c>
      <c r="M1756" s="4" t="s">
        <v>780</v>
      </c>
      <c r="N1756" s="133" t="s">
        <v>781</v>
      </c>
      <c r="O1756" s="4" t="s">
        <v>933</v>
      </c>
      <c r="P1756" s="4" t="s">
        <v>892</v>
      </c>
      <c r="Q1756" s="4" t="s">
        <v>934</v>
      </c>
      <c r="R1756" s="4" t="s">
        <v>940</v>
      </c>
      <c r="S1756" s="4" t="s">
        <v>935</v>
      </c>
      <c r="T1756" s="4" t="s">
        <v>786</v>
      </c>
      <c r="U1756" s="4"/>
      <c r="V1756" s="4"/>
      <c r="W1756" s="4"/>
    </row>
    <row r="1757" spans="1:23" customFormat="1">
      <c r="A1757" s="10"/>
      <c r="B1757" s="4"/>
      <c r="C1757" s="4"/>
      <c r="D1757" s="4"/>
      <c r="E1757" s="4"/>
      <c r="F1757" s="152" t="s">
        <v>671</v>
      </c>
      <c r="G1757" s="4" t="s">
        <v>672</v>
      </c>
      <c r="H1757" s="4"/>
      <c r="I1757" s="196">
        <v>-213087</v>
      </c>
      <c r="J1757" s="196">
        <v>-153.30000000000001</v>
      </c>
      <c r="K1757" s="196">
        <v>1390</v>
      </c>
      <c r="L1757" s="454" t="s">
        <v>899</v>
      </c>
      <c r="M1757" s="4" t="s">
        <v>780</v>
      </c>
      <c r="N1757" s="133" t="s">
        <v>781</v>
      </c>
      <c r="O1757" s="4" t="s">
        <v>933</v>
      </c>
      <c r="P1757" s="4" t="s">
        <v>892</v>
      </c>
      <c r="Q1757" s="4" t="s">
        <v>934</v>
      </c>
      <c r="R1757" s="4" t="s">
        <v>938</v>
      </c>
      <c r="S1757" s="4" t="s">
        <v>935</v>
      </c>
      <c r="T1757" s="4" t="s">
        <v>786</v>
      </c>
      <c r="U1757" s="4"/>
      <c r="V1757" s="4"/>
      <c r="W1757" s="4"/>
    </row>
    <row r="1758" spans="1:23" customFormat="1">
      <c r="A1758" s="10"/>
      <c r="B1758" s="4"/>
      <c r="C1758" s="4"/>
      <c r="D1758" s="4"/>
      <c r="E1758" s="4"/>
      <c r="F1758" s="152" t="s">
        <v>671</v>
      </c>
      <c r="G1758" s="4" t="s">
        <v>672</v>
      </c>
      <c r="H1758" s="4"/>
      <c r="I1758" s="196">
        <v>-470695.7</v>
      </c>
      <c r="J1758" s="196">
        <v>-338.63</v>
      </c>
      <c r="K1758" s="196">
        <v>1390</v>
      </c>
      <c r="L1758" s="454" t="s">
        <v>899</v>
      </c>
      <c r="M1758" s="4" t="s">
        <v>780</v>
      </c>
      <c r="N1758" s="133" t="s">
        <v>781</v>
      </c>
      <c r="O1758" s="4" t="s">
        <v>933</v>
      </c>
      <c r="P1758" s="4" t="s">
        <v>892</v>
      </c>
      <c r="Q1758" s="4" t="s">
        <v>934</v>
      </c>
      <c r="R1758" s="4" t="s">
        <v>937</v>
      </c>
      <c r="S1758" s="4" t="s">
        <v>935</v>
      </c>
      <c r="T1758" s="4" t="s">
        <v>786</v>
      </c>
      <c r="U1758" s="4"/>
      <c r="V1758" s="4"/>
      <c r="W1758" s="4"/>
    </row>
    <row r="1759" spans="1:23" customFormat="1">
      <c r="A1759" s="10"/>
      <c r="B1759" s="4"/>
      <c r="C1759" s="4"/>
      <c r="D1759" s="4"/>
      <c r="E1759" s="4"/>
      <c r="F1759" s="152" t="s">
        <v>671</v>
      </c>
      <c r="G1759" s="4" t="s">
        <v>672</v>
      </c>
      <c r="H1759" s="4"/>
      <c r="I1759" s="196">
        <v>-43924</v>
      </c>
      <c r="J1759" s="196">
        <v>-31.6</v>
      </c>
      <c r="K1759" s="196">
        <v>1390</v>
      </c>
      <c r="L1759" s="454" t="s">
        <v>899</v>
      </c>
      <c r="M1759" s="4" t="s">
        <v>780</v>
      </c>
      <c r="N1759" s="133" t="s">
        <v>781</v>
      </c>
      <c r="O1759" s="4" t="s">
        <v>933</v>
      </c>
      <c r="P1759" s="4" t="s">
        <v>892</v>
      </c>
      <c r="Q1759" s="4" t="s">
        <v>934</v>
      </c>
      <c r="R1759" s="4" t="s">
        <v>939</v>
      </c>
      <c r="S1759" s="4" t="s">
        <v>935</v>
      </c>
      <c r="T1759" s="4" t="s">
        <v>786</v>
      </c>
      <c r="U1759" s="4"/>
      <c r="V1759" s="4"/>
      <c r="W1759" s="4"/>
    </row>
    <row r="1760" spans="1:23" customFormat="1">
      <c r="A1760" s="10"/>
      <c r="B1760" s="4"/>
      <c r="C1760" s="4"/>
      <c r="D1760" s="4"/>
      <c r="E1760" s="4"/>
      <c r="F1760" s="152" t="s">
        <v>671</v>
      </c>
      <c r="G1760" s="4" t="s">
        <v>672</v>
      </c>
      <c r="H1760" s="4"/>
      <c r="I1760" s="196">
        <v>-2668.8</v>
      </c>
      <c r="J1760" s="196">
        <v>-1.92</v>
      </c>
      <c r="K1760" s="196">
        <v>1390</v>
      </c>
      <c r="L1760" s="454" t="s">
        <v>899</v>
      </c>
      <c r="M1760" s="4" t="s">
        <v>780</v>
      </c>
      <c r="N1760" s="133" t="s">
        <v>781</v>
      </c>
      <c r="O1760" s="4" t="s">
        <v>933</v>
      </c>
      <c r="P1760" s="4" t="s">
        <v>892</v>
      </c>
      <c r="Q1760" s="4" t="s">
        <v>934</v>
      </c>
      <c r="R1760" s="4" t="s">
        <v>942</v>
      </c>
      <c r="S1760" s="4" t="s">
        <v>935</v>
      </c>
      <c r="T1760" s="4" t="s">
        <v>786</v>
      </c>
      <c r="U1760" s="4"/>
      <c r="V1760" s="4"/>
      <c r="W1760" s="4"/>
    </row>
    <row r="1761" spans="1:23" customFormat="1">
      <c r="A1761" s="10"/>
      <c r="B1761" s="4"/>
      <c r="C1761" s="4"/>
      <c r="D1761" s="4"/>
      <c r="E1761" s="4"/>
      <c r="F1761" s="152" t="s">
        <v>671</v>
      </c>
      <c r="G1761" s="4" t="s">
        <v>672</v>
      </c>
      <c r="H1761" s="4"/>
      <c r="I1761" s="196">
        <v>-1384565.1</v>
      </c>
      <c r="J1761" s="196">
        <v>-996.09</v>
      </c>
      <c r="K1761" s="196">
        <v>1390</v>
      </c>
      <c r="L1761" s="454" t="s">
        <v>899</v>
      </c>
      <c r="M1761" s="4" t="s">
        <v>780</v>
      </c>
      <c r="N1761" s="133" t="s">
        <v>781</v>
      </c>
      <c r="O1761" s="4" t="s">
        <v>933</v>
      </c>
      <c r="P1761" s="4" t="s">
        <v>892</v>
      </c>
      <c r="Q1761" s="4" t="s">
        <v>934</v>
      </c>
      <c r="R1761" s="4" t="s">
        <v>941</v>
      </c>
      <c r="S1761" s="4" t="s">
        <v>935</v>
      </c>
      <c r="T1761" s="4" t="s">
        <v>786</v>
      </c>
      <c r="U1761" s="4"/>
      <c r="V1761" s="4"/>
      <c r="W1761" s="4"/>
    </row>
    <row r="1762" spans="1:23" customFormat="1">
      <c r="A1762" s="10"/>
      <c r="B1762" s="4"/>
      <c r="C1762" s="4"/>
      <c r="D1762" s="4"/>
      <c r="E1762" s="4"/>
      <c r="F1762" s="152" t="s">
        <v>671</v>
      </c>
      <c r="G1762" s="4" t="s">
        <v>672</v>
      </c>
      <c r="H1762" s="4"/>
      <c r="I1762" s="196">
        <v>-2668.8</v>
      </c>
      <c r="J1762" s="196">
        <v>-1.92</v>
      </c>
      <c r="K1762" s="196">
        <v>1390</v>
      </c>
      <c r="L1762" s="454" t="s">
        <v>899</v>
      </c>
      <c r="M1762" s="4" t="s">
        <v>780</v>
      </c>
      <c r="N1762" s="133" t="s">
        <v>781</v>
      </c>
      <c r="O1762" s="4" t="s">
        <v>933</v>
      </c>
      <c r="P1762" s="4" t="s">
        <v>892</v>
      </c>
      <c r="Q1762" s="4" t="s">
        <v>934</v>
      </c>
      <c r="R1762" s="4" t="s">
        <v>832</v>
      </c>
      <c r="S1762" s="4" t="s">
        <v>935</v>
      </c>
      <c r="T1762" s="4" t="s">
        <v>786</v>
      </c>
      <c r="U1762" s="4"/>
      <c r="V1762" s="4"/>
      <c r="W1762" s="4"/>
    </row>
    <row r="1763" spans="1:23" customFormat="1">
      <c r="A1763" s="10"/>
      <c r="B1763" s="4"/>
      <c r="C1763" s="4"/>
      <c r="D1763" s="4"/>
      <c r="E1763" s="4"/>
      <c r="F1763" s="152" t="s">
        <v>671</v>
      </c>
      <c r="G1763" s="4" t="s">
        <v>672</v>
      </c>
      <c r="H1763" s="4"/>
      <c r="I1763" s="196">
        <v>-211669.2</v>
      </c>
      <c r="J1763" s="196">
        <v>-152.28</v>
      </c>
      <c r="K1763" s="196">
        <v>1390</v>
      </c>
      <c r="L1763" s="454" t="s">
        <v>899</v>
      </c>
      <c r="M1763" s="4" t="s">
        <v>780</v>
      </c>
      <c r="N1763" s="133" t="s">
        <v>781</v>
      </c>
      <c r="O1763" s="4" t="s">
        <v>933</v>
      </c>
      <c r="P1763" s="4" t="s">
        <v>892</v>
      </c>
      <c r="Q1763" s="4" t="s">
        <v>934</v>
      </c>
      <c r="R1763" s="4" t="s">
        <v>936</v>
      </c>
      <c r="S1763" s="4" t="s">
        <v>935</v>
      </c>
      <c r="T1763" s="4" t="s">
        <v>786</v>
      </c>
      <c r="U1763" s="4"/>
      <c r="V1763" s="4"/>
      <c r="W1763" s="4"/>
    </row>
    <row r="1764" spans="1:23" customFormat="1">
      <c r="A1764" s="10"/>
      <c r="B1764" s="4"/>
      <c r="C1764" s="4"/>
      <c r="D1764" s="4"/>
      <c r="E1764" s="4"/>
      <c r="F1764" s="152" t="s">
        <v>671</v>
      </c>
      <c r="G1764" s="4" t="s">
        <v>672</v>
      </c>
      <c r="H1764" s="4"/>
      <c r="I1764" s="196">
        <v>-421621.2</v>
      </c>
      <c r="J1764" s="196">
        <v>-294.83999999999997</v>
      </c>
      <c r="K1764" s="196">
        <v>1430</v>
      </c>
      <c r="L1764" s="454" t="s">
        <v>890</v>
      </c>
      <c r="M1764" s="4" t="s">
        <v>780</v>
      </c>
      <c r="N1764" s="133" t="s">
        <v>781</v>
      </c>
      <c r="O1764" s="4" t="s">
        <v>951</v>
      </c>
      <c r="P1764" s="4" t="s">
        <v>892</v>
      </c>
      <c r="Q1764" s="4" t="s">
        <v>952</v>
      </c>
      <c r="R1764" s="4" t="s">
        <v>956</v>
      </c>
      <c r="S1764" s="4" t="s">
        <v>954</v>
      </c>
      <c r="T1764" s="4" t="s">
        <v>786</v>
      </c>
      <c r="U1764" s="4"/>
      <c r="V1764" s="4"/>
      <c r="W1764" s="4"/>
    </row>
    <row r="1765" spans="1:23" customFormat="1">
      <c r="A1765" s="10"/>
      <c r="B1765" s="4"/>
      <c r="C1765" s="4"/>
      <c r="D1765" s="4"/>
      <c r="E1765" s="4"/>
      <c r="F1765" s="152" t="s">
        <v>671</v>
      </c>
      <c r="G1765" s="4" t="s">
        <v>672</v>
      </c>
      <c r="H1765" s="4"/>
      <c r="I1765" s="196">
        <v>-579736.30000000005</v>
      </c>
      <c r="J1765" s="196">
        <v>-405.41</v>
      </c>
      <c r="K1765" s="196">
        <v>1430</v>
      </c>
      <c r="L1765" s="454" t="s">
        <v>890</v>
      </c>
      <c r="M1765" s="4" t="s">
        <v>780</v>
      </c>
      <c r="N1765" s="133" t="s">
        <v>781</v>
      </c>
      <c r="O1765" s="4" t="s">
        <v>951</v>
      </c>
      <c r="P1765" s="4" t="s">
        <v>892</v>
      </c>
      <c r="Q1765" s="4" t="s">
        <v>952</v>
      </c>
      <c r="R1765" s="4" t="s">
        <v>957</v>
      </c>
      <c r="S1765" s="4" t="s">
        <v>954</v>
      </c>
      <c r="T1765" s="4" t="s">
        <v>786</v>
      </c>
      <c r="U1765" s="4"/>
      <c r="V1765" s="4"/>
      <c r="W1765" s="4"/>
    </row>
    <row r="1766" spans="1:23" customFormat="1">
      <c r="A1766" s="10"/>
      <c r="B1766" s="4"/>
      <c r="C1766" s="4"/>
      <c r="D1766" s="4"/>
      <c r="E1766" s="4"/>
      <c r="F1766" s="152" t="s">
        <v>671</v>
      </c>
      <c r="G1766" s="4" t="s">
        <v>672</v>
      </c>
      <c r="H1766" s="4"/>
      <c r="I1766" s="196">
        <v>-1001357.5</v>
      </c>
      <c r="J1766" s="196">
        <v>-700.25</v>
      </c>
      <c r="K1766" s="196">
        <v>1430</v>
      </c>
      <c r="L1766" s="454" t="s">
        <v>890</v>
      </c>
      <c r="M1766" s="4" t="s">
        <v>780</v>
      </c>
      <c r="N1766" s="133" t="s">
        <v>781</v>
      </c>
      <c r="O1766" s="4" t="s">
        <v>951</v>
      </c>
      <c r="P1766" s="4" t="s">
        <v>892</v>
      </c>
      <c r="Q1766" s="4" t="s">
        <v>952</v>
      </c>
      <c r="R1766" s="4" t="s">
        <v>958</v>
      </c>
      <c r="S1766" s="4" t="s">
        <v>954</v>
      </c>
      <c r="T1766" s="4" t="s">
        <v>786</v>
      </c>
      <c r="U1766" s="4"/>
      <c r="V1766" s="4"/>
      <c r="W1766" s="4"/>
    </row>
    <row r="1767" spans="1:23" customFormat="1">
      <c r="A1767" s="10"/>
      <c r="B1767" s="4"/>
      <c r="C1767" s="4"/>
      <c r="D1767" s="4"/>
      <c r="E1767" s="4"/>
      <c r="F1767" s="152" t="s">
        <v>671</v>
      </c>
      <c r="G1767" s="4" t="s">
        <v>672</v>
      </c>
      <c r="H1767" s="4"/>
      <c r="I1767" s="196">
        <v>-2659.8</v>
      </c>
      <c r="J1767" s="196">
        <v>-1.86</v>
      </c>
      <c r="K1767" s="196">
        <v>1430</v>
      </c>
      <c r="L1767" s="454" t="s">
        <v>890</v>
      </c>
      <c r="M1767" s="4" t="s">
        <v>780</v>
      </c>
      <c r="N1767" s="133" t="s">
        <v>781</v>
      </c>
      <c r="O1767" s="4" t="s">
        <v>951</v>
      </c>
      <c r="P1767" s="4" t="s">
        <v>892</v>
      </c>
      <c r="Q1767" s="4" t="s">
        <v>952</v>
      </c>
      <c r="R1767" s="4" t="s">
        <v>953</v>
      </c>
      <c r="S1767" s="4" t="s">
        <v>954</v>
      </c>
      <c r="T1767" s="4" t="s">
        <v>786</v>
      </c>
      <c r="U1767" s="4"/>
      <c r="V1767" s="4"/>
      <c r="W1767" s="4"/>
    </row>
    <row r="1768" spans="1:23" customFormat="1">
      <c r="A1768" s="10"/>
      <c r="B1768" s="4"/>
      <c r="C1768" s="4"/>
      <c r="D1768" s="4"/>
      <c r="E1768" s="4"/>
      <c r="F1768" s="152" t="s">
        <v>671</v>
      </c>
      <c r="G1768" s="4" t="s">
        <v>672</v>
      </c>
      <c r="H1768" s="4"/>
      <c r="I1768" s="196">
        <v>-8122.4</v>
      </c>
      <c r="J1768" s="196">
        <v>-5.68</v>
      </c>
      <c r="K1768" s="196">
        <v>1430</v>
      </c>
      <c r="L1768" s="454" t="s">
        <v>890</v>
      </c>
      <c r="M1768" s="4" t="s">
        <v>780</v>
      </c>
      <c r="N1768" s="133" t="s">
        <v>781</v>
      </c>
      <c r="O1768" s="4" t="s">
        <v>951</v>
      </c>
      <c r="P1768" s="4" t="s">
        <v>892</v>
      </c>
      <c r="Q1768" s="4" t="s">
        <v>952</v>
      </c>
      <c r="R1768" s="4" t="s">
        <v>959</v>
      </c>
      <c r="S1768" s="4" t="s">
        <v>954</v>
      </c>
      <c r="T1768" s="4" t="s">
        <v>786</v>
      </c>
      <c r="U1768" s="4"/>
      <c r="V1768" s="4"/>
      <c r="W1768" s="4"/>
    </row>
    <row r="1769" spans="1:23" customFormat="1">
      <c r="A1769" s="10"/>
      <c r="B1769" s="4"/>
      <c r="C1769" s="4"/>
      <c r="D1769" s="4"/>
      <c r="E1769" s="4"/>
      <c r="F1769" s="152" t="s">
        <v>671</v>
      </c>
      <c r="G1769" s="4" t="s">
        <v>672</v>
      </c>
      <c r="H1769" s="4"/>
      <c r="I1769" s="196">
        <v>-140540.4</v>
      </c>
      <c r="J1769" s="196">
        <v>-98.28</v>
      </c>
      <c r="K1769" s="196">
        <v>1430</v>
      </c>
      <c r="L1769" s="454" t="s">
        <v>890</v>
      </c>
      <c r="M1769" s="4" t="s">
        <v>780</v>
      </c>
      <c r="N1769" s="133" t="s">
        <v>781</v>
      </c>
      <c r="O1769" s="4" t="s">
        <v>951</v>
      </c>
      <c r="P1769" s="4" t="s">
        <v>892</v>
      </c>
      <c r="Q1769" s="4" t="s">
        <v>952</v>
      </c>
      <c r="R1769" s="4" t="s">
        <v>960</v>
      </c>
      <c r="S1769" s="4" t="s">
        <v>954</v>
      </c>
      <c r="T1769" s="4" t="s">
        <v>786</v>
      </c>
      <c r="U1769" s="4"/>
      <c r="V1769" s="4"/>
      <c r="W1769" s="4"/>
    </row>
    <row r="1770" spans="1:23" customFormat="1">
      <c r="A1770" s="10"/>
      <c r="B1770" s="4"/>
      <c r="C1770" s="4"/>
      <c r="D1770" s="4"/>
      <c r="E1770" s="4"/>
      <c r="F1770" s="152" t="s">
        <v>671</v>
      </c>
      <c r="G1770" s="4" t="s">
        <v>672</v>
      </c>
      <c r="H1770" s="4"/>
      <c r="I1770" s="196">
        <v>-730000.7</v>
      </c>
      <c r="J1770" s="196">
        <v>-510.49</v>
      </c>
      <c r="K1770" s="196">
        <v>1430</v>
      </c>
      <c r="L1770" s="454" t="s">
        <v>890</v>
      </c>
      <c r="M1770" s="4" t="s">
        <v>780</v>
      </c>
      <c r="N1770" s="133" t="s">
        <v>781</v>
      </c>
      <c r="O1770" s="4" t="s">
        <v>951</v>
      </c>
      <c r="P1770" s="4" t="s">
        <v>892</v>
      </c>
      <c r="Q1770" s="4" t="s">
        <v>952</v>
      </c>
      <c r="R1770" s="4" t="s">
        <v>961</v>
      </c>
      <c r="S1770" s="4" t="s">
        <v>954</v>
      </c>
      <c r="T1770" s="4" t="s">
        <v>786</v>
      </c>
      <c r="U1770" s="4"/>
      <c r="V1770" s="4"/>
      <c r="W1770" s="4"/>
    </row>
    <row r="1771" spans="1:23" customFormat="1">
      <c r="A1771" s="10"/>
      <c r="B1771" s="4"/>
      <c r="C1771" s="4"/>
      <c r="D1771" s="4"/>
      <c r="E1771" s="4"/>
      <c r="F1771" s="152" t="s">
        <v>671</v>
      </c>
      <c r="G1771" s="4" t="s">
        <v>672</v>
      </c>
      <c r="H1771" s="4"/>
      <c r="I1771" s="196">
        <v>-579664.80000000005</v>
      </c>
      <c r="J1771" s="196">
        <v>-405.36</v>
      </c>
      <c r="K1771" s="196">
        <v>1430</v>
      </c>
      <c r="L1771" s="454" t="s">
        <v>890</v>
      </c>
      <c r="M1771" s="4" t="s">
        <v>780</v>
      </c>
      <c r="N1771" s="133" t="s">
        <v>781</v>
      </c>
      <c r="O1771" s="4" t="s">
        <v>951</v>
      </c>
      <c r="P1771" s="4" t="s">
        <v>892</v>
      </c>
      <c r="Q1771" s="4" t="s">
        <v>952</v>
      </c>
      <c r="R1771" s="4" t="s">
        <v>962</v>
      </c>
      <c r="S1771" s="4" t="s">
        <v>954</v>
      </c>
      <c r="T1771" s="4" t="s">
        <v>786</v>
      </c>
      <c r="U1771" s="4"/>
      <c r="V1771" s="4"/>
      <c r="W1771" s="4"/>
    </row>
    <row r="1772" spans="1:23" customFormat="1">
      <c r="A1772" s="10"/>
      <c r="B1772" s="4"/>
      <c r="C1772" s="4"/>
      <c r="D1772" s="4"/>
      <c r="E1772" s="4"/>
      <c r="F1772" s="152" t="s">
        <v>671</v>
      </c>
      <c r="G1772" s="4" t="s">
        <v>672</v>
      </c>
      <c r="H1772" s="4"/>
      <c r="I1772" s="196">
        <v>-1869195.9</v>
      </c>
      <c r="J1772" s="196">
        <v>-1307.1300000000001</v>
      </c>
      <c r="K1772" s="196">
        <v>1430</v>
      </c>
      <c r="L1772" s="454" t="s">
        <v>890</v>
      </c>
      <c r="M1772" s="4" t="s">
        <v>780</v>
      </c>
      <c r="N1772" s="133" t="s">
        <v>781</v>
      </c>
      <c r="O1772" s="4" t="s">
        <v>951</v>
      </c>
      <c r="P1772" s="4" t="s">
        <v>892</v>
      </c>
      <c r="Q1772" s="4" t="s">
        <v>952</v>
      </c>
      <c r="R1772" s="4" t="s">
        <v>963</v>
      </c>
      <c r="S1772" s="4" t="s">
        <v>954</v>
      </c>
      <c r="T1772" s="4" t="s">
        <v>786</v>
      </c>
      <c r="U1772" s="4"/>
      <c r="V1772" s="4"/>
      <c r="W1772" s="4"/>
    </row>
    <row r="1773" spans="1:23" customFormat="1">
      <c r="A1773" s="10"/>
      <c r="B1773" s="4"/>
      <c r="C1773" s="4"/>
      <c r="D1773" s="4"/>
      <c r="E1773" s="4"/>
      <c r="F1773" s="152" t="s">
        <v>671</v>
      </c>
      <c r="G1773" s="4" t="s">
        <v>672</v>
      </c>
      <c r="H1773" s="4"/>
      <c r="I1773" s="196">
        <v>-210810.6</v>
      </c>
      <c r="J1773" s="196">
        <v>-147.41999999999999</v>
      </c>
      <c r="K1773" s="196">
        <v>1430</v>
      </c>
      <c r="L1773" s="454" t="s">
        <v>890</v>
      </c>
      <c r="M1773" s="4" t="s">
        <v>780</v>
      </c>
      <c r="N1773" s="133" t="s">
        <v>781</v>
      </c>
      <c r="O1773" s="4" t="s">
        <v>951</v>
      </c>
      <c r="P1773" s="4" t="s">
        <v>892</v>
      </c>
      <c r="Q1773" s="4" t="s">
        <v>952</v>
      </c>
      <c r="R1773" s="4" t="s">
        <v>955</v>
      </c>
      <c r="S1773" s="4" t="s">
        <v>954</v>
      </c>
      <c r="T1773" s="4" t="s">
        <v>786</v>
      </c>
      <c r="U1773" s="4"/>
      <c r="V1773" s="4"/>
      <c r="W1773" s="4"/>
    </row>
    <row r="1774" spans="1:23" customFormat="1">
      <c r="A1774" s="10"/>
      <c r="B1774" s="4"/>
      <c r="C1774" s="4"/>
      <c r="D1774" s="4"/>
      <c r="E1774" s="4"/>
      <c r="F1774" s="152" t="s">
        <v>671</v>
      </c>
      <c r="G1774" s="4" t="s">
        <v>672</v>
      </c>
      <c r="H1774" s="4"/>
      <c r="I1774" s="196">
        <v>-2659.8</v>
      </c>
      <c r="J1774" s="196">
        <v>-1.86</v>
      </c>
      <c r="K1774" s="196">
        <v>1430</v>
      </c>
      <c r="L1774" s="454" t="s">
        <v>890</v>
      </c>
      <c r="M1774" s="4" t="s">
        <v>780</v>
      </c>
      <c r="N1774" s="133" t="s">
        <v>781</v>
      </c>
      <c r="O1774" s="4" t="s">
        <v>951</v>
      </c>
      <c r="P1774" s="4" t="s">
        <v>892</v>
      </c>
      <c r="Q1774" s="4" t="s">
        <v>952</v>
      </c>
      <c r="R1774" s="4" t="s">
        <v>953</v>
      </c>
      <c r="S1774" s="4" t="s">
        <v>954</v>
      </c>
      <c r="T1774" s="4" t="s">
        <v>786</v>
      </c>
      <c r="U1774" s="4"/>
      <c r="V1774" s="4"/>
      <c r="W1774" s="4"/>
    </row>
    <row r="1775" spans="1:23" customFormat="1">
      <c r="A1775" s="10"/>
      <c r="B1775" s="4"/>
      <c r="C1775" s="4"/>
      <c r="D1775" s="4"/>
      <c r="E1775" s="4"/>
      <c r="F1775" s="152" t="s">
        <v>671</v>
      </c>
      <c r="G1775" s="4" t="s">
        <v>672</v>
      </c>
      <c r="H1775" s="4"/>
      <c r="I1775" s="196">
        <v>-239939.7</v>
      </c>
      <c r="J1775" s="196">
        <v>-167.79</v>
      </c>
      <c r="K1775" s="196">
        <v>1430</v>
      </c>
      <c r="L1775" s="454" t="s">
        <v>890</v>
      </c>
      <c r="M1775" s="4" t="s">
        <v>780</v>
      </c>
      <c r="N1775" s="133" t="s">
        <v>781</v>
      </c>
      <c r="O1775" s="4" t="s">
        <v>951</v>
      </c>
      <c r="P1775" s="4" t="s">
        <v>892</v>
      </c>
      <c r="Q1775" s="4" t="s">
        <v>952</v>
      </c>
      <c r="R1775" s="4" t="s">
        <v>965</v>
      </c>
      <c r="S1775" s="4" t="s">
        <v>954</v>
      </c>
      <c r="T1775" s="4" t="s">
        <v>786</v>
      </c>
      <c r="U1775" s="4"/>
      <c r="V1775" s="4"/>
      <c r="W1775" s="4"/>
    </row>
    <row r="1776" spans="1:23" customFormat="1">
      <c r="A1776" s="10"/>
      <c r="B1776" s="4"/>
      <c r="C1776" s="4"/>
      <c r="D1776" s="4"/>
      <c r="E1776" s="4"/>
      <c r="F1776" s="152" t="s">
        <v>671</v>
      </c>
      <c r="G1776" s="4" t="s">
        <v>672</v>
      </c>
      <c r="H1776" s="4"/>
      <c r="I1776" s="196">
        <v>-2659.8</v>
      </c>
      <c r="J1776" s="196">
        <v>-1.86</v>
      </c>
      <c r="K1776" s="196">
        <v>1430</v>
      </c>
      <c r="L1776" s="454" t="s">
        <v>890</v>
      </c>
      <c r="M1776" s="4" t="s">
        <v>780</v>
      </c>
      <c r="N1776" s="133" t="s">
        <v>781</v>
      </c>
      <c r="O1776" s="4" t="s">
        <v>951</v>
      </c>
      <c r="P1776" s="4" t="s">
        <v>892</v>
      </c>
      <c r="Q1776" s="4" t="s">
        <v>952</v>
      </c>
      <c r="R1776" s="4" t="s">
        <v>953</v>
      </c>
      <c r="S1776" s="4" t="s">
        <v>954</v>
      </c>
      <c r="T1776" s="4" t="s">
        <v>786</v>
      </c>
      <c r="U1776" s="4"/>
      <c r="V1776" s="4"/>
      <c r="W1776" s="4"/>
    </row>
    <row r="1777" spans="1:23" customFormat="1">
      <c r="A1777" s="10"/>
      <c r="B1777" s="4"/>
      <c r="C1777" s="4"/>
      <c r="D1777" s="4"/>
      <c r="E1777" s="4"/>
      <c r="F1777" s="152" t="s">
        <v>671</v>
      </c>
      <c r="G1777" s="4" t="s">
        <v>672</v>
      </c>
      <c r="H1777" s="4"/>
      <c r="I1777" s="196">
        <v>-63248.9</v>
      </c>
      <c r="J1777" s="196">
        <v>-44.23</v>
      </c>
      <c r="K1777" s="196">
        <v>1430</v>
      </c>
      <c r="L1777" s="454" t="s">
        <v>890</v>
      </c>
      <c r="M1777" s="4" t="s">
        <v>780</v>
      </c>
      <c r="N1777" s="133" t="s">
        <v>781</v>
      </c>
      <c r="O1777" s="4" t="s">
        <v>951</v>
      </c>
      <c r="P1777" s="4" t="s">
        <v>892</v>
      </c>
      <c r="Q1777" s="4" t="s">
        <v>952</v>
      </c>
      <c r="R1777" s="4" t="s">
        <v>964</v>
      </c>
      <c r="S1777" s="4" t="s">
        <v>954</v>
      </c>
      <c r="T1777" s="4" t="s">
        <v>786</v>
      </c>
      <c r="U1777" s="4"/>
      <c r="V1777" s="4"/>
      <c r="W1777" s="4"/>
    </row>
    <row r="1778" spans="1:23" customFormat="1">
      <c r="A1778" s="10"/>
      <c r="B1778" s="4"/>
      <c r="C1778" s="4"/>
      <c r="D1778" s="4"/>
      <c r="E1778" s="4"/>
      <c r="F1778" s="152" t="s">
        <v>671</v>
      </c>
      <c r="G1778" s="4" t="s">
        <v>672</v>
      </c>
      <c r="H1778" s="4"/>
      <c r="I1778" s="196">
        <v>-2659.8</v>
      </c>
      <c r="J1778" s="196">
        <v>-1.86</v>
      </c>
      <c r="K1778" s="196">
        <v>1430</v>
      </c>
      <c r="L1778" s="454" t="s">
        <v>890</v>
      </c>
      <c r="M1778" s="4" t="s">
        <v>780</v>
      </c>
      <c r="N1778" s="133" t="s">
        <v>781</v>
      </c>
      <c r="O1778" s="4" t="s">
        <v>951</v>
      </c>
      <c r="P1778" s="4" t="s">
        <v>892</v>
      </c>
      <c r="Q1778" s="4" t="s">
        <v>952</v>
      </c>
      <c r="R1778" s="4" t="s">
        <v>953</v>
      </c>
      <c r="S1778" s="4" t="s">
        <v>954</v>
      </c>
      <c r="T1778" s="4" t="s">
        <v>786</v>
      </c>
      <c r="U1778" s="4"/>
      <c r="V1778" s="4"/>
      <c r="W1778" s="4"/>
    </row>
    <row r="1779" spans="1:23" customFormat="1">
      <c r="A1779" s="10"/>
      <c r="B1779" s="4"/>
      <c r="C1779" s="4"/>
      <c r="D1779" s="4"/>
      <c r="E1779" s="4"/>
      <c r="F1779" s="152" t="s">
        <v>671</v>
      </c>
      <c r="G1779" s="4" t="s">
        <v>672</v>
      </c>
      <c r="H1779" s="4"/>
      <c r="I1779" s="196">
        <v>-221349.7</v>
      </c>
      <c r="J1779" s="196">
        <v>-154.79</v>
      </c>
      <c r="K1779" s="196">
        <v>1430</v>
      </c>
      <c r="L1779" s="454" t="s">
        <v>890</v>
      </c>
      <c r="M1779" s="4" t="s">
        <v>780</v>
      </c>
      <c r="N1779" s="133" t="s">
        <v>781</v>
      </c>
      <c r="O1779" s="4" t="s">
        <v>951</v>
      </c>
      <c r="P1779" s="4" t="s">
        <v>892</v>
      </c>
      <c r="Q1779" s="4" t="s">
        <v>952</v>
      </c>
      <c r="R1779" s="4" t="s">
        <v>966</v>
      </c>
      <c r="S1779" s="4" t="s">
        <v>954</v>
      </c>
      <c r="T1779" s="4" t="s">
        <v>786</v>
      </c>
      <c r="U1779" s="4"/>
      <c r="V1779" s="4"/>
      <c r="W1779" s="4"/>
    </row>
    <row r="1780" spans="1:23" customFormat="1">
      <c r="A1780" s="10"/>
      <c r="B1780" s="4"/>
      <c r="C1780" s="4"/>
      <c r="D1780" s="4"/>
      <c r="E1780" s="4"/>
      <c r="F1780" s="152" t="s">
        <v>671</v>
      </c>
      <c r="G1780" s="4" t="s">
        <v>672</v>
      </c>
      <c r="H1780" s="4"/>
      <c r="I1780" s="196">
        <v>-520786</v>
      </c>
      <c r="J1780" s="196">
        <v>-371.99</v>
      </c>
      <c r="K1780" s="196">
        <v>1400</v>
      </c>
      <c r="L1780" s="454" t="s">
        <v>994</v>
      </c>
      <c r="M1780" s="4" t="s">
        <v>780</v>
      </c>
      <c r="N1780" s="133" t="s">
        <v>781</v>
      </c>
      <c r="O1780" s="4" t="s">
        <v>1001</v>
      </c>
      <c r="P1780" s="4" t="s">
        <v>892</v>
      </c>
      <c r="Q1780" s="4" t="s">
        <v>1002</v>
      </c>
      <c r="R1780" s="4" t="s">
        <v>1003</v>
      </c>
      <c r="S1780" s="4" t="s">
        <v>1004</v>
      </c>
      <c r="T1780" s="4" t="s">
        <v>786</v>
      </c>
      <c r="U1780" s="4"/>
      <c r="V1780" s="4"/>
      <c r="W1780" s="4"/>
    </row>
    <row r="1781" spans="1:23" customFormat="1">
      <c r="A1781" s="10"/>
      <c r="B1781" s="4"/>
      <c r="C1781" s="4"/>
      <c r="D1781" s="4"/>
      <c r="E1781" s="4"/>
      <c r="F1781" s="152" t="s">
        <v>671</v>
      </c>
      <c r="G1781" s="4" t="s">
        <v>672</v>
      </c>
      <c r="H1781" s="4"/>
      <c r="I1781" s="196">
        <v>-821254</v>
      </c>
      <c r="J1781" s="196">
        <v>-586.61</v>
      </c>
      <c r="K1781" s="196">
        <v>1400</v>
      </c>
      <c r="L1781" s="454" t="s">
        <v>994</v>
      </c>
      <c r="M1781" s="4" t="s">
        <v>780</v>
      </c>
      <c r="N1781" s="133" t="s">
        <v>781</v>
      </c>
      <c r="O1781" s="4" t="s">
        <v>1001</v>
      </c>
      <c r="P1781" s="4" t="s">
        <v>892</v>
      </c>
      <c r="Q1781" s="4" t="s">
        <v>1002</v>
      </c>
      <c r="R1781" s="4" t="s">
        <v>1005</v>
      </c>
      <c r="S1781" s="4" t="s">
        <v>1004</v>
      </c>
      <c r="T1781" s="4" t="s">
        <v>786</v>
      </c>
      <c r="U1781" s="4"/>
      <c r="V1781" s="4"/>
      <c r="W1781" s="4"/>
    </row>
    <row r="1782" spans="1:23" customFormat="1">
      <c r="A1782" s="10"/>
      <c r="B1782" s="4"/>
      <c r="C1782" s="4"/>
      <c r="D1782" s="4"/>
      <c r="E1782" s="4"/>
      <c r="F1782" s="152" t="s">
        <v>671</v>
      </c>
      <c r="G1782" s="4" t="s">
        <v>672</v>
      </c>
      <c r="H1782" s="4"/>
      <c r="I1782" s="196">
        <v>-2618</v>
      </c>
      <c r="J1782" s="196">
        <v>-1.87</v>
      </c>
      <c r="K1782" s="196">
        <v>1400</v>
      </c>
      <c r="L1782" s="454" t="s">
        <v>994</v>
      </c>
      <c r="M1782" s="4" t="s">
        <v>780</v>
      </c>
      <c r="N1782" s="133" t="s">
        <v>781</v>
      </c>
      <c r="O1782" s="4" t="s">
        <v>1001</v>
      </c>
      <c r="P1782" s="4" t="s">
        <v>892</v>
      </c>
      <c r="Q1782" s="4" t="s">
        <v>1002</v>
      </c>
      <c r="R1782" s="4" t="s">
        <v>953</v>
      </c>
      <c r="S1782" s="4" t="s">
        <v>1004</v>
      </c>
      <c r="T1782" s="4" t="s">
        <v>786</v>
      </c>
      <c r="U1782" s="4"/>
      <c r="V1782" s="4"/>
      <c r="W1782" s="4"/>
    </row>
    <row r="1783" spans="1:23" customFormat="1">
      <c r="A1783" s="10"/>
      <c r="B1783" s="4"/>
      <c r="C1783" s="4"/>
      <c r="D1783" s="4"/>
      <c r="E1783" s="4"/>
      <c r="F1783" s="152" t="s">
        <v>671</v>
      </c>
      <c r="G1783" s="4" t="s">
        <v>672</v>
      </c>
      <c r="H1783" s="4"/>
      <c r="I1783" s="196">
        <v>-2618</v>
      </c>
      <c r="J1783" s="196">
        <v>-1.87</v>
      </c>
      <c r="K1783" s="196">
        <v>1400</v>
      </c>
      <c r="L1783" s="454" t="s">
        <v>994</v>
      </c>
      <c r="M1783" s="4" t="s">
        <v>780</v>
      </c>
      <c r="N1783" s="133" t="s">
        <v>781</v>
      </c>
      <c r="O1783" s="4" t="s">
        <v>1001</v>
      </c>
      <c r="P1783" s="4" t="s">
        <v>892</v>
      </c>
      <c r="Q1783" s="4" t="s">
        <v>1002</v>
      </c>
      <c r="R1783" s="4" t="s">
        <v>953</v>
      </c>
      <c r="S1783" s="4" t="s">
        <v>1004</v>
      </c>
      <c r="T1783" s="4" t="s">
        <v>786</v>
      </c>
      <c r="U1783" s="4"/>
      <c r="V1783" s="4"/>
      <c r="W1783" s="4"/>
    </row>
    <row r="1784" spans="1:23" customFormat="1">
      <c r="A1784" s="10"/>
      <c r="B1784" s="4"/>
      <c r="C1784" s="4"/>
      <c r="D1784" s="4"/>
      <c r="E1784" s="4"/>
      <c r="F1784" s="152" t="s">
        <v>671</v>
      </c>
      <c r="G1784" s="4" t="s">
        <v>672</v>
      </c>
      <c r="H1784" s="4"/>
      <c r="I1784" s="196">
        <v>-821254</v>
      </c>
      <c r="J1784" s="196">
        <v>-586.61</v>
      </c>
      <c r="K1784" s="196">
        <v>1400</v>
      </c>
      <c r="L1784" s="454" t="s">
        <v>994</v>
      </c>
      <c r="M1784" s="4" t="s">
        <v>780</v>
      </c>
      <c r="N1784" s="133" t="s">
        <v>781</v>
      </c>
      <c r="O1784" s="4" t="s">
        <v>1001</v>
      </c>
      <c r="P1784" s="4" t="s">
        <v>892</v>
      </c>
      <c r="Q1784" s="4" t="s">
        <v>1002</v>
      </c>
      <c r="R1784" s="4" t="s">
        <v>1006</v>
      </c>
      <c r="S1784" s="4" t="s">
        <v>1004</v>
      </c>
      <c r="T1784" s="4" t="s">
        <v>786</v>
      </c>
      <c r="U1784" s="4"/>
      <c r="V1784" s="4"/>
      <c r="W1784" s="4"/>
    </row>
    <row r="1785" spans="1:23" customFormat="1">
      <c r="A1785" s="10"/>
      <c r="B1785" s="4"/>
      <c r="C1785" s="4"/>
      <c r="D1785" s="4"/>
      <c r="E1785" s="4"/>
      <c r="F1785" s="152" t="s">
        <v>671</v>
      </c>
      <c r="G1785" s="4" t="s">
        <v>672</v>
      </c>
      <c r="H1785" s="4"/>
      <c r="I1785" s="196">
        <v>-2688</v>
      </c>
      <c r="J1785" s="196">
        <v>-1.92</v>
      </c>
      <c r="K1785" s="196">
        <v>1400</v>
      </c>
      <c r="L1785" s="454" t="s">
        <v>1017</v>
      </c>
      <c r="M1785" s="4" t="s">
        <v>780</v>
      </c>
      <c r="N1785" s="133" t="s">
        <v>781</v>
      </c>
      <c r="O1785" s="4" t="s">
        <v>1022</v>
      </c>
      <c r="P1785" s="4" t="s">
        <v>892</v>
      </c>
      <c r="Q1785" s="4" t="s">
        <v>1023</v>
      </c>
      <c r="R1785" s="4" t="s">
        <v>953</v>
      </c>
      <c r="S1785" s="4" t="s">
        <v>1024</v>
      </c>
      <c r="T1785" s="4" t="s">
        <v>786</v>
      </c>
      <c r="U1785" s="4"/>
      <c r="V1785" s="4"/>
      <c r="W1785" s="4"/>
    </row>
    <row r="1786" spans="1:23" customFormat="1">
      <c r="A1786" s="10"/>
      <c r="B1786" s="4"/>
      <c r="C1786" s="4"/>
      <c r="D1786" s="4"/>
      <c r="E1786" s="4"/>
      <c r="F1786" s="152" t="s">
        <v>671</v>
      </c>
      <c r="G1786" s="4" t="s">
        <v>672</v>
      </c>
      <c r="H1786" s="4"/>
      <c r="I1786" s="196">
        <v>-764596</v>
      </c>
      <c r="J1786" s="196">
        <v>-546.14</v>
      </c>
      <c r="K1786" s="196">
        <v>1400</v>
      </c>
      <c r="L1786" s="454" t="s">
        <v>1017</v>
      </c>
      <c r="M1786" s="4" t="s">
        <v>780</v>
      </c>
      <c r="N1786" s="133" t="s">
        <v>781</v>
      </c>
      <c r="O1786" s="4" t="s">
        <v>1022</v>
      </c>
      <c r="P1786" s="4" t="s">
        <v>892</v>
      </c>
      <c r="Q1786" s="4" t="s">
        <v>1023</v>
      </c>
      <c r="R1786" s="4" t="s">
        <v>862</v>
      </c>
      <c r="S1786" s="4" t="s">
        <v>1024</v>
      </c>
      <c r="T1786" s="4" t="s">
        <v>786</v>
      </c>
      <c r="U1786" s="4"/>
      <c r="V1786" s="4"/>
      <c r="W1786" s="4"/>
    </row>
    <row r="1787" spans="1:23" customFormat="1">
      <c r="A1787" s="10"/>
      <c r="B1787" s="4"/>
      <c r="C1787" s="4"/>
      <c r="D1787" s="4"/>
      <c r="E1787" s="4"/>
      <c r="F1787" s="152" t="s">
        <v>671</v>
      </c>
      <c r="G1787" s="4" t="s">
        <v>672</v>
      </c>
      <c r="H1787" s="4"/>
      <c r="I1787" s="196">
        <v>-841414</v>
      </c>
      <c r="J1787" s="196">
        <v>-601.01</v>
      </c>
      <c r="K1787" s="196">
        <v>1400</v>
      </c>
      <c r="L1787" s="454" t="s">
        <v>1017</v>
      </c>
      <c r="M1787" s="4" t="s">
        <v>780</v>
      </c>
      <c r="N1787" s="133" t="s">
        <v>781</v>
      </c>
      <c r="O1787" s="4" t="s">
        <v>1022</v>
      </c>
      <c r="P1787" s="4" t="s">
        <v>892</v>
      </c>
      <c r="Q1787" s="4" t="s">
        <v>1023</v>
      </c>
      <c r="R1787" s="4" t="s">
        <v>1025</v>
      </c>
      <c r="S1787" s="4" t="s">
        <v>1024</v>
      </c>
      <c r="T1787" s="4" t="s">
        <v>786</v>
      </c>
      <c r="U1787" s="4"/>
      <c r="V1787" s="4"/>
      <c r="W1787" s="4"/>
    </row>
    <row r="1788" spans="1:23" customFormat="1">
      <c r="A1788" s="10"/>
      <c r="B1788" s="4"/>
      <c r="C1788" s="4"/>
      <c r="D1788" s="4"/>
      <c r="E1788" s="4"/>
      <c r="F1788" s="152" t="s">
        <v>671</v>
      </c>
      <c r="G1788" s="4" t="s">
        <v>672</v>
      </c>
      <c r="H1788" s="4"/>
      <c r="I1788" s="196">
        <v>-2688</v>
      </c>
      <c r="J1788" s="196">
        <v>-1.92</v>
      </c>
      <c r="K1788" s="196">
        <v>1400</v>
      </c>
      <c r="L1788" s="454" t="s">
        <v>1017</v>
      </c>
      <c r="M1788" s="4" t="s">
        <v>780</v>
      </c>
      <c r="N1788" s="133" t="s">
        <v>781</v>
      </c>
      <c r="O1788" s="4" t="s">
        <v>1022</v>
      </c>
      <c r="P1788" s="4" t="s">
        <v>892</v>
      </c>
      <c r="Q1788" s="4" t="s">
        <v>1023</v>
      </c>
      <c r="R1788" s="4" t="s">
        <v>953</v>
      </c>
      <c r="S1788" s="4" t="s">
        <v>1024</v>
      </c>
      <c r="T1788" s="4" t="s">
        <v>786</v>
      </c>
      <c r="U1788" s="4"/>
      <c r="V1788" s="4"/>
      <c r="W1788" s="4"/>
    </row>
    <row r="1789" spans="1:23" customFormat="1">
      <c r="A1789" s="10"/>
      <c r="B1789" s="4"/>
      <c r="C1789" s="4"/>
      <c r="D1789" s="4"/>
      <c r="E1789" s="4"/>
      <c r="F1789" s="152" t="s">
        <v>671</v>
      </c>
      <c r="G1789" s="4" t="s">
        <v>672</v>
      </c>
      <c r="H1789" s="4"/>
      <c r="I1789" s="196">
        <v>-76328</v>
      </c>
      <c r="J1789" s="196">
        <v>-54.52</v>
      </c>
      <c r="K1789" s="196">
        <v>1400</v>
      </c>
      <c r="L1789" s="454" t="s">
        <v>1017</v>
      </c>
      <c r="M1789" s="4" t="s">
        <v>780</v>
      </c>
      <c r="N1789" s="133" t="s">
        <v>781</v>
      </c>
      <c r="O1789" s="4" t="s">
        <v>1022</v>
      </c>
      <c r="P1789" s="4" t="s">
        <v>892</v>
      </c>
      <c r="Q1789" s="4" t="s">
        <v>1023</v>
      </c>
      <c r="R1789" s="4" t="s">
        <v>1026</v>
      </c>
      <c r="S1789" s="4" t="s">
        <v>1024</v>
      </c>
      <c r="T1789" s="4" t="s">
        <v>786</v>
      </c>
      <c r="U1789" s="4"/>
      <c r="V1789" s="4"/>
      <c r="W1789" s="4"/>
    </row>
    <row r="1790" spans="1:23" customFormat="1">
      <c r="A1790" s="10"/>
      <c r="B1790" s="4"/>
      <c r="C1790" s="4"/>
      <c r="D1790" s="4"/>
      <c r="E1790" s="4"/>
      <c r="F1790" s="152" t="s">
        <v>671</v>
      </c>
      <c r="G1790" s="4" t="s">
        <v>672</v>
      </c>
      <c r="H1790" s="4"/>
      <c r="I1790" s="196">
        <v>568232</v>
      </c>
      <c r="J1790" s="196">
        <v>389.2</v>
      </c>
      <c r="K1790" s="196">
        <v>1460</v>
      </c>
      <c r="L1790" s="454" t="s">
        <v>1041</v>
      </c>
      <c r="M1790" s="4" t="s">
        <v>780</v>
      </c>
      <c r="N1790" s="133" t="s">
        <v>781</v>
      </c>
      <c r="O1790" s="4" t="s">
        <v>1042</v>
      </c>
      <c r="P1790" s="4" t="s">
        <v>892</v>
      </c>
      <c r="Q1790" s="4" t="s">
        <v>1043</v>
      </c>
      <c r="R1790" s="4"/>
      <c r="S1790" s="4" t="s">
        <v>1044</v>
      </c>
      <c r="T1790" s="4" t="s">
        <v>786</v>
      </c>
      <c r="U1790" s="4"/>
      <c r="V1790" s="4"/>
      <c r="W1790" s="4"/>
    </row>
    <row r="1791" spans="1:23" customFormat="1">
      <c r="A1791" s="10"/>
      <c r="B1791" s="4"/>
      <c r="C1791" s="4"/>
      <c r="D1791" s="4"/>
      <c r="E1791" s="4"/>
      <c r="F1791" s="152" t="s">
        <v>671</v>
      </c>
      <c r="G1791" s="4" t="s">
        <v>672</v>
      </c>
      <c r="H1791" s="4"/>
      <c r="I1791" s="196">
        <v>1350</v>
      </c>
      <c r="J1791" s="196">
        <v>0.9</v>
      </c>
      <c r="K1791" s="196">
        <v>1500</v>
      </c>
      <c r="L1791" s="454" t="s">
        <v>1045</v>
      </c>
      <c r="M1791" s="4" t="s">
        <v>780</v>
      </c>
      <c r="N1791" s="133" t="s">
        <v>781</v>
      </c>
      <c r="O1791" s="4" t="s">
        <v>1046</v>
      </c>
      <c r="P1791" s="4" t="s">
        <v>892</v>
      </c>
      <c r="Q1791" s="4" t="s">
        <v>1047</v>
      </c>
      <c r="R1791" s="4"/>
      <c r="S1791" s="4" t="s">
        <v>1048</v>
      </c>
      <c r="T1791" s="4" t="s">
        <v>786</v>
      </c>
      <c r="U1791" s="4"/>
      <c r="V1791" s="4"/>
      <c r="W1791" s="4"/>
    </row>
    <row r="1792" spans="1:23" customFormat="1">
      <c r="A1792" s="10"/>
      <c r="B1792" s="4"/>
      <c r="C1792" s="4"/>
      <c r="D1792" s="4"/>
      <c r="E1792" s="4"/>
      <c r="F1792" s="152" t="s">
        <v>671</v>
      </c>
      <c r="G1792" s="4" t="s">
        <v>672</v>
      </c>
      <c r="H1792" s="4"/>
      <c r="I1792" s="196">
        <v>862918.4</v>
      </c>
      <c r="J1792" s="196">
        <v>591.04</v>
      </c>
      <c r="K1792" s="196">
        <v>1460</v>
      </c>
      <c r="L1792" s="454" t="s">
        <v>1049</v>
      </c>
      <c r="M1792" s="4" t="s">
        <v>780</v>
      </c>
      <c r="N1792" s="133" t="s">
        <v>781</v>
      </c>
      <c r="O1792" s="4" t="s">
        <v>1050</v>
      </c>
      <c r="P1792" s="4" t="s">
        <v>892</v>
      </c>
      <c r="Q1792" s="4" t="s">
        <v>1051</v>
      </c>
      <c r="R1792" s="4" t="s">
        <v>941</v>
      </c>
      <c r="S1792" s="4" t="s">
        <v>1052</v>
      </c>
      <c r="T1792" s="4" t="s">
        <v>786</v>
      </c>
      <c r="U1792" s="4"/>
      <c r="V1792" s="4"/>
      <c r="W1792" s="4"/>
    </row>
    <row r="1793" spans="1:23" customFormat="1">
      <c r="A1793" s="10"/>
      <c r="B1793" s="4"/>
      <c r="C1793" s="4"/>
      <c r="D1793" s="4"/>
      <c r="E1793" s="4"/>
      <c r="F1793" s="152" t="s">
        <v>671</v>
      </c>
      <c r="G1793" s="4" t="s">
        <v>672</v>
      </c>
      <c r="H1793" s="4"/>
      <c r="I1793" s="196">
        <v>501539.2</v>
      </c>
      <c r="J1793" s="196">
        <v>343.52</v>
      </c>
      <c r="K1793" s="196">
        <v>1460</v>
      </c>
      <c r="L1793" s="454" t="s">
        <v>1049</v>
      </c>
      <c r="M1793" s="4" t="s">
        <v>780</v>
      </c>
      <c r="N1793" s="133" t="s">
        <v>781</v>
      </c>
      <c r="O1793" s="4" t="s">
        <v>1050</v>
      </c>
      <c r="P1793" s="4" t="s">
        <v>892</v>
      </c>
      <c r="Q1793" s="4" t="s">
        <v>1051</v>
      </c>
      <c r="R1793" s="4" t="s">
        <v>1054</v>
      </c>
      <c r="S1793" s="4" t="s">
        <v>1052</v>
      </c>
      <c r="T1793" s="4" t="s">
        <v>786</v>
      </c>
      <c r="U1793" s="4"/>
      <c r="V1793" s="4"/>
      <c r="W1793" s="4"/>
    </row>
    <row r="1794" spans="1:23" customFormat="1">
      <c r="A1794" s="10"/>
      <c r="B1794" s="4"/>
      <c r="C1794" s="4"/>
      <c r="D1794" s="4"/>
      <c r="E1794" s="4"/>
      <c r="F1794" s="152" t="s">
        <v>671</v>
      </c>
      <c r="G1794" s="4" t="s">
        <v>672</v>
      </c>
      <c r="H1794" s="4"/>
      <c r="I1794" s="196">
        <v>359846.2</v>
      </c>
      <c r="J1794" s="196">
        <v>246.47</v>
      </c>
      <c r="K1794" s="196">
        <v>1460</v>
      </c>
      <c r="L1794" s="454" t="s">
        <v>1049</v>
      </c>
      <c r="M1794" s="4" t="s">
        <v>780</v>
      </c>
      <c r="N1794" s="133" t="s">
        <v>781</v>
      </c>
      <c r="O1794" s="4" t="s">
        <v>1050</v>
      </c>
      <c r="P1794" s="4" t="s">
        <v>892</v>
      </c>
      <c r="Q1794" s="4" t="s">
        <v>1051</v>
      </c>
      <c r="R1794" s="4" t="s">
        <v>1055</v>
      </c>
      <c r="S1794" s="4" t="s">
        <v>1052</v>
      </c>
      <c r="T1794" s="4" t="s">
        <v>786</v>
      </c>
      <c r="U1794" s="4"/>
      <c r="V1794" s="4"/>
      <c r="W1794" s="4"/>
    </row>
    <row r="1795" spans="1:23" customFormat="1">
      <c r="A1795" s="10"/>
      <c r="B1795" s="4"/>
      <c r="C1795" s="4"/>
      <c r="D1795" s="4"/>
      <c r="E1795" s="4"/>
      <c r="F1795" s="152" t="s">
        <v>671</v>
      </c>
      <c r="G1795" s="4" t="s">
        <v>672</v>
      </c>
      <c r="H1795" s="4"/>
      <c r="I1795" s="196">
        <v>2832.4</v>
      </c>
      <c r="J1795" s="196">
        <v>1.94</v>
      </c>
      <c r="K1795" s="196">
        <v>1460</v>
      </c>
      <c r="L1795" s="454" t="s">
        <v>1049</v>
      </c>
      <c r="M1795" s="4" t="s">
        <v>780</v>
      </c>
      <c r="N1795" s="133" t="s">
        <v>781</v>
      </c>
      <c r="O1795" s="4" t="s">
        <v>1050</v>
      </c>
      <c r="P1795" s="4" t="s">
        <v>892</v>
      </c>
      <c r="Q1795" s="4" t="s">
        <v>1051</v>
      </c>
      <c r="R1795" s="4" t="s">
        <v>953</v>
      </c>
      <c r="S1795" s="4" t="s">
        <v>1052</v>
      </c>
      <c r="T1795" s="4" t="s">
        <v>786</v>
      </c>
      <c r="U1795" s="4"/>
      <c r="V1795" s="4"/>
      <c r="W1795" s="4"/>
    </row>
    <row r="1796" spans="1:23" customFormat="1">
      <c r="A1796" s="10"/>
      <c r="B1796" s="4"/>
      <c r="C1796" s="4"/>
      <c r="D1796" s="4"/>
      <c r="E1796" s="4"/>
      <c r="F1796" s="152" t="s">
        <v>671</v>
      </c>
      <c r="G1796" s="4" t="s">
        <v>672</v>
      </c>
      <c r="H1796" s="4"/>
      <c r="I1796" s="196">
        <v>125647.6</v>
      </c>
      <c r="J1796" s="196">
        <v>86.06</v>
      </c>
      <c r="K1796" s="196">
        <v>1460</v>
      </c>
      <c r="L1796" s="454" t="s">
        <v>1049</v>
      </c>
      <c r="M1796" s="4" t="s">
        <v>780</v>
      </c>
      <c r="N1796" s="133" t="s">
        <v>781</v>
      </c>
      <c r="O1796" s="4" t="s">
        <v>1050</v>
      </c>
      <c r="P1796" s="4" t="s">
        <v>892</v>
      </c>
      <c r="Q1796" s="4" t="s">
        <v>1051</v>
      </c>
      <c r="R1796" s="4" t="s">
        <v>1056</v>
      </c>
      <c r="S1796" s="4" t="s">
        <v>1052</v>
      </c>
      <c r="T1796" s="4" t="s">
        <v>786</v>
      </c>
      <c r="U1796" s="4"/>
      <c r="V1796" s="4"/>
      <c r="W1796" s="4"/>
    </row>
    <row r="1797" spans="1:23" customFormat="1">
      <c r="A1797" s="10"/>
      <c r="B1797" s="4"/>
      <c r="C1797" s="4"/>
      <c r="D1797" s="4"/>
      <c r="E1797" s="4"/>
      <c r="F1797" s="152" t="s">
        <v>671</v>
      </c>
      <c r="G1797" s="4" t="s">
        <v>672</v>
      </c>
      <c r="H1797" s="4"/>
      <c r="I1797" s="196">
        <v>2788.6</v>
      </c>
      <c r="J1797" s="196">
        <v>1.91</v>
      </c>
      <c r="K1797" s="196">
        <v>1460</v>
      </c>
      <c r="L1797" s="454" t="s">
        <v>1049</v>
      </c>
      <c r="M1797" s="4" t="s">
        <v>780</v>
      </c>
      <c r="N1797" s="133" t="s">
        <v>781</v>
      </c>
      <c r="O1797" s="4" t="s">
        <v>1050</v>
      </c>
      <c r="P1797" s="4" t="s">
        <v>892</v>
      </c>
      <c r="Q1797" s="4" t="s">
        <v>1051</v>
      </c>
      <c r="R1797" s="4" t="s">
        <v>953</v>
      </c>
      <c r="S1797" s="4" t="s">
        <v>1052</v>
      </c>
      <c r="T1797" s="4" t="s">
        <v>786</v>
      </c>
      <c r="U1797" s="4"/>
      <c r="V1797" s="4"/>
      <c r="W1797" s="4"/>
    </row>
    <row r="1798" spans="1:23" customFormat="1">
      <c r="A1798" s="10"/>
      <c r="B1798" s="4"/>
      <c r="C1798" s="4"/>
      <c r="D1798" s="4"/>
      <c r="E1798" s="4"/>
      <c r="F1798" s="152" t="s">
        <v>671</v>
      </c>
      <c r="G1798" s="4" t="s">
        <v>672</v>
      </c>
      <c r="H1798" s="4"/>
      <c r="I1798" s="196">
        <v>567502</v>
      </c>
      <c r="J1798" s="196">
        <v>388.7</v>
      </c>
      <c r="K1798" s="196">
        <v>1460</v>
      </c>
      <c r="L1798" s="454" t="s">
        <v>1049</v>
      </c>
      <c r="M1798" s="4" t="s">
        <v>780</v>
      </c>
      <c r="N1798" s="133" t="s">
        <v>781</v>
      </c>
      <c r="O1798" s="4" t="s">
        <v>1050</v>
      </c>
      <c r="P1798" s="4" t="s">
        <v>892</v>
      </c>
      <c r="Q1798" s="4" t="s">
        <v>1051</v>
      </c>
      <c r="R1798" s="4" t="s">
        <v>1053</v>
      </c>
      <c r="S1798" s="4" t="s">
        <v>1052</v>
      </c>
      <c r="T1798" s="4" t="s">
        <v>786</v>
      </c>
      <c r="U1798" s="4"/>
      <c r="V1798" s="4"/>
      <c r="W1798" s="4"/>
    </row>
    <row r="1799" spans="1:23" customFormat="1">
      <c r="A1799" s="10"/>
      <c r="B1799" s="4"/>
      <c r="C1799" s="4"/>
      <c r="D1799" s="4"/>
      <c r="E1799" s="4"/>
      <c r="F1799" s="152" t="s">
        <v>671</v>
      </c>
      <c r="G1799" s="4" t="s">
        <v>672</v>
      </c>
      <c r="H1799" s="4"/>
      <c r="I1799" s="196">
        <v>2832.4</v>
      </c>
      <c r="J1799" s="196">
        <v>1.94</v>
      </c>
      <c r="K1799" s="196">
        <v>1460</v>
      </c>
      <c r="L1799" s="454" t="s">
        <v>1049</v>
      </c>
      <c r="M1799" s="4" t="s">
        <v>780</v>
      </c>
      <c r="N1799" s="133" t="s">
        <v>781</v>
      </c>
      <c r="O1799" s="4" t="s">
        <v>1050</v>
      </c>
      <c r="P1799" s="4" t="s">
        <v>892</v>
      </c>
      <c r="Q1799" s="4" t="s">
        <v>1051</v>
      </c>
      <c r="R1799" s="4" t="s">
        <v>953</v>
      </c>
      <c r="S1799" s="4" t="s">
        <v>1052</v>
      </c>
      <c r="T1799" s="4" t="s">
        <v>786</v>
      </c>
      <c r="U1799" s="4"/>
      <c r="V1799" s="4"/>
      <c r="W1799" s="4"/>
    </row>
    <row r="1800" spans="1:23" customFormat="1">
      <c r="A1800" s="10"/>
      <c r="B1800" s="4"/>
      <c r="C1800" s="4"/>
      <c r="D1800" s="4"/>
      <c r="E1800" s="4"/>
      <c r="F1800" s="152" t="s">
        <v>671</v>
      </c>
      <c r="G1800" s="4" t="s">
        <v>672</v>
      </c>
      <c r="H1800" s="4"/>
      <c r="I1800" s="196">
        <v>-509085</v>
      </c>
      <c r="J1800" s="196">
        <v>-339.39</v>
      </c>
      <c r="K1800" s="196">
        <v>1500</v>
      </c>
      <c r="L1800" s="454" t="s">
        <v>1045</v>
      </c>
      <c r="M1800" s="4" t="s">
        <v>780</v>
      </c>
      <c r="N1800" s="133" t="s">
        <v>781</v>
      </c>
      <c r="O1800" s="4" t="s">
        <v>1062</v>
      </c>
      <c r="P1800" s="4" t="s">
        <v>892</v>
      </c>
      <c r="Q1800" s="4" t="s">
        <v>1063</v>
      </c>
      <c r="R1800" s="4" t="s">
        <v>941</v>
      </c>
      <c r="S1800" s="4" t="s">
        <v>1064</v>
      </c>
      <c r="T1800" s="4" t="s">
        <v>786</v>
      </c>
      <c r="U1800" s="4"/>
      <c r="V1800" s="4"/>
      <c r="W1800" s="4"/>
    </row>
    <row r="1801" spans="1:23" customFormat="1">
      <c r="A1801" s="10"/>
      <c r="B1801" s="4"/>
      <c r="C1801" s="4"/>
      <c r="D1801" s="4"/>
      <c r="E1801" s="4"/>
      <c r="F1801" s="152" t="s">
        <v>671</v>
      </c>
      <c r="G1801" s="4" t="s">
        <v>672</v>
      </c>
      <c r="H1801" s="4"/>
      <c r="I1801" s="196">
        <v>-82215</v>
      </c>
      <c r="J1801" s="196">
        <v>-54.81</v>
      </c>
      <c r="K1801" s="196">
        <v>1500</v>
      </c>
      <c r="L1801" s="454" t="s">
        <v>1045</v>
      </c>
      <c r="M1801" s="4" t="s">
        <v>780</v>
      </c>
      <c r="N1801" s="133" t="s">
        <v>781</v>
      </c>
      <c r="O1801" s="4" t="s">
        <v>1062</v>
      </c>
      <c r="P1801" s="4" t="s">
        <v>892</v>
      </c>
      <c r="Q1801" s="4" t="s">
        <v>1063</v>
      </c>
      <c r="R1801" s="4" t="s">
        <v>1065</v>
      </c>
      <c r="S1801" s="4" t="s">
        <v>1064</v>
      </c>
      <c r="T1801" s="4" t="s">
        <v>786</v>
      </c>
      <c r="U1801" s="4"/>
      <c r="V1801" s="4"/>
      <c r="W1801" s="4"/>
    </row>
    <row r="1802" spans="1:23" customFormat="1">
      <c r="A1802" s="10"/>
      <c r="B1802" s="4"/>
      <c r="C1802" s="4"/>
      <c r="D1802" s="4"/>
      <c r="E1802" s="4"/>
      <c r="F1802" s="152" t="s">
        <v>671</v>
      </c>
      <c r="G1802" s="4" t="s">
        <v>672</v>
      </c>
      <c r="H1802" s="4"/>
      <c r="I1802" s="196">
        <v>-501539.2</v>
      </c>
      <c r="J1802" s="196">
        <v>-343.52</v>
      </c>
      <c r="K1802" s="196">
        <v>1460</v>
      </c>
      <c r="L1802" s="454" t="s">
        <v>1049</v>
      </c>
      <c r="M1802" s="4" t="s">
        <v>780</v>
      </c>
      <c r="N1802" s="133" t="s">
        <v>781</v>
      </c>
      <c r="O1802" s="4" t="s">
        <v>1075</v>
      </c>
      <c r="P1802" s="4" t="s">
        <v>892</v>
      </c>
      <c r="Q1802" s="4" t="s">
        <v>1076</v>
      </c>
      <c r="R1802" s="4" t="s">
        <v>1054</v>
      </c>
      <c r="S1802" s="4" t="s">
        <v>1077</v>
      </c>
      <c r="T1802" s="4" t="s">
        <v>786</v>
      </c>
      <c r="U1802" s="4"/>
      <c r="V1802" s="4"/>
      <c r="W1802" s="4"/>
    </row>
    <row r="1803" spans="1:23" customFormat="1">
      <c r="A1803" s="10"/>
      <c r="B1803" s="4"/>
      <c r="C1803" s="4"/>
      <c r="D1803" s="4"/>
      <c r="E1803" s="4"/>
      <c r="F1803" s="152" t="s">
        <v>671</v>
      </c>
      <c r="G1803" s="4" t="s">
        <v>672</v>
      </c>
      <c r="H1803" s="4"/>
      <c r="I1803" s="196">
        <v>-862918.4</v>
      </c>
      <c r="J1803" s="196">
        <v>-591.04</v>
      </c>
      <c r="K1803" s="196">
        <v>1460</v>
      </c>
      <c r="L1803" s="454" t="s">
        <v>1049</v>
      </c>
      <c r="M1803" s="4" t="s">
        <v>780</v>
      </c>
      <c r="N1803" s="133" t="s">
        <v>781</v>
      </c>
      <c r="O1803" s="4" t="s">
        <v>1075</v>
      </c>
      <c r="P1803" s="4" t="s">
        <v>892</v>
      </c>
      <c r="Q1803" s="4" t="s">
        <v>1076</v>
      </c>
      <c r="R1803" s="4" t="s">
        <v>941</v>
      </c>
      <c r="S1803" s="4" t="s">
        <v>1077</v>
      </c>
      <c r="T1803" s="4" t="s">
        <v>786</v>
      </c>
      <c r="U1803" s="4"/>
      <c r="V1803" s="4"/>
      <c r="W1803" s="4"/>
    </row>
    <row r="1804" spans="1:23" customFormat="1">
      <c r="A1804" s="10"/>
      <c r="B1804" s="4"/>
      <c r="C1804" s="4"/>
      <c r="D1804" s="4"/>
      <c r="E1804" s="4"/>
      <c r="F1804" s="152" t="s">
        <v>671</v>
      </c>
      <c r="G1804" s="4" t="s">
        <v>672</v>
      </c>
      <c r="H1804" s="4"/>
      <c r="I1804" s="196">
        <v>-2832.4</v>
      </c>
      <c r="J1804" s="196">
        <v>-1.94</v>
      </c>
      <c r="K1804" s="196">
        <v>1460</v>
      </c>
      <c r="L1804" s="454" t="s">
        <v>1049</v>
      </c>
      <c r="M1804" s="4" t="s">
        <v>780</v>
      </c>
      <c r="N1804" s="133" t="s">
        <v>781</v>
      </c>
      <c r="O1804" s="4" t="s">
        <v>1075</v>
      </c>
      <c r="P1804" s="4" t="s">
        <v>892</v>
      </c>
      <c r="Q1804" s="4" t="s">
        <v>1076</v>
      </c>
      <c r="R1804" s="4" t="s">
        <v>953</v>
      </c>
      <c r="S1804" s="4" t="s">
        <v>1077</v>
      </c>
      <c r="T1804" s="4" t="s">
        <v>786</v>
      </c>
      <c r="U1804" s="4"/>
      <c r="V1804" s="4"/>
      <c r="W1804" s="4"/>
    </row>
    <row r="1805" spans="1:23" customFormat="1">
      <c r="A1805" s="10"/>
      <c r="B1805" s="4"/>
      <c r="C1805" s="4"/>
      <c r="D1805" s="4"/>
      <c r="E1805" s="4"/>
      <c r="F1805" s="152" t="s">
        <v>671</v>
      </c>
      <c r="G1805" s="4" t="s">
        <v>672</v>
      </c>
      <c r="H1805" s="4"/>
      <c r="I1805" s="196">
        <v>-567502</v>
      </c>
      <c r="J1805" s="196">
        <v>-388.7</v>
      </c>
      <c r="K1805" s="196">
        <v>1460</v>
      </c>
      <c r="L1805" s="454" t="s">
        <v>1049</v>
      </c>
      <c r="M1805" s="4" t="s">
        <v>780</v>
      </c>
      <c r="N1805" s="133" t="s">
        <v>781</v>
      </c>
      <c r="O1805" s="4" t="s">
        <v>1075</v>
      </c>
      <c r="P1805" s="4" t="s">
        <v>892</v>
      </c>
      <c r="Q1805" s="4" t="s">
        <v>1076</v>
      </c>
      <c r="R1805" s="4" t="s">
        <v>1053</v>
      </c>
      <c r="S1805" s="4" t="s">
        <v>1077</v>
      </c>
      <c r="T1805" s="4" t="s">
        <v>786</v>
      </c>
      <c r="U1805" s="4"/>
      <c r="V1805" s="4"/>
      <c r="W1805" s="4"/>
    </row>
    <row r="1806" spans="1:23" customFormat="1">
      <c r="A1806" s="10"/>
      <c r="B1806" s="4"/>
      <c r="C1806" s="4"/>
      <c r="D1806" s="4"/>
      <c r="E1806" s="4"/>
      <c r="F1806" s="152" t="s">
        <v>671</v>
      </c>
      <c r="G1806" s="4" t="s">
        <v>672</v>
      </c>
      <c r="H1806" s="4"/>
      <c r="I1806" s="196">
        <v>-2832.4</v>
      </c>
      <c r="J1806" s="196">
        <v>-1.94</v>
      </c>
      <c r="K1806" s="196">
        <v>1460</v>
      </c>
      <c r="L1806" s="454" t="s">
        <v>1049</v>
      </c>
      <c r="M1806" s="4" t="s">
        <v>780</v>
      </c>
      <c r="N1806" s="133" t="s">
        <v>781</v>
      </c>
      <c r="O1806" s="4" t="s">
        <v>1075</v>
      </c>
      <c r="P1806" s="4" t="s">
        <v>892</v>
      </c>
      <c r="Q1806" s="4" t="s">
        <v>1076</v>
      </c>
      <c r="R1806" s="4" t="s">
        <v>953</v>
      </c>
      <c r="S1806" s="4" t="s">
        <v>1077</v>
      </c>
      <c r="T1806" s="4" t="s">
        <v>786</v>
      </c>
      <c r="U1806" s="4"/>
      <c r="V1806" s="4"/>
      <c r="W1806" s="4"/>
    </row>
    <row r="1807" spans="1:23" customFormat="1">
      <c r="A1807" s="10"/>
      <c r="B1807" s="4"/>
      <c r="C1807" s="4"/>
      <c r="D1807" s="4"/>
      <c r="E1807" s="4"/>
      <c r="F1807" s="152" t="s">
        <v>671</v>
      </c>
      <c r="G1807" s="4" t="s">
        <v>672</v>
      </c>
      <c r="H1807" s="4"/>
      <c r="I1807" s="196">
        <v>-2788.6</v>
      </c>
      <c r="J1807" s="196">
        <v>-1.91</v>
      </c>
      <c r="K1807" s="196">
        <v>1460</v>
      </c>
      <c r="L1807" s="454" t="s">
        <v>1049</v>
      </c>
      <c r="M1807" s="4" t="s">
        <v>780</v>
      </c>
      <c r="N1807" s="133" t="s">
        <v>781</v>
      </c>
      <c r="O1807" s="4" t="s">
        <v>1075</v>
      </c>
      <c r="P1807" s="4" t="s">
        <v>892</v>
      </c>
      <c r="Q1807" s="4" t="s">
        <v>1076</v>
      </c>
      <c r="R1807" s="4" t="s">
        <v>953</v>
      </c>
      <c r="S1807" s="4" t="s">
        <v>1077</v>
      </c>
      <c r="T1807" s="4" t="s">
        <v>786</v>
      </c>
      <c r="U1807" s="4"/>
      <c r="V1807" s="4"/>
      <c r="W1807" s="4"/>
    </row>
    <row r="1808" spans="1:23" customFormat="1">
      <c r="A1808" s="10"/>
      <c r="B1808" s="4"/>
      <c r="C1808" s="4"/>
      <c r="D1808" s="4"/>
      <c r="E1808" s="4"/>
      <c r="F1808" s="152" t="s">
        <v>671</v>
      </c>
      <c r="G1808" s="4" t="s">
        <v>672</v>
      </c>
      <c r="H1808" s="4"/>
      <c r="I1808" s="196">
        <v>-359846.2</v>
      </c>
      <c r="J1808" s="196">
        <v>-246.47</v>
      </c>
      <c r="K1808" s="196">
        <v>1460</v>
      </c>
      <c r="L1808" s="454" t="s">
        <v>1049</v>
      </c>
      <c r="M1808" s="4" t="s">
        <v>780</v>
      </c>
      <c r="N1808" s="133" t="s">
        <v>781</v>
      </c>
      <c r="O1808" s="4" t="s">
        <v>1075</v>
      </c>
      <c r="P1808" s="4" t="s">
        <v>892</v>
      </c>
      <c r="Q1808" s="4" t="s">
        <v>1076</v>
      </c>
      <c r="R1808" s="4" t="s">
        <v>1055</v>
      </c>
      <c r="S1808" s="4" t="s">
        <v>1077</v>
      </c>
      <c r="T1808" s="4" t="s">
        <v>786</v>
      </c>
      <c r="U1808" s="4"/>
      <c r="V1808" s="4"/>
      <c r="W1808" s="4"/>
    </row>
    <row r="1809" spans="1:23" customFormat="1">
      <c r="A1809" s="10"/>
      <c r="B1809" s="4"/>
      <c r="C1809" s="4"/>
      <c r="D1809" s="4"/>
      <c r="E1809" s="4"/>
      <c r="F1809" s="152" t="s">
        <v>671</v>
      </c>
      <c r="G1809" s="4" t="s">
        <v>672</v>
      </c>
      <c r="H1809" s="4"/>
      <c r="I1809" s="196">
        <v>-125647.6</v>
      </c>
      <c r="J1809" s="196">
        <v>-86.06</v>
      </c>
      <c r="K1809" s="196">
        <v>1460</v>
      </c>
      <c r="L1809" s="454" t="s">
        <v>1049</v>
      </c>
      <c r="M1809" s="4" t="s">
        <v>780</v>
      </c>
      <c r="N1809" s="133" t="s">
        <v>781</v>
      </c>
      <c r="O1809" s="4" t="s">
        <v>1075</v>
      </c>
      <c r="P1809" s="4" t="s">
        <v>892</v>
      </c>
      <c r="Q1809" s="4" t="s">
        <v>1076</v>
      </c>
      <c r="R1809" s="4" t="s">
        <v>1056</v>
      </c>
      <c r="S1809" s="4" t="s">
        <v>1077</v>
      </c>
      <c r="T1809" s="4" t="s">
        <v>786</v>
      </c>
      <c r="U1809" s="4"/>
      <c r="V1809" s="4"/>
      <c r="W1809" s="4"/>
    </row>
    <row r="1810" spans="1:23" customFormat="1">
      <c r="A1810" s="10"/>
      <c r="B1810" s="4"/>
      <c r="C1810" s="4"/>
      <c r="D1810" s="4"/>
      <c r="E1810" s="4"/>
      <c r="F1810" s="152" t="s">
        <v>671</v>
      </c>
      <c r="G1810" s="4" t="s">
        <v>672</v>
      </c>
      <c r="H1810" s="4"/>
      <c r="I1810" s="196">
        <v>-125647.6</v>
      </c>
      <c r="J1810" s="196">
        <v>-86.06</v>
      </c>
      <c r="K1810" s="196">
        <v>1460</v>
      </c>
      <c r="L1810" s="454" t="s">
        <v>1049</v>
      </c>
      <c r="M1810" s="4" t="s">
        <v>780</v>
      </c>
      <c r="N1810" s="133" t="s">
        <v>781</v>
      </c>
      <c r="O1810" s="4" t="s">
        <v>1078</v>
      </c>
      <c r="P1810" s="4" t="s">
        <v>892</v>
      </c>
      <c r="Q1810" s="4" t="s">
        <v>1079</v>
      </c>
      <c r="R1810" s="4" t="s">
        <v>1056</v>
      </c>
      <c r="S1810" s="4" t="s">
        <v>1080</v>
      </c>
      <c r="T1810" s="4" t="s">
        <v>786</v>
      </c>
      <c r="U1810" s="4"/>
      <c r="V1810" s="4"/>
      <c r="W1810" s="4"/>
    </row>
    <row r="1811" spans="1:23" customFormat="1">
      <c r="A1811" s="10"/>
      <c r="B1811" s="4"/>
      <c r="C1811" s="4"/>
      <c r="D1811" s="4"/>
      <c r="E1811" s="4"/>
      <c r="F1811" s="152" t="s">
        <v>671</v>
      </c>
      <c r="G1811" s="4" t="s">
        <v>672</v>
      </c>
      <c r="H1811" s="4"/>
      <c r="I1811" s="196">
        <v>-501539.2</v>
      </c>
      <c r="J1811" s="196">
        <v>-343.52</v>
      </c>
      <c r="K1811" s="196">
        <v>1460</v>
      </c>
      <c r="L1811" s="454" t="s">
        <v>1049</v>
      </c>
      <c r="M1811" s="4" t="s">
        <v>780</v>
      </c>
      <c r="N1811" s="133" t="s">
        <v>781</v>
      </c>
      <c r="O1811" s="4" t="s">
        <v>1078</v>
      </c>
      <c r="P1811" s="4" t="s">
        <v>892</v>
      </c>
      <c r="Q1811" s="4" t="s">
        <v>1079</v>
      </c>
      <c r="R1811" s="4" t="s">
        <v>1054</v>
      </c>
      <c r="S1811" s="4" t="s">
        <v>1080</v>
      </c>
      <c r="T1811" s="4" t="s">
        <v>786</v>
      </c>
      <c r="U1811" s="4"/>
      <c r="V1811" s="4"/>
      <c r="W1811" s="4"/>
    </row>
    <row r="1812" spans="1:23" customFormat="1">
      <c r="A1812" s="10"/>
      <c r="B1812" s="4"/>
      <c r="C1812" s="4"/>
      <c r="D1812" s="4"/>
      <c r="E1812" s="4"/>
      <c r="F1812" s="152" t="s">
        <v>671</v>
      </c>
      <c r="G1812" s="4" t="s">
        <v>672</v>
      </c>
      <c r="H1812" s="4"/>
      <c r="I1812" s="196">
        <v>-862918.4</v>
      </c>
      <c r="J1812" s="196">
        <v>-591.04</v>
      </c>
      <c r="K1812" s="196">
        <v>1460</v>
      </c>
      <c r="L1812" s="454" t="s">
        <v>1049</v>
      </c>
      <c r="M1812" s="4" t="s">
        <v>780</v>
      </c>
      <c r="N1812" s="133" t="s">
        <v>781</v>
      </c>
      <c r="O1812" s="4" t="s">
        <v>1078</v>
      </c>
      <c r="P1812" s="4" t="s">
        <v>892</v>
      </c>
      <c r="Q1812" s="4" t="s">
        <v>1079</v>
      </c>
      <c r="R1812" s="4" t="s">
        <v>941</v>
      </c>
      <c r="S1812" s="4" t="s">
        <v>1080</v>
      </c>
      <c r="T1812" s="4" t="s">
        <v>786</v>
      </c>
      <c r="U1812" s="4"/>
      <c r="V1812" s="4"/>
      <c r="W1812" s="4"/>
    </row>
    <row r="1813" spans="1:23" customFormat="1">
      <c r="A1813" s="10"/>
      <c r="B1813" s="4"/>
      <c r="C1813" s="4"/>
      <c r="D1813" s="4"/>
      <c r="E1813" s="4"/>
      <c r="F1813" s="152" t="s">
        <v>671</v>
      </c>
      <c r="G1813" s="4" t="s">
        <v>672</v>
      </c>
      <c r="H1813" s="4"/>
      <c r="I1813" s="196">
        <v>-2832.4</v>
      </c>
      <c r="J1813" s="196">
        <v>-1.94</v>
      </c>
      <c r="K1813" s="196">
        <v>1460</v>
      </c>
      <c r="L1813" s="454" t="s">
        <v>1049</v>
      </c>
      <c r="M1813" s="4" t="s">
        <v>780</v>
      </c>
      <c r="N1813" s="133" t="s">
        <v>781</v>
      </c>
      <c r="O1813" s="4" t="s">
        <v>1078</v>
      </c>
      <c r="P1813" s="4" t="s">
        <v>892</v>
      </c>
      <c r="Q1813" s="4" t="s">
        <v>1079</v>
      </c>
      <c r="R1813" s="4" t="s">
        <v>953</v>
      </c>
      <c r="S1813" s="4" t="s">
        <v>1080</v>
      </c>
      <c r="T1813" s="4" t="s">
        <v>786</v>
      </c>
      <c r="U1813" s="4"/>
      <c r="V1813" s="4"/>
      <c r="W1813" s="4"/>
    </row>
    <row r="1814" spans="1:23" customFormat="1">
      <c r="A1814" s="10"/>
      <c r="B1814" s="4"/>
      <c r="C1814" s="4"/>
      <c r="D1814" s="4"/>
      <c r="E1814" s="4"/>
      <c r="F1814" s="152" t="s">
        <v>671</v>
      </c>
      <c r="G1814" s="4" t="s">
        <v>672</v>
      </c>
      <c r="H1814" s="4"/>
      <c r="I1814" s="196">
        <v>-2788.6</v>
      </c>
      <c r="J1814" s="196">
        <v>-1.91</v>
      </c>
      <c r="K1814" s="196">
        <v>1460</v>
      </c>
      <c r="L1814" s="454" t="s">
        <v>1049</v>
      </c>
      <c r="M1814" s="4" t="s">
        <v>780</v>
      </c>
      <c r="N1814" s="133" t="s">
        <v>781</v>
      </c>
      <c r="O1814" s="4" t="s">
        <v>1078</v>
      </c>
      <c r="P1814" s="4" t="s">
        <v>892</v>
      </c>
      <c r="Q1814" s="4" t="s">
        <v>1079</v>
      </c>
      <c r="R1814" s="4" t="s">
        <v>953</v>
      </c>
      <c r="S1814" s="4" t="s">
        <v>1080</v>
      </c>
      <c r="T1814" s="4" t="s">
        <v>786</v>
      </c>
      <c r="U1814" s="4"/>
      <c r="V1814" s="4"/>
      <c r="W1814" s="4"/>
    </row>
    <row r="1815" spans="1:23" customFormat="1">
      <c r="A1815" s="10"/>
      <c r="B1815" s="4"/>
      <c r="C1815" s="4"/>
      <c r="D1815" s="4"/>
      <c r="E1815" s="4"/>
      <c r="F1815" s="152" t="s">
        <v>671</v>
      </c>
      <c r="G1815" s="4" t="s">
        <v>672</v>
      </c>
      <c r="H1815" s="4"/>
      <c r="I1815" s="196">
        <v>-567502</v>
      </c>
      <c r="J1815" s="196">
        <v>-388.7</v>
      </c>
      <c r="K1815" s="196">
        <v>1460</v>
      </c>
      <c r="L1815" s="454" t="s">
        <v>1049</v>
      </c>
      <c r="M1815" s="4" t="s">
        <v>780</v>
      </c>
      <c r="N1815" s="133" t="s">
        <v>781</v>
      </c>
      <c r="O1815" s="4" t="s">
        <v>1078</v>
      </c>
      <c r="P1815" s="4" t="s">
        <v>892</v>
      </c>
      <c r="Q1815" s="4" t="s">
        <v>1079</v>
      </c>
      <c r="R1815" s="4" t="s">
        <v>1053</v>
      </c>
      <c r="S1815" s="4" t="s">
        <v>1080</v>
      </c>
      <c r="T1815" s="4" t="s">
        <v>786</v>
      </c>
      <c r="U1815" s="4"/>
      <c r="V1815" s="4"/>
      <c r="W1815" s="4"/>
    </row>
    <row r="1816" spans="1:23" customFormat="1">
      <c r="A1816" s="10"/>
      <c r="B1816" s="4"/>
      <c r="C1816" s="4"/>
      <c r="D1816" s="4"/>
      <c r="E1816" s="4"/>
      <c r="F1816" s="152" t="s">
        <v>671</v>
      </c>
      <c r="G1816" s="4" t="s">
        <v>672</v>
      </c>
      <c r="H1816" s="4"/>
      <c r="I1816" s="196">
        <v>-2832.4</v>
      </c>
      <c r="J1816" s="196">
        <v>-1.94</v>
      </c>
      <c r="K1816" s="196">
        <v>1460</v>
      </c>
      <c r="L1816" s="454" t="s">
        <v>1049</v>
      </c>
      <c r="M1816" s="4" t="s">
        <v>780</v>
      </c>
      <c r="N1816" s="133" t="s">
        <v>781</v>
      </c>
      <c r="O1816" s="4" t="s">
        <v>1078</v>
      </c>
      <c r="P1816" s="4" t="s">
        <v>892</v>
      </c>
      <c r="Q1816" s="4" t="s">
        <v>1079</v>
      </c>
      <c r="R1816" s="4" t="s">
        <v>953</v>
      </c>
      <c r="S1816" s="4" t="s">
        <v>1080</v>
      </c>
      <c r="T1816" s="4" t="s">
        <v>786</v>
      </c>
      <c r="U1816" s="4"/>
      <c r="V1816" s="4"/>
      <c r="W1816" s="4"/>
    </row>
    <row r="1817" spans="1:23" customFormat="1">
      <c r="A1817" s="10"/>
      <c r="B1817" s="4"/>
      <c r="C1817" s="4"/>
      <c r="D1817" s="4"/>
      <c r="E1817" s="4"/>
      <c r="F1817" s="152" t="s">
        <v>671</v>
      </c>
      <c r="G1817" s="4" t="s">
        <v>672</v>
      </c>
      <c r="H1817" s="4"/>
      <c r="I1817" s="196">
        <v>-359846.2</v>
      </c>
      <c r="J1817" s="196">
        <v>-246.47</v>
      </c>
      <c r="K1817" s="196">
        <v>1460</v>
      </c>
      <c r="L1817" s="454" t="s">
        <v>1049</v>
      </c>
      <c r="M1817" s="4" t="s">
        <v>780</v>
      </c>
      <c r="N1817" s="133" t="s">
        <v>781</v>
      </c>
      <c r="O1817" s="4" t="s">
        <v>1078</v>
      </c>
      <c r="P1817" s="4" t="s">
        <v>892</v>
      </c>
      <c r="Q1817" s="4" t="s">
        <v>1079</v>
      </c>
      <c r="R1817" s="4" t="s">
        <v>1055</v>
      </c>
      <c r="S1817" s="4" t="s">
        <v>1080</v>
      </c>
      <c r="T1817" s="4" t="s">
        <v>786</v>
      </c>
      <c r="U1817" s="4"/>
      <c r="V1817" s="4"/>
      <c r="W1817" s="4"/>
    </row>
    <row r="1818" spans="1:23" customFormat="1">
      <c r="A1818" s="10"/>
      <c r="B1818" s="4"/>
      <c r="C1818" s="4"/>
      <c r="D1818" s="4"/>
      <c r="E1818" s="4"/>
      <c r="F1818" s="152" t="s">
        <v>671</v>
      </c>
      <c r="G1818" s="4" t="s">
        <v>672</v>
      </c>
      <c r="H1818" s="4"/>
      <c r="I1818" s="196">
        <v>213</v>
      </c>
      <c r="J1818" s="196">
        <v>0.15</v>
      </c>
      <c r="K1818" s="196">
        <v>1420</v>
      </c>
      <c r="L1818" s="454" t="s">
        <v>1081</v>
      </c>
      <c r="M1818" s="4" t="s">
        <v>780</v>
      </c>
      <c r="N1818" s="133" t="s">
        <v>781</v>
      </c>
      <c r="O1818" s="4" t="s">
        <v>1082</v>
      </c>
      <c r="P1818" s="4" t="s">
        <v>892</v>
      </c>
      <c r="Q1818" s="4" t="s">
        <v>1083</v>
      </c>
      <c r="R1818" s="4" t="s">
        <v>906</v>
      </c>
      <c r="S1818" s="4" t="s">
        <v>1084</v>
      </c>
      <c r="T1818" s="4" t="s">
        <v>786</v>
      </c>
      <c r="U1818" s="4"/>
      <c r="V1818" s="4"/>
      <c r="W1818" s="4"/>
    </row>
    <row r="1819" spans="1:23" customFormat="1">
      <c r="A1819" s="10"/>
      <c r="B1819" s="4"/>
      <c r="C1819" s="4"/>
      <c r="D1819" s="4"/>
      <c r="E1819" s="4"/>
      <c r="F1819" s="152" t="s">
        <v>671</v>
      </c>
      <c r="G1819" s="4" t="s">
        <v>672</v>
      </c>
      <c r="H1819" s="4"/>
      <c r="I1819" s="196">
        <v>14.2</v>
      </c>
      <c r="J1819" s="196">
        <v>0.01</v>
      </c>
      <c r="K1819" s="196">
        <v>1420</v>
      </c>
      <c r="L1819" s="454" t="s">
        <v>1081</v>
      </c>
      <c r="M1819" s="4" t="s">
        <v>780</v>
      </c>
      <c r="N1819" s="133" t="s">
        <v>781</v>
      </c>
      <c r="O1819" s="4" t="s">
        <v>1082</v>
      </c>
      <c r="P1819" s="4" t="s">
        <v>892</v>
      </c>
      <c r="Q1819" s="4" t="s">
        <v>1083</v>
      </c>
      <c r="R1819" s="4" t="s">
        <v>906</v>
      </c>
      <c r="S1819" s="4" t="s">
        <v>1084</v>
      </c>
      <c r="T1819" s="4" t="s">
        <v>786</v>
      </c>
      <c r="U1819" s="4"/>
      <c r="V1819" s="4"/>
      <c r="W1819" s="4"/>
    </row>
    <row r="1820" spans="1:23" customFormat="1">
      <c r="A1820" s="10"/>
      <c r="B1820" s="4"/>
      <c r="C1820" s="4"/>
      <c r="D1820" s="4"/>
      <c r="E1820" s="4"/>
      <c r="F1820" s="152" t="s">
        <v>671</v>
      </c>
      <c r="G1820" s="4" t="s">
        <v>672</v>
      </c>
      <c r="H1820" s="4"/>
      <c r="I1820" s="196">
        <v>3677.8</v>
      </c>
      <c r="J1820" s="196">
        <v>2.59</v>
      </c>
      <c r="K1820" s="196">
        <v>1420</v>
      </c>
      <c r="L1820" s="454" t="s">
        <v>1088</v>
      </c>
      <c r="M1820" s="4" t="s">
        <v>780</v>
      </c>
      <c r="N1820" s="133" t="s">
        <v>781</v>
      </c>
      <c r="O1820" s="4" t="s">
        <v>1089</v>
      </c>
      <c r="P1820" s="4" t="s">
        <v>892</v>
      </c>
      <c r="Q1820" s="4" t="s">
        <v>1090</v>
      </c>
      <c r="R1820" s="4" t="s">
        <v>1091</v>
      </c>
      <c r="S1820" s="4" t="s">
        <v>1092</v>
      </c>
      <c r="T1820" s="4" t="s">
        <v>786</v>
      </c>
      <c r="U1820" s="4"/>
      <c r="V1820" s="4"/>
      <c r="W1820" s="4"/>
    </row>
    <row r="1821" spans="1:23" customFormat="1">
      <c r="A1821" s="10"/>
      <c r="B1821" s="4"/>
      <c r="C1821" s="4"/>
      <c r="D1821" s="4"/>
      <c r="E1821" s="4"/>
      <c r="F1821" s="152" t="s">
        <v>671</v>
      </c>
      <c r="G1821" s="4" t="s">
        <v>672</v>
      </c>
      <c r="H1821" s="4"/>
      <c r="I1821" s="196">
        <v>213</v>
      </c>
      <c r="J1821" s="196">
        <v>0.15</v>
      </c>
      <c r="K1821" s="196">
        <v>1420</v>
      </c>
      <c r="L1821" s="454" t="s">
        <v>1098</v>
      </c>
      <c r="M1821" s="4" t="s">
        <v>780</v>
      </c>
      <c r="N1821" s="133" t="s">
        <v>781</v>
      </c>
      <c r="O1821" s="4" t="s">
        <v>1102</v>
      </c>
      <c r="P1821" s="4" t="s">
        <v>892</v>
      </c>
      <c r="Q1821" s="4" t="s">
        <v>1103</v>
      </c>
      <c r="R1821" s="4" t="s">
        <v>1104</v>
      </c>
      <c r="S1821" s="4" t="s">
        <v>1105</v>
      </c>
      <c r="T1821" s="4" t="s">
        <v>786</v>
      </c>
      <c r="U1821" s="4"/>
      <c r="V1821" s="4"/>
      <c r="W1821" s="4"/>
    </row>
    <row r="1822" spans="1:23" customFormat="1">
      <c r="A1822" s="10"/>
      <c r="B1822" s="4"/>
      <c r="C1822" s="4"/>
      <c r="D1822" s="4"/>
      <c r="E1822" s="4"/>
      <c r="F1822" s="152" t="s">
        <v>671</v>
      </c>
      <c r="G1822" s="4" t="s">
        <v>672</v>
      </c>
      <c r="H1822" s="4"/>
      <c r="I1822" s="196">
        <v>1292.2</v>
      </c>
      <c r="J1822" s="196">
        <v>0.91</v>
      </c>
      <c r="K1822" s="196">
        <v>1420</v>
      </c>
      <c r="L1822" s="454" t="s">
        <v>1098</v>
      </c>
      <c r="M1822" s="4" t="s">
        <v>780</v>
      </c>
      <c r="N1822" s="133" t="s">
        <v>781</v>
      </c>
      <c r="O1822" s="4" t="s">
        <v>1102</v>
      </c>
      <c r="P1822" s="4" t="s">
        <v>892</v>
      </c>
      <c r="Q1822" s="4" t="s">
        <v>1103</v>
      </c>
      <c r="R1822" s="4" t="s">
        <v>1106</v>
      </c>
      <c r="S1822" s="4" t="s">
        <v>1105</v>
      </c>
      <c r="T1822" s="4" t="s">
        <v>786</v>
      </c>
      <c r="U1822" s="4"/>
      <c r="V1822" s="4"/>
      <c r="W1822" s="4"/>
    </row>
    <row r="1823" spans="1:23" customFormat="1">
      <c r="A1823" s="10"/>
      <c r="B1823" s="4"/>
      <c r="C1823" s="4"/>
      <c r="D1823" s="4"/>
      <c r="E1823" s="4"/>
      <c r="F1823" s="152" t="s">
        <v>671</v>
      </c>
      <c r="G1823" s="4" t="s">
        <v>672</v>
      </c>
      <c r="H1823" s="4"/>
      <c r="I1823" s="196">
        <v>426</v>
      </c>
      <c r="J1823" s="196">
        <v>0.3</v>
      </c>
      <c r="K1823" s="196">
        <v>1420</v>
      </c>
      <c r="L1823" s="454" t="s">
        <v>1098</v>
      </c>
      <c r="M1823" s="4" t="s">
        <v>780</v>
      </c>
      <c r="N1823" s="133" t="s">
        <v>781</v>
      </c>
      <c r="O1823" s="4" t="s">
        <v>1102</v>
      </c>
      <c r="P1823" s="4" t="s">
        <v>892</v>
      </c>
      <c r="Q1823" s="4" t="s">
        <v>1103</v>
      </c>
      <c r="R1823" s="4" t="s">
        <v>1108</v>
      </c>
      <c r="S1823" s="4" t="s">
        <v>1105</v>
      </c>
      <c r="T1823" s="4" t="s">
        <v>786</v>
      </c>
      <c r="U1823" s="4"/>
      <c r="V1823" s="4"/>
      <c r="W1823" s="4"/>
    </row>
    <row r="1824" spans="1:23" customFormat="1">
      <c r="A1824" s="10"/>
      <c r="B1824" s="4"/>
      <c r="C1824" s="4"/>
      <c r="D1824" s="4"/>
      <c r="E1824" s="4"/>
      <c r="F1824" s="152" t="s">
        <v>671</v>
      </c>
      <c r="G1824" s="4" t="s">
        <v>672</v>
      </c>
      <c r="H1824" s="4"/>
      <c r="I1824" s="196">
        <v>4260000</v>
      </c>
      <c r="J1824" s="196">
        <v>3000</v>
      </c>
      <c r="K1824" s="196">
        <v>1420</v>
      </c>
      <c r="L1824" s="454" t="s">
        <v>1098</v>
      </c>
      <c r="M1824" s="4" t="s">
        <v>780</v>
      </c>
      <c r="N1824" s="133" t="s">
        <v>781</v>
      </c>
      <c r="O1824" s="4" t="s">
        <v>1102</v>
      </c>
      <c r="P1824" s="4" t="s">
        <v>892</v>
      </c>
      <c r="Q1824" s="4" t="s">
        <v>1103</v>
      </c>
      <c r="R1824" s="4" t="s">
        <v>1107</v>
      </c>
      <c r="S1824" s="4" t="s">
        <v>1105</v>
      </c>
      <c r="T1824" s="4" t="s">
        <v>786</v>
      </c>
      <c r="U1824" s="4"/>
      <c r="V1824" s="4"/>
      <c r="W1824" s="4"/>
    </row>
    <row r="1825" spans="1:23" customFormat="1">
      <c r="A1825" s="10"/>
      <c r="B1825" s="4"/>
      <c r="C1825" s="4"/>
      <c r="D1825" s="4"/>
      <c r="E1825" s="4"/>
      <c r="F1825" s="152" t="s">
        <v>671</v>
      </c>
      <c r="G1825" s="4" t="s">
        <v>672</v>
      </c>
      <c r="H1825" s="4"/>
      <c r="I1825" s="196">
        <v>-1050.8</v>
      </c>
      <c r="J1825" s="196">
        <v>-0.74</v>
      </c>
      <c r="K1825" s="196">
        <v>1420</v>
      </c>
      <c r="L1825" s="454" t="s">
        <v>1081</v>
      </c>
      <c r="M1825" s="4" t="s">
        <v>780</v>
      </c>
      <c r="N1825" s="133" t="s">
        <v>781</v>
      </c>
      <c r="O1825" s="4" t="s">
        <v>1149</v>
      </c>
      <c r="P1825" s="4" t="s">
        <v>892</v>
      </c>
      <c r="Q1825" s="4" t="s">
        <v>1150</v>
      </c>
      <c r="R1825" s="4" t="s">
        <v>1151</v>
      </c>
      <c r="S1825" s="4" t="s">
        <v>1152</v>
      </c>
      <c r="T1825" s="4" t="s">
        <v>786</v>
      </c>
      <c r="U1825" s="4"/>
      <c r="V1825" s="4"/>
      <c r="W1825" s="4"/>
    </row>
    <row r="1826" spans="1:23" customFormat="1">
      <c r="A1826" s="10"/>
      <c r="B1826" s="4"/>
      <c r="C1826" s="4"/>
      <c r="D1826" s="4"/>
      <c r="E1826" s="4"/>
      <c r="F1826" s="152" t="s">
        <v>671</v>
      </c>
      <c r="G1826" s="4" t="s">
        <v>672</v>
      </c>
      <c r="H1826" s="4"/>
      <c r="I1826" s="196">
        <v>-13049.8</v>
      </c>
      <c r="J1826" s="196">
        <v>-9.19</v>
      </c>
      <c r="K1826" s="196">
        <v>1420</v>
      </c>
      <c r="L1826" s="454" t="s">
        <v>1081</v>
      </c>
      <c r="M1826" s="4" t="s">
        <v>780</v>
      </c>
      <c r="N1826" s="133" t="s">
        <v>781</v>
      </c>
      <c r="O1826" s="4" t="s">
        <v>1149</v>
      </c>
      <c r="P1826" s="4" t="s">
        <v>892</v>
      </c>
      <c r="Q1826" s="4" t="s">
        <v>1150</v>
      </c>
      <c r="R1826" s="4" t="s">
        <v>1151</v>
      </c>
      <c r="S1826" s="4" t="s">
        <v>1152</v>
      </c>
      <c r="T1826" s="4" t="s">
        <v>786</v>
      </c>
      <c r="U1826" s="4"/>
      <c r="V1826" s="4"/>
      <c r="W1826" s="4"/>
    </row>
    <row r="1827" spans="1:23" customFormat="1">
      <c r="A1827" s="10"/>
      <c r="B1827" s="4"/>
      <c r="C1827" s="4"/>
      <c r="D1827" s="4"/>
      <c r="E1827" s="4"/>
      <c r="F1827" s="152" t="s">
        <v>671</v>
      </c>
      <c r="G1827" s="4" t="s">
        <v>672</v>
      </c>
      <c r="H1827" s="4"/>
      <c r="I1827" s="196">
        <v>-45582</v>
      </c>
      <c r="J1827" s="196">
        <v>-32.1</v>
      </c>
      <c r="K1827" s="196">
        <v>1420</v>
      </c>
      <c r="L1827" s="454" t="s">
        <v>1113</v>
      </c>
      <c r="M1827" s="4" t="s">
        <v>780</v>
      </c>
      <c r="N1827" s="133" t="s">
        <v>781</v>
      </c>
      <c r="O1827" s="4" t="s">
        <v>1156</v>
      </c>
      <c r="P1827" s="4" t="s">
        <v>892</v>
      </c>
      <c r="Q1827" s="4" t="s">
        <v>1157</v>
      </c>
      <c r="R1827" s="4" t="s">
        <v>1160</v>
      </c>
      <c r="S1827" s="4" t="s">
        <v>1159</v>
      </c>
      <c r="T1827" s="4" t="s">
        <v>786</v>
      </c>
      <c r="U1827" s="4"/>
      <c r="V1827" s="4"/>
      <c r="W1827" s="4"/>
    </row>
    <row r="1828" spans="1:23" customFormat="1">
      <c r="A1828" s="10"/>
      <c r="B1828" s="4"/>
      <c r="C1828" s="4"/>
      <c r="D1828" s="4"/>
      <c r="E1828" s="4"/>
      <c r="F1828" s="152" t="s">
        <v>671</v>
      </c>
      <c r="G1828" s="4" t="s">
        <v>672</v>
      </c>
      <c r="H1828" s="4"/>
      <c r="I1828" s="196">
        <v>-1462.6</v>
      </c>
      <c r="J1828" s="196">
        <v>-1.03</v>
      </c>
      <c r="K1828" s="196">
        <v>1420</v>
      </c>
      <c r="L1828" s="454" t="s">
        <v>1113</v>
      </c>
      <c r="M1828" s="4" t="s">
        <v>780</v>
      </c>
      <c r="N1828" s="133" t="s">
        <v>781</v>
      </c>
      <c r="O1828" s="4" t="s">
        <v>1156</v>
      </c>
      <c r="P1828" s="4" t="s">
        <v>892</v>
      </c>
      <c r="Q1828" s="4" t="s">
        <v>1157</v>
      </c>
      <c r="R1828" s="4" t="s">
        <v>1160</v>
      </c>
      <c r="S1828" s="4" t="s">
        <v>1159</v>
      </c>
      <c r="T1828" s="4" t="s">
        <v>786</v>
      </c>
      <c r="U1828" s="4"/>
      <c r="V1828" s="4"/>
      <c r="W1828" s="4"/>
    </row>
    <row r="1829" spans="1:23" customFormat="1">
      <c r="A1829" s="10"/>
      <c r="B1829" s="4"/>
      <c r="C1829" s="4"/>
      <c r="D1829" s="4"/>
      <c r="E1829" s="4"/>
      <c r="F1829" s="152" t="s">
        <v>671</v>
      </c>
      <c r="G1829" s="4" t="s">
        <v>672</v>
      </c>
      <c r="H1829" s="4"/>
      <c r="I1829" s="196">
        <v>-16159.6</v>
      </c>
      <c r="J1829" s="196">
        <v>-11.38</v>
      </c>
      <c r="K1829" s="196">
        <v>1420</v>
      </c>
      <c r="L1829" s="454" t="s">
        <v>1113</v>
      </c>
      <c r="M1829" s="4" t="s">
        <v>780</v>
      </c>
      <c r="N1829" s="133" t="s">
        <v>781</v>
      </c>
      <c r="O1829" s="4" t="s">
        <v>1156</v>
      </c>
      <c r="P1829" s="4" t="s">
        <v>892</v>
      </c>
      <c r="Q1829" s="4" t="s">
        <v>1157</v>
      </c>
      <c r="R1829" s="4" t="s">
        <v>1158</v>
      </c>
      <c r="S1829" s="4" t="s">
        <v>1159</v>
      </c>
      <c r="T1829" s="4" t="s">
        <v>786</v>
      </c>
      <c r="U1829" s="4"/>
      <c r="V1829" s="4"/>
      <c r="W1829" s="4"/>
    </row>
    <row r="1830" spans="1:23" customFormat="1">
      <c r="A1830" s="10"/>
      <c r="B1830" s="4"/>
      <c r="C1830" s="4"/>
      <c r="D1830" s="4"/>
      <c r="E1830" s="4"/>
      <c r="F1830" s="152" t="s">
        <v>671</v>
      </c>
      <c r="G1830" s="4" t="s">
        <v>672</v>
      </c>
      <c r="H1830" s="4"/>
      <c r="I1830" s="196">
        <v>-2698</v>
      </c>
      <c r="J1830" s="196">
        <v>-1.9</v>
      </c>
      <c r="K1830" s="196">
        <v>1420</v>
      </c>
      <c r="L1830" s="454" t="s">
        <v>1113</v>
      </c>
      <c r="M1830" s="4" t="s">
        <v>780</v>
      </c>
      <c r="N1830" s="133" t="s">
        <v>781</v>
      </c>
      <c r="O1830" s="4" t="s">
        <v>1156</v>
      </c>
      <c r="P1830" s="4" t="s">
        <v>892</v>
      </c>
      <c r="Q1830" s="4" t="s">
        <v>1157</v>
      </c>
      <c r="R1830" s="4" t="s">
        <v>1160</v>
      </c>
      <c r="S1830" s="4" t="s">
        <v>1159</v>
      </c>
      <c r="T1830" s="4" t="s">
        <v>786</v>
      </c>
      <c r="U1830" s="4"/>
      <c r="V1830" s="4"/>
      <c r="W1830" s="4"/>
    </row>
    <row r="1831" spans="1:23" customFormat="1">
      <c r="A1831" s="10"/>
      <c r="B1831" s="4"/>
      <c r="C1831" s="4"/>
      <c r="D1831" s="4"/>
      <c r="E1831" s="4"/>
      <c r="F1831" s="152" t="s">
        <v>671</v>
      </c>
      <c r="G1831" s="4" t="s">
        <v>672</v>
      </c>
      <c r="H1831" s="4"/>
      <c r="I1831" s="196">
        <v>-1939507</v>
      </c>
      <c r="J1831" s="196">
        <v>-1365.85</v>
      </c>
      <c r="K1831" s="196">
        <v>1420</v>
      </c>
      <c r="L1831" s="454" t="s">
        <v>1098</v>
      </c>
      <c r="M1831" s="4" t="s">
        <v>780</v>
      </c>
      <c r="N1831" s="133" t="s">
        <v>781</v>
      </c>
      <c r="O1831" s="4" t="s">
        <v>1165</v>
      </c>
      <c r="P1831" s="4" t="s">
        <v>892</v>
      </c>
      <c r="Q1831" s="4" t="s">
        <v>1166</v>
      </c>
      <c r="R1831" s="4" t="s">
        <v>1170</v>
      </c>
      <c r="S1831" s="4" t="s">
        <v>1168</v>
      </c>
      <c r="T1831" s="4" t="s">
        <v>786</v>
      </c>
      <c r="U1831" s="4"/>
      <c r="V1831" s="4"/>
      <c r="W1831" s="4"/>
    </row>
    <row r="1832" spans="1:23" customFormat="1">
      <c r="A1832" s="10"/>
      <c r="B1832" s="4"/>
      <c r="C1832" s="4"/>
      <c r="D1832" s="4"/>
      <c r="E1832" s="4"/>
      <c r="F1832" s="152" t="s">
        <v>671</v>
      </c>
      <c r="G1832" s="4" t="s">
        <v>672</v>
      </c>
      <c r="H1832" s="4"/>
      <c r="I1832" s="196">
        <v>-13376.4</v>
      </c>
      <c r="J1832" s="196">
        <v>-9.42</v>
      </c>
      <c r="K1832" s="196">
        <v>1420</v>
      </c>
      <c r="L1832" s="454" t="s">
        <v>1098</v>
      </c>
      <c r="M1832" s="4" t="s">
        <v>780</v>
      </c>
      <c r="N1832" s="133" t="s">
        <v>781</v>
      </c>
      <c r="O1832" s="4" t="s">
        <v>1165</v>
      </c>
      <c r="P1832" s="4" t="s">
        <v>892</v>
      </c>
      <c r="Q1832" s="4" t="s">
        <v>1166</v>
      </c>
      <c r="R1832" s="4" t="s">
        <v>1167</v>
      </c>
      <c r="S1832" s="4" t="s">
        <v>1168</v>
      </c>
      <c r="T1832" s="4" t="s">
        <v>786</v>
      </c>
      <c r="U1832" s="4"/>
      <c r="V1832" s="4"/>
      <c r="W1832" s="4"/>
    </row>
    <row r="1833" spans="1:23" customFormat="1">
      <c r="A1833" s="10"/>
      <c r="B1833" s="4"/>
      <c r="C1833" s="4"/>
      <c r="D1833" s="4"/>
      <c r="E1833" s="4"/>
      <c r="F1833" s="152" t="s">
        <v>671</v>
      </c>
      <c r="G1833" s="4" t="s">
        <v>672</v>
      </c>
      <c r="H1833" s="4"/>
      <c r="I1833" s="196">
        <v>-26042.799999999999</v>
      </c>
      <c r="J1833" s="196">
        <v>-18.34</v>
      </c>
      <c r="K1833" s="196">
        <v>1420</v>
      </c>
      <c r="L1833" s="454" t="s">
        <v>1098</v>
      </c>
      <c r="M1833" s="4" t="s">
        <v>780</v>
      </c>
      <c r="N1833" s="133" t="s">
        <v>781</v>
      </c>
      <c r="O1833" s="4" t="s">
        <v>1165</v>
      </c>
      <c r="P1833" s="4" t="s">
        <v>892</v>
      </c>
      <c r="Q1833" s="4" t="s">
        <v>1166</v>
      </c>
      <c r="R1833" s="4" t="s">
        <v>1167</v>
      </c>
      <c r="S1833" s="4" t="s">
        <v>1168</v>
      </c>
      <c r="T1833" s="4" t="s">
        <v>786</v>
      </c>
      <c r="U1833" s="4"/>
      <c r="V1833" s="4"/>
      <c r="W1833" s="4"/>
    </row>
    <row r="1834" spans="1:23" customFormat="1">
      <c r="A1834" s="10"/>
      <c r="B1834" s="4"/>
      <c r="C1834" s="4"/>
      <c r="D1834" s="4"/>
      <c r="E1834" s="4"/>
      <c r="F1834" s="152" t="s">
        <v>671</v>
      </c>
      <c r="G1834" s="4" t="s">
        <v>672</v>
      </c>
      <c r="H1834" s="4"/>
      <c r="I1834" s="196">
        <v>-234243.20000000001</v>
      </c>
      <c r="J1834" s="196">
        <v>-164.96</v>
      </c>
      <c r="K1834" s="196">
        <v>1420</v>
      </c>
      <c r="L1834" s="454" t="s">
        <v>1098</v>
      </c>
      <c r="M1834" s="4" t="s">
        <v>780</v>
      </c>
      <c r="N1834" s="133" t="s">
        <v>781</v>
      </c>
      <c r="O1834" s="4" t="s">
        <v>1165</v>
      </c>
      <c r="P1834" s="4" t="s">
        <v>892</v>
      </c>
      <c r="Q1834" s="4" t="s">
        <v>1166</v>
      </c>
      <c r="R1834" s="4" t="s">
        <v>1169</v>
      </c>
      <c r="S1834" s="4" t="s">
        <v>1168</v>
      </c>
      <c r="T1834" s="4" t="s">
        <v>786</v>
      </c>
      <c r="U1834" s="4"/>
      <c r="V1834" s="4"/>
      <c r="W1834" s="4"/>
    </row>
    <row r="1835" spans="1:23" customFormat="1">
      <c r="A1835" s="10"/>
      <c r="B1835" s="4"/>
      <c r="C1835" s="4"/>
      <c r="D1835" s="4"/>
      <c r="E1835" s="4"/>
      <c r="F1835" s="152" t="s">
        <v>671</v>
      </c>
      <c r="G1835" s="4" t="s">
        <v>672</v>
      </c>
      <c r="H1835" s="4"/>
      <c r="I1835" s="196">
        <v>-2712.2</v>
      </c>
      <c r="J1835" s="196">
        <v>-1.91</v>
      </c>
      <c r="K1835" s="196">
        <v>1420</v>
      </c>
      <c r="L1835" s="454" t="s">
        <v>1098</v>
      </c>
      <c r="M1835" s="4" t="s">
        <v>780</v>
      </c>
      <c r="N1835" s="133" t="s">
        <v>781</v>
      </c>
      <c r="O1835" s="4" t="s">
        <v>1165</v>
      </c>
      <c r="P1835" s="4" t="s">
        <v>892</v>
      </c>
      <c r="Q1835" s="4" t="s">
        <v>1166</v>
      </c>
      <c r="R1835" s="4" t="s">
        <v>953</v>
      </c>
      <c r="S1835" s="4" t="s">
        <v>1168</v>
      </c>
      <c r="T1835" s="4" t="s">
        <v>786</v>
      </c>
      <c r="U1835" s="4"/>
      <c r="V1835" s="4"/>
      <c r="W1835" s="4"/>
    </row>
    <row r="1836" spans="1:23" customFormat="1">
      <c r="A1836" s="10"/>
      <c r="B1836" s="4"/>
      <c r="C1836" s="4"/>
      <c r="D1836" s="4"/>
      <c r="E1836" s="4"/>
      <c r="F1836" s="152" t="s">
        <v>671</v>
      </c>
      <c r="G1836" s="4" t="s">
        <v>672</v>
      </c>
      <c r="H1836" s="4"/>
      <c r="I1836" s="196">
        <v>-78526</v>
      </c>
      <c r="J1836" s="196">
        <v>-55.3</v>
      </c>
      <c r="K1836" s="196">
        <v>1420</v>
      </c>
      <c r="L1836" s="454" t="s">
        <v>1098</v>
      </c>
      <c r="M1836" s="4" t="s">
        <v>780</v>
      </c>
      <c r="N1836" s="133" t="s">
        <v>781</v>
      </c>
      <c r="O1836" s="4" t="s">
        <v>1165</v>
      </c>
      <c r="P1836" s="4" t="s">
        <v>892</v>
      </c>
      <c r="Q1836" s="4" t="s">
        <v>1166</v>
      </c>
      <c r="R1836" s="4" t="s">
        <v>1171</v>
      </c>
      <c r="S1836" s="4" t="s">
        <v>1168</v>
      </c>
      <c r="T1836" s="4" t="s">
        <v>786</v>
      </c>
      <c r="U1836" s="4"/>
      <c r="V1836" s="4"/>
      <c r="W1836" s="4"/>
    </row>
    <row r="1837" spans="1:23" customFormat="1">
      <c r="A1837" s="10"/>
      <c r="B1837" s="4"/>
      <c r="C1837" s="4"/>
      <c r="D1837" s="4"/>
      <c r="E1837" s="4"/>
      <c r="F1837" s="152" t="s">
        <v>671</v>
      </c>
      <c r="G1837" s="4" t="s">
        <v>672</v>
      </c>
      <c r="H1837" s="4"/>
      <c r="I1837" s="196">
        <v>-145834</v>
      </c>
      <c r="J1837" s="196">
        <v>-102.7</v>
      </c>
      <c r="K1837" s="196">
        <v>1420</v>
      </c>
      <c r="L1837" s="454" t="s">
        <v>1098</v>
      </c>
      <c r="M1837" s="4" t="s">
        <v>780</v>
      </c>
      <c r="N1837" s="133" t="s">
        <v>781</v>
      </c>
      <c r="O1837" s="4" t="s">
        <v>1165</v>
      </c>
      <c r="P1837" s="4" t="s">
        <v>892</v>
      </c>
      <c r="Q1837" s="4" t="s">
        <v>1166</v>
      </c>
      <c r="R1837" s="4" t="s">
        <v>1172</v>
      </c>
      <c r="S1837" s="4" t="s">
        <v>1168</v>
      </c>
      <c r="T1837" s="4" t="s">
        <v>786</v>
      </c>
      <c r="U1837" s="4"/>
      <c r="V1837" s="4"/>
      <c r="W1837" s="4"/>
    </row>
    <row r="1838" spans="1:23" customFormat="1">
      <c r="A1838" s="10"/>
      <c r="B1838" s="4"/>
      <c r="C1838" s="4"/>
      <c r="D1838" s="4"/>
      <c r="E1838" s="4"/>
      <c r="F1838" s="152" t="s">
        <v>671</v>
      </c>
      <c r="G1838" s="4" t="s">
        <v>672</v>
      </c>
      <c r="H1838" s="4"/>
      <c r="I1838" s="196">
        <v>-426695.8</v>
      </c>
      <c r="J1838" s="196">
        <v>-300.49</v>
      </c>
      <c r="K1838" s="196">
        <v>1420</v>
      </c>
      <c r="L1838" s="454" t="s">
        <v>1098</v>
      </c>
      <c r="M1838" s="4" t="s">
        <v>780</v>
      </c>
      <c r="N1838" s="133" t="s">
        <v>781</v>
      </c>
      <c r="O1838" s="4" t="s">
        <v>1165</v>
      </c>
      <c r="P1838" s="4" t="s">
        <v>892</v>
      </c>
      <c r="Q1838" s="4" t="s">
        <v>1166</v>
      </c>
      <c r="R1838" s="4" t="s">
        <v>1173</v>
      </c>
      <c r="S1838" s="4" t="s">
        <v>1168</v>
      </c>
      <c r="T1838" s="4" t="s">
        <v>786</v>
      </c>
      <c r="U1838" s="4"/>
      <c r="V1838" s="4"/>
      <c r="W1838" s="4"/>
    </row>
    <row r="1839" spans="1:23" customFormat="1">
      <c r="A1839" s="10"/>
      <c r="B1839" s="4"/>
      <c r="C1839" s="4"/>
      <c r="D1839" s="4"/>
      <c r="E1839" s="4"/>
      <c r="F1839" s="152" t="s">
        <v>671</v>
      </c>
      <c r="G1839" s="4" t="s">
        <v>672</v>
      </c>
      <c r="H1839" s="4"/>
      <c r="I1839" s="196">
        <v>-330774.8</v>
      </c>
      <c r="J1839" s="196">
        <v>-232.94</v>
      </c>
      <c r="K1839" s="196">
        <v>1420</v>
      </c>
      <c r="L1839" s="454" t="s">
        <v>1098</v>
      </c>
      <c r="M1839" s="4" t="s">
        <v>780</v>
      </c>
      <c r="N1839" s="133" t="s">
        <v>781</v>
      </c>
      <c r="O1839" s="4" t="s">
        <v>1165</v>
      </c>
      <c r="P1839" s="4" t="s">
        <v>892</v>
      </c>
      <c r="Q1839" s="4" t="s">
        <v>1166</v>
      </c>
      <c r="R1839" s="4" t="s">
        <v>1174</v>
      </c>
      <c r="S1839" s="4" t="s">
        <v>1168</v>
      </c>
      <c r="T1839" s="4" t="s">
        <v>786</v>
      </c>
      <c r="U1839" s="4"/>
      <c r="V1839" s="4"/>
      <c r="W1839" s="4"/>
    </row>
    <row r="1840" spans="1:23" customFormat="1">
      <c r="A1840" s="10"/>
      <c r="B1840" s="4"/>
      <c r="C1840" s="4"/>
      <c r="D1840" s="4"/>
      <c r="E1840" s="4"/>
      <c r="F1840" s="152" t="s">
        <v>671</v>
      </c>
      <c r="G1840" s="4" t="s">
        <v>672</v>
      </c>
      <c r="H1840" s="4"/>
      <c r="I1840" s="196">
        <v>1420000</v>
      </c>
      <c r="J1840" s="196">
        <v>1000</v>
      </c>
      <c r="K1840" s="196">
        <v>1420</v>
      </c>
      <c r="L1840" s="454" t="s">
        <v>1198</v>
      </c>
      <c r="M1840" s="4" t="s">
        <v>780</v>
      </c>
      <c r="N1840" s="133" t="s">
        <v>781</v>
      </c>
      <c r="O1840" s="4" t="s">
        <v>1199</v>
      </c>
      <c r="P1840" s="4" t="s">
        <v>892</v>
      </c>
      <c r="Q1840" s="4" t="s">
        <v>1200</v>
      </c>
      <c r="R1840" s="4"/>
      <c r="S1840" s="4" t="s">
        <v>1201</v>
      </c>
      <c r="T1840" s="4" t="s">
        <v>786</v>
      </c>
      <c r="U1840" s="4"/>
      <c r="V1840" s="4"/>
      <c r="W1840" s="4"/>
    </row>
    <row r="1841" spans="1:23" customFormat="1">
      <c r="A1841" s="10"/>
      <c r="B1841" s="4"/>
      <c r="C1841" s="4"/>
      <c r="D1841" s="4"/>
      <c r="E1841" s="4"/>
      <c r="F1841" s="152" t="s">
        <v>671</v>
      </c>
      <c r="G1841" s="4" t="s">
        <v>672</v>
      </c>
      <c r="H1841" s="4"/>
      <c r="I1841" s="196">
        <v>1136000</v>
      </c>
      <c r="J1841" s="196">
        <v>800</v>
      </c>
      <c r="K1841" s="196">
        <v>1420</v>
      </c>
      <c r="L1841" s="454" t="s">
        <v>1198</v>
      </c>
      <c r="M1841" s="4" t="s">
        <v>780</v>
      </c>
      <c r="N1841" s="133" t="s">
        <v>781</v>
      </c>
      <c r="O1841" s="4" t="s">
        <v>1202</v>
      </c>
      <c r="P1841" s="4" t="s">
        <v>892</v>
      </c>
      <c r="Q1841" s="4" t="s">
        <v>1203</v>
      </c>
      <c r="R1841" s="4"/>
      <c r="S1841" s="4" t="s">
        <v>1204</v>
      </c>
      <c r="T1841" s="4" t="s">
        <v>786</v>
      </c>
      <c r="U1841" s="4"/>
      <c r="V1841" s="4"/>
      <c r="W1841" s="4"/>
    </row>
    <row r="1842" spans="1:23" customFormat="1">
      <c r="A1842" s="10"/>
      <c r="B1842" s="4"/>
      <c r="C1842" s="4"/>
      <c r="D1842" s="4"/>
      <c r="E1842" s="4"/>
      <c r="F1842" s="152" t="s">
        <v>671</v>
      </c>
      <c r="G1842" s="4" t="s">
        <v>672</v>
      </c>
      <c r="H1842" s="4"/>
      <c r="I1842" s="196">
        <v>815591.2</v>
      </c>
      <c r="J1842" s="196">
        <v>574.36</v>
      </c>
      <c r="K1842" s="196">
        <v>1420</v>
      </c>
      <c r="L1842" s="454" t="s">
        <v>1205</v>
      </c>
      <c r="M1842" s="4" t="s">
        <v>780</v>
      </c>
      <c r="N1842" s="133" t="s">
        <v>781</v>
      </c>
      <c r="O1842" s="4" t="s">
        <v>1206</v>
      </c>
      <c r="P1842" s="4" t="s">
        <v>892</v>
      </c>
      <c r="Q1842" s="4" t="s">
        <v>1207</v>
      </c>
      <c r="R1842" s="4" t="s">
        <v>1208</v>
      </c>
      <c r="S1842" s="4" t="s">
        <v>1209</v>
      </c>
      <c r="T1842" s="4" t="s">
        <v>786</v>
      </c>
      <c r="U1842" s="4"/>
      <c r="V1842" s="4"/>
      <c r="W1842" s="4"/>
    </row>
    <row r="1843" spans="1:23" customFormat="1">
      <c r="A1843" s="10"/>
      <c r="B1843" s="4"/>
      <c r="C1843" s="4"/>
      <c r="D1843" s="4"/>
      <c r="E1843" s="4"/>
      <c r="F1843" s="152" t="s">
        <v>671</v>
      </c>
      <c r="G1843" s="4" t="s">
        <v>672</v>
      </c>
      <c r="H1843" s="4"/>
      <c r="I1843" s="196">
        <v>-2712.2</v>
      </c>
      <c r="J1843" s="196">
        <v>-1.91</v>
      </c>
      <c r="K1843" s="196">
        <v>1420</v>
      </c>
      <c r="L1843" s="454" t="s">
        <v>1205</v>
      </c>
      <c r="M1843" s="4" t="s">
        <v>780</v>
      </c>
      <c r="N1843" s="133" t="s">
        <v>781</v>
      </c>
      <c r="O1843" s="4" t="s">
        <v>1226</v>
      </c>
      <c r="P1843" s="4" t="s">
        <v>892</v>
      </c>
      <c r="Q1843" s="4" t="s">
        <v>1227</v>
      </c>
      <c r="R1843" s="4" t="s">
        <v>953</v>
      </c>
      <c r="S1843" s="4" t="s">
        <v>1228</v>
      </c>
      <c r="T1843" s="4" t="s">
        <v>786</v>
      </c>
      <c r="U1843" s="4"/>
      <c r="V1843" s="4"/>
      <c r="W1843" s="4"/>
    </row>
    <row r="1844" spans="1:23" customFormat="1">
      <c r="A1844" s="10"/>
      <c r="B1844" s="4"/>
      <c r="C1844" s="4"/>
      <c r="D1844" s="4"/>
      <c r="E1844" s="4"/>
      <c r="F1844" s="152" t="s">
        <v>671</v>
      </c>
      <c r="G1844" s="4" t="s">
        <v>672</v>
      </c>
      <c r="H1844" s="4"/>
      <c r="I1844" s="196">
        <v>-139742.20000000001</v>
      </c>
      <c r="J1844" s="196">
        <v>-98.41</v>
      </c>
      <c r="K1844" s="196">
        <v>1420</v>
      </c>
      <c r="L1844" s="454" t="s">
        <v>1205</v>
      </c>
      <c r="M1844" s="4" t="s">
        <v>780</v>
      </c>
      <c r="N1844" s="133" t="s">
        <v>781</v>
      </c>
      <c r="O1844" s="4" t="s">
        <v>1226</v>
      </c>
      <c r="P1844" s="4" t="s">
        <v>892</v>
      </c>
      <c r="Q1844" s="4" t="s">
        <v>1227</v>
      </c>
      <c r="R1844" s="4" t="s">
        <v>1230</v>
      </c>
      <c r="S1844" s="4" t="s">
        <v>1228</v>
      </c>
      <c r="T1844" s="4" t="s">
        <v>786</v>
      </c>
      <c r="U1844" s="4"/>
      <c r="V1844" s="4"/>
      <c r="W1844" s="4"/>
    </row>
    <row r="1845" spans="1:23" customFormat="1">
      <c r="A1845" s="10"/>
      <c r="B1845" s="4"/>
      <c r="C1845" s="4"/>
      <c r="D1845" s="4"/>
      <c r="E1845" s="4"/>
      <c r="F1845" s="152" t="s">
        <v>671</v>
      </c>
      <c r="G1845" s="4" t="s">
        <v>672</v>
      </c>
      <c r="H1845" s="4"/>
      <c r="I1845" s="196">
        <v>-728204.4</v>
      </c>
      <c r="J1845" s="196">
        <v>-512.82000000000005</v>
      </c>
      <c r="K1845" s="196">
        <v>1420</v>
      </c>
      <c r="L1845" s="454" t="s">
        <v>1205</v>
      </c>
      <c r="M1845" s="4" t="s">
        <v>780</v>
      </c>
      <c r="N1845" s="133" t="s">
        <v>781</v>
      </c>
      <c r="O1845" s="4" t="s">
        <v>1226</v>
      </c>
      <c r="P1845" s="4" t="s">
        <v>892</v>
      </c>
      <c r="Q1845" s="4" t="s">
        <v>1227</v>
      </c>
      <c r="R1845" s="4" t="s">
        <v>1229</v>
      </c>
      <c r="S1845" s="4" t="s">
        <v>1228</v>
      </c>
      <c r="T1845" s="4" t="s">
        <v>786</v>
      </c>
      <c r="U1845" s="4"/>
      <c r="V1845" s="4"/>
      <c r="W1845" s="4"/>
    </row>
    <row r="1846" spans="1:23" customFormat="1">
      <c r="A1846" s="10"/>
      <c r="B1846" s="4"/>
      <c r="C1846" s="4"/>
      <c r="D1846" s="4"/>
      <c r="E1846" s="4"/>
      <c r="F1846" s="152" t="s">
        <v>671</v>
      </c>
      <c r="G1846" s="4" t="s">
        <v>672</v>
      </c>
      <c r="H1846" s="4"/>
      <c r="I1846" s="196">
        <v>-182058.2</v>
      </c>
      <c r="J1846" s="196">
        <v>-128.21</v>
      </c>
      <c r="K1846" s="196">
        <v>1420</v>
      </c>
      <c r="L1846" s="454" t="s">
        <v>1205</v>
      </c>
      <c r="M1846" s="4" t="s">
        <v>780</v>
      </c>
      <c r="N1846" s="133" t="s">
        <v>781</v>
      </c>
      <c r="O1846" s="4" t="s">
        <v>1226</v>
      </c>
      <c r="P1846" s="4" t="s">
        <v>892</v>
      </c>
      <c r="Q1846" s="4" t="s">
        <v>1227</v>
      </c>
      <c r="R1846" s="4" t="s">
        <v>1231</v>
      </c>
      <c r="S1846" s="4" t="s">
        <v>1228</v>
      </c>
      <c r="T1846" s="4" t="s">
        <v>786</v>
      </c>
      <c r="U1846" s="4"/>
      <c r="V1846" s="4"/>
      <c r="W1846" s="4"/>
    </row>
    <row r="1847" spans="1:23" customFormat="1">
      <c r="A1847" s="10"/>
      <c r="B1847" s="4"/>
      <c r="C1847" s="4"/>
      <c r="D1847" s="4"/>
      <c r="E1847" s="4"/>
      <c r="F1847" s="152" t="s">
        <v>671</v>
      </c>
      <c r="G1847" s="4" t="s">
        <v>672</v>
      </c>
      <c r="H1847" s="4"/>
      <c r="I1847" s="196">
        <v>-47328.6</v>
      </c>
      <c r="J1847" s="196">
        <v>-33.33</v>
      </c>
      <c r="K1847" s="196">
        <v>1420</v>
      </c>
      <c r="L1847" s="454" t="s">
        <v>1205</v>
      </c>
      <c r="M1847" s="4" t="s">
        <v>780</v>
      </c>
      <c r="N1847" s="133" t="s">
        <v>781</v>
      </c>
      <c r="O1847" s="4" t="s">
        <v>1226</v>
      </c>
      <c r="P1847" s="4" t="s">
        <v>892</v>
      </c>
      <c r="Q1847" s="4" t="s">
        <v>1227</v>
      </c>
      <c r="R1847" s="4" t="s">
        <v>1232</v>
      </c>
      <c r="S1847" s="4" t="s">
        <v>1228</v>
      </c>
      <c r="T1847" s="4" t="s">
        <v>786</v>
      </c>
      <c r="U1847" s="4"/>
      <c r="V1847" s="4"/>
      <c r="W1847" s="4"/>
    </row>
    <row r="1848" spans="1:23" customFormat="1">
      <c r="A1848" s="10"/>
      <c r="B1848" s="4"/>
      <c r="C1848" s="4"/>
      <c r="D1848" s="4"/>
      <c r="E1848" s="4"/>
      <c r="F1848" s="152" t="s">
        <v>671</v>
      </c>
      <c r="G1848" s="4" t="s">
        <v>672</v>
      </c>
      <c r="H1848" s="4"/>
      <c r="I1848" s="196">
        <v>-2712.2</v>
      </c>
      <c r="J1848" s="196">
        <v>-1.91</v>
      </c>
      <c r="K1848" s="196">
        <v>1420</v>
      </c>
      <c r="L1848" s="454" t="s">
        <v>1205</v>
      </c>
      <c r="M1848" s="4" t="s">
        <v>780</v>
      </c>
      <c r="N1848" s="133" t="s">
        <v>781</v>
      </c>
      <c r="O1848" s="4" t="s">
        <v>1226</v>
      </c>
      <c r="P1848" s="4" t="s">
        <v>892</v>
      </c>
      <c r="Q1848" s="4" t="s">
        <v>1227</v>
      </c>
      <c r="R1848" s="4" t="s">
        <v>953</v>
      </c>
      <c r="S1848" s="4" t="s">
        <v>1228</v>
      </c>
      <c r="T1848" s="4" t="s">
        <v>786</v>
      </c>
      <c r="U1848" s="4"/>
      <c r="V1848" s="4"/>
      <c r="W1848" s="4"/>
    </row>
    <row r="1849" spans="1:23" customFormat="1">
      <c r="A1849" s="10"/>
      <c r="B1849" s="4"/>
      <c r="C1849" s="4"/>
      <c r="D1849" s="4"/>
      <c r="E1849" s="4"/>
      <c r="F1849" s="152" t="s">
        <v>671</v>
      </c>
      <c r="G1849" s="4" t="s">
        <v>672</v>
      </c>
      <c r="H1849" s="4"/>
      <c r="I1849" s="196">
        <v>-449288</v>
      </c>
      <c r="J1849" s="196">
        <v>-316.39999999999998</v>
      </c>
      <c r="K1849" s="196">
        <v>1420</v>
      </c>
      <c r="L1849" s="454" t="s">
        <v>1239</v>
      </c>
      <c r="M1849" s="4" t="s">
        <v>780</v>
      </c>
      <c r="N1849" s="133" t="s">
        <v>781</v>
      </c>
      <c r="O1849" s="4" t="s">
        <v>1245</v>
      </c>
      <c r="P1849" s="4" t="s">
        <v>892</v>
      </c>
      <c r="Q1849" s="4" t="s">
        <v>1246</v>
      </c>
      <c r="R1849" s="4" t="s">
        <v>937</v>
      </c>
      <c r="S1849" s="4" t="s">
        <v>1248</v>
      </c>
      <c r="T1849" s="4" t="s">
        <v>786</v>
      </c>
      <c r="U1849" s="4"/>
      <c r="V1849" s="4"/>
      <c r="W1849" s="4"/>
    </row>
    <row r="1850" spans="1:23" customFormat="1">
      <c r="A1850" s="10"/>
      <c r="B1850" s="4"/>
      <c r="C1850" s="4"/>
      <c r="D1850" s="4"/>
      <c r="E1850" s="4"/>
      <c r="F1850" s="152" t="s">
        <v>671</v>
      </c>
      <c r="G1850" s="4" t="s">
        <v>672</v>
      </c>
      <c r="H1850" s="4"/>
      <c r="I1850" s="196">
        <v>-403748.6</v>
      </c>
      <c r="J1850" s="196">
        <v>-284.33</v>
      </c>
      <c r="K1850" s="196">
        <v>1420</v>
      </c>
      <c r="L1850" s="454" t="s">
        <v>1239</v>
      </c>
      <c r="M1850" s="4" t="s">
        <v>780</v>
      </c>
      <c r="N1850" s="133" t="s">
        <v>781</v>
      </c>
      <c r="O1850" s="4" t="s">
        <v>1245</v>
      </c>
      <c r="P1850" s="4" t="s">
        <v>892</v>
      </c>
      <c r="Q1850" s="4" t="s">
        <v>1246</v>
      </c>
      <c r="R1850" s="4" t="s">
        <v>941</v>
      </c>
      <c r="S1850" s="4" t="s">
        <v>1248</v>
      </c>
      <c r="T1850" s="4" t="s">
        <v>786</v>
      </c>
      <c r="U1850" s="4"/>
      <c r="V1850" s="4"/>
      <c r="W1850" s="4"/>
    </row>
    <row r="1851" spans="1:23" customFormat="1">
      <c r="A1851" s="10"/>
      <c r="B1851" s="4"/>
      <c r="C1851" s="4"/>
      <c r="D1851" s="4"/>
      <c r="E1851" s="4"/>
      <c r="F1851" s="152" t="s">
        <v>671</v>
      </c>
      <c r="G1851" s="4" t="s">
        <v>672</v>
      </c>
      <c r="H1851" s="4"/>
      <c r="I1851" s="196">
        <v>-384479.2</v>
      </c>
      <c r="J1851" s="196">
        <v>-270.76</v>
      </c>
      <c r="K1851" s="196">
        <v>1420</v>
      </c>
      <c r="L1851" s="454" t="s">
        <v>1239</v>
      </c>
      <c r="M1851" s="4" t="s">
        <v>780</v>
      </c>
      <c r="N1851" s="133" t="s">
        <v>781</v>
      </c>
      <c r="O1851" s="4" t="s">
        <v>1245</v>
      </c>
      <c r="P1851" s="4" t="s">
        <v>892</v>
      </c>
      <c r="Q1851" s="4" t="s">
        <v>1246</v>
      </c>
      <c r="R1851" s="4" t="s">
        <v>1250</v>
      </c>
      <c r="S1851" s="4" t="s">
        <v>1248</v>
      </c>
      <c r="T1851" s="4" t="s">
        <v>786</v>
      </c>
      <c r="U1851" s="4"/>
      <c r="V1851" s="4"/>
      <c r="W1851" s="4"/>
    </row>
    <row r="1852" spans="1:23" customFormat="1">
      <c r="A1852" s="10"/>
      <c r="B1852" s="4"/>
      <c r="C1852" s="4"/>
      <c r="D1852" s="4"/>
      <c r="E1852" s="4"/>
      <c r="F1852" s="152" t="s">
        <v>671</v>
      </c>
      <c r="G1852" s="4" t="s">
        <v>672</v>
      </c>
      <c r="H1852" s="4"/>
      <c r="I1852" s="196">
        <v>-505378</v>
      </c>
      <c r="J1852" s="196">
        <v>-355.9</v>
      </c>
      <c r="K1852" s="196">
        <v>1420</v>
      </c>
      <c r="L1852" s="454" t="s">
        <v>1239</v>
      </c>
      <c r="M1852" s="4" t="s">
        <v>780</v>
      </c>
      <c r="N1852" s="133" t="s">
        <v>781</v>
      </c>
      <c r="O1852" s="4" t="s">
        <v>1245</v>
      </c>
      <c r="P1852" s="4" t="s">
        <v>892</v>
      </c>
      <c r="Q1852" s="4" t="s">
        <v>1246</v>
      </c>
      <c r="R1852" s="4" t="s">
        <v>1251</v>
      </c>
      <c r="S1852" s="4" t="s">
        <v>1248</v>
      </c>
      <c r="T1852" s="4" t="s">
        <v>786</v>
      </c>
      <c r="U1852" s="4"/>
      <c r="V1852" s="4"/>
      <c r="W1852" s="4"/>
    </row>
    <row r="1853" spans="1:23" customFormat="1">
      <c r="A1853" s="10"/>
      <c r="B1853" s="4"/>
      <c r="C1853" s="4"/>
      <c r="D1853" s="4"/>
      <c r="E1853" s="4"/>
      <c r="F1853" s="152" t="s">
        <v>671</v>
      </c>
      <c r="G1853" s="4" t="s">
        <v>672</v>
      </c>
      <c r="H1853" s="4"/>
      <c r="I1853" s="196">
        <v>-278064.40000000002</v>
      </c>
      <c r="J1853" s="196">
        <v>-195.82</v>
      </c>
      <c r="K1853" s="196">
        <v>1420</v>
      </c>
      <c r="L1853" s="454" t="s">
        <v>1239</v>
      </c>
      <c r="M1853" s="4" t="s">
        <v>780</v>
      </c>
      <c r="N1853" s="133" t="s">
        <v>781</v>
      </c>
      <c r="O1853" s="4" t="s">
        <v>1245</v>
      </c>
      <c r="P1853" s="4" t="s">
        <v>892</v>
      </c>
      <c r="Q1853" s="4" t="s">
        <v>1246</v>
      </c>
      <c r="R1853" s="4" t="s">
        <v>1249</v>
      </c>
      <c r="S1853" s="4" t="s">
        <v>1248</v>
      </c>
      <c r="T1853" s="4" t="s">
        <v>786</v>
      </c>
      <c r="U1853" s="4"/>
      <c r="V1853" s="4"/>
      <c r="W1853" s="4"/>
    </row>
    <row r="1854" spans="1:23" customFormat="1">
      <c r="A1854" s="10"/>
      <c r="B1854" s="4"/>
      <c r="C1854" s="4"/>
      <c r="D1854" s="4"/>
      <c r="E1854" s="4"/>
      <c r="F1854" s="152" t="s">
        <v>671</v>
      </c>
      <c r="G1854" s="4" t="s">
        <v>672</v>
      </c>
      <c r="H1854" s="4"/>
      <c r="I1854" s="196">
        <v>-691909.2</v>
      </c>
      <c r="J1854" s="196">
        <v>-487.26</v>
      </c>
      <c r="K1854" s="196">
        <v>1420</v>
      </c>
      <c r="L1854" s="454" t="s">
        <v>1239</v>
      </c>
      <c r="M1854" s="4" t="s">
        <v>780</v>
      </c>
      <c r="N1854" s="133" t="s">
        <v>781</v>
      </c>
      <c r="O1854" s="4" t="s">
        <v>1245</v>
      </c>
      <c r="P1854" s="4" t="s">
        <v>892</v>
      </c>
      <c r="Q1854" s="4" t="s">
        <v>1246</v>
      </c>
      <c r="R1854" s="4" t="s">
        <v>1247</v>
      </c>
      <c r="S1854" s="4" t="s">
        <v>1248</v>
      </c>
      <c r="T1854" s="4" t="s">
        <v>786</v>
      </c>
      <c r="U1854" s="4"/>
      <c r="V1854" s="4"/>
      <c r="W1854" s="4"/>
    </row>
    <row r="1855" spans="1:23" customFormat="1">
      <c r="A1855" s="10"/>
      <c r="B1855" s="4"/>
      <c r="C1855" s="4"/>
      <c r="D1855" s="4"/>
      <c r="E1855" s="4"/>
      <c r="F1855" s="152" t="s">
        <v>671</v>
      </c>
      <c r="G1855" s="4" t="s">
        <v>672</v>
      </c>
      <c r="H1855" s="4"/>
      <c r="I1855" s="196">
        <v>-96403.8</v>
      </c>
      <c r="J1855" s="196">
        <v>-67.89</v>
      </c>
      <c r="K1855" s="196">
        <v>1420</v>
      </c>
      <c r="L1855" s="454" t="s">
        <v>1239</v>
      </c>
      <c r="M1855" s="4" t="s">
        <v>780</v>
      </c>
      <c r="N1855" s="133" t="s">
        <v>781</v>
      </c>
      <c r="O1855" s="4" t="s">
        <v>1245</v>
      </c>
      <c r="P1855" s="4" t="s">
        <v>892</v>
      </c>
      <c r="Q1855" s="4" t="s">
        <v>1246</v>
      </c>
      <c r="R1855" s="4" t="s">
        <v>1252</v>
      </c>
      <c r="S1855" s="4" t="s">
        <v>1248</v>
      </c>
      <c r="T1855" s="4" t="s">
        <v>786</v>
      </c>
      <c r="U1855" s="4"/>
      <c r="V1855" s="4"/>
      <c r="W1855" s="4"/>
    </row>
    <row r="1856" spans="1:23" customFormat="1">
      <c r="A1856" s="10"/>
      <c r="B1856" s="4"/>
      <c r="C1856" s="4"/>
      <c r="D1856" s="4"/>
      <c r="E1856" s="4"/>
      <c r="F1856" s="152" t="s">
        <v>671</v>
      </c>
      <c r="G1856" s="4" t="s">
        <v>672</v>
      </c>
      <c r="H1856" s="4"/>
      <c r="I1856" s="196">
        <v>-185082.8</v>
      </c>
      <c r="J1856" s="196">
        <v>-130.34</v>
      </c>
      <c r="K1856" s="196">
        <v>1420</v>
      </c>
      <c r="L1856" s="454" t="s">
        <v>1239</v>
      </c>
      <c r="M1856" s="4" t="s">
        <v>780</v>
      </c>
      <c r="N1856" s="133" t="s">
        <v>781</v>
      </c>
      <c r="O1856" s="4" t="s">
        <v>1245</v>
      </c>
      <c r="P1856" s="4" t="s">
        <v>892</v>
      </c>
      <c r="Q1856" s="4" t="s">
        <v>1246</v>
      </c>
      <c r="R1856" s="4" t="s">
        <v>1253</v>
      </c>
      <c r="S1856" s="4" t="s">
        <v>1248</v>
      </c>
      <c r="T1856" s="4" t="s">
        <v>786</v>
      </c>
      <c r="U1856" s="4"/>
      <c r="V1856" s="4"/>
      <c r="W1856" s="4"/>
    </row>
    <row r="1857" spans="1:23" customFormat="1">
      <c r="A1857" s="10"/>
      <c r="B1857" s="4"/>
      <c r="C1857" s="4"/>
      <c r="D1857" s="4"/>
      <c r="E1857" s="4"/>
      <c r="F1857" s="152" t="s">
        <v>673</v>
      </c>
      <c r="G1857" s="4" t="s">
        <v>674</v>
      </c>
      <c r="H1857" s="4"/>
      <c r="I1857" s="196">
        <v>-21300000</v>
      </c>
      <c r="J1857" s="196">
        <v>-15000</v>
      </c>
      <c r="K1857" s="196">
        <v>1420</v>
      </c>
      <c r="L1857" s="454" t="s">
        <v>779</v>
      </c>
      <c r="M1857" s="4" t="s">
        <v>780</v>
      </c>
      <c r="N1857" s="133" t="s">
        <v>781</v>
      </c>
      <c r="O1857" s="4" t="s">
        <v>782</v>
      </c>
      <c r="P1857" s="4" t="s">
        <v>783</v>
      </c>
      <c r="Q1857" s="4" t="s">
        <v>784</v>
      </c>
      <c r="R1857" s="4"/>
      <c r="S1857" s="4" t="s">
        <v>785</v>
      </c>
      <c r="T1857" s="4" t="s">
        <v>786</v>
      </c>
      <c r="U1857" s="4"/>
      <c r="V1857" s="4"/>
      <c r="W1857" s="4"/>
    </row>
    <row r="1858" spans="1:23" customFormat="1">
      <c r="A1858" s="10"/>
      <c r="B1858" s="4"/>
      <c r="C1858" s="4"/>
      <c r="D1858" s="4"/>
      <c r="E1858" s="4"/>
      <c r="F1858" s="152" t="s">
        <v>673</v>
      </c>
      <c r="G1858" s="4" t="s">
        <v>674</v>
      </c>
      <c r="H1858" s="4"/>
      <c r="I1858" s="196">
        <v>-4260000</v>
      </c>
      <c r="J1858" s="196">
        <v>-3000</v>
      </c>
      <c r="K1858" s="196">
        <v>1420</v>
      </c>
      <c r="L1858" s="454" t="s">
        <v>787</v>
      </c>
      <c r="M1858" s="4" t="s">
        <v>780</v>
      </c>
      <c r="N1858" s="133" t="s">
        <v>781</v>
      </c>
      <c r="O1858" s="4" t="s">
        <v>788</v>
      </c>
      <c r="P1858" s="4" t="s">
        <v>783</v>
      </c>
      <c r="Q1858" s="4" t="s">
        <v>789</v>
      </c>
      <c r="R1858" s="4"/>
      <c r="S1858" s="4" t="s">
        <v>790</v>
      </c>
      <c r="T1858" s="4" t="s">
        <v>786</v>
      </c>
      <c r="U1858" s="4"/>
      <c r="V1858" s="4"/>
      <c r="W1858" s="4"/>
    </row>
    <row r="1859" spans="1:23" customFormat="1">
      <c r="A1859" s="10"/>
      <c r="B1859" s="4"/>
      <c r="C1859" s="4"/>
      <c r="D1859" s="4"/>
      <c r="E1859" s="4"/>
      <c r="F1859" s="152" t="s">
        <v>673</v>
      </c>
      <c r="G1859" s="4" t="s">
        <v>674</v>
      </c>
      <c r="H1859" s="4"/>
      <c r="I1859" s="196">
        <v>-2919278.6</v>
      </c>
      <c r="J1859" s="196">
        <v>-2055.83</v>
      </c>
      <c r="K1859" s="196">
        <v>1420</v>
      </c>
      <c r="L1859" s="454" t="s">
        <v>779</v>
      </c>
      <c r="M1859" s="4" t="s">
        <v>780</v>
      </c>
      <c r="N1859" s="133" t="s">
        <v>781</v>
      </c>
      <c r="O1859" s="4" t="s">
        <v>791</v>
      </c>
      <c r="P1859" s="4" t="s">
        <v>783</v>
      </c>
      <c r="Q1859" s="4" t="s">
        <v>792</v>
      </c>
      <c r="R1859" s="4"/>
      <c r="S1859" s="4" t="s">
        <v>793</v>
      </c>
      <c r="T1859" s="4" t="s">
        <v>786</v>
      </c>
      <c r="U1859" s="4"/>
      <c r="V1859" s="4"/>
      <c r="W1859" s="4"/>
    </row>
    <row r="1860" spans="1:23" customFormat="1">
      <c r="A1860" s="10"/>
      <c r="B1860" s="4"/>
      <c r="C1860" s="4"/>
      <c r="D1860" s="4"/>
      <c r="E1860" s="4"/>
      <c r="F1860" s="152" t="s">
        <v>673</v>
      </c>
      <c r="G1860" s="4" t="s">
        <v>674</v>
      </c>
      <c r="H1860" s="4"/>
      <c r="I1860" s="196">
        <v>-549128.19999999995</v>
      </c>
      <c r="J1860" s="196">
        <v>-386.71</v>
      </c>
      <c r="K1860" s="196">
        <v>1420</v>
      </c>
      <c r="L1860" s="454" t="s">
        <v>779</v>
      </c>
      <c r="M1860" s="4" t="s">
        <v>780</v>
      </c>
      <c r="N1860" s="133" t="s">
        <v>781</v>
      </c>
      <c r="O1860" s="4" t="s">
        <v>794</v>
      </c>
      <c r="P1860" s="4" t="s">
        <v>783</v>
      </c>
      <c r="Q1860" s="4" t="s">
        <v>795</v>
      </c>
      <c r="R1860" s="4"/>
      <c r="S1860" s="4" t="s">
        <v>796</v>
      </c>
      <c r="T1860" s="4" t="s">
        <v>786</v>
      </c>
      <c r="U1860" s="4"/>
      <c r="V1860" s="4"/>
      <c r="W1860" s="4"/>
    </row>
    <row r="1861" spans="1:23" customFormat="1">
      <c r="A1861" s="10"/>
      <c r="B1861" s="4"/>
      <c r="C1861" s="4"/>
      <c r="D1861" s="4"/>
      <c r="E1861" s="4"/>
      <c r="F1861" s="152" t="s">
        <v>673</v>
      </c>
      <c r="G1861" s="4" t="s">
        <v>674</v>
      </c>
      <c r="H1861" s="4"/>
      <c r="I1861" s="196">
        <v>-150789.79999999999</v>
      </c>
      <c r="J1861" s="196">
        <v>-106.19</v>
      </c>
      <c r="K1861" s="196">
        <v>1420</v>
      </c>
      <c r="L1861" s="454" t="s">
        <v>787</v>
      </c>
      <c r="M1861" s="4" t="s">
        <v>780</v>
      </c>
      <c r="N1861" s="133" t="s">
        <v>781</v>
      </c>
      <c r="O1861" s="4" t="s">
        <v>797</v>
      </c>
      <c r="P1861" s="4" t="s">
        <v>783</v>
      </c>
      <c r="Q1861" s="4" t="s">
        <v>798</v>
      </c>
      <c r="R1861" s="4"/>
      <c r="S1861" s="4" t="s">
        <v>799</v>
      </c>
      <c r="T1861" s="4" t="s">
        <v>786</v>
      </c>
      <c r="U1861" s="4"/>
      <c r="V1861" s="4"/>
      <c r="W1861" s="4"/>
    </row>
    <row r="1862" spans="1:23" customFormat="1">
      <c r="A1862" s="10"/>
      <c r="B1862" s="4"/>
      <c r="C1862" s="4"/>
      <c r="D1862" s="4"/>
      <c r="E1862" s="4"/>
      <c r="F1862" s="152" t="s">
        <v>673</v>
      </c>
      <c r="G1862" s="4" t="s">
        <v>674</v>
      </c>
      <c r="H1862" s="4"/>
      <c r="I1862" s="196">
        <v>19844500</v>
      </c>
      <c r="J1862" s="196">
        <v>13975</v>
      </c>
      <c r="K1862" s="196">
        <v>1420</v>
      </c>
      <c r="L1862" s="454" t="s">
        <v>787</v>
      </c>
      <c r="M1862" s="4" t="s">
        <v>780</v>
      </c>
      <c r="N1862" s="133" t="s">
        <v>781</v>
      </c>
      <c r="O1862" s="4" t="s">
        <v>804</v>
      </c>
      <c r="P1862" s="4" t="s">
        <v>783</v>
      </c>
      <c r="Q1862" s="4" t="s">
        <v>805</v>
      </c>
      <c r="R1862" s="4" t="s">
        <v>806</v>
      </c>
      <c r="S1862" s="4" t="s">
        <v>807</v>
      </c>
      <c r="T1862" s="4" t="s">
        <v>786</v>
      </c>
      <c r="U1862" s="4"/>
      <c r="V1862" s="4"/>
      <c r="W1862" s="4"/>
    </row>
    <row r="1863" spans="1:23" customFormat="1">
      <c r="A1863" s="10"/>
      <c r="B1863" s="4"/>
      <c r="C1863" s="4"/>
      <c r="D1863" s="4"/>
      <c r="E1863" s="4"/>
      <c r="F1863" s="152" t="s">
        <v>673</v>
      </c>
      <c r="G1863" s="4" t="s">
        <v>674</v>
      </c>
      <c r="H1863" s="4"/>
      <c r="I1863" s="196">
        <v>28364500</v>
      </c>
      <c r="J1863" s="196">
        <v>19975</v>
      </c>
      <c r="K1863" s="196">
        <v>1420</v>
      </c>
      <c r="L1863" s="454" t="s">
        <v>787</v>
      </c>
      <c r="M1863" s="4" t="s">
        <v>780</v>
      </c>
      <c r="N1863" s="133" t="s">
        <v>781</v>
      </c>
      <c r="O1863" s="4" t="s">
        <v>804</v>
      </c>
      <c r="P1863" s="4" t="s">
        <v>783</v>
      </c>
      <c r="Q1863" s="4" t="s">
        <v>805</v>
      </c>
      <c r="R1863" s="4" t="s">
        <v>808</v>
      </c>
      <c r="S1863" s="4" t="s">
        <v>807</v>
      </c>
      <c r="T1863" s="4" t="s">
        <v>786</v>
      </c>
      <c r="U1863" s="4"/>
      <c r="V1863" s="4"/>
      <c r="W1863" s="4"/>
    </row>
    <row r="1864" spans="1:23" customFormat="1">
      <c r="A1864" s="10"/>
      <c r="B1864" s="4"/>
      <c r="C1864" s="4"/>
      <c r="D1864" s="4"/>
      <c r="E1864" s="4"/>
      <c r="F1864" s="152" t="s">
        <v>673</v>
      </c>
      <c r="G1864" s="4" t="s">
        <v>674</v>
      </c>
      <c r="H1864" s="4"/>
      <c r="I1864" s="196">
        <v>71000</v>
      </c>
      <c r="J1864" s="196">
        <v>50</v>
      </c>
      <c r="K1864" s="196">
        <v>1420</v>
      </c>
      <c r="L1864" s="454" t="s">
        <v>787</v>
      </c>
      <c r="M1864" s="4" t="s">
        <v>780</v>
      </c>
      <c r="N1864" s="133" t="s">
        <v>781</v>
      </c>
      <c r="O1864" s="4" t="s">
        <v>804</v>
      </c>
      <c r="P1864" s="4" t="s">
        <v>783</v>
      </c>
      <c r="Q1864" s="4" t="s">
        <v>805</v>
      </c>
      <c r="R1864" s="4" t="s">
        <v>809</v>
      </c>
      <c r="S1864" s="4" t="s">
        <v>807</v>
      </c>
      <c r="T1864" s="4" t="s">
        <v>786</v>
      </c>
      <c r="U1864" s="4"/>
      <c r="V1864" s="4"/>
      <c r="W1864" s="4"/>
    </row>
    <row r="1865" spans="1:23" customFormat="1">
      <c r="A1865" s="10"/>
      <c r="B1865" s="4"/>
      <c r="C1865" s="4"/>
      <c r="D1865" s="4"/>
      <c r="E1865" s="4"/>
      <c r="F1865" s="152" t="s">
        <v>673</v>
      </c>
      <c r="G1865" s="4" t="s">
        <v>674</v>
      </c>
      <c r="H1865" s="4"/>
      <c r="I1865" s="196">
        <v>355000</v>
      </c>
      <c r="J1865" s="196">
        <v>250</v>
      </c>
      <c r="K1865" s="196">
        <v>1420</v>
      </c>
      <c r="L1865" s="454" t="s">
        <v>787</v>
      </c>
      <c r="M1865" s="4" t="s">
        <v>780</v>
      </c>
      <c r="N1865" s="133" t="s">
        <v>781</v>
      </c>
      <c r="O1865" s="4" t="s">
        <v>804</v>
      </c>
      <c r="P1865" s="4" t="s">
        <v>783</v>
      </c>
      <c r="Q1865" s="4" t="s">
        <v>805</v>
      </c>
      <c r="R1865" s="4" t="s">
        <v>810</v>
      </c>
      <c r="S1865" s="4" t="s">
        <v>807</v>
      </c>
      <c r="T1865" s="4" t="s">
        <v>786</v>
      </c>
      <c r="U1865" s="4"/>
      <c r="V1865" s="4"/>
      <c r="W1865" s="4"/>
    </row>
    <row r="1866" spans="1:23" customFormat="1">
      <c r="A1866" s="10"/>
      <c r="B1866" s="4"/>
      <c r="C1866" s="4"/>
      <c r="D1866" s="4"/>
      <c r="E1866" s="4"/>
      <c r="F1866" s="152" t="s">
        <v>673</v>
      </c>
      <c r="G1866" s="4" t="s">
        <v>674</v>
      </c>
      <c r="H1866" s="4"/>
      <c r="I1866" s="196">
        <v>-113.6</v>
      </c>
      <c r="J1866" s="196">
        <v>-0.08</v>
      </c>
      <c r="K1866" s="196">
        <v>1420</v>
      </c>
      <c r="L1866" s="454" t="s">
        <v>787</v>
      </c>
      <c r="M1866" s="4" t="s">
        <v>780</v>
      </c>
      <c r="N1866" s="133" t="s">
        <v>781</v>
      </c>
      <c r="O1866" s="4" t="s">
        <v>830</v>
      </c>
      <c r="P1866" s="4" t="s">
        <v>783</v>
      </c>
      <c r="Q1866" s="4" t="s">
        <v>831</v>
      </c>
      <c r="R1866" s="4" t="s">
        <v>832</v>
      </c>
      <c r="S1866" s="4" t="s">
        <v>833</v>
      </c>
      <c r="T1866" s="4" t="s">
        <v>786</v>
      </c>
      <c r="U1866" s="4"/>
      <c r="V1866" s="4"/>
      <c r="W1866" s="4"/>
    </row>
    <row r="1867" spans="1:23" customFormat="1">
      <c r="A1867" s="10"/>
      <c r="B1867" s="4"/>
      <c r="C1867" s="4"/>
      <c r="D1867" s="4"/>
      <c r="E1867" s="4"/>
      <c r="F1867" s="152" t="s">
        <v>673</v>
      </c>
      <c r="G1867" s="4" t="s">
        <v>674</v>
      </c>
      <c r="H1867" s="4"/>
      <c r="I1867" s="196">
        <v>-113003.6</v>
      </c>
      <c r="J1867" s="196">
        <v>-79.58</v>
      </c>
      <c r="K1867" s="196">
        <v>1420</v>
      </c>
      <c r="L1867" s="454" t="s">
        <v>787</v>
      </c>
      <c r="M1867" s="4" t="s">
        <v>780</v>
      </c>
      <c r="N1867" s="133" t="s">
        <v>781</v>
      </c>
      <c r="O1867" s="4" t="s">
        <v>830</v>
      </c>
      <c r="P1867" s="4" t="s">
        <v>783</v>
      </c>
      <c r="Q1867" s="4" t="s">
        <v>831</v>
      </c>
      <c r="R1867" s="4" t="s">
        <v>834</v>
      </c>
      <c r="S1867" s="4" t="s">
        <v>833</v>
      </c>
      <c r="T1867" s="4" t="s">
        <v>786</v>
      </c>
      <c r="U1867" s="4"/>
      <c r="V1867" s="4"/>
      <c r="W1867" s="4"/>
    </row>
    <row r="1868" spans="1:23" customFormat="1">
      <c r="A1868" s="10"/>
      <c r="B1868" s="4"/>
      <c r="C1868" s="4"/>
      <c r="D1868" s="4"/>
      <c r="E1868" s="4"/>
      <c r="F1868" s="152" t="s">
        <v>673</v>
      </c>
      <c r="G1868" s="4" t="s">
        <v>674</v>
      </c>
      <c r="H1868" s="4"/>
      <c r="I1868" s="196">
        <v>-130640</v>
      </c>
      <c r="J1868" s="196">
        <v>-92</v>
      </c>
      <c r="K1868" s="196">
        <v>1420</v>
      </c>
      <c r="L1868" s="454" t="s">
        <v>787</v>
      </c>
      <c r="M1868" s="4" t="s">
        <v>780</v>
      </c>
      <c r="N1868" s="133" t="s">
        <v>781</v>
      </c>
      <c r="O1868" s="4" t="s">
        <v>830</v>
      </c>
      <c r="P1868" s="4" t="s">
        <v>783</v>
      </c>
      <c r="Q1868" s="4" t="s">
        <v>831</v>
      </c>
      <c r="R1868" s="4" t="s">
        <v>835</v>
      </c>
      <c r="S1868" s="4" t="s">
        <v>833</v>
      </c>
      <c r="T1868" s="4" t="s">
        <v>786</v>
      </c>
      <c r="U1868" s="4"/>
      <c r="V1868" s="4"/>
      <c r="W1868" s="4"/>
    </row>
    <row r="1869" spans="1:23" customFormat="1">
      <c r="A1869" s="10"/>
      <c r="B1869" s="4"/>
      <c r="C1869" s="4"/>
      <c r="D1869" s="4"/>
      <c r="E1869" s="4"/>
      <c r="F1869" s="152" t="s">
        <v>673</v>
      </c>
      <c r="G1869" s="4" t="s">
        <v>674</v>
      </c>
      <c r="H1869" s="4"/>
      <c r="I1869" s="196">
        <v>-216237.6</v>
      </c>
      <c r="J1869" s="196">
        <v>-152.28</v>
      </c>
      <c r="K1869" s="196">
        <v>1420</v>
      </c>
      <c r="L1869" s="454" t="s">
        <v>787</v>
      </c>
      <c r="M1869" s="4" t="s">
        <v>780</v>
      </c>
      <c r="N1869" s="133" t="s">
        <v>781</v>
      </c>
      <c r="O1869" s="4" t="s">
        <v>830</v>
      </c>
      <c r="P1869" s="4" t="s">
        <v>783</v>
      </c>
      <c r="Q1869" s="4" t="s">
        <v>831</v>
      </c>
      <c r="R1869" s="4" t="s">
        <v>836</v>
      </c>
      <c r="S1869" s="4" t="s">
        <v>833</v>
      </c>
      <c r="T1869" s="4" t="s">
        <v>786</v>
      </c>
      <c r="U1869" s="4"/>
      <c r="V1869" s="4"/>
      <c r="W1869" s="4"/>
    </row>
    <row r="1870" spans="1:23" customFormat="1">
      <c r="A1870" s="10"/>
      <c r="B1870" s="4"/>
      <c r="C1870" s="4"/>
      <c r="D1870" s="4"/>
      <c r="E1870" s="4"/>
      <c r="F1870" s="152" t="s">
        <v>673</v>
      </c>
      <c r="G1870" s="4" t="s">
        <v>674</v>
      </c>
      <c r="H1870" s="4"/>
      <c r="I1870" s="196">
        <v>-756860</v>
      </c>
      <c r="J1870" s="196">
        <v>-533</v>
      </c>
      <c r="K1870" s="196">
        <v>1420</v>
      </c>
      <c r="L1870" s="454" t="s">
        <v>787</v>
      </c>
      <c r="M1870" s="4" t="s">
        <v>780</v>
      </c>
      <c r="N1870" s="133" t="s">
        <v>781</v>
      </c>
      <c r="O1870" s="4" t="s">
        <v>830</v>
      </c>
      <c r="P1870" s="4" t="s">
        <v>783</v>
      </c>
      <c r="Q1870" s="4" t="s">
        <v>831</v>
      </c>
      <c r="R1870" s="4" t="s">
        <v>837</v>
      </c>
      <c r="S1870" s="4" t="s">
        <v>833</v>
      </c>
      <c r="T1870" s="4" t="s">
        <v>786</v>
      </c>
      <c r="U1870" s="4"/>
      <c r="V1870" s="4"/>
      <c r="W1870" s="4"/>
    </row>
    <row r="1871" spans="1:23" customFormat="1">
      <c r="A1871" s="10"/>
      <c r="B1871" s="4"/>
      <c r="C1871" s="4"/>
      <c r="D1871" s="4"/>
      <c r="E1871" s="4"/>
      <c r="F1871" s="152" t="s">
        <v>673</v>
      </c>
      <c r="G1871" s="4" t="s">
        <v>674</v>
      </c>
      <c r="H1871" s="4"/>
      <c r="I1871" s="196">
        <v>-308140</v>
      </c>
      <c r="J1871" s="196">
        <v>-217</v>
      </c>
      <c r="K1871" s="196">
        <v>1420</v>
      </c>
      <c r="L1871" s="454" t="s">
        <v>787</v>
      </c>
      <c r="M1871" s="4" t="s">
        <v>780</v>
      </c>
      <c r="N1871" s="133" t="s">
        <v>781</v>
      </c>
      <c r="O1871" s="4" t="s">
        <v>830</v>
      </c>
      <c r="P1871" s="4" t="s">
        <v>783</v>
      </c>
      <c r="Q1871" s="4" t="s">
        <v>831</v>
      </c>
      <c r="R1871" s="4" t="s">
        <v>838</v>
      </c>
      <c r="S1871" s="4" t="s">
        <v>833</v>
      </c>
      <c r="T1871" s="4" t="s">
        <v>786</v>
      </c>
      <c r="U1871" s="4"/>
      <c r="V1871" s="4"/>
      <c r="W1871" s="4"/>
    </row>
    <row r="1872" spans="1:23" customFormat="1">
      <c r="A1872" s="10"/>
      <c r="B1872" s="4"/>
      <c r="C1872" s="4"/>
      <c r="D1872" s="4"/>
      <c r="E1872" s="4"/>
      <c r="F1872" s="152" t="s">
        <v>673</v>
      </c>
      <c r="G1872" s="4" t="s">
        <v>674</v>
      </c>
      <c r="H1872" s="4"/>
      <c r="I1872" s="196">
        <v>-308140</v>
      </c>
      <c r="J1872" s="196">
        <v>-217</v>
      </c>
      <c r="K1872" s="196">
        <v>1420</v>
      </c>
      <c r="L1872" s="454" t="s">
        <v>787</v>
      </c>
      <c r="M1872" s="4" t="s">
        <v>780</v>
      </c>
      <c r="N1872" s="133" t="s">
        <v>781</v>
      </c>
      <c r="O1872" s="4" t="s">
        <v>830</v>
      </c>
      <c r="P1872" s="4" t="s">
        <v>783</v>
      </c>
      <c r="Q1872" s="4" t="s">
        <v>831</v>
      </c>
      <c r="R1872" s="4" t="s">
        <v>839</v>
      </c>
      <c r="S1872" s="4" t="s">
        <v>833</v>
      </c>
      <c r="T1872" s="4" t="s">
        <v>786</v>
      </c>
      <c r="U1872" s="4"/>
      <c r="V1872" s="4"/>
      <c r="W1872" s="4"/>
    </row>
    <row r="1873" spans="1:23" customFormat="1">
      <c r="A1873" s="10"/>
      <c r="B1873" s="4"/>
      <c r="C1873" s="4"/>
      <c r="D1873" s="4"/>
      <c r="E1873" s="4"/>
      <c r="F1873" s="152" t="s">
        <v>673</v>
      </c>
      <c r="G1873" s="4" t="s">
        <v>674</v>
      </c>
      <c r="H1873" s="4"/>
      <c r="I1873" s="196">
        <v>-35500</v>
      </c>
      <c r="J1873" s="196">
        <v>-25</v>
      </c>
      <c r="K1873" s="196">
        <v>1420</v>
      </c>
      <c r="L1873" s="454" t="s">
        <v>787</v>
      </c>
      <c r="M1873" s="4" t="s">
        <v>780</v>
      </c>
      <c r="N1873" s="133" t="s">
        <v>781</v>
      </c>
      <c r="O1873" s="4" t="s">
        <v>830</v>
      </c>
      <c r="P1873" s="4" t="s">
        <v>783</v>
      </c>
      <c r="Q1873" s="4" t="s">
        <v>831</v>
      </c>
      <c r="R1873" s="4" t="s">
        <v>852</v>
      </c>
      <c r="S1873" s="4" t="s">
        <v>833</v>
      </c>
      <c r="T1873" s="4" t="s">
        <v>786</v>
      </c>
      <c r="U1873" s="4"/>
      <c r="V1873" s="4"/>
      <c r="W1873" s="4"/>
    </row>
    <row r="1874" spans="1:23" customFormat="1">
      <c r="A1874" s="10"/>
      <c r="B1874" s="4"/>
      <c r="C1874" s="4"/>
      <c r="D1874" s="4"/>
      <c r="E1874" s="4"/>
      <c r="F1874" s="152" t="s">
        <v>673</v>
      </c>
      <c r="G1874" s="4" t="s">
        <v>674</v>
      </c>
      <c r="H1874" s="4"/>
      <c r="I1874" s="196">
        <v>-361773.4</v>
      </c>
      <c r="J1874" s="196">
        <v>-254.77</v>
      </c>
      <c r="K1874" s="196">
        <v>1420</v>
      </c>
      <c r="L1874" s="454" t="s">
        <v>787</v>
      </c>
      <c r="M1874" s="4" t="s">
        <v>780</v>
      </c>
      <c r="N1874" s="133" t="s">
        <v>781</v>
      </c>
      <c r="O1874" s="4" t="s">
        <v>830</v>
      </c>
      <c r="P1874" s="4" t="s">
        <v>783</v>
      </c>
      <c r="Q1874" s="4" t="s">
        <v>831</v>
      </c>
      <c r="R1874" s="4" t="s">
        <v>840</v>
      </c>
      <c r="S1874" s="4" t="s">
        <v>833</v>
      </c>
      <c r="T1874" s="4" t="s">
        <v>786</v>
      </c>
      <c r="U1874" s="4"/>
      <c r="V1874" s="4"/>
      <c r="W1874" s="4"/>
    </row>
    <row r="1875" spans="1:23" customFormat="1">
      <c r="A1875" s="10"/>
      <c r="B1875" s="4"/>
      <c r="C1875" s="4"/>
      <c r="D1875" s="4"/>
      <c r="E1875" s="4"/>
      <c r="F1875" s="152" t="s">
        <v>673</v>
      </c>
      <c r="G1875" s="4" t="s">
        <v>674</v>
      </c>
      <c r="H1875" s="4"/>
      <c r="I1875" s="196">
        <v>-721984.8</v>
      </c>
      <c r="J1875" s="196">
        <v>-508.44</v>
      </c>
      <c r="K1875" s="196">
        <v>1420</v>
      </c>
      <c r="L1875" s="454" t="s">
        <v>787</v>
      </c>
      <c r="M1875" s="4" t="s">
        <v>780</v>
      </c>
      <c r="N1875" s="133" t="s">
        <v>781</v>
      </c>
      <c r="O1875" s="4" t="s">
        <v>830</v>
      </c>
      <c r="P1875" s="4" t="s">
        <v>783</v>
      </c>
      <c r="Q1875" s="4" t="s">
        <v>831</v>
      </c>
      <c r="R1875" s="4" t="s">
        <v>854</v>
      </c>
      <c r="S1875" s="4" t="s">
        <v>833</v>
      </c>
      <c r="T1875" s="4" t="s">
        <v>786</v>
      </c>
      <c r="U1875" s="4"/>
      <c r="V1875" s="4"/>
      <c r="W1875" s="4"/>
    </row>
    <row r="1876" spans="1:23" customFormat="1">
      <c r="A1876" s="10"/>
      <c r="B1876" s="4"/>
      <c r="C1876" s="4"/>
      <c r="D1876" s="4"/>
      <c r="E1876" s="4"/>
      <c r="F1876" s="152" t="s">
        <v>673</v>
      </c>
      <c r="G1876" s="4" t="s">
        <v>674</v>
      </c>
      <c r="H1876" s="4"/>
      <c r="I1876" s="196">
        <v>-1491000</v>
      </c>
      <c r="J1876" s="196">
        <v>-1050</v>
      </c>
      <c r="K1876" s="196">
        <v>1420</v>
      </c>
      <c r="L1876" s="454" t="s">
        <v>787</v>
      </c>
      <c r="M1876" s="4" t="s">
        <v>780</v>
      </c>
      <c r="N1876" s="133" t="s">
        <v>781</v>
      </c>
      <c r="O1876" s="4" t="s">
        <v>830</v>
      </c>
      <c r="P1876" s="4" t="s">
        <v>783</v>
      </c>
      <c r="Q1876" s="4" t="s">
        <v>831</v>
      </c>
      <c r="R1876" s="4" t="s">
        <v>848</v>
      </c>
      <c r="S1876" s="4" t="s">
        <v>833</v>
      </c>
      <c r="T1876" s="4" t="s">
        <v>786</v>
      </c>
      <c r="U1876" s="4"/>
      <c r="V1876" s="4"/>
      <c r="W1876" s="4"/>
    </row>
    <row r="1877" spans="1:23" customFormat="1">
      <c r="A1877" s="10"/>
      <c r="B1877" s="4"/>
      <c r="C1877" s="4"/>
      <c r="D1877" s="4"/>
      <c r="E1877" s="4"/>
      <c r="F1877" s="152" t="s">
        <v>673</v>
      </c>
      <c r="G1877" s="4" t="s">
        <v>674</v>
      </c>
      <c r="H1877" s="4"/>
      <c r="I1877" s="196">
        <v>-1228782.8</v>
      </c>
      <c r="J1877" s="196">
        <v>-865.34</v>
      </c>
      <c r="K1877" s="196">
        <v>1420</v>
      </c>
      <c r="L1877" s="454" t="s">
        <v>787</v>
      </c>
      <c r="M1877" s="4" t="s">
        <v>780</v>
      </c>
      <c r="N1877" s="133" t="s">
        <v>781</v>
      </c>
      <c r="O1877" s="4" t="s">
        <v>830</v>
      </c>
      <c r="P1877" s="4" t="s">
        <v>783</v>
      </c>
      <c r="Q1877" s="4" t="s">
        <v>831</v>
      </c>
      <c r="R1877" s="4" t="s">
        <v>850</v>
      </c>
      <c r="S1877" s="4" t="s">
        <v>833</v>
      </c>
      <c r="T1877" s="4" t="s">
        <v>786</v>
      </c>
      <c r="U1877" s="4"/>
      <c r="V1877" s="4"/>
      <c r="W1877" s="4"/>
    </row>
    <row r="1878" spans="1:23" customFormat="1">
      <c r="A1878" s="10"/>
      <c r="B1878" s="4"/>
      <c r="C1878" s="4"/>
      <c r="D1878" s="4"/>
      <c r="E1878" s="4"/>
      <c r="F1878" s="152" t="s">
        <v>673</v>
      </c>
      <c r="G1878" s="4" t="s">
        <v>674</v>
      </c>
      <c r="H1878" s="4"/>
      <c r="I1878" s="196">
        <v>-1936880</v>
      </c>
      <c r="J1878" s="196">
        <v>-1364</v>
      </c>
      <c r="K1878" s="196">
        <v>1420</v>
      </c>
      <c r="L1878" s="454" t="s">
        <v>787</v>
      </c>
      <c r="M1878" s="4" t="s">
        <v>780</v>
      </c>
      <c r="N1878" s="133" t="s">
        <v>781</v>
      </c>
      <c r="O1878" s="4" t="s">
        <v>830</v>
      </c>
      <c r="P1878" s="4" t="s">
        <v>783</v>
      </c>
      <c r="Q1878" s="4" t="s">
        <v>831</v>
      </c>
      <c r="R1878" s="4" t="s">
        <v>849</v>
      </c>
      <c r="S1878" s="4" t="s">
        <v>833</v>
      </c>
      <c r="T1878" s="4" t="s">
        <v>786</v>
      </c>
      <c r="U1878" s="4"/>
      <c r="V1878" s="4"/>
      <c r="W1878" s="4"/>
    </row>
    <row r="1879" spans="1:23" customFormat="1">
      <c r="A1879" s="10"/>
      <c r="B1879" s="4"/>
      <c r="C1879" s="4"/>
      <c r="D1879" s="4"/>
      <c r="E1879" s="4"/>
      <c r="F1879" s="152" t="s">
        <v>673</v>
      </c>
      <c r="G1879" s="4" t="s">
        <v>674</v>
      </c>
      <c r="H1879" s="4"/>
      <c r="I1879" s="196">
        <v>-795200</v>
      </c>
      <c r="J1879" s="196">
        <v>-560</v>
      </c>
      <c r="K1879" s="196">
        <v>1420</v>
      </c>
      <c r="L1879" s="454" t="s">
        <v>787</v>
      </c>
      <c r="M1879" s="4" t="s">
        <v>780</v>
      </c>
      <c r="N1879" s="133" t="s">
        <v>781</v>
      </c>
      <c r="O1879" s="4" t="s">
        <v>830</v>
      </c>
      <c r="P1879" s="4" t="s">
        <v>783</v>
      </c>
      <c r="Q1879" s="4" t="s">
        <v>831</v>
      </c>
      <c r="R1879" s="4" t="s">
        <v>847</v>
      </c>
      <c r="S1879" s="4" t="s">
        <v>833</v>
      </c>
      <c r="T1879" s="4" t="s">
        <v>786</v>
      </c>
      <c r="U1879" s="4"/>
      <c r="V1879" s="4"/>
      <c r="W1879" s="4"/>
    </row>
    <row r="1880" spans="1:23" customFormat="1">
      <c r="A1880" s="10"/>
      <c r="B1880" s="4"/>
      <c r="C1880" s="4"/>
      <c r="D1880" s="4"/>
      <c r="E1880" s="4"/>
      <c r="F1880" s="152" t="s">
        <v>673</v>
      </c>
      <c r="G1880" s="4" t="s">
        <v>674</v>
      </c>
      <c r="H1880" s="4"/>
      <c r="I1880" s="196">
        <v>-181121</v>
      </c>
      <c r="J1880" s="196">
        <v>-127.55</v>
      </c>
      <c r="K1880" s="196">
        <v>1420</v>
      </c>
      <c r="L1880" s="454" t="s">
        <v>787</v>
      </c>
      <c r="M1880" s="4" t="s">
        <v>780</v>
      </c>
      <c r="N1880" s="133" t="s">
        <v>781</v>
      </c>
      <c r="O1880" s="4" t="s">
        <v>830</v>
      </c>
      <c r="P1880" s="4" t="s">
        <v>783</v>
      </c>
      <c r="Q1880" s="4" t="s">
        <v>831</v>
      </c>
      <c r="R1880" s="4" t="s">
        <v>846</v>
      </c>
      <c r="S1880" s="4" t="s">
        <v>833</v>
      </c>
      <c r="T1880" s="4" t="s">
        <v>786</v>
      </c>
      <c r="U1880" s="4"/>
      <c r="V1880" s="4"/>
      <c r="W1880" s="4"/>
    </row>
    <row r="1881" spans="1:23" customFormat="1">
      <c r="A1881" s="10"/>
      <c r="B1881" s="4"/>
      <c r="C1881" s="4"/>
      <c r="D1881" s="4"/>
      <c r="E1881" s="4"/>
      <c r="F1881" s="152" t="s">
        <v>673</v>
      </c>
      <c r="G1881" s="4" t="s">
        <v>674</v>
      </c>
      <c r="H1881" s="4"/>
      <c r="I1881" s="196">
        <v>-362242</v>
      </c>
      <c r="J1881" s="196">
        <v>-255.1</v>
      </c>
      <c r="K1881" s="196">
        <v>1420</v>
      </c>
      <c r="L1881" s="454" t="s">
        <v>787</v>
      </c>
      <c r="M1881" s="4" t="s">
        <v>780</v>
      </c>
      <c r="N1881" s="133" t="s">
        <v>781</v>
      </c>
      <c r="O1881" s="4" t="s">
        <v>830</v>
      </c>
      <c r="P1881" s="4" t="s">
        <v>783</v>
      </c>
      <c r="Q1881" s="4" t="s">
        <v>831</v>
      </c>
      <c r="R1881" s="4" t="s">
        <v>841</v>
      </c>
      <c r="S1881" s="4" t="s">
        <v>833</v>
      </c>
      <c r="T1881" s="4" t="s">
        <v>786</v>
      </c>
      <c r="U1881" s="4"/>
      <c r="V1881" s="4"/>
      <c r="W1881" s="4"/>
    </row>
    <row r="1882" spans="1:23" customFormat="1">
      <c r="A1882" s="10"/>
      <c r="B1882" s="4"/>
      <c r="C1882" s="4"/>
      <c r="D1882" s="4"/>
      <c r="E1882" s="4"/>
      <c r="F1882" s="152" t="s">
        <v>673</v>
      </c>
      <c r="G1882" s="4" t="s">
        <v>674</v>
      </c>
      <c r="H1882" s="4"/>
      <c r="I1882" s="196">
        <v>-35855</v>
      </c>
      <c r="J1882" s="196">
        <v>-25.25</v>
      </c>
      <c r="K1882" s="196">
        <v>1420</v>
      </c>
      <c r="L1882" s="454" t="s">
        <v>787</v>
      </c>
      <c r="M1882" s="4" t="s">
        <v>780</v>
      </c>
      <c r="N1882" s="133" t="s">
        <v>781</v>
      </c>
      <c r="O1882" s="4" t="s">
        <v>830</v>
      </c>
      <c r="P1882" s="4" t="s">
        <v>783</v>
      </c>
      <c r="Q1882" s="4" t="s">
        <v>831</v>
      </c>
      <c r="R1882" s="4" t="s">
        <v>842</v>
      </c>
      <c r="S1882" s="4" t="s">
        <v>833</v>
      </c>
      <c r="T1882" s="4" t="s">
        <v>786</v>
      </c>
      <c r="U1882" s="4"/>
      <c r="V1882" s="4"/>
      <c r="W1882" s="4"/>
    </row>
    <row r="1883" spans="1:23" customFormat="1">
      <c r="A1883" s="10"/>
      <c r="B1883" s="4"/>
      <c r="C1883" s="4"/>
      <c r="D1883" s="4"/>
      <c r="E1883" s="4"/>
      <c r="F1883" s="152" t="s">
        <v>673</v>
      </c>
      <c r="G1883" s="4" t="s">
        <v>674</v>
      </c>
      <c r="H1883" s="4"/>
      <c r="I1883" s="196">
        <v>-45440</v>
      </c>
      <c r="J1883" s="196">
        <v>-32</v>
      </c>
      <c r="K1883" s="196">
        <v>1420</v>
      </c>
      <c r="L1883" s="454" t="s">
        <v>787</v>
      </c>
      <c r="M1883" s="4" t="s">
        <v>780</v>
      </c>
      <c r="N1883" s="133" t="s">
        <v>781</v>
      </c>
      <c r="O1883" s="4" t="s">
        <v>830</v>
      </c>
      <c r="P1883" s="4" t="s">
        <v>783</v>
      </c>
      <c r="Q1883" s="4" t="s">
        <v>831</v>
      </c>
      <c r="R1883" s="4" t="s">
        <v>851</v>
      </c>
      <c r="S1883" s="4" t="s">
        <v>833</v>
      </c>
      <c r="T1883" s="4" t="s">
        <v>786</v>
      </c>
      <c r="U1883" s="4"/>
      <c r="V1883" s="4"/>
      <c r="W1883" s="4"/>
    </row>
    <row r="1884" spans="1:23" customFormat="1">
      <c r="A1884" s="10"/>
      <c r="B1884" s="4"/>
      <c r="C1884" s="4"/>
      <c r="D1884" s="4"/>
      <c r="E1884" s="4"/>
      <c r="F1884" s="152" t="s">
        <v>673</v>
      </c>
      <c r="G1884" s="4" t="s">
        <v>674</v>
      </c>
      <c r="H1884" s="4"/>
      <c r="I1884" s="196">
        <v>-1810500</v>
      </c>
      <c r="J1884" s="196">
        <v>-1275</v>
      </c>
      <c r="K1884" s="196">
        <v>1420</v>
      </c>
      <c r="L1884" s="454" t="s">
        <v>787</v>
      </c>
      <c r="M1884" s="4" t="s">
        <v>780</v>
      </c>
      <c r="N1884" s="133" t="s">
        <v>781</v>
      </c>
      <c r="O1884" s="4" t="s">
        <v>830</v>
      </c>
      <c r="P1884" s="4" t="s">
        <v>783</v>
      </c>
      <c r="Q1884" s="4" t="s">
        <v>831</v>
      </c>
      <c r="R1884" s="4" t="s">
        <v>843</v>
      </c>
      <c r="S1884" s="4" t="s">
        <v>833</v>
      </c>
      <c r="T1884" s="4" t="s">
        <v>786</v>
      </c>
      <c r="U1884" s="4"/>
      <c r="V1884" s="4"/>
      <c r="W1884" s="4"/>
    </row>
    <row r="1885" spans="1:23" customFormat="1">
      <c r="A1885" s="10"/>
      <c r="B1885" s="4"/>
      <c r="C1885" s="4"/>
      <c r="D1885" s="4"/>
      <c r="E1885" s="4"/>
      <c r="F1885" s="152" t="s">
        <v>673</v>
      </c>
      <c r="G1885" s="4" t="s">
        <v>674</v>
      </c>
      <c r="H1885" s="4"/>
      <c r="I1885" s="196">
        <v>-2698</v>
      </c>
      <c r="J1885" s="196">
        <v>-1.9</v>
      </c>
      <c r="K1885" s="196">
        <v>1420</v>
      </c>
      <c r="L1885" s="454" t="s">
        <v>787</v>
      </c>
      <c r="M1885" s="4" t="s">
        <v>780</v>
      </c>
      <c r="N1885" s="133" t="s">
        <v>781</v>
      </c>
      <c r="O1885" s="4" t="s">
        <v>830</v>
      </c>
      <c r="P1885" s="4" t="s">
        <v>783</v>
      </c>
      <c r="Q1885" s="4" t="s">
        <v>831</v>
      </c>
      <c r="R1885" s="4" t="s">
        <v>844</v>
      </c>
      <c r="S1885" s="4" t="s">
        <v>833</v>
      </c>
      <c r="T1885" s="4" t="s">
        <v>786</v>
      </c>
      <c r="U1885" s="4"/>
      <c r="V1885" s="4"/>
      <c r="W1885" s="4"/>
    </row>
    <row r="1886" spans="1:23" customFormat="1">
      <c r="A1886" s="10"/>
      <c r="B1886" s="4"/>
      <c r="C1886" s="4"/>
      <c r="D1886" s="4"/>
      <c r="E1886" s="4"/>
      <c r="F1886" s="152" t="s">
        <v>673</v>
      </c>
      <c r="G1886" s="4" t="s">
        <v>674</v>
      </c>
      <c r="H1886" s="4"/>
      <c r="I1886" s="196">
        <v>-227200</v>
      </c>
      <c r="J1886" s="196">
        <v>-160</v>
      </c>
      <c r="K1886" s="196">
        <v>1420</v>
      </c>
      <c r="L1886" s="454" t="s">
        <v>787</v>
      </c>
      <c r="M1886" s="4" t="s">
        <v>780</v>
      </c>
      <c r="N1886" s="133" t="s">
        <v>781</v>
      </c>
      <c r="O1886" s="4" t="s">
        <v>830</v>
      </c>
      <c r="P1886" s="4" t="s">
        <v>783</v>
      </c>
      <c r="Q1886" s="4" t="s">
        <v>831</v>
      </c>
      <c r="R1886" s="4" t="s">
        <v>853</v>
      </c>
      <c r="S1886" s="4" t="s">
        <v>833</v>
      </c>
      <c r="T1886" s="4" t="s">
        <v>786</v>
      </c>
      <c r="U1886" s="4"/>
      <c r="V1886" s="4"/>
      <c r="W1886" s="4"/>
    </row>
    <row r="1887" spans="1:23" customFormat="1">
      <c r="A1887" s="10"/>
      <c r="B1887" s="4"/>
      <c r="C1887" s="4"/>
      <c r="D1887" s="4"/>
      <c r="E1887" s="4"/>
      <c r="F1887" s="152" t="s">
        <v>673</v>
      </c>
      <c r="G1887" s="4" t="s">
        <v>674</v>
      </c>
      <c r="H1887" s="4"/>
      <c r="I1887" s="196">
        <v>-2698</v>
      </c>
      <c r="J1887" s="196">
        <v>-1.9</v>
      </c>
      <c r="K1887" s="196">
        <v>1420</v>
      </c>
      <c r="L1887" s="454" t="s">
        <v>787</v>
      </c>
      <c r="M1887" s="4" t="s">
        <v>780</v>
      </c>
      <c r="N1887" s="133" t="s">
        <v>781</v>
      </c>
      <c r="O1887" s="4" t="s">
        <v>830</v>
      </c>
      <c r="P1887" s="4" t="s">
        <v>783</v>
      </c>
      <c r="Q1887" s="4" t="s">
        <v>831</v>
      </c>
      <c r="R1887" s="4" t="s">
        <v>832</v>
      </c>
      <c r="S1887" s="4" t="s">
        <v>833</v>
      </c>
      <c r="T1887" s="4" t="s">
        <v>786</v>
      </c>
      <c r="U1887" s="4"/>
      <c r="V1887" s="4"/>
      <c r="W1887" s="4"/>
    </row>
    <row r="1888" spans="1:23" customFormat="1">
      <c r="A1888" s="10"/>
      <c r="B1888" s="4"/>
      <c r="C1888" s="4"/>
      <c r="D1888" s="4"/>
      <c r="E1888" s="4"/>
      <c r="F1888" s="152" t="s">
        <v>673</v>
      </c>
      <c r="G1888" s="4" t="s">
        <v>674</v>
      </c>
      <c r="H1888" s="4"/>
      <c r="I1888" s="196">
        <v>-16415.2</v>
      </c>
      <c r="J1888" s="196">
        <v>-11.56</v>
      </c>
      <c r="K1888" s="196">
        <v>1420</v>
      </c>
      <c r="L1888" s="454" t="s">
        <v>787</v>
      </c>
      <c r="M1888" s="4" t="s">
        <v>780</v>
      </c>
      <c r="N1888" s="133" t="s">
        <v>781</v>
      </c>
      <c r="O1888" s="4" t="s">
        <v>830</v>
      </c>
      <c r="P1888" s="4" t="s">
        <v>783</v>
      </c>
      <c r="Q1888" s="4" t="s">
        <v>831</v>
      </c>
      <c r="R1888" s="4" t="s">
        <v>845</v>
      </c>
      <c r="S1888" s="4" t="s">
        <v>833</v>
      </c>
      <c r="T1888" s="4" t="s">
        <v>786</v>
      </c>
      <c r="U1888" s="4"/>
      <c r="V1888" s="4"/>
      <c r="W1888" s="4"/>
    </row>
    <row r="1889" spans="1:23" customFormat="1">
      <c r="A1889" s="10"/>
      <c r="B1889" s="4"/>
      <c r="C1889" s="4"/>
      <c r="D1889" s="4"/>
      <c r="E1889" s="4"/>
      <c r="F1889" s="152" t="s">
        <v>673</v>
      </c>
      <c r="G1889" s="4" t="s">
        <v>674</v>
      </c>
      <c r="H1889" s="4"/>
      <c r="I1889" s="196">
        <v>-11440000</v>
      </c>
      <c r="J1889" s="196">
        <v>-8000</v>
      </c>
      <c r="K1889" s="196">
        <v>1430</v>
      </c>
      <c r="L1889" s="454" t="s">
        <v>890</v>
      </c>
      <c r="M1889" s="4" t="s">
        <v>780</v>
      </c>
      <c r="N1889" s="133" t="s">
        <v>781</v>
      </c>
      <c r="O1889" s="4" t="s">
        <v>891</v>
      </c>
      <c r="P1889" s="4" t="s">
        <v>892</v>
      </c>
      <c r="Q1889" s="4" t="s">
        <v>893</v>
      </c>
      <c r="R1889" s="4"/>
      <c r="S1889" s="4" t="s">
        <v>894</v>
      </c>
      <c r="T1889" s="4" t="s">
        <v>786</v>
      </c>
      <c r="U1889" s="4"/>
      <c r="V1889" s="4"/>
      <c r="W1889" s="4"/>
    </row>
    <row r="1890" spans="1:23" customFormat="1">
      <c r="A1890" s="10"/>
      <c r="B1890" s="4"/>
      <c r="C1890" s="4"/>
      <c r="D1890" s="4"/>
      <c r="E1890" s="4"/>
      <c r="F1890" s="152" t="s">
        <v>673</v>
      </c>
      <c r="G1890" s="4" t="s">
        <v>674</v>
      </c>
      <c r="H1890" s="4"/>
      <c r="I1890" s="196">
        <v>228800</v>
      </c>
      <c r="J1890" s="196">
        <v>160</v>
      </c>
      <c r="K1890" s="196">
        <v>1430</v>
      </c>
      <c r="L1890" s="454" t="s">
        <v>895</v>
      </c>
      <c r="M1890" s="4" t="s">
        <v>780</v>
      </c>
      <c r="N1890" s="133" t="s">
        <v>781</v>
      </c>
      <c r="O1890" s="4" t="s">
        <v>896</v>
      </c>
      <c r="P1890" s="4" t="s">
        <v>892</v>
      </c>
      <c r="Q1890" s="4" t="s">
        <v>897</v>
      </c>
      <c r="R1890" s="4"/>
      <c r="S1890" s="4" t="s">
        <v>898</v>
      </c>
      <c r="T1890" s="4" t="s">
        <v>786</v>
      </c>
      <c r="U1890" s="4"/>
      <c r="V1890" s="4"/>
      <c r="W1890" s="4"/>
    </row>
    <row r="1891" spans="1:23" customFormat="1">
      <c r="A1891" s="10"/>
      <c r="B1891" s="4"/>
      <c r="C1891" s="4"/>
      <c r="D1891" s="4"/>
      <c r="E1891" s="4"/>
      <c r="F1891" s="152" t="s">
        <v>673</v>
      </c>
      <c r="G1891" s="4" t="s">
        <v>674</v>
      </c>
      <c r="H1891" s="4"/>
      <c r="I1891" s="196">
        <v>14064750</v>
      </c>
      <c r="J1891" s="196">
        <v>9975</v>
      </c>
      <c r="K1891" s="196">
        <v>1410</v>
      </c>
      <c r="L1891" s="454" t="s">
        <v>890</v>
      </c>
      <c r="M1891" s="4" t="s">
        <v>780</v>
      </c>
      <c r="N1891" s="133" t="s">
        <v>781</v>
      </c>
      <c r="O1891" s="4" t="s">
        <v>909</v>
      </c>
      <c r="P1891" s="4" t="s">
        <v>892</v>
      </c>
      <c r="Q1891" s="4" t="s">
        <v>910</v>
      </c>
      <c r="R1891" s="4" t="s">
        <v>806</v>
      </c>
      <c r="S1891" s="4" t="s">
        <v>912</v>
      </c>
      <c r="T1891" s="4" t="s">
        <v>786</v>
      </c>
      <c r="U1891" s="4"/>
      <c r="V1891" s="4"/>
      <c r="W1891" s="4"/>
    </row>
    <row r="1892" spans="1:23" customFormat="1">
      <c r="A1892" s="10"/>
      <c r="B1892" s="4"/>
      <c r="C1892" s="4"/>
      <c r="D1892" s="4"/>
      <c r="E1892" s="4"/>
      <c r="F1892" s="152" t="s">
        <v>673</v>
      </c>
      <c r="G1892" s="4" t="s">
        <v>674</v>
      </c>
      <c r="H1892" s="4"/>
      <c r="I1892" s="196">
        <v>1029600</v>
      </c>
      <c r="J1892" s="196">
        <v>720</v>
      </c>
      <c r="K1892" s="196">
        <v>1430</v>
      </c>
      <c r="L1892" s="454" t="s">
        <v>890</v>
      </c>
      <c r="M1892" s="4" t="s">
        <v>780</v>
      </c>
      <c r="N1892" s="133" t="s">
        <v>781</v>
      </c>
      <c r="O1892" s="4" t="s">
        <v>909</v>
      </c>
      <c r="P1892" s="4" t="s">
        <v>892</v>
      </c>
      <c r="Q1892" s="4" t="s">
        <v>910</v>
      </c>
      <c r="R1892" s="4" t="s">
        <v>911</v>
      </c>
      <c r="S1892" s="4" t="s">
        <v>912</v>
      </c>
      <c r="T1892" s="4" t="s">
        <v>786</v>
      </c>
      <c r="U1892" s="4"/>
      <c r="V1892" s="4"/>
      <c r="W1892" s="4"/>
    </row>
    <row r="1893" spans="1:23" customFormat="1">
      <c r="A1893" s="10"/>
      <c r="B1893" s="4"/>
      <c r="C1893" s="4"/>
      <c r="D1893" s="4"/>
      <c r="E1893" s="4"/>
      <c r="F1893" s="152" t="s">
        <v>673</v>
      </c>
      <c r="G1893" s="4" t="s">
        <v>674</v>
      </c>
      <c r="H1893" s="4"/>
      <c r="I1893" s="196">
        <v>-2641</v>
      </c>
      <c r="J1893" s="196">
        <v>-1.9</v>
      </c>
      <c r="K1893" s="196">
        <v>1390</v>
      </c>
      <c r="L1893" s="454" t="s">
        <v>899</v>
      </c>
      <c r="M1893" s="4" t="s">
        <v>780</v>
      </c>
      <c r="N1893" s="133" t="s">
        <v>781</v>
      </c>
      <c r="O1893" s="4" t="s">
        <v>943</v>
      </c>
      <c r="P1893" s="4" t="s">
        <v>892</v>
      </c>
      <c r="Q1893" s="4" t="s">
        <v>944</v>
      </c>
      <c r="R1893" s="4" t="s">
        <v>945</v>
      </c>
      <c r="S1893" s="4" t="s">
        <v>946</v>
      </c>
      <c r="T1893" s="4" t="s">
        <v>786</v>
      </c>
      <c r="U1893" s="4"/>
      <c r="V1893" s="4"/>
      <c r="W1893" s="4"/>
    </row>
    <row r="1894" spans="1:23" customFormat="1">
      <c r="A1894" s="10"/>
      <c r="B1894" s="4"/>
      <c r="C1894" s="4"/>
      <c r="D1894" s="4"/>
      <c r="E1894" s="4"/>
      <c r="F1894" s="152" t="s">
        <v>673</v>
      </c>
      <c r="G1894" s="4" t="s">
        <v>674</v>
      </c>
      <c r="H1894" s="4"/>
      <c r="I1894" s="196">
        <v>-796470</v>
      </c>
      <c r="J1894" s="196">
        <v>-573</v>
      </c>
      <c r="K1894" s="196">
        <v>1390</v>
      </c>
      <c r="L1894" s="454" t="s">
        <v>899</v>
      </c>
      <c r="M1894" s="4" t="s">
        <v>780</v>
      </c>
      <c r="N1894" s="133" t="s">
        <v>781</v>
      </c>
      <c r="O1894" s="4" t="s">
        <v>943</v>
      </c>
      <c r="P1894" s="4" t="s">
        <v>892</v>
      </c>
      <c r="Q1894" s="4" t="s">
        <v>944</v>
      </c>
      <c r="R1894" s="4" t="s">
        <v>947</v>
      </c>
      <c r="S1894" s="4" t="s">
        <v>946</v>
      </c>
      <c r="T1894" s="4" t="s">
        <v>786</v>
      </c>
      <c r="U1894" s="4"/>
      <c r="V1894" s="4"/>
      <c r="W1894" s="4"/>
    </row>
    <row r="1895" spans="1:23" customFormat="1">
      <c r="A1895" s="10"/>
      <c r="B1895" s="4"/>
      <c r="C1895" s="4"/>
      <c r="D1895" s="4"/>
      <c r="E1895" s="4"/>
      <c r="F1895" s="152" t="s">
        <v>673</v>
      </c>
      <c r="G1895" s="4" t="s">
        <v>674</v>
      </c>
      <c r="H1895" s="4"/>
      <c r="I1895" s="196">
        <v>-2641</v>
      </c>
      <c r="J1895" s="196">
        <v>-1.9</v>
      </c>
      <c r="K1895" s="196">
        <v>1390</v>
      </c>
      <c r="L1895" s="454" t="s">
        <v>899</v>
      </c>
      <c r="M1895" s="4" t="s">
        <v>780</v>
      </c>
      <c r="N1895" s="133" t="s">
        <v>781</v>
      </c>
      <c r="O1895" s="4" t="s">
        <v>943</v>
      </c>
      <c r="P1895" s="4" t="s">
        <v>892</v>
      </c>
      <c r="Q1895" s="4" t="s">
        <v>944</v>
      </c>
      <c r="R1895" s="4" t="s">
        <v>832</v>
      </c>
      <c r="S1895" s="4" t="s">
        <v>946</v>
      </c>
      <c r="T1895" s="4" t="s">
        <v>786</v>
      </c>
      <c r="U1895" s="4"/>
      <c r="V1895" s="4"/>
      <c r="W1895" s="4"/>
    </row>
    <row r="1896" spans="1:23" customFormat="1">
      <c r="A1896" s="10"/>
      <c r="B1896" s="4"/>
      <c r="C1896" s="4"/>
      <c r="D1896" s="4"/>
      <c r="E1896" s="4"/>
      <c r="F1896" s="152" t="s">
        <v>673</v>
      </c>
      <c r="G1896" s="4" t="s">
        <v>674</v>
      </c>
      <c r="H1896" s="4"/>
      <c r="I1896" s="196">
        <v>-142919.79999999999</v>
      </c>
      <c r="J1896" s="196">
        <v>-102.82</v>
      </c>
      <c r="K1896" s="196">
        <v>1390</v>
      </c>
      <c r="L1896" s="454" t="s">
        <v>899</v>
      </c>
      <c r="M1896" s="4" t="s">
        <v>780</v>
      </c>
      <c r="N1896" s="133" t="s">
        <v>781</v>
      </c>
      <c r="O1896" s="4" t="s">
        <v>943</v>
      </c>
      <c r="P1896" s="4" t="s">
        <v>892</v>
      </c>
      <c r="Q1896" s="4" t="s">
        <v>944</v>
      </c>
      <c r="R1896" s="4" t="s">
        <v>950</v>
      </c>
      <c r="S1896" s="4" t="s">
        <v>946</v>
      </c>
      <c r="T1896" s="4" t="s">
        <v>786</v>
      </c>
      <c r="U1896" s="4"/>
      <c r="V1896" s="4"/>
      <c r="W1896" s="4"/>
    </row>
    <row r="1897" spans="1:23" customFormat="1">
      <c r="A1897" s="10"/>
      <c r="B1897" s="4"/>
      <c r="C1897" s="4"/>
      <c r="D1897" s="4"/>
      <c r="E1897" s="4"/>
      <c r="F1897" s="152" t="s">
        <v>673</v>
      </c>
      <c r="G1897" s="4" t="s">
        <v>674</v>
      </c>
      <c r="H1897" s="4"/>
      <c r="I1897" s="196">
        <v>-903319.3</v>
      </c>
      <c r="J1897" s="196">
        <v>-649.87</v>
      </c>
      <c r="K1897" s="196">
        <v>1390</v>
      </c>
      <c r="L1897" s="454" t="s">
        <v>899</v>
      </c>
      <c r="M1897" s="4" t="s">
        <v>780</v>
      </c>
      <c r="N1897" s="133" t="s">
        <v>781</v>
      </c>
      <c r="O1897" s="4" t="s">
        <v>943</v>
      </c>
      <c r="P1897" s="4" t="s">
        <v>892</v>
      </c>
      <c r="Q1897" s="4" t="s">
        <v>944</v>
      </c>
      <c r="R1897" s="4" t="s">
        <v>948</v>
      </c>
      <c r="S1897" s="4" t="s">
        <v>946</v>
      </c>
      <c r="T1897" s="4" t="s">
        <v>786</v>
      </c>
      <c r="U1897" s="4"/>
      <c r="V1897" s="4"/>
      <c r="W1897" s="4"/>
    </row>
    <row r="1898" spans="1:23" customFormat="1">
      <c r="A1898" s="10"/>
      <c r="B1898" s="4"/>
      <c r="C1898" s="4"/>
      <c r="D1898" s="4"/>
      <c r="E1898" s="4"/>
      <c r="F1898" s="152" t="s">
        <v>673</v>
      </c>
      <c r="G1898" s="4" t="s">
        <v>674</v>
      </c>
      <c r="H1898" s="4"/>
      <c r="I1898" s="196">
        <v>-1123120</v>
      </c>
      <c r="J1898" s="196">
        <v>-808</v>
      </c>
      <c r="K1898" s="196">
        <v>1390</v>
      </c>
      <c r="L1898" s="454" t="s">
        <v>899</v>
      </c>
      <c r="M1898" s="4" t="s">
        <v>780</v>
      </c>
      <c r="N1898" s="133" t="s">
        <v>781</v>
      </c>
      <c r="O1898" s="4" t="s">
        <v>943</v>
      </c>
      <c r="P1898" s="4" t="s">
        <v>892</v>
      </c>
      <c r="Q1898" s="4" t="s">
        <v>944</v>
      </c>
      <c r="R1898" s="4" t="s">
        <v>949</v>
      </c>
      <c r="S1898" s="4" t="s">
        <v>946</v>
      </c>
      <c r="T1898" s="4" t="s">
        <v>786</v>
      </c>
      <c r="U1898" s="4"/>
      <c r="V1898" s="4"/>
      <c r="W1898" s="4"/>
    </row>
    <row r="1899" spans="1:23" customFormat="1">
      <c r="A1899" s="10"/>
      <c r="B1899" s="4"/>
      <c r="C1899" s="4"/>
      <c r="D1899" s="4"/>
      <c r="E1899" s="4"/>
      <c r="F1899" s="152" t="s">
        <v>673</v>
      </c>
      <c r="G1899" s="4" t="s">
        <v>674</v>
      </c>
      <c r="H1899" s="4"/>
      <c r="I1899" s="196">
        <v>-3103100</v>
      </c>
      <c r="J1899" s="196">
        <v>-2170</v>
      </c>
      <c r="K1899" s="196">
        <v>1430</v>
      </c>
      <c r="L1899" s="454" t="s">
        <v>890</v>
      </c>
      <c r="M1899" s="4" t="s">
        <v>780</v>
      </c>
      <c r="N1899" s="133" t="s">
        <v>781</v>
      </c>
      <c r="O1899" s="4" t="s">
        <v>967</v>
      </c>
      <c r="P1899" s="4" t="s">
        <v>892</v>
      </c>
      <c r="Q1899" s="4" t="s">
        <v>968</v>
      </c>
      <c r="R1899" s="4" t="s">
        <v>969</v>
      </c>
      <c r="S1899" s="4" t="s">
        <v>970</v>
      </c>
      <c r="T1899" s="4" t="s">
        <v>786</v>
      </c>
      <c r="U1899" s="4"/>
      <c r="V1899" s="4"/>
      <c r="W1899" s="4"/>
    </row>
    <row r="1900" spans="1:23" customFormat="1">
      <c r="A1900" s="10"/>
      <c r="B1900" s="4"/>
      <c r="C1900" s="4"/>
      <c r="D1900" s="4"/>
      <c r="E1900" s="4"/>
      <c r="F1900" s="152" t="s">
        <v>673</v>
      </c>
      <c r="G1900" s="4" t="s">
        <v>674</v>
      </c>
      <c r="H1900" s="4"/>
      <c r="I1900" s="196">
        <v>-2717</v>
      </c>
      <c r="J1900" s="196">
        <v>-1.9</v>
      </c>
      <c r="K1900" s="196">
        <v>1430</v>
      </c>
      <c r="L1900" s="454" t="s">
        <v>890</v>
      </c>
      <c r="M1900" s="4" t="s">
        <v>780</v>
      </c>
      <c r="N1900" s="133" t="s">
        <v>781</v>
      </c>
      <c r="O1900" s="4" t="s">
        <v>967</v>
      </c>
      <c r="P1900" s="4" t="s">
        <v>892</v>
      </c>
      <c r="Q1900" s="4" t="s">
        <v>968</v>
      </c>
      <c r="R1900" s="4" t="s">
        <v>953</v>
      </c>
      <c r="S1900" s="4" t="s">
        <v>970</v>
      </c>
      <c r="T1900" s="4" t="s">
        <v>786</v>
      </c>
      <c r="U1900" s="4"/>
      <c r="V1900" s="4"/>
      <c r="W1900" s="4"/>
    </row>
    <row r="1901" spans="1:23" customFormat="1">
      <c r="A1901" s="10"/>
      <c r="B1901" s="4"/>
      <c r="C1901" s="4"/>
      <c r="D1901" s="4"/>
      <c r="E1901" s="4"/>
      <c r="F1901" s="152" t="s">
        <v>673</v>
      </c>
      <c r="G1901" s="4" t="s">
        <v>674</v>
      </c>
      <c r="H1901" s="4"/>
      <c r="I1901" s="196">
        <v>-2717</v>
      </c>
      <c r="J1901" s="196">
        <v>-1.9</v>
      </c>
      <c r="K1901" s="196">
        <v>1430</v>
      </c>
      <c r="L1901" s="454" t="s">
        <v>890</v>
      </c>
      <c r="M1901" s="4" t="s">
        <v>780</v>
      </c>
      <c r="N1901" s="133" t="s">
        <v>781</v>
      </c>
      <c r="O1901" s="4" t="s">
        <v>967</v>
      </c>
      <c r="P1901" s="4" t="s">
        <v>892</v>
      </c>
      <c r="Q1901" s="4" t="s">
        <v>968</v>
      </c>
      <c r="R1901" s="4" t="s">
        <v>953</v>
      </c>
      <c r="S1901" s="4" t="s">
        <v>970</v>
      </c>
      <c r="T1901" s="4" t="s">
        <v>786</v>
      </c>
      <c r="U1901" s="4"/>
      <c r="V1901" s="4"/>
      <c r="W1901" s="4"/>
    </row>
    <row r="1902" spans="1:23" customFormat="1">
      <c r="A1902" s="10"/>
      <c r="B1902" s="4"/>
      <c r="C1902" s="4"/>
      <c r="D1902" s="4"/>
      <c r="E1902" s="4"/>
      <c r="F1902" s="152" t="s">
        <v>673</v>
      </c>
      <c r="G1902" s="4" t="s">
        <v>674</v>
      </c>
      <c r="H1902" s="4"/>
      <c r="I1902" s="196">
        <v>-171600</v>
      </c>
      <c r="J1902" s="196">
        <v>-120</v>
      </c>
      <c r="K1902" s="196">
        <v>1430</v>
      </c>
      <c r="L1902" s="454" t="s">
        <v>890</v>
      </c>
      <c r="M1902" s="4" t="s">
        <v>780</v>
      </c>
      <c r="N1902" s="133" t="s">
        <v>781</v>
      </c>
      <c r="O1902" s="4" t="s">
        <v>967</v>
      </c>
      <c r="P1902" s="4" t="s">
        <v>892</v>
      </c>
      <c r="Q1902" s="4" t="s">
        <v>968</v>
      </c>
      <c r="R1902" s="4" t="s">
        <v>971</v>
      </c>
      <c r="S1902" s="4" t="s">
        <v>970</v>
      </c>
      <c r="T1902" s="4" t="s">
        <v>786</v>
      </c>
      <c r="U1902" s="4"/>
      <c r="V1902" s="4"/>
      <c r="W1902" s="4"/>
    </row>
    <row r="1903" spans="1:23" customFormat="1">
      <c r="A1903" s="10"/>
      <c r="B1903" s="4"/>
      <c r="C1903" s="4"/>
      <c r="D1903" s="4"/>
      <c r="E1903" s="4"/>
      <c r="F1903" s="152" t="s">
        <v>673</v>
      </c>
      <c r="G1903" s="4" t="s">
        <v>674</v>
      </c>
      <c r="H1903" s="4"/>
      <c r="I1903" s="196">
        <v>-2717</v>
      </c>
      <c r="J1903" s="196">
        <v>-1.9</v>
      </c>
      <c r="K1903" s="196">
        <v>1430</v>
      </c>
      <c r="L1903" s="454" t="s">
        <v>890</v>
      </c>
      <c r="M1903" s="4" t="s">
        <v>780</v>
      </c>
      <c r="N1903" s="133" t="s">
        <v>781</v>
      </c>
      <c r="O1903" s="4" t="s">
        <v>967</v>
      </c>
      <c r="P1903" s="4" t="s">
        <v>892</v>
      </c>
      <c r="Q1903" s="4" t="s">
        <v>968</v>
      </c>
      <c r="R1903" s="4" t="s">
        <v>953</v>
      </c>
      <c r="S1903" s="4" t="s">
        <v>970</v>
      </c>
      <c r="T1903" s="4" t="s">
        <v>786</v>
      </c>
      <c r="U1903" s="4"/>
      <c r="V1903" s="4"/>
      <c r="W1903" s="4"/>
    </row>
    <row r="1904" spans="1:23" customFormat="1">
      <c r="A1904" s="10"/>
      <c r="B1904" s="4"/>
      <c r="C1904" s="4"/>
      <c r="D1904" s="4"/>
      <c r="E1904" s="4"/>
      <c r="F1904" s="152" t="s">
        <v>673</v>
      </c>
      <c r="G1904" s="4" t="s">
        <v>674</v>
      </c>
      <c r="H1904" s="4"/>
      <c r="I1904" s="196">
        <v>-1029600</v>
      </c>
      <c r="J1904" s="196">
        <v>-720</v>
      </c>
      <c r="K1904" s="196">
        <v>1430</v>
      </c>
      <c r="L1904" s="454" t="s">
        <v>890</v>
      </c>
      <c r="M1904" s="4" t="s">
        <v>780</v>
      </c>
      <c r="N1904" s="133" t="s">
        <v>781</v>
      </c>
      <c r="O1904" s="4" t="s">
        <v>967</v>
      </c>
      <c r="P1904" s="4" t="s">
        <v>892</v>
      </c>
      <c r="Q1904" s="4" t="s">
        <v>968</v>
      </c>
      <c r="R1904" s="4" t="s">
        <v>972</v>
      </c>
      <c r="S1904" s="4" t="s">
        <v>970</v>
      </c>
      <c r="T1904" s="4" t="s">
        <v>786</v>
      </c>
      <c r="U1904" s="4"/>
      <c r="V1904" s="4"/>
      <c r="W1904" s="4"/>
    </row>
    <row r="1905" spans="1:23" customFormat="1">
      <c r="A1905" s="10"/>
      <c r="B1905" s="4"/>
      <c r="C1905" s="4"/>
      <c r="D1905" s="4"/>
      <c r="E1905" s="4"/>
      <c r="F1905" s="152" t="s">
        <v>673</v>
      </c>
      <c r="G1905" s="4" t="s">
        <v>674</v>
      </c>
      <c r="H1905" s="4"/>
      <c r="I1905" s="196">
        <v>-28200</v>
      </c>
      <c r="J1905" s="196">
        <v>-20</v>
      </c>
      <c r="K1905" s="196">
        <v>1410</v>
      </c>
      <c r="L1905" s="454" t="s">
        <v>890</v>
      </c>
      <c r="M1905" s="4" t="s">
        <v>780</v>
      </c>
      <c r="N1905" s="133" t="s">
        <v>781</v>
      </c>
      <c r="O1905" s="4" t="s">
        <v>967</v>
      </c>
      <c r="P1905" s="4" t="s">
        <v>892</v>
      </c>
      <c r="Q1905" s="4" t="s">
        <v>968</v>
      </c>
      <c r="R1905" s="4" t="s">
        <v>851</v>
      </c>
      <c r="S1905" s="4" t="s">
        <v>970</v>
      </c>
      <c r="T1905" s="4" t="s">
        <v>786</v>
      </c>
      <c r="U1905" s="4"/>
      <c r="V1905" s="4"/>
      <c r="W1905" s="4"/>
    </row>
    <row r="1906" spans="1:23" customFormat="1">
      <c r="A1906" s="10"/>
      <c r="B1906" s="4"/>
      <c r="C1906" s="4"/>
      <c r="D1906" s="4"/>
      <c r="E1906" s="4"/>
      <c r="F1906" s="152" t="s">
        <v>673</v>
      </c>
      <c r="G1906" s="4" t="s">
        <v>674</v>
      </c>
      <c r="H1906" s="4"/>
      <c r="I1906" s="196">
        <v>-7343632.5</v>
      </c>
      <c r="J1906" s="196">
        <v>-5208.25</v>
      </c>
      <c r="K1906" s="196">
        <v>1410</v>
      </c>
      <c r="L1906" s="454" t="s">
        <v>890</v>
      </c>
      <c r="M1906" s="4" t="s">
        <v>780</v>
      </c>
      <c r="N1906" s="133" t="s">
        <v>781</v>
      </c>
      <c r="O1906" s="4" t="s">
        <v>967</v>
      </c>
      <c r="P1906" s="4" t="s">
        <v>892</v>
      </c>
      <c r="Q1906" s="4" t="s">
        <v>968</v>
      </c>
      <c r="R1906" s="4" t="s">
        <v>973</v>
      </c>
      <c r="S1906" s="4" t="s">
        <v>970</v>
      </c>
      <c r="T1906" s="4" t="s">
        <v>786</v>
      </c>
      <c r="U1906" s="4"/>
      <c r="V1906" s="4"/>
      <c r="W1906" s="4"/>
    </row>
    <row r="1907" spans="1:23" customFormat="1">
      <c r="A1907" s="10"/>
      <c r="B1907" s="4"/>
      <c r="C1907" s="4"/>
      <c r="D1907" s="4"/>
      <c r="E1907" s="4"/>
      <c r="F1907" s="152" t="s">
        <v>673</v>
      </c>
      <c r="G1907" s="4" t="s">
        <v>674</v>
      </c>
      <c r="H1907" s="4"/>
      <c r="I1907" s="196">
        <v>-35250</v>
      </c>
      <c r="J1907" s="196">
        <v>-25</v>
      </c>
      <c r="K1907" s="196">
        <v>1410</v>
      </c>
      <c r="L1907" s="454" t="s">
        <v>890</v>
      </c>
      <c r="M1907" s="4" t="s">
        <v>780</v>
      </c>
      <c r="N1907" s="133" t="s">
        <v>781</v>
      </c>
      <c r="O1907" s="4" t="s">
        <v>967</v>
      </c>
      <c r="P1907" s="4" t="s">
        <v>892</v>
      </c>
      <c r="Q1907" s="4" t="s">
        <v>968</v>
      </c>
      <c r="R1907" s="4" t="s">
        <v>974</v>
      </c>
      <c r="S1907" s="4" t="s">
        <v>970</v>
      </c>
      <c r="T1907" s="4" t="s">
        <v>786</v>
      </c>
      <c r="U1907" s="4"/>
      <c r="V1907" s="4"/>
      <c r="W1907" s="4"/>
    </row>
    <row r="1908" spans="1:23" customFormat="1">
      <c r="A1908" s="10"/>
      <c r="B1908" s="4"/>
      <c r="C1908" s="4"/>
      <c r="D1908" s="4"/>
      <c r="E1908" s="4"/>
      <c r="F1908" s="152" t="s">
        <v>673</v>
      </c>
      <c r="G1908" s="4" t="s">
        <v>674</v>
      </c>
      <c r="H1908" s="4"/>
      <c r="I1908" s="196">
        <v>-2717</v>
      </c>
      <c r="J1908" s="196">
        <v>-1.9</v>
      </c>
      <c r="K1908" s="196">
        <v>1430</v>
      </c>
      <c r="L1908" s="454" t="s">
        <v>890</v>
      </c>
      <c r="M1908" s="4" t="s">
        <v>780</v>
      </c>
      <c r="N1908" s="133" t="s">
        <v>781</v>
      </c>
      <c r="O1908" s="4" t="s">
        <v>967</v>
      </c>
      <c r="P1908" s="4" t="s">
        <v>892</v>
      </c>
      <c r="Q1908" s="4" t="s">
        <v>968</v>
      </c>
      <c r="R1908" s="4" t="s">
        <v>953</v>
      </c>
      <c r="S1908" s="4" t="s">
        <v>970</v>
      </c>
      <c r="T1908" s="4" t="s">
        <v>786</v>
      </c>
      <c r="U1908" s="4"/>
      <c r="V1908" s="4"/>
      <c r="W1908" s="4"/>
    </row>
    <row r="1909" spans="1:23" customFormat="1">
      <c r="A1909" s="10"/>
      <c r="B1909" s="4"/>
      <c r="C1909" s="4"/>
      <c r="D1909" s="4"/>
      <c r="E1909" s="4"/>
      <c r="F1909" s="152" t="s">
        <v>673</v>
      </c>
      <c r="G1909" s="4" t="s">
        <v>674</v>
      </c>
      <c r="H1909" s="4"/>
      <c r="I1909" s="196">
        <v>-114400</v>
      </c>
      <c r="J1909" s="196">
        <v>-80</v>
      </c>
      <c r="K1909" s="196">
        <v>1430</v>
      </c>
      <c r="L1909" s="454" t="s">
        <v>890</v>
      </c>
      <c r="M1909" s="4" t="s">
        <v>780</v>
      </c>
      <c r="N1909" s="133" t="s">
        <v>781</v>
      </c>
      <c r="O1909" s="4" t="s">
        <v>967</v>
      </c>
      <c r="P1909" s="4" t="s">
        <v>892</v>
      </c>
      <c r="Q1909" s="4" t="s">
        <v>968</v>
      </c>
      <c r="R1909" s="4" t="s">
        <v>976</v>
      </c>
      <c r="S1909" s="4" t="s">
        <v>970</v>
      </c>
      <c r="T1909" s="4" t="s">
        <v>786</v>
      </c>
      <c r="U1909" s="4"/>
      <c r="V1909" s="4"/>
      <c r="W1909" s="4"/>
    </row>
    <row r="1910" spans="1:23" customFormat="1">
      <c r="A1910" s="10"/>
      <c r="B1910" s="4"/>
      <c r="C1910" s="4"/>
      <c r="D1910" s="4"/>
      <c r="E1910" s="4"/>
      <c r="F1910" s="152" t="s">
        <v>673</v>
      </c>
      <c r="G1910" s="4" t="s">
        <v>674</v>
      </c>
      <c r="H1910" s="4"/>
      <c r="I1910" s="196">
        <v>602</v>
      </c>
      <c r="J1910" s="196">
        <v>0.43</v>
      </c>
      <c r="K1910" s="196">
        <v>1400</v>
      </c>
      <c r="L1910" s="454" t="s">
        <v>989</v>
      </c>
      <c r="M1910" s="4" t="s">
        <v>780</v>
      </c>
      <c r="N1910" s="133" t="s">
        <v>781</v>
      </c>
      <c r="O1910" s="4" t="s">
        <v>990</v>
      </c>
      <c r="P1910" s="4" t="s">
        <v>892</v>
      </c>
      <c r="Q1910" s="4" t="s">
        <v>991</v>
      </c>
      <c r="R1910" s="4" t="s">
        <v>992</v>
      </c>
      <c r="S1910" s="4" t="s">
        <v>993</v>
      </c>
      <c r="T1910" s="4" t="s">
        <v>786</v>
      </c>
      <c r="U1910" s="4"/>
      <c r="V1910" s="4"/>
      <c r="W1910" s="4"/>
    </row>
    <row r="1911" spans="1:23" customFormat="1">
      <c r="A1911" s="10"/>
      <c r="B1911" s="4"/>
      <c r="C1911" s="4"/>
      <c r="D1911" s="4"/>
      <c r="E1911" s="4"/>
      <c r="F1911" s="152" t="s">
        <v>673</v>
      </c>
      <c r="G1911" s="4" t="s">
        <v>674</v>
      </c>
      <c r="H1911" s="4"/>
      <c r="I1911" s="196">
        <v>602</v>
      </c>
      <c r="J1911" s="196">
        <v>0.43</v>
      </c>
      <c r="K1911" s="196">
        <v>1400</v>
      </c>
      <c r="L1911" s="454" t="s">
        <v>994</v>
      </c>
      <c r="M1911" s="4" t="s">
        <v>780</v>
      </c>
      <c r="N1911" s="133" t="s">
        <v>781</v>
      </c>
      <c r="O1911" s="4" t="s">
        <v>995</v>
      </c>
      <c r="P1911" s="4" t="s">
        <v>892</v>
      </c>
      <c r="Q1911" s="4" t="s">
        <v>996</v>
      </c>
      <c r="R1911" s="4" t="s">
        <v>992</v>
      </c>
      <c r="S1911" s="4" t="s">
        <v>997</v>
      </c>
      <c r="T1911" s="4" t="s">
        <v>786</v>
      </c>
      <c r="U1911" s="4"/>
      <c r="V1911" s="4"/>
      <c r="W1911" s="4"/>
    </row>
    <row r="1912" spans="1:23" customFormat="1">
      <c r="A1912" s="10"/>
      <c r="B1912" s="4"/>
      <c r="C1912" s="4"/>
      <c r="D1912" s="4"/>
      <c r="E1912" s="4"/>
      <c r="F1912" s="152" t="s">
        <v>673</v>
      </c>
      <c r="G1912" s="4" t="s">
        <v>674</v>
      </c>
      <c r="H1912" s="4"/>
      <c r="I1912" s="196">
        <v>-602</v>
      </c>
      <c r="J1912" s="196">
        <v>-0.43</v>
      </c>
      <c r="K1912" s="196">
        <v>1400</v>
      </c>
      <c r="L1912" s="454" t="s">
        <v>994</v>
      </c>
      <c r="M1912" s="4" t="s">
        <v>780</v>
      </c>
      <c r="N1912" s="133" t="s">
        <v>781</v>
      </c>
      <c r="O1912" s="4" t="s">
        <v>998</v>
      </c>
      <c r="P1912" s="4" t="s">
        <v>892</v>
      </c>
      <c r="Q1912" s="4" t="s">
        <v>999</v>
      </c>
      <c r="R1912" s="4" t="s">
        <v>992</v>
      </c>
      <c r="S1912" s="4" t="s">
        <v>1000</v>
      </c>
      <c r="T1912" s="4" t="s">
        <v>786</v>
      </c>
      <c r="U1912" s="4"/>
      <c r="V1912" s="4"/>
      <c r="W1912" s="4"/>
    </row>
    <row r="1913" spans="1:23" customFormat="1">
      <c r="A1913" s="10"/>
      <c r="B1913" s="4"/>
      <c r="C1913" s="4"/>
      <c r="D1913" s="4"/>
      <c r="E1913" s="4"/>
      <c r="F1913" s="152" t="s">
        <v>673</v>
      </c>
      <c r="G1913" s="4" t="s">
        <v>674</v>
      </c>
      <c r="H1913" s="4"/>
      <c r="I1913" s="196">
        <v>-28000</v>
      </c>
      <c r="J1913" s="196">
        <v>-20</v>
      </c>
      <c r="K1913" s="196">
        <v>1400</v>
      </c>
      <c r="L1913" s="454" t="s">
        <v>1017</v>
      </c>
      <c r="M1913" s="4" t="s">
        <v>780</v>
      </c>
      <c r="N1913" s="133" t="s">
        <v>781</v>
      </c>
      <c r="O1913" s="4" t="s">
        <v>1018</v>
      </c>
      <c r="P1913" s="4" t="s">
        <v>892</v>
      </c>
      <c r="Q1913" s="4" t="s">
        <v>1019</v>
      </c>
      <c r="R1913" s="4" t="s">
        <v>1020</v>
      </c>
      <c r="S1913" s="4" t="s">
        <v>1021</v>
      </c>
      <c r="T1913" s="4" t="s">
        <v>786</v>
      </c>
      <c r="U1913" s="4"/>
      <c r="V1913" s="4"/>
      <c r="W1913" s="4"/>
    </row>
    <row r="1914" spans="1:23" customFormat="1">
      <c r="A1914" s="10"/>
      <c r="B1914" s="4"/>
      <c r="C1914" s="4"/>
      <c r="D1914" s="4"/>
      <c r="E1914" s="4"/>
      <c r="F1914" s="152" t="s">
        <v>673</v>
      </c>
      <c r="G1914" s="4" t="s">
        <v>674</v>
      </c>
      <c r="H1914" s="4"/>
      <c r="I1914" s="196">
        <v>-44800</v>
      </c>
      <c r="J1914" s="196">
        <v>-32</v>
      </c>
      <c r="K1914" s="196">
        <v>1400</v>
      </c>
      <c r="L1914" s="454" t="s">
        <v>1017</v>
      </c>
      <c r="M1914" s="4" t="s">
        <v>780</v>
      </c>
      <c r="N1914" s="133" t="s">
        <v>781</v>
      </c>
      <c r="O1914" s="4" t="s">
        <v>1018</v>
      </c>
      <c r="P1914" s="4" t="s">
        <v>892</v>
      </c>
      <c r="Q1914" s="4" t="s">
        <v>1019</v>
      </c>
      <c r="R1914" s="4" t="s">
        <v>851</v>
      </c>
      <c r="S1914" s="4" t="s">
        <v>1021</v>
      </c>
      <c r="T1914" s="4" t="s">
        <v>786</v>
      </c>
      <c r="U1914" s="4"/>
      <c r="V1914" s="4"/>
      <c r="W1914" s="4"/>
    </row>
    <row r="1915" spans="1:23" customFormat="1">
      <c r="A1915" s="10"/>
      <c r="B1915" s="4"/>
      <c r="C1915" s="4"/>
      <c r="D1915" s="4"/>
      <c r="E1915" s="4"/>
      <c r="F1915" s="152" t="s">
        <v>673</v>
      </c>
      <c r="G1915" s="4" t="s">
        <v>674</v>
      </c>
      <c r="H1915" s="4"/>
      <c r="I1915" s="196">
        <v>-568232</v>
      </c>
      <c r="J1915" s="196">
        <v>-389.2</v>
      </c>
      <c r="K1915" s="196">
        <v>1460</v>
      </c>
      <c r="L1915" s="454" t="s">
        <v>1041</v>
      </c>
      <c r="M1915" s="4" t="s">
        <v>780</v>
      </c>
      <c r="N1915" s="133" t="s">
        <v>781</v>
      </c>
      <c r="O1915" s="4" t="s">
        <v>1042</v>
      </c>
      <c r="P1915" s="4" t="s">
        <v>892</v>
      </c>
      <c r="Q1915" s="4" t="s">
        <v>1043</v>
      </c>
      <c r="R1915" s="4"/>
      <c r="S1915" s="4" t="s">
        <v>1044</v>
      </c>
      <c r="T1915" s="4" t="s">
        <v>786</v>
      </c>
      <c r="U1915" s="4"/>
      <c r="V1915" s="4"/>
      <c r="W1915" s="4"/>
    </row>
    <row r="1916" spans="1:23" customFormat="1">
      <c r="A1916" s="10"/>
      <c r="B1916" s="4"/>
      <c r="C1916" s="4"/>
      <c r="D1916" s="4"/>
      <c r="E1916" s="4"/>
      <c r="F1916" s="152" t="s">
        <v>673</v>
      </c>
      <c r="G1916" s="4" t="s">
        <v>674</v>
      </c>
      <c r="H1916" s="4"/>
      <c r="I1916" s="196">
        <v>7603680</v>
      </c>
      <c r="J1916" s="196">
        <v>5208</v>
      </c>
      <c r="K1916" s="196">
        <v>1460</v>
      </c>
      <c r="L1916" s="454" t="s">
        <v>1041</v>
      </c>
      <c r="M1916" s="4" t="s">
        <v>780</v>
      </c>
      <c r="N1916" s="133" t="s">
        <v>781</v>
      </c>
      <c r="O1916" s="4" t="s">
        <v>1057</v>
      </c>
      <c r="P1916" s="4" t="s">
        <v>892</v>
      </c>
      <c r="Q1916" s="4" t="s">
        <v>1058</v>
      </c>
      <c r="R1916" s="4" t="s">
        <v>1059</v>
      </c>
      <c r="S1916" s="4" t="s">
        <v>1060</v>
      </c>
      <c r="T1916" s="4" t="s">
        <v>786</v>
      </c>
      <c r="U1916" s="4"/>
      <c r="V1916" s="4"/>
      <c r="W1916" s="4"/>
    </row>
    <row r="1917" spans="1:23" customFormat="1">
      <c r="A1917" s="10"/>
      <c r="B1917" s="4"/>
      <c r="C1917" s="4"/>
      <c r="D1917" s="4"/>
      <c r="E1917" s="4"/>
      <c r="F1917" s="152" t="s">
        <v>673</v>
      </c>
      <c r="G1917" s="4" t="s">
        <v>674</v>
      </c>
      <c r="H1917" s="4"/>
      <c r="I1917" s="196">
        <v>7604045</v>
      </c>
      <c r="J1917" s="196">
        <v>5208.25</v>
      </c>
      <c r="K1917" s="196">
        <v>1460</v>
      </c>
      <c r="L1917" s="454" t="s">
        <v>1041</v>
      </c>
      <c r="M1917" s="4" t="s">
        <v>780</v>
      </c>
      <c r="N1917" s="133" t="s">
        <v>781</v>
      </c>
      <c r="O1917" s="4" t="s">
        <v>1057</v>
      </c>
      <c r="P1917" s="4" t="s">
        <v>892</v>
      </c>
      <c r="Q1917" s="4" t="s">
        <v>1058</v>
      </c>
      <c r="R1917" s="4" t="s">
        <v>1061</v>
      </c>
      <c r="S1917" s="4" t="s">
        <v>1060</v>
      </c>
      <c r="T1917" s="4" t="s">
        <v>786</v>
      </c>
      <c r="U1917" s="4"/>
      <c r="V1917" s="4"/>
      <c r="W1917" s="4"/>
    </row>
    <row r="1918" spans="1:23" customFormat="1">
      <c r="A1918" s="10"/>
      <c r="B1918" s="4"/>
      <c r="C1918" s="4"/>
      <c r="D1918" s="4"/>
      <c r="E1918" s="4"/>
      <c r="F1918" s="152" t="s">
        <v>673</v>
      </c>
      <c r="G1918" s="4" t="s">
        <v>674</v>
      </c>
      <c r="H1918" s="4"/>
      <c r="I1918" s="196">
        <v>-741782.2</v>
      </c>
      <c r="J1918" s="196">
        <v>-508.07</v>
      </c>
      <c r="K1918" s="196">
        <v>1460</v>
      </c>
      <c r="L1918" s="454" t="s">
        <v>1049</v>
      </c>
      <c r="M1918" s="4" t="s">
        <v>780</v>
      </c>
      <c r="N1918" s="133" t="s">
        <v>781</v>
      </c>
      <c r="O1918" s="4" t="s">
        <v>1066</v>
      </c>
      <c r="P1918" s="4" t="s">
        <v>892</v>
      </c>
      <c r="Q1918" s="4" t="s">
        <v>1067</v>
      </c>
      <c r="R1918" s="4" t="s">
        <v>1068</v>
      </c>
      <c r="S1918" s="4" t="s">
        <v>1069</v>
      </c>
      <c r="T1918" s="4" t="s">
        <v>786</v>
      </c>
      <c r="U1918" s="4"/>
      <c r="V1918" s="4"/>
      <c r="W1918" s="4"/>
    </row>
    <row r="1919" spans="1:23" customFormat="1">
      <c r="A1919" s="10"/>
      <c r="B1919" s="4"/>
      <c r="C1919" s="4"/>
      <c r="D1919" s="4"/>
      <c r="E1919" s="4"/>
      <c r="F1919" s="152" t="s">
        <v>673</v>
      </c>
      <c r="G1919" s="4" t="s">
        <v>674</v>
      </c>
      <c r="H1919" s="4"/>
      <c r="I1919" s="196">
        <v>-2774</v>
      </c>
      <c r="J1919" s="196">
        <v>-1.9</v>
      </c>
      <c r="K1919" s="196">
        <v>1460</v>
      </c>
      <c r="L1919" s="454" t="s">
        <v>1049</v>
      </c>
      <c r="M1919" s="4" t="s">
        <v>780</v>
      </c>
      <c r="N1919" s="133" t="s">
        <v>781</v>
      </c>
      <c r="O1919" s="4" t="s">
        <v>1066</v>
      </c>
      <c r="P1919" s="4" t="s">
        <v>892</v>
      </c>
      <c r="Q1919" s="4" t="s">
        <v>1067</v>
      </c>
      <c r="R1919" s="4" t="s">
        <v>953</v>
      </c>
      <c r="S1919" s="4" t="s">
        <v>1069</v>
      </c>
      <c r="T1919" s="4" t="s">
        <v>786</v>
      </c>
      <c r="U1919" s="4"/>
      <c r="V1919" s="4"/>
      <c r="W1919" s="4"/>
    </row>
    <row r="1920" spans="1:23" customFormat="1">
      <c r="A1920" s="10"/>
      <c r="B1920" s="4"/>
      <c r="C1920" s="4"/>
      <c r="D1920" s="4"/>
      <c r="E1920" s="4"/>
      <c r="F1920" s="152" t="s">
        <v>673</v>
      </c>
      <c r="G1920" s="4" t="s">
        <v>674</v>
      </c>
      <c r="H1920" s="4"/>
      <c r="I1920" s="196">
        <v>-29200</v>
      </c>
      <c r="J1920" s="196">
        <v>-20</v>
      </c>
      <c r="K1920" s="196">
        <v>1460</v>
      </c>
      <c r="L1920" s="454" t="s">
        <v>1049</v>
      </c>
      <c r="M1920" s="4" t="s">
        <v>780</v>
      </c>
      <c r="N1920" s="133" t="s">
        <v>781</v>
      </c>
      <c r="O1920" s="4" t="s">
        <v>1066</v>
      </c>
      <c r="P1920" s="4" t="s">
        <v>892</v>
      </c>
      <c r="Q1920" s="4" t="s">
        <v>1067</v>
      </c>
      <c r="R1920" s="4" t="s">
        <v>851</v>
      </c>
      <c r="S1920" s="4" t="s">
        <v>1069</v>
      </c>
      <c r="T1920" s="4" t="s">
        <v>786</v>
      </c>
      <c r="U1920" s="4"/>
      <c r="V1920" s="4"/>
      <c r="W1920" s="4"/>
    </row>
    <row r="1921" spans="1:23" customFormat="1">
      <c r="A1921" s="10"/>
      <c r="B1921" s="4"/>
      <c r="C1921" s="4"/>
      <c r="D1921" s="4"/>
      <c r="E1921" s="4"/>
      <c r="F1921" s="152" t="s">
        <v>673</v>
      </c>
      <c r="G1921" s="4" t="s">
        <v>674</v>
      </c>
      <c r="H1921" s="4"/>
      <c r="I1921" s="196">
        <v>-742672.8</v>
      </c>
      <c r="J1921" s="196">
        <v>-508.68</v>
      </c>
      <c r="K1921" s="196">
        <v>1460</v>
      </c>
      <c r="L1921" s="454" t="s">
        <v>1049</v>
      </c>
      <c r="M1921" s="4" t="s">
        <v>780</v>
      </c>
      <c r="N1921" s="133" t="s">
        <v>781</v>
      </c>
      <c r="O1921" s="4" t="s">
        <v>1066</v>
      </c>
      <c r="P1921" s="4" t="s">
        <v>892</v>
      </c>
      <c r="Q1921" s="4" t="s">
        <v>1067</v>
      </c>
      <c r="R1921" s="4" t="s">
        <v>1071</v>
      </c>
      <c r="S1921" s="4" t="s">
        <v>1069</v>
      </c>
      <c r="T1921" s="4" t="s">
        <v>786</v>
      </c>
      <c r="U1921" s="4"/>
      <c r="V1921" s="4"/>
      <c r="W1921" s="4"/>
    </row>
    <row r="1922" spans="1:23" customFormat="1">
      <c r="A1922" s="10"/>
      <c r="B1922" s="4"/>
      <c r="C1922" s="4"/>
      <c r="D1922" s="4"/>
      <c r="E1922" s="4"/>
      <c r="F1922" s="152" t="s">
        <v>673</v>
      </c>
      <c r="G1922" s="4" t="s">
        <v>674</v>
      </c>
      <c r="H1922" s="4"/>
      <c r="I1922" s="196">
        <v>-1971000</v>
      </c>
      <c r="J1922" s="196">
        <v>-1350</v>
      </c>
      <c r="K1922" s="196">
        <v>1460</v>
      </c>
      <c r="L1922" s="454" t="s">
        <v>1049</v>
      </c>
      <c r="M1922" s="4" t="s">
        <v>780</v>
      </c>
      <c r="N1922" s="133" t="s">
        <v>781</v>
      </c>
      <c r="O1922" s="4" t="s">
        <v>1066</v>
      </c>
      <c r="P1922" s="4" t="s">
        <v>892</v>
      </c>
      <c r="Q1922" s="4" t="s">
        <v>1067</v>
      </c>
      <c r="R1922" s="4" t="s">
        <v>1072</v>
      </c>
      <c r="S1922" s="4" t="s">
        <v>1069</v>
      </c>
      <c r="T1922" s="4" t="s">
        <v>786</v>
      </c>
      <c r="U1922" s="4"/>
      <c r="V1922" s="4"/>
      <c r="W1922" s="4"/>
    </row>
    <row r="1923" spans="1:23" customFormat="1">
      <c r="A1923" s="10"/>
      <c r="B1923" s="4"/>
      <c r="C1923" s="4"/>
      <c r="D1923" s="4"/>
      <c r="E1923" s="4"/>
      <c r="F1923" s="152" t="s">
        <v>673</v>
      </c>
      <c r="G1923" s="4" t="s">
        <v>674</v>
      </c>
      <c r="H1923" s="4"/>
      <c r="I1923" s="196">
        <v>-7300000</v>
      </c>
      <c r="J1923" s="196">
        <v>-5000</v>
      </c>
      <c r="K1923" s="196">
        <v>1460</v>
      </c>
      <c r="L1923" s="454" t="s">
        <v>1049</v>
      </c>
      <c r="M1923" s="4" t="s">
        <v>780</v>
      </c>
      <c r="N1923" s="133" t="s">
        <v>781</v>
      </c>
      <c r="O1923" s="4" t="s">
        <v>1066</v>
      </c>
      <c r="P1923" s="4" t="s">
        <v>892</v>
      </c>
      <c r="Q1923" s="4" t="s">
        <v>1067</v>
      </c>
      <c r="R1923" s="4" t="s">
        <v>1073</v>
      </c>
      <c r="S1923" s="4" t="s">
        <v>1069</v>
      </c>
      <c r="T1923" s="4" t="s">
        <v>786</v>
      </c>
      <c r="U1923" s="4"/>
      <c r="V1923" s="4"/>
      <c r="W1923" s="4"/>
    </row>
    <row r="1924" spans="1:23" customFormat="1">
      <c r="A1924" s="10"/>
      <c r="B1924" s="4"/>
      <c r="C1924" s="4"/>
      <c r="D1924" s="4"/>
      <c r="E1924" s="4"/>
      <c r="F1924" s="152" t="s">
        <v>673</v>
      </c>
      <c r="G1924" s="4" t="s">
        <v>674</v>
      </c>
      <c r="H1924" s="4"/>
      <c r="I1924" s="196">
        <v>-375307.6</v>
      </c>
      <c r="J1924" s="196">
        <v>-257.06</v>
      </c>
      <c r="K1924" s="196">
        <v>1460</v>
      </c>
      <c r="L1924" s="454" t="s">
        <v>1049</v>
      </c>
      <c r="M1924" s="4" t="s">
        <v>780</v>
      </c>
      <c r="N1924" s="133" t="s">
        <v>781</v>
      </c>
      <c r="O1924" s="4" t="s">
        <v>1066</v>
      </c>
      <c r="P1924" s="4" t="s">
        <v>892</v>
      </c>
      <c r="Q1924" s="4" t="s">
        <v>1067</v>
      </c>
      <c r="R1924" s="4" t="s">
        <v>1070</v>
      </c>
      <c r="S1924" s="4" t="s">
        <v>1069</v>
      </c>
      <c r="T1924" s="4" t="s">
        <v>786</v>
      </c>
      <c r="U1924" s="4"/>
      <c r="V1924" s="4"/>
      <c r="W1924" s="4"/>
    </row>
    <row r="1925" spans="1:23" customFormat="1">
      <c r="A1925" s="10"/>
      <c r="B1925" s="4"/>
      <c r="C1925" s="4"/>
      <c r="D1925" s="4"/>
      <c r="E1925" s="4"/>
      <c r="F1925" s="152" t="s">
        <v>673</v>
      </c>
      <c r="G1925" s="4" t="s">
        <v>674</v>
      </c>
      <c r="H1925" s="4"/>
      <c r="I1925" s="196">
        <v>-2774</v>
      </c>
      <c r="J1925" s="196">
        <v>-1.9</v>
      </c>
      <c r="K1925" s="196">
        <v>1460</v>
      </c>
      <c r="L1925" s="454" t="s">
        <v>1049</v>
      </c>
      <c r="M1925" s="4" t="s">
        <v>780</v>
      </c>
      <c r="N1925" s="133" t="s">
        <v>781</v>
      </c>
      <c r="O1925" s="4" t="s">
        <v>1066</v>
      </c>
      <c r="P1925" s="4" t="s">
        <v>892</v>
      </c>
      <c r="Q1925" s="4" t="s">
        <v>1067</v>
      </c>
      <c r="R1925" s="4" t="s">
        <v>953</v>
      </c>
      <c r="S1925" s="4" t="s">
        <v>1069</v>
      </c>
      <c r="T1925" s="4" t="s">
        <v>786</v>
      </c>
      <c r="U1925" s="4"/>
      <c r="V1925" s="4"/>
      <c r="W1925" s="4"/>
    </row>
    <row r="1926" spans="1:23" customFormat="1">
      <c r="A1926" s="10"/>
      <c r="B1926" s="4"/>
      <c r="C1926" s="4"/>
      <c r="D1926" s="4"/>
      <c r="E1926" s="4"/>
      <c r="F1926" s="152" t="s">
        <v>673</v>
      </c>
      <c r="G1926" s="4" t="s">
        <v>674</v>
      </c>
      <c r="H1926" s="4"/>
      <c r="I1926" s="196">
        <v>-1864420</v>
      </c>
      <c r="J1926" s="196">
        <v>-1277</v>
      </c>
      <c r="K1926" s="196">
        <v>1460</v>
      </c>
      <c r="L1926" s="454" t="s">
        <v>1049</v>
      </c>
      <c r="M1926" s="4" t="s">
        <v>780</v>
      </c>
      <c r="N1926" s="133" t="s">
        <v>781</v>
      </c>
      <c r="O1926" s="4" t="s">
        <v>1066</v>
      </c>
      <c r="P1926" s="4" t="s">
        <v>892</v>
      </c>
      <c r="Q1926" s="4" t="s">
        <v>1067</v>
      </c>
      <c r="R1926" s="4" t="s">
        <v>1074</v>
      </c>
      <c r="S1926" s="4" t="s">
        <v>1069</v>
      </c>
      <c r="T1926" s="4" t="s">
        <v>786</v>
      </c>
      <c r="U1926" s="4"/>
      <c r="V1926" s="4"/>
      <c r="W1926" s="4"/>
    </row>
    <row r="1927" spans="1:23" customFormat="1">
      <c r="A1927" s="10"/>
      <c r="B1927" s="4"/>
      <c r="C1927" s="4"/>
      <c r="D1927" s="4"/>
      <c r="E1927" s="4"/>
      <c r="F1927" s="152" t="s">
        <v>673</v>
      </c>
      <c r="G1927" s="4" t="s">
        <v>674</v>
      </c>
      <c r="H1927" s="4"/>
      <c r="I1927" s="196">
        <v>14164500</v>
      </c>
      <c r="J1927" s="196">
        <v>9975</v>
      </c>
      <c r="K1927" s="196">
        <v>1420</v>
      </c>
      <c r="L1927" s="454" t="s">
        <v>1081</v>
      </c>
      <c r="M1927" s="4" t="s">
        <v>780</v>
      </c>
      <c r="N1927" s="133" t="s">
        <v>781</v>
      </c>
      <c r="O1927" s="4" t="s">
        <v>1085</v>
      </c>
      <c r="P1927" s="4" t="s">
        <v>892</v>
      </c>
      <c r="Q1927" s="4" t="s">
        <v>1086</v>
      </c>
      <c r="R1927" s="4" t="s">
        <v>806</v>
      </c>
      <c r="S1927" s="4" t="s">
        <v>1087</v>
      </c>
      <c r="T1927" s="4" t="s">
        <v>786</v>
      </c>
      <c r="U1927" s="4"/>
      <c r="V1927" s="4"/>
      <c r="W1927" s="4"/>
    </row>
    <row r="1928" spans="1:23" customFormat="1">
      <c r="A1928" s="10"/>
      <c r="B1928" s="4"/>
      <c r="C1928" s="4"/>
      <c r="D1928" s="4"/>
      <c r="E1928" s="4"/>
      <c r="F1928" s="152" t="s">
        <v>673</v>
      </c>
      <c r="G1928" s="4" t="s">
        <v>674</v>
      </c>
      <c r="H1928" s="4"/>
      <c r="I1928" s="196">
        <v>2176860</v>
      </c>
      <c r="J1928" s="196">
        <v>1533</v>
      </c>
      <c r="K1928" s="196">
        <v>1420</v>
      </c>
      <c r="L1928" s="454" t="s">
        <v>1093</v>
      </c>
      <c r="M1928" s="4" t="s">
        <v>780</v>
      </c>
      <c r="N1928" s="133" t="s">
        <v>781</v>
      </c>
      <c r="O1928" s="4" t="s">
        <v>1094</v>
      </c>
      <c r="P1928" s="4" t="s">
        <v>892</v>
      </c>
      <c r="Q1928" s="4" t="s">
        <v>1095</v>
      </c>
      <c r="R1928" s="4" t="s">
        <v>1096</v>
      </c>
      <c r="S1928" s="4" t="s">
        <v>1097</v>
      </c>
      <c r="T1928" s="4" t="s">
        <v>786</v>
      </c>
      <c r="U1928" s="4"/>
      <c r="V1928" s="4"/>
      <c r="W1928" s="4"/>
    </row>
    <row r="1929" spans="1:23" customFormat="1">
      <c r="A1929" s="10"/>
      <c r="B1929" s="4"/>
      <c r="C1929" s="4"/>
      <c r="D1929" s="4"/>
      <c r="E1929" s="4"/>
      <c r="F1929" s="152" t="s">
        <v>673</v>
      </c>
      <c r="G1929" s="4" t="s">
        <v>674</v>
      </c>
      <c r="H1929" s="4"/>
      <c r="I1929" s="196">
        <v>28364500</v>
      </c>
      <c r="J1929" s="196">
        <v>19975</v>
      </c>
      <c r="K1929" s="196">
        <v>1420</v>
      </c>
      <c r="L1929" s="454" t="s">
        <v>1098</v>
      </c>
      <c r="M1929" s="4" t="s">
        <v>780</v>
      </c>
      <c r="N1929" s="133" t="s">
        <v>781</v>
      </c>
      <c r="O1929" s="4" t="s">
        <v>1099</v>
      </c>
      <c r="P1929" s="4" t="s">
        <v>892</v>
      </c>
      <c r="Q1929" s="4" t="s">
        <v>1100</v>
      </c>
      <c r="R1929" s="4" t="s">
        <v>806</v>
      </c>
      <c r="S1929" s="4" t="s">
        <v>1101</v>
      </c>
      <c r="T1929" s="4" t="s">
        <v>786</v>
      </c>
      <c r="U1929" s="4"/>
      <c r="V1929" s="4"/>
      <c r="W1929" s="4"/>
    </row>
    <row r="1930" spans="1:23" customFormat="1">
      <c r="A1930" s="10"/>
      <c r="B1930" s="4"/>
      <c r="C1930" s="4"/>
      <c r="D1930" s="4"/>
      <c r="E1930" s="4"/>
      <c r="F1930" s="152" t="s">
        <v>673</v>
      </c>
      <c r="G1930" s="4" t="s">
        <v>674</v>
      </c>
      <c r="H1930" s="4"/>
      <c r="I1930" s="196">
        <v>-7100000</v>
      </c>
      <c r="J1930" s="196">
        <v>-5000</v>
      </c>
      <c r="K1930" s="196">
        <v>1420</v>
      </c>
      <c r="L1930" s="454" t="s">
        <v>1081</v>
      </c>
      <c r="M1930" s="4" t="s">
        <v>780</v>
      </c>
      <c r="N1930" s="133" t="s">
        <v>781</v>
      </c>
      <c r="O1930" s="4" t="s">
        <v>1141</v>
      </c>
      <c r="P1930" s="4" t="s">
        <v>892</v>
      </c>
      <c r="Q1930" s="4" t="s">
        <v>1142</v>
      </c>
      <c r="R1930" s="4" t="s">
        <v>1143</v>
      </c>
      <c r="S1930" s="4" t="s">
        <v>1144</v>
      </c>
      <c r="T1930" s="4" t="s">
        <v>786</v>
      </c>
      <c r="U1930" s="4"/>
      <c r="V1930" s="4"/>
      <c r="W1930" s="4"/>
    </row>
    <row r="1931" spans="1:23" customFormat="1">
      <c r="A1931" s="10"/>
      <c r="B1931" s="4"/>
      <c r="C1931" s="4"/>
      <c r="D1931" s="4"/>
      <c r="E1931" s="4"/>
      <c r="F1931" s="152" t="s">
        <v>673</v>
      </c>
      <c r="G1931" s="4" t="s">
        <v>674</v>
      </c>
      <c r="H1931" s="4"/>
      <c r="I1931" s="196">
        <v>-867662.6</v>
      </c>
      <c r="J1931" s="196">
        <v>-611.03</v>
      </c>
      <c r="K1931" s="196">
        <v>1420</v>
      </c>
      <c r="L1931" s="454" t="s">
        <v>1081</v>
      </c>
      <c r="M1931" s="4" t="s">
        <v>780</v>
      </c>
      <c r="N1931" s="133" t="s">
        <v>781</v>
      </c>
      <c r="O1931" s="4" t="s">
        <v>1141</v>
      </c>
      <c r="P1931" s="4" t="s">
        <v>892</v>
      </c>
      <c r="Q1931" s="4" t="s">
        <v>1142</v>
      </c>
      <c r="R1931" s="4" t="s">
        <v>1145</v>
      </c>
      <c r="S1931" s="4" t="s">
        <v>1144</v>
      </c>
      <c r="T1931" s="4" t="s">
        <v>786</v>
      </c>
      <c r="U1931" s="4"/>
      <c r="V1931" s="4"/>
      <c r="W1931" s="4"/>
    </row>
    <row r="1932" spans="1:23" customFormat="1">
      <c r="A1932" s="10"/>
      <c r="B1932" s="4"/>
      <c r="C1932" s="4"/>
      <c r="D1932" s="4"/>
      <c r="E1932" s="4"/>
      <c r="F1932" s="152" t="s">
        <v>673</v>
      </c>
      <c r="G1932" s="4" t="s">
        <v>674</v>
      </c>
      <c r="H1932" s="4"/>
      <c r="I1932" s="196">
        <v>-2698</v>
      </c>
      <c r="J1932" s="196">
        <v>-1.9</v>
      </c>
      <c r="K1932" s="196">
        <v>1420</v>
      </c>
      <c r="L1932" s="454" t="s">
        <v>1081</v>
      </c>
      <c r="M1932" s="4" t="s">
        <v>780</v>
      </c>
      <c r="N1932" s="133" t="s">
        <v>781</v>
      </c>
      <c r="O1932" s="4" t="s">
        <v>1141</v>
      </c>
      <c r="P1932" s="4" t="s">
        <v>892</v>
      </c>
      <c r="Q1932" s="4" t="s">
        <v>1142</v>
      </c>
      <c r="R1932" s="4" t="s">
        <v>953</v>
      </c>
      <c r="S1932" s="4" t="s">
        <v>1144</v>
      </c>
      <c r="T1932" s="4" t="s">
        <v>786</v>
      </c>
      <c r="U1932" s="4"/>
      <c r="V1932" s="4"/>
      <c r="W1932" s="4"/>
    </row>
    <row r="1933" spans="1:23" customFormat="1">
      <c r="A1933" s="10"/>
      <c r="B1933" s="4"/>
      <c r="C1933" s="4"/>
      <c r="D1933" s="4"/>
      <c r="E1933" s="4"/>
      <c r="F1933" s="152" t="s">
        <v>673</v>
      </c>
      <c r="G1933" s="4" t="s">
        <v>674</v>
      </c>
      <c r="H1933" s="4"/>
      <c r="I1933" s="196">
        <v>-1420000</v>
      </c>
      <c r="J1933" s="196">
        <v>-1000</v>
      </c>
      <c r="K1933" s="196">
        <v>1420</v>
      </c>
      <c r="L1933" s="454" t="s">
        <v>1081</v>
      </c>
      <c r="M1933" s="4" t="s">
        <v>780</v>
      </c>
      <c r="N1933" s="133" t="s">
        <v>781</v>
      </c>
      <c r="O1933" s="4" t="s">
        <v>1141</v>
      </c>
      <c r="P1933" s="4" t="s">
        <v>892</v>
      </c>
      <c r="Q1933" s="4" t="s">
        <v>1142</v>
      </c>
      <c r="R1933" s="4" t="s">
        <v>1146</v>
      </c>
      <c r="S1933" s="4" t="s">
        <v>1144</v>
      </c>
      <c r="T1933" s="4" t="s">
        <v>786</v>
      </c>
      <c r="U1933" s="4"/>
      <c r="V1933" s="4"/>
      <c r="W1933" s="4"/>
    </row>
    <row r="1934" spans="1:23" customFormat="1">
      <c r="A1934" s="10"/>
      <c r="B1934" s="4"/>
      <c r="C1934" s="4"/>
      <c r="D1934" s="4"/>
      <c r="E1934" s="4"/>
      <c r="F1934" s="152" t="s">
        <v>673</v>
      </c>
      <c r="G1934" s="4" t="s">
        <v>674</v>
      </c>
      <c r="H1934" s="4"/>
      <c r="I1934" s="196">
        <v>-35500</v>
      </c>
      <c r="J1934" s="196">
        <v>-25</v>
      </c>
      <c r="K1934" s="196">
        <v>1420</v>
      </c>
      <c r="L1934" s="454" t="s">
        <v>1081</v>
      </c>
      <c r="M1934" s="4" t="s">
        <v>780</v>
      </c>
      <c r="N1934" s="133" t="s">
        <v>781</v>
      </c>
      <c r="O1934" s="4" t="s">
        <v>1141</v>
      </c>
      <c r="P1934" s="4" t="s">
        <v>892</v>
      </c>
      <c r="Q1934" s="4" t="s">
        <v>1142</v>
      </c>
      <c r="R1934" s="4" t="s">
        <v>1147</v>
      </c>
      <c r="S1934" s="4" t="s">
        <v>1144</v>
      </c>
      <c r="T1934" s="4" t="s">
        <v>786</v>
      </c>
      <c r="U1934" s="4"/>
      <c r="V1934" s="4"/>
      <c r="W1934" s="4"/>
    </row>
    <row r="1935" spans="1:23" customFormat="1">
      <c r="A1935" s="10"/>
      <c r="B1935" s="4"/>
      <c r="C1935" s="4"/>
      <c r="D1935" s="4"/>
      <c r="E1935" s="4"/>
      <c r="F1935" s="152" t="s">
        <v>673</v>
      </c>
      <c r="G1935" s="4" t="s">
        <v>674</v>
      </c>
      <c r="H1935" s="4"/>
      <c r="I1935" s="196">
        <v>-1846000</v>
      </c>
      <c r="J1935" s="196">
        <v>-1300</v>
      </c>
      <c r="K1935" s="196">
        <v>1420</v>
      </c>
      <c r="L1935" s="454" t="s">
        <v>1081</v>
      </c>
      <c r="M1935" s="4" t="s">
        <v>780</v>
      </c>
      <c r="N1935" s="133" t="s">
        <v>781</v>
      </c>
      <c r="O1935" s="4" t="s">
        <v>1141</v>
      </c>
      <c r="P1935" s="4" t="s">
        <v>892</v>
      </c>
      <c r="Q1935" s="4" t="s">
        <v>1142</v>
      </c>
      <c r="R1935" s="4" t="s">
        <v>1146</v>
      </c>
      <c r="S1935" s="4" t="s">
        <v>1144</v>
      </c>
      <c r="T1935" s="4" t="s">
        <v>786</v>
      </c>
      <c r="U1935" s="4"/>
      <c r="V1935" s="4"/>
      <c r="W1935" s="4"/>
    </row>
    <row r="1936" spans="1:23" customFormat="1">
      <c r="A1936" s="10"/>
      <c r="B1936" s="4"/>
      <c r="C1936" s="4"/>
      <c r="D1936" s="4"/>
      <c r="E1936" s="4"/>
      <c r="F1936" s="152" t="s">
        <v>673</v>
      </c>
      <c r="G1936" s="4" t="s">
        <v>674</v>
      </c>
      <c r="H1936" s="4"/>
      <c r="I1936" s="196">
        <v>-710000</v>
      </c>
      <c r="J1936" s="196">
        <v>-500</v>
      </c>
      <c r="K1936" s="196">
        <v>1420</v>
      </c>
      <c r="L1936" s="454" t="s">
        <v>1081</v>
      </c>
      <c r="M1936" s="4" t="s">
        <v>780</v>
      </c>
      <c r="N1936" s="133" t="s">
        <v>781</v>
      </c>
      <c r="O1936" s="4" t="s">
        <v>1141</v>
      </c>
      <c r="P1936" s="4" t="s">
        <v>892</v>
      </c>
      <c r="Q1936" s="4" t="s">
        <v>1142</v>
      </c>
      <c r="R1936" s="4" t="s">
        <v>1148</v>
      </c>
      <c r="S1936" s="4" t="s">
        <v>1144</v>
      </c>
      <c r="T1936" s="4" t="s">
        <v>786</v>
      </c>
      <c r="U1936" s="4"/>
      <c r="V1936" s="4"/>
      <c r="W1936" s="4"/>
    </row>
    <row r="1937" spans="1:23" customFormat="1">
      <c r="A1937" s="10"/>
      <c r="B1937" s="4"/>
      <c r="C1937" s="4"/>
      <c r="D1937" s="4"/>
      <c r="E1937" s="4"/>
      <c r="F1937" s="152" t="s">
        <v>673</v>
      </c>
      <c r="G1937" s="4" t="s">
        <v>674</v>
      </c>
      <c r="H1937" s="4"/>
      <c r="I1937" s="196">
        <v>-1420</v>
      </c>
      <c r="J1937" s="196">
        <v>-1</v>
      </c>
      <c r="K1937" s="196">
        <v>1420</v>
      </c>
      <c r="L1937" s="454" t="s">
        <v>1081</v>
      </c>
      <c r="M1937" s="4" t="s">
        <v>780</v>
      </c>
      <c r="N1937" s="133" t="s">
        <v>781</v>
      </c>
      <c r="O1937" s="4" t="s">
        <v>1141</v>
      </c>
      <c r="P1937" s="4" t="s">
        <v>892</v>
      </c>
      <c r="Q1937" s="4" t="s">
        <v>1142</v>
      </c>
      <c r="R1937" s="4" t="s">
        <v>953</v>
      </c>
      <c r="S1937" s="4" t="s">
        <v>1144</v>
      </c>
      <c r="T1937" s="4" t="s">
        <v>786</v>
      </c>
      <c r="U1937" s="4"/>
      <c r="V1937" s="4"/>
      <c r="W1937" s="4"/>
    </row>
    <row r="1938" spans="1:23" customFormat="1">
      <c r="A1938" s="10"/>
      <c r="B1938" s="4"/>
      <c r="C1938" s="4"/>
      <c r="D1938" s="4"/>
      <c r="E1938" s="4"/>
      <c r="F1938" s="152" t="s">
        <v>673</v>
      </c>
      <c r="G1938" s="4" t="s">
        <v>674</v>
      </c>
      <c r="H1938" s="4"/>
      <c r="I1938" s="196">
        <v>-284000</v>
      </c>
      <c r="J1938" s="196">
        <v>-200</v>
      </c>
      <c r="K1938" s="196">
        <v>1420</v>
      </c>
      <c r="L1938" s="454" t="s">
        <v>1081</v>
      </c>
      <c r="M1938" s="4" t="s">
        <v>780</v>
      </c>
      <c r="N1938" s="133" t="s">
        <v>781</v>
      </c>
      <c r="O1938" s="4" t="s">
        <v>1141</v>
      </c>
      <c r="P1938" s="4" t="s">
        <v>892</v>
      </c>
      <c r="Q1938" s="4" t="s">
        <v>1142</v>
      </c>
      <c r="R1938" s="4" t="s">
        <v>1148</v>
      </c>
      <c r="S1938" s="4" t="s">
        <v>1144</v>
      </c>
      <c r="T1938" s="4" t="s">
        <v>786</v>
      </c>
      <c r="U1938" s="4"/>
      <c r="V1938" s="4"/>
      <c r="W1938" s="4"/>
    </row>
    <row r="1939" spans="1:23" customFormat="1">
      <c r="A1939" s="10"/>
      <c r="B1939" s="4"/>
      <c r="C1939" s="4"/>
      <c r="D1939" s="4"/>
      <c r="E1939" s="4"/>
      <c r="F1939" s="152" t="s">
        <v>673</v>
      </c>
      <c r="G1939" s="4" t="s">
        <v>674</v>
      </c>
      <c r="H1939" s="4"/>
      <c r="I1939" s="196">
        <v>-45440</v>
      </c>
      <c r="J1939" s="196">
        <v>-32</v>
      </c>
      <c r="K1939" s="196">
        <v>1420</v>
      </c>
      <c r="L1939" s="454" t="s">
        <v>1081</v>
      </c>
      <c r="M1939" s="4" t="s">
        <v>780</v>
      </c>
      <c r="N1939" s="133" t="s">
        <v>781</v>
      </c>
      <c r="O1939" s="4" t="s">
        <v>1141</v>
      </c>
      <c r="P1939" s="4" t="s">
        <v>892</v>
      </c>
      <c r="Q1939" s="4" t="s">
        <v>1142</v>
      </c>
      <c r="R1939" s="4" t="s">
        <v>851</v>
      </c>
      <c r="S1939" s="4" t="s">
        <v>1144</v>
      </c>
      <c r="T1939" s="4" t="s">
        <v>786</v>
      </c>
      <c r="U1939" s="4"/>
      <c r="V1939" s="4"/>
      <c r="W1939" s="4"/>
    </row>
    <row r="1940" spans="1:23" customFormat="1">
      <c r="A1940" s="10"/>
      <c r="B1940" s="4"/>
      <c r="C1940" s="4"/>
      <c r="D1940" s="4"/>
      <c r="E1940" s="4"/>
      <c r="F1940" s="152" t="s">
        <v>673</v>
      </c>
      <c r="G1940" s="4" t="s">
        <v>674</v>
      </c>
      <c r="H1940" s="4"/>
      <c r="I1940" s="196">
        <v>-1420</v>
      </c>
      <c r="J1940" s="196">
        <v>-1</v>
      </c>
      <c r="K1940" s="196">
        <v>1420</v>
      </c>
      <c r="L1940" s="454" t="s">
        <v>1081</v>
      </c>
      <c r="M1940" s="4" t="s">
        <v>780</v>
      </c>
      <c r="N1940" s="133" t="s">
        <v>781</v>
      </c>
      <c r="O1940" s="4" t="s">
        <v>1141</v>
      </c>
      <c r="P1940" s="4" t="s">
        <v>892</v>
      </c>
      <c r="Q1940" s="4" t="s">
        <v>1142</v>
      </c>
      <c r="R1940" s="4" t="s">
        <v>953</v>
      </c>
      <c r="S1940" s="4" t="s">
        <v>1144</v>
      </c>
      <c r="T1940" s="4" t="s">
        <v>786</v>
      </c>
      <c r="U1940" s="4"/>
      <c r="V1940" s="4"/>
      <c r="W1940" s="4"/>
    </row>
    <row r="1941" spans="1:23" customFormat="1">
      <c r="A1941" s="10"/>
      <c r="B1941" s="4"/>
      <c r="C1941" s="4"/>
      <c r="D1941" s="4"/>
      <c r="E1941" s="4"/>
      <c r="F1941" s="152" t="s">
        <v>673</v>
      </c>
      <c r="G1941" s="4" t="s">
        <v>674</v>
      </c>
      <c r="H1941" s="4"/>
      <c r="I1941" s="196">
        <v>-541886.19999999995</v>
      </c>
      <c r="J1941" s="196">
        <v>-381.61</v>
      </c>
      <c r="K1941" s="196">
        <v>1420</v>
      </c>
      <c r="L1941" s="454" t="s">
        <v>1113</v>
      </c>
      <c r="M1941" s="4" t="s">
        <v>780</v>
      </c>
      <c r="N1941" s="133" t="s">
        <v>781</v>
      </c>
      <c r="O1941" s="4" t="s">
        <v>1153</v>
      </c>
      <c r="P1941" s="4" t="s">
        <v>892</v>
      </c>
      <c r="Q1941" s="4" t="s">
        <v>1154</v>
      </c>
      <c r="R1941" s="4" t="s">
        <v>937</v>
      </c>
      <c r="S1941" s="4" t="s">
        <v>1155</v>
      </c>
      <c r="T1941" s="4" t="s">
        <v>786</v>
      </c>
      <c r="U1941" s="4"/>
      <c r="V1941" s="4"/>
      <c r="W1941" s="4"/>
    </row>
    <row r="1942" spans="1:23" customFormat="1">
      <c r="A1942" s="10"/>
      <c r="B1942" s="4"/>
      <c r="C1942" s="4"/>
      <c r="D1942" s="4"/>
      <c r="E1942" s="4"/>
      <c r="F1942" s="152" t="s">
        <v>673</v>
      </c>
      <c r="G1942" s="4" t="s">
        <v>674</v>
      </c>
      <c r="H1942" s="4"/>
      <c r="I1942" s="196">
        <v>-25560</v>
      </c>
      <c r="J1942" s="196">
        <v>-18</v>
      </c>
      <c r="K1942" s="196">
        <v>1420</v>
      </c>
      <c r="L1942" s="454" t="s">
        <v>1113</v>
      </c>
      <c r="M1942" s="4" t="s">
        <v>780</v>
      </c>
      <c r="N1942" s="133" t="s">
        <v>781</v>
      </c>
      <c r="O1942" s="4" t="s">
        <v>1153</v>
      </c>
      <c r="P1942" s="4" t="s">
        <v>892</v>
      </c>
      <c r="Q1942" s="4" t="s">
        <v>1154</v>
      </c>
      <c r="R1942" s="4" t="s">
        <v>1146</v>
      </c>
      <c r="S1942" s="4" t="s">
        <v>1155</v>
      </c>
      <c r="T1942" s="4" t="s">
        <v>786</v>
      </c>
      <c r="U1942" s="4"/>
      <c r="V1942" s="4"/>
      <c r="W1942" s="4"/>
    </row>
    <row r="1943" spans="1:23" customFormat="1">
      <c r="A1943" s="10"/>
      <c r="B1943" s="4"/>
      <c r="C1943" s="4"/>
      <c r="D1943" s="4"/>
      <c r="E1943" s="4"/>
      <c r="F1943" s="152" t="s">
        <v>673</v>
      </c>
      <c r="G1943" s="4" t="s">
        <v>674</v>
      </c>
      <c r="H1943" s="4"/>
      <c r="I1943" s="196">
        <v>-3550000</v>
      </c>
      <c r="J1943" s="196">
        <v>-2500</v>
      </c>
      <c r="K1943" s="196">
        <v>1420</v>
      </c>
      <c r="L1943" s="454" t="s">
        <v>1113</v>
      </c>
      <c r="M1943" s="4" t="s">
        <v>780</v>
      </c>
      <c r="N1943" s="133" t="s">
        <v>781</v>
      </c>
      <c r="O1943" s="4" t="s">
        <v>1153</v>
      </c>
      <c r="P1943" s="4" t="s">
        <v>892</v>
      </c>
      <c r="Q1943" s="4" t="s">
        <v>1154</v>
      </c>
      <c r="R1943" s="4" t="s">
        <v>1143</v>
      </c>
      <c r="S1943" s="4" t="s">
        <v>1155</v>
      </c>
      <c r="T1943" s="4" t="s">
        <v>786</v>
      </c>
      <c r="U1943" s="4"/>
      <c r="V1943" s="4"/>
      <c r="W1943" s="4"/>
    </row>
    <row r="1944" spans="1:23" customFormat="1">
      <c r="A1944" s="10"/>
      <c r="B1944" s="4"/>
      <c r="C1944" s="4"/>
      <c r="D1944" s="4"/>
      <c r="E1944" s="4"/>
      <c r="F1944" s="152" t="s">
        <v>673</v>
      </c>
      <c r="G1944" s="4" t="s">
        <v>674</v>
      </c>
      <c r="H1944" s="4"/>
      <c r="I1944" s="196">
        <v>-28400</v>
      </c>
      <c r="J1944" s="196">
        <v>-20</v>
      </c>
      <c r="K1944" s="196">
        <v>1420</v>
      </c>
      <c r="L1944" s="454" t="s">
        <v>1093</v>
      </c>
      <c r="M1944" s="4" t="s">
        <v>780</v>
      </c>
      <c r="N1944" s="133" t="s">
        <v>781</v>
      </c>
      <c r="O1944" s="4" t="s">
        <v>1161</v>
      </c>
      <c r="P1944" s="4" t="s">
        <v>892</v>
      </c>
      <c r="Q1944" s="4" t="s">
        <v>1162</v>
      </c>
      <c r="R1944" s="4" t="s">
        <v>1163</v>
      </c>
      <c r="S1944" s="4" t="s">
        <v>1164</v>
      </c>
      <c r="T1944" s="4" t="s">
        <v>786</v>
      </c>
      <c r="U1944" s="4"/>
      <c r="V1944" s="4"/>
      <c r="W1944" s="4"/>
    </row>
    <row r="1945" spans="1:23" customFormat="1">
      <c r="A1945" s="10"/>
      <c r="B1945" s="4"/>
      <c r="C1945" s="4"/>
      <c r="D1945" s="4"/>
      <c r="E1945" s="4"/>
      <c r="F1945" s="152" t="s">
        <v>673</v>
      </c>
      <c r="G1945" s="4" t="s">
        <v>674</v>
      </c>
      <c r="H1945" s="4"/>
      <c r="I1945" s="196">
        <v>-2414000</v>
      </c>
      <c r="J1945" s="196">
        <v>-1700</v>
      </c>
      <c r="K1945" s="196">
        <v>1420</v>
      </c>
      <c r="L1945" s="454" t="s">
        <v>1098</v>
      </c>
      <c r="M1945" s="4" t="s">
        <v>780</v>
      </c>
      <c r="N1945" s="133" t="s">
        <v>781</v>
      </c>
      <c r="O1945" s="4" t="s">
        <v>1175</v>
      </c>
      <c r="P1945" s="4" t="s">
        <v>892</v>
      </c>
      <c r="Q1945" s="4" t="s">
        <v>1176</v>
      </c>
      <c r="R1945" s="4" t="s">
        <v>1179</v>
      </c>
      <c r="S1945" s="4" t="s">
        <v>1178</v>
      </c>
      <c r="T1945" s="4" t="s">
        <v>786</v>
      </c>
      <c r="U1945" s="4"/>
      <c r="V1945" s="4"/>
      <c r="W1945" s="4"/>
    </row>
    <row r="1946" spans="1:23" customFormat="1">
      <c r="A1946" s="10"/>
      <c r="B1946" s="4"/>
      <c r="C1946" s="4"/>
      <c r="D1946" s="4"/>
      <c r="E1946" s="4"/>
      <c r="F1946" s="152" t="s">
        <v>673</v>
      </c>
      <c r="G1946" s="4" t="s">
        <v>674</v>
      </c>
      <c r="H1946" s="4"/>
      <c r="I1946" s="196">
        <v>-7100000</v>
      </c>
      <c r="J1946" s="196">
        <v>-5000</v>
      </c>
      <c r="K1946" s="196">
        <v>1420</v>
      </c>
      <c r="L1946" s="454" t="s">
        <v>1098</v>
      </c>
      <c r="M1946" s="4" t="s">
        <v>780</v>
      </c>
      <c r="N1946" s="133" t="s">
        <v>781</v>
      </c>
      <c r="O1946" s="4" t="s">
        <v>1175</v>
      </c>
      <c r="P1946" s="4" t="s">
        <v>892</v>
      </c>
      <c r="Q1946" s="4" t="s">
        <v>1176</v>
      </c>
      <c r="R1946" s="4" t="s">
        <v>1181</v>
      </c>
      <c r="S1946" s="4" t="s">
        <v>1178</v>
      </c>
      <c r="T1946" s="4" t="s">
        <v>786</v>
      </c>
      <c r="U1946" s="4"/>
      <c r="V1946" s="4"/>
      <c r="W1946" s="4"/>
    </row>
    <row r="1947" spans="1:23" customFormat="1">
      <c r="A1947" s="10"/>
      <c r="B1947" s="4"/>
      <c r="C1947" s="4"/>
      <c r="D1947" s="4"/>
      <c r="E1947" s="4"/>
      <c r="F1947" s="152" t="s">
        <v>673</v>
      </c>
      <c r="G1947" s="4" t="s">
        <v>674</v>
      </c>
      <c r="H1947" s="4"/>
      <c r="I1947" s="196">
        <v>-139160</v>
      </c>
      <c r="J1947" s="196">
        <v>-98</v>
      </c>
      <c r="K1947" s="196">
        <v>1420</v>
      </c>
      <c r="L1947" s="454" t="s">
        <v>1098</v>
      </c>
      <c r="M1947" s="4" t="s">
        <v>780</v>
      </c>
      <c r="N1947" s="133" t="s">
        <v>781</v>
      </c>
      <c r="O1947" s="4" t="s">
        <v>1175</v>
      </c>
      <c r="P1947" s="4" t="s">
        <v>892</v>
      </c>
      <c r="Q1947" s="4" t="s">
        <v>1176</v>
      </c>
      <c r="R1947" s="4" t="s">
        <v>1183</v>
      </c>
      <c r="S1947" s="4" t="s">
        <v>1178</v>
      </c>
      <c r="T1947" s="4" t="s">
        <v>786</v>
      </c>
      <c r="U1947" s="4"/>
      <c r="V1947" s="4"/>
      <c r="W1947" s="4"/>
    </row>
    <row r="1948" spans="1:23" customFormat="1">
      <c r="A1948" s="10"/>
      <c r="B1948" s="4"/>
      <c r="C1948" s="4"/>
      <c r="D1948" s="4"/>
      <c r="E1948" s="4"/>
      <c r="F1948" s="152" t="s">
        <v>673</v>
      </c>
      <c r="G1948" s="4" t="s">
        <v>674</v>
      </c>
      <c r="H1948" s="4"/>
      <c r="I1948" s="196">
        <v>-2698</v>
      </c>
      <c r="J1948" s="196">
        <v>-1.9</v>
      </c>
      <c r="K1948" s="196">
        <v>1420</v>
      </c>
      <c r="L1948" s="454" t="s">
        <v>1098</v>
      </c>
      <c r="M1948" s="4" t="s">
        <v>780</v>
      </c>
      <c r="N1948" s="133" t="s">
        <v>781</v>
      </c>
      <c r="O1948" s="4" t="s">
        <v>1175</v>
      </c>
      <c r="P1948" s="4" t="s">
        <v>892</v>
      </c>
      <c r="Q1948" s="4" t="s">
        <v>1176</v>
      </c>
      <c r="R1948" s="4" t="s">
        <v>953</v>
      </c>
      <c r="S1948" s="4" t="s">
        <v>1178</v>
      </c>
      <c r="T1948" s="4" t="s">
        <v>786</v>
      </c>
      <c r="U1948" s="4"/>
      <c r="V1948" s="4"/>
      <c r="W1948" s="4"/>
    </row>
    <row r="1949" spans="1:23" customFormat="1">
      <c r="A1949" s="10"/>
      <c r="B1949" s="4"/>
      <c r="C1949" s="4"/>
      <c r="D1949" s="4"/>
      <c r="E1949" s="4"/>
      <c r="F1949" s="152" t="s">
        <v>673</v>
      </c>
      <c r="G1949" s="4" t="s">
        <v>674</v>
      </c>
      <c r="H1949" s="4"/>
      <c r="I1949" s="196">
        <v>-710000</v>
      </c>
      <c r="J1949" s="196">
        <v>-500</v>
      </c>
      <c r="K1949" s="196">
        <v>1420</v>
      </c>
      <c r="L1949" s="454" t="s">
        <v>1098</v>
      </c>
      <c r="M1949" s="4" t="s">
        <v>780</v>
      </c>
      <c r="N1949" s="133" t="s">
        <v>781</v>
      </c>
      <c r="O1949" s="4" t="s">
        <v>1175</v>
      </c>
      <c r="P1949" s="4" t="s">
        <v>892</v>
      </c>
      <c r="Q1949" s="4" t="s">
        <v>1176</v>
      </c>
      <c r="R1949" s="4" t="s">
        <v>1177</v>
      </c>
      <c r="S1949" s="4" t="s">
        <v>1178</v>
      </c>
      <c r="T1949" s="4" t="s">
        <v>786</v>
      </c>
      <c r="U1949" s="4"/>
      <c r="V1949" s="4"/>
      <c r="W1949" s="4"/>
    </row>
    <row r="1950" spans="1:23" customFormat="1">
      <c r="A1950" s="10"/>
      <c r="B1950" s="4"/>
      <c r="C1950" s="4"/>
      <c r="D1950" s="4"/>
      <c r="E1950" s="4"/>
      <c r="F1950" s="152" t="s">
        <v>673</v>
      </c>
      <c r="G1950" s="4" t="s">
        <v>674</v>
      </c>
      <c r="H1950" s="4"/>
      <c r="I1950" s="196">
        <v>-1660988.2</v>
      </c>
      <c r="J1950" s="196">
        <v>-1169.71</v>
      </c>
      <c r="K1950" s="196">
        <v>1420</v>
      </c>
      <c r="L1950" s="454" t="s">
        <v>1098</v>
      </c>
      <c r="M1950" s="4" t="s">
        <v>780</v>
      </c>
      <c r="N1950" s="133" t="s">
        <v>781</v>
      </c>
      <c r="O1950" s="4" t="s">
        <v>1175</v>
      </c>
      <c r="P1950" s="4" t="s">
        <v>892</v>
      </c>
      <c r="Q1950" s="4" t="s">
        <v>1176</v>
      </c>
      <c r="R1950" s="4" t="s">
        <v>1180</v>
      </c>
      <c r="S1950" s="4" t="s">
        <v>1178</v>
      </c>
      <c r="T1950" s="4" t="s">
        <v>786</v>
      </c>
      <c r="U1950" s="4"/>
      <c r="V1950" s="4"/>
      <c r="W1950" s="4"/>
    </row>
    <row r="1951" spans="1:23" customFormat="1">
      <c r="A1951" s="10"/>
      <c r="B1951" s="4"/>
      <c r="C1951" s="4"/>
      <c r="D1951" s="4"/>
      <c r="E1951" s="4"/>
      <c r="F1951" s="152" t="s">
        <v>673</v>
      </c>
      <c r="G1951" s="4" t="s">
        <v>674</v>
      </c>
      <c r="H1951" s="4"/>
      <c r="I1951" s="196">
        <v>-2840000</v>
      </c>
      <c r="J1951" s="196">
        <v>-2000</v>
      </c>
      <c r="K1951" s="196">
        <v>1420</v>
      </c>
      <c r="L1951" s="454" t="s">
        <v>1098</v>
      </c>
      <c r="M1951" s="4" t="s">
        <v>780</v>
      </c>
      <c r="N1951" s="133" t="s">
        <v>781</v>
      </c>
      <c r="O1951" s="4" t="s">
        <v>1175</v>
      </c>
      <c r="P1951" s="4" t="s">
        <v>892</v>
      </c>
      <c r="Q1951" s="4" t="s">
        <v>1176</v>
      </c>
      <c r="R1951" s="4" t="s">
        <v>1181</v>
      </c>
      <c r="S1951" s="4" t="s">
        <v>1178</v>
      </c>
      <c r="T1951" s="4" t="s">
        <v>786</v>
      </c>
      <c r="U1951" s="4"/>
      <c r="V1951" s="4"/>
      <c r="W1951" s="4"/>
    </row>
    <row r="1952" spans="1:23" customFormat="1">
      <c r="A1952" s="10"/>
      <c r="B1952" s="4"/>
      <c r="C1952" s="4"/>
      <c r="D1952" s="4"/>
      <c r="E1952" s="4"/>
      <c r="F1952" s="152" t="s">
        <v>673</v>
      </c>
      <c r="G1952" s="4" t="s">
        <v>674</v>
      </c>
      <c r="H1952" s="4"/>
      <c r="I1952" s="196">
        <v>-710000</v>
      </c>
      <c r="J1952" s="196">
        <v>-500</v>
      </c>
      <c r="K1952" s="196">
        <v>1420</v>
      </c>
      <c r="L1952" s="454" t="s">
        <v>1098</v>
      </c>
      <c r="M1952" s="4" t="s">
        <v>780</v>
      </c>
      <c r="N1952" s="133" t="s">
        <v>781</v>
      </c>
      <c r="O1952" s="4" t="s">
        <v>1175</v>
      </c>
      <c r="P1952" s="4" t="s">
        <v>892</v>
      </c>
      <c r="Q1952" s="4" t="s">
        <v>1176</v>
      </c>
      <c r="R1952" s="4" t="s">
        <v>1177</v>
      </c>
      <c r="S1952" s="4" t="s">
        <v>1178</v>
      </c>
      <c r="T1952" s="4" t="s">
        <v>786</v>
      </c>
      <c r="U1952" s="4"/>
      <c r="V1952" s="4"/>
      <c r="W1952" s="4"/>
    </row>
    <row r="1953" spans="1:23" customFormat="1">
      <c r="A1953" s="10"/>
      <c r="B1953" s="4"/>
      <c r="C1953" s="4"/>
      <c r="D1953" s="4"/>
      <c r="E1953" s="4"/>
      <c r="F1953" s="152" t="s">
        <v>673</v>
      </c>
      <c r="G1953" s="4" t="s">
        <v>674</v>
      </c>
      <c r="H1953" s="4"/>
      <c r="I1953" s="196">
        <v>-710000</v>
      </c>
      <c r="J1953" s="196">
        <v>-500</v>
      </c>
      <c r="K1953" s="196">
        <v>1420</v>
      </c>
      <c r="L1953" s="454" t="s">
        <v>1098</v>
      </c>
      <c r="M1953" s="4" t="s">
        <v>780</v>
      </c>
      <c r="N1953" s="133" t="s">
        <v>781</v>
      </c>
      <c r="O1953" s="4" t="s">
        <v>1175</v>
      </c>
      <c r="P1953" s="4" t="s">
        <v>892</v>
      </c>
      <c r="Q1953" s="4" t="s">
        <v>1176</v>
      </c>
      <c r="R1953" s="4" t="s">
        <v>1177</v>
      </c>
      <c r="S1953" s="4" t="s">
        <v>1178</v>
      </c>
      <c r="T1953" s="4" t="s">
        <v>786</v>
      </c>
      <c r="U1953" s="4"/>
      <c r="V1953" s="4"/>
      <c r="W1953" s="4"/>
    </row>
    <row r="1954" spans="1:23" customFormat="1">
      <c r="A1954" s="10"/>
      <c r="B1954" s="4"/>
      <c r="C1954" s="4"/>
      <c r="D1954" s="4"/>
      <c r="E1954" s="4"/>
      <c r="F1954" s="152" t="s">
        <v>673</v>
      </c>
      <c r="G1954" s="4" t="s">
        <v>674</v>
      </c>
      <c r="H1954" s="4"/>
      <c r="I1954" s="196">
        <v>-1420</v>
      </c>
      <c r="J1954" s="196">
        <v>-1</v>
      </c>
      <c r="K1954" s="196">
        <v>1420</v>
      </c>
      <c r="L1954" s="454" t="s">
        <v>1098</v>
      </c>
      <c r="M1954" s="4" t="s">
        <v>780</v>
      </c>
      <c r="N1954" s="133" t="s">
        <v>781</v>
      </c>
      <c r="O1954" s="4" t="s">
        <v>1175</v>
      </c>
      <c r="P1954" s="4" t="s">
        <v>892</v>
      </c>
      <c r="Q1954" s="4" t="s">
        <v>1176</v>
      </c>
      <c r="R1954" s="4" t="s">
        <v>1177</v>
      </c>
      <c r="S1954" s="4" t="s">
        <v>1178</v>
      </c>
      <c r="T1954" s="4" t="s">
        <v>786</v>
      </c>
      <c r="U1954" s="4"/>
      <c r="V1954" s="4"/>
      <c r="W1954" s="4"/>
    </row>
    <row r="1955" spans="1:23" customFormat="1">
      <c r="A1955" s="10"/>
      <c r="B1955" s="4"/>
      <c r="C1955" s="4"/>
      <c r="D1955" s="4"/>
      <c r="E1955" s="4"/>
      <c r="F1955" s="152" t="s">
        <v>673</v>
      </c>
      <c r="G1955" s="4" t="s">
        <v>674</v>
      </c>
      <c r="H1955" s="4"/>
      <c r="I1955" s="196">
        <v>-710000</v>
      </c>
      <c r="J1955" s="196">
        <v>-500</v>
      </c>
      <c r="K1955" s="196">
        <v>1420</v>
      </c>
      <c r="L1955" s="454" t="s">
        <v>1098</v>
      </c>
      <c r="M1955" s="4" t="s">
        <v>780</v>
      </c>
      <c r="N1955" s="133" t="s">
        <v>781</v>
      </c>
      <c r="O1955" s="4" t="s">
        <v>1175</v>
      </c>
      <c r="P1955" s="4" t="s">
        <v>892</v>
      </c>
      <c r="Q1955" s="4" t="s">
        <v>1176</v>
      </c>
      <c r="R1955" s="4" t="s">
        <v>1177</v>
      </c>
      <c r="S1955" s="4" t="s">
        <v>1178</v>
      </c>
      <c r="T1955" s="4" t="s">
        <v>786</v>
      </c>
      <c r="U1955" s="4"/>
      <c r="V1955" s="4"/>
      <c r="W1955" s="4"/>
    </row>
    <row r="1956" spans="1:23" customFormat="1">
      <c r="A1956" s="10"/>
      <c r="B1956" s="4"/>
      <c r="C1956" s="4"/>
      <c r="D1956" s="4"/>
      <c r="E1956" s="4"/>
      <c r="F1956" s="152" t="s">
        <v>673</v>
      </c>
      <c r="G1956" s="4" t="s">
        <v>674</v>
      </c>
      <c r="H1956" s="4"/>
      <c r="I1956" s="196">
        <v>-1420</v>
      </c>
      <c r="J1956" s="196">
        <v>-1</v>
      </c>
      <c r="K1956" s="196">
        <v>1420</v>
      </c>
      <c r="L1956" s="454" t="s">
        <v>1098</v>
      </c>
      <c r="M1956" s="4" t="s">
        <v>780</v>
      </c>
      <c r="N1956" s="133" t="s">
        <v>781</v>
      </c>
      <c r="O1956" s="4" t="s">
        <v>1175</v>
      </c>
      <c r="P1956" s="4" t="s">
        <v>892</v>
      </c>
      <c r="Q1956" s="4" t="s">
        <v>1176</v>
      </c>
      <c r="R1956" s="4" t="s">
        <v>1177</v>
      </c>
      <c r="S1956" s="4" t="s">
        <v>1178</v>
      </c>
      <c r="T1956" s="4" t="s">
        <v>786</v>
      </c>
      <c r="U1956" s="4"/>
      <c r="V1956" s="4"/>
      <c r="W1956" s="4"/>
    </row>
    <row r="1957" spans="1:23" customFormat="1">
      <c r="A1957" s="10"/>
      <c r="B1957" s="4"/>
      <c r="C1957" s="4"/>
      <c r="D1957" s="4"/>
      <c r="E1957" s="4"/>
      <c r="F1957" s="152" t="s">
        <v>673</v>
      </c>
      <c r="G1957" s="4" t="s">
        <v>674</v>
      </c>
      <c r="H1957" s="4"/>
      <c r="I1957" s="196">
        <v>-142000</v>
      </c>
      <c r="J1957" s="196">
        <v>-100</v>
      </c>
      <c r="K1957" s="196">
        <v>1420</v>
      </c>
      <c r="L1957" s="454" t="s">
        <v>1098</v>
      </c>
      <c r="M1957" s="4" t="s">
        <v>780</v>
      </c>
      <c r="N1957" s="133" t="s">
        <v>781</v>
      </c>
      <c r="O1957" s="4" t="s">
        <v>1175</v>
      </c>
      <c r="P1957" s="4" t="s">
        <v>892</v>
      </c>
      <c r="Q1957" s="4" t="s">
        <v>1176</v>
      </c>
      <c r="R1957" s="4" t="s">
        <v>1186</v>
      </c>
      <c r="S1957" s="4" t="s">
        <v>1178</v>
      </c>
      <c r="T1957" s="4" t="s">
        <v>786</v>
      </c>
      <c r="U1957" s="4"/>
      <c r="V1957" s="4"/>
      <c r="W1957" s="4"/>
    </row>
    <row r="1958" spans="1:23" customFormat="1">
      <c r="A1958" s="10"/>
      <c r="B1958" s="4"/>
      <c r="C1958" s="4"/>
      <c r="D1958" s="4"/>
      <c r="E1958" s="4"/>
      <c r="F1958" s="152" t="s">
        <v>673</v>
      </c>
      <c r="G1958" s="4" t="s">
        <v>674</v>
      </c>
      <c r="H1958" s="4"/>
      <c r="I1958" s="196">
        <v>-639000</v>
      </c>
      <c r="J1958" s="196">
        <v>-450</v>
      </c>
      <c r="K1958" s="196">
        <v>1420</v>
      </c>
      <c r="L1958" s="454" t="s">
        <v>1098</v>
      </c>
      <c r="M1958" s="4" t="s">
        <v>780</v>
      </c>
      <c r="N1958" s="133" t="s">
        <v>781</v>
      </c>
      <c r="O1958" s="4" t="s">
        <v>1175</v>
      </c>
      <c r="P1958" s="4" t="s">
        <v>892</v>
      </c>
      <c r="Q1958" s="4" t="s">
        <v>1176</v>
      </c>
      <c r="R1958" s="4" t="s">
        <v>1185</v>
      </c>
      <c r="S1958" s="4" t="s">
        <v>1178</v>
      </c>
      <c r="T1958" s="4" t="s">
        <v>786</v>
      </c>
      <c r="U1958" s="4"/>
      <c r="V1958" s="4"/>
      <c r="W1958" s="4"/>
    </row>
    <row r="1959" spans="1:23" customFormat="1">
      <c r="A1959" s="10"/>
      <c r="B1959" s="4"/>
      <c r="C1959" s="4"/>
      <c r="D1959" s="4"/>
      <c r="E1959" s="4"/>
      <c r="F1959" s="152" t="s">
        <v>673</v>
      </c>
      <c r="G1959" s="4" t="s">
        <v>674</v>
      </c>
      <c r="H1959" s="4"/>
      <c r="I1959" s="196">
        <v>-4260000</v>
      </c>
      <c r="J1959" s="196">
        <v>-3000</v>
      </c>
      <c r="K1959" s="196">
        <v>1420</v>
      </c>
      <c r="L1959" s="454" t="s">
        <v>1098</v>
      </c>
      <c r="M1959" s="4" t="s">
        <v>780</v>
      </c>
      <c r="N1959" s="133" t="s">
        <v>781</v>
      </c>
      <c r="O1959" s="4" t="s">
        <v>1175</v>
      </c>
      <c r="P1959" s="4" t="s">
        <v>892</v>
      </c>
      <c r="Q1959" s="4" t="s">
        <v>1176</v>
      </c>
      <c r="R1959" s="4" t="s">
        <v>1107</v>
      </c>
      <c r="S1959" s="4" t="s">
        <v>1178</v>
      </c>
      <c r="T1959" s="4" t="s">
        <v>786</v>
      </c>
      <c r="U1959" s="4"/>
      <c r="V1959" s="4"/>
      <c r="W1959" s="4"/>
    </row>
    <row r="1960" spans="1:23" customFormat="1">
      <c r="A1960" s="10"/>
      <c r="B1960" s="4"/>
      <c r="C1960" s="4"/>
      <c r="D1960" s="4"/>
      <c r="E1960" s="4"/>
      <c r="F1960" s="152" t="s">
        <v>673</v>
      </c>
      <c r="G1960" s="4" t="s">
        <v>674</v>
      </c>
      <c r="H1960" s="4"/>
      <c r="I1960" s="196">
        <v>-2698</v>
      </c>
      <c r="J1960" s="196">
        <v>-1.9</v>
      </c>
      <c r="K1960" s="196">
        <v>1420</v>
      </c>
      <c r="L1960" s="454" t="s">
        <v>1098</v>
      </c>
      <c r="M1960" s="4" t="s">
        <v>780</v>
      </c>
      <c r="N1960" s="133" t="s">
        <v>781</v>
      </c>
      <c r="O1960" s="4" t="s">
        <v>1175</v>
      </c>
      <c r="P1960" s="4" t="s">
        <v>892</v>
      </c>
      <c r="Q1960" s="4" t="s">
        <v>1176</v>
      </c>
      <c r="R1960" s="4" t="s">
        <v>953</v>
      </c>
      <c r="S1960" s="4" t="s">
        <v>1178</v>
      </c>
      <c r="T1960" s="4" t="s">
        <v>786</v>
      </c>
      <c r="U1960" s="4"/>
      <c r="V1960" s="4"/>
      <c r="W1960" s="4"/>
    </row>
    <row r="1961" spans="1:23" customFormat="1">
      <c r="A1961" s="10"/>
      <c r="B1961" s="4"/>
      <c r="C1961" s="4"/>
      <c r="D1961" s="4"/>
      <c r="E1961" s="4"/>
      <c r="F1961" s="152" t="s">
        <v>673</v>
      </c>
      <c r="G1961" s="4" t="s">
        <v>674</v>
      </c>
      <c r="H1961" s="4"/>
      <c r="I1961" s="196">
        <v>-2698</v>
      </c>
      <c r="J1961" s="196">
        <v>-1.9</v>
      </c>
      <c r="K1961" s="196">
        <v>1420</v>
      </c>
      <c r="L1961" s="454" t="s">
        <v>1098</v>
      </c>
      <c r="M1961" s="4" t="s">
        <v>780</v>
      </c>
      <c r="N1961" s="133" t="s">
        <v>781</v>
      </c>
      <c r="O1961" s="4" t="s">
        <v>1175</v>
      </c>
      <c r="P1961" s="4" t="s">
        <v>892</v>
      </c>
      <c r="Q1961" s="4" t="s">
        <v>1176</v>
      </c>
      <c r="R1961" s="4" t="s">
        <v>953</v>
      </c>
      <c r="S1961" s="4" t="s">
        <v>1178</v>
      </c>
      <c r="T1961" s="4" t="s">
        <v>786</v>
      </c>
      <c r="U1961" s="4"/>
      <c r="V1961" s="4"/>
      <c r="W1961" s="4"/>
    </row>
    <row r="1962" spans="1:23" customFormat="1">
      <c r="A1962" s="10"/>
      <c r="B1962" s="4"/>
      <c r="C1962" s="4"/>
      <c r="D1962" s="4"/>
      <c r="E1962" s="4"/>
      <c r="F1962" s="152" t="s">
        <v>673</v>
      </c>
      <c r="G1962" s="4" t="s">
        <v>674</v>
      </c>
      <c r="H1962" s="4"/>
      <c r="I1962" s="196">
        <v>-2698</v>
      </c>
      <c r="J1962" s="196">
        <v>-1.9</v>
      </c>
      <c r="K1962" s="196">
        <v>1420</v>
      </c>
      <c r="L1962" s="454" t="s">
        <v>1098</v>
      </c>
      <c r="M1962" s="4" t="s">
        <v>780</v>
      </c>
      <c r="N1962" s="133" t="s">
        <v>781</v>
      </c>
      <c r="O1962" s="4" t="s">
        <v>1175</v>
      </c>
      <c r="P1962" s="4" t="s">
        <v>892</v>
      </c>
      <c r="Q1962" s="4" t="s">
        <v>1176</v>
      </c>
      <c r="R1962" s="4" t="s">
        <v>953</v>
      </c>
      <c r="S1962" s="4" t="s">
        <v>1178</v>
      </c>
      <c r="T1962" s="4" t="s">
        <v>786</v>
      </c>
      <c r="U1962" s="4"/>
      <c r="V1962" s="4"/>
      <c r="W1962" s="4"/>
    </row>
    <row r="1963" spans="1:23" customFormat="1">
      <c r="A1963" s="10"/>
      <c r="B1963" s="4"/>
      <c r="C1963" s="4"/>
      <c r="D1963" s="4"/>
      <c r="E1963" s="4"/>
      <c r="F1963" s="152" t="s">
        <v>673</v>
      </c>
      <c r="G1963" s="4" t="s">
        <v>674</v>
      </c>
      <c r="H1963" s="4"/>
      <c r="I1963" s="196">
        <v>-426000</v>
      </c>
      <c r="J1963" s="196">
        <v>-300</v>
      </c>
      <c r="K1963" s="196">
        <v>1420</v>
      </c>
      <c r="L1963" s="454" t="s">
        <v>1098</v>
      </c>
      <c r="M1963" s="4" t="s">
        <v>780</v>
      </c>
      <c r="N1963" s="133" t="s">
        <v>781</v>
      </c>
      <c r="O1963" s="4" t="s">
        <v>1175</v>
      </c>
      <c r="P1963" s="4" t="s">
        <v>892</v>
      </c>
      <c r="Q1963" s="4" t="s">
        <v>1176</v>
      </c>
      <c r="R1963" s="4" t="s">
        <v>1182</v>
      </c>
      <c r="S1963" s="4" t="s">
        <v>1178</v>
      </c>
      <c r="T1963" s="4" t="s">
        <v>786</v>
      </c>
      <c r="U1963" s="4"/>
      <c r="V1963" s="4"/>
      <c r="W1963" s="4"/>
    </row>
    <row r="1964" spans="1:23" customFormat="1">
      <c r="A1964" s="10"/>
      <c r="B1964" s="4"/>
      <c r="C1964" s="4"/>
      <c r="D1964" s="4"/>
      <c r="E1964" s="4"/>
      <c r="F1964" s="152" t="s">
        <v>673</v>
      </c>
      <c r="G1964" s="4" t="s">
        <v>674</v>
      </c>
      <c r="H1964" s="4"/>
      <c r="I1964" s="196">
        <v>-2186800</v>
      </c>
      <c r="J1964" s="196">
        <v>-1540</v>
      </c>
      <c r="K1964" s="196">
        <v>1420</v>
      </c>
      <c r="L1964" s="454" t="s">
        <v>1098</v>
      </c>
      <c r="M1964" s="4" t="s">
        <v>780</v>
      </c>
      <c r="N1964" s="133" t="s">
        <v>781</v>
      </c>
      <c r="O1964" s="4" t="s">
        <v>1175</v>
      </c>
      <c r="P1964" s="4" t="s">
        <v>892</v>
      </c>
      <c r="Q1964" s="4" t="s">
        <v>1176</v>
      </c>
      <c r="R1964" s="4" t="s">
        <v>1187</v>
      </c>
      <c r="S1964" s="4" t="s">
        <v>1178</v>
      </c>
      <c r="T1964" s="4" t="s">
        <v>786</v>
      </c>
      <c r="U1964" s="4"/>
      <c r="V1964" s="4"/>
      <c r="W1964" s="4"/>
    </row>
    <row r="1965" spans="1:23" customFormat="1">
      <c r="A1965" s="10"/>
      <c r="B1965" s="4"/>
      <c r="C1965" s="4"/>
      <c r="D1965" s="4"/>
      <c r="E1965" s="4"/>
      <c r="F1965" s="152" t="s">
        <v>673</v>
      </c>
      <c r="G1965" s="4" t="s">
        <v>674</v>
      </c>
      <c r="H1965" s="4"/>
      <c r="I1965" s="196">
        <v>-42543.199999999997</v>
      </c>
      <c r="J1965" s="196">
        <v>-29.96</v>
      </c>
      <c r="K1965" s="196">
        <v>1420</v>
      </c>
      <c r="L1965" s="454" t="s">
        <v>1098</v>
      </c>
      <c r="M1965" s="4" t="s">
        <v>780</v>
      </c>
      <c r="N1965" s="133" t="s">
        <v>781</v>
      </c>
      <c r="O1965" s="4" t="s">
        <v>1175</v>
      </c>
      <c r="P1965" s="4" t="s">
        <v>892</v>
      </c>
      <c r="Q1965" s="4" t="s">
        <v>1176</v>
      </c>
      <c r="R1965" s="4" t="s">
        <v>1188</v>
      </c>
      <c r="S1965" s="4" t="s">
        <v>1178</v>
      </c>
      <c r="T1965" s="4" t="s">
        <v>786</v>
      </c>
      <c r="U1965" s="4"/>
      <c r="V1965" s="4"/>
      <c r="W1965" s="4"/>
    </row>
    <row r="1966" spans="1:23" customFormat="1">
      <c r="A1966" s="10"/>
      <c r="B1966" s="4"/>
      <c r="C1966" s="4"/>
      <c r="D1966" s="4"/>
      <c r="E1966" s="4"/>
      <c r="F1966" s="152" t="s">
        <v>673</v>
      </c>
      <c r="G1966" s="4" t="s">
        <v>674</v>
      </c>
      <c r="H1966" s="4"/>
      <c r="I1966" s="196">
        <v>-2698</v>
      </c>
      <c r="J1966" s="196">
        <v>-1.9</v>
      </c>
      <c r="K1966" s="196">
        <v>1420</v>
      </c>
      <c r="L1966" s="454" t="s">
        <v>1098</v>
      </c>
      <c r="M1966" s="4" t="s">
        <v>780</v>
      </c>
      <c r="N1966" s="133" t="s">
        <v>781</v>
      </c>
      <c r="O1966" s="4" t="s">
        <v>1175</v>
      </c>
      <c r="P1966" s="4" t="s">
        <v>892</v>
      </c>
      <c r="Q1966" s="4" t="s">
        <v>1176</v>
      </c>
      <c r="R1966" s="4" t="s">
        <v>953</v>
      </c>
      <c r="S1966" s="4" t="s">
        <v>1178</v>
      </c>
      <c r="T1966" s="4" t="s">
        <v>786</v>
      </c>
      <c r="U1966" s="4"/>
      <c r="V1966" s="4"/>
      <c r="W1966" s="4"/>
    </row>
    <row r="1967" spans="1:23" customFormat="1">
      <c r="A1967" s="10"/>
      <c r="B1967" s="4"/>
      <c r="C1967" s="4"/>
      <c r="D1967" s="4"/>
      <c r="E1967" s="4"/>
      <c r="F1967" s="152" t="s">
        <v>673</v>
      </c>
      <c r="G1967" s="4" t="s">
        <v>674</v>
      </c>
      <c r="H1967" s="4"/>
      <c r="I1967" s="196">
        <v>-852000</v>
      </c>
      <c r="J1967" s="196">
        <v>-600</v>
      </c>
      <c r="K1967" s="196">
        <v>1420</v>
      </c>
      <c r="L1967" s="454" t="s">
        <v>1098</v>
      </c>
      <c r="M1967" s="4" t="s">
        <v>780</v>
      </c>
      <c r="N1967" s="133" t="s">
        <v>781</v>
      </c>
      <c r="O1967" s="4" t="s">
        <v>1175</v>
      </c>
      <c r="P1967" s="4" t="s">
        <v>892</v>
      </c>
      <c r="Q1967" s="4" t="s">
        <v>1176</v>
      </c>
      <c r="R1967" s="4" t="s">
        <v>1189</v>
      </c>
      <c r="S1967" s="4" t="s">
        <v>1178</v>
      </c>
      <c r="T1967" s="4" t="s">
        <v>786</v>
      </c>
      <c r="U1967" s="4"/>
      <c r="V1967" s="4"/>
      <c r="W1967" s="4"/>
    </row>
    <row r="1968" spans="1:23" customFormat="1">
      <c r="A1968" s="10"/>
      <c r="B1968" s="4"/>
      <c r="C1968" s="4"/>
      <c r="D1968" s="4"/>
      <c r="E1968" s="4"/>
      <c r="F1968" s="152" t="s">
        <v>673</v>
      </c>
      <c r="G1968" s="4" t="s">
        <v>674</v>
      </c>
      <c r="H1968" s="4"/>
      <c r="I1968" s="196">
        <v>-2698</v>
      </c>
      <c r="J1968" s="196">
        <v>-1.9</v>
      </c>
      <c r="K1968" s="196">
        <v>1420</v>
      </c>
      <c r="L1968" s="454" t="s">
        <v>1098</v>
      </c>
      <c r="M1968" s="4" t="s">
        <v>780</v>
      </c>
      <c r="N1968" s="133" t="s">
        <v>781</v>
      </c>
      <c r="O1968" s="4" t="s">
        <v>1175</v>
      </c>
      <c r="P1968" s="4" t="s">
        <v>892</v>
      </c>
      <c r="Q1968" s="4" t="s">
        <v>1176</v>
      </c>
      <c r="R1968" s="4" t="s">
        <v>953</v>
      </c>
      <c r="S1968" s="4" t="s">
        <v>1178</v>
      </c>
      <c r="T1968" s="4" t="s">
        <v>786</v>
      </c>
      <c r="U1968" s="4"/>
      <c r="V1968" s="4"/>
      <c r="W1968" s="4"/>
    </row>
    <row r="1969" spans="1:23" customFormat="1">
      <c r="A1969" s="10"/>
      <c r="B1969" s="4"/>
      <c r="C1969" s="4"/>
      <c r="D1969" s="4"/>
      <c r="E1969" s="4"/>
      <c r="F1969" s="152" t="s">
        <v>673</v>
      </c>
      <c r="G1969" s="4" t="s">
        <v>674</v>
      </c>
      <c r="H1969" s="4"/>
      <c r="I1969" s="196">
        <v>-1207000</v>
      </c>
      <c r="J1969" s="196">
        <v>-850</v>
      </c>
      <c r="K1969" s="196">
        <v>1420</v>
      </c>
      <c r="L1969" s="454" t="s">
        <v>1098</v>
      </c>
      <c r="M1969" s="4" t="s">
        <v>780</v>
      </c>
      <c r="N1969" s="133" t="s">
        <v>781</v>
      </c>
      <c r="O1969" s="4" t="s">
        <v>1175</v>
      </c>
      <c r="P1969" s="4" t="s">
        <v>892</v>
      </c>
      <c r="Q1969" s="4" t="s">
        <v>1176</v>
      </c>
      <c r="R1969" s="4" t="s">
        <v>1184</v>
      </c>
      <c r="S1969" s="4" t="s">
        <v>1178</v>
      </c>
      <c r="T1969" s="4" t="s">
        <v>786</v>
      </c>
      <c r="U1969" s="4"/>
      <c r="V1969" s="4"/>
      <c r="W1969" s="4"/>
    </row>
    <row r="1970" spans="1:23" customFormat="1">
      <c r="A1970" s="10"/>
      <c r="B1970" s="4"/>
      <c r="C1970" s="4"/>
      <c r="D1970" s="4"/>
      <c r="E1970" s="4"/>
      <c r="F1970" s="152" t="s">
        <v>673</v>
      </c>
      <c r="G1970" s="4" t="s">
        <v>674</v>
      </c>
      <c r="H1970" s="4"/>
      <c r="I1970" s="196">
        <v>-1420000</v>
      </c>
      <c r="J1970" s="196">
        <v>-1000</v>
      </c>
      <c r="K1970" s="196">
        <v>1420</v>
      </c>
      <c r="L1970" s="454" t="s">
        <v>1198</v>
      </c>
      <c r="M1970" s="4" t="s">
        <v>780</v>
      </c>
      <c r="N1970" s="133" t="s">
        <v>781</v>
      </c>
      <c r="O1970" s="4" t="s">
        <v>1199</v>
      </c>
      <c r="P1970" s="4" t="s">
        <v>892</v>
      </c>
      <c r="Q1970" s="4" t="s">
        <v>1200</v>
      </c>
      <c r="R1970" s="4"/>
      <c r="S1970" s="4" t="s">
        <v>1201</v>
      </c>
      <c r="T1970" s="4" t="s">
        <v>786</v>
      </c>
      <c r="U1970" s="4"/>
      <c r="V1970" s="4"/>
      <c r="W1970" s="4"/>
    </row>
    <row r="1971" spans="1:23" customFormat="1">
      <c r="A1971" s="10"/>
      <c r="B1971" s="4"/>
      <c r="C1971" s="4"/>
      <c r="D1971" s="4"/>
      <c r="E1971" s="4"/>
      <c r="F1971" s="152" t="s">
        <v>673</v>
      </c>
      <c r="G1971" s="4" t="s">
        <v>674</v>
      </c>
      <c r="H1971" s="4"/>
      <c r="I1971" s="196">
        <v>-1136000</v>
      </c>
      <c r="J1971" s="196">
        <v>-800</v>
      </c>
      <c r="K1971" s="196">
        <v>1420</v>
      </c>
      <c r="L1971" s="454" t="s">
        <v>1198</v>
      </c>
      <c r="M1971" s="4" t="s">
        <v>780</v>
      </c>
      <c r="N1971" s="133" t="s">
        <v>781</v>
      </c>
      <c r="O1971" s="4" t="s">
        <v>1202</v>
      </c>
      <c r="P1971" s="4" t="s">
        <v>892</v>
      </c>
      <c r="Q1971" s="4" t="s">
        <v>1203</v>
      </c>
      <c r="R1971" s="4"/>
      <c r="S1971" s="4" t="s">
        <v>1204</v>
      </c>
      <c r="T1971" s="4" t="s">
        <v>786</v>
      </c>
      <c r="U1971" s="4"/>
      <c r="V1971" s="4"/>
      <c r="W1971" s="4"/>
    </row>
    <row r="1972" spans="1:23" customFormat="1">
      <c r="A1972" s="10"/>
      <c r="B1972" s="4"/>
      <c r="C1972" s="4"/>
      <c r="D1972" s="4"/>
      <c r="E1972" s="4"/>
      <c r="F1972" s="152" t="s">
        <v>673</v>
      </c>
      <c r="G1972" s="4" t="s">
        <v>674</v>
      </c>
      <c r="H1972" s="4"/>
      <c r="I1972" s="196">
        <v>15584500</v>
      </c>
      <c r="J1972" s="196">
        <v>10975</v>
      </c>
      <c r="K1972" s="196">
        <v>1420</v>
      </c>
      <c r="L1972" s="454" t="s">
        <v>1210</v>
      </c>
      <c r="M1972" s="4" t="s">
        <v>780</v>
      </c>
      <c r="N1972" s="133" t="s">
        <v>781</v>
      </c>
      <c r="O1972" s="4" t="s">
        <v>1211</v>
      </c>
      <c r="P1972" s="4" t="s">
        <v>892</v>
      </c>
      <c r="Q1972" s="4" t="s">
        <v>1212</v>
      </c>
      <c r="R1972" s="4" t="s">
        <v>806</v>
      </c>
      <c r="S1972" s="4" t="s">
        <v>1213</v>
      </c>
      <c r="T1972" s="4" t="s">
        <v>786</v>
      </c>
      <c r="U1972" s="4"/>
      <c r="V1972" s="4"/>
      <c r="W1972" s="4"/>
    </row>
    <row r="1973" spans="1:23" customFormat="1">
      <c r="A1973" s="10"/>
      <c r="B1973" s="4"/>
      <c r="C1973" s="4"/>
      <c r="D1973" s="4"/>
      <c r="E1973" s="4"/>
      <c r="F1973" s="152" t="s">
        <v>673</v>
      </c>
      <c r="G1973" s="4" t="s">
        <v>674</v>
      </c>
      <c r="H1973" s="4"/>
      <c r="I1973" s="196">
        <v>10756500</v>
      </c>
      <c r="J1973" s="196">
        <v>7575</v>
      </c>
      <c r="K1973" s="196">
        <v>1420</v>
      </c>
      <c r="L1973" s="454" t="s">
        <v>1210</v>
      </c>
      <c r="M1973" s="4" t="s">
        <v>780</v>
      </c>
      <c r="N1973" s="133" t="s">
        <v>781</v>
      </c>
      <c r="O1973" s="4" t="s">
        <v>1211</v>
      </c>
      <c r="P1973" s="4" t="s">
        <v>892</v>
      </c>
      <c r="Q1973" s="4" t="s">
        <v>1212</v>
      </c>
      <c r="R1973" s="4" t="s">
        <v>806</v>
      </c>
      <c r="S1973" s="4" t="s">
        <v>1213</v>
      </c>
      <c r="T1973" s="4" t="s">
        <v>786</v>
      </c>
      <c r="U1973" s="4"/>
      <c r="V1973" s="4"/>
      <c r="W1973" s="4"/>
    </row>
    <row r="1974" spans="1:23" customFormat="1">
      <c r="A1974" s="10"/>
      <c r="B1974" s="4"/>
      <c r="C1974" s="4"/>
      <c r="D1974" s="4"/>
      <c r="E1974" s="4"/>
      <c r="F1974" s="152" t="s">
        <v>673</v>
      </c>
      <c r="G1974" s="4" t="s">
        <v>674</v>
      </c>
      <c r="H1974" s="4"/>
      <c r="I1974" s="196">
        <v>-1093400</v>
      </c>
      <c r="J1974" s="196">
        <v>-770</v>
      </c>
      <c r="K1974" s="196">
        <v>1420</v>
      </c>
      <c r="L1974" s="454" t="s">
        <v>1205</v>
      </c>
      <c r="M1974" s="4" t="s">
        <v>780</v>
      </c>
      <c r="N1974" s="133" t="s">
        <v>781</v>
      </c>
      <c r="O1974" s="4" t="s">
        <v>1233</v>
      </c>
      <c r="P1974" s="4" t="s">
        <v>892</v>
      </c>
      <c r="Q1974" s="4" t="s">
        <v>1234</v>
      </c>
      <c r="R1974" s="4" t="s">
        <v>1235</v>
      </c>
      <c r="S1974" s="4" t="s">
        <v>1236</v>
      </c>
      <c r="T1974" s="4" t="s">
        <v>786</v>
      </c>
      <c r="U1974" s="4"/>
      <c r="V1974" s="4"/>
      <c r="W1974" s="4"/>
    </row>
    <row r="1975" spans="1:23" customFormat="1">
      <c r="A1975" s="10"/>
      <c r="B1975" s="4"/>
      <c r="C1975" s="4"/>
      <c r="D1975" s="4"/>
      <c r="E1975" s="4"/>
      <c r="F1975" s="152" t="s">
        <v>673</v>
      </c>
      <c r="G1975" s="4" t="s">
        <v>674</v>
      </c>
      <c r="H1975" s="4"/>
      <c r="I1975" s="196">
        <v>-371727.6</v>
      </c>
      <c r="J1975" s="196">
        <v>-261.77999999999997</v>
      </c>
      <c r="K1975" s="196">
        <v>1420</v>
      </c>
      <c r="L1975" s="454" t="s">
        <v>1205</v>
      </c>
      <c r="M1975" s="4" t="s">
        <v>780</v>
      </c>
      <c r="N1975" s="133" t="s">
        <v>781</v>
      </c>
      <c r="O1975" s="4" t="s">
        <v>1233</v>
      </c>
      <c r="P1975" s="4" t="s">
        <v>892</v>
      </c>
      <c r="Q1975" s="4" t="s">
        <v>1234</v>
      </c>
      <c r="R1975" s="4" t="s">
        <v>1237</v>
      </c>
      <c r="S1975" s="4" t="s">
        <v>1236</v>
      </c>
      <c r="T1975" s="4" t="s">
        <v>786</v>
      </c>
      <c r="U1975" s="4"/>
      <c r="V1975" s="4"/>
      <c r="W1975" s="4"/>
    </row>
    <row r="1976" spans="1:23" customFormat="1">
      <c r="A1976" s="10"/>
      <c r="B1976" s="4"/>
      <c r="C1976" s="4"/>
      <c r="D1976" s="4"/>
      <c r="E1976" s="4"/>
      <c r="F1976" s="152" t="s">
        <v>673</v>
      </c>
      <c r="G1976" s="4" t="s">
        <v>674</v>
      </c>
      <c r="H1976" s="4"/>
      <c r="I1976" s="196">
        <v>-2698</v>
      </c>
      <c r="J1976" s="196">
        <v>-1.9</v>
      </c>
      <c r="K1976" s="196">
        <v>1420</v>
      </c>
      <c r="L1976" s="454" t="s">
        <v>1205</v>
      </c>
      <c r="M1976" s="4" t="s">
        <v>780</v>
      </c>
      <c r="N1976" s="133" t="s">
        <v>781</v>
      </c>
      <c r="O1976" s="4" t="s">
        <v>1233</v>
      </c>
      <c r="P1976" s="4" t="s">
        <v>892</v>
      </c>
      <c r="Q1976" s="4" t="s">
        <v>1234</v>
      </c>
      <c r="R1976" s="4" t="s">
        <v>953</v>
      </c>
      <c r="S1976" s="4" t="s">
        <v>1236</v>
      </c>
      <c r="T1976" s="4" t="s">
        <v>786</v>
      </c>
      <c r="U1976" s="4"/>
      <c r="V1976" s="4"/>
      <c r="W1976" s="4"/>
    </row>
    <row r="1977" spans="1:23" customFormat="1">
      <c r="A1977" s="10"/>
      <c r="B1977" s="4"/>
      <c r="C1977" s="4"/>
      <c r="D1977" s="4"/>
      <c r="E1977" s="4"/>
      <c r="F1977" s="152" t="s">
        <v>673</v>
      </c>
      <c r="G1977" s="4" t="s">
        <v>674</v>
      </c>
      <c r="H1977" s="4"/>
      <c r="I1977" s="196">
        <v>-725577.4</v>
      </c>
      <c r="J1977" s="196">
        <v>-510.97</v>
      </c>
      <c r="K1977" s="196">
        <v>1420</v>
      </c>
      <c r="L1977" s="454" t="s">
        <v>1205</v>
      </c>
      <c r="M1977" s="4" t="s">
        <v>780</v>
      </c>
      <c r="N1977" s="133" t="s">
        <v>781</v>
      </c>
      <c r="O1977" s="4" t="s">
        <v>1233</v>
      </c>
      <c r="P1977" s="4" t="s">
        <v>892</v>
      </c>
      <c r="Q1977" s="4" t="s">
        <v>1234</v>
      </c>
      <c r="R1977" s="4" t="s">
        <v>1238</v>
      </c>
      <c r="S1977" s="4" t="s">
        <v>1236</v>
      </c>
      <c r="T1977" s="4" t="s">
        <v>786</v>
      </c>
      <c r="U1977" s="4"/>
      <c r="V1977" s="4"/>
      <c r="W1977" s="4"/>
    </row>
    <row r="1978" spans="1:23" customFormat="1">
      <c r="A1978" s="10"/>
      <c r="B1978" s="4"/>
      <c r="C1978" s="4"/>
      <c r="D1978" s="4"/>
      <c r="E1978" s="4"/>
      <c r="F1978" s="152" t="s">
        <v>673</v>
      </c>
      <c r="G1978" s="4" t="s">
        <v>674</v>
      </c>
      <c r="H1978" s="4"/>
      <c r="I1978" s="196">
        <v>-6390000</v>
      </c>
      <c r="J1978" s="196">
        <v>-4500</v>
      </c>
      <c r="K1978" s="196">
        <v>1420</v>
      </c>
      <c r="L1978" s="454" t="s">
        <v>1239</v>
      </c>
      <c r="M1978" s="4" t="s">
        <v>780</v>
      </c>
      <c r="N1978" s="133" t="s">
        <v>781</v>
      </c>
      <c r="O1978" s="4" t="s">
        <v>1240</v>
      </c>
      <c r="P1978" s="4" t="s">
        <v>892</v>
      </c>
      <c r="Q1978" s="4" t="s">
        <v>1241</v>
      </c>
      <c r="R1978" s="4" t="s">
        <v>1244</v>
      </c>
      <c r="S1978" s="4" t="s">
        <v>1243</v>
      </c>
      <c r="T1978" s="4" t="s">
        <v>786</v>
      </c>
      <c r="U1978" s="4"/>
      <c r="V1978" s="4"/>
      <c r="W1978" s="4"/>
    </row>
    <row r="1979" spans="1:23" customFormat="1">
      <c r="A1979" s="10"/>
      <c r="B1979" s="4"/>
      <c r="C1979" s="4"/>
      <c r="D1979" s="4"/>
      <c r="E1979" s="4"/>
      <c r="F1979" s="152" t="s">
        <v>673</v>
      </c>
      <c r="G1979" s="4" t="s">
        <v>674</v>
      </c>
      <c r="H1979" s="4"/>
      <c r="I1979" s="196">
        <v>-28400</v>
      </c>
      <c r="J1979" s="196">
        <v>-20</v>
      </c>
      <c r="K1979" s="196">
        <v>1420</v>
      </c>
      <c r="L1979" s="454" t="s">
        <v>1239</v>
      </c>
      <c r="M1979" s="4" t="s">
        <v>780</v>
      </c>
      <c r="N1979" s="133" t="s">
        <v>781</v>
      </c>
      <c r="O1979" s="4" t="s">
        <v>1240</v>
      </c>
      <c r="P1979" s="4" t="s">
        <v>892</v>
      </c>
      <c r="Q1979" s="4" t="s">
        <v>1241</v>
      </c>
      <c r="R1979" s="4" t="s">
        <v>1146</v>
      </c>
      <c r="S1979" s="4" t="s">
        <v>1243</v>
      </c>
      <c r="T1979" s="4" t="s">
        <v>786</v>
      </c>
      <c r="U1979" s="4"/>
      <c r="V1979" s="4"/>
      <c r="W1979" s="4"/>
    </row>
    <row r="1980" spans="1:23" customFormat="1">
      <c r="A1980" s="10"/>
      <c r="B1980" s="4"/>
      <c r="C1980" s="4"/>
      <c r="D1980" s="4"/>
      <c r="E1980" s="4"/>
      <c r="F1980" s="152" t="s">
        <v>673</v>
      </c>
      <c r="G1980" s="4" t="s">
        <v>674</v>
      </c>
      <c r="H1980" s="4"/>
      <c r="I1980" s="196">
        <v>-45440</v>
      </c>
      <c r="J1980" s="196">
        <v>-32</v>
      </c>
      <c r="K1980" s="196">
        <v>1420</v>
      </c>
      <c r="L1980" s="454" t="s">
        <v>1239</v>
      </c>
      <c r="M1980" s="4" t="s">
        <v>780</v>
      </c>
      <c r="N1980" s="133" t="s">
        <v>781</v>
      </c>
      <c r="O1980" s="4" t="s">
        <v>1240</v>
      </c>
      <c r="P1980" s="4" t="s">
        <v>892</v>
      </c>
      <c r="Q1980" s="4" t="s">
        <v>1241</v>
      </c>
      <c r="R1980" s="4" t="s">
        <v>851</v>
      </c>
      <c r="S1980" s="4" t="s">
        <v>1243</v>
      </c>
      <c r="T1980" s="4" t="s">
        <v>786</v>
      </c>
      <c r="U1980" s="4"/>
      <c r="V1980" s="4"/>
      <c r="W1980" s="4"/>
    </row>
    <row r="1981" spans="1:23" customFormat="1">
      <c r="A1981" s="10"/>
      <c r="B1981" s="4"/>
      <c r="C1981" s="4"/>
      <c r="D1981" s="4"/>
      <c r="E1981" s="4"/>
      <c r="F1981" s="152" t="s">
        <v>673</v>
      </c>
      <c r="G1981" s="4" t="s">
        <v>674</v>
      </c>
      <c r="H1981" s="4"/>
      <c r="I1981" s="196">
        <v>-35500</v>
      </c>
      <c r="J1981" s="196">
        <v>-25</v>
      </c>
      <c r="K1981" s="196">
        <v>1420</v>
      </c>
      <c r="L1981" s="454" t="s">
        <v>1239</v>
      </c>
      <c r="M1981" s="4" t="s">
        <v>780</v>
      </c>
      <c r="N1981" s="133" t="s">
        <v>781</v>
      </c>
      <c r="O1981" s="4" t="s">
        <v>1240</v>
      </c>
      <c r="P1981" s="4" t="s">
        <v>892</v>
      </c>
      <c r="Q1981" s="4" t="s">
        <v>1241</v>
      </c>
      <c r="R1981" s="4" t="s">
        <v>806</v>
      </c>
      <c r="S1981" s="4" t="s">
        <v>1243</v>
      </c>
      <c r="T1981" s="4" t="s">
        <v>786</v>
      </c>
      <c r="U1981" s="4"/>
      <c r="V1981" s="4"/>
      <c r="W1981" s="4"/>
    </row>
    <row r="1982" spans="1:23" customFormat="1">
      <c r="A1982" s="10"/>
      <c r="B1982" s="4"/>
      <c r="C1982" s="4"/>
      <c r="D1982" s="4"/>
      <c r="E1982" s="4"/>
      <c r="F1982" s="152" t="s">
        <v>673</v>
      </c>
      <c r="G1982" s="4" t="s">
        <v>674</v>
      </c>
      <c r="H1982" s="4"/>
      <c r="I1982" s="196">
        <v>-35500</v>
      </c>
      <c r="J1982" s="196">
        <v>-25</v>
      </c>
      <c r="K1982" s="196">
        <v>1420</v>
      </c>
      <c r="L1982" s="454" t="s">
        <v>1239</v>
      </c>
      <c r="M1982" s="4" t="s">
        <v>780</v>
      </c>
      <c r="N1982" s="133" t="s">
        <v>781</v>
      </c>
      <c r="O1982" s="4" t="s">
        <v>1240</v>
      </c>
      <c r="P1982" s="4" t="s">
        <v>892</v>
      </c>
      <c r="Q1982" s="4" t="s">
        <v>1241</v>
      </c>
      <c r="R1982" s="4" t="s">
        <v>1242</v>
      </c>
      <c r="S1982" s="4" t="s">
        <v>1243</v>
      </c>
      <c r="T1982" s="4" t="s">
        <v>786</v>
      </c>
      <c r="U1982" s="4"/>
      <c r="V1982" s="4"/>
      <c r="W1982" s="4"/>
    </row>
    <row r="1983" spans="1:23" customFormat="1">
      <c r="A1983" s="10"/>
      <c r="B1983" s="4"/>
      <c r="C1983" s="4"/>
      <c r="D1983" s="4"/>
      <c r="E1983" s="4"/>
      <c r="F1983" s="152" t="s">
        <v>666</v>
      </c>
      <c r="G1983" s="4" t="s">
        <v>667</v>
      </c>
      <c r="H1983" s="4"/>
      <c r="I1983" s="196">
        <v>28400</v>
      </c>
      <c r="J1983" s="196">
        <v>20</v>
      </c>
      <c r="K1983" s="196">
        <v>1420</v>
      </c>
      <c r="L1983" s="454" t="s">
        <v>787</v>
      </c>
      <c r="M1983" s="4" t="s">
        <v>780</v>
      </c>
      <c r="N1983" s="133" t="s">
        <v>1272</v>
      </c>
      <c r="O1983" s="4" t="s">
        <v>1273</v>
      </c>
      <c r="P1983" s="4" t="s">
        <v>783</v>
      </c>
      <c r="Q1983" s="4" t="s">
        <v>1274</v>
      </c>
      <c r="R1983" s="4"/>
      <c r="S1983" s="4" t="s">
        <v>1275</v>
      </c>
      <c r="T1983" s="4" t="s">
        <v>786</v>
      </c>
      <c r="U1983" s="4"/>
      <c r="V1983" s="4"/>
      <c r="W1983" s="4"/>
    </row>
    <row r="1984" spans="1:23" customFormat="1">
      <c r="A1984" s="10"/>
      <c r="B1984" s="4"/>
      <c r="C1984" s="4"/>
      <c r="D1984" s="4"/>
      <c r="E1984" s="4"/>
      <c r="F1984" s="152" t="s">
        <v>666</v>
      </c>
      <c r="G1984" s="4" t="s">
        <v>667</v>
      </c>
      <c r="H1984" s="4"/>
      <c r="I1984" s="196">
        <v>-28400</v>
      </c>
      <c r="J1984" s="196">
        <v>-20</v>
      </c>
      <c r="K1984" s="196">
        <v>1420</v>
      </c>
      <c r="L1984" s="454" t="s">
        <v>787</v>
      </c>
      <c r="M1984" s="4" t="s">
        <v>780</v>
      </c>
      <c r="N1984" s="133" t="s">
        <v>1272</v>
      </c>
      <c r="O1984" s="4" t="s">
        <v>1276</v>
      </c>
      <c r="P1984" s="4" t="s">
        <v>783</v>
      </c>
      <c r="Q1984" s="4" t="s">
        <v>1277</v>
      </c>
      <c r="R1984" s="4"/>
      <c r="S1984" s="4" t="s">
        <v>1278</v>
      </c>
      <c r="T1984" s="4" t="s">
        <v>786</v>
      </c>
      <c r="U1984" s="4"/>
      <c r="V1984" s="4"/>
      <c r="W1984" s="4"/>
    </row>
    <row r="1985" spans="1:23" customFormat="1">
      <c r="A1985" s="10"/>
      <c r="B1985" s="4"/>
      <c r="C1985" s="4"/>
      <c r="D1985" s="4"/>
      <c r="E1985" s="4"/>
      <c r="F1985" s="152" t="s">
        <v>666</v>
      </c>
      <c r="G1985" s="4" t="s">
        <v>667</v>
      </c>
      <c r="H1985" s="4"/>
      <c r="I1985" s="196">
        <v>-28400</v>
      </c>
      <c r="J1985" s="196">
        <v>-20</v>
      </c>
      <c r="K1985" s="196">
        <v>1420</v>
      </c>
      <c r="L1985" s="454" t="s">
        <v>787</v>
      </c>
      <c r="M1985" s="4" t="s">
        <v>780</v>
      </c>
      <c r="N1985" s="133" t="s">
        <v>1272</v>
      </c>
      <c r="O1985" s="4" t="s">
        <v>1279</v>
      </c>
      <c r="P1985" s="4" t="s">
        <v>783</v>
      </c>
      <c r="Q1985" s="4" t="s">
        <v>1280</v>
      </c>
      <c r="R1985" s="4"/>
      <c r="S1985" s="4" t="s">
        <v>1281</v>
      </c>
      <c r="T1985" s="4" t="s">
        <v>786</v>
      </c>
      <c r="U1985" s="4"/>
      <c r="V1985" s="4"/>
      <c r="W1985" s="4"/>
    </row>
    <row r="1986" spans="1:23" customFormat="1">
      <c r="A1986" s="10"/>
      <c r="B1986" s="4"/>
      <c r="C1986" s="4"/>
      <c r="D1986" s="4"/>
      <c r="E1986" s="4"/>
      <c r="F1986" s="152" t="s">
        <v>666</v>
      </c>
      <c r="G1986" s="4" t="s">
        <v>667</v>
      </c>
      <c r="H1986" s="4"/>
      <c r="I1986" s="196">
        <v>355710</v>
      </c>
      <c r="J1986" s="196">
        <v>250.5</v>
      </c>
      <c r="K1986" s="196">
        <v>1420</v>
      </c>
      <c r="L1986" s="454" t="s">
        <v>787</v>
      </c>
      <c r="M1986" s="4" t="s">
        <v>780</v>
      </c>
      <c r="N1986" s="133" t="s">
        <v>1272</v>
      </c>
      <c r="O1986" s="4" t="s">
        <v>1282</v>
      </c>
      <c r="P1986" s="4" t="s">
        <v>783</v>
      </c>
      <c r="Q1986" s="4" t="s">
        <v>1283</v>
      </c>
      <c r="R1986" s="4" t="s">
        <v>1284</v>
      </c>
      <c r="S1986" s="4" t="s">
        <v>1285</v>
      </c>
      <c r="T1986" s="4" t="s">
        <v>786</v>
      </c>
      <c r="U1986" s="4"/>
      <c r="V1986" s="4"/>
      <c r="W1986" s="4"/>
    </row>
    <row r="1987" spans="1:23" customFormat="1">
      <c r="A1987" s="10"/>
      <c r="B1987" s="4"/>
      <c r="C1987" s="4"/>
      <c r="D1987" s="4"/>
      <c r="E1987" s="4"/>
      <c r="F1987" s="152" t="s">
        <v>666</v>
      </c>
      <c r="G1987" s="4" t="s">
        <v>667</v>
      </c>
      <c r="H1987" s="4"/>
      <c r="I1987" s="196">
        <v>1249.5999999999999</v>
      </c>
      <c r="J1987" s="196">
        <v>0.88</v>
      </c>
      <c r="K1987" s="196">
        <v>1420</v>
      </c>
      <c r="L1987" s="454" t="s">
        <v>787</v>
      </c>
      <c r="M1987" s="4" t="s">
        <v>780</v>
      </c>
      <c r="N1987" s="133" t="s">
        <v>1272</v>
      </c>
      <c r="O1987" s="4" t="s">
        <v>1282</v>
      </c>
      <c r="P1987" s="4" t="s">
        <v>783</v>
      </c>
      <c r="Q1987" s="4" t="s">
        <v>1283</v>
      </c>
      <c r="R1987" s="4" t="s">
        <v>1286</v>
      </c>
      <c r="S1987" s="4" t="s">
        <v>1285</v>
      </c>
      <c r="T1987" s="4" t="s">
        <v>786</v>
      </c>
      <c r="U1987" s="4"/>
      <c r="V1987" s="4"/>
      <c r="W1987" s="4"/>
    </row>
    <row r="1988" spans="1:23" customFormat="1">
      <c r="A1988" s="10"/>
      <c r="B1988" s="4"/>
      <c r="C1988" s="4"/>
      <c r="D1988" s="4"/>
      <c r="E1988" s="4"/>
      <c r="F1988" s="152" t="s">
        <v>666</v>
      </c>
      <c r="G1988" s="4" t="s">
        <v>667</v>
      </c>
      <c r="H1988" s="4"/>
      <c r="I1988" s="196">
        <v>-67322.2</v>
      </c>
      <c r="J1988" s="196">
        <v>-47.41</v>
      </c>
      <c r="K1988" s="196">
        <v>1420</v>
      </c>
      <c r="L1988" s="454" t="s">
        <v>787</v>
      </c>
      <c r="M1988" s="4" t="s">
        <v>780</v>
      </c>
      <c r="N1988" s="133" t="s">
        <v>1272</v>
      </c>
      <c r="O1988" s="4" t="s">
        <v>1287</v>
      </c>
      <c r="P1988" s="4" t="s">
        <v>783</v>
      </c>
      <c r="Q1988" s="4" t="s">
        <v>1288</v>
      </c>
      <c r="R1988" s="4" t="s">
        <v>1289</v>
      </c>
      <c r="S1988" s="4" t="s">
        <v>1290</v>
      </c>
      <c r="T1988" s="4" t="s">
        <v>786</v>
      </c>
      <c r="U1988" s="4"/>
      <c r="V1988" s="4"/>
      <c r="W1988" s="4"/>
    </row>
    <row r="1989" spans="1:23" customFormat="1">
      <c r="A1989" s="10"/>
      <c r="B1989" s="4"/>
      <c r="C1989" s="4"/>
      <c r="D1989" s="4"/>
      <c r="E1989" s="4"/>
      <c r="F1989" s="152" t="s">
        <v>666</v>
      </c>
      <c r="G1989" s="4" t="s">
        <v>667</v>
      </c>
      <c r="H1989" s="4"/>
      <c r="I1989" s="196">
        <v>-165330.6</v>
      </c>
      <c r="J1989" s="196">
        <v>-116.43</v>
      </c>
      <c r="K1989" s="196">
        <v>1420</v>
      </c>
      <c r="L1989" s="454" t="s">
        <v>787</v>
      </c>
      <c r="M1989" s="4" t="s">
        <v>780</v>
      </c>
      <c r="N1989" s="133" t="s">
        <v>1272</v>
      </c>
      <c r="O1989" s="4" t="s">
        <v>1287</v>
      </c>
      <c r="P1989" s="4" t="s">
        <v>783</v>
      </c>
      <c r="Q1989" s="4" t="s">
        <v>1288</v>
      </c>
      <c r="R1989" s="4" t="s">
        <v>1291</v>
      </c>
      <c r="S1989" s="4" t="s">
        <v>1290</v>
      </c>
      <c r="T1989" s="4" t="s">
        <v>786</v>
      </c>
      <c r="U1989" s="4"/>
      <c r="V1989" s="4"/>
      <c r="W1989" s="4"/>
    </row>
    <row r="1990" spans="1:23" customFormat="1">
      <c r="A1990" s="10"/>
      <c r="B1990" s="4"/>
      <c r="C1990" s="4"/>
      <c r="D1990" s="4"/>
      <c r="E1990" s="4"/>
      <c r="F1990" s="152" t="s">
        <v>666</v>
      </c>
      <c r="G1990" s="4" t="s">
        <v>667</v>
      </c>
      <c r="H1990" s="4"/>
      <c r="I1990" s="196">
        <v>-76623.199999999997</v>
      </c>
      <c r="J1990" s="196">
        <v>-53.96</v>
      </c>
      <c r="K1990" s="196">
        <v>1420</v>
      </c>
      <c r="L1990" s="454" t="s">
        <v>787</v>
      </c>
      <c r="M1990" s="4" t="s">
        <v>780</v>
      </c>
      <c r="N1990" s="133" t="s">
        <v>1272</v>
      </c>
      <c r="O1990" s="4" t="s">
        <v>1287</v>
      </c>
      <c r="P1990" s="4" t="s">
        <v>783</v>
      </c>
      <c r="Q1990" s="4" t="s">
        <v>1288</v>
      </c>
      <c r="R1990" s="4" t="s">
        <v>1293</v>
      </c>
      <c r="S1990" s="4" t="s">
        <v>1290</v>
      </c>
      <c r="T1990" s="4" t="s">
        <v>786</v>
      </c>
      <c r="U1990" s="4"/>
      <c r="V1990" s="4"/>
      <c r="W1990" s="4"/>
    </row>
    <row r="1991" spans="1:23" customFormat="1">
      <c r="A1991" s="10"/>
      <c r="B1991" s="4"/>
      <c r="C1991" s="4"/>
      <c r="D1991" s="4"/>
      <c r="E1991" s="4"/>
      <c r="F1991" s="152" t="s">
        <v>666</v>
      </c>
      <c r="G1991" s="4" t="s">
        <v>667</v>
      </c>
      <c r="H1991" s="4"/>
      <c r="I1991" s="196">
        <v>-29351.4</v>
      </c>
      <c r="J1991" s="196">
        <v>-20.67</v>
      </c>
      <c r="K1991" s="196">
        <v>1420</v>
      </c>
      <c r="L1991" s="454" t="s">
        <v>787</v>
      </c>
      <c r="M1991" s="4" t="s">
        <v>780</v>
      </c>
      <c r="N1991" s="133" t="s">
        <v>1272</v>
      </c>
      <c r="O1991" s="4" t="s">
        <v>1287</v>
      </c>
      <c r="P1991" s="4" t="s">
        <v>783</v>
      </c>
      <c r="Q1991" s="4" t="s">
        <v>1288</v>
      </c>
      <c r="R1991" s="4" t="s">
        <v>1292</v>
      </c>
      <c r="S1991" s="4" t="s">
        <v>1290</v>
      </c>
      <c r="T1991" s="4" t="s">
        <v>786</v>
      </c>
      <c r="U1991" s="4"/>
      <c r="V1991" s="4"/>
      <c r="W1991" s="4"/>
    </row>
    <row r="1992" spans="1:23" customFormat="1">
      <c r="A1992" s="10"/>
      <c r="B1992" s="4"/>
      <c r="C1992" s="4"/>
      <c r="D1992" s="4"/>
      <c r="E1992" s="4"/>
      <c r="F1992" s="152" t="s">
        <v>666</v>
      </c>
      <c r="G1992" s="4" t="s">
        <v>667</v>
      </c>
      <c r="H1992" s="4"/>
      <c r="I1992" s="196">
        <v>211669.2</v>
      </c>
      <c r="J1992" s="196">
        <v>152.28</v>
      </c>
      <c r="K1992" s="196">
        <v>1390</v>
      </c>
      <c r="L1992" s="454" t="s">
        <v>899</v>
      </c>
      <c r="M1992" s="4" t="s">
        <v>780</v>
      </c>
      <c r="N1992" s="133" t="s">
        <v>1272</v>
      </c>
      <c r="O1992" s="4" t="s">
        <v>1298</v>
      </c>
      <c r="P1992" s="4" t="s">
        <v>892</v>
      </c>
      <c r="Q1992" s="4" t="s">
        <v>1299</v>
      </c>
      <c r="R1992" s="4" t="s">
        <v>1300</v>
      </c>
      <c r="S1992" s="4" t="s">
        <v>1301</v>
      </c>
      <c r="T1992" s="4" t="s">
        <v>786</v>
      </c>
      <c r="U1992" s="4"/>
      <c r="V1992" s="4"/>
      <c r="W1992" s="4"/>
    </row>
    <row r="1993" spans="1:23" customFormat="1">
      <c r="A1993" s="10"/>
      <c r="B1993" s="4"/>
      <c r="C1993" s="4"/>
      <c r="D1993" s="4"/>
      <c r="E1993" s="4"/>
      <c r="F1993" s="152" t="s">
        <v>666</v>
      </c>
      <c r="G1993" s="4" t="s">
        <v>667</v>
      </c>
      <c r="H1993" s="4"/>
      <c r="I1993" s="196">
        <v>-83455.600000000006</v>
      </c>
      <c r="J1993" s="196">
        <v>-60.04</v>
      </c>
      <c r="K1993" s="196">
        <v>1390</v>
      </c>
      <c r="L1993" s="454" t="s">
        <v>899</v>
      </c>
      <c r="M1993" s="4" t="s">
        <v>780</v>
      </c>
      <c r="N1993" s="133" t="s">
        <v>1272</v>
      </c>
      <c r="O1993" s="4" t="s">
        <v>1302</v>
      </c>
      <c r="P1993" s="4" t="s">
        <v>892</v>
      </c>
      <c r="Q1993" s="4" t="s">
        <v>1303</v>
      </c>
      <c r="R1993" s="4" t="s">
        <v>1289</v>
      </c>
      <c r="S1993" s="4" t="s">
        <v>1304</v>
      </c>
      <c r="T1993" s="4" t="s">
        <v>786</v>
      </c>
      <c r="U1993" s="4"/>
      <c r="V1993" s="4"/>
      <c r="W1993" s="4"/>
    </row>
    <row r="1994" spans="1:23" customFormat="1">
      <c r="A1994" s="10"/>
      <c r="B1994" s="4"/>
      <c r="C1994" s="4"/>
      <c r="D1994" s="4"/>
      <c r="E1994" s="4"/>
      <c r="F1994" s="152" t="s">
        <v>666</v>
      </c>
      <c r="G1994" s="4" t="s">
        <v>667</v>
      </c>
      <c r="H1994" s="4"/>
      <c r="I1994" s="196">
        <v>1246</v>
      </c>
      <c r="J1994" s="196">
        <v>0.89</v>
      </c>
      <c r="K1994" s="196">
        <v>1400</v>
      </c>
      <c r="L1994" s="454" t="s">
        <v>1017</v>
      </c>
      <c r="M1994" s="4" t="s">
        <v>780</v>
      </c>
      <c r="N1994" s="133" t="s">
        <v>1272</v>
      </c>
      <c r="O1994" s="4" t="s">
        <v>1310</v>
      </c>
      <c r="P1994" s="4" t="s">
        <v>892</v>
      </c>
      <c r="Q1994" s="4" t="s">
        <v>1311</v>
      </c>
      <c r="R1994" s="4" t="s">
        <v>1312</v>
      </c>
      <c r="S1994" s="4" t="s">
        <v>1313</v>
      </c>
      <c r="T1994" s="4" t="s">
        <v>786</v>
      </c>
      <c r="U1994" s="4"/>
      <c r="V1994" s="4"/>
      <c r="W1994" s="4"/>
    </row>
    <row r="1995" spans="1:23" customFormat="1">
      <c r="A1995" s="10"/>
      <c r="B1995" s="4"/>
      <c r="C1995" s="4"/>
      <c r="D1995" s="4"/>
      <c r="E1995" s="4"/>
      <c r="F1995" s="152" t="s">
        <v>666</v>
      </c>
      <c r="G1995" s="4" t="s">
        <v>667</v>
      </c>
      <c r="H1995" s="4"/>
      <c r="I1995" s="196">
        <v>-76146</v>
      </c>
      <c r="J1995" s="196">
        <v>-54.39</v>
      </c>
      <c r="K1995" s="196">
        <v>1400</v>
      </c>
      <c r="L1995" s="454" t="s">
        <v>1017</v>
      </c>
      <c r="M1995" s="4" t="s">
        <v>780</v>
      </c>
      <c r="N1995" s="133" t="s">
        <v>1272</v>
      </c>
      <c r="O1995" s="4" t="s">
        <v>1318</v>
      </c>
      <c r="P1995" s="4" t="s">
        <v>892</v>
      </c>
      <c r="Q1995" s="4" t="s">
        <v>1319</v>
      </c>
      <c r="R1995" s="4" t="s">
        <v>1321</v>
      </c>
      <c r="S1995" s="4" t="s">
        <v>1320</v>
      </c>
      <c r="T1995" s="4" t="s">
        <v>786</v>
      </c>
      <c r="U1995" s="4"/>
      <c r="V1995" s="4"/>
      <c r="W1995" s="4"/>
    </row>
    <row r="1996" spans="1:23" customFormat="1">
      <c r="A1996" s="10"/>
      <c r="B1996" s="4"/>
      <c r="C1996" s="4"/>
      <c r="D1996" s="4"/>
      <c r="E1996" s="4"/>
      <c r="F1996" s="152" t="s">
        <v>666</v>
      </c>
      <c r="G1996" s="4" t="s">
        <v>667</v>
      </c>
      <c r="H1996" s="4"/>
      <c r="I1996" s="196">
        <v>-30408</v>
      </c>
      <c r="J1996" s="196">
        <v>-21.72</v>
      </c>
      <c r="K1996" s="196">
        <v>1400</v>
      </c>
      <c r="L1996" s="454" t="s">
        <v>1017</v>
      </c>
      <c r="M1996" s="4" t="s">
        <v>780</v>
      </c>
      <c r="N1996" s="133" t="s">
        <v>1272</v>
      </c>
      <c r="O1996" s="4" t="s">
        <v>1318</v>
      </c>
      <c r="P1996" s="4" t="s">
        <v>892</v>
      </c>
      <c r="Q1996" s="4" t="s">
        <v>1319</v>
      </c>
      <c r="R1996" s="4" t="s">
        <v>1296</v>
      </c>
      <c r="S1996" s="4" t="s">
        <v>1320</v>
      </c>
      <c r="T1996" s="4" t="s">
        <v>786</v>
      </c>
      <c r="U1996" s="4"/>
      <c r="V1996" s="4"/>
      <c r="W1996" s="4"/>
    </row>
    <row r="1997" spans="1:23" customFormat="1">
      <c r="A1997" s="10"/>
      <c r="B1997" s="4"/>
      <c r="C1997" s="4"/>
      <c r="D1997" s="4"/>
      <c r="E1997" s="4"/>
      <c r="F1997" s="152" t="s">
        <v>666</v>
      </c>
      <c r="G1997" s="4" t="s">
        <v>667</v>
      </c>
      <c r="H1997" s="4"/>
      <c r="I1997" s="196">
        <v>374840.4</v>
      </c>
      <c r="J1997" s="196">
        <v>256.74</v>
      </c>
      <c r="K1997" s="196">
        <v>1460</v>
      </c>
      <c r="L1997" s="454" t="s">
        <v>1049</v>
      </c>
      <c r="M1997" s="4" t="s">
        <v>780</v>
      </c>
      <c r="N1997" s="133" t="s">
        <v>1272</v>
      </c>
      <c r="O1997" s="4" t="s">
        <v>1326</v>
      </c>
      <c r="P1997" s="4" t="s">
        <v>892</v>
      </c>
      <c r="Q1997" s="4" t="s">
        <v>1327</v>
      </c>
      <c r="R1997" s="4"/>
      <c r="S1997" s="4" t="s">
        <v>1328</v>
      </c>
      <c r="T1997" s="4" t="s">
        <v>786</v>
      </c>
      <c r="U1997" s="4"/>
      <c r="V1997" s="4"/>
      <c r="W1997" s="4"/>
    </row>
    <row r="1998" spans="1:23" customFormat="1">
      <c r="A1998" s="10"/>
      <c r="B1998" s="4"/>
      <c r="C1998" s="4"/>
      <c r="D1998" s="4"/>
      <c r="E1998" s="4"/>
      <c r="F1998" s="152" t="s">
        <v>666</v>
      </c>
      <c r="G1998" s="4" t="s">
        <v>667</v>
      </c>
      <c r="H1998" s="4"/>
      <c r="I1998" s="196">
        <v>88665.8</v>
      </c>
      <c r="J1998" s="196">
        <v>60.73</v>
      </c>
      <c r="K1998" s="196">
        <v>1460</v>
      </c>
      <c r="L1998" s="454" t="s">
        <v>1049</v>
      </c>
      <c r="M1998" s="4" t="s">
        <v>780</v>
      </c>
      <c r="N1998" s="133" t="s">
        <v>1272</v>
      </c>
      <c r="O1998" s="4" t="s">
        <v>1329</v>
      </c>
      <c r="P1998" s="4" t="s">
        <v>892</v>
      </c>
      <c r="Q1998" s="4" t="s">
        <v>1330</v>
      </c>
      <c r="R1998" s="4"/>
      <c r="S1998" s="4" t="s">
        <v>1331</v>
      </c>
      <c r="T1998" s="4" t="s">
        <v>786</v>
      </c>
      <c r="U1998" s="4"/>
      <c r="V1998" s="4"/>
      <c r="W1998" s="4"/>
    </row>
    <row r="1999" spans="1:23" customFormat="1">
      <c r="A1999" s="10"/>
      <c r="B1999" s="4"/>
      <c r="C1999" s="4"/>
      <c r="D1999" s="4"/>
      <c r="E1999" s="4"/>
      <c r="F1999" s="152" t="s">
        <v>666</v>
      </c>
      <c r="G1999" s="4" t="s">
        <v>667</v>
      </c>
      <c r="H1999" s="4"/>
      <c r="I1999" s="196">
        <v>-88665.8</v>
      </c>
      <c r="J1999" s="196">
        <v>-60.73</v>
      </c>
      <c r="K1999" s="196">
        <v>1460</v>
      </c>
      <c r="L1999" s="454" t="s">
        <v>1049</v>
      </c>
      <c r="M1999" s="4" t="s">
        <v>780</v>
      </c>
      <c r="N1999" s="133" t="s">
        <v>1272</v>
      </c>
      <c r="O1999" s="4" t="s">
        <v>1336</v>
      </c>
      <c r="P1999" s="4" t="s">
        <v>892</v>
      </c>
      <c r="Q1999" s="4" t="s">
        <v>1337</v>
      </c>
      <c r="R1999" s="4"/>
      <c r="S1999" s="4" t="s">
        <v>1338</v>
      </c>
      <c r="T1999" s="4" t="s">
        <v>786</v>
      </c>
      <c r="U1999" s="4"/>
      <c r="V1999" s="4"/>
      <c r="W1999" s="4"/>
    </row>
    <row r="2000" spans="1:23" customFormat="1">
      <c r="A2000" s="10"/>
      <c r="B2000" s="4"/>
      <c r="C2000" s="4"/>
      <c r="D2000" s="4"/>
      <c r="E2000" s="4"/>
      <c r="F2000" s="152" t="s">
        <v>666</v>
      </c>
      <c r="G2000" s="4" t="s">
        <v>667</v>
      </c>
      <c r="H2000" s="4"/>
      <c r="I2000" s="196">
        <v>-88665.8</v>
      </c>
      <c r="J2000" s="196">
        <v>-60.73</v>
      </c>
      <c r="K2000" s="196">
        <v>1460</v>
      </c>
      <c r="L2000" s="454" t="s">
        <v>1049</v>
      </c>
      <c r="M2000" s="4" t="s">
        <v>780</v>
      </c>
      <c r="N2000" s="133" t="s">
        <v>1272</v>
      </c>
      <c r="O2000" s="4" t="s">
        <v>1339</v>
      </c>
      <c r="P2000" s="4" t="s">
        <v>892</v>
      </c>
      <c r="Q2000" s="4" t="s">
        <v>1340</v>
      </c>
      <c r="R2000" s="4"/>
      <c r="S2000" s="4" t="s">
        <v>1341</v>
      </c>
      <c r="T2000" s="4" t="s">
        <v>786</v>
      </c>
      <c r="U2000" s="4"/>
      <c r="V2000" s="4"/>
      <c r="W2000" s="4"/>
    </row>
    <row r="2001" spans="1:23" customFormat="1">
      <c r="A2001" s="10"/>
      <c r="B2001" s="4"/>
      <c r="C2001" s="4"/>
      <c r="D2001" s="4"/>
      <c r="E2001" s="4"/>
      <c r="F2001" s="152" t="s">
        <v>666</v>
      </c>
      <c r="G2001" s="4" t="s">
        <v>667</v>
      </c>
      <c r="H2001" s="4"/>
      <c r="I2001" s="196">
        <v>1292.2</v>
      </c>
      <c r="J2001" s="196">
        <v>0.91</v>
      </c>
      <c r="K2001" s="196">
        <v>1420</v>
      </c>
      <c r="L2001" s="454" t="s">
        <v>1081</v>
      </c>
      <c r="M2001" s="4" t="s">
        <v>780</v>
      </c>
      <c r="N2001" s="133" t="s">
        <v>1272</v>
      </c>
      <c r="O2001" s="4" t="s">
        <v>1342</v>
      </c>
      <c r="P2001" s="4" t="s">
        <v>892</v>
      </c>
      <c r="Q2001" s="4" t="s">
        <v>1343</v>
      </c>
      <c r="R2001" s="4" t="s">
        <v>1344</v>
      </c>
      <c r="S2001" s="4" t="s">
        <v>1345</v>
      </c>
      <c r="T2001" s="4" t="s">
        <v>786</v>
      </c>
      <c r="U2001" s="4"/>
      <c r="V2001" s="4"/>
      <c r="W2001" s="4"/>
    </row>
    <row r="2002" spans="1:23" customFormat="1">
      <c r="A2002" s="10"/>
      <c r="B2002" s="4"/>
      <c r="C2002" s="4"/>
      <c r="D2002" s="4"/>
      <c r="E2002" s="4"/>
      <c r="F2002" s="152" t="s">
        <v>666</v>
      </c>
      <c r="G2002" s="4" t="s">
        <v>667</v>
      </c>
      <c r="H2002" s="4"/>
      <c r="I2002" s="196">
        <v>-31353.599999999999</v>
      </c>
      <c r="J2002" s="196">
        <v>-22.08</v>
      </c>
      <c r="K2002" s="196">
        <v>1420</v>
      </c>
      <c r="L2002" s="454" t="s">
        <v>1081</v>
      </c>
      <c r="M2002" s="4" t="s">
        <v>780</v>
      </c>
      <c r="N2002" s="133" t="s">
        <v>1272</v>
      </c>
      <c r="O2002" s="4" t="s">
        <v>1361</v>
      </c>
      <c r="P2002" s="4" t="s">
        <v>892</v>
      </c>
      <c r="Q2002" s="4" t="s">
        <v>1362</v>
      </c>
      <c r="R2002" s="4" t="s">
        <v>1365</v>
      </c>
      <c r="S2002" s="4" t="s">
        <v>1364</v>
      </c>
      <c r="T2002" s="4" t="s">
        <v>786</v>
      </c>
      <c r="U2002" s="4"/>
      <c r="V2002" s="4"/>
      <c r="W2002" s="4"/>
    </row>
    <row r="2003" spans="1:23" customFormat="1">
      <c r="A2003" s="10"/>
      <c r="B2003" s="4"/>
      <c r="C2003" s="4"/>
      <c r="D2003" s="4"/>
      <c r="E2003" s="4"/>
      <c r="F2003" s="152" t="s">
        <v>666</v>
      </c>
      <c r="G2003" s="4" t="s">
        <v>667</v>
      </c>
      <c r="H2003" s="4"/>
      <c r="I2003" s="196">
        <v>-78526</v>
      </c>
      <c r="J2003" s="196">
        <v>-55.3</v>
      </c>
      <c r="K2003" s="196">
        <v>1420</v>
      </c>
      <c r="L2003" s="454" t="s">
        <v>1081</v>
      </c>
      <c r="M2003" s="4" t="s">
        <v>780</v>
      </c>
      <c r="N2003" s="133" t="s">
        <v>1272</v>
      </c>
      <c r="O2003" s="4" t="s">
        <v>1361</v>
      </c>
      <c r="P2003" s="4" t="s">
        <v>892</v>
      </c>
      <c r="Q2003" s="4" t="s">
        <v>1362</v>
      </c>
      <c r="R2003" s="4" t="s">
        <v>1363</v>
      </c>
      <c r="S2003" s="4" t="s">
        <v>1364</v>
      </c>
      <c r="T2003" s="4" t="s">
        <v>786</v>
      </c>
      <c r="U2003" s="4"/>
      <c r="V2003" s="4"/>
      <c r="W2003" s="4"/>
    </row>
    <row r="2004" spans="1:23" customFormat="1">
      <c r="A2004" s="10"/>
      <c r="B2004" s="4"/>
      <c r="C2004" s="4"/>
      <c r="D2004" s="4"/>
      <c r="E2004" s="4"/>
      <c r="F2004" s="152" t="s">
        <v>666</v>
      </c>
      <c r="G2004" s="4" t="s">
        <v>667</v>
      </c>
      <c r="H2004" s="4"/>
      <c r="I2004" s="196">
        <v>-86137.2</v>
      </c>
      <c r="J2004" s="196">
        <v>-60.66</v>
      </c>
      <c r="K2004" s="196">
        <v>1420</v>
      </c>
      <c r="L2004" s="454" t="s">
        <v>1093</v>
      </c>
      <c r="M2004" s="4" t="s">
        <v>780</v>
      </c>
      <c r="N2004" s="133" t="s">
        <v>1272</v>
      </c>
      <c r="O2004" s="4" t="s">
        <v>1369</v>
      </c>
      <c r="P2004" s="4" t="s">
        <v>892</v>
      </c>
      <c r="Q2004" s="4" t="s">
        <v>1370</v>
      </c>
      <c r="R2004" s="4" t="s">
        <v>1289</v>
      </c>
      <c r="S2004" s="4" t="s">
        <v>1371</v>
      </c>
      <c r="T2004" s="4" t="s">
        <v>786</v>
      </c>
      <c r="U2004" s="4"/>
      <c r="V2004" s="4"/>
      <c r="W2004" s="4"/>
    </row>
    <row r="2005" spans="1:23" customFormat="1">
      <c r="A2005" s="10"/>
      <c r="B2005" s="4"/>
      <c r="C2005" s="4"/>
      <c r="D2005" s="4"/>
      <c r="E2005" s="4"/>
      <c r="F2005" s="152" t="s">
        <v>666</v>
      </c>
      <c r="G2005" s="4" t="s">
        <v>667</v>
      </c>
      <c r="H2005" s="4"/>
      <c r="I2005" s="196">
        <v>182058.2</v>
      </c>
      <c r="J2005" s="196">
        <v>128.21</v>
      </c>
      <c r="K2005" s="196">
        <v>1420</v>
      </c>
      <c r="L2005" s="454" t="s">
        <v>1205</v>
      </c>
      <c r="M2005" s="4" t="s">
        <v>780</v>
      </c>
      <c r="N2005" s="133" t="s">
        <v>1272</v>
      </c>
      <c r="O2005" s="4" t="s">
        <v>1379</v>
      </c>
      <c r="P2005" s="4" t="s">
        <v>892</v>
      </c>
      <c r="Q2005" s="4" t="s">
        <v>1380</v>
      </c>
      <c r="R2005" s="4" t="s">
        <v>1381</v>
      </c>
      <c r="S2005" s="4" t="s">
        <v>1382</v>
      </c>
      <c r="T2005" s="4" t="s">
        <v>786</v>
      </c>
      <c r="U2005" s="4"/>
      <c r="V2005" s="4"/>
      <c r="W2005" s="4"/>
    </row>
    <row r="2006" spans="1:23" customFormat="1">
      <c r="A2006" s="10"/>
      <c r="B2006" s="4"/>
      <c r="C2006" s="4"/>
      <c r="D2006" s="4"/>
      <c r="E2006" s="4"/>
      <c r="F2006" s="152" t="s">
        <v>666</v>
      </c>
      <c r="G2006" s="4" t="s">
        <v>667</v>
      </c>
      <c r="H2006" s="4"/>
      <c r="I2006" s="196">
        <v>1292.2</v>
      </c>
      <c r="J2006" s="196">
        <v>0.91</v>
      </c>
      <c r="K2006" s="196">
        <v>1420</v>
      </c>
      <c r="L2006" s="454" t="s">
        <v>1205</v>
      </c>
      <c r="M2006" s="4" t="s">
        <v>780</v>
      </c>
      <c r="N2006" s="133" t="s">
        <v>1272</v>
      </c>
      <c r="O2006" s="4" t="s">
        <v>1379</v>
      </c>
      <c r="P2006" s="4" t="s">
        <v>892</v>
      </c>
      <c r="Q2006" s="4" t="s">
        <v>1380</v>
      </c>
      <c r="R2006" s="4" t="s">
        <v>1383</v>
      </c>
      <c r="S2006" s="4" t="s">
        <v>1382</v>
      </c>
      <c r="T2006" s="4" t="s">
        <v>786</v>
      </c>
      <c r="U2006" s="4"/>
      <c r="V2006" s="4"/>
      <c r="W2006" s="4"/>
    </row>
    <row r="2007" spans="1:23" customFormat="1">
      <c r="A2007" s="10"/>
      <c r="B2007" s="4"/>
      <c r="C2007" s="4"/>
      <c r="D2007" s="4"/>
      <c r="E2007" s="4"/>
      <c r="F2007" s="152" t="s">
        <v>666</v>
      </c>
      <c r="G2007" s="4" t="s">
        <v>667</v>
      </c>
      <c r="H2007" s="4"/>
      <c r="I2007" s="196">
        <v>-78426.600000000006</v>
      </c>
      <c r="J2007" s="196">
        <v>-55.23</v>
      </c>
      <c r="K2007" s="196">
        <v>1420</v>
      </c>
      <c r="L2007" s="454" t="s">
        <v>1205</v>
      </c>
      <c r="M2007" s="4" t="s">
        <v>780</v>
      </c>
      <c r="N2007" s="133" t="s">
        <v>1272</v>
      </c>
      <c r="O2007" s="4" t="s">
        <v>1387</v>
      </c>
      <c r="P2007" s="4" t="s">
        <v>892</v>
      </c>
      <c r="Q2007" s="4" t="s">
        <v>1388</v>
      </c>
      <c r="R2007" s="4" t="s">
        <v>1389</v>
      </c>
      <c r="S2007" s="4" t="s">
        <v>1390</v>
      </c>
      <c r="T2007" s="4" t="s">
        <v>786</v>
      </c>
      <c r="U2007" s="4"/>
      <c r="V2007" s="4"/>
      <c r="W2007" s="4"/>
    </row>
    <row r="2008" spans="1:23" customFormat="1">
      <c r="A2008" s="10"/>
      <c r="B2008" s="4"/>
      <c r="C2008" s="4"/>
      <c r="D2008" s="4"/>
      <c r="E2008" s="4"/>
      <c r="F2008" s="152" t="s">
        <v>666</v>
      </c>
      <c r="G2008" s="4" t="s">
        <v>667</v>
      </c>
      <c r="H2008" s="4"/>
      <c r="I2008" s="196">
        <v>-31879</v>
      </c>
      <c r="J2008" s="196">
        <v>-22.45</v>
      </c>
      <c r="K2008" s="196">
        <v>1420</v>
      </c>
      <c r="L2008" s="454" t="s">
        <v>1198</v>
      </c>
      <c r="M2008" s="4" t="s">
        <v>780</v>
      </c>
      <c r="N2008" s="133" t="s">
        <v>1272</v>
      </c>
      <c r="O2008" s="4" t="s">
        <v>1394</v>
      </c>
      <c r="P2008" s="4" t="s">
        <v>892</v>
      </c>
      <c r="Q2008" s="4" t="s">
        <v>1395</v>
      </c>
      <c r="R2008" s="4" t="s">
        <v>1296</v>
      </c>
      <c r="S2008" s="4" t="s">
        <v>1396</v>
      </c>
      <c r="T2008" s="4" t="s">
        <v>786</v>
      </c>
      <c r="U2008" s="4"/>
      <c r="V2008" s="4"/>
      <c r="W2008" s="4"/>
    </row>
    <row r="2009" spans="1:23" customFormat="1">
      <c r="A2009" s="10"/>
      <c r="B2009" s="4"/>
      <c r="C2009" s="4"/>
      <c r="D2009" s="4"/>
      <c r="E2009" s="4"/>
      <c r="F2009" s="152" t="s">
        <v>662</v>
      </c>
      <c r="G2009" s="4" t="s">
        <v>663</v>
      </c>
      <c r="H2009" s="4"/>
      <c r="I2009" s="196">
        <v>-28400</v>
      </c>
      <c r="J2009" s="196">
        <v>-20</v>
      </c>
      <c r="K2009" s="196">
        <v>1420</v>
      </c>
      <c r="L2009" s="454" t="s">
        <v>787</v>
      </c>
      <c r="M2009" s="4" t="s">
        <v>780</v>
      </c>
      <c r="N2009" s="133" t="s">
        <v>1272</v>
      </c>
      <c r="O2009" s="4" t="s">
        <v>1273</v>
      </c>
      <c r="P2009" s="4" t="s">
        <v>783</v>
      </c>
      <c r="Q2009" s="4" t="s">
        <v>1274</v>
      </c>
      <c r="R2009" s="4"/>
      <c r="S2009" s="4" t="s">
        <v>1275</v>
      </c>
      <c r="T2009" s="4" t="s">
        <v>786</v>
      </c>
      <c r="U2009" s="4"/>
      <c r="V2009" s="4"/>
      <c r="W2009" s="4"/>
    </row>
    <row r="2010" spans="1:23" customFormat="1">
      <c r="A2010" s="10"/>
      <c r="B2010" s="4"/>
      <c r="C2010" s="4"/>
      <c r="D2010" s="4"/>
      <c r="E2010" s="4"/>
      <c r="F2010" s="152" t="s">
        <v>662</v>
      </c>
      <c r="G2010" s="4" t="s">
        <v>663</v>
      </c>
      <c r="H2010" s="4"/>
      <c r="I2010" s="196">
        <v>28400</v>
      </c>
      <c r="J2010" s="196">
        <v>20</v>
      </c>
      <c r="K2010" s="196">
        <v>1420</v>
      </c>
      <c r="L2010" s="454" t="s">
        <v>787</v>
      </c>
      <c r="M2010" s="4" t="s">
        <v>780</v>
      </c>
      <c r="N2010" s="133" t="s">
        <v>1272</v>
      </c>
      <c r="O2010" s="4" t="s">
        <v>1276</v>
      </c>
      <c r="P2010" s="4" t="s">
        <v>783</v>
      </c>
      <c r="Q2010" s="4" t="s">
        <v>1277</v>
      </c>
      <c r="R2010" s="4"/>
      <c r="S2010" s="4" t="s">
        <v>1278</v>
      </c>
      <c r="T2010" s="4" t="s">
        <v>786</v>
      </c>
      <c r="U2010" s="4"/>
      <c r="V2010" s="4"/>
      <c r="W2010" s="4"/>
    </row>
    <row r="2011" spans="1:23" customFormat="1">
      <c r="A2011" s="10"/>
      <c r="B2011" s="4"/>
      <c r="C2011" s="4"/>
      <c r="D2011" s="4"/>
      <c r="E2011" s="4"/>
      <c r="F2011" s="152" t="s">
        <v>662</v>
      </c>
      <c r="G2011" s="4" t="s">
        <v>663</v>
      </c>
      <c r="H2011" s="4"/>
      <c r="I2011" s="196">
        <v>28400</v>
      </c>
      <c r="J2011" s="196">
        <v>20</v>
      </c>
      <c r="K2011" s="196">
        <v>1420</v>
      </c>
      <c r="L2011" s="454" t="s">
        <v>787</v>
      </c>
      <c r="M2011" s="4" t="s">
        <v>780</v>
      </c>
      <c r="N2011" s="133" t="s">
        <v>1272</v>
      </c>
      <c r="O2011" s="4" t="s">
        <v>1279</v>
      </c>
      <c r="P2011" s="4" t="s">
        <v>783</v>
      </c>
      <c r="Q2011" s="4" t="s">
        <v>1280</v>
      </c>
      <c r="R2011" s="4"/>
      <c r="S2011" s="4" t="s">
        <v>1281</v>
      </c>
      <c r="T2011" s="4" t="s">
        <v>786</v>
      </c>
      <c r="U2011" s="4"/>
      <c r="V2011" s="4"/>
      <c r="W2011" s="4"/>
    </row>
    <row r="2012" spans="1:23" customFormat="1">
      <c r="A2012" s="10"/>
      <c r="B2012" s="4"/>
      <c r="C2012" s="4"/>
      <c r="D2012" s="4"/>
      <c r="E2012" s="4"/>
      <c r="F2012" s="152" t="s">
        <v>662</v>
      </c>
      <c r="G2012" s="4" t="s">
        <v>663</v>
      </c>
      <c r="H2012" s="4"/>
      <c r="I2012" s="196">
        <v>-28400</v>
      </c>
      <c r="J2012" s="196">
        <v>-20</v>
      </c>
      <c r="K2012" s="196">
        <v>1420</v>
      </c>
      <c r="L2012" s="454" t="s">
        <v>787</v>
      </c>
      <c r="M2012" s="4" t="s">
        <v>780</v>
      </c>
      <c r="N2012" s="133" t="s">
        <v>1272</v>
      </c>
      <c r="O2012" s="4" t="s">
        <v>1294</v>
      </c>
      <c r="P2012" s="4" t="s">
        <v>783</v>
      </c>
      <c r="Q2012" s="4" t="s">
        <v>1295</v>
      </c>
      <c r="R2012" s="4" t="s">
        <v>1296</v>
      </c>
      <c r="S2012" s="4" t="s">
        <v>1297</v>
      </c>
      <c r="T2012" s="4" t="s">
        <v>786</v>
      </c>
      <c r="U2012" s="4"/>
      <c r="V2012" s="4"/>
      <c r="W2012" s="4"/>
    </row>
    <row r="2013" spans="1:23" customFormat="1">
      <c r="A2013" s="10"/>
      <c r="B2013" s="4"/>
      <c r="C2013" s="4"/>
      <c r="D2013" s="4"/>
      <c r="E2013" s="4"/>
      <c r="F2013" s="152" t="s">
        <v>662</v>
      </c>
      <c r="G2013" s="4" t="s">
        <v>663</v>
      </c>
      <c r="H2013" s="4"/>
      <c r="I2013" s="196">
        <v>28000</v>
      </c>
      <c r="J2013" s="196">
        <v>20</v>
      </c>
      <c r="K2013" s="196">
        <v>1400</v>
      </c>
      <c r="L2013" s="454" t="s">
        <v>1305</v>
      </c>
      <c r="M2013" s="4" t="s">
        <v>780</v>
      </c>
      <c r="N2013" s="133" t="s">
        <v>1272</v>
      </c>
      <c r="O2013" s="4" t="s">
        <v>1306</v>
      </c>
      <c r="P2013" s="4" t="s">
        <v>892</v>
      </c>
      <c r="Q2013" s="4" t="s">
        <v>1307</v>
      </c>
      <c r="R2013" s="4" t="s">
        <v>1308</v>
      </c>
      <c r="S2013" s="4" t="s">
        <v>1309</v>
      </c>
      <c r="T2013" s="4" t="s">
        <v>786</v>
      </c>
      <c r="U2013" s="4"/>
      <c r="V2013" s="4"/>
      <c r="W2013" s="4"/>
    </row>
    <row r="2014" spans="1:23" customFormat="1">
      <c r="A2014" s="10"/>
      <c r="B2014" s="4"/>
      <c r="C2014" s="4"/>
      <c r="D2014" s="4"/>
      <c r="E2014" s="4"/>
      <c r="F2014" s="152" t="s">
        <v>662</v>
      </c>
      <c r="G2014" s="4" t="s">
        <v>663</v>
      </c>
      <c r="H2014" s="4"/>
      <c r="I2014" s="196">
        <v>-28000</v>
      </c>
      <c r="J2014" s="196">
        <v>-20</v>
      </c>
      <c r="K2014" s="196">
        <v>1400</v>
      </c>
      <c r="L2014" s="454" t="s">
        <v>1017</v>
      </c>
      <c r="M2014" s="4" t="s">
        <v>780</v>
      </c>
      <c r="N2014" s="133" t="s">
        <v>1272</v>
      </c>
      <c r="O2014" s="4" t="s">
        <v>1314</v>
      </c>
      <c r="P2014" s="4" t="s">
        <v>892</v>
      </c>
      <c r="Q2014" s="4" t="s">
        <v>1315</v>
      </c>
      <c r="R2014" s="4" t="s">
        <v>1316</v>
      </c>
      <c r="S2014" s="4" t="s">
        <v>1317</v>
      </c>
      <c r="T2014" s="4" t="s">
        <v>786</v>
      </c>
      <c r="U2014" s="4"/>
      <c r="V2014" s="4"/>
      <c r="W2014" s="4"/>
    </row>
    <row r="2015" spans="1:23" customFormat="1">
      <c r="A2015" s="10"/>
      <c r="B2015" s="4"/>
      <c r="C2015" s="4"/>
      <c r="D2015" s="4"/>
      <c r="E2015" s="4"/>
      <c r="F2015" s="152" t="s">
        <v>662</v>
      </c>
      <c r="G2015" s="4" t="s">
        <v>663</v>
      </c>
      <c r="H2015" s="4"/>
      <c r="I2015" s="196">
        <v>7300000</v>
      </c>
      <c r="J2015" s="196">
        <v>5000</v>
      </c>
      <c r="K2015" s="196">
        <v>1460</v>
      </c>
      <c r="L2015" s="454" t="s">
        <v>1049</v>
      </c>
      <c r="M2015" s="4" t="s">
        <v>780</v>
      </c>
      <c r="N2015" s="133" t="s">
        <v>1272</v>
      </c>
      <c r="O2015" s="4" t="s">
        <v>1322</v>
      </c>
      <c r="P2015" s="4" t="s">
        <v>892</v>
      </c>
      <c r="Q2015" s="4" t="s">
        <v>1323</v>
      </c>
      <c r="R2015" s="4" t="s">
        <v>1324</v>
      </c>
      <c r="S2015" s="4" t="s">
        <v>1325</v>
      </c>
      <c r="T2015" s="4" t="s">
        <v>786</v>
      </c>
      <c r="U2015" s="4"/>
      <c r="V2015" s="4"/>
      <c r="W2015" s="4"/>
    </row>
    <row r="2016" spans="1:23" customFormat="1">
      <c r="A2016" s="10"/>
      <c r="B2016" s="4"/>
      <c r="C2016" s="4"/>
      <c r="D2016" s="4"/>
      <c r="E2016" s="4"/>
      <c r="F2016" s="152" t="s">
        <v>662</v>
      </c>
      <c r="G2016" s="4" t="s">
        <v>663</v>
      </c>
      <c r="H2016" s="4"/>
      <c r="I2016" s="196">
        <v>-7300000</v>
      </c>
      <c r="J2016" s="196">
        <v>-5000</v>
      </c>
      <c r="K2016" s="196">
        <v>1460</v>
      </c>
      <c r="L2016" s="454" t="s">
        <v>1049</v>
      </c>
      <c r="M2016" s="4" t="s">
        <v>780</v>
      </c>
      <c r="N2016" s="133" t="s">
        <v>1272</v>
      </c>
      <c r="O2016" s="4" t="s">
        <v>1332</v>
      </c>
      <c r="P2016" s="4" t="s">
        <v>892</v>
      </c>
      <c r="Q2016" s="4" t="s">
        <v>1333</v>
      </c>
      <c r="R2016" s="4" t="s">
        <v>1334</v>
      </c>
      <c r="S2016" s="4" t="s">
        <v>1335</v>
      </c>
      <c r="T2016" s="4" t="s">
        <v>786</v>
      </c>
      <c r="U2016" s="4"/>
      <c r="V2016" s="4"/>
      <c r="W2016" s="4"/>
    </row>
    <row r="2017" spans="1:23" customFormat="1">
      <c r="A2017" s="10"/>
      <c r="B2017" s="4"/>
      <c r="C2017" s="4"/>
      <c r="D2017" s="4"/>
      <c r="E2017" s="4"/>
      <c r="F2017" s="152" t="s">
        <v>662</v>
      </c>
      <c r="G2017" s="4" t="s">
        <v>663</v>
      </c>
      <c r="H2017" s="4"/>
      <c r="I2017" s="196">
        <v>1846000</v>
      </c>
      <c r="J2017" s="196">
        <v>1300</v>
      </c>
      <c r="K2017" s="196">
        <v>1420</v>
      </c>
      <c r="L2017" s="454" t="s">
        <v>1081</v>
      </c>
      <c r="M2017" s="4" t="s">
        <v>780</v>
      </c>
      <c r="N2017" s="133" t="s">
        <v>1272</v>
      </c>
      <c r="O2017" s="4" t="s">
        <v>1346</v>
      </c>
      <c r="P2017" s="4" t="s">
        <v>892</v>
      </c>
      <c r="Q2017" s="4" t="s">
        <v>1347</v>
      </c>
      <c r="R2017" s="4" t="s">
        <v>1348</v>
      </c>
      <c r="S2017" s="4" t="s">
        <v>1349</v>
      </c>
      <c r="T2017" s="4" t="s">
        <v>786</v>
      </c>
      <c r="U2017" s="4"/>
      <c r="V2017" s="4"/>
      <c r="W2017" s="4"/>
    </row>
    <row r="2018" spans="1:23" customFormat="1">
      <c r="A2018" s="10"/>
      <c r="B2018" s="4"/>
      <c r="C2018" s="4"/>
      <c r="D2018" s="4"/>
      <c r="E2018" s="4"/>
      <c r="F2018" s="152" t="s">
        <v>662</v>
      </c>
      <c r="G2018" s="4" t="s">
        <v>663</v>
      </c>
      <c r="H2018" s="4"/>
      <c r="I2018" s="196">
        <v>1420000</v>
      </c>
      <c r="J2018" s="196">
        <v>1000</v>
      </c>
      <c r="K2018" s="196">
        <v>1420</v>
      </c>
      <c r="L2018" s="454" t="s">
        <v>1081</v>
      </c>
      <c r="M2018" s="4" t="s">
        <v>780</v>
      </c>
      <c r="N2018" s="133" t="s">
        <v>1272</v>
      </c>
      <c r="O2018" s="4" t="s">
        <v>1346</v>
      </c>
      <c r="P2018" s="4" t="s">
        <v>892</v>
      </c>
      <c r="Q2018" s="4" t="s">
        <v>1347</v>
      </c>
      <c r="R2018" s="4" t="s">
        <v>1348</v>
      </c>
      <c r="S2018" s="4" t="s">
        <v>1349</v>
      </c>
      <c r="T2018" s="4" t="s">
        <v>786</v>
      </c>
      <c r="U2018" s="4"/>
      <c r="V2018" s="4"/>
      <c r="W2018" s="4"/>
    </row>
    <row r="2019" spans="1:23" customFormat="1">
      <c r="A2019" s="10"/>
      <c r="B2019" s="4"/>
      <c r="C2019" s="4"/>
      <c r="D2019" s="4"/>
      <c r="E2019" s="4"/>
      <c r="F2019" s="152" t="s">
        <v>662</v>
      </c>
      <c r="G2019" s="4" t="s">
        <v>663</v>
      </c>
      <c r="H2019" s="4"/>
      <c r="I2019" s="196">
        <v>25560</v>
      </c>
      <c r="J2019" s="196">
        <v>18</v>
      </c>
      <c r="K2019" s="196">
        <v>1420</v>
      </c>
      <c r="L2019" s="454" t="s">
        <v>1088</v>
      </c>
      <c r="M2019" s="4" t="s">
        <v>780</v>
      </c>
      <c r="N2019" s="133" t="s">
        <v>1272</v>
      </c>
      <c r="O2019" s="4" t="s">
        <v>1350</v>
      </c>
      <c r="P2019" s="4" t="s">
        <v>892</v>
      </c>
      <c r="Q2019" s="4" t="s">
        <v>1351</v>
      </c>
      <c r="R2019" s="4" t="s">
        <v>1348</v>
      </c>
      <c r="S2019" s="4" t="s">
        <v>1352</v>
      </c>
      <c r="T2019" s="4" t="s">
        <v>786</v>
      </c>
      <c r="U2019" s="4"/>
      <c r="V2019" s="4"/>
      <c r="W2019" s="4"/>
    </row>
    <row r="2020" spans="1:23" customFormat="1">
      <c r="A2020" s="10"/>
      <c r="B2020" s="4"/>
      <c r="C2020" s="4"/>
      <c r="D2020" s="4"/>
      <c r="E2020" s="4"/>
      <c r="F2020" s="152" t="s">
        <v>662</v>
      </c>
      <c r="G2020" s="4" t="s">
        <v>663</v>
      </c>
      <c r="H2020" s="4"/>
      <c r="I2020" s="196">
        <v>-710000</v>
      </c>
      <c r="J2020" s="196">
        <v>-500</v>
      </c>
      <c r="K2020" s="196">
        <v>1420</v>
      </c>
      <c r="L2020" s="454" t="s">
        <v>1081</v>
      </c>
      <c r="M2020" s="4" t="s">
        <v>780</v>
      </c>
      <c r="N2020" s="133" t="s">
        <v>1272</v>
      </c>
      <c r="O2020" s="4" t="s">
        <v>1353</v>
      </c>
      <c r="P2020" s="4" t="s">
        <v>892</v>
      </c>
      <c r="Q2020" s="4" t="s">
        <v>1354</v>
      </c>
      <c r="R2020" s="4" t="s">
        <v>1355</v>
      </c>
      <c r="S2020" s="4" t="s">
        <v>1356</v>
      </c>
      <c r="T2020" s="4" t="s">
        <v>786</v>
      </c>
      <c r="U2020" s="4"/>
      <c r="V2020" s="4"/>
      <c r="W2020" s="4"/>
    </row>
    <row r="2021" spans="1:23" customFormat="1">
      <c r="A2021" s="10"/>
      <c r="B2021" s="4"/>
      <c r="C2021" s="4"/>
      <c r="D2021" s="4"/>
      <c r="E2021" s="4"/>
      <c r="F2021" s="152" t="s">
        <v>662</v>
      </c>
      <c r="G2021" s="4" t="s">
        <v>663</v>
      </c>
      <c r="H2021" s="4"/>
      <c r="I2021" s="196">
        <v>-1420</v>
      </c>
      <c r="J2021" s="196">
        <v>-1</v>
      </c>
      <c r="K2021" s="196">
        <v>1420</v>
      </c>
      <c r="L2021" s="454" t="s">
        <v>1081</v>
      </c>
      <c r="M2021" s="4" t="s">
        <v>780</v>
      </c>
      <c r="N2021" s="133" t="s">
        <v>1272</v>
      </c>
      <c r="O2021" s="4" t="s">
        <v>1353</v>
      </c>
      <c r="P2021" s="4" t="s">
        <v>892</v>
      </c>
      <c r="Q2021" s="4" t="s">
        <v>1354</v>
      </c>
      <c r="R2021" s="4" t="s">
        <v>1357</v>
      </c>
      <c r="S2021" s="4" t="s">
        <v>1356</v>
      </c>
      <c r="T2021" s="4" t="s">
        <v>786</v>
      </c>
      <c r="U2021" s="4"/>
      <c r="V2021" s="4"/>
      <c r="W2021" s="4"/>
    </row>
    <row r="2022" spans="1:23" customFormat="1">
      <c r="A2022" s="10"/>
      <c r="B2022" s="4"/>
      <c r="C2022" s="4"/>
      <c r="D2022" s="4"/>
      <c r="E2022" s="4"/>
      <c r="F2022" s="152" t="s">
        <v>662</v>
      </c>
      <c r="G2022" s="4" t="s">
        <v>663</v>
      </c>
      <c r="H2022" s="4"/>
      <c r="I2022" s="196">
        <v>-1420</v>
      </c>
      <c r="J2022" s="196">
        <v>-1</v>
      </c>
      <c r="K2022" s="196">
        <v>1420</v>
      </c>
      <c r="L2022" s="454" t="s">
        <v>1081</v>
      </c>
      <c r="M2022" s="4" t="s">
        <v>780</v>
      </c>
      <c r="N2022" s="133" t="s">
        <v>1272</v>
      </c>
      <c r="O2022" s="4" t="s">
        <v>1353</v>
      </c>
      <c r="P2022" s="4" t="s">
        <v>892</v>
      </c>
      <c r="Q2022" s="4" t="s">
        <v>1354</v>
      </c>
      <c r="R2022" s="4" t="s">
        <v>1357</v>
      </c>
      <c r="S2022" s="4" t="s">
        <v>1356</v>
      </c>
      <c r="T2022" s="4" t="s">
        <v>786</v>
      </c>
      <c r="U2022" s="4"/>
      <c r="V2022" s="4"/>
      <c r="W2022" s="4"/>
    </row>
    <row r="2023" spans="1:23" customFormat="1">
      <c r="A2023" s="10"/>
      <c r="B2023" s="4"/>
      <c r="C2023" s="4"/>
      <c r="D2023" s="4"/>
      <c r="E2023" s="4"/>
      <c r="F2023" s="152" t="s">
        <v>662</v>
      </c>
      <c r="G2023" s="4" t="s">
        <v>663</v>
      </c>
      <c r="H2023" s="4"/>
      <c r="I2023" s="196">
        <v>-1420000</v>
      </c>
      <c r="J2023" s="196">
        <v>-1000</v>
      </c>
      <c r="K2023" s="196">
        <v>1420</v>
      </c>
      <c r="L2023" s="454" t="s">
        <v>1081</v>
      </c>
      <c r="M2023" s="4" t="s">
        <v>780</v>
      </c>
      <c r="N2023" s="133" t="s">
        <v>1272</v>
      </c>
      <c r="O2023" s="4" t="s">
        <v>1353</v>
      </c>
      <c r="P2023" s="4" t="s">
        <v>892</v>
      </c>
      <c r="Q2023" s="4" t="s">
        <v>1354</v>
      </c>
      <c r="R2023" s="4" t="s">
        <v>1360</v>
      </c>
      <c r="S2023" s="4" t="s">
        <v>1356</v>
      </c>
      <c r="T2023" s="4" t="s">
        <v>786</v>
      </c>
      <c r="U2023" s="4"/>
      <c r="V2023" s="4"/>
      <c r="W2023" s="4"/>
    </row>
    <row r="2024" spans="1:23" customFormat="1">
      <c r="A2024" s="10"/>
      <c r="B2024" s="4"/>
      <c r="C2024" s="4"/>
      <c r="D2024" s="4"/>
      <c r="E2024" s="4"/>
      <c r="F2024" s="152" t="s">
        <v>662</v>
      </c>
      <c r="G2024" s="4" t="s">
        <v>663</v>
      </c>
      <c r="H2024" s="4"/>
      <c r="I2024" s="196">
        <v>-1420</v>
      </c>
      <c r="J2024" s="196">
        <v>-1</v>
      </c>
      <c r="K2024" s="196">
        <v>1420</v>
      </c>
      <c r="L2024" s="454" t="s">
        <v>1081</v>
      </c>
      <c r="M2024" s="4" t="s">
        <v>780</v>
      </c>
      <c r="N2024" s="133" t="s">
        <v>1272</v>
      </c>
      <c r="O2024" s="4" t="s">
        <v>1353</v>
      </c>
      <c r="P2024" s="4" t="s">
        <v>892</v>
      </c>
      <c r="Q2024" s="4" t="s">
        <v>1354</v>
      </c>
      <c r="R2024" s="4" t="s">
        <v>1357</v>
      </c>
      <c r="S2024" s="4" t="s">
        <v>1356</v>
      </c>
      <c r="T2024" s="4" t="s">
        <v>786</v>
      </c>
      <c r="U2024" s="4"/>
      <c r="V2024" s="4"/>
      <c r="W2024" s="4"/>
    </row>
    <row r="2025" spans="1:23" customFormat="1">
      <c r="A2025" s="10"/>
      <c r="B2025" s="4"/>
      <c r="C2025" s="4"/>
      <c r="D2025" s="4"/>
      <c r="E2025" s="4"/>
      <c r="F2025" s="152" t="s">
        <v>662</v>
      </c>
      <c r="G2025" s="4" t="s">
        <v>663</v>
      </c>
      <c r="H2025" s="4"/>
      <c r="I2025" s="196">
        <v>-418900</v>
      </c>
      <c r="J2025" s="196">
        <v>-295</v>
      </c>
      <c r="K2025" s="196">
        <v>1420</v>
      </c>
      <c r="L2025" s="454" t="s">
        <v>1081</v>
      </c>
      <c r="M2025" s="4" t="s">
        <v>780</v>
      </c>
      <c r="N2025" s="133" t="s">
        <v>1272</v>
      </c>
      <c r="O2025" s="4" t="s">
        <v>1353</v>
      </c>
      <c r="P2025" s="4" t="s">
        <v>892</v>
      </c>
      <c r="Q2025" s="4" t="s">
        <v>1354</v>
      </c>
      <c r="R2025" s="4" t="s">
        <v>1358</v>
      </c>
      <c r="S2025" s="4" t="s">
        <v>1356</v>
      </c>
      <c r="T2025" s="4" t="s">
        <v>786</v>
      </c>
      <c r="U2025" s="4"/>
      <c r="V2025" s="4"/>
      <c r="W2025" s="4"/>
    </row>
    <row r="2026" spans="1:23" customFormat="1">
      <c r="A2026" s="10"/>
      <c r="B2026" s="4"/>
      <c r="C2026" s="4"/>
      <c r="D2026" s="4"/>
      <c r="E2026" s="4"/>
      <c r="F2026" s="152" t="s">
        <v>662</v>
      </c>
      <c r="G2026" s="4" t="s">
        <v>663</v>
      </c>
      <c r="H2026" s="4"/>
      <c r="I2026" s="196">
        <v>-710000</v>
      </c>
      <c r="J2026" s="196">
        <v>-500</v>
      </c>
      <c r="K2026" s="196">
        <v>1420</v>
      </c>
      <c r="L2026" s="454" t="s">
        <v>1081</v>
      </c>
      <c r="M2026" s="4" t="s">
        <v>780</v>
      </c>
      <c r="N2026" s="133" t="s">
        <v>1272</v>
      </c>
      <c r="O2026" s="4" t="s">
        <v>1353</v>
      </c>
      <c r="P2026" s="4" t="s">
        <v>892</v>
      </c>
      <c r="Q2026" s="4" t="s">
        <v>1354</v>
      </c>
      <c r="R2026" s="4" t="s">
        <v>1359</v>
      </c>
      <c r="S2026" s="4" t="s">
        <v>1356</v>
      </c>
      <c r="T2026" s="4" t="s">
        <v>786</v>
      </c>
      <c r="U2026" s="4"/>
      <c r="V2026" s="4"/>
      <c r="W2026" s="4"/>
    </row>
    <row r="2027" spans="1:23" customFormat="1">
      <c r="A2027" s="10"/>
      <c r="B2027" s="4"/>
      <c r="C2027" s="4"/>
      <c r="D2027" s="4"/>
      <c r="E2027" s="4"/>
      <c r="F2027" s="152" t="s">
        <v>662</v>
      </c>
      <c r="G2027" s="4" t="s">
        <v>663</v>
      </c>
      <c r="H2027" s="4"/>
      <c r="I2027" s="196">
        <v>-28400</v>
      </c>
      <c r="J2027" s="196">
        <v>-20</v>
      </c>
      <c r="K2027" s="196">
        <v>1420</v>
      </c>
      <c r="L2027" s="454" t="s">
        <v>1088</v>
      </c>
      <c r="M2027" s="4" t="s">
        <v>780</v>
      </c>
      <c r="N2027" s="133" t="s">
        <v>1272</v>
      </c>
      <c r="O2027" s="4" t="s">
        <v>1366</v>
      </c>
      <c r="P2027" s="4" t="s">
        <v>892</v>
      </c>
      <c r="Q2027" s="4" t="s">
        <v>1367</v>
      </c>
      <c r="R2027" s="4" t="s">
        <v>1296</v>
      </c>
      <c r="S2027" s="4" t="s">
        <v>1368</v>
      </c>
      <c r="T2027" s="4" t="s">
        <v>786</v>
      </c>
      <c r="U2027" s="4"/>
      <c r="V2027" s="4"/>
      <c r="W2027" s="4"/>
    </row>
    <row r="2028" spans="1:23" customFormat="1">
      <c r="A2028" s="10"/>
      <c r="B2028" s="4"/>
      <c r="C2028" s="4"/>
      <c r="D2028" s="4"/>
      <c r="E2028" s="4"/>
      <c r="F2028" s="152" t="s">
        <v>662</v>
      </c>
      <c r="G2028" s="4" t="s">
        <v>663</v>
      </c>
      <c r="H2028" s="4"/>
      <c r="I2028" s="196">
        <v>28400</v>
      </c>
      <c r="J2028" s="196">
        <v>20</v>
      </c>
      <c r="K2028" s="196">
        <v>1420</v>
      </c>
      <c r="L2028" s="454" t="s">
        <v>1198</v>
      </c>
      <c r="M2028" s="4" t="s">
        <v>780</v>
      </c>
      <c r="N2028" s="133" t="s">
        <v>1272</v>
      </c>
      <c r="O2028" s="4" t="s">
        <v>1384</v>
      </c>
      <c r="P2028" s="4" t="s">
        <v>892</v>
      </c>
      <c r="Q2028" s="4" t="s">
        <v>1385</v>
      </c>
      <c r="R2028" s="4" t="s">
        <v>1348</v>
      </c>
      <c r="S2028" s="4" t="s">
        <v>1386</v>
      </c>
      <c r="T2028" s="4" t="s">
        <v>786</v>
      </c>
      <c r="U2028" s="4"/>
      <c r="V2028" s="4"/>
      <c r="W2028" s="4"/>
    </row>
    <row r="2029" spans="1:23" customFormat="1">
      <c r="A2029" s="10"/>
      <c r="B2029" s="4"/>
      <c r="C2029" s="4"/>
      <c r="D2029" s="4"/>
      <c r="E2029" s="4"/>
      <c r="F2029" s="152" t="s">
        <v>662</v>
      </c>
      <c r="G2029" s="4" t="s">
        <v>663</v>
      </c>
      <c r="H2029" s="4"/>
      <c r="I2029" s="196">
        <v>-28400</v>
      </c>
      <c r="J2029" s="196">
        <v>-20</v>
      </c>
      <c r="K2029" s="196">
        <v>1420</v>
      </c>
      <c r="L2029" s="454" t="s">
        <v>1198</v>
      </c>
      <c r="M2029" s="4" t="s">
        <v>780</v>
      </c>
      <c r="N2029" s="133" t="s">
        <v>1272</v>
      </c>
      <c r="O2029" s="4" t="s">
        <v>1391</v>
      </c>
      <c r="P2029" s="4" t="s">
        <v>892</v>
      </c>
      <c r="Q2029" s="4" t="s">
        <v>1392</v>
      </c>
      <c r="R2029" s="4" t="s">
        <v>1296</v>
      </c>
      <c r="S2029" s="4" t="s">
        <v>1393</v>
      </c>
      <c r="T2029" s="4" t="s">
        <v>786</v>
      </c>
      <c r="U2029" s="4"/>
      <c r="V2029" s="4"/>
      <c r="W2029" s="4"/>
    </row>
    <row r="2030" spans="1:23" customFormat="1">
      <c r="A2030" s="10"/>
      <c r="B2030" s="4"/>
      <c r="C2030" s="4"/>
      <c r="D2030" s="4"/>
      <c r="E2030" s="4"/>
      <c r="F2030" s="152" t="s">
        <v>658</v>
      </c>
      <c r="G2030" s="4" t="s">
        <v>659</v>
      </c>
      <c r="H2030" s="4"/>
      <c r="I2030" s="196">
        <v>11360000</v>
      </c>
      <c r="J2030" s="196">
        <v>8000</v>
      </c>
      <c r="K2030" s="196">
        <v>1420</v>
      </c>
      <c r="L2030" s="454" t="s">
        <v>779</v>
      </c>
      <c r="M2030" s="4" t="s">
        <v>780</v>
      </c>
      <c r="N2030" s="133" t="s">
        <v>1407</v>
      </c>
      <c r="O2030" s="4" t="s">
        <v>1414</v>
      </c>
      <c r="P2030" s="4" t="s">
        <v>783</v>
      </c>
      <c r="Q2030" s="4" t="s">
        <v>1415</v>
      </c>
      <c r="R2030" s="4"/>
      <c r="S2030" s="4" t="s">
        <v>1416</v>
      </c>
      <c r="T2030" s="4" t="s">
        <v>786</v>
      </c>
      <c r="U2030" s="4"/>
      <c r="V2030" s="4"/>
      <c r="W2030" s="4"/>
    </row>
    <row r="2031" spans="1:23" customFormat="1">
      <c r="A2031" s="10"/>
      <c r="B2031" s="4"/>
      <c r="C2031" s="4"/>
      <c r="D2031" s="4"/>
      <c r="E2031" s="4"/>
      <c r="F2031" s="152" t="s">
        <v>658</v>
      </c>
      <c r="G2031" s="4" t="s">
        <v>659</v>
      </c>
      <c r="H2031" s="4"/>
      <c r="I2031" s="196">
        <v>5680000</v>
      </c>
      <c r="J2031" s="196">
        <v>4000</v>
      </c>
      <c r="K2031" s="196">
        <v>1420</v>
      </c>
      <c r="L2031" s="454" t="s">
        <v>1417</v>
      </c>
      <c r="M2031" s="4" t="s">
        <v>780</v>
      </c>
      <c r="N2031" s="133" t="s">
        <v>1407</v>
      </c>
      <c r="O2031" s="4" t="s">
        <v>1418</v>
      </c>
      <c r="P2031" s="4" t="s">
        <v>783</v>
      </c>
      <c r="Q2031" s="4" t="s">
        <v>1419</v>
      </c>
      <c r="R2031" s="4"/>
      <c r="S2031" s="4" t="s">
        <v>1420</v>
      </c>
      <c r="T2031" s="4" t="s">
        <v>786</v>
      </c>
      <c r="U2031" s="4"/>
      <c r="V2031" s="4"/>
      <c r="W2031" s="4"/>
    </row>
    <row r="2032" spans="1:23" customFormat="1">
      <c r="A2032" s="10"/>
      <c r="B2032" s="4"/>
      <c r="C2032" s="4"/>
      <c r="D2032" s="4"/>
      <c r="E2032" s="4"/>
      <c r="F2032" s="152" t="s">
        <v>658</v>
      </c>
      <c r="G2032" s="4" t="s">
        <v>659</v>
      </c>
      <c r="H2032" s="4"/>
      <c r="I2032" s="196">
        <v>4260000</v>
      </c>
      <c r="J2032" s="196">
        <v>3000</v>
      </c>
      <c r="K2032" s="196">
        <v>1420</v>
      </c>
      <c r="L2032" s="454" t="s">
        <v>1417</v>
      </c>
      <c r="M2032" s="4" t="s">
        <v>780</v>
      </c>
      <c r="N2032" s="133" t="s">
        <v>1407</v>
      </c>
      <c r="O2032" s="4" t="s">
        <v>1421</v>
      </c>
      <c r="P2032" s="4" t="s">
        <v>783</v>
      </c>
      <c r="Q2032" s="4" t="s">
        <v>1422</v>
      </c>
      <c r="R2032" s="4"/>
      <c r="S2032" s="4" t="s">
        <v>1423</v>
      </c>
      <c r="T2032" s="4" t="s">
        <v>786</v>
      </c>
      <c r="U2032" s="4"/>
      <c r="V2032" s="4"/>
      <c r="W2032" s="4"/>
    </row>
    <row r="2033" spans="1:23" customFormat="1">
      <c r="A2033" s="10"/>
      <c r="B2033" s="4"/>
      <c r="C2033" s="4"/>
      <c r="D2033" s="4"/>
      <c r="E2033" s="4"/>
      <c r="F2033" s="152" t="s">
        <v>658</v>
      </c>
      <c r="G2033" s="4" t="s">
        <v>659</v>
      </c>
      <c r="H2033" s="4"/>
      <c r="I2033" s="196">
        <v>1562000</v>
      </c>
      <c r="J2033" s="196">
        <v>1100</v>
      </c>
      <c r="K2033" s="196">
        <v>1420</v>
      </c>
      <c r="L2033" s="454" t="s">
        <v>1417</v>
      </c>
      <c r="M2033" s="4" t="s">
        <v>780</v>
      </c>
      <c r="N2033" s="133" t="s">
        <v>1407</v>
      </c>
      <c r="O2033" s="4" t="s">
        <v>1424</v>
      </c>
      <c r="P2033" s="4" t="s">
        <v>783</v>
      </c>
      <c r="Q2033" s="4" t="s">
        <v>1425</v>
      </c>
      <c r="R2033" s="4"/>
      <c r="S2033" s="4" t="s">
        <v>1426</v>
      </c>
      <c r="T2033" s="4" t="s">
        <v>786</v>
      </c>
      <c r="U2033" s="4"/>
      <c r="V2033" s="4"/>
      <c r="W2033" s="4"/>
    </row>
    <row r="2034" spans="1:23" customFormat="1">
      <c r="A2034" s="10"/>
      <c r="B2034" s="4"/>
      <c r="C2034" s="4"/>
      <c r="D2034" s="4"/>
      <c r="E2034" s="4"/>
      <c r="F2034" s="152" t="s">
        <v>658</v>
      </c>
      <c r="G2034" s="4" t="s">
        <v>659</v>
      </c>
      <c r="H2034" s="4"/>
      <c r="I2034" s="196">
        <v>385629.4</v>
      </c>
      <c r="J2034" s="196">
        <v>271.57</v>
      </c>
      <c r="K2034" s="196">
        <v>1420</v>
      </c>
      <c r="L2034" s="454" t="s">
        <v>779</v>
      </c>
      <c r="M2034" s="4" t="s">
        <v>780</v>
      </c>
      <c r="N2034" s="133" t="s">
        <v>1407</v>
      </c>
      <c r="O2034" s="4" t="s">
        <v>1427</v>
      </c>
      <c r="P2034" s="4" t="s">
        <v>783</v>
      </c>
      <c r="Q2034" s="4" t="s">
        <v>1428</v>
      </c>
      <c r="R2034" s="4"/>
      <c r="S2034" s="4" t="s">
        <v>1429</v>
      </c>
      <c r="T2034" s="4" t="s">
        <v>786</v>
      </c>
      <c r="U2034" s="4"/>
      <c r="V2034" s="4"/>
      <c r="W2034" s="4"/>
    </row>
    <row r="2035" spans="1:23" customFormat="1">
      <c r="A2035" s="10"/>
      <c r="B2035" s="4"/>
      <c r="C2035" s="4"/>
      <c r="D2035" s="4"/>
      <c r="E2035" s="4"/>
      <c r="F2035" s="152" t="s">
        <v>658</v>
      </c>
      <c r="G2035" s="4" t="s">
        <v>659</v>
      </c>
      <c r="H2035" s="4"/>
      <c r="I2035" s="196">
        <v>-19013.8</v>
      </c>
      <c r="J2035" s="196">
        <v>-13.39</v>
      </c>
      <c r="K2035" s="196">
        <v>1420</v>
      </c>
      <c r="L2035" s="454" t="s">
        <v>787</v>
      </c>
      <c r="M2035" s="4" t="s">
        <v>780</v>
      </c>
      <c r="N2035" s="133" t="s">
        <v>1407</v>
      </c>
      <c r="O2035" s="4" t="s">
        <v>1490</v>
      </c>
      <c r="P2035" s="4" t="s">
        <v>783</v>
      </c>
      <c r="Q2035" s="4" t="s">
        <v>1491</v>
      </c>
      <c r="R2035" s="4" t="s">
        <v>1492</v>
      </c>
      <c r="S2035" s="4" t="s">
        <v>1493</v>
      </c>
      <c r="T2035" s="4" t="s">
        <v>786</v>
      </c>
      <c r="U2035" s="4"/>
      <c r="V2035" s="4"/>
      <c r="W2035" s="4"/>
    </row>
    <row r="2036" spans="1:23" customFormat="1">
      <c r="A2036" s="10"/>
      <c r="B2036" s="4"/>
      <c r="C2036" s="4"/>
      <c r="D2036" s="4"/>
      <c r="E2036" s="4"/>
      <c r="F2036" s="152" t="s">
        <v>658</v>
      </c>
      <c r="G2036" s="4" t="s">
        <v>659</v>
      </c>
      <c r="H2036" s="4"/>
      <c r="I2036" s="196">
        <v>-2740.6</v>
      </c>
      <c r="J2036" s="196">
        <v>-1.93</v>
      </c>
      <c r="K2036" s="196">
        <v>1420</v>
      </c>
      <c r="L2036" s="454" t="s">
        <v>787</v>
      </c>
      <c r="M2036" s="4" t="s">
        <v>780</v>
      </c>
      <c r="N2036" s="133" t="s">
        <v>1407</v>
      </c>
      <c r="O2036" s="4" t="s">
        <v>1490</v>
      </c>
      <c r="P2036" s="4" t="s">
        <v>783</v>
      </c>
      <c r="Q2036" s="4" t="s">
        <v>1491</v>
      </c>
      <c r="R2036" s="4" t="s">
        <v>1515</v>
      </c>
      <c r="S2036" s="4" t="s">
        <v>1493</v>
      </c>
      <c r="T2036" s="4" t="s">
        <v>786</v>
      </c>
      <c r="U2036" s="4"/>
      <c r="V2036" s="4"/>
      <c r="W2036" s="4"/>
    </row>
    <row r="2037" spans="1:23" customFormat="1">
      <c r="A2037" s="10"/>
      <c r="B2037" s="4"/>
      <c r="C2037" s="4"/>
      <c r="D2037" s="4"/>
      <c r="E2037" s="4"/>
      <c r="F2037" s="152" t="s">
        <v>658</v>
      </c>
      <c r="G2037" s="4" t="s">
        <v>659</v>
      </c>
      <c r="H2037" s="4"/>
      <c r="I2037" s="196">
        <v>-215541.8</v>
      </c>
      <c r="J2037" s="196">
        <v>-151.79</v>
      </c>
      <c r="K2037" s="196">
        <v>1420</v>
      </c>
      <c r="L2037" s="454" t="s">
        <v>787</v>
      </c>
      <c r="M2037" s="4" t="s">
        <v>780</v>
      </c>
      <c r="N2037" s="133" t="s">
        <v>1407</v>
      </c>
      <c r="O2037" s="4" t="s">
        <v>1490</v>
      </c>
      <c r="P2037" s="4" t="s">
        <v>783</v>
      </c>
      <c r="Q2037" s="4" t="s">
        <v>1491</v>
      </c>
      <c r="R2037" s="4" t="s">
        <v>1520</v>
      </c>
      <c r="S2037" s="4" t="s">
        <v>1493</v>
      </c>
      <c r="T2037" s="4" t="s">
        <v>786</v>
      </c>
      <c r="U2037" s="4"/>
      <c r="V2037" s="4"/>
      <c r="W2037" s="4"/>
    </row>
    <row r="2038" spans="1:23" customFormat="1">
      <c r="A2038" s="10"/>
      <c r="B2038" s="4"/>
      <c r="C2038" s="4"/>
      <c r="D2038" s="4"/>
      <c r="E2038" s="4"/>
      <c r="F2038" s="152" t="s">
        <v>658</v>
      </c>
      <c r="G2038" s="4" t="s">
        <v>659</v>
      </c>
      <c r="H2038" s="4"/>
      <c r="I2038" s="196">
        <v>-2740.6</v>
      </c>
      <c r="J2038" s="196">
        <v>-1.93</v>
      </c>
      <c r="K2038" s="196">
        <v>1420</v>
      </c>
      <c r="L2038" s="454" t="s">
        <v>787</v>
      </c>
      <c r="M2038" s="4" t="s">
        <v>780</v>
      </c>
      <c r="N2038" s="133" t="s">
        <v>1407</v>
      </c>
      <c r="O2038" s="4" t="s">
        <v>1490</v>
      </c>
      <c r="P2038" s="4" t="s">
        <v>783</v>
      </c>
      <c r="Q2038" s="4" t="s">
        <v>1491</v>
      </c>
      <c r="R2038" s="4" t="s">
        <v>1456</v>
      </c>
      <c r="S2038" s="4" t="s">
        <v>1493</v>
      </c>
      <c r="T2038" s="4" t="s">
        <v>786</v>
      </c>
      <c r="U2038" s="4"/>
      <c r="V2038" s="4"/>
      <c r="W2038" s="4"/>
    </row>
    <row r="2039" spans="1:23" customFormat="1">
      <c r="A2039" s="10"/>
      <c r="B2039" s="4"/>
      <c r="C2039" s="4"/>
      <c r="D2039" s="4"/>
      <c r="E2039" s="4"/>
      <c r="F2039" s="152" t="s">
        <v>658</v>
      </c>
      <c r="G2039" s="4" t="s">
        <v>659</v>
      </c>
      <c r="H2039" s="4"/>
      <c r="I2039" s="196">
        <v>-2740.6</v>
      </c>
      <c r="J2039" s="196">
        <v>-1.93</v>
      </c>
      <c r="K2039" s="196">
        <v>1420</v>
      </c>
      <c r="L2039" s="454" t="s">
        <v>787</v>
      </c>
      <c r="M2039" s="4" t="s">
        <v>780</v>
      </c>
      <c r="N2039" s="133" t="s">
        <v>1407</v>
      </c>
      <c r="O2039" s="4" t="s">
        <v>1490</v>
      </c>
      <c r="P2039" s="4" t="s">
        <v>783</v>
      </c>
      <c r="Q2039" s="4" t="s">
        <v>1491</v>
      </c>
      <c r="R2039" s="4" t="s">
        <v>1515</v>
      </c>
      <c r="S2039" s="4" t="s">
        <v>1493</v>
      </c>
      <c r="T2039" s="4" t="s">
        <v>786</v>
      </c>
      <c r="U2039" s="4"/>
      <c r="V2039" s="4"/>
      <c r="W2039" s="4"/>
    </row>
    <row r="2040" spans="1:23" customFormat="1">
      <c r="A2040" s="10"/>
      <c r="B2040" s="4"/>
      <c r="C2040" s="4"/>
      <c r="D2040" s="4"/>
      <c r="E2040" s="4"/>
      <c r="F2040" s="152" t="s">
        <v>658</v>
      </c>
      <c r="G2040" s="4" t="s">
        <v>659</v>
      </c>
      <c r="H2040" s="4"/>
      <c r="I2040" s="196">
        <v>-4834730.8</v>
      </c>
      <c r="J2040" s="196">
        <v>-3404.74</v>
      </c>
      <c r="K2040" s="196">
        <v>1420</v>
      </c>
      <c r="L2040" s="454" t="s">
        <v>787</v>
      </c>
      <c r="M2040" s="4" t="s">
        <v>780</v>
      </c>
      <c r="N2040" s="133" t="s">
        <v>1407</v>
      </c>
      <c r="O2040" s="4" t="s">
        <v>1490</v>
      </c>
      <c r="P2040" s="4" t="s">
        <v>783</v>
      </c>
      <c r="Q2040" s="4" t="s">
        <v>1491</v>
      </c>
      <c r="R2040" s="4" t="s">
        <v>1512</v>
      </c>
      <c r="S2040" s="4" t="s">
        <v>1493</v>
      </c>
      <c r="T2040" s="4" t="s">
        <v>786</v>
      </c>
      <c r="U2040" s="4"/>
      <c r="V2040" s="4"/>
      <c r="W2040" s="4"/>
    </row>
    <row r="2041" spans="1:23" customFormat="1">
      <c r="A2041" s="10"/>
      <c r="B2041" s="4"/>
      <c r="C2041" s="4"/>
      <c r="D2041" s="4"/>
      <c r="E2041" s="4"/>
      <c r="F2041" s="152" t="s">
        <v>658</v>
      </c>
      <c r="G2041" s="4" t="s">
        <v>659</v>
      </c>
      <c r="H2041" s="4"/>
      <c r="I2041" s="196">
        <v>-92371</v>
      </c>
      <c r="J2041" s="196">
        <v>-65.05</v>
      </c>
      <c r="K2041" s="196">
        <v>1420</v>
      </c>
      <c r="L2041" s="454" t="s">
        <v>787</v>
      </c>
      <c r="M2041" s="4" t="s">
        <v>780</v>
      </c>
      <c r="N2041" s="133" t="s">
        <v>1407</v>
      </c>
      <c r="O2041" s="4" t="s">
        <v>1490</v>
      </c>
      <c r="P2041" s="4" t="s">
        <v>783</v>
      </c>
      <c r="Q2041" s="4" t="s">
        <v>1491</v>
      </c>
      <c r="R2041" s="4" t="s">
        <v>1519</v>
      </c>
      <c r="S2041" s="4" t="s">
        <v>1493</v>
      </c>
      <c r="T2041" s="4" t="s">
        <v>786</v>
      </c>
      <c r="U2041" s="4"/>
      <c r="V2041" s="4"/>
      <c r="W2041" s="4"/>
    </row>
    <row r="2042" spans="1:23" customFormat="1">
      <c r="A2042" s="10"/>
      <c r="B2042" s="4"/>
      <c r="C2042" s="4"/>
      <c r="D2042" s="4"/>
      <c r="E2042" s="4"/>
      <c r="F2042" s="152" t="s">
        <v>658</v>
      </c>
      <c r="G2042" s="4" t="s">
        <v>659</v>
      </c>
      <c r="H2042" s="4"/>
      <c r="I2042" s="196">
        <v>-2740.6</v>
      </c>
      <c r="J2042" s="196">
        <v>-1.93</v>
      </c>
      <c r="K2042" s="196">
        <v>1420</v>
      </c>
      <c r="L2042" s="454" t="s">
        <v>787</v>
      </c>
      <c r="M2042" s="4" t="s">
        <v>780</v>
      </c>
      <c r="N2042" s="133" t="s">
        <v>1407</v>
      </c>
      <c r="O2042" s="4" t="s">
        <v>1490</v>
      </c>
      <c r="P2042" s="4" t="s">
        <v>783</v>
      </c>
      <c r="Q2042" s="4" t="s">
        <v>1491</v>
      </c>
      <c r="R2042" s="4" t="s">
        <v>1515</v>
      </c>
      <c r="S2042" s="4" t="s">
        <v>1493</v>
      </c>
      <c r="T2042" s="4" t="s">
        <v>786</v>
      </c>
      <c r="U2042" s="4"/>
      <c r="V2042" s="4"/>
      <c r="W2042" s="4"/>
    </row>
    <row r="2043" spans="1:23" customFormat="1">
      <c r="A2043" s="10"/>
      <c r="B2043" s="4"/>
      <c r="C2043" s="4"/>
      <c r="D2043" s="4"/>
      <c r="E2043" s="4"/>
      <c r="F2043" s="152" t="s">
        <v>658</v>
      </c>
      <c r="G2043" s="4" t="s">
        <v>659</v>
      </c>
      <c r="H2043" s="4"/>
      <c r="I2043" s="196">
        <v>-215541.8</v>
      </c>
      <c r="J2043" s="196">
        <v>-151.79</v>
      </c>
      <c r="K2043" s="196">
        <v>1420</v>
      </c>
      <c r="L2043" s="454" t="s">
        <v>787</v>
      </c>
      <c r="M2043" s="4" t="s">
        <v>780</v>
      </c>
      <c r="N2043" s="133" t="s">
        <v>1407</v>
      </c>
      <c r="O2043" s="4" t="s">
        <v>1490</v>
      </c>
      <c r="P2043" s="4" t="s">
        <v>783</v>
      </c>
      <c r="Q2043" s="4" t="s">
        <v>1491</v>
      </c>
      <c r="R2043" s="4" t="s">
        <v>1518</v>
      </c>
      <c r="S2043" s="4" t="s">
        <v>1493</v>
      </c>
      <c r="T2043" s="4" t="s">
        <v>786</v>
      </c>
      <c r="U2043" s="4"/>
      <c r="V2043" s="4"/>
      <c r="W2043" s="4"/>
    </row>
    <row r="2044" spans="1:23" customFormat="1">
      <c r="A2044" s="10"/>
      <c r="B2044" s="4"/>
      <c r="C2044" s="4"/>
      <c r="D2044" s="4"/>
      <c r="E2044" s="4"/>
      <c r="F2044" s="152" t="s">
        <v>658</v>
      </c>
      <c r="G2044" s="4" t="s">
        <v>659</v>
      </c>
      <c r="H2044" s="4"/>
      <c r="I2044" s="196">
        <v>-2740.6</v>
      </c>
      <c r="J2044" s="196">
        <v>-1.93</v>
      </c>
      <c r="K2044" s="196">
        <v>1420</v>
      </c>
      <c r="L2044" s="454" t="s">
        <v>787</v>
      </c>
      <c r="M2044" s="4" t="s">
        <v>780</v>
      </c>
      <c r="N2044" s="133" t="s">
        <v>1407</v>
      </c>
      <c r="O2044" s="4" t="s">
        <v>1490</v>
      </c>
      <c r="P2044" s="4" t="s">
        <v>783</v>
      </c>
      <c r="Q2044" s="4" t="s">
        <v>1491</v>
      </c>
      <c r="R2044" s="4" t="s">
        <v>1515</v>
      </c>
      <c r="S2044" s="4" t="s">
        <v>1493</v>
      </c>
      <c r="T2044" s="4" t="s">
        <v>786</v>
      </c>
      <c r="U2044" s="4"/>
      <c r="V2044" s="4"/>
      <c r="W2044" s="4"/>
    </row>
    <row r="2045" spans="1:23" customFormat="1">
      <c r="A2045" s="10"/>
      <c r="B2045" s="4"/>
      <c r="C2045" s="4"/>
      <c r="D2045" s="4"/>
      <c r="E2045" s="4"/>
      <c r="F2045" s="152" t="s">
        <v>658</v>
      </c>
      <c r="G2045" s="4" t="s">
        <v>659</v>
      </c>
      <c r="H2045" s="4"/>
      <c r="I2045" s="196">
        <v>-26880.6</v>
      </c>
      <c r="J2045" s="196">
        <v>-18.93</v>
      </c>
      <c r="K2045" s="196">
        <v>1420</v>
      </c>
      <c r="L2045" s="454" t="s">
        <v>787</v>
      </c>
      <c r="M2045" s="4" t="s">
        <v>780</v>
      </c>
      <c r="N2045" s="133" t="s">
        <v>1407</v>
      </c>
      <c r="O2045" s="4" t="s">
        <v>1490</v>
      </c>
      <c r="P2045" s="4" t="s">
        <v>783</v>
      </c>
      <c r="Q2045" s="4" t="s">
        <v>1491</v>
      </c>
      <c r="R2045" s="4" t="s">
        <v>1533</v>
      </c>
      <c r="S2045" s="4" t="s">
        <v>1493</v>
      </c>
      <c r="T2045" s="4" t="s">
        <v>786</v>
      </c>
      <c r="U2045" s="4"/>
      <c r="V2045" s="4"/>
      <c r="W2045" s="4"/>
    </row>
    <row r="2046" spans="1:23" customFormat="1">
      <c r="A2046" s="10"/>
      <c r="B2046" s="4"/>
      <c r="C2046" s="4"/>
      <c r="D2046" s="4"/>
      <c r="E2046" s="4"/>
      <c r="F2046" s="152" t="s">
        <v>658</v>
      </c>
      <c r="G2046" s="4" t="s">
        <v>659</v>
      </c>
      <c r="H2046" s="4"/>
      <c r="I2046" s="196">
        <v>-215541.8</v>
      </c>
      <c r="J2046" s="196">
        <v>-151.79</v>
      </c>
      <c r="K2046" s="196">
        <v>1420</v>
      </c>
      <c r="L2046" s="454" t="s">
        <v>787</v>
      </c>
      <c r="M2046" s="4" t="s">
        <v>780</v>
      </c>
      <c r="N2046" s="133" t="s">
        <v>1407</v>
      </c>
      <c r="O2046" s="4" t="s">
        <v>1490</v>
      </c>
      <c r="P2046" s="4" t="s">
        <v>783</v>
      </c>
      <c r="Q2046" s="4" t="s">
        <v>1491</v>
      </c>
      <c r="R2046" s="4" t="s">
        <v>1517</v>
      </c>
      <c r="S2046" s="4" t="s">
        <v>1493</v>
      </c>
      <c r="T2046" s="4" t="s">
        <v>786</v>
      </c>
      <c r="U2046" s="4"/>
      <c r="V2046" s="4"/>
      <c r="W2046" s="4"/>
    </row>
    <row r="2047" spans="1:23" customFormat="1">
      <c r="A2047" s="10"/>
      <c r="B2047" s="4"/>
      <c r="C2047" s="4"/>
      <c r="D2047" s="4"/>
      <c r="E2047" s="4"/>
      <c r="F2047" s="152" t="s">
        <v>658</v>
      </c>
      <c r="G2047" s="4" t="s">
        <v>659</v>
      </c>
      <c r="H2047" s="4"/>
      <c r="I2047" s="196">
        <v>-2740.6</v>
      </c>
      <c r="J2047" s="196">
        <v>-1.93</v>
      </c>
      <c r="K2047" s="196">
        <v>1420</v>
      </c>
      <c r="L2047" s="454" t="s">
        <v>787</v>
      </c>
      <c r="M2047" s="4" t="s">
        <v>780</v>
      </c>
      <c r="N2047" s="133" t="s">
        <v>1407</v>
      </c>
      <c r="O2047" s="4" t="s">
        <v>1490</v>
      </c>
      <c r="P2047" s="4" t="s">
        <v>783</v>
      </c>
      <c r="Q2047" s="4" t="s">
        <v>1491</v>
      </c>
      <c r="R2047" s="4" t="s">
        <v>1515</v>
      </c>
      <c r="S2047" s="4" t="s">
        <v>1493</v>
      </c>
      <c r="T2047" s="4" t="s">
        <v>786</v>
      </c>
      <c r="U2047" s="4"/>
      <c r="V2047" s="4"/>
      <c r="W2047" s="4"/>
    </row>
    <row r="2048" spans="1:23" customFormat="1">
      <c r="A2048" s="10"/>
      <c r="B2048" s="4"/>
      <c r="C2048" s="4"/>
      <c r="D2048" s="4"/>
      <c r="E2048" s="4"/>
      <c r="F2048" s="152" t="s">
        <v>658</v>
      </c>
      <c r="G2048" s="4" t="s">
        <v>659</v>
      </c>
      <c r="H2048" s="4"/>
      <c r="I2048" s="196">
        <v>-215541.8</v>
      </c>
      <c r="J2048" s="196">
        <v>-151.79</v>
      </c>
      <c r="K2048" s="196">
        <v>1420</v>
      </c>
      <c r="L2048" s="454" t="s">
        <v>787</v>
      </c>
      <c r="M2048" s="4" t="s">
        <v>780</v>
      </c>
      <c r="N2048" s="133" t="s">
        <v>1407</v>
      </c>
      <c r="O2048" s="4" t="s">
        <v>1490</v>
      </c>
      <c r="P2048" s="4" t="s">
        <v>783</v>
      </c>
      <c r="Q2048" s="4" t="s">
        <v>1491</v>
      </c>
      <c r="R2048" s="4" t="s">
        <v>1516</v>
      </c>
      <c r="S2048" s="4" t="s">
        <v>1493</v>
      </c>
      <c r="T2048" s="4" t="s">
        <v>786</v>
      </c>
      <c r="U2048" s="4"/>
      <c r="V2048" s="4"/>
      <c r="W2048" s="4"/>
    </row>
    <row r="2049" spans="1:23" customFormat="1">
      <c r="A2049" s="10"/>
      <c r="B2049" s="4"/>
      <c r="C2049" s="4"/>
      <c r="D2049" s="4"/>
      <c r="E2049" s="4"/>
      <c r="F2049" s="152" t="s">
        <v>658</v>
      </c>
      <c r="G2049" s="4" t="s">
        <v>659</v>
      </c>
      <c r="H2049" s="4"/>
      <c r="I2049" s="196">
        <v>-491859.6</v>
      </c>
      <c r="J2049" s="196">
        <v>-346.38</v>
      </c>
      <c r="K2049" s="196">
        <v>1420</v>
      </c>
      <c r="L2049" s="454" t="s">
        <v>787</v>
      </c>
      <c r="M2049" s="4" t="s">
        <v>780</v>
      </c>
      <c r="N2049" s="133" t="s">
        <v>1407</v>
      </c>
      <c r="O2049" s="4" t="s">
        <v>1490</v>
      </c>
      <c r="P2049" s="4" t="s">
        <v>783</v>
      </c>
      <c r="Q2049" s="4" t="s">
        <v>1491</v>
      </c>
      <c r="R2049" s="4" t="s">
        <v>1513</v>
      </c>
      <c r="S2049" s="4" t="s">
        <v>1493</v>
      </c>
      <c r="T2049" s="4" t="s">
        <v>786</v>
      </c>
      <c r="U2049" s="4"/>
      <c r="V2049" s="4"/>
      <c r="W2049" s="4"/>
    </row>
    <row r="2050" spans="1:23" customFormat="1">
      <c r="A2050" s="10"/>
      <c r="B2050" s="4"/>
      <c r="C2050" s="4"/>
      <c r="D2050" s="4"/>
      <c r="E2050" s="4"/>
      <c r="F2050" s="152" t="s">
        <v>658</v>
      </c>
      <c r="G2050" s="4" t="s">
        <v>659</v>
      </c>
      <c r="H2050" s="4"/>
      <c r="I2050" s="196">
        <v>-2740.6</v>
      </c>
      <c r="J2050" s="196">
        <v>-1.93</v>
      </c>
      <c r="K2050" s="196">
        <v>1420</v>
      </c>
      <c r="L2050" s="454" t="s">
        <v>787</v>
      </c>
      <c r="M2050" s="4" t="s">
        <v>780</v>
      </c>
      <c r="N2050" s="133" t="s">
        <v>1407</v>
      </c>
      <c r="O2050" s="4" t="s">
        <v>1490</v>
      </c>
      <c r="P2050" s="4" t="s">
        <v>783</v>
      </c>
      <c r="Q2050" s="4" t="s">
        <v>1491</v>
      </c>
      <c r="R2050" s="4" t="s">
        <v>1515</v>
      </c>
      <c r="S2050" s="4" t="s">
        <v>1493</v>
      </c>
      <c r="T2050" s="4" t="s">
        <v>786</v>
      </c>
      <c r="U2050" s="4"/>
      <c r="V2050" s="4"/>
      <c r="W2050" s="4"/>
    </row>
    <row r="2051" spans="1:23" customFormat="1">
      <c r="A2051" s="10"/>
      <c r="B2051" s="4"/>
      <c r="C2051" s="4"/>
      <c r="D2051" s="4"/>
      <c r="E2051" s="4"/>
      <c r="F2051" s="152" t="s">
        <v>658</v>
      </c>
      <c r="G2051" s="4" t="s">
        <v>659</v>
      </c>
      <c r="H2051" s="4"/>
      <c r="I2051" s="196">
        <v>-515985.4</v>
      </c>
      <c r="J2051" s="196">
        <v>-363.37</v>
      </c>
      <c r="K2051" s="196">
        <v>1420</v>
      </c>
      <c r="L2051" s="454" t="s">
        <v>787</v>
      </c>
      <c r="M2051" s="4" t="s">
        <v>780</v>
      </c>
      <c r="N2051" s="133" t="s">
        <v>1407</v>
      </c>
      <c r="O2051" s="4" t="s">
        <v>1490</v>
      </c>
      <c r="P2051" s="4" t="s">
        <v>783</v>
      </c>
      <c r="Q2051" s="4" t="s">
        <v>1491</v>
      </c>
      <c r="R2051" s="4" t="s">
        <v>1513</v>
      </c>
      <c r="S2051" s="4" t="s">
        <v>1493</v>
      </c>
      <c r="T2051" s="4" t="s">
        <v>786</v>
      </c>
      <c r="U2051" s="4"/>
      <c r="V2051" s="4"/>
      <c r="W2051" s="4"/>
    </row>
    <row r="2052" spans="1:23" customFormat="1">
      <c r="A2052" s="10"/>
      <c r="B2052" s="4"/>
      <c r="C2052" s="4"/>
      <c r="D2052" s="4"/>
      <c r="E2052" s="4"/>
      <c r="F2052" s="152" t="s">
        <v>658</v>
      </c>
      <c r="G2052" s="4" t="s">
        <v>659</v>
      </c>
      <c r="H2052" s="4"/>
      <c r="I2052" s="196">
        <v>-215541.8</v>
      </c>
      <c r="J2052" s="196">
        <v>-151.79</v>
      </c>
      <c r="K2052" s="196">
        <v>1420</v>
      </c>
      <c r="L2052" s="454" t="s">
        <v>787</v>
      </c>
      <c r="M2052" s="4" t="s">
        <v>780</v>
      </c>
      <c r="N2052" s="133" t="s">
        <v>1407</v>
      </c>
      <c r="O2052" s="4" t="s">
        <v>1490</v>
      </c>
      <c r="P2052" s="4" t="s">
        <v>783</v>
      </c>
      <c r="Q2052" s="4" t="s">
        <v>1491</v>
      </c>
      <c r="R2052" s="4" t="s">
        <v>1514</v>
      </c>
      <c r="S2052" s="4" t="s">
        <v>1493</v>
      </c>
      <c r="T2052" s="4" t="s">
        <v>786</v>
      </c>
      <c r="U2052" s="4"/>
      <c r="V2052" s="4"/>
      <c r="W2052" s="4"/>
    </row>
    <row r="2053" spans="1:23" customFormat="1">
      <c r="A2053" s="10"/>
      <c r="B2053" s="4"/>
      <c r="C2053" s="4"/>
      <c r="D2053" s="4"/>
      <c r="E2053" s="4"/>
      <c r="F2053" s="152" t="s">
        <v>658</v>
      </c>
      <c r="G2053" s="4" t="s">
        <v>659</v>
      </c>
      <c r="H2053" s="4"/>
      <c r="I2053" s="196">
        <v>-45456.6</v>
      </c>
      <c r="J2053" s="196">
        <v>-33.18</v>
      </c>
      <c r="K2053" s="196">
        <v>1370</v>
      </c>
      <c r="L2053" s="454" t="s">
        <v>787</v>
      </c>
      <c r="M2053" s="4" t="s">
        <v>780</v>
      </c>
      <c r="N2053" s="133" t="s">
        <v>1407</v>
      </c>
      <c r="O2053" s="4" t="s">
        <v>1490</v>
      </c>
      <c r="P2053" s="4" t="s">
        <v>783</v>
      </c>
      <c r="Q2053" s="4" t="s">
        <v>1491</v>
      </c>
      <c r="R2053" s="4" t="s">
        <v>1527</v>
      </c>
      <c r="S2053" s="4" t="s">
        <v>1493</v>
      </c>
      <c r="T2053" s="4" t="s">
        <v>786</v>
      </c>
      <c r="U2053" s="4"/>
      <c r="V2053" s="4"/>
      <c r="W2053" s="4"/>
    </row>
    <row r="2054" spans="1:23" customFormat="1">
      <c r="A2054" s="10"/>
      <c r="B2054" s="4"/>
      <c r="C2054" s="4"/>
      <c r="D2054" s="4"/>
      <c r="E2054" s="4"/>
      <c r="F2054" s="152" t="s">
        <v>658</v>
      </c>
      <c r="G2054" s="4" t="s">
        <v>659</v>
      </c>
      <c r="H2054" s="4"/>
      <c r="I2054" s="196">
        <v>-90981.7</v>
      </c>
      <c r="J2054" s="196">
        <v>-66.41</v>
      </c>
      <c r="K2054" s="196">
        <v>1370</v>
      </c>
      <c r="L2054" s="454" t="s">
        <v>787</v>
      </c>
      <c r="M2054" s="4" t="s">
        <v>780</v>
      </c>
      <c r="N2054" s="133" t="s">
        <v>1407</v>
      </c>
      <c r="O2054" s="4" t="s">
        <v>1490</v>
      </c>
      <c r="P2054" s="4" t="s">
        <v>783</v>
      </c>
      <c r="Q2054" s="4" t="s">
        <v>1491</v>
      </c>
      <c r="R2054" s="4" t="s">
        <v>1528</v>
      </c>
      <c r="S2054" s="4" t="s">
        <v>1493</v>
      </c>
      <c r="T2054" s="4" t="s">
        <v>786</v>
      </c>
      <c r="U2054" s="4"/>
      <c r="V2054" s="4"/>
      <c r="W2054" s="4"/>
    </row>
    <row r="2055" spans="1:23" customFormat="1">
      <c r="A2055" s="10"/>
      <c r="B2055" s="4"/>
      <c r="C2055" s="4"/>
      <c r="D2055" s="4"/>
      <c r="E2055" s="4"/>
      <c r="F2055" s="152" t="s">
        <v>658</v>
      </c>
      <c r="G2055" s="4" t="s">
        <v>659</v>
      </c>
      <c r="H2055" s="4"/>
      <c r="I2055" s="196">
        <v>-331951</v>
      </c>
      <c r="J2055" s="196">
        <v>-242.3</v>
      </c>
      <c r="K2055" s="196">
        <v>1370</v>
      </c>
      <c r="L2055" s="454" t="s">
        <v>787</v>
      </c>
      <c r="M2055" s="4" t="s">
        <v>780</v>
      </c>
      <c r="N2055" s="133" t="s">
        <v>1407</v>
      </c>
      <c r="O2055" s="4" t="s">
        <v>1490</v>
      </c>
      <c r="P2055" s="4" t="s">
        <v>783</v>
      </c>
      <c r="Q2055" s="4" t="s">
        <v>1491</v>
      </c>
      <c r="R2055" s="4" t="s">
        <v>1511</v>
      </c>
      <c r="S2055" s="4" t="s">
        <v>1493</v>
      </c>
      <c r="T2055" s="4" t="s">
        <v>786</v>
      </c>
      <c r="U2055" s="4"/>
      <c r="V2055" s="4"/>
      <c r="W2055" s="4"/>
    </row>
    <row r="2056" spans="1:23" customFormat="1">
      <c r="A2056" s="10"/>
      <c r="B2056" s="4"/>
      <c r="C2056" s="4"/>
      <c r="D2056" s="4"/>
      <c r="E2056" s="4"/>
      <c r="F2056" s="152" t="s">
        <v>658</v>
      </c>
      <c r="G2056" s="4" t="s">
        <v>659</v>
      </c>
      <c r="H2056" s="4"/>
      <c r="I2056" s="196">
        <v>-2769</v>
      </c>
      <c r="J2056" s="196">
        <v>-1.95</v>
      </c>
      <c r="K2056" s="196">
        <v>1420</v>
      </c>
      <c r="L2056" s="454" t="s">
        <v>787</v>
      </c>
      <c r="M2056" s="4" t="s">
        <v>780</v>
      </c>
      <c r="N2056" s="133" t="s">
        <v>1407</v>
      </c>
      <c r="O2056" s="4" t="s">
        <v>1490</v>
      </c>
      <c r="P2056" s="4" t="s">
        <v>783</v>
      </c>
      <c r="Q2056" s="4" t="s">
        <v>1491</v>
      </c>
      <c r="R2056" s="4" t="s">
        <v>1456</v>
      </c>
      <c r="S2056" s="4" t="s">
        <v>1493</v>
      </c>
      <c r="T2056" s="4" t="s">
        <v>786</v>
      </c>
      <c r="U2056" s="4"/>
      <c r="V2056" s="4"/>
      <c r="W2056" s="4"/>
    </row>
    <row r="2057" spans="1:23" customFormat="1">
      <c r="A2057" s="10"/>
      <c r="B2057" s="4"/>
      <c r="C2057" s="4"/>
      <c r="D2057" s="4"/>
      <c r="E2057" s="4"/>
      <c r="F2057" s="152" t="s">
        <v>658</v>
      </c>
      <c r="G2057" s="4" t="s">
        <v>659</v>
      </c>
      <c r="H2057" s="4"/>
      <c r="I2057" s="196">
        <v>-629798.40000000002</v>
      </c>
      <c r="J2057" s="196">
        <v>-443.52</v>
      </c>
      <c r="K2057" s="196">
        <v>1420</v>
      </c>
      <c r="L2057" s="454" t="s">
        <v>787</v>
      </c>
      <c r="M2057" s="4" t="s">
        <v>780</v>
      </c>
      <c r="N2057" s="133" t="s">
        <v>1407</v>
      </c>
      <c r="O2057" s="4" t="s">
        <v>1490</v>
      </c>
      <c r="P2057" s="4" t="s">
        <v>783</v>
      </c>
      <c r="Q2057" s="4" t="s">
        <v>1491</v>
      </c>
      <c r="R2057" s="4" t="s">
        <v>1526</v>
      </c>
      <c r="S2057" s="4" t="s">
        <v>1493</v>
      </c>
      <c r="T2057" s="4" t="s">
        <v>786</v>
      </c>
      <c r="U2057" s="4"/>
      <c r="V2057" s="4"/>
      <c r="W2057" s="4"/>
    </row>
    <row r="2058" spans="1:23" customFormat="1">
      <c r="A2058" s="10"/>
      <c r="B2058" s="4"/>
      <c r="C2058" s="4"/>
      <c r="D2058" s="4"/>
      <c r="E2058" s="4"/>
      <c r="F2058" s="152" t="s">
        <v>658</v>
      </c>
      <c r="G2058" s="4" t="s">
        <v>659</v>
      </c>
      <c r="H2058" s="4"/>
      <c r="I2058" s="196">
        <v>-198729</v>
      </c>
      <c r="J2058" s="196">
        <v>-139.94999999999999</v>
      </c>
      <c r="K2058" s="196">
        <v>1420</v>
      </c>
      <c r="L2058" s="454" t="s">
        <v>787</v>
      </c>
      <c r="M2058" s="4" t="s">
        <v>780</v>
      </c>
      <c r="N2058" s="133" t="s">
        <v>1407</v>
      </c>
      <c r="O2058" s="4" t="s">
        <v>1490</v>
      </c>
      <c r="P2058" s="4" t="s">
        <v>783</v>
      </c>
      <c r="Q2058" s="4" t="s">
        <v>1491</v>
      </c>
      <c r="R2058" s="4" t="s">
        <v>1525</v>
      </c>
      <c r="S2058" s="4" t="s">
        <v>1493</v>
      </c>
      <c r="T2058" s="4" t="s">
        <v>786</v>
      </c>
      <c r="U2058" s="4"/>
      <c r="V2058" s="4"/>
      <c r="W2058" s="4"/>
    </row>
    <row r="2059" spans="1:23" customFormat="1">
      <c r="A2059" s="10"/>
      <c r="B2059" s="4"/>
      <c r="C2059" s="4"/>
      <c r="D2059" s="4"/>
      <c r="E2059" s="4"/>
      <c r="F2059" s="152" t="s">
        <v>658</v>
      </c>
      <c r="G2059" s="4" t="s">
        <v>659</v>
      </c>
      <c r="H2059" s="4"/>
      <c r="I2059" s="196">
        <v>-843070.6</v>
      </c>
      <c r="J2059" s="196">
        <v>-615.38</v>
      </c>
      <c r="K2059" s="196">
        <v>1370</v>
      </c>
      <c r="L2059" s="454" t="s">
        <v>787</v>
      </c>
      <c r="M2059" s="4" t="s">
        <v>780</v>
      </c>
      <c r="N2059" s="133" t="s">
        <v>1407</v>
      </c>
      <c r="O2059" s="4" t="s">
        <v>1490</v>
      </c>
      <c r="P2059" s="4" t="s">
        <v>783</v>
      </c>
      <c r="Q2059" s="4" t="s">
        <v>1491</v>
      </c>
      <c r="R2059" s="4" t="s">
        <v>1530</v>
      </c>
      <c r="S2059" s="4" t="s">
        <v>1493</v>
      </c>
      <c r="T2059" s="4" t="s">
        <v>786</v>
      </c>
      <c r="U2059" s="4"/>
      <c r="V2059" s="4"/>
      <c r="W2059" s="4"/>
    </row>
    <row r="2060" spans="1:23" customFormat="1">
      <c r="A2060" s="10"/>
      <c r="B2060" s="4"/>
      <c r="C2060" s="4"/>
      <c r="D2060" s="4"/>
      <c r="E2060" s="4"/>
      <c r="F2060" s="152" t="s">
        <v>658</v>
      </c>
      <c r="G2060" s="4" t="s">
        <v>659</v>
      </c>
      <c r="H2060" s="4"/>
      <c r="I2060" s="196">
        <v>-2671.5</v>
      </c>
      <c r="J2060" s="196">
        <v>-1.95</v>
      </c>
      <c r="K2060" s="196">
        <v>1370</v>
      </c>
      <c r="L2060" s="454" t="s">
        <v>787</v>
      </c>
      <c r="M2060" s="4" t="s">
        <v>780</v>
      </c>
      <c r="N2060" s="133" t="s">
        <v>1407</v>
      </c>
      <c r="O2060" s="4" t="s">
        <v>1490</v>
      </c>
      <c r="P2060" s="4" t="s">
        <v>783</v>
      </c>
      <c r="Q2060" s="4" t="s">
        <v>1491</v>
      </c>
      <c r="R2060" s="4" t="s">
        <v>1487</v>
      </c>
      <c r="S2060" s="4" t="s">
        <v>1493</v>
      </c>
      <c r="T2060" s="4" t="s">
        <v>786</v>
      </c>
      <c r="U2060" s="4"/>
      <c r="V2060" s="4"/>
      <c r="W2060" s="4"/>
    </row>
    <row r="2061" spans="1:23" customFormat="1">
      <c r="A2061" s="10"/>
      <c r="B2061" s="4"/>
      <c r="C2061" s="4"/>
      <c r="D2061" s="4"/>
      <c r="E2061" s="4"/>
      <c r="F2061" s="152" t="s">
        <v>658</v>
      </c>
      <c r="G2061" s="4" t="s">
        <v>659</v>
      </c>
      <c r="H2061" s="4"/>
      <c r="I2061" s="196">
        <v>-745430.7</v>
      </c>
      <c r="J2061" s="196">
        <v>-544.11</v>
      </c>
      <c r="K2061" s="196">
        <v>1370</v>
      </c>
      <c r="L2061" s="454" t="s">
        <v>787</v>
      </c>
      <c r="M2061" s="4" t="s">
        <v>780</v>
      </c>
      <c r="N2061" s="133" t="s">
        <v>1407</v>
      </c>
      <c r="O2061" s="4" t="s">
        <v>1490</v>
      </c>
      <c r="P2061" s="4" t="s">
        <v>783</v>
      </c>
      <c r="Q2061" s="4" t="s">
        <v>1491</v>
      </c>
      <c r="R2061" s="4" t="s">
        <v>1531</v>
      </c>
      <c r="S2061" s="4" t="s">
        <v>1493</v>
      </c>
      <c r="T2061" s="4" t="s">
        <v>786</v>
      </c>
      <c r="U2061" s="4"/>
      <c r="V2061" s="4"/>
      <c r="W2061" s="4"/>
    </row>
    <row r="2062" spans="1:23" customFormat="1">
      <c r="A2062" s="10"/>
      <c r="B2062" s="4"/>
      <c r="C2062" s="4"/>
      <c r="D2062" s="4"/>
      <c r="E2062" s="4"/>
      <c r="F2062" s="152" t="s">
        <v>658</v>
      </c>
      <c r="G2062" s="4" t="s">
        <v>659</v>
      </c>
      <c r="H2062" s="4"/>
      <c r="I2062" s="196">
        <v>-2740.6</v>
      </c>
      <c r="J2062" s="196">
        <v>-1.93</v>
      </c>
      <c r="K2062" s="196">
        <v>1420</v>
      </c>
      <c r="L2062" s="454" t="s">
        <v>787</v>
      </c>
      <c r="M2062" s="4" t="s">
        <v>780</v>
      </c>
      <c r="N2062" s="133" t="s">
        <v>1407</v>
      </c>
      <c r="O2062" s="4" t="s">
        <v>1490</v>
      </c>
      <c r="P2062" s="4" t="s">
        <v>783</v>
      </c>
      <c r="Q2062" s="4" t="s">
        <v>1491</v>
      </c>
      <c r="R2062" s="4" t="s">
        <v>1515</v>
      </c>
      <c r="S2062" s="4" t="s">
        <v>1493</v>
      </c>
      <c r="T2062" s="4" t="s">
        <v>786</v>
      </c>
      <c r="U2062" s="4"/>
      <c r="V2062" s="4"/>
      <c r="W2062" s="4"/>
    </row>
    <row r="2063" spans="1:23" customFormat="1">
      <c r="A2063" s="10"/>
      <c r="B2063" s="4"/>
      <c r="C2063" s="4"/>
      <c r="D2063" s="4"/>
      <c r="E2063" s="4"/>
      <c r="F2063" s="152" t="s">
        <v>658</v>
      </c>
      <c r="G2063" s="4" t="s">
        <v>659</v>
      </c>
      <c r="H2063" s="4"/>
      <c r="I2063" s="196">
        <v>-628624.5</v>
      </c>
      <c r="J2063" s="196">
        <v>-458.85</v>
      </c>
      <c r="K2063" s="196">
        <v>1370</v>
      </c>
      <c r="L2063" s="454" t="s">
        <v>787</v>
      </c>
      <c r="M2063" s="4" t="s">
        <v>780</v>
      </c>
      <c r="N2063" s="133" t="s">
        <v>1407</v>
      </c>
      <c r="O2063" s="4" t="s">
        <v>1490</v>
      </c>
      <c r="P2063" s="4" t="s">
        <v>783</v>
      </c>
      <c r="Q2063" s="4" t="s">
        <v>1491</v>
      </c>
      <c r="R2063" s="4" t="s">
        <v>1524</v>
      </c>
      <c r="S2063" s="4" t="s">
        <v>1493</v>
      </c>
      <c r="T2063" s="4" t="s">
        <v>786</v>
      </c>
      <c r="U2063" s="4"/>
      <c r="V2063" s="4"/>
      <c r="W2063" s="4"/>
    </row>
    <row r="2064" spans="1:23" customFormat="1">
      <c r="A2064" s="10"/>
      <c r="B2064" s="4"/>
      <c r="C2064" s="4"/>
      <c r="D2064" s="4"/>
      <c r="E2064" s="4"/>
      <c r="F2064" s="152" t="s">
        <v>658</v>
      </c>
      <c r="G2064" s="4" t="s">
        <v>659</v>
      </c>
      <c r="H2064" s="4"/>
      <c r="I2064" s="196">
        <v>-18985.400000000001</v>
      </c>
      <c r="J2064" s="196">
        <v>-13.37</v>
      </c>
      <c r="K2064" s="196">
        <v>1420</v>
      </c>
      <c r="L2064" s="454" t="s">
        <v>787</v>
      </c>
      <c r="M2064" s="4" t="s">
        <v>780</v>
      </c>
      <c r="N2064" s="133" t="s">
        <v>1407</v>
      </c>
      <c r="O2064" s="4" t="s">
        <v>1490</v>
      </c>
      <c r="P2064" s="4" t="s">
        <v>783</v>
      </c>
      <c r="Q2064" s="4" t="s">
        <v>1491</v>
      </c>
      <c r="R2064" s="4" t="s">
        <v>1499</v>
      </c>
      <c r="S2064" s="4" t="s">
        <v>1493</v>
      </c>
      <c r="T2064" s="4" t="s">
        <v>786</v>
      </c>
      <c r="U2064" s="4"/>
      <c r="V2064" s="4"/>
      <c r="W2064" s="4"/>
    </row>
    <row r="2065" spans="1:23" customFormat="1">
      <c r="A2065" s="10"/>
      <c r="B2065" s="4"/>
      <c r="C2065" s="4"/>
      <c r="D2065" s="4"/>
      <c r="E2065" s="4"/>
      <c r="F2065" s="152" t="s">
        <v>658</v>
      </c>
      <c r="G2065" s="4" t="s">
        <v>659</v>
      </c>
      <c r="H2065" s="4"/>
      <c r="I2065" s="196">
        <v>-57808.2</v>
      </c>
      <c r="J2065" s="196">
        <v>-40.71</v>
      </c>
      <c r="K2065" s="196">
        <v>1420</v>
      </c>
      <c r="L2065" s="454" t="s">
        <v>787</v>
      </c>
      <c r="M2065" s="4" t="s">
        <v>780</v>
      </c>
      <c r="N2065" s="133" t="s">
        <v>1407</v>
      </c>
      <c r="O2065" s="4" t="s">
        <v>1490</v>
      </c>
      <c r="P2065" s="4" t="s">
        <v>783</v>
      </c>
      <c r="Q2065" s="4" t="s">
        <v>1491</v>
      </c>
      <c r="R2065" s="4" t="s">
        <v>1498</v>
      </c>
      <c r="S2065" s="4" t="s">
        <v>1493</v>
      </c>
      <c r="T2065" s="4" t="s">
        <v>786</v>
      </c>
      <c r="U2065" s="4"/>
      <c r="V2065" s="4"/>
      <c r="W2065" s="4"/>
    </row>
    <row r="2066" spans="1:23" customFormat="1">
      <c r="A2066" s="10"/>
      <c r="B2066" s="4"/>
      <c r="C2066" s="4"/>
      <c r="D2066" s="4"/>
      <c r="E2066" s="4"/>
      <c r="F2066" s="152" t="s">
        <v>658</v>
      </c>
      <c r="G2066" s="4" t="s">
        <v>659</v>
      </c>
      <c r="H2066" s="4"/>
      <c r="I2066" s="196">
        <v>-16117</v>
      </c>
      <c r="J2066" s="196">
        <v>-11.35</v>
      </c>
      <c r="K2066" s="196">
        <v>1420</v>
      </c>
      <c r="L2066" s="454" t="s">
        <v>787</v>
      </c>
      <c r="M2066" s="4" t="s">
        <v>780</v>
      </c>
      <c r="N2066" s="133" t="s">
        <v>1407</v>
      </c>
      <c r="O2066" s="4" t="s">
        <v>1490</v>
      </c>
      <c r="P2066" s="4" t="s">
        <v>783</v>
      </c>
      <c r="Q2066" s="4" t="s">
        <v>1491</v>
      </c>
      <c r="R2066" s="4" t="s">
        <v>1500</v>
      </c>
      <c r="S2066" s="4" t="s">
        <v>1493</v>
      </c>
      <c r="T2066" s="4" t="s">
        <v>786</v>
      </c>
      <c r="U2066" s="4"/>
      <c r="V2066" s="4"/>
      <c r="W2066" s="4"/>
    </row>
    <row r="2067" spans="1:23" customFormat="1">
      <c r="A2067" s="10"/>
      <c r="B2067" s="4"/>
      <c r="C2067" s="4"/>
      <c r="D2067" s="4"/>
      <c r="E2067" s="4"/>
      <c r="F2067" s="152" t="s">
        <v>658</v>
      </c>
      <c r="G2067" s="4" t="s">
        <v>659</v>
      </c>
      <c r="H2067" s="4"/>
      <c r="I2067" s="196">
        <v>-36224.199999999997</v>
      </c>
      <c r="J2067" s="196">
        <v>-25.51</v>
      </c>
      <c r="K2067" s="196">
        <v>1420</v>
      </c>
      <c r="L2067" s="454" t="s">
        <v>787</v>
      </c>
      <c r="M2067" s="4" t="s">
        <v>780</v>
      </c>
      <c r="N2067" s="133" t="s">
        <v>1407</v>
      </c>
      <c r="O2067" s="4" t="s">
        <v>1490</v>
      </c>
      <c r="P2067" s="4" t="s">
        <v>783</v>
      </c>
      <c r="Q2067" s="4" t="s">
        <v>1491</v>
      </c>
      <c r="R2067" s="4" t="s">
        <v>1502</v>
      </c>
      <c r="S2067" s="4" t="s">
        <v>1493</v>
      </c>
      <c r="T2067" s="4" t="s">
        <v>786</v>
      </c>
      <c r="U2067" s="4"/>
      <c r="V2067" s="4"/>
      <c r="W2067" s="4"/>
    </row>
    <row r="2068" spans="1:23" customFormat="1">
      <c r="A2068" s="10"/>
      <c r="B2068" s="4"/>
      <c r="C2068" s="4"/>
      <c r="D2068" s="4"/>
      <c r="E2068" s="4"/>
      <c r="F2068" s="152" t="s">
        <v>658</v>
      </c>
      <c r="G2068" s="4" t="s">
        <v>659</v>
      </c>
      <c r="H2068" s="4"/>
      <c r="I2068" s="196">
        <v>-358408</v>
      </c>
      <c r="J2068" s="196">
        <v>-252.4</v>
      </c>
      <c r="K2068" s="196">
        <v>1420</v>
      </c>
      <c r="L2068" s="454" t="s">
        <v>787</v>
      </c>
      <c r="M2068" s="4" t="s">
        <v>780</v>
      </c>
      <c r="N2068" s="133" t="s">
        <v>1407</v>
      </c>
      <c r="O2068" s="4" t="s">
        <v>1490</v>
      </c>
      <c r="P2068" s="4" t="s">
        <v>783</v>
      </c>
      <c r="Q2068" s="4" t="s">
        <v>1491</v>
      </c>
      <c r="R2068" s="4" t="s">
        <v>1501</v>
      </c>
      <c r="S2068" s="4" t="s">
        <v>1493</v>
      </c>
      <c r="T2068" s="4" t="s">
        <v>786</v>
      </c>
      <c r="U2068" s="4"/>
      <c r="V2068" s="4"/>
      <c r="W2068" s="4"/>
    </row>
    <row r="2069" spans="1:23" customFormat="1">
      <c r="A2069" s="10"/>
      <c r="B2069" s="4"/>
      <c r="C2069" s="4"/>
      <c r="D2069" s="4"/>
      <c r="E2069" s="4"/>
      <c r="F2069" s="152" t="s">
        <v>658</v>
      </c>
      <c r="G2069" s="4" t="s">
        <v>659</v>
      </c>
      <c r="H2069" s="4"/>
      <c r="I2069" s="196">
        <v>-362885.6</v>
      </c>
      <c r="J2069" s="196">
        <v>-264.88</v>
      </c>
      <c r="K2069" s="196">
        <v>1370</v>
      </c>
      <c r="L2069" s="454" t="s">
        <v>787</v>
      </c>
      <c r="M2069" s="4" t="s">
        <v>780</v>
      </c>
      <c r="N2069" s="133" t="s">
        <v>1407</v>
      </c>
      <c r="O2069" s="4" t="s">
        <v>1490</v>
      </c>
      <c r="P2069" s="4" t="s">
        <v>783</v>
      </c>
      <c r="Q2069" s="4" t="s">
        <v>1491</v>
      </c>
      <c r="R2069" s="4" t="s">
        <v>1497</v>
      </c>
      <c r="S2069" s="4" t="s">
        <v>1493</v>
      </c>
      <c r="T2069" s="4" t="s">
        <v>786</v>
      </c>
      <c r="U2069" s="4"/>
      <c r="V2069" s="4"/>
      <c r="W2069" s="4"/>
    </row>
    <row r="2070" spans="1:23" customFormat="1">
      <c r="A2070" s="10"/>
      <c r="B2070" s="4"/>
      <c r="C2070" s="4"/>
      <c r="D2070" s="4"/>
      <c r="E2070" s="4"/>
      <c r="F2070" s="152" t="s">
        <v>658</v>
      </c>
      <c r="G2070" s="4" t="s">
        <v>659</v>
      </c>
      <c r="H2070" s="4"/>
      <c r="I2070" s="196">
        <v>-893918.4</v>
      </c>
      <c r="J2070" s="196">
        <v>-629.52</v>
      </c>
      <c r="K2070" s="196">
        <v>1420</v>
      </c>
      <c r="L2070" s="454" t="s">
        <v>787</v>
      </c>
      <c r="M2070" s="4" t="s">
        <v>780</v>
      </c>
      <c r="N2070" s="133" t="s">
        <v>1407</v>
      </c>
      <c r="O2070" s="4" t="s">
        <v>1490</v>
      </c>
      <c r="P2070" s="4" t="s">
        <v>783</v>
      </c>
      <c r="Q2070" s="4" t="s">
        <v>1491</v>
      </c>
      <c r="R2070" s="4" t="s">
        <v>1504</v>
      </c>
      <c r="S2070" s="4" t="s">
        <v>1493</v>
      </c>
      <c r="T2070" s="4" t="s">
        <v>786</v>
      </c>
      <c r="U2070" s="4"/>
      <c r="V2070" s="4"/>
      <c r="W2070" s="4"/>
    </row>
    <row r="2071" spans="1:23" customFormat="1">
      <c r="A2071" s="10"/>
      <c r="B2071" s="4"/>
      <c r="C2071" s="4"/>
      <c r="D2071" s="4"/>
      <c r="E2071" s="4"/>
      <c r="F2071" s="152" t="s">
        <v>658</v>
      </c>
      <c r="G2071" s="4" t="s">
        <v>659</v>
      </c>
      <c r="H2071" s="4"/>
      <c r="I2071" s="196">
        <v>-2769</v>
      </c>
      <c r="J2071" s="196">
        <v>-1.95</v>
      </c>
      <c r="K2071" s="196">
        <v>1420</v>
      </c>
      <c r="L2071" s="454" t="s">
        <v>787</v>
      </c>
      <c r="M2071" s="4" t="s">
        <v>780</v>
      </c>
      <c r="N2071" s="133" t="s">
        <v>1407</v>
      </c>
      <c r="O2071" s="4" t="s">
        <v>1490</v>
      </c>
      <c r="P2071" s="4" t="s">
        <v>783</v>
      </c>
      <c r="Q2071" s="4" t="s">
        <v>1491</v>
      </c>
      <c r="R2071" s="4" t="s">
        <v>1456</v>
      </c>
      <c r="S2071" s="4" t="s">
        <v>1493</v>
      </c>
      <c r="T2071" s="4" t="s">
        <v>786</v>
      </c>
      <c r="U2071" s="4"/>
      <c r="V2071" s="4"/>
      <c r="W2071" s="4"/>
    </row>
    <row r="2072" spans="1:23" customFormat="1">
      <c r="A2072" s="10"/>
      <c r="B2072" s="4"/>
      <c r="C2072" s="4"/>
      <c r="D2072" s="4"/>
      <c r="E2072" s="4"/>
      <c r="F2072" s="152" t="s">
        <v>658</v>
      </c>
      <c r="G2072" s="4" t="s">
        <v>659</v>
      </c>
      <c r="H2072" s="4"/>
      <c r="I2072" s="196">
        <v>-193546</v>
      </c>
      <c r="J2072" s="196">
        <v>-136.30000000000001</v>
      </c>
      <c r="K2072" s="196">
        <v>1420</v>
      </c>
      <c r="L2072" s="454" t="s">
        <v>787</v>
      </c>
      <c r="M2072" s="4" t="s">
        <v>780</v>
      </c>
      <c r="N2072" s="133" t="s">
        <v>1407</v>
      </c>
      <c r="O2072" s="4" t="s">
        <v>1490</v>
      </c>
      <c r="P2072" s="4" t="s">
        <v>783</v>
      </c>
      <c r="Q2072" s="4" t="s">
        <v>1491</v>
      </c>
      <c r="R2072" s="4" t="s">
        <v>1505</v>
      </c>
      <c r="S2072" s="4" t="s">
        <v>1493</v>
      </c>
      <c r="T2072" s="4" t="s">
        <v>786</v>
      </c>
      <c r="U2072" s="4"/>
      <c r="V2072" s="4"/>
      <c r="W2072" s="4"/>
    </row>
    <row r="2073" spans="1:23" customFormat="1">
      <c r="A2073" s="10"/>
      <c r="B2073" s="4"/>
      <c r="C2073" s="4"/>
      <c r="D2073" s="4"/>
      <c r="E2073" s="4"/>
      <c r="F2073" s="152" t="s">
        <v>658</v>
      </c>
      <c r="G2073" s="4" t="s">
        <v>659</v>
      </c>
      <c r="H2073" s="4"/>
      <c r="I2073" s="196">
        <v>-2171861.6</v>
      </c>
      <c r="J2073" s="196">
        <v>-1529.48</v>
      </c>
      <c r="K2073" s="196">
        <v>1420</v>
      </c>
      <c r="L2073" s="454" t="s">
        <v>787</v>
      </c>
      <c r="M2073" s="4" t="s">
        <v>780</v>
      </c>
      <c r="N2073" s="133" t="s">
        <v>1407</v>
      </c>
      <c r="O2073" s="4" t="s">
        <v>1490</v>
      </c>
      <c r="P2073" s="4" t="s">
        <v>783</v>
      </c>
      <c r="Q2073" s="4" t="s">
        <v>1491</v>
      </c>
      <c r="R2073" s="4" t="s">
        <v>1506</v>
      </c>
      <c r="S2073" s="4" t="s">
        <v>1493</v>
      </c>
      <c r="T2073" s="4" t="s">
        <v>786</v>
      </c>
      <c r="U2073" s="4"/>
      <c r="V2073" s="4"/>
      <c r="W2073" s="4"/>
    </row>
    <row r="2074" spans="1:23" customFormat="1">
      <c r="A2074" s="10"/>
      <c r="B2074" s="4"/>
      <c r="C2074" s="4"/>
      <c r="D2074" s="4"/>
      <c r="E2074" s="4"/>
      <c r="F2074" s="152" t="s">
        <v>658</v>
      </c>
      <c r="G2074" s="4" t="s">
        <v>659</v>
      </c>
      <c r="H2074" s="4"/>
      <c r="I2074" s="196">
        <v>-2769</v>
      </c>
      <c r="J2074" s="196">
        <v>-1.95</v>
      </c>
      <c r="K2074" s="196">
        <v>1420</v>
      </c>
      <c r="L2074" s="454" t="s">
        <v>787</v>
      </c>
      <c r="M2074" s="4" t="s">
        <v>780</v>
      </c>
      <c r="N2074" s="133" t="s">
        <v>1407</v>
      </c>
      <c r="O2074" s="4" t="s">
        <v>1490</v>
      </c>
      <c r="P2074" s="4" t="s">
        <v>783</v>
      </c>
      <c r="Q2074" s="4" t="s">
        <v>1491</v>
      </c>
      <c r="R2074" s="4" t="s">
        <v>1456</v>
      </c>
      <c r="S2074" s="4" t="s">
        <v>1493</v>
      </c>
      <c r="T2074" s="4" t="s">
        <v>786</v>
      </c>
      <c r="U2074" s="4"/>
      <c r="V2074" s="4"/>
      <c r="W2074" s="4"/>
    </row>
    <row r="2075" spans="1:23" customFormat="1">
      <c r="A2075" s="10"/>
      <c r="B2075" s="4"/>
      <c r="C2075" s="4"/>
      <c r="D2075" s="4"/>
      <c r="E2075" s="4"/>
      <c r="F2075" s="152" t="s">
        <v>658</v>
      </c>
      <c r="G2075" s="4" t="s">
        <v>659</v>
      </c>
      <c r="H2075" s="4"/>
      <c r="I2075" s="196">
        <v>-1319501.8</v>
      </c>
      <c r="J2075" s="196">
        <v>-963.14</v>
      </c>
      <c r="K2075" s="196">
        <v>1370</v>
      </c>
      <c r="L2075" s="454" t="s">
        <v>787</v>
      </c>
      <c r="M2075" s="4" t="s">
        <v>780</v>
      </c>
      <c r="N2075" s="133" t="s">
        <v>1407</v>
      </c>
      <c r="O2075" s="4" t="s">
        <v>1490</v>
      </c>
      <c r="P2075" s="4" t="s">
        <v>783</v>
      </c>
      <c r="Q2075" s="4" t="s">
        <v>1491</v>
      </c>
      <c r="R2075" s="4" t="s">
        <v>1503</v>
      </c>
      <c r="S2075" s="4" t="s">
        <v>1493</v>
      </c>
      <c r="T2075" s="4" t="s">
        <v>786</v>
      </c>
      <c r="U2075" s="4"/>
      <c r="V2075" s="4"/>
      <c r="W2075" s="4"/>
    </row>
    <row r="2076" spans="1:23" customFormat="1">
      <c r="A2076" s="10"/>
      <c r="B2076" s="4"/>
      <c r="C2076" s="4"/>
      <c r="D2076" s="4"/>
      <c r="E2076" s="4"/>
      <c r="F2076" s="152" t="s">
        <v>658</v>
      </c>
      <c r="G2076" s="4" t="s">
        <v>659</v>
      </c>
      <c r="H2076" s="4"/>
      <c r="I2076" s="196">
        <v>-2671.5</v>
      </c>
      <c r="J2076" s="196">
        <v>-1.95</v>
      </c>
      <c r="K2076" s="196">
        <v>1370</v>
      </c>
      <c r="L2076" s="454" t="s">
        <v>787</v>
      </c>
      <c r="M2076" s="4" t="s">
        <v>780</v>
      </c>
      <c r="N2076" s="133" t="s">
        <v>1407</v>
      </c>
      <c r="O2076" s="4" t="s">
        <v>1490</v>
      </c>
      <c r="P2076" s="4" t="s">
        <v>783</v>
      </c>
      <c r="Q2076" s="4" t="s">
        <v>1491</v>
      </c>
      <c r="R2076" s="4" t="s">
        <v>1456</v>
      </c>
      <c r="S2076" s="4" t="s">
        <v>1493</v>
      </c>
      <c r="T2076" s="4" t="s">
        <v>786</v>
      </c>
      <c r="U2076" s="4"/>
      <c r="V2076" s="4"/>
      <c r="W2076" s="4"/>
    </row>
    <row r="2077" spans="1:23" customFormat="1">
      <c r="A2077" s="10"/>
      <c r="B2077" s="4"/>
      <c r="C2077" s="4"/>
      <c r="D2077" s="4"/>
      <c r="E2077" s="4"/>
      <c r="F2077" s="152" t="s">
        <v>658</v>
      </c>
      <c r="G2077" s="4" t="s">
        <v>659</v>
      </c>
      <c r="H2077" s="4"/>
      <c r="I2077" s="196">
        <v>-2740.6</v>
      </c>
      <c r="J2077" s="196">
        <v>-1.93</v>
      </c>
      <c r="K2077" s="196">
        <v>1420</v>
      </c>
      <c r="L2077" s="454" t="s">
        <v>787</v>
      </c>
      <c r="M2077" s="4" t="s">
        <v>780</v>
      </c>
      <c r="N2077" s="133" t="s">
        <v>1407</v>
      </c>
      <c r="O2077" s="4" t="s">
        <v>1490</v>
      </c>
      <c r="P2077" s="4" t="s">
        <v>783</v>
      </c>
      <c r="Q2077" s="4" t="s">
        <v>1491</v>
      </c>
      <c r="R2077" s="4" t="s">
        <v>1483</v>
      </c>
      <c r="S2077" s="4" t="s">
        <v>1493</v>
      </c>
      <c r="T2077" s="4" t="s">
        <v>786</v>
      </c>
      <c r="U2077" s="4"/>
      <c r="V2077" s="4"/>
      <c r="W2077" s="4"/>
    </row>
    <row r="2078" spans="1:23" customFormat="1">
      <c r="A2078" s="10"/>
      <c r="B2078" s="4"/>
      <c r="C2078" s="4"/>
      <c r="D2078" s="4"/>
      <c r="E2078" s="4"/>
      <c r="F2078" s="152" t="s">
        <v>658</v>
      </c>
      <c r="G2078" s="4" t="s">
        <v>659</v>
      </c>
      <c r="H2078" s="4"/>
      <c r="I2078" s="196">
        <v>-2740.6</v>
      </c>
      <c r="J2078" s="196">
        <v>-1.93</v>
      </c>
      <c r="K2078" s="196">
        <v>1420</v>
      </c>
      <c r="L2078" s="454" t="s">
        <v>787</v>
      </c>
      <c r="M2078" s="4" t="s">
        <v>780</v>
      </c>
      <c r="N2078" s="133" t="s">
        <v>1407</v>
      </c>
      <c r="O2078" s="4" t="s">
        <v>1490</v>
      </c>
      <c r="P2078" s="4" t="s">
        <v>783</v>
      </c>
      <c r="Q2078" s="4" t="s">
        <v>1491</v>
      </c>
      <c r="R2078" s="4" t="s">
        <v>1483</v>
      </c>
      <c r="S2078" s="4" t="s">
        <v>1493</v>
      </c>
      <c r="T2078" s="4" t="s">
        <v>786</v>
      </c>
      <c r="U2078" s="4"/>
      <c r="V2078" s="4"/>
      <c r="W2078" s="4"/>
    </row>
    <row r="2079" spans="1:23" customFormat="1">
      <c r="A2079" s="10"/>
      <c r="B2079" s="4"/>
      <c r="C2079" s="4"/>
      <c r="D2079" s="4"/>
      <c r="E2079" s="4"/>
      <c r="F2079" s="152" t="s">
        <v>658</v>
      </c>
      <c r="G2079" s="4" t="s">
        <v>659</v>
      </c>
      <c r="H2079" s="4"/>
      <c r="I2079" s="196">
        <v>-2541336.2999999998</v>
      </c>
      <c r="J2079" s="196">
        <v>-1854.99</v>
      </c>
      <c r="K2079" s="196">
        <v>1370</v>
      </c>
      <c r="L2079" s="454" t="s">
        <v>787</v>
      </c>
      <c r="M2079" s="4" t="s">
        <v>780</v>
      </c>
      <c r="N2079" s="133" t="s">
        <v>1407</v>
      </c>
      <c r="O2079" s="4" t="s">
        <v>1490</v>
      </c>
      <c r="P2079" s="4" t="s">
        <v>783</v>
      </c>
      <c r="Q2079" s="4" t="s">
        <v>1491</v>
      </c>
      <c r="R2079" s="4" t="s">
        <v>1507</v>
      </c>
      <c r="S2079" s="4" t="s">
        <v>1493</v>
      </c>
      <c r="T2079" s="4" t="s">
        <v>786</v>
      </c>
      <c r="U2079" s="4"/>
      <c r="V2079" s="4"/>
      <c r="W2079" s="4"/>
    </row>
    <row r="2080" spans="1:23" customFormat="1">
      <c r="A2080" s="10"/>
      <c r="B2080" s="4"/>
      <c r="C2080" s="4"/>
      <c r="D2080" s="4"/>
      <c r="E2080" s="4"/>
      <c r="F2080" s="152" t="s">
        <v>658</v>
      </c>
      <c r="G2080" s="4" t="s">
        <v>659</v>
      </c>
      <c r="H2080" s="4"/>
      <c r="I2080" s="196">
        <v>-2671.5</v>
      </c>
      <c r="J2080" s="196">
        <v>-1.95</v>
      </c>
      <c r="K2080" s="196">
        <v>1370</v>
      </c>
      <c r="L2080" s="454" t="s">
        <v>787</v>
      </c>
      <c r="M2080" s="4" t="s">
        <v>780</v>
      </c>
      <c r="N2080" s="133" t="s">
        <v>1407</v>
      </c>
      <c r="O2080" s="4" t="s">
        <v>1490</v>
      </c>
      <c r="P2080" s="4" t="s">
        <v>783</v>
      </c>
      <c r="Q2080" s="4" t="s">
        <v>1491</v>
      </c>
      <c r="R2080" s="4" t="s">
        <v>1456</v>
      </c>
      <c r="S2080" s="4" t="s">
        <v>1493</v>
      </c>
      <c r="T2080" s="4" t="s">
        <v>786</v>
      </c>
      <c r="U2080" s="4"/>
      <c r="V2080" s="4"/>
      <c r="W2080" s="4"/>
    </row>
    <row r="2081" spans="1:23" customFormat="1">
      <c r="A2081" s="10"/>
      <c r="B2081" s="4"/>
      <c r="C2081" s="4"/>
      <c r="D2081" s="4"/>
      <c r="E2081" s="4"/>
      <c r="F2081" s="152" t="s">
        <v>658</v>
      </c>
      <c r="G2081" s="4" t="s">
        <v>659</v>
      </c>
      <c r="H2081" s="4"/>
      <c r="I2081" s="196">
        <v>-542752.4</v>
      </c>
      <c r="J2081" s="196">
        <v>-382.22</v>
      </c>
      <c r="K2081" s="196">
        <v>1420</v>
      </c>
      <c r="L2081" s="454" t="s">
        <v>787</v>
      </c>
      <c r="M2081" s="4" t="s">
        <v>780</v>
      </c>
      <c r="N2081" s="133" t="s">
        <v>1407</v>
      </c>
      <c r="O2081" s="4" t="s">
        <v>1490</v>
      </c>
      <c r="P2081" s="4" t="s">
        <v>783</v>
      </c>
      <c r="Q2081" s="4" t="s">
        <v>1491</v>
      </c>
      <c r="R2081" s="4" t="s">
        <v>1510</v>
      </c>
      <c r="S2081" s="4" t="s">
        <v>1493</v>
      </c>
      <c r="T2081" s="4" t="s">
        <v>786</v>
      </c>
      <c r="U2081" s="4"/>
      <c r="V2081" s="4"/>
      <c r="W2081" s="4"/>
    </row>
    <row r="2082" spans="1:23" customFormat="1">
      <c r="A2082" s="10"/>
      <c r="B2082" s="4"/>
      <c r="C2082" s="4"/>
      <c r="D2082" s="4"/>
      <c r="E2082" s="4"/>
      <c r="F2082" s="152" t="s">
        <v>658</v>
      </c>
      <c r="G2082" s="4" t="s">
        <v>659</v>
      </c>
      <c r="H2082" s="4"/>
      <c r="I2082" s="196">
        <v>-151414.6</v>
      </c>
      <c r="J2082" s="196">
        <v>-106.63</v>
      </c>
      <c r="K2082" s="196">
        <v>1420</v>
      </c>
      <c r="L2082" s="454" t="s">
        <v>787</v>
      </c>
      <c r="M2082" s="4" t="s">
        <v>780</v>
      </c>
      <c r="N2082" s="133" t="s">
        <v>1407</v>
      </c>
      <c r="O2082" s="4" t="s">
        <v>1490</v>
      </c>
      <c r="P2082" s="4" t="s">
        <v>783</v>
      </c>
      <c r="Q2082" s="4" t="s">
        <v>1491</v>
      </c>
      <c r="R2082" s="4" t="s">
        <v>1508</v>
      </c>
      <c r="S2082" s="4" t="s">
        <v>1493</v>
      </c>
      <c r="T2082" s="4" t="s">
        <v>786</v>
      </c>
      <c r="U2082" s="4"/>
      <c r="V2082" s="4"/>
      <c r="W2082" s="4"/>
    </row>
    <row r="2083" spans="1:23" customFormat="1">
      <c r="A2083" s="10"/>
      <c r="B2083" s="4"/>
      <c r="C2083" s="4"/>
      <c r="D2083" s="4"/>
      <c r="E2083" s="4"/>
      <c r="F2083" s="152" t="s">
        <v>658</v>
      </c>
      <c r="G2083" s="4" t="s">
        <v>659</v>
      </c>
      <c r="H2083" s="4"/>
      <c r="I2083" s="196">
        <v>-1960237.1</v>
      </c>
      <c r="J2083" s="196">
        <v>-1430.83</v>
      </c>
      <c r="K2083" s="196">
        <v>1370</v>
      </c>
      <c r="L2083" s="454" t="s">
        <v>787</v>
      </c>
      <c r="M2083" s="4" t="s">
        <v>780</v>
      </c>
      <c r="N2083" s="133" t="s">
        <v>1407</v>
      </c>
      <c r="O2083" s="4" t="s">
        <v>1490</v>
      </c>
      <c r="P2083" s="4" t="s">
        <v>783</v>
      </c>
      <c r="Q2083" s="4" t="s">
        <v>1491</v>
      </c>
      <c r="R2083" s="4" t="s">
        <v>1509</v>
      </c>
      <c r="S2083" s="4" t="s">
        <v>1493</v>
      </c>
      <c r="T2083" s="4" t="s">
        <v>786</v>
      </c>
      <c r="U2083" s="4"/>
      <c r="V2083" s="4"/>
      <c r="W2083" s="4"/>
    </row>
    <row r="2084" spans="1:23" customFormat="1">
      <c r="A2084" s="10"/>
      <c r="B2084" s="4"/>
      <c r="C2084" s="4"/>
      <c r="D2084" s="4"/>
      <c r="E2084" s="4"/>
      <c r="F2084" s="152" t="s">
        <v>658</v>
      </c>
      <c r="G2084" s="4" t="s">
        <v>659</v>
      </c>
      <c r="H2084" s="4"/>
      <c r="I2084" s="196">
        <v>-702530.8</v>
      </c>
      <c r="J2084" s="196">
        <v>-494.74</v>
      </c>
      <c r="K2084" s="196">
        <v>1420</v>
      </c>
      <c r="L2084" s="454" t="s">
        <v>787</v>
      </c>
      <c r="M2084" s="4" t="s">
        <v>780</v>
      </c>
      <c r="N2084" s="133" t="s">
        <v>1407</v>
      </c>
      <c r="O2084" s="4" t="s">
        <v>1490</v>
      </c>
      <c r="P2084" s="4" t="s">
        <v>783</v>
      </c>
      <c r="Q2084" s="4" t="s">
        <v>1491</v>
      </c>
      <c r="R2084" s="4" t="s">
        <v>1494</v>
      </c>
      <c r="S2084" s="4" t="s">
        <v>1493</v>
      </c>
      <c r="T2084" s="4" t="s">
        <v>786</v>
      </c>
      <c r="U2084" s="4"/>
      <c r="V2084" s="4"/>
      <c r="W2084" s="4"/>
    </row>
    <row r="2085" spans="1:23" customFormat="1">
      <c r="A2085" s="10"/>
      <c r="B2085" s="4"/>
      <c r="C2085" s="4"/>
      <c r="D2085" s="4"/>
      <c r="E2085" s="4"/>
      <c r="F2085" s="152" t="s">
        <v>658</v>
      </c>
      <c r="G2085" s="4" t="s">
        <v>659</v>
      </c>
      <c r="H2085" s="4"/>
      <c r="I2085" s="196">
        <v>-2740.6</v>
      </c>
      <c r="J2085" s="196">
        <v>-1.93</v>
      </c>
      <c r="K2085" s="196">
        <v>1420</v>
      </c>
      <c r="L2085" s="454" t="s">
        <v>787</v>
      </c>
      <c r="M2085" s="4" t="s">
        <v>780</v>
      </c>
      <c r="N2085" s="133" t="s">
        <v>1407</v>
      </c>
      <c r="O2085" s="4" t="s">
        <v>1490</v>
      </c>
      <c r="P2085" s="4" t="s">
        <v>783</v>
      </c>
      <c r="Q2085" s="4" t="s">
        <v>1491</v>
      </c>
      <c r="R2085" s="4" t="s">
        <v>1495</v>
      </c>
      <c r="S2085" s="4" t="s">
        <v>1493</v>
      </c>
      <c r="T2085" s="4" t="s">
        <v>786</v>
      </c>
      <c r="U2085" s="4"/>
      <c r="V2085" s="4"/>
      <c r="W2085" s="4"/>
    </row>
    <row r="2086" spans="1:23" customFormat="1">
      <c r="A2086" s="10"/>
      <c r="B2086" s="4"/>
      <c r="C2086" s="4"/>
      <c r="D2086" s="4"/>
      <c r="E2086" s="4"/>
      <c r="F2086" s="152" t="s">
        <v>658</v>
      </c>
      <c r="G2086" s="4" t="s">
        <v>659</v>
      </c>
      <c r="H2086" s="4"/>
      <c r="I2086" s="196">
        <v>-181121</v>
      </c>
      <c r="J2086" s="196">
        <v>-127.55</v>
      </c>
      <c r="K2086" s="196">
        <v>1420</v>
      </c>
      <c r="L2086" s="454" t="s">
        <v>787</v>
      </c>
      <c r="M2086" s="4" t="s">
        <v>780</v>
      </c>
      <c r="N2086" s="133" t="s">
        <v>1407</v>
      </c>
      <c r="O2086" s="4" t="s">
        <v>1490</v>
      </c>
      <c r="P2086" s="4" t="s">
        <v>783</v>
      </c>
      <c r="Q2086" s="4" t="s">
        <v>1491</v>
      </c>
      <c r="R2086" s="4" t="s">
        <v>1496</v>
      </c>
      <c r="S2086" s="4" t="s">
        <v>1493</v>
      </c>
      <c r="T2086" s="4" t="s">
        <v>786</v>
      </c>
      <c r="U2086" s="4"/>
      <c r="V2086" s="4"/>
      <c r="W2086" s="4"/>
    </row>
    <row r="2087" spans="1:23" customFormat="1">
      <c r="A2087" s="10"/>
      <c r="B2087" s="4"/>
      <c r="C2087" s="4"/>
      <c r="D2087" s="4"/>
      <c r="E2087" s="4"/>
      <c r="F2087" s="152" t="s">
        <v>658</v>
      </c>
      <c r="G2087" s="4" t="s">
        <v>659</v>
      </c>
      <c r="H2087" s="4"/>
      <c r="I2087" s="196">
        <v>-302474.2</v>
      </c>
      <c r="J2087" s="196">
        <v>-213.01</v>
      </c>
      <c r="K2087" s="196">
        <v>1420</v>
      </c>
      <c r="L2087" s="454" t="s">
        <v>787</v>
      </c>
      <c r="M2087" s="4" t="s">
        <v>780</v>
      </c>
      <c r="N2087" s="133" t="s">
        <v>1407</v>
      </c>
      <c r="O2087" s="4" t="s">
        <v>1490</v>
      </c>
      <c r="P2087" s="4" t="s">
        <v>783</v>
      </c>
      <c r="Q2087" s="4" t="s">
        <v>1491</v>
      </c>
      <c r="R2087" s="4" t="s">
        <v>1523</v>
      </c>
      <c r="S2087" s="4" t="s">
        <v>1493</v>
      </c>
      <c r="T2087" s="4" t="s">
        <v>786</v>
      </c>
      <c r="U2087" s="4"/>
      <c r="V2087" s="4"/>
      <c r="W2087" s="4"/>
    </row>
    <row r="2088" spans="1:23" customFormat="1">
      <c r="A2088" s="10"/>
      <c r="B2088" s="4"/>
      <c r="C2088" s="4"/>
      <c r="D2088" s="4"/>
      <c r="E2088" s="4"/>
      <c r="F2088" s="152" t="s">
        <v>658</v>
      </c>
      <c r="G2088" s="4" t="s">
        <v>659</v>
      </c>
      <c r="H2088" s="4"/>
      <c r="I2088" s="196">
        <v>-2740.6</v>
      </c>
      <c r="J2088" s="196">
        <v>-1.93</v>
      </c>
      <c r="K2088" s="196">
        <v>1420</v>
      </c>
      <c r="L2088" s="454" t="s">
        <v>787</v>
      </c>
      <c r="M2088" s="4" t="s">
        <v>780</v>
      </c>
      <c r="N2088" s="133" t="s">
        <v>1407</v>
      </c>
      <c r="O2088" s="4" t="s">
        <v>1490</v>
      </c>
      <c r="P2088" s="4" t="s">
        <v>783</v>
      </c>
      <c r="Q2088" s="4" t="s">
        <v>1491</v>
      </c>
      <c r="R2088" s="4" t="s">
        <v>1515</v>
      </c>
      <c r="S2088" s="4" t="s">
        <v>1493</v>
      </c>
      <c r="T2088" s="4" t="s">
        <v>786</v>
      </c>
      <c r="U2088" s="4"/>
      <c r="V2088" s="4"/>
      <c r="W2088" s="4"/>
    </row>
    <row r="2089" spans="1:23" customFormat="1">
      <c r="A2089" s="10"/>
      <c r="B2089" s="4"/>
      <c r="C2089" s="4"/>
      <c r="D2089" s="4"/>
      <c r="E2089" s="4"/>
      <c r="F2089" s="152" t="s">
        <v>658</v>
      </c>
      <c r="G2089" s="4" t="s">
        <v>659</v>
      </c>
      <c r="H2089" s="4"/>
      <c r="I2089" s="196">
        <v>-184742</v>
      </c>
      <c r="J2089" s="196">
        <v>-130.1</v>
      </c>
      <c r="K2089" s="196">
        <v>1420</v>
      </c>
      <c r="L2089" s="454" t="s">
        <v>787</v>
      </c>
      <c r="M2089" s="4" t="s">
        <v>780</v>
      </c>
      <c r="N2089" s="133" t="s">
        <v>1407</v>
      </c>
      <c r="O2089" s="4" t="s">
        <v>1490</v>
      </c>
      <c r="P2089" s="4" t="s">
        <v>783</v>
      </c>
      <c r="Q2089" s="4" t="s">
        <v>1491</v>
      </c>
      <c r="R2089" s="4" t="s">
        <v>1522</v>
      </c>
      <c r="S2089" s="4" t="s">
        <v>1493</v>
      </c>
      <c r="T2089" s="4" t="s">
        <v>786</v>
      </c>
      <c r="U2089" s="4"/>
      <c r="V2089" s="4"/>
      <c r="W2089" s="4"/>
    </row>
    <row r="2090" spans="1:23" customFormat="1">
      <c r="A2090" s="10"/>
      <c r="B2090" s="4"/>
      <c r="C2090" s="4"/>
      <c r="D2090" s="4"/>
      <c r="E2090" s="4"/>
      <c r="F2090" s="152" t="s">
        <v>658</v>
      </c>
      <c r="G2090" s="4" t="s">
        <v>659</v>
      </c>
      <c r="H2090" s="4"/>
      <c r="I2090" s="196">
        <v>-2740.6</v>
      </c>
      <c r="J2090" s="196">
        <v>-1.93</v>
      </c>
      <c r="K2090" s="196">
        <v>1420</v>
      </c>
      <c r="L2090" s="454" t="s">
        <v>787</v>
      </c>
      <c r="M2090" s="4" t="s">
        <v>780</v>
      </c>
      <c r="N2090" s="133" t="s">
        <v>1407</v>
      </c>
      <c r="O2090" s="4" t="s">
        <v>1490</v>
      </c>
      <c r="P2090" s="4" t="s">
        <v>783</v>
      </c>
      <c r="Q2090" s="4" t="s">
        <v>1491</v>
      </c>
      <c r="R2090" s="4" t="s">
        <v>1515</v>
      </c>
      <c r="S2090" s="4" t="s">
        <v>1493</v>
      </c>
      <c r="T2090" s="4" t="s">
        <v>786</v>
      </c>
      <c r="U2090" s="4"/>
      <c r="V2090" s="4"/>
      <c r="W2090" s="4"/>
    </row>
    <row r="2091" spans="1:23" customFormat="1">
      <c r="A2091" s="10"/>
      <c r="B2091" s="4"/>
      <c r="C2091" s="4"/>
      <c r="D2091" s="4"/>
      <c r="E2091" s="4"/>
      <c r="F2091" s="152" t="s">
        <v>658</v>
      </c>
      <c r="G2091" s="4" t="s">
        <v>659</v>
      </c>
      <c r="H2091" s="4"/>
      <c r="I2091" s="196">
        <v>-215541.8</v>
      </c>
      <c r="J2091" s="196">
        <v>-151.79</v>
      </c>
      <c r="K2091" s="196">
        <v>1420</v>
      </c>
      <c r="L2091" s="454" t="s">
        <v>787</v>
      </c>
      <c r="M2091" s="4" t="s">
        <v>780</v>
      </c>
      <c r="N2091" s="133" t="s">
        <v>1407</v>
      </c>
      <c r="O2091" s="4" t="s">
        <v>1490</v>
      </c>
      <c r="P2091" s="4" t="s">
        <v>783</v>
      </c>
      <c r="Q2091" s="4" t="s">
        <v>1491</v>
      </c>
      <c r="R2091" s="4" t="s">
        <v>1521</v>
      </c>
      <c r="S2091" s="4" t="s">
        <v>1493</v>
      </c>
      <c r="T2091" s="4" t="s">
        <v>786</v>
      </c>
      <c r="U2091" s="4"/>
      <c r="V2091" s="4"/>
      <c r="W2091" s="4"/>
    </row>
    <row r="2092" spans="1:23" customFormat="1">
      <c r="A2092" s="10"/>
      <c r="B2092" s="4"/>
      <c r="C2092" s="4"/>
      <c r="D2092" s="4"/>
      <c r="E2092" s="4"/>
      <c r="F2092" s="152" t="s">
        <v>658</v>
      </c>
      <c r="G2092" s="4" t="s">
        <v>659</v>
      </c>
      <c r="H2092" s="4"/>
      <c r="I2092" s="196">
        <v>-174688.7</v>
      </c>
      <c r="J2092" s="196">
        <v>-127.51</v>
      </c>
      <c r="K2092" s="196">
        <v>1370</v>
      </c>
      <c r="L2092" s="454" t="s">
        <v>787</v>
      </c>
      <c r="M2092" s="4" t="s">
        <v>780</v>
      </c>
      <c r="N2092" s="133" t="s">
        <v>1407</v>
      </c>
      <c r="O2092" s="4" t="s">
        <v>1490</v>
      </c>
      <c r="P2092" s="4" t="s">
        <v>783</v>
      </c>
      <c r="Q2092" s="4" t="s">
        <v>1491</v>
      </c>
      <c r="R2092" s="4" t="s">
        <v>1529</v>
      </c>
      <c r="S2092" s="4" t="s">
        <v>1493</v>
      </c>
      <c r="T2092" s="4" t="s">
        <v>786</v>
      </c>
      <c r="U2092" s="4"/>
      <c r="V2092" s="4"/>
      <c r="W2092" s="4"/>
    </row>
    <row r="2093" spans="1:23" customFormat="1">
      <c r="A2093" s="10"/>
      <c r="B2093" s="4"/>
      <c r="C2093" s="4"/>
      <c r="D2093" s="4"/>
      <c r="E2093" s="4"/>
      <c r="F2093" s="152" t="s">
        <v>658</v>
      </c>
      <c r="G2093" s="4" t="s">
        <v>659</v>
      </c>
      <c r="H2093" s="4"/>
      <c r="I2093" s="196">
        <v>5560000</v>
      </c>
      <c r="J2093" s="196">
        <v>4000</v>
      </c>
      <c r="K2093" s="196">
        <v>1390</v>
      </c>
      <c r="L2093" s="454" t="s">
        <v>899</v>
      </c>
      <c r="M2093" s="4" t="s">
        <v>780</v>
      </c>
      <c r="N2093" s="133" t="s">
        <v>1407</v>
      </c>
      <c r="O2093" s="4" t="s">
        <v>1605</v>
      </c>
      <c r="P2093" s="4" t="s">
        <v>892</v>
      </c>
      <c r="Q2093" s="4" t="s">
        <v>1606</v>
      </c>
      <c r="R2093" s="4"/>
      <c r="S2093" s="4" t="s">
        <v>1607</v>
      </c>
      <c r="T2093" s="4" t="s">
        <v>786</v>
      </c>
      <c r="U2093" s="4"/>
      <c r="V2093" s="4"/>
      <c r="W2093" s="4"/>
    </row>
    <row r="2094" spans="1:23" customFormat="1">
      <c r="A2094" s="10"/>
      <c r="B2094" s="4"/>
      <c r="C2094" s="4"/>
      <c r="D2094" s="4"/>
      <c r="E2094" s="4"/>
      <c r="F2094" s="152" t="s">
        <v>658</v>
      </c>
      <c r="G2094" s="4" t="s">
        <v>659</v>
      </c>
      <c r="H2094" s="4"/>
      <c r="I2094" s="196">
        <v>22880000</v>
      </c>
      <c r="J2094" s="196">
        <v>16000</v>
      </c>
      <c r="K2094" s="196">
        <v>1430</v>
      </c>
      <c r="L2094" s="454" t="s">
        <v>1608</v>
      </c>
      <c r="M2094" s="4" t="s">
        <v>780</v>
      </c>
      <c r="N2094" s="133" t="s">
        <v>1407</v>
      </c>
      <c r="O2094" s="4" t="s">
        <v>1609</v>
      </c>
      <c r="P2094" s="4" t="s">
        <v>892</v>
      </c>
      <c r="Q2094" s="4" t="s">
        <v>1610</v>
      </c>
      <c r="R2094" s="4"/>
      <c r="S2094" s="4" t="s">
        <v>1611</v>
      </c>
      <c r="T2094" s="4" t="s">
        <v>786</v>
      </c>
      <c r="U2094" s="4"/>
      <c r="V2094" s="4"/>
      <c r="W2094" s="4"/>
    </row>
    <row r="2095" spans="1:23" customFormat="1">
      <c r="A2095" s="10"/>
      <c r="B2095" s="4"/>
      <c r="C2095" s="4"/>
      <c r="D2095" s="4"/>
      <c r="E2095" s="4"/>
      <c r="F2095" s="152" t="s">
        <v>658</v>
      </c>
      <c r="G2095" s="4" t="s">
        <v>659</v>
      </c>
      <c r="H2095" s="4"/>
      <c r="I2095" s="196">
        <v>7021.3</v>
      </c>
      <c r="J2095" s="196">
        <v>4.91</v>
      </c>
      <c r="K2095" s="196">
        <v>1430</v>
      </c>
      <c r="L2095" s="454" t="s">
        <v>890</v>
      </c>
      <c r="M2095" s="4" t="s">
        <v>780</v>
      </c>
      <c r="N2095" s="133" t="s">
        <v>1407</v>
      </c>
      <c r="O2095" s="4" t="s">
        <v>1612</v>
      </c>
      <c r="P2095" s="4" t="s">
        <v>892</v>
      </c>
      <c r="Q2095" s="4" t="s">
        <v>1613</v>
      </c>
      <c r="R2095" s="4" t="s">
        <v>1616</v>
      </c>
      <c r="S2095" s="4" t="s">
        <v>1615</v>
      </c>
      <c r="T2095" s="4" t="s">
        <v>786</v>
      </c>
      <c r="U2095" s="4"/>
      <c r="V2095" s="4"/>
      <c r="W2095" s="4"/>
    </row>
    <row r="2096" spans="1:23" customFormat="1">
      <c r="A2096" s="10"/>
      <c r="B2096" s="4"/>
      <c r="C2096" s="4"/>
      <c r="D2096" s="4"/>
      <c r="E2096" s="4"/>
      <c r="F2096" s="152" t="s">
        <v>658</v>
      </c>
      <c r="G2096" s="4" t="s">
        <v>659</v>
      </c>
      <c r="H2096" s="4"/>
      <c r="I2096" s="196">
        <v>9438</v>
      </c>
      <c r="J2096" s="196">
        <v>6.6</v>
      </c>
      <c r="K2096" s="196">
        <v>1430</v>
      </c>
      <c r="L2096" s="454" t="s">
        <v>890</v>
      </c>
      <c r="M2096" s="4" t="s">
        <v>780</v>
      </c>
      <c r="N2096" s="133" t="s">
        <v>1407</v>
      </c>
      <c r="O2096" s="4" t="s">
        <v>1612</v>
      </c>
      <c r="P2096" s="4" t="s">
        <v>892</v>
      </c>
      <c r="Q2096" s="4" t="s">
        <v>1613</v>
      </c>
      <c r="R2096" s="4" t="s">
        <v>1614</v>
      </c>
      <c r="S2096" s="4" t="s">
        <v>1615</v>
      </c>
      <c r="T2096" s="4" t="s">
        <v>786</v>
      </c>
      <c r="U2096" s="4"/>
      <c r="V2096" s="4"/>
      <c r="W2096" s="4"/>
    </row>
    <row r="2097" spans="1:23" customFormat="1">
      <c r="A2097" s="10"/>
      <c r="B2097" s="4"/>
      <c r="C2097" s="4"/>
      <c r="D2097" s="4"/>
      <c r="E2097" s="4"/>
      <c r="F2097" s="152" t="s">
        <v>658</v>
      </c>
      <c r="G2097" s="4" t="s">
        <v>659</v>
      </c>
      <c r="H2097" s="4"/>
      <c r="I2097" s="196">
        <v>-91726.1</v>
      </c>
      <c r="J2097" s="196">
        <v>-65.989999999999995</v>
      </c>
      <c r="K2097" s="196">
        <v>1390</v>
      </c>
      <c r="L2097" s="454" t="s">
        <v>899</v>
      </c>
      <c r="M2097" s="4" t="s">
        <v>780</v>
      </c>
      <c r="N2097" s="133" t="s">
        <v>1407</v>
      </c>
      <c r="O2097" s="4" t="s">
        <v>1749</v>
      </c>
      <c r="P2097" s="4" t="s">
        <v>892</v>
      </c>
      <c r="Q2097" s="4" t="s">
        <v>1750</v>
      </c>
      <c r="R2097" s="4" t="s">
        <v>1751</v>
      </c>
      <c r="S2097" s="4" t="s">
        <v>1752</v>
      </c>
      <c r="T2097" s="4" t="s">
        <v>786</v>
      </c>
      <c r="U2097" s="4"/>
      <c r="V2097" s="4"/>
      <c r="W2097" s="4"/>
    </row>
    <row r="2098" spans="1:23" customFormat="1">
      <c r="A2098" s="10"/>
      <c r="B2098" s="4"/>
      <c r="C2098" s="4"/>
      <c r="D2098" s="4"/>
      <c r="E2098" s="4"/>
      <c r="F2098" s="152" t="s">
        <v>658</v>
      </c>
      <c r="G2098" s="4" t="s">
        <v>659</v>
      </c>
      <c r="H2098" s="4"/>
      <c r="I2098" s="196">
        <v>-2087543.7</v>
      </c>
      <c r="J2098" s="196">
        <v>-1501.83</v>
      </c>
      <c r="K2098" s="196">
        <v>1390</v>
      </c>
      <c r="L2098" s="454" t="s">
        <v>899</v>
      </c>
      <c r="M2098" s="4" t="s">
        <v>780</v>
      </c>
      <c r="N2098" s="133" t="s">
        <v>1407</v>
      </c>
      <c r="O2098" s="4" t="s">
        <v>1749</v>
      </c>
      <c r="P2098" s="4" t="s">
        <v>892</v>
      </c>
      <c r="Q2098" s="4" t="s">
        <v>1750</v>
      </c>
      <c r="R2098" s="4" t="s">
        <v>1753</v>
      </c>
      <c r="S2098" s="4" t="s">
        <v>1752</v>
      </c>
      <c r="T2098" s="4" t="s">
        <v>786</v>
      </c>
      <c r="U2098" s="4"/>
      <c r="V2098" s="4"/>
      <c r="W2098" s="4"/>
    </row>
    <row r="2099" spans="1:23" customFormat="1">
      <c r="A2099" s="10"/>
      <c r="B2099" s="4"/>
      <c r="C2099" s="4"/>
      <c r="D2099" s="4"/>
      <c r="E2099" s="4"/>
      <c r="F2099" s="152" t="s">
        <v>658</v>
      </c>
      <c r="G2099" s="4" t="s">
        <v>659</v>
      </c>
      <c r="H2099" s="4"/>
      <c r="I2099" s="196">
        <v>-2668.8</v>
      </c>
      <c r="J2099" s="196">
        <v>-1.92</v>
      </c>
      <c r="K2099" s="196">
        <v>1390</v>
      </c>
      <c r="L2099" s="454" t="s">
        <v>899</v>
      </c>
      <c r="M2099" s="4" t="s">
        <v>780</v>
      </c>
      <c r="N2099" s="133" t="s">
        <v>1407</v>
      </c>
      <c r="O2099" s="4" t="s">
        <v>1749</v>
      </c>
      <c r="P2099" s="4" t="s">
        <v>892</v>
      </c>
      <c r="Q2099" s="4" t="s">
        <v>1750</v>
      </c>
      <c r="R2099" s="4" t="s">
        <v>1462</v>
      </c>
      <c r="S2099" s="4" t="s">
        <v>1752</v>
      </c>
      <c r="T2099" s="4" t="s">
        <v>786</v>
      </c>
      <c r="U2099" s="4"/>
      <c r="V2099" s="4"/>
      <c r="W2099" s="4"/>
    </row>
    <row r="2100" spans="1:23" customFormat="1">
      <c r="A2100" s="10"/>
      <c r="B2100" s="4"/>
      <c r="C2100" s="4"/>
      <c r="D2100" s="4"/>
      <c r="E2100" s="4"/>
      <c r="F2100" s="152" t="s">
        <v>658</v>
      </c>
      <c r="G2100" s="4" t="s">
        <v>659</v>
      </c>
      <c r="H2100" s="4"/>
      <c r="I2100" s="196">
        <v>-213087</v>
      </c>
      <c r="J2100" s="196">
        <v>-153.30000000000001</v>
      </c>
      <c r="K2100" s="196">
        <v>1390</v>
      </c>
      <c r="L2100" s="454" t="s">
        <v>899</v>
      </c>
      <c r="M2100" s="4" t="s">
        <v>780</v>
      </c>
      <c r="N2100" s="133" t="s">
        <v>1407</v>
      </c>
      <c r="O2100" s="4" t="s">
        <v>1749</v>
      </c>
      <c r="P2100" s="4" t="s">
        <v>892</v>
      </c>
      <c r="Q2100" s="4" t="s">
        <v>1750</v>
      </c>
      <c r="R2100" s="4" t="s">
        <v>1756</v>
      </c>
      <c r="S2100" s="4" t="s">
        <v>1752</v>
      </c>
      <c r="T2100" s="4" t="s">
        <v>786</v>
      </c>
      <c r="U2100" s="4"/>
      <c r="V2100" s="4"/>
      <c r="W2100" s="4"/>
    </row>
    <row r="2101" spans="1:23" customFormat="1">
      <c r="A2101" s="10"/>
      <c r="B2101" s="4"/>
      <c r="C2101" s="4"/>
      <c r="D2101" s="4"/>
      <c r="E2101" s="4"/>
      <c r="F2101" s="152" t="s">
        <v>658</v>
      </c>
      <c r="G2101" s="4" t="s">
        <v>659</v>
      </c>
      <c r="H2101" s="4"/>
      <c r="I2101" s="196">
        <v>-176252</v>
      </c>
      <c r="J2101" s="196">
        <v>-126.8</v>
      </c>
      <c r="K2101" s="196">
        <v>1390</v>
      </c>
      <c r="L2101" s="454" t="s">
        <v>899</v>
      </c>
      <c r="M2101" s="4" t="s">
        <v>780</v>
      </c>
      <c r="N2101" s="133" t="s">
        <v>1407</v>
      </c>
      <c r="O2101" s="4" t="s">
        <v>1749</v>
      </c>
      <c r="P2101" s="4" t="s">
        <v>892</v>
      </c>
      <c r="Q2101" s="4" t="s">
        <v>1750</v>
      </c>
      <c r="R2101" s="4" t="s">
        <v>1758</v>
      </c>
      <c r="S2101" s="4" t="s">
        <v>1752</v>
      </c>
      <c r="T2101" s="4" t="s">
        <v>786</v>
      </c>
      <c r="U2101" s="4"/>
      <c r="V2101" s="4"/>
      <c r="W2101" s="4"/>
    </row>
    <row r="2102" spans="1:23" customFormat="1">
      <c r="A2102" s="10"/>
      <c r="B2102" s="4"/>
      <c r="C2102" s="4"/>
      <c r="D2102" s="4"/>
      <c r="E2102" s="4"/>
      <c r="F2102" s="152" t="s">
        <v>658</v>
      </c>
      <c r="G2102" s="4" t="s">
        <v>659</v>
      </c>
      <c r="H2102" s="4"/>
      <c r="I2102" s="196">
        <v>-2668.8</v>
      </c>
      <c r="J2102" s="196">
        <v>-1.92</v>
      </c>
      <c r="K2102" s="196">
        <v>1390</v>
      </c>
      <c r="L2102" s="454" t="s">
        <v>899</v>
      </c>
      <c r="M2102" s="4" t="s">
        <v>780</v>
      </c>
      <c r="N2102" s="133" t="s">
        <v>1407</v>
      </c>
      <c r="O2102" s="4" t="s">
        <v>1749</v>
      </c>
      <c r="P2102" s="4" t="s">
        <v>892</v>
      </c>
      <c r="Q2102" s="4" t="s">
        <v>1750</v>
      </c>
      <c r="R2102" s="4" t="s">
        <v>1456</v>
      </c>
      <c r="S2102" s="4" t="s">
        <v>1752</v>
      </c>
      <c r="T2102" s="4" t="s">
        <v>786</v>
      </c>
      <c r="U2102" s="4"/>
      <c r="V2102" s="4"/>
      <c r="W2102" s="4"/>
    </row>
    <row r="2103" spans="1:23" customFormat="1">
      <c r="A2103" s="10"/>
      <c r="B2103" s="4"/>
      <c r="C2103" s="4"/>
      <c r="D2103" s="4"/>
      <c r="E2103" s="4"/>
      <c r="F2103" s="152" t="s">
        <v>658</v>
      </c>
      <c r="G2103" s="4" t="s">
        <v>659</v>
      </c>
      <c r="H2103" s="4"/>
      <c r="I2103" s="196">
        <v>-2668.8</v>
      </c>
      <c r="J2103" s="196">
        <v>-1.92</v>
      </c>
      <c r="K2103" s="196">
        <v>1390</v>
      </c>
      <c r="L2103" s="454" t="s">
        <v>899</v>
      </c>
      <c r="M2103" s="4" t="s">
        <v>780</v>
      </c>
      <c r="N2103" s="133" t="s">
        <v>1407</v>
      </c>
      <c r="O2103" s="4" t="s">
        <v>1749</v>
      </c>
      <c r="P2103" s="4" t="s">
        <v>892</v>
      </c>
      <c r="Q2103" s="4" t="s">
        <v>1750</v>
      </c>
      <c r="R2103" s="4" t="s">
        <v>1456</v>
      </c>
      <c r="S2103" s="4" t="s">
        <v>1752</v>
      </c>
      <c r="T2103" s="4" t="s">
        <v>786</v>
      </c>
      <c r="U2103" s="4"/>
      <c r="V2103" s="4"/>
      <c r="W2103" s="4"/>
    </row>
    <row r="2104" spans="1:23" customFormat="1">
      <c r="A2104" s="10"/>
      <c r="B2104" s="4"/>
      <c r="C2104" s="4"/>
      <c r="D2104" s="4"/>
      <c r="E2104" s="4"/>
      <c r="F2104" s="152" t="s">
        <v>658</v>
      </c>
      <c r="G2104" s="4" t="s">
        <v>659</v>
      </c>
      <c r="H2104" s="4"/>
      <c r="I2104" s="196">
        <v>-544963.4</v>
      </c>
      <c r="J2104" s="196">
        <v>-392.06</v>
      </c>
      <c r="K2104" s="196">
        <v>1390</v>
      </c>
      <c r="L2104" s="454" t="s">
        <v>899</v>
      </c>
      <c r="M2104" s="4" t="s">
        <v>780</v>
      </c>
      <c r="N2104" s="133" t="s">
        <v>1407</v>
      </c>
      <c r="O2104" s="4" t="s">
        <v>1749</v>
      </c>
      <c r="P2104" s="4" t="s">
        <v>892</v>
      </c>
      <c r="Q2104" s="4" t="s">
        <v>1750</v>
      </c>
      <c r="R2104" s="4" t="s">
        <v>1754</v>
      </c>
      <c r="S2104" s="4" t="s">
        <v>1752</v>
      </c>
      <c r="T2104" s="4" t="s">
        <v>786</v>
      </c>
      <c r="U2104" s="4"/>
      <c r="V2104" s="4"/>
      <c r="W2104" s="4"/>
    </row>
    <row r="2105" spans="1:23" customFormat="1">
      <c r="A2105" s="10"/>
      <c r="B2105" s="4"/>
      <c r="C2105" s="4"/>
      <c r="D2105" s="4"/>
      <c r="E2105" s="4"/>
      <c r="F2105" s="152" t="s">
        <v>658</v>
      </c>
      <c r="G2105" s="4" t="s">
        <v>659</v>
      </c>
      <c r="H2105" s="4"/>
      <c r="I2105" s="196">
        <v>-433402</v>
      </c>
      <c r="J2105" s="196">
        <v>-311.8</v>
      </c>
      <c r="K2105" s="196">
        <v>1390</v>
      </c>
      <c r="L2105" s="454" t="s">
        <v>899</v>
      </c>
      <c r="M2105" s="4" t="s">
        <v>780</v>
      </c>
      <c r="N2105" s="133" t="s">
        <v>1407</v>
      </c>
      <c r="O2105" s="4" t="s">
        <v>1749</v>
      </c>
      <c r="P2105" s="4" t="s">
        <v>892</v>
      </c>
      <c r="Q2105" s="4" t="s">
        <v>1750</v>
      </c>
      <c r="R2105" s="4" t="s">
        <v>1755</v>
      </c>
      <c r="S2105" s="4" t="s">
        <v>1752</v>
      </c>
      <c r="T2105" s="4" t="s">
        <v>786</v>
      </c>
      <c r="U2105" s="4"/>
      <c r="V2105" s="4"/>
      <c r="W2105" s="4"/>
    </row>
    <row r="2106" spans="1:23" customFormat="1">
      <c r="A2106" s="10"/>
      <c r="B2106" s="4"/>
      <c r="C2106" s="4"/>
      <c r="D2106" s="4"/>
      <c r="E2106" s="4"/>
      <c r="F2106" s="152" t="s">
        <v>658</v>
      </c>
      <c r="G2106" s="4" t="s">
        <v>659</v>
      </c>
      <c r="H2106" s="4"/>
      <c r="I2106" s="196">
        <v>-1384537.3</v>
      </c>
      <c r="J2106" s="196">
        <v>-996.07</v>
      </c>
      <c r="K2106" s="196">
        <v>1390</v>
      </c>
      <c r="L2106" s="454" t="s">
        <v>899</v>
      </c>
      <c r="M2106" s="4" t="s">
        <v>780</v>
      </c>
      <c r="N2106" s="133" t="s">
        <v>1407</v>
      </c>
      <c r="O2106" s="4" t="s">
        <v>1749</v>
      </c>
      <c r="P2106" s="4" t="s">
        <v>892</v>
      </c>
      <c r="Q2106" s="4" t="s">
        <v>1750</v>
      </c>
      <c r="R2106" s="4" t="s">
        <v>1757</v>
      </c>
      <c r="S2106" s="4" t="s">
        <v>1752</v>
      </c>
      <c r="T2106" s="4" t="s">
        <v>786</v>
      </c>
      <c r="U2106" s="4"/>
      <c r="V2106" s="4"/>
      <c r="W2106" s="4"/>
    </row>
    <row r="2107" spans="1:23" customFormat="1">
      <c r="A2107" s="10"/>
      <c r="B2107" s="4"/>
      <c r="C2107" s="4"/>
      <c r="D2107" s="4"/>
      <c r="E2107" s="4"/>
      <c r="F2107" s="152" t="s">
        <v>658</v>
      </c>
      <c r="G2107" s="4" t="s">
        <v>659</v>
      </c>
      <c r="H2107" s="4"/>
      <c r="I2107" s="196">
        <v>-2731.3</v>
      </c>
      <c r="J2107" s="196">
        <v>-1.91</v>
      </c>
      <c r="K2107" s="196">
        <v>1430</v>
      </c>
      <c r="L2107" s="454" t="s">
        <v>890</v>
      </c>
      <c r="M2107" s="4" t="s">
        <v>780</v>
      </c>
      <c r="N2107" s="133" t="s">
        <v>1407</v>
      </c>
      <c r="O2107" s="4" t="s">
        <v>1763</v>
      </c>
      <c r="P2107" s="4" t="s">
        <v>892</v>
      </c>
      <c r="Q2107" s="4" t="s">
        <v>1764</v>
      </c>
      <c r="R2107" s="4" t="s">
        <v>1515</v>
      </c>
      <c r="S2107" s="4" t="s">
        <v>1765</v>
      </c>
      <c r="T2107" s="4" t="s">
        <v>786</v>
      </c>
      <c r="U2107" s="4"/>
      <c r="V2107" s="4"/>
      <c r="W2107" s="4"/>
    </row>
    <row r="2108" spans="1:23" customFormat="1">
      <c r="A2108" s="10"/>
      <c r="B2108" s="4"/>
      <c r="C2108" s="4"/>
      <c r="D2108" s="4"/>
      <c r="E2108" s="4"/>
      <c r="F2108" s="152" t="s">
        <v>658</v>
      </c>
      <c r="G2108" s="4" t="s">
        <v>659</v>
      </c>
      <c r="H2108" s="4"/>
      <c r="I2108" s="196">
        <v>-2731.3</v>
      </c>
      <c r="J2108" s="196">
        <v>-1.91</v>
      </c>
      <c r="K2108" s="196">
        <v>1430</v>
      </c>
      <c r="L2108" s="454" t="s">
        <v>890</v>
      </c>
      <c r="M2108" s="4" t="s">
        <v>780</v>
      </c>
      <c r="N2108" s="133" t="s">
        <v>1407</v>
      </c>
      <c r="O2108" s="4" t="s">
        <v>1763</v>
      </c>
      <c r="P2108" s="4" t="s">
        <v>892</v>
      </c>
      <c r="Q2108" s="4" t="s">
        <v>1764</v>
      </c>
      <c r="R2108" s="4" t="s">
        <v>1515</v>
      </c>
      <c r="S2108" s="4" t="s">
        <v>1765</v>
      </c>
      <c r="T2108" s="4" t="s">
        <v>786</v>
      </c>
      <c r="U2108" s="4"/>
      <c r="V2108" s="4"/>
      <c r="W2108" s="4"/>
    </row>
    <row r="2109" spans="1:23" customFormat="1">
      <c r="A2109" s="10"/>
      <c r="B2109" s="4"/>
      <c r="C2109" s="4"/>
      <c r="D2109" s="4"/>
      <c r="E2109" s="4"/>
      <c r="F2109" s="152" t="s">
        <v>658</v>
      </c>
      <c r="G2109" s="4" t="s">
        <v>659</v>
      </c>
      <c r="H2109" s="4"/>
      <c r="I2109" s="196">
        <v>-291762.90000000002</v>
      </c>
      <c r="J2109" s="196">
        <v>-204.03</v>
      </c>
      <c r="K2109" s="196">
        <v>1430</v>
      </c>
      <c r="L2109" s="454" t="s">
        <v>890</v>
      </c>
      <c r="M2109" s="4" t="s">
        <v>780</v>
      </c>
      <c r="N2109" s="133" t="s">
        <v>1407</v>
      </c>
      <c r="O2109" s="4" t="s">
        <v>1763</v>
      </c>
      <c r="P2109" s="4" t="s">
        <v>892</v>
      </c>
      <c r="Q2109" s="4" t="s">
        <v>1764</v>
      </c>
      <c r="R2109" s="4" t="s">
        <v>1772</v>
      </c>
      <c r="S2109" s="4" t="s">
        <v>1765</v>
      </c>
      <c r="T2109" s="4" t="s">
        <v>786</v>
      </c>
      <c r="U2109" s="4"/>
      <c r="V2109" s="4"/>
      <c r="W2109" s="4"/>
    </row>
    <row r="2110" spans="1:23" customFormat="1">
      <c r="A2110" s="10"/>
      <c r="B2110" s="4"/>
      <c r="C2110" s="4"/>
      <c r="D2110" s="4"/>
      <c r="E2110" s="4"/>
      <c r="F2110" s="152" t="s">
        <v>658</v>
      </c>
      <c r="G2110" s="4" t="s">
        <v>659</v>
      </c>
      <c r="H2110" s="4"/>
      <c r="I2110" s="196">
        <v>-1227712.2</v>
      </c>
      <c r="J2110" s="196">
        <v>-858.54</v>
      </c>
      <c r="K2110" s="196">
        <v>1430</v>
      </c>
      <c r="L2110" s="454" t="s">
        <v>890</v>
      </c>
      <c r="M2110" s="4" t="s">
        <v>780</v>
      </c>
      <c r="N2110" s="133" t="s">
        <v>1407</v>
      </c>
      <c r="O2110" s="4" t="s">
        <v>1763</v>
      </c>
      <c r="P2110" s="4" t="s">
        <v>892</v>
      </c>
      <c r="Q2110" s="4" t="s">
        <v>1764</v>
      </c>
      <c r="R2110" s="4" t="s">
        <v>1777</v>
      </c>
      <c r="S2110" s="4" t="s">
        <v>1765</v>
      </c>
      <c r="T2110" s="4" t="s">
        <v>786</v>
      </c>
      <c r="U2110" s="4"/>
      <c r="V2110" s="4"/>
      <c r="W2110" s="4"/>
    </row>
    <row r="2111" spans="1:23" customFormat="1">
      <c r="A2111" s="10"/>
      <c r="B2111" s="4"/>
      <c r="C2111" s="4"/>
      <c r="D2111" s="4"/>
      <c r="E2111" s="4"/>
      <c r="F2111" s="152" t="s">
        <v>658</v>
      </c>
      <c r="G2111" s="4" t="s">
        <v>659</v>
      </c>
      <c r="H2111" s="4"/>
      <c r="I2111" s="196">
        <v>-1204803.6000000001</v>
      </c>
      <c r="J2111" s="196">
        <v>-842.52</v>
      </c>
      <c r="K2111" s="196">
        <v>1430</v>
      </c>
      <c r="L2111" s="454" t="s">
        <v>890</v>
      </c>
      <c r="M2111" s="4" t="s">
        <v>780</v>
      </c>
      <c r="N2111" s="133" t="s">
        <v>1407</v>
      </c>
      <c r="O2111" s="4" t="s">
        <v>1763</v>
      </c>
      <c r="P2111" s="4" t="s">
        <v>892</v>
      </c>
      <c r="Q2111" s="4" t="s">
        <v>1764</v>
      </c>
      <c r="R2111" s="4" t="s">
        <v>1779</v>
      </c>
      <c r="S2111" s="4" t="s">
        <v>1765</v>
      </c>
      <c r="T2111" s="4" t="s">
        <v>786</v>
      </c>
      <c r="U2111" s="4"/>
      <c r="V2111" s="4"/>
      <c r="W2111" s="4"/>
    </row>
    <row r="2112" spans="1:23" customFormat="1">
      <c r="A2112" s="10"/>
      <c r="B2112" s="4"/>
      <c r="C2112" s="4"/>
      <c r="D2112" s="4"/>
      <c r="E2112" s="4"/>
      <c r="F2112" s="152" t="s">
        <v>658</v>
      </c>
      <c r="G2112" s="4" t="s">
        <v>659</v>
      </c>
      <c r="H2112" s="4"/>
      <c r="I2112" s="196">
        <v>-1026568.4</v>
      </c>
      <c r="J2112" s="196">
        <v>-717.88</v>
      </c>
      <c r="K2112" s="196">
        <v>1430</v>
      </c>
      <c r="L2112" s="454" t="s">
        <v>890</v>
      </c>
      <c r="M2112" s="4" t="s">
        <v>780</v>
      </c>
      <c r="N2112" s="133" t="s">
        <v>1407</v>
      </c>
      <c r="O2112" s="4" t="s">
        <v>1763</v>
      </c>
      <c r="P2112" s="4" t="s">
        <v>892</v>
      </c>
      <c r="Q2112" s="4" t="s">
        <v>1764</v>
      </c>
      <c r="R2112" s="4" t="s">
        <v>1781</v>
      </c>
      <c r="S2112" s="4" t="s">
        <v>1765</v>
      </c>
      <c r="T2112" s="4" t="s">
        <v>786</v>
      </c>
      <c r="U2112" s="4"/>
      <c r="V2112" s="4"/>
      <c r="W2112" s="4"/>
    </row>
    <row r="2113" spans="1:23" customFormat="1">
      <c r="A2113" s="10"/>
      <c r="B2113" s="4"/>
      <c r="C2113" s="4"/>
      <c r="D2113" s="4"/>
      <c r="E2113" s="4"/>
      <c r="F2113" s="152" t="s">
        <v>658</v>
      </c>
      <c r="G2113" s="4" t="s">
        <v>659</v>
      </c>
      <c r="H2113" s="4"/>
      <c r="I2113" s="196">
        <v>-988759.2</v>
      </c>
      <c r="J2113" s="196">
        <v>-691.44</v>
      </c>
      <c r="K2113" s="196">
        <v>1430</v>
      </c>
      <c r="L2113" s="454" t="s">
        <v>890</v>
      </c>
      <c r="M2113" s="4" t="s">
        <v>780</v>
      </c>
      <c r="N2113" s="133" t="s">
        <v>1407</v>
      </c>
      <c r="O2113" s="4" t="s">
        <v>1763</v>
      </c>
      <c r="P2113" s="4" t="s">
        <v>892</v>
      </c>
      <c r="Q2113" s="4" t="s">
        <v>1764</v>
      </c>
      <c r="R2113" s="4" t="s">
        <v>1767</v>
      </c>
      <c r="S2113" s="4" t="s">
        <v>1765</v>
      </c>
      <c r="T2113" s="4" t="s">
        <v>786</v>
      </c>
      <c r="U2113" s="4"/>
      <c r="V2113" s="4"/>
      <c r="W2113" s="4"/>
    </row>
    <row r="2114" spans="1:23" customFormat="1">
      <c r="A2114" s="10"/>
      <c r="B2114" s="4"/>
      <c r="C2114" s="4"/>
      <c r="D2114" s="4"/>
      <c r="E2114" s="4"/>
      <c r="F2114" s="152" t="s">
        <v>658</v>
      </c>
      <c r="G2114" s="4" t="s">
        <v>659</v>
      </c>
      <c r="H2114" s="4"/>
      <c r="I2114" s="196">
        <v>-244930.4</v>
      </c>
      <c r="J2114" s="196">
        <v>-171.28</v>
      </c>
      <c r="K2114" s="196">
        <v>1430</v>
      </c>
      <c r="L2114" s="454" t="s">
        <v>890</v>
      </c>
      <c r="M2114" s="4" t="s">
        <v>780</v>
      </c>
      <c r="N2114" s="133" t="s">
        <v>1407</v>
      </c>
      <c r="O2114" s="4" t="s">
        <v>1763</v>
      </c>
      <c r="P2114" s="4" t="s">
        <v>892</v>
      </c>
      <c r="Q2114" s="4" t="s">
        <v>1764</v>
      </c>
      <c r="R2114" s="4" t="s">
        <v>1775</v>
      </c>
      <c r="S2114" s="4" t="s">
        <v>1765</v>
      </c>
      <c r="T2114" s="4" t="s">
        <v>786</v>
      </c>
      <c r="U2114" s="4"/>
      <c r="V2114" s="4"/>
      <c r="W2114" s="4"/>
    </row>
    <row r="2115" spans="1:23" customFormat="1">
      <c r="A2115" s="10"/>
      <c r="B2115" s="4"/>
      <c r="C2115" s="4"/>
      <c r="D2115" s="4"/>
      <c r="E2115" s="4"/>
      <c r="F2115" s="152" t="s">
        <v>658</v>
      </c>
      <c r="G2115" s="4" t="s">
        <v>659</v>
      </c>
      <c r="H2115" s="4"/>
      <c r="I2115" s="196">
        <v>-2731.3</v>
      </c>
      <c r="J2115" s="196">
        <v>-1.91</v>
      </c>
      <c r="K2115" s="196">
        <v>1430</v>
      </c>
      <c r="L2115" s="454" t="s">
        <v>890</v>
      </c>
      <c r="M2115" s="4" t="s">
        <v>780</v>
      </c>
      <c r="N2115" s="133" t="s">
        <v>1407</v>
      </c>
      <c r="O2115" s="4" t="s">
        <v>1763</v>
      </c>
      <c r="P2115" s="4" t="s">
        <v>892</v>
      </c>
      <c r="Q2115" s="4" t="s">
        <v>1764</v>
      </c>
      <c r="R2115" s="4" t="s">
        <v>1515</v>
      </c>
      <c r="S2115" s="4" t="s">
        <v>1765</v>
      </c>
      <c r="T2115" s="4" t="s">
        <v>786</v>
      </c>
      <c r="U2115" s="4"/>
      <c r="V2115" s="4"/>
      <c r="W2115" s="4"/>
    </row>
    <row r="2116" spans="1:23" customFormat="1">
      <c r="A2116" s="10"/>
      <c r="B2116" s="4"/>
      <c r="C2116" s="4"/>
      <c r="D2116" s="4"/>
      <c r="E2116" s="4"/>
      <c r="F2116" s="152" t="s">
        <v>658</v>
      </c>
      <c r="G2116" s="4" t="s">
        <v>659</v>
      </c>
      <c r="H2116" s="4"/>
      <c r="I2116" s="196">
        <v>-2731.3</v>
      </c>
      <c r="J2116" s="196">
        <v>-1.91</v>
      </c>
      <c r="K2116" s="196">
        <v>1430</v>
      </c>
      <c r="L2116" s="454" t="s">
        <v>890</v>
      </c>
      <c r="M2116" s="4" t="s">
        <v>780</v>
      </c>
      <c r="N2116" s="133" t="s">
        <v>1407</v>
      </c>
      <c r="O2116" s="4" t="s">
        <v>1763</v>
      </c>
      <c r="P2116" s="4" t="s">
        <v>892</v>
      </c>
      <c r="Q2116" s="4" t="s">
        <v>1764</v>
      </c>
      <c r="R2116" s="4" t="s">
        <v>1515</v>
      </c>
      <c r="S2116" s="4" t="s">
        <v>1765</v>
      </c>
      <c r="T2116" s="4" t="s">
        <v>786</v>
      </c>
      <c r="U2116" s="4"/>
      <c r="V2116" s="4"/>
      <c r="W2116" s="4"/>
    </row>
    <row r="2117" spans="1:23" customFormat="1">
      <c r="A2117" s="10"/>
      <c r="B2117" s="4"/>
      <c r="C2117" s="4"/>
      <c r="D2117" s="4"/>
      <c r="E2117" s="4"/>
      <c r="F2117" s="152" t="s">
        <v>658</v>
      </c>
      <c r="G2117" s="4" t="s">
        <v>659</v>
      </c>
      <c r="H2117" s="4"/>
      <c r="I2117" s="196">
        <v>-214314.1</v>
      </c>
      <c r="J2117" s="196">
        <v>-149.87</v>
      </c>
      <c r="K2117" s="196">
        <v>1430</v>
      </c>
      <c r="L2117" s="454" t="s">
        <v>890</v>
      </c>
      <c r="M2117" s="4" t="s">
        <v>780</v>
      </c>
      <c r="N2117" s="133" t="s">
        <v>1407</v>
      </c>
      <c r="O2117" s="4" t="s">
        <v>1763</v>
      </c>
      <c r="P2117" s="4" t="s">
        <v>892</v>
      </c>
      <c r="Q2117" s="4" t="s">
        <v>1764</v>
      </c>
      <c r="R2117" s="4" t="s">
        <v>1770</v>
      </c>
      <c r="S2117" s="4" t="s">
        <v>1765</v>
      </c>
      <c r="T2117" s="4" t="s">
        <v>786</v>
      </c>
      <c r="U2117" s="4"/>
      <c r="V2117" s="4"/>
      <c r="W2117" s="4"/>
    </row>
    <row r="2118" spans="1:23" customFormat="1">
      <c r="A2118" s="10"/>
      <c r="B2118" s="4"/>
      <c r="C2118" s="4"/>
      <c r="D2118" s="4"/>
      <c r="E2118" s="4"/>
      <c r="F2118" s="152" t="s">
        <v>658</v>
      </c>
      <c r="G2118" s="4" t="s">
        <v>659</v>
      </c>
      <c r="H2118" s="4"/>
      <c r="I2118" s="196">
        <v>-214314.1</v>
      </c>
      <c r="J2118" s="196">
        <v>-149.87</v>
      </c>
      <c r="K2118" s="196">
        <v>1430</v>
      </c>
      <c r="L2118" s="454" t="s">
        <v>890</v>
      </c>
      <c r="M2118" s="4" t="s">
        <v>780</v>
      </c>
      <c r="N2118" s="133" t="s">
        <v>1407</v>
      </c>
      <c r="O2118" s="4" t="s">
        <v>1763</v>
      </c>
      <c r="P2118" s="4" t="s">
        <v>892</v>
      </c>
      <c r="Q2118" s="4" t="s">
        <v>1764</v>
      </c>
      <c r="R2118" s="4" t="s">
        <v>1782</v>
      </c>
      <c r="S2118" s="4" t="s">
        <v>1765</v>
      </c>
      <c r="T2118" s="4" t="s">
        <v>786</v>
      </c>
      <c r="U2118" s="4"/>
      <c r="V2118" s="4"/>
      <c r="W2118" s="4"/>
    </row>
    <row r="2119" spans="1:23" customFormat="1">
      <c r="A2119" s="10"/>
      <c r="B2119" s="4"/>
      <c r="C2119" s="4"/>
      <c r="D2119" s="4"/>
      <c r="E2119" s="4"/>
      <c r="F2119" s="152" t="s">
        <v>658</v>
      </c>
      <c r="G2119" s="4" t="s">
        <v>659</v>
      </c>
      <c r="H2119" s="4"/>
      <c r="I2119" s="196">
        <v>-2543955.7000000002</v>
      </c>
      <c r="J2119" s="196">
        <v>-1778.99</v>
      </c>
      <c r="K2119" s="196">
        <v>1430</v>
      </c>
      <c r="L2119" s="454" t="s">
        <v>890</v>
      </c>
      <c r="M2119" s="4" t="s">
        <v>780</v>
      </c>
      <c r="N2119" s="133" t="s">
        <v>1407</v>
      </c>
      <c r="O2119" s="4" t="s">
        <v>1763</v>
      </c>
      <c r="P2119" s="4" t="s">
        <v>892</v>
      </c>
      <c r="Q2119" s="4" t="s">
        <v>1764</v>
      </c>
      <c r="R2119" s="4" t="s">
        <v>1768</v>
      </c>
      <c r="S2119" s="4" t="s">
        <v>1765</v>
      </c>
      <c r="T2119" s="4" t="s">
        <v>786</v>
      </c>
      <c r="U2119" s="4"/>
      <c r="V2119" s="4"/>
      <c r="W2119" s="4"/>
    </row>
    <row r="2120" spans="1:23" customFormat="1">
      <c r="A2120" s="10"/>
      <c r="B2120" s="4"/>
      <c r="C2120" s="4"/>
      <c r="D2120" s="4"/>
      <c r="E2120" s="4"/>
      <c r="F2120" s="152" t="s">
        <v>658</v>
      </c>
      <c r="G2120" s="4" t="s">
        <v>659</v>
      </c>
      <c r="H2120" s="4"/>
      <c r="I2120" s="196">
        <v>-1204803.6000000001</v>
      </c>
      <c r="J2120" s="196">
        <v>-842.52</v>
      </c>
      <c r="K2120" s="196">
        <v>1430</v>
      </c>
      <c r="L2120" s="454" t="s">
        <v>890</v>
      </c>
      <c r="M2120" s="4" t="s">
        <v>780</v>
      </c>
      <c r="N2120" s="133" t="s">
        <v>1407</v>
      </c>
      <c r="O2120" s="4" t="s">
        <v>1763</v>
      </c>
      <c r="P2120" s="4" t="s">
        <v>892</v>
      </c>
      <c r="Q2120" s="4" t="s">
        <v>1764</v>
      </c>
      <c r="R2120" s="4" t="s">
        <v>1778</v>
      </c>
      <c r="S2120" s="4" t="s">
        <v>1765</v>
      </c>
      <c r="T2120" s="4" t="s">
        <v>786</v>
      </c>
      <c r="U2120" s="4"/>
      <c r="V2120" s="4"/>
      <c r="W2120" s="4"/>
    </row>
    <row r="2121" spans="1:23" customFormat="1">
      <c r="A2121" s="10"/>
      <c r="B2121" s="4"/>
      <c r="C2121" s="4"/>
      <c r="D2121" s="4"/>
      <c r="E2121" s="4"/>
      <c r="F2121" s="152" t="s">
        <v>658</v>
      </c>
      <c r="G2121" s="4" t="s">
        <v>659</v>
      </c>
      <c r="H2121" s="4"/>
      <c r="I2121" s="196">
        <v>-2731.3</v>
      </c>
      <c r="J2121" s="196">
        <v>-1.91</v>
      </c>
      <c r="K2121" s="196">
        <v>1430</v>
      </c>
      <c r="L2121" s="454" t="s">
        <v>890</v>
      </c>
      <c r="M2121" s="4" t="s">
        <v>780</v>
      </c>
      <c r="N2121" s="133" t="s">
        <v>1407</v>
      </c>
      <c r="O2121" s="4" t="s">
        <v>1763</v>
      </c>
      <c r="P2121" s="4" t="s">
        <v>892</v>
      </c>
      <c r="Q2121" s="4" t="s">
        <v>1764</v>
      </c>
      <c r="R2121" s="4" t="s">
        <v>1456</v>
      </c>
      <c r="S2121" s="4" t="s">
        <v>1765</v>
      </c>
      <c r="T2121" s="4" t="s">
        <v>786</v>
      </c>
      <c r="U2121" s="4"/>
      <c r="V2121" s="4"/>
      <c r="W2121" s="4"/>
    </row>
    <row r="2122" spans="1:23" customFormat="1">
      <c r="A2122" s="10"/>
      <c r="B2122" s="4"/>
      <c r="C2122" s="4"/>
      <c r="D2122" s="4"/>
      <c r="E2122" s="4"/>
      <c r="F2122" s="152" t="s">
        <v>658</v>
      </c>
      <c r="G2122" s="4" t="s">
        <v>659</v>
      </c>
      <c r="H2122" s="4"/>
      <c r="I2122" s="196">
        <v>-1227712.2</v>
      </c>
      <c r="J2122" s="196">
        <v>-858.54</v>
      </c>
      <c r="K2122" s="196">
        <v>1430</v>
      </c>
      <c r="L2122" s="454" t="s">
        <v>890</v>
      </c>
      <c r="M2122" s="4" t="s">
        <v>780</v>
      </c>
      <c r="N2122" s="133" t="s">
        <v>1407</v>
      </c>
      <c r="O2122" s="4" t="s">
        <v>1763</v>
      </c>
      <c r="P2122" s="4" t="s">
        <v>892</v>
      </c>
      <c r="Q2122" s="4" t="s">
        <v>1764</v>
      </c>
      <c r="R2122" s="4" t="s">
        <v>1783</v>
      </c>
      <c r="S2122" s="4" t="s">
        <v>1765</v>
      </c>
      <c r="T2122" s="4" t="s">
        <v>786</v>
      </c>
      <c r="U2122" s="4"/>
      <c r="V2122" s="4"/>
      <c r="W2122" s="4"/>
    </row>
    <row r="2123" spans="1:23" customFormat="1">
      <c r="A2123" s="10"/>
      <c r="B2123" s="4"/>
      <c r="C2123" s="4"/>
      <c r="D2123" s="4"/>
      <c r="E2123" s="4"/>
      <c r="F2123" s="152" t="s">
        <v>658</v>
      </c>
      <c r="G2123" s="4" t="s">
        <v>659</v>
      </c>
      <c r="H2123" s="4"/>
      <c r="I2123" s="196">
        <v>-586557.4</v>
      </c>
      <c r="J2123" s="196">
        <v>-410.18</v>
      </c>
      <c r="K2123" s="196">
        <v>1430</v>
      </c>
      <c r="L2123" s="454" t="s">
        <v>890</v>
      </c>
      <c r="M2123" s="4" t="s">
        <v>780</v>
      </c>
      <c r="N2123" s="133" t="s">
        <v>1407</v>
      </c>
      <c r="O2123" s="4" t="s">
        <v>1763</v>
      </c>
      <c r="P2123" s="4" t="s">
        <v>892</v>
      </c>
      <c r="Q2123" s="4" t="s">
        <v>1764</v>
      </c>
      <c r="R2123" s="4" t="s">
        <v>1774</v>
      </c>
      <c r="S2123" s="4" t="s">
        <v>1765</v>
      </c>
      <c r="T2123" s="4" t="s">
        <v>786</v>
      </c>
      <c r="U2123" s="4"/>
      <c r="V2123" s="4"/>
      <c r="W2123" s="4"/>
    </row>
    <row r="2124" spans="1:23" customFormat="1">
      <c r="A2124" s="10"/>
      <c r="B2124" s="4"/>
      <c r="C2124" s="4"/>
      <c r="D2124" s="4"/>
      <c r="E2124" s="4"/>
      <c r="F2124" s="152" t="s">
        <v>658</v>
      </c>
      <c r="G2124" s="4" t="s">
        <v>659</v>
      </c>
      <c r="H2124" s="4"/>
      <c r="I2124" s="196">
        <v>-1801013.5</v>
      </c>
      <c r="J2124" s="196">
        <v>-1259.45</v>
      </c>
      <c r="K2124" s="196">
        <v>1430</v>
      </c>
      <c r="L2124" s="454" t="s">
        <v>890</v>
      </c>
      <c r="M2124" s="4" t="s">
        <v>780</v>
      </c>
      <c r="N2124" s="133" t="s">
        <v>1407</v>
      </c>
      <c r="O2124" s="4" t="s">
        <v>1763</v>
      </c>
      <c r="P2124" s="4" t="s">
        <v>892</v>
      </c>
      <c r="Q2124" s="4" t="s">
        <v>1764</v>
      </c>
      <c r="R2124" s="4" t="s">
        <v>1769</v>
      </c>
      <c r="S2124" s="4" t="s">
        <v>1765</v>
      </c>
      <c r="T2124" s="4" t="s">
        <v>786</v>
      </c>
      <c r="U2124" s="4"/>
      <c r="V2124" s="4"/>
      <c r="W2124" s="4"/>
    </row>
    <row r="2125" spans="1:23" customFormat="1">
      <c r="A2125" s="10"/>
      <c r="B2125" s="4"/>
      <c r="C2125" s="4"/>
      <c r="D2125" s="4"/>
      <c r="E2125" s="4"/>
      <c r="F2125" s="152" t="s">
        <v>658</v>
      </c>
      <c r="G2125" s="4" t="s">
        <v>659</v>
      </c>
      <c r="H2125" s="4"/>
      <c r="I2125" s="196">
        <v>-445130.4</v>
      </c>
      <c r="J2125" s="196">
        <v>-311.27999999999997</v>
      </c>
      <c r="K2125" s="196">
        <v>1430</v>
      </c>
      <c r="L2125" s="454" t="s">
        <v>890</v>
      </c>
      <c r="M2125" s="4" t="s">
        <v>780</v>
      </c>
      <c r="N2125" s="133" t="s">
        <v>1407</v>
      </c>
      <c r="O2125" s="4" t="s">
        <v>1763</v>
      </c>
      <c r="P2125" s="4" t="s">
        <v>892</v>
      </c>
      <c r="Q2125" s="4" t="s">
        <v>1764</v>
      </c>
      <c r="R2125" s="4" t="s">
        <v>1784</v>
      </c>
      <c r="S2125" s="4" t="s">
        <v>1765</v>
      </c>
      <c r="T2125" s="4" t="s">
        <v>786</v>
      </c>
      <c r="U2125" s="4"/>
      <c r="V2125" s="4"/>
      <c r="W2125" s="4"/>
    </row>
    <row r="2126" spans="1:23" customFormat="1">
      <c r="A2126" s="10"/>
      <c r="B2126" s="4"/>
      <c r="C2126" s="4"/>
      <c r="D2126" s="4"/>
      <c r="E2126" s="4"/>
      <c r="F2126" s="152" t="s">
        <v>658</v>
      </c>
      <c r="G2126" s="4" t="s">
        <v>659</v>
      </c>
      <c r="H2126" s="4"/>
      <c r="I2126" s="196">
        <v>-214314.1</v>
      </c>
      <c r="J2126" s="196">
        <v>-149.87</v>
      </c>
      <c r="K2126" s="196">
        <v>1430</v>
      </c>
      <c r="L2126" s="454" t="s">
        <v>890</v>
      </c>
      <c r="M2126" s="4" t="s">
        <v>780</v>
      </c>
      <c r="N2126" s="133" t="s">
        <v>1407</v>
      </c>
      <c r="O2126" s="4" t="s">
        <v>1763</v>
      </c>
      <c r="P2126" s="4" t="s">
        <v>892</v>
      </c>
      <c r="Q2126" s="4" t="s">
        <v>1764</v>
      </c>
      <c r="R2126" s="4" t="s">
        <v>1785</v>
      </c>
      <c r="S2126" s="4" t="s">
        <v>1765</v>
      </c>
      <c r="T2126" s="4" t="s">
        <v>786</v>
      </c>
      <c r="U2126" s="4"/>
      <c r="V2126" s="4"/>
      <c r="W2126" s="4"/>
    </row>
    <row r="2127" spans="1:23" customFormat="1">
      <c r="A2127" s="10"/>
      <c r="B2127" s="4"/>
      <c r="C2127" s="4"/>
      <c r="D2127" s="4"/>
      <c r="E2127" s="4"/>
      <c r="F2127" s="152" t="s">
        <v>658</v>
      </c>
      <c r="G2127" s="4" t="s">
        <v>659</v>
      </c>
      <c r="H2127" s="4"/>
      <c r="I2127" s="196">
        <v>-160646.20000000001</v>
      </c>
      <c r="J2127" s="196">
        <v>-112.34</v>
      </c>
      <c r="K2127" s="196">
        <v>1430</v>
      </c>
      <c r="L2127" s="454" t="s">
        <v>890</v>
      </c>
      <c r="M2127" s="4" t="s">
        <v>780</v>
      </c>
      <c r="N2127" s="133" t="s">
        <v>1407</v>
      </c>
      <c r="O2127" s="4" t="s">
        <v>1763</v>
      </c>
      <c r="P2127" s="4" t="s">
        <v>892</v>
      </c>
      <c r="Q2127" s="4" t="s">
        <v>1764</v>
      </c>
      <c r="R2127" s="4" t="s">
        <v>1776</v>
      </c>
      <c r="S2127" s="4" t="s">
        <v>1765</v>
      </c>
      <c r="T2127" s="4" t="s">
        <v>786</v>
      </c>
      <c r="U2127" s="4"/>
      <c r="V2127" s="4"/>
      <c r="W2127" s="4"/>
    </row>
    <row r="2128" spans="1:23" customFormat="1">
      <c r="A2128" s="10"/>
      <c r="B2128" s="4"/>
      <c r="C2128" s="4"/>
      <c r="D2128" s="4"/>
      <c r="E2128" s="4"/>
      <c r="F2128" s="152" t="s">
        <v>658</v>
      </c>
      <c r="G2128" s="4" t="s">
        <v>659</v>
      </c>
      <c r="H2128" s="4"/>
      <c r="I2128" s="196">
        <v>-1119261</v>
      </c>
      <c r="J2128" s="196">
        <v>-782.7</v>
      </c>
      <c r="K2128" s="196">
        <v>1430</v>
      </c>
      <c r="L2128" s="454" t="s">
        <v>890</v>
      </c>
      <c r="M2128" s="4" t="s">
        <v>780</v>
      </c>
      <c r="N2128" s="133" t="s">
        <v>1407</v>
      </c>
      <c r="O2128" s="4" t="s">
        <v>1763</v>
      </c>
      <c r="P2128" s="4" t="s">
        <v>892</v>
      </c>
      <c r="Q2128" s="4" t="s">
        <v>1764</v>
      </c>
      <c r="R2128" s="4" t="s">
        <v>1786</v>
      </c>
      <c r="S2128" s="4" t="s">
        <v>1765</v>
      </c>
      <c r="T2128" s="4" t="s">
        <v>786</v>
      </c>
      <c r="U2128" s="4"/>
      <c r="V2128" s="4"/>
      <c r="W2128" s="4"/>
    </row>
    <row r="2129" spans="1:23" customFormat="1">
      <c r="A2129" s="10"/>
      <c r="B2129" s="4"/>
      <c r="C2129" s="4"/>
      <c r="D2129" s="4"/>
      <c r="E2129" s="4"/>
      <c r="F2129" s="152" t="s">
        <v>658</v>
      </c>
      <c r="G2129" s="4" t="s">
        <v>659</v>
      </c>
      <c r="H2129" s="4"/>
      <c r="I2129" s="196">
        <v>-1988858.3</v>
      </c>
      <c r="J2129" s="196">
        <v>-1390.81</v>
      </c>
      <c r="K2129" s="196">
        <v>1430</v>
      </c>
      <c r="L2129" s="454" t="s">
        <v>890</v>
      </c>
      <c r="M2129" s="4" t="s">
        <v>780</v>
      </c>
      <c r="N2129" s="133" t="s">
        <v>1407</v>
      </c>
      <c r="O2129" s="4" t="s">
        <v>1763</v>
      </c>
      <c r="P2129" s="4" t="s">
        <v>892</v>
      </c>
      <c r="Q2129" s="4" t="s">
        <v>1764</v>
      </c>
      <c r="R2129" s="4" t="s">
        <v>1771</v>
      </c>
      <c r="S2129" s="4" t="s">
        <v>1765</v>
      </c>
      <c r="T2129" s="4" t="s">
        <v>786</v>
      </c>
      <c r="U2129" s="4"/>
      <c r="V2129" s="4"/>
      <c r="W2129" s="4"/>
    </row>
    <row r="2130" spans="1:23" customFormat="1">
      <c r="A2130" s="10"/>
      <c r="B2130" s="4"/>
      <c r="C2130" s="4"/>
      <c r="D2130" s="4"/>
      <c r="E2130" s="4"/>
      <c r="F2130" s="152" t="s">
        <v>658</v>
      </c>
      <c r="G2130" s="4" t="s">
        <v>659</v>
      </c>
      <c r="H2130" s="4"/>
      <c r="I2130" s="196">
        <v>-2731.3</v>
      </c>
      <c r="J2130" s="196">
        <v>-1.91</v>
      </c>
      <c r="K2130" s="196">
        <v>1430</v>
      </c>
      <c r="L2130" s="454" t="s">
        <v>890</v>
      </c>
      <c r="M2130" s="4" t="s">
        <v>780</v>
      </c>
      <c r="N2130" s="133" t="s">
        <v>1407</v>
      </c>
      <c r="O2130" s="4" t="s">
        <v>1763</v>
      </c>
      <c r="P2130" s="4" t="s">
        <v>892</v>
      </c>
      <c r="Q2130" s="4" t="s">
        <v>1764</v>
      </c>
      <c r="R2130" s="4" t="s">
        <v>1515</v>
      </c>
      <c r="S2130" s="4" t="s">
        <v>1765</v>
      </c>
      <c r="T2130" s="4" t="s">
        <v>786</v>
      </c>
      <c r="U2130" s="4"/>
      <c r="V2130" s="4"/>
      <c r="W2130" s="4"/>
    </row>
    <row r="2131" spans="1:23" customFormat="1">
      <c r="A2131" s="10"/>
      <c r="B2131" s="4"/>
      <c r="C2131" s="4"/>
      <c r="D2131" s="4"/>
      <c r="E2131" s="4"/>
      <c r="F2131" s="152" t="s">
        <v>658</v>
      </c>
      <c r="G2131" s="4" t="s">
        <v>659</v>
      </c>
      <c r="H2131" s="4"/>
      <c r="I2131" s="196">
        <v>-3602012.7</v>
      </c>
      <c r="J2131" s="196">
        <v>-2518.89</v>
      </c>
      <c r="K2131" s="196">
        <v>1430</v>
      </c>
      <c r="L2131" s="454" t="s">
        <v>890</v>
      </c>
      <c r="M2131" s="4" t="s">
        <v>780</v>
      </c>
      <c r="N2131" s="133" t="s">
        <v>1407</v>
      </c>
      <c r="O2131" s="4" t="s">
        <v>1763</v>
      </c>
      <c r="P2131" s="4" t="s">
        <v>892</v>
      </c>
      <c r="Q2131" s="4" t="s">
        <v>1764</v>
      </c>
      <c r="R2131" s="4" t="s">
        <v>1773</v>
      </c>
      <c r="S2131" s="4" t="s">
        <v>1765</v>
      </c>
      <c r="T2131" s="4" t="s">
        <v>786</v>
      </c>
      <c r="U2131" s="4"/>
      <c r="V2131" s="4"/>
      <c r="W2131" s="4"/>
    </row>
    <row r="2132" spans="1:23" customFormat="1">
      <c r="A2132" s="10"/>
      <c r="B2132" s="4"/>
      <c r="C2132" s="4"/>
      <c r="D2132" s="4"/>
      <c r="E2132" s="4"/>
      <c r="F2132" s="152" t="s">
        <v>658</v>
      </c>
      <c r="G2132" s="4" t="s">
        <v>659</v>
      </c>
      <c r="H2132" s="4"/>
      <c r="I2132" s="196">
        <v>-214314.1</v>
      </c>
      <c r="J2132" s="196">
        <v>-149.87</v>
      </c>
      <c r="K2132" s="196">
        <v>1430</v>
      </c>
      <c r="L2132" s="454" t="s">
        <v>890</v>
      </c>
      <c r="M2132" s="4" t="s">
        <v>780</v>
      </c>
      <c r="N2132" s="133" t="s">
        <v>1407</v>
      </c>
      <c r="O2132" s="4" t="s">
        <v>1763</v>
      </c>
      <c r="P2132" s="4" t="s">
        <v>892</v>
      </c>
      <c r="Q2132" s="4" t="s">
        <v>1764</v>
      </c>
      <c r="R2132" s="4" t="s">
        <v>1780</v>
      </c>
      <c r="S2132" s="4" t="s">
        <v>1765</v>
      </c>
      <c r="T2132" s="4" t="s">
        <v>786</v>
      </c>
      <c r="U2132" s="4"/>
      <c r="V2132" s="4"/>
      <c r="W2132" s="4"/>
    </row>
    <row r="2133" spans="1:23" customFormat="1">
      <c r="A2133" s="10"/>
      <c r="B2133" s="4"/>
      <c r="C2133" s="4"/>
      <c r="D2133" s="4"/>
      <c r="E2133" s="4"/>
      <c r="F2133" s="152" t="s">
        <v>658</v>
      </c>
      <c r="G2133" s="4" t="s">
        <v>659</v>
      </c>
      <c r="H2133" s="4"/>
      <c r="I2133" s="196">
        <v>-2731.3</v>
      </c>
      <c r="J2133" s="196">
        <v>-1.91</v>
      </c>
      <c r="K2133" s="196">
        <v>1430</v>
      </c>
      <c r="L2133" s="454" t="s">
        <v>890</v>
      </c>
      <c r="M2133" s="4" t="s">
        <v>780</v>
      </c>
      <c r="N2133" s="133" t="s">
        <v>1407</v>
      </c>
      <c r="O2133" s="4" t="s">
        <v>1763</v>
      </c>
      <c r="P2133" s="4" t="s">
        <v>892</v>
      </c>
      <c r="Q2133" s="4" t="s">
        <v>1764</v>
      </c>
      <c r="R2133" s="4" t="s">
        <v>1515</v>
      </c>
      <c r="S2133" s="4" t="s">
        <v>1765</v>
      </c>
      <c r="T2133" s="4" t="s">
        <v>786</v>
      </c>
      <c r="U2133" s="4"/>
      <c r="V2133" s="4"/>
      <c r="W2133" s="4"/>
    </row>
    <row r="2134" spans="1:23" customFormat="1">
      <c r="A2134" s="10"/>
      <c r="B2134" s="4"/>
      <c r="C2134" s="4"/>
      <c r="D2134" s="4"/>
      <c r="E2134" s="4"/>
      <c r="F2134" s="152" t="s">
        <v>658</v>
      </c>
      <c r="G2134" s="4" t="s">
        <v>659</v>
      </c>
      <c r="H2134" s="4"/>
      <c r="I2134" s="196">
        <v>-2731.3</v>
      </c>
      <c r="J2134" s="196">
        <v>-1.91</v>
      </c>
      <c r="K2134" s="196">
        <v>1430</v>
      </c>
      <c r="L2134" s="454" t="s">
        <v>890</v>
      </c>
      <c r="M2134" s="4" t="s">
        <v>780</v>
      </c>
      <c r="N2134" s="133" t="s">
        <v>1407</v>
      </c>
      <c r="O2134" s="4" t="s">
        <v>1763</v>
      </c>
      <c r="P2134" s="4" t="s">
        <v>892</v>
      </c>
      <c r="Q2134" s="4" t="s">
        <v>1764</v>
      </c>
      <c r="R2134" s="4" t="s">
        <v>1515</v>
      </c>
      <c r="S2134" s="4" t="s">
        <v>1765</v>
      </c>
      <c r="T2134" s="4" t="s">
        <v>786</v>
      </c>
      <c r="U2134" s="4"/>
      <c r="V2134" s="4"/>
      <c r="W2134" s="4"/>
    </row>
    <row r="2135" spans="1:23" customFormat="1">
      <c r="A2135" s="10"/>
      <c r="B2135" s="4"/>
      <c r="C2135" s="4"/>
      <c r="D2135" s="4"/>
      <c r="E2135" s="4"/>
      <c r="F2135" s="152" t="s">
        <v>658</v>
      </c>
      <c r="G2135" s="4" t="s">
        <v>659</v>
      </c>
      <c r="H2135" s="4"/>
      <c r="I2135" s="196">
        <v>-432246.1</v>
      </c>
      <c r="J2135" s="196">
        <v>-302.27</v>
      </c>
      <c r="K2135" s="196">
        <v>1430</v>
      </c>
      <c r="L2135" s="454" t="s">
        <v>890</v>
      </c>
      <c r="M2135" s="4" t="s">
        <v>780</v>
      </c>
      <c r="N2135" s="133" t="s">
        <v>1407</v>
      </c>
      <c r="O2135" s="4" t="s">
        <v>1763</v>
      </c>
      <c r="P2135" s="4" t="s">
        <v>892</v>
      </c>
      <c r="Q2135" s="4" t="s">
        <v>1764</v>
      </c>
      <c r="R2135" s="4" t="s">
        <v>1787</v>
      </c>
      <c r="S2135" s="4" t="s">
        <v>1765</v>
      </c>
      <c r="T2135" s="4" t="s">
        <v>786</v>
      </c>
      <c r="U2135" s="4"/>
      <c r="V2135" s="4"/>
      <c r="W2135" s="4"/>
    </row>
    <row r="2136" spans="1:23" customFormat="1">
      <c r="A2136" s="10"/>
      <c r="B2136" s="4"/>
      <c r="C2136" s="4"/>
      <c r="D2136" s="4"/>
      <c r="E2136" s="4"/>
      <c r="F2136" s="152" t="s">
        <v>658</v>
      </c>
      <c r="G2136" s="4" t="s">
        <v>659</v>
      </c>
      <c r="H2136" s="4"/>
      <c r="I2136" s="196">
        <v>-118861.6</v>
      </c>
      <c r="J2136" s="196">
        <v>-83.12</v>
      </c>
      <c r="K2136" s="196">
        <v>1430</v>
      </c>
      <c r="L2136" s="454" t="s">
        <v>890</v>
      </c>
      <c r="M2136" s="4" t="s">
        <v>780</v>
      </c>
      <c r="N2136" s="133" t="s">
        <v>1407</v>
      </c>
      <c r="O2136" s="4" t="s">
        <v>1763</v>
      </c>
      <c r="P2136" s="4" t="s">
        <v>892</v>
      </c>
      <c r="Q2136" s="4" t="s">
        <v>1764</v>
      </c>
      <c r="R2136" s="4" t="s">
        <v>1766</v>
      </c>
      <c r="S2136" s="4" t="s">
        <v>1765</v>
      </c>
      <c r="T2136" s="4" t="s">
        <v>786</v>
      </c>
      <c r="U2136" s="4"/>
      <c r="V2136" s="4"/>
      <c r="W2136" s="4"/>
    </row>
    <row r="2137" spans="1:23" customFormat="1">
      <c r="A2137" s="10"/>
      <c r="B2137" s="4"/>
      <c r="C2137" s="4"/>
      <c r="D2137" s="4"/>
      <c r="E2137" s="4"/>
      <c r="F2137" s="152" t="s">
        <v>658</v>
      </c>
      <c r="G2137" s="4" t="s">
        <v>659</v>
      </c>
      <c r="H2137" s="4"/>
      <c r="I2137" s="196">
        <v>-2731.3</v>
      </c>
      <c r="J2137" s="196">
        <v>-1.91</v>
      </c>
      <c r="K2137" s="196">
        <v>1430</v>
      </c>
      <c r="L2137" s="454" t="s">
        <v>890</v>
      </c>
      <c r="M2137" s="4" t="s">
        <v>780</v>
      </c>
      <c r="N2137" s="133" t="s">
        <v>1407</v>
      </c>
      <c r="O2137" s="4" t="s">
        <v>1763</v>
      </c>
      <c r="P2137" s="4" t="s">
        <v>892</v>
      </c>
      <c r="Q2137" s="4" t="s">
        <v>1764</v>
      </c>
      <c r="R2137" s="4" t="s">
        <v>1515</v>
      </c>
      <c r="S2137" s="4" t="s">
        <v>1765</v>
      </c>
      <c r="T2137" s="4" t="s">
        <v>786</v>
      </c>
      <c r="U2137" s="4"/>
      <c r="V2137" s="4"/>
      <c r="W2137" s="4"/>
    </row>
    <row r="2138" spans="1:23" customFormat="1">
      <c r="A2138" s="10"/>
      <c r="B2138" s="4"/>
      <c r="C2138" s="4"/>
      <c r="D2138" s="4"/>
      <c r="E2138" s="4"/>
      <c r="F2138" s="152" t="s">
        <v>658</v>
      </c>
      <c r="G2138" s="4" t="s">
        <v>659</v>
      </c>
      <c r="H2138" s="4"/>
      <c r="I2138" s="196">
        <v>-594336.6</v>
      </c>
      <c r="J2138" s="196">
        <v>-415.62</v>
      </c>
      <c r="K2138" s="196">
        <v>1430</v>
      </c>
      <c r="L2138" s="454" t="s">
        <v>890</v>
      </c>
      <c r="M2138" s="4" t="s">
        <v>780</v>
      </c>
      <c r="N2138" s="133" t="s">
        <v>1407</v>
      </c>
      <c r="O2138" s="4" t="s">
        <v>1763</v>
      </c>
      <c r="P2138" s="4" t="s">
        <v>892</v>
      </c>
      <c r="Q2138" s="4" t="s">
        <v>1764</v>
      </c>
      <c r="R2138" s="4" t="s">
        <v>1788</v>
      </c>
      <c r="S2138" s="4" t="s">
        <v>1765</v>
      </c>
      <c r="T2138" s="4" t="s">
        <v>786</v>
      </c>
      <c r="U2138" s="4"/>
      <c r="V2138" s="4"/>
      <c r="W2138" s="4"/>
    </row>
    <row r="2139" spans="1:23" customFormat="1">
      <c r="A2139" s="10"/>
      <c r="B2139" s="4"/>
      <c r="C2139" s="4"/>
      <c r="D2139" s="4"/>
      <c r="E2139" s="4"/>
      <c r="F2139" s="152" t="s">
        <v>658</v>
      </c>
      <c r="G2139" s="4" t="s">
        <v>659</v>
      </c>
      <c r="H2139" s="4"/>
      <c r="I2139" s="196">
        <v>-2731.3</v>
      </c>
      <c r="J2139" s="196">
        <v>-1.91</v>
      </c>
      <c r="K2139" s="196">
        <v>1430</v>
      </c>
      <c r="L2139" s="454" t="s">
        <v>890</v>
      </c>
      <c r="M2139" s="4" t="s">
        <v>780</v>
      </c>
      <c r="N2139" s="133" t="s">
        <v>1407</v>
      </c>
      <c r="O2139" s="4" t="s">
        <v>1763</v>
      </c>
      <c r="P2139" s="4" t="s">
        <v>892</v>
      </c>
      <c r="Q2139" s="4" t="s">
        <v>1764</v>
      </c>
      <c r="R2139" s="4" t="s">
        <v>1515</v>
      </c>
      <c r="S2139" s="4" t="s">
        <v>1765</v>
      </c>
      <c r="T2139" s="4" t="s">
        <v>786</v>
      </c>
      <c r="U2139" s="4"/>
      <c r="V2139" s="4"/>
      <c r="W2139" s="4"/>
    </row>
    <row r="2140" spans="1:23" customFormat="1">
      <c r="A2140" s="10"/>
      <c r="B2140" s="4"/>
      <c r="C2140" s="4"/>
      <c r="D2140" s="4"/>
      <c r="E2140" s="4"/>
      <c r="F2140" s="152" t="s">
        <v>658</v>
      </c>
      <c r="G2140" s="4" t="s">
        <v>659</v>
      </c>
      <c r="H2140" s="4"/>
      <c r="I2140" s="196">
        <v>-2618</v>
      </c>
      <c r="J2140" s="196">
        <v>-1.87</v>
      </c>
      <c r="K2140" s="196">
        <v>1400</v>
      </c>
      <c r="L2140" s="454" t="s">
        <v>994</v>
      </c>
      <c r="M2140" s="4" t="s">
        <v>780</v>
      </c>
      <c r="N2140" s="133" t="s">
        <v>1407</v>
      </c>
      <c r="O2140" s="4" t="s">
        <v>1912</v>
      </c>
      <c r="P2140" s="4" t="s">
        <v>892</v>
      </c>
      <c r="Q2140" s="4" t="s">
        <v>1913</v>
      </c>
      <c r="R2140" s="4" t="s">
        <v>1515</v>
      </c>
      <c r="S2140" s="4" t="s">
        <v>1914</v>
      </c>
      <c r="T2140" s="4" t="s">
        <v>786</v>
      </c>
      <c r="U2140" s="4"/>
      <c r="V2140" s="4"/>
      <c r="W2140" s="4"/>
    </row>
    <row r="2141" spans="1:23" customFormat="1">
      <c r="A2141" s="10"/>
      <c r="B2141" s="4"/>
      <c r="C2141" s="4"/>
      <c r="D2141" s="4"/>
      <c r="E2141" s="4"/>
      <c r="F2141" s="152" t="s">
        <v>658</v>
      </c>
      <c r="G2141" s="4" t="s">
        <v>659</v>
      </c>
      <c r="H2141" s="4"/>
      <c r="I2141" s="196">
        <v>-378378</v>
      </c>
      <c r="J2141" s="196">
        <v>-270.27</v>
      </c>
      <c r="K2141" s="196">
        <v>1400</v>
      </c>
      <c r="L2141" s="454" t="s">
        <v>994</v>
      </c>
      <c r="M2141" s="4" t="s">
        <v>780</v>
      </c>
      <c r="N2141" s="133" t="s">
        <v>1407</v>
      </c>
      <c r="O2141" s="4" t="s">
        <v>1912</v>
      </c>
      <c r="P2141" s="4" t="s">
        <v>892</v>
      </c>
      <c r="Q2141" s="4" t="s">
        <v>1913</v>
      </c>
      <c r="R2141" s="4" t="s">
        <v>1915</v>
      </c>
      <c r="S2141" s="4" t="s">
        <v>1914</v>
      </c>
      <c r="T2141" s="4" t="s">
        <v>786</v>
      </c>
      <c r="U2141" s="4"/>
      <c r="V2141" s="4"/>
      <c r="W2141" s="4"/>
    </row>
    <row r="2142" spans="1:23" customFormat="1">
      <c r="A2142" s="10"/>
      <c r="B2142" s="4"/>
      <c r="C2142" s="4"/>
      <c r="D2142" s="4"/>
      <c r="E2142" s="4"/>
      <c r="F2142" s="152" t="s">
        <v>658</v>
      </c>
      <c r="G2142" s="4" t="s">
        <v>659</v>
      </c>
      <c r="H2142" s="4"/>
      <c r="I2142" s="196">
        <v>-68796</v>
      </c>
      <c r="J2142" s="196">
        <v>-49.14</v>
      </c>
      <c r="K2142" s="196">
        <v>1400</v>
      </c>
      <c r="L2142" s="454" t="s">
        <v>994</v>
      </c>
      <c r="M2142" s="4" t="s">
        <v>780</v>
      </c>
      <c r="N2142" s="133" t="s">
        <v>1407</v>
      </c>
      <c r="O2142" s="4" t="s">
        <v>1912</v>
      </c>
      <c r="P2142" s="4" t="s">
        <v>892</v>
      </c>
      <c r="Q2142" s="4" t="s">
        <v>1913</v>
      </c>
      <c r="R2142" s="4" t="s">
        <v>1916</v>
      </c>
      <c r="S2142" s="4" t="s">
        <v>1914</v>
      </c>
      <c r="T2142" s="4" t="s">
        <v>786</v>
      </c>
      <c r="U2142" s="4"/>
      <c r="V2142" s="4"/>
      <c r="W2142" s="4"/>
    </row>
    <row r="2143" spans="1:23" customFormat="1">
      <c r="A2143" s="10"/>
      <c r="B2143" s="4"/>
      <c r="C2143" s="4"/>
      <c r="D2143" s="4"/>
      <c r="E2143" s="4"/>
      <c r="F2143" s="152" t="s">
        <v>658</v>
      </c>
      <c r="G2143" s="4" t="s">
        <v>659</v>
      </c>
      <c r="H2143" s="4"/>
      <c r="I2143" s="196">
        <v>-63126</v>
      </c>
      <c r="J2143" s="196">
        <v>-45.09</v>
      </c>
      <c r="K2143" s="196">
        <v>1400</v>
      </c>
      <c r="L2143" s="454" t="s">
        <v>994</v>
      </c>
      <c r="M2143" s="4" t="s">
        <v>780</v>
      </c>
      <c r="N2143" s="133" t="s">
        <v>1407</v>
      </c>
      <c r="O2143" s="4" t="s">
        <v>1912</v>
      </c>
      <c r="P2143" s="4" t="s">
        <v>892</v>
      </c>
      <c r="Q2143" s="4" t="s">
        <v>1913</v>
      </c>
      <c r="R2143" s="4" t="s">
        <v>1917</v>
      </c>
      <c r="S2143" s="4" t="s">
        <v>1914</v>
      </c>
      <c r="T2143" s="4" t="s">
        <v>786</v>
      </c>
      <c r="U2143" s="4"/>
      <c r="V2143" s="4"/>
      <c r="W2143" s="4"/>
    </row>
    <row r="2144" spans="1:23" customFormat="1">
      <c r="A2144" s="10"/>
      <c r="B2144" s="4"/>
      <c r="C2144" s="4"/>
      <c r="D2144" s="4"/>
      <c r="E2144" s="4"/>
      <c r="F2144" s="152" t="s">
        <v>658</v>
      </c>
      <c r="G2144" s="4" t="s">
        <v>659</v>
      </c>
      <c r="H2144" s="4"/>
      <c r="I2144" s="196">
        <v>-3444</v>
      </c>
      <c r="J2144" s="196">
        <v>-2.46</v>
      </c>
      <c r="K2144" s="196">
        <v>1400</v>
      </c>
      <c r="L2144" s="454" t="s">
        <v>994</v>
      </c>
      <c r="M2144" s="4" t="s">
        <v>780</v>
      </c>
      <c r="N2144" s="133" t="s">
        <v>1407</v>
      </c>
      <c r="O2144" s="4" t="s">
        <v>1912</v>
      </c>
      <c r="P2144" s="4" t="s">
        <v>892</v>
      </c>
      <c r="Q2144" s="4" t="s">
        <v>1913</v>
      </c>
      <c r="R2144" s="4" t="s">
        <v>1918</v>
      </c>
      <c r="S2144" s="4" t="s">
        <v>1914</v>
      </c>
      <c r="T2144" s="4" t="s">
        <v>786</v>
      </c>
      <c r="U2144" s="4"/>
      <c r="V2144" s="4"/>
      <c r="W2144" s="4"/>
    </row>
    <row r="2145" spans="1:23" customFormat="1">
      <c r="A2145" s="10"/>
      <c r="B2145" s="4"/>
      <c r="C2145" s="4"/>
      <c r="D2145" s="4"/>
      <c r="E2145" s="4"/>
      <c r="F2145" s="152" t="s">
        <v>658</v>
      </c>
      <c r="G2145" s="4" t="s">
        <v>659</v>
      </c>
      <c r="H2145" s="4"/>
      <c r="I2145" s="196">
        <v>-2030</v>
      </c>
      <c r="J2145" s="196">
        <v>-1.45</v>
      </c>
      <c r="K2145" s="196">
        <v>1400</v>
      </c>
      <c r="L2145" s="454" t="s">
        <v>994</v>
      </c>
      <c r="M2145" s="4" t="s">
        <v>780</v>
      </c>
      <c r="N2145" s="133" t="s">
        <v>1407</v>
      </c>
      <c r="O2145" s="4" t="s">
        <v>1912</v>
      </c>
      <c r="P2145" s="4" t="s">
        <v>892</v>
      </c>
      <c r="Q2145" s="4" t="s">
        <v>1913</v>
      </c>
      <c r="R2145" s="4" t="s">
        <v>1919</v>
      </c>
      <c r="S2145" s="4" t="s">
        <v>1914</v>
      </c>
      <c r="T2145" s="4" t="s">
        <v>786</v>
      </c>
      <c r="U2145" s="4"/>
      <c r="V2145" s="4"/>
      <c r="W2145" s="4"/>
    </row>
    <row r="2146" spans="1:23" customFormat="1">
      <c r="A2146" s="10"/>
      <c r="B2146" s="4"/>
      <c r="C2146" s="4"/>
      <c r="D2146" s="4"/>
      <c r="E2146" s="4"/>
      <c r="F2146" s="152" t="s">
        <v>658</v>
      </c>
      <c r="G2146" s="4" t="s">
        <v>659</v>
      </c>
      <c r="H2146" s="4"/>
      <c r="I2146" s="196">
        <v>-171710</v>
      </c>
      <c r="J2146" s="196">
        <v>-122.65</v>
      </c>
      <c r="K2146" s="196">
        <v>1400</v>
      </c>
      <c r="L2146" s="454" t="s">
        <v>994</v>
      </c>
      <c r="M2146" s="4" t="s">
        <v>780</v>
      </c>
      <c r="N2146" s="133" t="s">
        <v>1407</v>
      </c>
      <c r="O2146" s="4" t="s">
        <v>1912</v>
      </c>
      <c r="P2146" s="4" t="s">
        <v>892</v>
      </c>
      <c r="Q2146" s="4" t="s">
        <v>1913</v>
      </c>
      <c r="R2146" s="4" t="s">
        <v>1920</v>
      </c>
      <c r="S2146" s="4" t="s">
        <v>1914</v>
      </c>
      <c r="T2146" s="4" t="s">
        <v>786</v>
      </c>
      <c r="U2146" s="4"/>
      <c r="V2146" s="4"/>
      <c r="W2146" s="4"/>
    </row>
    <row r="2147" spans="1:23" customFormat="1">
      <c r="A2147" s="10"/>
      <c r="B2147" s="4"/>
      <c r="C2147" s="4"/>
      <c r="D2147" s="4"/>
      <c r="E2147" s="4"/>
      <c r="F2147" s="152" t="s">
        <v>658</v>
      </c>
      <c r="G2147" s="4" t="s">
        <v>659</v>
      </c>
      <c r="H2147" s="4"/>
      <c r="I2147" s="196">
        <v>-120400</v>
      </c>
      <c r="J2147" s="196">
        <v>-86</v>
      </c>
      <c r="K2147" s="196">
        <v>1400</v>
      </c>
      <c r="L2147" s="454" t="s">
        <v>994</v>
      </c>
      <c r="M2147" s="4" t="s">
        <v>780</v>
      </c>
      <c r="N2147" s="133" t="s">
        <v>1407</v>
      </c>
      <c r="O2147" s="4" t="s">
        <v>1912</v>
      </c>
      <c r="P2147" s="4" t="s">
        <v>892</v>
      </c>
      <c r="Q2147" s="4" t="s">
        <v>1913</v>
      </c>
      <c r="R2147" s="4" t="s">
        <v>1921</v>
      </c>
      <c r="S2147" s="4" t="s">
        <v>1914</v>
      </c>
      <c r="T2147" s="4" t="s">
        <v>786</v>
      </c>
      <c r="U2147" s="4"/>
      <c r="V2147" s="4"/>
      <c r="W2147" s="4"/>
    </row>
    <row r="2148" spans="1:23" customFormat="1">
      <c r="A2148" s="10"/>
      <c r="B2148" s="4"/>
      <c r="C2148" s="4"/>
      <c r="D2148" s="4"/>
      <c r="E2148" s="4"/>
      <c r="F2148" s="152" t="s">
        <v>658</v>
      </c>
      <c r="G2148" s="4" t="s">
        <v>659</v>
      </c>
      <c r="H2148" s="4"/>
      <c r="I2148" s="196">
        <v>-2618</v>
      </c>
      <c r="J2148" s="196">
        <v>-1.87</v>
      </c>
      <c r="K2148" s="196">
        <v>1400</v>
      </c>
      <c r="L2148" s="454" t="s">
        <v>994</v>
      </c>
      <c r="M2148" s="4" t="s">
        <v>780</v>
      </c>
      <c r="N2148" s="133" t="s">
        <v>1407</v>
      </c>
      <c r="O2148" s="4" t="s">
        <v>1912</v>
      </c>
      <c r="P2148" s="4" t="s">
        <v>892</v>
      </c>
      <c r="Q2148" s="4" t="s">
        <v>1913</v>
      </c>
      <c r="R2148" s="4" t="s">
        <v>1456</v>
      </c>
      <c r="S2148" s="4" t="s">
        <v>1914</v>
      </c>
      <c r="T2148" s="4" t="s">
        <v>786</v>
      </c>
      <c r="U2148" s="4"/>
      <c r="V2148" s="4"/>
      <c r="W2148" s="4"/>
    </row>
    <row r="2149" spans="1:23" customFormat="1">
      <c r="A2149" s="10"/>
      <c r="B2149" s="4"/>
      <c r="C2149" s="4"/>
      <c r="D2149" s="4"/>
      <c r="E2149" s="4"/>
      <c r="F2149" s="152" t="s">
        <v>658</v>
      </c>
      <c r="G2149" s="4" t="s">
        <v>659</v>
      </c>
      <c r="H2149" s="4"/>
      <c r="I2149" s="196">
        <v>-2618</v>
      </c>
      <c r="J2149" s="196">
        <v>-1.87</v>
      </c>
      <c r="K2149" s="196">
        <v>1400</v>
      </c>
      <c r="L2149" s="454" t="s">
        <v>994</v>
      </c>
      <c r="M2149" s="4" t="s">
        <v>780</v>
      </c>
      <c r="N2149" s="133" t="s">
        <v>1407</v>
      </c>
      <c r="O2149" s="4" t="s">
        <v>1912</v>
      </c>
      <c r="P2149" s="4" t="s">
        <v>892</v>
      </c>
      <c r="Q2149" s="4" t="s">
        <v>1913</v>
      </c>
      <c r="R2149" s="4" t="s">
        <v>1456</v>
      </c>
      <c r="S2149" s="4" t="s">
        <v>1914</v>
      </c>
      <c r="T2149" s="4" t="s">
        <v>786</v>
      </c>
      <c r="U2149" s="4"/>
      <c r="V2149" s="4"/>
      <c r="W2149" s="4"/>
    </row>
    <row r="2150" spans="1:23" customFormat="1">
      <c r="A2150" s="10"/>
      <c r="B2150" s="4"/>
      <c r="C2150" s="4"/>
      <c r="D2150" s="4"/>
      <c r="E2150" s="4"/>
      <c r="F2150" s="152" t="s">
        <v>658</v>
      </c>
      <c r="G2150" s="4" t="s">
        <v>659</v>
      </c>
      <c r="H2150" s="4"/>
      <c r="I2150" s="196">
        <v>-89432</v>
      </c>
      <c r="J2150" s="196">
        <v>-63.88</v>
      </c>
      <c r="K2150" s="196">
        <v>1400</v>
      </c>
      <c r="L2150" s="454" t="s">
        <v>994</v>
      </c>
      <c r="M2150" s="4" t="s">
        <v>780</v>
      </c>
      <c r="N2150" s="133" t="s">
        <v>1407</v>
      </c>
      <c r="O2150" s="4" t="s">
        <v>1912</v>
      </c>
      <c r="P2150" s="4" t="s">
        <v>892</v>
      </c>
      <c r="Q2150" s="4" t="s">
        <v>1913</v>
      </c>
      <c r="R2150" s="4" t="s">
        <v>1924</v>
      </c>
      <c r="S2150" s="4" t="s">
        <v>1914</v>
      </c>
      <c r="T2150" s="4" t="s">
        <v>786</v>
      </c>
      <c r="U2150" s="4"/>
      <c r="V2150" s="4"/>
      <c r="W2150" s="4"/>
    </row>
    <row r="2151" spans="1:23" customFormat="1">
      <c r="A2151" s="10"/>
      <c r="B2151" s="4"/>
      <c r="C2151" s="4"/>
      <c r="D2151" s="4"/>
      <c r="E2151" s="4"/>
      <c r="F2151" s="152" t="s">
        <v>658</v>
      </c>
      <c r="G2151" s="4" t="s">
        <v>659</v>
      </c>
      <c r="H2151" s="4"/>
      <c r="I2151" s="196">
        <v>-42826</v>
      </c>
      <c r="J2151" s="196">
        <v>-30.59</v>
      </c>
      <c r="K2151" s="196">
        <v>1400</v>
      </c>
      <c r="L2151" s="454" t="s">
        <v>994</v>
      </c>
      <c r="M2151" s="4" t="s">
        <v>780</v>
      </c>
      <c r="N2151" s="133" t="s">
        <v>1407</v>
      </c>
      <c r="O2151" s="4" t="s">
        <v>1912</v>
      </c>
      <c r="P2151" s="4" t="s">
        <v>892</v>
      </c>
      <c r="Q2151" s="4" t="s">
        <v>1913</v>
      </c>
      <c r="R2151" s="4" t="s">
        <v>1922</v>
      </c>
      <c r="S2151" s="4" t="s">
        <v>1914</v>
      </c>
      <c r="T2151" s="4" t="s">
        <v>786</v>
      </c>
      <c r="U2151" s="4"/>
      <c r="V2151" s="4"/>
      <c r="W2151" s="4"/>
    </row>
    <row r="2152" spans="1:23" customFormat="1">
      <c r="A2152" s="10"/>
      <c r="B2152" s="4"/>
      <c r="C2152" s="4"/>
      <c r="D2152" s="4"/>
      <c r="E2152" s="4"/>
      <c r="F2152" s="152" t="s">
        <v>658</v>
      </c>
      <c r="G2152" s="4" t="s">
        <v>659</v>
      </c>
      <c r="H2152" s="4"/>
      <c r="I2152" s="196">
        <v>-74298</v>
      </c>
      <c r="J2152" s="196">
        <v>-53.07</v>
      </c>
      <c r="K2152" s="196">
        <v>1400</v>
      </c>
      <c r="L2152" s="454" t="s">
        <v>994</v>
      </c>
      <c r="M2152" s="4" t="s">
        <v>780</v>
      </c>
      <c r="N2152" s="133" t="s">
        <v>1407</v>
      </c>
      <c r="O2152" s="4" t="s">
        <v>1912</v>
      </c>
      <c r="P2152" s="4" t="s">
        <v>892</v>
      </c>
      <c r="Q2152" s="4" t="s">
        <v>1913</v>
      </c>
      <c r="R2152" s="4" t="s">
        <v>1923</v>
      </c>
      <c r="S2152" s="4" t="s">
        <v>1914</v>
      </c>
      <c r="T2152" s="4" t="s">
        <v>786</v>
      </c>
      <c r="U2152" s="4"/>
      <c r="V2152" s="4"/>
      <c r="W2152" s="4"/>
    </row>
    <row r="2153" spans="1:23" customFormat="1">
      <c r="A2153" s="10"/>
      <c r="B2153" s="4"/>
      <c r="C2153" s="4"/>
      <c r="D2153" s="4"/>
      <c r="E2153" s="4"/>
      <c r="F2153" s="152" t="s">
        <v>658</v>
      </c>
      <c r="G2153" s="4" t="s">
        <v>659</v>
      </c>
      <c r="H2153" s="4"/>
      <c r="I2153" s="196">
        <v>-2618</v>
      </c>
      <c r="J2153" s="196">
        <v>-1.87</v>
      </c>
      <c r="K2153" s="196">
        <v>1400</v>
      </c>
      <c r="L2153" s="454" t="s">
        <v>994</v>
      </c>
      <c r="M2153" s="4" t="s">
        <v>780</v>
      </c>
      <c r="N2153" s="133" t="s">
        <v>1407</v>
      </c>
      <c r="O2153" s="4" t="s">
        <v>1912</v>
      </c>
      <c r="P2153" s="4" t="s">
        <v>892</v>
      </c>
      <c r="Q2153" s="4" t="s">
        <v>1913</v>
      </c>
      <c r="R2153" s="4" t="s">
        <v>1515</v>
      </c>
      <c r="S2153" s="4" t="s">
        <v>1914</v>
      </c>
      <c r="T2153" s="4" t="s">
        <v>786</v>
      </c>
      <c r="U2153" s="4"/>
      <c r="V2153" s="4"/>
      <c r="W2153" s="4"/>
    </row>
    <row r="2154" spans="1:23" customFormat="1">
      <c r="A2154" s="10"/>
      <c r="B2154" s="4"/>
      <c r="C2154" s="4"/>
      <c r="D2154" s="4"/>
      <c r="E2154" s="4"/>
      <c r="F2154" s="152" t="s">
        <v>658</v>
      </c>
      <c r="G2154" s="4" t="s">
        <v>659</v>
      </c>
      <c r="H2154" s="4"/>
      <c r="I2154" s="196">
        <v>3500000</v>
      </c>
      <c r="J2154" s="196">
        <v>2500</v>
      </c>
      <c r="K2154" s="196">
        <v>1400</v>
      </c>
      <c r="L2154" s="454" t="s">
        <v>1937</v>
      </c>
      <c r="M2154" s="4" t="s">
        <v>780</v>
      </c>
      <c r="N2154" s="133" t="s">
        <v>1407</v>
      </c>
      <c r="O2154" s="4" t="s">
        <v>1938</v>
      </c>
      <c r="P2154" s="4" t="s">
        <v>892</v>
      </c>
      <c r="Q2154" s="4" t="s">
        <v>1939</v>
      </c>
      <c r="R2154" s="4"/>
      <c r="S2154" s="4" t="s">
        <v>1940</v>
      </c>
      <c r="T2154" s="4" t="s">
        <v>786</v>
      </c>
      <c r="U2154" s="4"/>
      <c r="V2154" s="4"/>
      <c r="W2154" s="4"/>
    </row>
    <row r="2155" spans="1:23" customFormat="1">
      <c r="A2155" s="10"/>
      <c r="B2155" s="4"/>
      <c r="C2155" s="4"/>
      <c r="D2155" s="4"/>
      <c r="E2155" s="4"/>
      <c r="F2155" s="152" t="s">
        <v>658</v>
      </c>
      <c r="G2155" s="4" t="s">
        <v>659</v>
      </c>
      <c r="H2155" s="4"/>
      <c r="I2155" s="196">
        <v>-1484854</v>
      </c>
      <c r="J2155" s="196">
        <v>-1060.6099999999999</v>
      </c>
      <c r="K2155" s="196">
        <v>1400</v>
      </c>
      <c r="L2155" s="454" t="s">
        <v>1017</v>
      </c>
      <c r="M2155" s="4" t="s">
        <v>780</v>
      </c>
      <c r="N2155" s="133" t="s">
        <v>1407</v>
      </c>
      <c r="O2155" s="4" t="s">
        <v>2006</v>
      </c>
      <c r="P2155" s="4" t="s">
        <v>892</v>
      </c>
      <c r="Q2155" s="4" t="s">
        <v>2007</v>
      </c>
      <c r="R2155" s="4" t="s">
        <v>2008</v>
      </c>
      <c r="S2155" s="4" t="s">
        <v>2009</v>
      </c>
      <c r="T2155" s="4" t="s">
        <v>786</v>
      </c>
      <c r="U2155" s="4"/>
      <c r="V2155" s="4"/>
      <c r="W2155" s="4"/>
    </row>
    <row r="2156" spans="1:23" customFormat="1">
      <c r="A2156" s="10"/>
      <c r="B2156" s="4"/>
      <c r="C2156" s="4"/>
      <c r="D2156" s="4"/>
      <c r="E2156" s="4"/>
      <c r="F2156" s="152" t="s">
        <v>658</v>
      </c>
      <c r="G2156" s="4" t="s">
        <v>659</v>
      </c>
      <c r="H2156" s="4"/>
      <c r="I2156" s="196">
        <v>-2688</v>
      </c>
      <c r="J2156" s="196">
        <v>-1.92</v>
      </c>
      <c r="K2156" s="196">
        <v>1400</v>
      </c>
      <c r="L2156" s="454" t="s">
        <v>1017</v>
      </c>
      <c r="M2156" s="4" t="s">
        <v>780</v>
      </c>
      <c r="N2156" s="133" t="s">
        <v>1407</v>
      </c>
      <c r="O2156" s="4" t="s">
        <v>2006</v>
      </c>
      <c r="P2156" s="4" t="s">
        <v>892</v>
      </c>
      <c r="Q2156" s="4" t="s">
        <v>2007</v>
      </c>
      <c r="R2156" s="4" t="s">
        <v>1515</v>
      </c>
      <c r="S2156" s="4" t="s">
        <v>2009</v>
      </c>
      <c r="T2156" s="4" t="s">
        <v>786</v>
      </c>
      <c r="U2156" s="4"/>
      <c r="V2156" s="4"/>
      <c r="W2156" s="4"/>
    </row>
    <row r="2157" spans="1:23" customFormat="1">
      <c r="A2157" s="10"/>
      <c r="B2157" s="4"/>
      <c r="C2157" s="4"/>
      <c r="D2157" s="4"/>
      <c r="E2157" s="4"/>
      <c r="F2157" s="152" t="s">
        <v>658</v>
      </c>
      <c r="G2157" s="4" t="s">
        <v>659</v>
      </c>
      <c r="H2157" s="4"/>
      <c r="I2157" s="196">
        <v>-1673042</v>
      </c>
      <c r="J2157" s="196">
        <v>-1195.03</v>
      </c>
      <c r="K2157" s="196">
        <v>1400</v>
      </c>
      <c r="L2157" s="454" t="s">
        <v>1017</v>
      </c>
      <c r="M2157" s="4" t="s">
        <v>780</v>
      </c>
      <c r="N2157" s="133" t="s">
        <v>1407</v>
      </c>
      <c r="O2157" s="4" t="s">
        <v>2006</v>
      </c>
      <c r="P2157" s="4" t="s">
        <v>892</v>
      </c>
      <c r="Q2157" s="4" t="s">
        <v>2007</v>
      </c>
      <c r="R2157" s="4" t="s">
        <v>1509</v>
      </c>
      <c r="S2157" s="4" t="s">
        <v>2009</v>
      </c>
      <c r="T2157" s="4" t="s">
        <v>786</v>
      </c>
      <c r="U2157" s="4"/>
      <c r="V2157" s="4"/>
      <c r="W2157" s="4"/>
    </row>
    <row r="2158" spans="1:23" customFormat="1">
      <c r="A2158" s="10"/>
      <c r="B2158" s="4"/>
      <c r="C2158" s="4"/>
      <c r="D2158" s="4"/>
      <c r="E2158" s="4"/>
      <c r="F2158" s="152" t="s">
        <v>658</v>
      </c>
      <c r="G2158" s="4" t="s">
        <v>659</v>
      </c>
      <c r="H2158" s="4"/>
      <c r="I2158" s="196">
        <v>-9716</v>
      </c>
      <c r="J2158" s="196">
        <v>-6.94</v>
      </c>
      <c r="K2158" s="196">
        <v>1400</v>
      </c>
      <c r="L2158" s="454" t="s">
        <v>1017</v>
      </c>
      <c r="M2158" s="4" t="s">
        <v>780</v>
      </c>
      <c r="N2158" s="133" t="s">
        <v>1407</v>
      </c>
      <c r="O2158" s="4" t="s">
        <v>2006</v>
      </c>
      <c r="P2158" s="4" t="s">
        <v>892</v>
      </c>
      <c r="Q2158" s="4" t="s">
        <v>2007</v>
      </c>
      <c r="R2158" s="4" t="s">
        <v>2011</v>
      </c>
      <c r="S2158" s="4" t="s">
        <v>2009</v>
      </c>
      <c r="T2158" s="4" t="s">
        <v>786</v>
      </c>
      <c r="U2158" s="4"/>
      <c r="V2158" s="4"/>
      <c r="W2158" s="4"/>
    </row>
    <row r="2159" spans="1:23" customFormat="1">
      <c r="A2159" s="10"/>
      <c r="B2159" s="4"/>
      <c r="C2159" s="4"/>
      <c r="D2159" s="4"/>
      <c r="E2159" s="4"/>
      <c r="F2159" s="152" t="s">
        <v>658</v>
      </c>
      <c r="G2159" s="4" t="s">
        <v>659</v>
      </c>
      <c r="H2159" s="4"/>
      <c r="I2159" s="196">
        <v>-2688</v>
      </c>
      <c r="J2159" s="196">
        <v>-1.92</v>
      </c>
      <c r="K2159" s="196">
        <v>1400</v>
      </c>
      <c r="L2159" s="454" t="s">
        <v>1017</v>
      </c>
      <c r="M2159" s="4" t="s">
        <v>780</v>
      </c>
      <c r="N2159" s="133" t="s">
        <v>1407</v>
      </c>
      <c r="O2159" s="4" t="s">
        <v>2006</v>
      </c>
      <c r="P2159" s="4" t="s">
        <v>892</v>
      </c>
      <c r="Q2159" s="4" t="s">
        <v>2007</v>
      </c>
      <c r="R2159" s="4" t="s">
        <v>1515</v>
      </c>
      <c r="S2159" s="4" t="s">
        <v>2009</v>
      </c>
      <c r="T2159" s="4" t="s">
        <v>786</v>
      </c>
      <c r="U2159" s="4"/>
      <c r="V2159" s="4"/>
      <c r="W2159" s="4"/>
    </row>
    <row r="2160" spans="1:23" customFormat="1">
      <c r="A2160" s="10"/>
      <c r="B2160" s="4"/>
      <c r="C2160" s="4"/>
      <c r="D2160" s="4"/>
      <c r="E2160" s="4"/>
      <c r="F2160" s="152" t="s">
        <v>658</v>
      </c>
      <c r="G2160" s="4" t="s">
        <v>659</v>
      </c>
      <c r="H2160" s="4"/>
      <c r="I2160" s="196">
        <v>-2688</v>
      </c>
      <c r="J2160" s="196">
        <v>-1.92</v>
      </c>
      <c r="K2160" s="196">
        <v>1400</v>
      </c>
      <c r="L2160" s="454" t="s">
        <v>1017</v>
      </c>
      <c r="M2160" s="4" t="s">
        <v>780</v>
      </c>
      <c r="N2160" s="133" t="s">
        <v>1407</v>
      </c>
      <c r="O2160" s="4" t="s">
        <v>2006</v>
      </c>
      <c r="P2160" s="4" t="s">
        <v>892</v>
      </c>
      <c r="Q2160" s="4" t="s">
        <v>2007</v>
      </c>
      <c r="R2160" s="4" t="s">
        <v>1515</v>
      </c>
      <c r="S2160" s="4" t="s">
        <v>2009</v>
      </c>
      <c r="T2160" s="4" t="s">
        <v>786</v>
      </c>
      <c r="U2160" s="4"/>
      <c r="V2160" s="4"/>
      <c r="W2160" s="4"/>
    </row>
    <row r="2161" spans="1:23" customFormat="1">
      <c r="A2161" s="10"/>
      <c r="B2161" s="4"/>
      <c r="C2161" s="4"/>
      <c r="D2161" s="4"/>
      <c r="E2161" s="4"/>
      <c r="F2161" s="152" t="s">
        <v>658</v>
      </c>
      <c r="G2161" s="4" t="s">
        <v>659</v>
      </c>
      <c r="H2161" s="4"/>
      <c r="I2161" s="196">
        <v>-84854</v>
      </c>
      <c r="J2161" s="196">
        <v>-60.61</v>
      </c>
      <c r="K2161" s="196">
        <v>1400</v>
      </c>
      <c r="L2161" s="454" t="s">
        <v>1017</v>
      </c>
      <c r="M2161" s="4" t="s">
        <v>780</v>
      </c>
      <c r="N2161" s="133" t="s">
        <v>1407</v>
      </c>
      <c r="O2161" s="4" t="s">
        <v>2006</v>
      </c>
      <c r="P2161" s="4" t="s">
        <v>892</v>
      </c>
      <c r="Q2161" s="4" t="s">
        <v>2007</v>
      </c>
      <c r="R2161" s="4" t="s">
        <v>2010</v>
      </c>
      <c r="S2161" s="4" t="s">
        <v>2009</v>
      </c>
      <c r="T2161" s="4" t="s">
        <v>786</v>
      </c>
      <c r="U2161" s="4"/>
      <c r="V2161" s="4"/>
      <c r="W2161" s="4"/>
    </row>
    <row r="2162" spans="1:23" customFormat="1">
      <c r="A2162" s="10"/>
      <c r="B2162" s="4"/>
      <c r="C2162" s="4"/>
      <c r="D2162" s="4"/>
      <c r="E2162" s="4"/>
      <c r="F2162" s="152" t="s">
        <v>658</v>
      </c>
      <c r="G2162" s="4" t="s">
        <v>659</v>
      </c>
      <c r="H2162" s="4"/>
      <c r="I2162" s="196">
        <v>-63630</v>
      </c>
      <c r="J2162" s="196">
        <v>-45.45</v>
      </c>
      <c r="K2162" s="196">
        <v>1400</v>
      </c>
      <c r="L2162" s="454" t="s">
        <v>1017</v>
      </c>
      <c r="M2162" s="4" t="s">
        <v>780</v>
      </c>
      <c r="N2162" s="133" t="s">
        <v>1407</v>
      </c>
      <c r="O2162" s="4" t="s">
        <v>2006</v>
      </c>
      <c r="P2162" s="4" t="s">
        <v>892</v>
      </c>
      <c r="Q2162" s="4" t="s">
        <v>2007</v>
      </c>
      <c r="R2162" s="4" t="s">
        <v>2012</v>
      </c>
      <c r="S2162" s="4" t="s">
        <v>2009</v>
      </c>
      <c r="T2162" s="4" t="s">
        <v>786</v>
      </c>
      <c r="U2162" s="4"/>
      <c r="V2162" s="4"/>
      <c r="W2162" s="4"/>
    </row>
    <row r="2163" spans="1:23" customFormat="1">
      <c r="A2163" s="10"/>
      <c r="B2163" s="4"/>
      <c r="C2163" s="4"/>
      <c r="D2163" s="4"/>
      <c r="E2163" s="4"/>
      <c r="F2163" s="152" t="s">
        <v>658</v>
      </c>
      <c r="G2163" s="4" t="s">
        <v>659</v>
      </c>
      <c r="H2163" s="4"/>
      <c r="I2163" s="196">
        <v>21900000</v>
      </c>
      <c r="J2163" s="196">
        <v>15000</v>
      </c>
      <c r="K2163" s="196">
        <v>1460</v>
      </c>
      <c r="L2163" s="454" t="s">
        <v>2104</v>
      </c>
      <c r="M2163" s="4" t="s">
        <v>780</v>
      </c>
      <c r="N2163" s="133" t="s">
        <v>1407</v>
      </c>
      <c r="O2163" s="4" t="s">
        <v>2105</v>
      </c>
      <c r="P2163" s="4" t="s">
        <v>892</v>
      </c>
      <c r="Q2163" s="4" t="s">
        <v>2106</v>
      </c>
      <c r="R2163" s="4"/>
      <c r="S2163" s="4" t="s">
        <v>2107</v>
      </c>
      <c r="T2163" s="4" t="s">
        <v>786</v>
      </c>
      <c r="U2163" s="4"/>
      <c r="V2163" s="4"/>
      <c r="W2163" s="4"/>
    </row>
    <row r="2164" spans="1:23" customFormat="1">
      <c r="A2164" s="10"/>
      <c r="B2164" s="4"/>
      <c r="C2164" s="4"/>
      <c r="D2164" s="4"/>
      <c r="E2164" s="4"/>
      <c r="F2164" s="152" t="s">
        <v>658</v>
      </c>
      <c r="G2164" s="4" t="s">
        <v>659</v>
      </c>
      <c r="H2164" s="4"/>
      <c r="I2164" s="196">
        <v>187902</v>
      </c>
      <c r="J2164" s="196">
        <v>128.69999999999999</v>
      </c>
      <c r="K2164" s="196">
        <v>1460</v>
      </c>
      <c r="L2164" s="454" t="s">
        <v>1041</v>
      </c>
      <c r="M2164" s="4" t="s">
        <v>780</v>
      </c>
      <c r="N2164" s="133" t="s">
        <v>1407</v>
      </c>
      <c r="O2164" s="4" t="s">
        <v>2108</v>
      </c>
      <c r="P2164" s="4" t="s">
        <v>892</v>
      </c>
      <c r="Q2164" s="4" t="s">
        <v>2109</v>
      </c>
      <c r="R2164" s="4"/>
      <c r="S2164" s="4" t="s">
        <v>2110</v>
      </c>
      <c r="T2164" s="4" t="s">
        <v>786</v>
      </c>
      <c r="U2164" s="4"/>
      <c r="V2164" s="4"/>
      <c r="W2164" s="4"/>
    </row>
    <row r="2165" spans="1:23" customFormat="1">
      <c r="A2165" s="10"/>
      <c r="B2165" s="4"/>
      <c r="C2165" s="4"/>
      <c r="D2165" s="4"/>
      <c r="E2165" s="4"/>
      <c r="F2165" s="152" t="s">
        <v>658</v>
      </c>
      <c r="G2165" s="4" t="s">
        <v>659</v>
      </c>
      <c r="H2165" s="4"/>
      <c r="I2165" s="196">
        <v>150321.60000000001</v>
      </c>
      <c r="J2165" s="196">
        <v>102.96</v>
      </c>
      <c r="K2165" s="196">
        <v>1460</v>
      </c>
      <c r="L2165" s="454" t="s">
        <v>1041</v>
      </c>
      <c r="M2165" s="4" t="s">
        <v>780</v>
      </c>
      <c r="N2165" s="133" t="s">
        <v>1407</v>
      </c>
      <c r="O2165" s="4" t="s">
        <v>2111</v>
      </c>
      <c r="P2165" s="4" t="s">
        <v>892</v>
      </c>
      <c r="Q2165" s="4" t="s">
        <v>2112</v>
      </c>
      <c r="R2165" s="4"/>
      <c r="S2165" s="4" t="s">
        <v>2113</v>
      </c>
      <c r="T2165" s="4" t="s">
        <v>786</v>
      </c>
      <c r="U2165" s="4"/>
      <c r="V2165" s="4"/>
      <c r="W2165" s="4"/>
    </row>
    <row r="2166" spans="1:23" customFormat="1">
      <c r="A2166" s="10"/>
      <c r="B2166" s="4"/>
      <c r="C2166" s="4"/>
      <c r="D2166" s="4"/>
      <c r="E2166" s="4"/>
      <c r="F2166" s="152" t="s">
        <v>658</v>
      </c>
      <c r="G2166" s="4" t="s">
        <v>659</v>
      </c>
      <c r="H2166" s="4"/>
      <c r="I2166" s="196">
        <v>1853981</v>
      </c>
      <c r="J2166" s="196">
        <v>1269.8499999999999</v>
      </c>
      <c r="K2166" s="196">
        <v>1460</v>
      </c>
      <c r="L2166" s="454" t="s">
        <v>1041</v>
      </c>
      <c r="M2166" s="4" t="s">
        <v>780</v>
      </c>
      <c r="N2166" s="133" t="s">
        <v>1407</v>
      </c>
      <c r="O2166" s="4" t="s">
        <v>2114</v>
      </c>
      <c r="P2166" s="4" t="s">
        <v>892</v>
      </c>
      <c r="Q2166" s="4" t="s">
        <v>2115</v>
      </c>
      <c r="R2166" s="4"/>
      <c r="S2166" s="4" t="s">
        <v>2116</v>
      </c>
      <c r="T2166" s="4" t="s">
        <v>786</v>
      </c>
      <c r="U2166" s="4"/>
      <c r="V2166" s="4"/>
      <c r="W2166" s="4"/>
    </row>
    <row r="2167" spans="1:23" customFormat="1">
      <c r="A2167" s="10"/>
      <c r="B2167" s="4"/>
      <c r="C2167" s="4"/>
      <c r="D2167" s="4"/>
      <c r="E2167" s="4"/>
      <c r="F2167" s="152" t="s">
        <v>658</v>
      </c>
      <c r="G2167" s="4" t="s">
        <v>659</v>
      </c>
      <c r="H2167" s="4"/>
      <c r="I2167" s="196">
        <v>2605121.7999999998</v>
      </c>
      <c r="J2167" s="196">
        <v>1784.33</v>
      </c>
      <c r="K2167" s="196">
        <v>1460</v>
      </c>
      <c r="L2167" s="454" t="s">
        <v>1041</v>
      </c>
      <c r="M2167" s="4" t="s">
        <v>780</v>
      </c>
      <c r="N2167" s="133" t="s">
        <v>1407</v>
      </c>
      <c r="O2167" s="4" t="s">
        <v>2117</v>
      </c>
      <c r="P2167" s="4" t="s">
        <v>892</v>
      </c>
      <c r="Q2167" s="4" t="s">
        <v>2118</v>
      </c>
      <c r="R2167" s="4"/>
      <c r="S2167" s="4" t="s">
        <v>2119</v>
      </c>
      <c r="T2167" s="4" t="s">
        <v>786</v>
      </c>
      <c r="U2167" s="4"/>
      <c r="V2167" s="4"/>
      <c r="W2167" s="4"/>
    </row>
    <row r="2168" spans="1:23" customFormat="1">
      <c r="A2168" s="10"/>
      <c r="B2168" s="4"/>
      <c r="C2168" s="4"/>
      <c r="D2168" s="4"/>
      <c r="E2168" s="4"/>
      <c r="F2168" s="152" t="s">
        <v>658</v>
      </c>
      <c r="G2168" s="4" t="s">
        <v>659</v>
      </c>
      <c r="H2168" s="4"/>
      <c r="I2168" s="196">
        <v>2788.6</v>
      </c>
      <c r="J2168" s="196">
        <v>1.91</v>
      </c>
      <c r="K2168" s="196">
        <v>1460</v>
      </c>
      <c r="L2168" s="454" t="s">
        <v>1049</v>
      </c>
      <c r="M2168" s="4" t="s">
        <v>780</v>
      </c>
      <c r="N2168" s="133" t="s">
        <v>1407</v>
      </c>
      <c r="O2168" s="4" t="s">
        <v>2127</v>
      </c>
      <c r="P2168" s="4" t="s">
        <v>892</v>
      </c>
      <c r="Q2168" s="4" t="s">
        <v>2128</v>
      </c>
      <c r="R2168" s="4" t="s">
        <v>1515</v>
      </c>
      <c r="S2168" s="4" t="s">
        <v>2129</v>
      </c>
      <c r="T2168" s="4" t="s">
        <v>786</v>
      </c>
      <c r="U2168" s="4"/>
      <c r="V2168" s="4"/>
      <c r="W2168" s="4"/>
    </row>
    <row r="2169" spans="1:23" customFormat="1">
      <c r="A2169" s="10"/>
      <c r="B2169" s="4"/>
      <c r="C2169" s="4"/>
      <c r="D2169" s="4"/>
      <c r="E2169" s="4"/>
      <c r="F2169" s="152" t="s">
        <v>658</v>
      </c>
      <c r="G2169" s="4" t="s">
        <v>659</v>
      </c>
      <c r="H2169" s="4"/>
      <c r="I2169" s="196">
        <v>2832.4</v>
      </c>
      <c r="J2169" s="196">
        <v>1.94</v>
      </c>
      <c r="K2169" s="196">
        <v>1460</v>
      </c>
      <c r="L2169" s="454" t="s">
        <v>1049</v>
      </c>
      <c r="M2169" s="4" t="s">
        <v>780</v>
      </c>
      <c r="N2169" s="133" t="s">
        <v>1407</v>
      </c>
      <c r="O2169" s="4" t="s">
        <v>2127</v>
      </c>
      <c r="P2169" s="4" t="s">
        <v>892</v>
      </c>
      <c r="Q2169" s="4" t="s">
        <v>2128</v>
      </c>
      <c r="R2169" s="4" t="s">
        <v>1515</v>
      </c>
      <c r="S2169" s="4" t="s">
        <v>2129</v>
      </c>
      <c r="T2169" s="4" t="s">
        <v>786</v>
      </c>
      <c r="U2169" s="4"/>
      <c r="V2169" s="4"/>
      <c r="W2169" s="4"/>
    </row>
    <row r="2170" spans="1:23" customFormat="1">
      <c r="A2170" s="10"/>
      <c r="B2170" s="4"/>
      <c r="C2170" s="4"/>
      <c r="D2170" s="4"/>
      <c r="E2170" s="4"/>
      <c r="F2170" s="152" t="s">
        <v>658</v>
      </c>
      <c r="G2170" s="4" t="s">
        <v>659</v>
      </c>
      <c r="H2170" s="4"/>
      <c r="I2170" s="196">
        <v>1253760.3999999999</v>
      </c>
      <c r="J2170" s="196">
        <v>858.74</v>
      </c>
      <c r="K2170" s="196">
        <v>1460</v>
      </c>
      <c r="L2170" s="454" t="s">
        <v>1049</v>
      </c>
      <c r="M2170" s="4" t="s">
        <v>780</v>
      </c>
      <c r="N2170" s="133" t="s">
        <v>1407</v>
      </c>
      <c r="O2170" s="4" t="s">
        <v>2127</v>
      </c>
      <c r="P2170" s="4" t="s">
        <v>892</v>
      </c>
      <c r="Q2170" s="4" t="s">
        <v>2128</v>
      </c>
      <c r="R2170" s="4" t="s">
        <v>2130</v>
      </c>
      <c r="S2170" s="4" t="s">
        <v>2129</v>
      </c>
      <c r="T2170" s="4" t="s">
        <v>786</v>
      </c>
      <c r="U2170" s="4"/>
      <c r="V2170" s="4"/>
      <c r="W2170" s="4"/>
    </row>
    <row r="2171" spans="1:23" customFormat="1">
      <c r="A2171" s="10"/>
      <c r="B2171" s="4"/>
      <c r="C2171" s="4"/>
      <c r="D2171" s="4"/>
      <c r="E2171" s="4"/>
      <c r="F2171" s="152" t="s">
        <v>658</v>
      </c>
      <c r="G2171" s="4" t="s">
        <v>659</v>
      </c>
      <c r="H2171" s="4"/>
      <c r="I2171" s="196">
        <v>1124521.2</v>
      </c>
      <c r="J2171" s="196">
        <v>770.22</v>
      </c>
      <c r="K2171" s="196">
        <v>1460</v>
      </c>
      <c r="L2171" s="454" t="s">
        <v>1049</v>
      </c>
      <c r="M2171" s="4" t="s">
        <v>780</v>
      </c>
      <c r="N2171" s="133" t="s">
        <v>1407</v>
      </c>
      <c r="O2171" s="4" t="s">
        <v>2127</v>
      </c>
      <c r="P2171" s="4" t="s">
        <v>892</v>
      </c>
      <c r="Q2171" s="4" t="s">
        <v>2128</v>
      </c>
      <c r="R2171" s="4" t="s">
        <v>2131</v>
      </c>
      <c r="S2171" s="4" t="s">
        <v>2129</v>
      </c>
      <c r="T2171" s="4" t="s">
        <v>786</v>
      </c>
      <c r="U2171" s="4"/>
      <c r="V2171" s="4"/>
      <c r="W2171" s="4"/>
    </row>
    <row r="2172" spans="1:23" customFormat="1">
      <c r="A2172" s="10"/>
      <c r="B2172" s="4"/>
      <c r="C2172" s="4"/>
      <c r="D2172" s="4"/>
      <c r="E2172" s="4"/>
      <c r="F2172" s="152" t="s">
        <v>658</v>
      </c>
      <c r="G2172" s="4" t="s">
        <v>659</v>
      </c>
      <c r="H2172" s="4"/>
      <c r="I2172" s="196">
        <v>1277602.2</v>
      </c>
      <c r="J2172" s="196">
        <v>875.07</v>
      </c>
      <c r="K2172" s="196">
        <v>1460</v>
      </c>
      <c r="L2172" s="454" t="s">
        <v>1049</v>
      </c>
      <c r="M2172" s="4" t="s">
        <v>780</v>
      </c>
      <c r="N2172" s="133" t="s">
        <v>1407</v>
      </c>
      <c r="O2172" s="4" t="s">
        <v>2127</v>
      </c>
      <c r="P2172" s="4" t="s">
        <v>892</v>
      </c>
      <c r="Q2172" s="4" t="s">
        <v>2128</v>
      </c>
      <c r="R2172" s="4" t="s">
        <v>2132</v>
      </c>
      <c r="S2172" s="4" t="s">
        <v>2129</v>
      </c>
      <c r="T2172" s="4" t="s">
        <v>786</v>
      </c>
      <c r="U2172" s="4"/>
      <c r="V2172" s="4"/>
      <c r="W2172" s="4"/>
    </row>
    <row r="2173" spans="1:23" customFormat="1">
      <c r="A2173" s="10"/>
      <c r="B2173" s="4"/>
      <c r="C2173" s="4"/>
      <c r="D2173" s="4"/>
      <c r="E2173" s="4"/>
      <c r="F2173" s="152" t="s">
        <v>658</v>
      </c>
      <c r="G2173" s="4" t="s">
        <v>659</v>
      </c>
      <c r="H2173" s="4"/>
      <c r="I2173" s="196">
        <v>2169311.7999999998</v>
      </c>
      <c r="J2173" s="196">
        <v>1485.83</v>
      </c>
      <c r="K2173" s="196">
        <v>1460</v>
      </c>
      <c r="L2173" s="454" t="s">
        <v>1049</v>
      </c>
      <c r="M2173" s="4" t="s">
        <v>780</v>
      </c>
      <c r="N2173" s="133" t="s">
        <v>1407</v>
      </c>
      <c r="O2173" s="4" t="s">
        <v>2127</v>
      </c>
      <c r="P2173" s="4" t="s">
        <v>892</v>
      </c>
      <c r="Q2173" s="4" t="s">
        <v>2128</v>
      </c>
      <c r="R2173" s="4" t="s">
        <v>2133</v>
      </c>
      <c r="S2173" s="4" t="s">
        <v>2129</v>
      </c>
      <c r="T2173" s="4" t="s">
        <v>786</v>
      </c>
      <c r="U2173" s="4"/>
      <c r="V2173" s="4"/>
      <c r="W2173" s="4"/>
    </row>
    <row r="2174" spans="1:23" customFormat="1">
      <c r="A2174" s="10"/>
      <c r="B2174" s="4"/>
      <c r="C2174" s="4"/>
      <c r="D2174" s="4"/>
      <c r="E2174" s="4"/>
      <c r="F2174" s="152" t="s">
        <v>658</v>
      </c>
      <c r="G2174" s="4" t="s">
        <v>659</v>
      </c>
      <c r="H2174" s="4"/>
      <c r="I2174" s="196">
        <v>1253760.3999999999</v>
      </c>
      <c r="J2174" s="196">
        <v>858.74</v>
      </c>
      <c r="K2174" s="196">
        <v>1460</v>
      </c>
      <c r="L2174" s="454" t="s">
        <v>1049</v>
      </c>
      <c r="M2174" s="4" t="s">
        <v>780</v>
      </c>
      <c r="N2174" s="133" t="s">
        <v>1407</v>
      </c>
      <c r="O2174" s="4" t="s">
        <v>2127</v>
      </c>
      <c r="P2174" s="4" t="s">
        <v>892</v>
      </c>
      <c r="Q2174" s="4" t="s">
        <v>2128</v>
      </c>
      <c r="R2174" s="4" t="s">
        <v>2134</v>
      </c>
      <c r="S2174" s="4" t="s">
        <v>2129</v>
      </c>
      <c r="T2174" s="4" t="s">
        <v>786</v>
      </c>
      <c r="U2174" s="4"/>
      <c r="V2174" s="4"/>
      <c r="W2174" s="4"/>
    </row>
    <row r="2175" spans="1:23" customFormat="1">
      <c r="A2175" s="10"/>
      <c r="B2175" s="4"/>
      <c r="C2175" s="4"/>
      <c r="D2175" s="4"/>
      <c r="E2175" s="4"/>
      <c r="F2175" s="152" t="s">
        <v>658</v>
      </c>
      <c r="G2175" s="4" t="s">
        <v>659</v>
      </c>
      <c r="H2175" s="4"/>
      <c r="I2175" s="196">
        <v>2832.4</v>
      </c>
      <c r="J2175" s="196">
        <v>1.94</v>
      </c>
      <c r="K2175" s="196">
        <v>1460</v>
      </c>
      <c r="L2175" s="454" t="s">
        <v>1049</v>
      </c>
      <c r="M2175" s="4" t="s">
        <v>780</v>
      </c>
      <c r="N2175" s="133" t="s">
        <v>1407</v>
      </c>
      <c r="O2175" s="4" t="s">
        <v>2127</v>
      </c>
      <c r="P2175" s="4" t="s">
        <v>892</v>
      </c>
      <c r="Q2175" s="4" t="s">
        <v>2128</v>
      </c>
      <c r="R2175" s="4" t="s">
        <v>1515</v>
      </c>
      <c r="S2175" s="4" t="s">
        <v>2129</v>
      </c>
      <c r="T2175" s="4" t="s">
        <v>786</v>
      </c>
      <c r="U2175" s="4"/>
      <c r="V2175" s="4"/>
      <c r="W2175" s="4"/>
    </row>
    <row r="2176" spans="1:23" customFormat="1">
      <c r="A2176" s="10"/>
      <c r="B2176" s="4"/>
      <c r="C2176" s="4"/>
      <c r="D2176" s="4"/>
      <c r="E2176" s="4"/>
      <c r="F2176" s="152" t="s">
        <v>658</v>
      </c>
      <c r="G2176" s="4" t="s">
        <v>659</v>
      </c>
      <c r="H2176" s="4"/>
      <c r="I2176" s="196">
        <v>1874202</v>
      </c>
      <c r="J2176" s="196">
        <v>1283.7</v>
      </c>
      <c r="K2176" s="196">
        <v>1460</v>
      </c>
      <c r="L2176" s="454" t="s">
        <v>1049</v>
      </c>
      <c r="M2176" s="4" t="s">
        <v>780</v>
      </c>
      <c r="N2176" s="133" t="s">
        <v>1407</v>
      </c>
      <c r="O2176" s="4" t="s">
        <v>2127</v>
      </c>
      <c r="P2176" s="4" t="s">
        <v>892</v>
      </c>
      <c r="Q2176" s="4" t="s">
        <v>2128</v>
      </c>
      <c r="R2176" s="4" t="s">
        <v>2135</v>
      </c>
      <c r="S2176" s="4" t="s">
        <v>2129</v>
      </c>
      <c r="T2176" s="4" t="s">
        <v>786</v>
      </c>
      <c r="U2176" s="4"/>
      <c r="V2176" s="4"/>
      <c r="W2176" s="4"/>
    </row>
    <row r="2177" spans="1:23" customFormat="1">
      <c r="A2177" s="10"/>
      <c r="B2177" s="4"/>
      <c r="C2177" s="4"/>
      <c r="D2177" s="4"/>
      <c r="E2177" s="4"/>
      <c r="F2177" s="152" t="s">
        <v>658</v>
      </c>
      <c r="G2177" s="4" t="s">
        <v>659</v>
      </c>
      <c r="H2177" s="4"/>
      <c r="I2177" s="196">
        <v>1746043.2</v>
      </c>
      <c r="J2177" s="196">
        <v>1195.92</v>
      </c>
      <c r="K2177" s="196">
        <v>1460</v>
      </c>
      <c r="L2177" s="454" t="s">
        <v>1049</v>
      </c>
      <c r="M2177" s="4" t="s">
        <v>780</v>
      </c>
      <c r="N2177" s="133" t="s">
        <v>1407</v>
      </c>
      <c r="O2177" s="4" t="s">
        <v>2127</v>
      </c>
      <c r="P2177" s="4" t="s">
        <v>892</v>
      </c>
      <c r="Q2177" s="4" t="s">
        <v>2128</v>
      </c>
      <c r="R2177" s="4" t="s">
        <v>2136</v>
      </c>
      <c r="S2177" s="4" t="s">
        <v>2129</v>
      </c>
      <c r="T2177" s="4" t="s">
        <v>786</v>
      </c>
      <c r="U2177" s="4"/>
      <c r="V2177" s="4"/>
      <c r="W2177" s="4"/>
    </row>
    <row r="2178" spans="1:23" customFormat="1">
      <c r="A2178" s="10"/>
      <c r="B2178" s="4"/>
      <c r="C2178" s="4"/>
      <c r="D2178" s="4"/>
      <c r="E2178" s="4"/>
      <c r="F2178" s="152" t="s">
        <v>658</v>
      </c>
      <c r="G2178" s="4" t="s">
        <v>659</v>
      </c>
      <c r="H2178" s="4"/>
      <c r="I2178" s="196">
        <v>3748389.4</v>
      </c>
      <c r="J2178" s="196">
        <v>2567.39</v>
      </c>
      <c r="K2178" s="196">
        <v>1460</v>
      </c>
      <c r="L2178" s="454" t="s">
        <v>1049</v>
      </c>
      <c r="M2178" s="4" t="s">
        <v>780</v>
      </c>
      <c r="N2178" s="133" t="s">
        <v>1407</v>
      </c>
      <c r="O2178" s="4" t="s">
        <v>2127</v>
      </c>
      <c r="P2178" s="4" t="s">
        <v>892</v>
      </c>
      <c r="Q2178" s="4" t="s">
        <v>2128</v>
      </c>
      <c r="R2178" s="4" t="s">
        <v>2137</v>
      </c>
      <c r="S2178" s="4" t="s">
        <v>2129</v>
      </c>
      <c r="T2178" s="4" t="s">
        <v>786</v>
      </c>
      <c r="U2178" s="4"/>
      <c r="V2178" s="4"/>
      <c r="W2178" s="4"/>
    </row>
    <row r="2179" spans="1:23" customFormat="1">
      <c r="A2179" s="10"/>
      <c r="B2179" s="4"/>
      <c r="C2179" s="4"/>
      <c r="D2179" s="4"/>
      <c r="E2179" s="4"/>
      <c r="F2179" s="152" t="s">
        <v>658</v>
      </c>
      <c r="G2179" s="4" t="s">
        <v>659</v>
      </c>
      <c r="H2179" s="4"/>
      <c r="I2179" s="196">
        <v>1164744.2</v>
      </c>
      <c r="J2179" s="196">
        <v>797.77</v>
      </c>
      <c r="K2179" s="196">
        <v>1460</v>
      </c>
      <c r="L2179" s="454" t="s">
        <v>1049</v>
      </c>
      <c r="M2179" s="4" t="s">
        <v>780</v>
      </c>
      <c r="N2179" s="133" t="s">
        <v>1407</v>
      </c>
      <c r="O2179" s="4" t="s">
        <v>2127</v>
      </c>
      <c r="P2179" s="4" t="s">
        <v>892</v>
      </c>
      <c r="Q2179" s="4" t="s">
        <v>2128</v>
      </c>
      <c r="R2179" s="4" t="s">
        <v>2138</v>
      </c>
      <c r="S2179" s="4" t="s">
        <v>2129</v>
      </c>
      <c r="T2179" s="4" t="s">
        <v>786</v>
      </c>
      <c r="U2179" s="4"/>
      <c r="V2179" s="4"/>
      <c r="W2179" s="4"/>
    </row>
    <row r="2180" spans="1:23" customFormat="1">
      <c r="A2180" s="10"/>
      <c r="B2180" s="4"/>
      <c r="C2180" s="4"/>
      <c r="D2180" s="4"/>
      <c r="E2180" s="4"/>
      <c r="F2180" s="152" t="s">
        <v>658</v>
      </c>
      <c r="G2180" s="4" t="s">
        <v>659</v>
      </c>
      <c r="H2180" s="4"/>
      <c r="I2180" s="196">
        <v>2388107.4</v>
      </c>
      <c r="J2180" s="196">
        <v>1635.69</v>
      </c>
      <c r="K2180" s="196">
        <v>1460</v>
      </c>
      <c r="L2180" s="454" t="s">
        <v>1049</v>
      </c>
      <c r="M2180" s="4" t="s">
        <v>780</v>
      </c>
      <c r="N2180" s="133" t="s">
        <v>1407</v>
      </c>
      <c r="O2180" s="4" t="s">
        <v>2127</v>
      </c>
      <c r="P2180" s="4" t="s">
        <v>892</v>
      </c>
      <c r="Q2180" s="4" t="s">
        <v>2128</v>
      </c>
      <c r="R2180" s="4" t="s">
        <v>2139</v>
      </c>
      <c r="S2180" s="4" t="s">
        <v>2129</v>
      </c>
      <c r="T2180" s="4" t="s">
        <v>786</v>
      </c>
      <c r="U2180" s="4"/>
      <c r="V2180" s="4"/>
      <c r="W2180" s="4"/>
    </row>
    <row r="2181" spans="1:23" customFormat="1">
      <c r="A2181" s="10"/>
      <c r="B2181" s="4"/>
      <c r="C2181" s="4"/>
      <c r="D2181" s="4"/>
      <c r="E2181" s="4"/>
      <c r="F2181" s="152" t="s">
        <v>658</v>
      </c>
      <c r="G2181" s="4" t="s">
        <v>659</v>
      </c>
      <c r="H2181" s="4"/>
      <c r="I2181" s="196">
        <v>446059.2</v>
      </c>
      <c r="J2181" s="196">
        <v>305.52</v>
      </c>
      <c r="K2181" s="196">
        <v>1460</v>
      </c>
      <c r="L2181" s="454" t="s">
        <v>1049</v>
      </c>
      <c r="M2181" s="4" t="s">
        <v>780</v>
      </c>
      <c r="N2181" s="133" t="s">
        <v>1407</v>
      </c>
      <c r="O2181" s="4" t="s">
        <v>2127</v>
      </c>
      <c r="P2181" s="4" t="s">
        <v>892</v>
      </c>
      <c r="Q2181" s="4" t="s">
        <v>2128</v>
      </c>
      <c r="R2181" s="4" t="s">
        <v>2140</v>
      </c>
      <c r="S2181" s="4" t="s">
        <v>2129</v>
      </c>
      <c r="T2181" s="4" t="s">
        <v>786</v>
      </c>
      <c r="U2181" s="4"/>
      <c r="V2181" s="4"/>
      <c r="W2181" s="4"/>
    </row>
    <row r="2182" spans="1:23" customFormat="1">
      <c r="A2182" s="10"/>
      <c r="B2182" s="4"/>
      <c r="C2182" s="4"/>
      <c r="D2182" s="4"/>
      <c r="E2182" s="4"/>
      <c r="F2182" s="152" t="s">
        <v>658</v>
      </c>
      <c r="G2182" s="4" t="s">
        <v>659</v>
      </c>
      <c r="H2182" s="4"/>
      <c r="I2182" s="196">
        <v>257558.6</v>
      </c>
      <c r="J2182" s="196">
        <v>176.41</v>
      </c>
      <c r="K2182" s="196">
        <v>1460</v>
      </c>
      <c r="L2182" s="454" t="s">
        <v>1049</v>
      </c>
      <c r="M2182" s="4" t="s">
        <v>780</v>
      </c>
      <c r="N2182" s="133" t="s">
        <v>1407</v>
      </c>
      <c r="O2182" s="4" t="s">
        <v>2127</v>
      </c>
      <c r="P2182" s="4" t="s">
        <v>892</v>
      </c>
      <c r="Q2182" s="4" t="s">
        <v>2128</v>
      </c>
      <c r="R2182" s="4" t="s">
        <v>2141</v>
      </c>
      <c r="S2182" s="4" t="s">
        <v>2129</v>
      </c>
      <c r="T2182" s="4" t="s">
        <v>786</v>
      </c>
      <c r="U2182" s="4"/>
      <c r="V2182" s="4"/>
      <c r="W2182" s="4"/>
    </row>
    <row r="2183" spans="1:23" customFormat="1">
      <c r="A2183" s="10"/>
      <c r="B2183" s="4"/>
      <c r="C2183" s="4"/>
      <c r="D2183" s="4"/>
      <c r="E2183" s="4"/>
      <c r="F2183" s="152" t="s">
        <v>658</v>
      </c>
      <c r="G2183" s="4" t="s">
        <v>659</v>
      </c>
      <c r="H2183" s="4"/>
      <c r="I2183" s="196">
        <v>2832.4</v>
      </c>
      <c r="J2183" s="196">
        <v>1.94</v>
      </c>
      <c r="K2183" s="196">
        <v>1460</v>
      </c>
      <c r="L2183" s="454" t="s">
        <v>1049</v>
      </c>
      <c r="M2183" s="4" t="s">
        <v>780</v>
      </c>
      <c r="N2183" s="133" t="s">
        <v>1407</v>
      </c>
      <c r="O2183" s="4" t="s">
        <v>2127</v>
      </c>
      <c r="P2183" s="4" t="s">
        <v>892</v>
      </c>
      <c r="Q2183" s="4" t="s">
        <v>2128</v>
      </c>
      <c r="R2183" s="4" t="s">
        <v>1515</v>
      </c>
      <c r="S2183" s="4" t="s">
        <v>2129</v>
      </c>
      <c r="T2183" s="4" t="s">
        <v>786</v>
      </c>
      <c r="U2183" s="4"/>
      <c r="V2183" s="4"/>
      <c r="W2183" s="4"/>
    </row>
    <row r="2184" spans="1:23" customFormat="1">
      <c r="A2184" s="10"/>
      <c r="B2184" s="4"/>
      <c r="C2184" s="4"/>
      <c r="D2184" s="4"/>
      <c r="E2184" s="4"/>
      <c r="F2184" s="152" t="s">
        <v>658</v>
      </c>
      <c r="G2184" s="4" t="s">
        <v>659</v>
      </c>
      <c r="H2184" s="4"/>
      <c r="I2184" s="196">
        <v>254886.8</v>
      </c>
      <c r="J2184" s="196">
        <v>174.58</v>
      </c>
      <c r="K2184" s="196">
        <v>1460</v>
      </c>
      <c r="L2184" s="454" t="s">
        <v>1049</v>
      </c>
      <c r="M2184" s="4" t="s">
        <v>780</v>
      </c>
      <c r="N2184" s="133" t="s">
        <v>1407</v>
      </c>
      <c r="O2184" s="4" t="s">
        <v>2127</v>
      </c>
      <c r="P2184" s="4" t="s">
        <v>892</v>
      </c>
      <c r="Q2184" s="4" t="s">
        <v>2128</v>
      </c>
      <c r="R2184" s="4" t="s">
        <v>2142</v>
      </c>
      <c r="S2184" s="4" t="s">
        <v>2129</v>
      </c>
      <c r="T2184" s="4" t="s">
        <v>786</v>
      </c>
      <c r="U2184" s="4"/>
      <c r="V2184" s="4"/>
      <c r="W2184" s="4"/>
    </row>
    <row r="2185" spans="1:23" customFormat="1">
      <c r="A2185" s="10"/>
      <c r="B2185" s="4"/>
      <c r="C2185" s="4"/>
      <c r="D2185" s="4"/>
      <c r="E2185" s="4"/>
      <c r="F2185" s="152" t="s">
        <v>658</v>
      </c>
      <c r="G2185" s="4" t="s">
        <v>659</v>
      </c>
      <c r="H2185" s="4"/>
      <c r="I2185" s="196">
        <v>101338.6</v>
      </c>
      <c r="J2185" s="196">
        <v>69.41</v>
      </c>
      <c r="K2185" s="196">
        <v>1460</v>
      </c>
      <c r="L2185" s="454" t="s">
        <v>1049</v>
      </c>
      <c r="M2185" s="4" t="s">
        <v>780</v>
      </c>
      <c r="N2185" s="133" t="s">
        <v>1407</v>
      </c>
      <c r="O2185" s="4" t="s">
        <v>2127</v>
      </c>
      <c r="P2185" s="4" t="s">
        <v>892</v>
      </c>
      <c r="Q2185" s="4" t="s">
        <v>2128</v>
      </c>
      <c r="R2185" s="4" t="s">
        <v>2143</v>
      </c>
      <c r="S2185" s="4" t="s">
        <v>2129</v>
      </c>
      <c r="T2185" s="4" t="s">
        <v>786</v>
      </c>
      <c r="U2185" s="4"/>
      <c r="V2185" s="4"/>
      <c r="W2185" s="4"/>
    </row>
    <row r="2186" spans="1:23" customFormat="1">
      <c r="A2186" s="10"/>
      <c r="B2186" s="4"/>
      <c r="C2186" s="4"/>
      <c r="D2186" s="4"/>
      <c r="E2186" s="4"/>
      <c r="F2186" s="152" t="s">
        <v>658</v>
      </c>
      <c r="G2186" s="4" t="s">
        <v>659</v>
      </c>
      <c r="H2186" s="4"/>
      <c r="I2186" s="196">
        <v>85278.6</v>
      </c>
      <c r="J2186" s="196">
        <v>58.41</v>
      </c>
      <c r="K2186" s="196">
        <v>1460</v>
      </c>
      <c r="L2186" s="454" t="s">
        <v>1049</v>
      </c>
      <c r="M2186" s="4" t="s">
        <v>780</v>
      </c>
      <c r="N2186" s="133" t="s">
        <v>1407</v>
      </c>
      <c r="O2186" s="4" t="s">
        <v>2127</v>
      </c>
      <c r="P2186" s="4" t="s">
        <v>892</v>
      </c>
      <c r="Q2186" s="4" t="s">
        <v>2128</v>
      </c>
      <c r="R2186" s="4" t="s">
        <v>2144</v>
      </c>
      <c r="S2186" s="4" t="s">
        <v>2129</v>
      </c>
      <c r="T2186" s="4" t="s">
        <v>786</v>
      </c>
      <c r="U2186" s="4"/>
      <c r="V2186" s="4"/>
      <c r="W2186" s="4"/>
    </row>
    <row r="2187" spans="1:23" customFormat="1">
      <c r="A2187" s="10"/>
      <c r="B2187" s="4"/>
      <c r="C2187" s="4"/>
      <c r="D2187" s="4"/>
      <c r="E2187" s="4"/>
      <c r="F2187" s="152" t="s">
        <v>658</v>
      </c>
      <c r="G2187" s="4" t="s">
        <v>659</v>
      </c>
      <c r="H2187" s="4"/>
      <c r="I2187" s="196">
        <v>2832.4</v>
      </c>
      <c r="J2187" s="196">
        <v>1.94</v>
      </c>
      <c r="K2187" s="196">
        <v>1460</v>
      </c>
      <c r="L2187" s="454" t="s">
        <v>1049</v>
      </c>
      <c r="M2187" s="4" t="s">
        <v>780</v>
      </c>
      <c r="N2187" s="133" t="s">
        <v>1407</v>
      </c>
      <c r="O2187" s="4" t="s">
        <v>2127</v>
      </c>
      <c r="P2187" s="4" t="s">
        <v>892</v>
      </c>
      <c r="Q2187" s="4" t="s">
        <v>2128</v>
      </c>
      <c r="R2187" s="4" t="s">
        <v>1515</v>
      </c>
      <c r="S2187" s="4" t="s">
        <v>2129</v>
      </c>
      <c r="T2187" s="4" t="s">
        <v>786</v>
      </c>
      <c r="U2187" s="4"/>
      <c r="V2187" s="4"/>
      <c r="W2187" s="4"/>
    </row>
    <row r="2188" spans="1:23" customFormat="1">
      <c r="A2188" s="10"/>
      <c r="B2188" s="4"/>
      <c r="C2188" s="4"/>
      <c r="D2188" s="4"/>
      <c r="E2188" s="4"/>
      <c r="F2188" s="152" t="s">
        <v>658</v>
      </c>
      <c r="G2188" s="4" t="s">
        <v>659</v>
      </c>
      <c r="H2188" s="4"/>
      <c r="I2188" s="196">
        <v>446059.2</v>
      </c>
      <c r="J2188" s="196">
        <v>305.52</v>
      </c>
      <c r="K2188" s="196">
        <v>1460</v>
      </c>
      <c r="L2188" s="454" t="s">
        <v>1049</v>
      </c>
      <c r="M2188" s="4" t="s">
        <v>780</v>
      </c>
      <c r="N2188" s="133" t="s">
        <v>1407</v>
      </c>
      <c r="O2188" s="4" t="s">
        <v>2127</v>
      </c>
      <c r="P2188" s="4" t="s">
        <v>892</v>
      </c>
      <c r="Q2188" s="4" t="s">
        <v>2128</v>
      </c>
      <c r="R2188" s="4" t="s">
        <v>2145</v>
      </c>
      <c r="S2188" s="4" t="s">
        <v>2129</v>
      </c>
      <c r="T2188" s="4" t="s">
        <v>786</v>
      </c>
      <c r="U2188" s="4"/>
      <c r="V2188" s="4"/>
      <c r="W2188" s="4"/>
    </row>
    <row r="2189" spans="1:23" customFormat="1">
      <c r="A2189" s="10"/>
      <c r="B2189" s="4"/>
      <c r="C2189" s="4"/>
      <c r="D2189" s="4"/>
      <c r="E2189" s="4"/>
      <c r="F2189" s="152" t="s">
        <v>658</v>
      </c>
      <c r="G2189" s="4" t="s">
        <v>659</v>
      </c>
      <c r="H2189" s="4"/>
      <c r="I2189" s="196">
        <v>2832.4</v>
      </c>
      <c r="J2189" s="196">
        <v>1.94</v>
      </c>
      <c r="K2189" s="196">
        <v>1460</v>
      </c>
      <c r="L2189" s="454" t="s">
        <v>1049</v>
      </c>
      <c r="M2189" s="4" t="s">
        <v>780</v>
      </c>
      <c r="N2189" s="133" t="s">
        <v>1407</v>
      </c>
      <c r="O2189" s="4" t="s">
        <v>2127</v>
      </c>
      <c r="P2189" s="4" t="s">
        <v>892</v>
      </c>
      <c r="Q2189" s="4" t="s">
        <v>2128</v>
      </c>
      <c r="R2189" s="4" t="s">
        <v>1515</v>
      </c>
      <c r="S2189" s="4" t="s">
        <v>2129</v>
      </c>
      <c r="T2189" s="4" t="s">
        <v>786</v>
      </c>
      <c r="U2189" s="4"/>
      <c r="V2189" s="4"/>
      <c r="W2189" s="4"/>
    </row>
    <row r="2190" spans="1:23" customFormat="1">
      <c r="A2190" s="10"/>
      <c r="B2190" s="4"/>
      <c r="C2190" s="4"/>
      <c r="D2190" s="4"/>
      <c r="E2190" s="4"/>
      <c r="F2190" s="152" t="s">
        <v>658</v>
      </c>
      <c r="G2190" s="4" t="s">
        <v>659</v>
      </c>
      <c r="H2190" s="4"/>
      <c r="I2190" s="196">
        <v>333829</v>
      </c>
      <c r="J2190" s="196">
        <v>228.65</v>
      </c>
      <c r="K2190" s="196">
        <v>1460</v>
      </c>
      <c r="L2190" s="454" t="s">
        <v>1049</v>
      </c>
      <c r="M2190" s="4" t="s">
        <v>780</v>
      </c>
      <c r="N2190" s="133" t="s">
        <v>1407</v>
      </c>
      <c r="O2190" s="4" t="s">
        <v>2127</v>
      </c>
      <c r="P2190" s="4" t="s">
        <v>892</v>
      </c>
      <c r="Q2190" s="4" t="s">
        <v>2128</v>
      </c>
      <c r="R2190" s="4" t="s">
        <v>2146</v>
      </c>
      <c r="S2190" s="4" t="s">
        <v>2129</v>
      </c>
      <c r="T2190" s="4" t="s">
        <v>786</v>
      </c>
      <c r="U2190" s="4"/>
      <c r="V2190" s="4"/>
      <c r="W2190" s="4"/>
    </row>
    <row r="2191" spans="1:23" customFormat="1">
      <c r="A2191" s="10"/>
      <c r="B2191" s="4"/>
      <c r="C2191" s="4"/>
      <c r="D2191" s="4"/>
      <c r="E2191" s="4"/>
      <c r="F2191" s="152" t="s">
        <v>658</v>
      </c>
      <c r="G2191" s="4" t="s">
        <v>659</v>
      </c>
      <c r="H2191" s="4"/>
      <c r="I2191" s="196">
        <v>477916.4</v>
      </c>
      <c r="J2191" s="196">
        <v>327.33999999999997</v>
      </c>
      <c r="K2191" s="196">
        <v>1460</v>
      </c>
      <c r="L2191" s="454" t="s">
        <v>1049</v>
      </c>
      <c r="M2191" s="4" t="s">
        <v>780</v>
      </c>
      <c r="N2191" s="133" t="s">
        <v>1407</v>
      </c>
      <c r="O2191" s="4" t="s">
        <v>2127</v>
      </c>
      <c r="P2191" s="4" t="s">
        <v>892</v>
      </c>
      <c r="Q2191" s="4" t="s">
        <v>2128</v>
      </c>
      <c r="R2191" s="4" t="s">
        <v>2147</v>
      </c>
      <c r="S2191" s="4" t="s">
        <v>2129</v>
      </c>
      <c r="T2191" s="4" t="s">
        <v>786</v>
      </c>
      <c r="U2191" s="4"/>
      <c r="V2191" s="4"/>
      <c r="W2191" s="4"/>
    </row>
    <row r="2192" spans="1:23" customFormat="1">
      <c r="A2192" s="10"/>
      <c r="B2192" s="4"/>
      <c r="C2192" s="4"/>
      <c r="D2192" s="4"/>
      <c r="E2192" s="4"/>
      <c r="F2192" s="152" t="s">
        <v>658</v>
      </c>
      <c r="G2192" s="4" t="s">
        <v>659</v>
      </c>
      <c r="H2192" s="4"/>
      <c r="I2192" s="196">
        <v>321127</v>
      </c>
      <c r="J2192" s="196">
        <v>219.95</v>
      </c>
      <c r="K2192" s="196">
        <v>1460</v>
      </c>
      <c r="L2192" s="454" t="s">
        <v>1049</v>
      </c>
      <c r="M2192" s="4" t="s">
        <v>780</v>
      </c>
      <c r="N2192" s="133" t="s">
        <v>1407</v>
      </c>
      <c r="O2192" s="4" t="s">
        <v>2127</v>
      </c>
      <c r="P2192" s="4" t="s">
        <v>892</v>
      </c>
      <c r="Q2192" s="4" t="s">
        <v>2128</v>
      </c>
      <c r="R2192" s="4" t="s">
        <v>2148</v>
      </c>
      <c r="S2192" s="4" t="s">
        <v>2129</v>
      </c>
      <c r="T2192" s="4" t="s">
        <v>786</v>
      </c>
      <c r="U2192" s="4"/>
      <c r="V2192" s="4"/>
      <c r="W2192" s="4"/>
    </row>
    <row r="2193" spans="1:23" customFormat="1">
      <c r="A2193" s="10"/>
      <c r="B2193" s="4"/>
      <c r="C2193" s="4"/>
      <c r="D2193" s="4"/>
      <c r="E2193" s="4"/>
      <c r="F2193" s="152" t="s">
        <v>658</v>
      </c>
      <c r="G2193" s="4" t="s">
        <v>659</v>
      </c>
      <c r="H2193" s="4"/>
      <c r="I2193" s="196">
        <v>2832.4</v>
      </c>
      <c r="J2193" s="196">
        <v>1.94</v>
      </c>
      <c r="K2193" s="196">
        <v>1460</v>
      </c>
      <c r="L2193" s="454" t="s">
        <v>1049</v>
      </c>
      <c r="M2193" s="4" t="s">
        <v>780</v>
      </c>
      <c r="N2193" s="133" t="s">
        <v>1407</v>
      </c>
      <c r="O2193" s="4" t="s">
        <v>2127</v>
      </c>
      <c r="P2193" s="4" t="s">
        <v>892</v>
      </c>
      <c r="Q2193" s="4" t="s">
        <v>2128</v>
      </c>
      <c r="R2193" s="4" t="s">
        <v>1515</v>
      </c>
      <c r="S2193" s="4" t="s">
        <v>2129</v>
      </c>
      <c r="T2193" s="4" t="s">
        <v>786</v>
      </c>
      <c r="U2193" s="4"/>
      <c r="V2193" s="4"/>
      <c r="W2193" s="4"/>
    </row>
    <row r="2194" spans="1:23" customFormat="1">
      <c r="A2194" s="10"/>
      <c r="B2194" s="4"/>
      <c r="C2194" s="4"/>
      <c r="D2194" s="4"/>
      <c r="E2194" s="4"/>
      <c r="F2194" s="152" t="s">
        <v>658</v>
      </c>
      <c r="G2194" s="4" t="s">
        <v>659</v>
      </c>
      <c r="H2194" s="4"/>
      <c r="I2194" s="196">
        <v>509788.2</v>
      </c>
      <c r="J2194" s="196">
        <v>349.17</v>
      </c>
      <c r="K2194" s="196">
        <v>1460</v>
      </c>
      <c r="L2194" s="454" t="s">
        <v>1049</v>
      </c>
      <c r="M2194" s="4" t="s">
        <v>780</v>
      </c>
      <c r="N2194" s="133" t="s">
        <v>1407</v>
      </c>
      <c r="O2194" s="4" t="s">
        <v>2127</v>
      </c>
      <c r="P2194" s="4" t="s">
        <v>892</v>
      </c>
      <c r="Q2194" s="4" t="s">
        <v>2128</v>
      </c>
      <c r="R2194" s="4" t="s">
        <v>2149</v>
      </c>
      <c r="S2194" s="4" t="s">
        <v>2129</v>
      </c>
      <c r="T2194" s="4" t="s">
        <v>786</v>
      </c>
      <c r="U2194" s="4"/>
      <c r="V2194" s="4"/>
      <c r="W2194" s="4"/>
    </row>
    <row r="2195" spans="1:23" customFormat="1">
      <c r="A2195" s="10"/>
      <c r="B2195" s="4"/>
      <c r="C2195" s="4"/>
      <c r="D2195" s="4"/>
      <c r="E2195" s="4"/>
      <c r="F2195" s="152" t="s">
        <v>658</v>
      </c>
      <c r="G2195" s="4" t="s">
        <v>659</v>
      </c>
      <c r="H2195" s="4"/>
      <c r="I2195" s="196">
        <v>1277602.2</v>
      </c>
      <c r="J2195" s="196">
        <v>875.07</v>
      </c>
      <c r="K2195" s="196">
        <v>1460</v>
      </c>
      <c r="L2195" s="454" t="s">
        <v>1049</v>
      </c>
      <c r="M2195" s="4" t="s">
        <v>780</v>
      </c>
      <c r="N2195" s="133" t="s">
        <v>1407</v>
      </c>
      <c r="O2195" s="4" t="s">
        <v>2127</v>
      </c>
      <c r="P2195" s="4" t="s">
        <v>892</v>
      </c>
      <c r="Q2195" s="4" t="s">
        <v>2128</v>
      </c>
      <c r="R2195" s="4" t="s">
        <v>2150</v>
      </c>
      <c r="S2195" s="4" t="s">
        <v>2129</v>
      </c>
      <c r="T2195" s="4" t="s">
        <v>786</v>
      </c>
      <c r="U2195" s="4"/>
      <c r="V2195" s="4"/>
      <c r="W2195" s="4"/>
    </row>
    <row r="2196" spans="1:23" customFormat="1">
      <c r="A2196" s="10"/>
      <c r="B2196" s="4"/>
      <c r="C2196" s="4"/>
      <c r="D2196" s="4"/>
      <c r="E2196" s="4"/>
      <c r="F2196" s="152" t="s">
        <v>658</v>
      </c>
      <c r="G2196" s="4" t="s">
        <v>659</v>
      </c>
      <c r="H2196" s="4"/>
      <c r="I2196" s="196">
        <v>573999</v>
      </c>
      <c r="J2196" s="196">
        <v>393.15</v>
      </c>
      <c r="K2196" s="196">
        <v>1460</v>
      </c>
      <c r="L2196" s="454" t="s">
        <v>1049</v>
      </c>
      <c r="M2196" s="4" t="s">
        <v>780</v>
      </c>
      <c r="N2196" s="133" t="s">
        <v>1407</v>
      </c>
      <c r="O2196" s="4" t="s">
        <v>2127</v>
      </c>
      <c r="P2196" s="4" t="s">
        <v>892</v>
      </c>
      <c r="Q2196" s="4" t="s">
        <v>2128</v>
      </c>
      <c r="R2196" s="4" t="s">
        <v>2151</v>
      </c>
      <c r="S2196" s="4" t="s">
        <v>2129</v>
      </c>
      <c r="T2196" s="4" t="s">
        <v>786</v>
      </c>
      <c r="U2196" s="4"/>
      <c r="V2196" s="4"/>
      <c r="W2196" s="4"/>
    </row>
    <row r="2197" spans="1:23" customFormat="1">
      <c r="A2197" s="10"/>
      <c r="B2197" s="4"/>
      <c r="C2197" s="4"/>
      <c r="D2197" s="4"/>
      <c r="E2197" s="4"/>
      <c r="F2197" s="152" t="s">
        <v>658</v>
      </c>
      <c r="G2197" s="4" t="s">
        <v>659</v>
      </c>
      <c r="H2197" s="4"/>
      <c r="I2197" s="196">
        <v>2788.6</v>
      </c>
      <c r="J2197" s="196">
        <v>1.91</v>
      </c>
      <c r="K2197" s="196">
        <v>1460</v>
      </c>
      <c r="L2197" s="454" t="s">
        <v>1049</v>
      </c>
      <c r="M2197" s="4" t="s">
        <v>780</v>
      </c>
      <c r="N2197" s="133" t="s">
        <v>1407</v>
      </c>
      <c r="O2197" s="4" t="s">
        <v>2127</v>
      </c>
      <c r="P2197" s="4" t="s">
        <v>892</v>
      </c>
      <c r="Q2197" s="4" t="s">
        <v>2128</v>
      </c>
      <c r="R2197" s="4" t="s">
        <v>2152</v>
      </c>
      <c r="S2197" s="4" t="s">
        <v>2129</v>
      </c>
      <c r="T2197" s="4" t="s">
        <v>786</v>
      </c>
      <c r="U2197" s="4"/>
      <c r="V2197" s="4"/>
      <c r="W2197" s="4"/>
    </row>
    <row r="2198" spans="1:23" customFormat="1">
      <c r="A2198" s="10"/>
      <c r="B2198" s="4"/>
      <c r="C2198" s="4"/>
      <c r="D2198" s="4"/>
      <c r="E2198" s="4"/>
      <c r="F2198" s="152" t="s">
        <v>658</v>
      </c>
      <c r="G2198" s="4" t="s">
        <v>659</v>
      </c>
      <c r="H2198" s="4"/>
      <c r="I2198" s="196">
        <v>1174555.3999999999</v>
      </c>
      <c r="J2198" s="196">
        <v>804.49</v>
      </c>
      <c r="K2198" s="196">
        <v>1460</v>
      </c>
      <c r="L2198" s="454" t="s">
        <v>1049</v>
      </c>
      <c r="M2198" s="4" t="s">
        <v>780</v>
      </c>
      <c r="N2198" s="133" t="s">
        <v>1407</v>
      </c>
      <c r="O2198" s="4" t="s">
        <v>2127</v>
      </c>
      <c r="P2198" s="4" t="s">
        <v>892</v>
      </c>
      <c r="Q2198" s="4" t="s">
        <v>2128</v>
      </c>
      <c r="R2198" s="4" t="s">
        <v>2153</v>
      </c>
      <c r="S2198" s="4" t="s">
        <v>2129</v>
      </c>
      <c r="T2198" s="4" t="s">
        <v>786</v>
      </c>
      <c r="U2198" s="4"/>
      <c r="V2198" s="4"/>
      <c r="W2198" s="4"/>
    </row>
    <row r="2199" spans="1:23" customFormat="1">
      <c r="A2199" s="10"/>
      <c r="B2199" s="4"/>
      <c r="C2199" s="4"/>
      <c r="D2199" s="4"/>
      <c r="E2199" s="4"/>
      <c r="F2199" s="152" t="s">
        <v>658</v>
      </c>
      <c r="G2199" s="4" t="s">
        <v>659</v>
      </c>
      <c r="H2199" s="4"/>
      <c r="I2199" s="196">
        <v>147182.6</v>
      </c>
      <c r="J2199" s="196">
        <v>100.81</v>
      </c>
      <c r="K2199" s="196">
        <v>1460</v>
      </c>
      <c r="L2199" s="454" t="s">
        <v>1049</v>
      </c>
      <c r="M2199" s="4" t="s">
        <v>780</v>
      </c>
      <c r="N2199" s="133" t="s">
        <v>1407</v>
      </c>
      <c r="O2199" s="4" t="s">
        <v>2127</v>
      </c>
      <c r="P2199" s="4" t="s">
        <v>892</v>
      </c>
      <c r="Q2199" s="4" t="s">
        <v>2128</v>
      </c>
      <c r="R2199" s="4" t="s">
        <v>2154</v>
      </c>
      <c r="S2199" s="4" t="s">
        <v>2129</v>
      </c>
      <c r="T2199" s="4" t="s">
        <v>786</v>
      </c>
      <c r="U2199" s="4"/>
      <c r="V2199" s="4"/>
      <c r="W2199" s="4"/>
    </row>
    <row r="2200" spans="1:23" customFormat="1">
      <c r="A2200" s="10"/>
      <c r="B2200" s="4"/>
      <c r="C2200" s="4"/>
      <c r="D2200" s="4"/>
      <c r="E2200" s="4"/>
      <c r="F2200" s="152" t="s">
        <v>658</v>
      </c>
      <c r="G2200" s="4" t="s">
        <v>659</v>
      </c>
      <c r="H2200" s="4"/>
      <c r="I2200" s="196">
        <v>48691</v>
      </c>
      <c r="J2200" s="196">
        <v>33.35</v>
      </c>
      <c r="K2200" s="196">
        <v>1460</v>
      </c>
      <c r="L2200" s="454" t="s">
        <v>1049</v>
      </c>
      <c r="M2200" s="4" t="s">
        <v>780</v>
      </c>
      <c r="N2200" s="133" t="s">
        <v>1407</v>
      </c>
      <c r="O2200" s="4" t="s">
        <v>2127</v>
      </c>
      <c r="P2200" s="4" t="s">
        <v>892</v>
      </c>
      <c r="Q2200" s="4" t="s">
        <v>2128</v>
      </c>
      <c r="R2200" s="4" t="s">
        <v>2157</v>
      </c>
      <c r="S2200" s="4" t="s">
        <v>2129</v>
      </c>
      <c r="T2200" s="4" t="s">
        <v>786</v>
      </c>
      <c r="U2200" s="4"/>
      <c r="V2200" s="4"/>
      <c r="W2200" s="4"/>
    </row>
    <row r="2201" spans="1:23" customFormat="1">
      <c r="A2201" s="10"/>
      <c r="B2201" s="4"/>
      <c r="C2201" s="4"/>
      <c r="D2201" s="4"/>
      <c r="E2201" s="4"/>
      <c r="F2201" s="152" t="s">
        <v>658</v>
      </c>
      <c r="G2201" s="4" t="s">
        <v>659</v>
      </c>
      <c r="H2201" s="4"/>
      <c r="I2201" s="196">
        <v>381556.4</v>
      </c>
      <c r="J2201" s="196">
        <v>261.33999999999997</v>
      </c>
      <c r="K2201" s="196">
        <v>1460</v>
      </c>
      <c r="L2201" s="454" t="s">
        <v>1049</v>
      </c>
      <c r="M2201" s="4" t="s">
        <v>780</v>
      </c>
      <c r="N2201" s="133" t="s">
        <v>1407</v>
      </c>
      <c r="O2201" s="4" t="s">
        <v>2127</v>
      </c>
      <c r="P2201" s="4" t="s">
        <v>892</v>
      </c>
      <c r="Q2201" s="4" t="s">
        <v>2128</v>
      </c>
      <c r="R2201" s="4" t="s">
        <v>2160</v>
      </c>
      <c r="S2201" s="4" t="s">
        <v>2129</v>
      </c>
      <c r="T2201" s="4" t="s">
        <v>786</v>
      </c>
      <c r="U2201" s="4"/>
      <c r="V2201" s="4"/>
      <c r="W2201" s="4"/>
    </row>
    <row r="2202" spans="1:23" customFormat="1">
      <c r="A2202" s="10"/>
      <c r="B2202" s="4"/>
      <c r="C2202" s="4"/>
      <c r="D2202" s="4"/>
      <c r="E2202" s="4"/>
      <c r="F2202" s="152" t="s">
        <v>658</v>
      </c>
      <c r="G2202" s="4" t="s">
        <v>659</v>
      </c>
      <c r="H2202" s="4"/>
      <c r="I2202" s="196">
        <v>224518.8</v>
      </c>
      <c r="J2202" s="196">
        <v>153.78</v>
      </c>
      <c r="K2202" s="196">
        <v>1460</v>
      </c>
      <c r="L2202" s="454" t="s">
        <v>1049</v>
      </c>
      <c r="M2202" s="4" t="s">
        <v>780</v>
      </c>
      <c r="N2202" s="133" t="s">
        <v>1407</v>
      </c>
      <c r="O2202" s="4" t="s">
        <v>2127</v>
      </c>
      <c r="P2202" s="4" t="s">
        <v>892</v>
      </c>
      <c r="Q2202" s="4" t="s">
        <v>2128</v>
      </c>
      <c r="R2202" s="4" t="s">
        <v>2156</v>
      </c>
      <c r="S2202" s="4" t="s">
        <v>2129</v>
      </c>
      <c r="T2202" s="4" t="s">
        <v>786</v>
      </c>
      <c r="U2202" s="4"/>
      <c r="V2202" s="4"/>
      <c r="W2202" s="4"/>
    </row>
    <row r="2203" spans="1:23" customFormat="1">
      <c r="A2203" s="10"/>
      <c r="B2203" s="4"/>
      <c r="C2203" s="4"/>
      <c r="D2203" s="4"/>
      <c r="E2203" s="4"/>
      <c r="F2203" s="152" t="s">
        <v>658</v>
      </c>
      <c r="G2203" s="4" t="s">
        <v>659</v>
      </c>
      <c r="H2203" s="4"/>
      <c r="I2203" s="196">
        <v>2788.6</v>
      </c>
      <c r="J2203" s="196">
        <v>1.91</v>
      </c>
      <c r="K2203" s="196">
        <v>1460</v>
      </c>
      <c r="L2203" s="454" t="s">
        <v>1049</v>
      </c>
      <c r="M2203" s="4" t="s">
        <v>780</v>
      </c>
      <c r="N2203" s="133" t="s">
        <v>1407</v>
      </c>
      <c r="O2203" s="4" t="s">
        <v>2127</v>
      </c>
      <c r="P2203" s="4" t="s">
        <v>892</v>
      </c>
      <c r="Q2203" s="4" t="s">
        <v>2128</v>
      </c>
      <c r="R2203" s="4" t="s">
        <v>1515</v>
      </c>
      <c r="S2203" s="4" t="s">
        <v>2129</v>
      </c>
      <c r="T2203" s="4" t="s">
        <v>786</v>
      </c>
      <c r="U2203" s="4"/>
      <c r="V2203" s="4"/>
      <c r="W2203" s="4"/>
    </row>
    <row r="2204" spans="1:23" customFormat="1">
      <c r="A2204" s="10"/>
      <c r="B2204" s="4"/>
      <c r="C2204" s="4"/>
      <c r="D2204" s="4"/>
      <c r="E2204" s="4"/>
      <c r="F2204" s="152" t="s">
        <v>658</v>
      </c>
      <c r="G2204" s="4" t="s">
        <v>659</v>
      </c>
      <c r="H2204" s="4"/>
      <c r="I2204" s="196">
        <v>932662.6</v>
      </c>
      <c r="J2204" s="196">
        <v>638.80999999999995</v>
      </c>
      <c r="K2204" s="196">
        <v>1460</v>
      </c>
      <c r="L2204" s="454" t="s">
        <v>1049</v>
      </c>
      <c r="M2204" s="4" t="s">
        <v>780</v>
      </c>
      <c r="N2204" s="133" t="s">
        <v>1407</v>
      </c>
      <c r="O2204" s="4" t="s">
        <v>2127</v>
      </c>
      <c r="P2204" s="4" t="s">
        <v>892</v>
      </c>
      <c r="Q2204" s="4" t="s">
        <v>2128</v>
      </c>
      <c r="R2204" s="4" t="s">
        <v>2155</v>
      </c>
      <c r="S2204" s="4" t="s">
        <v>2129</v>
      </c>
      <c r="T2204" s="4" t="s">
        <v>786</v>
      </c>
      <c r="U2204" s="4"/>
      <c r="V2204" s="4"/>
      <c r="W2204" s="4"/>
    </row>
    <row r="2205" spans="1:23" customFormat="1">
      <c r="A2205" s="10"/>
      <c r="B2205" s="4"/>
      <c r="C2205" s="4"/>
      <c r="D2205" s="4"/>
      <c r="E2205" s="4"/>
      <c r="F2205" s="152" t="s">
        <v>658</v>
      </c>
      <c r="G2205" s="4" t="s">
        <v>659</v>
      </c>
      <c r="H2205" s="4"/>
      <c r="I2205" s="196">
        <v>2788.6</v>
      </c>
      <c r="J2205" s="196">
        <v>1.91</v>
      </c>
      <c r="K2205" s="196">
        <v>1460</v>
      </c>
      <c r="L2205" s="454" t="s">
        <v>1049</v>
      </c>
      <c r="M2205" s="4" t="s">
        <v>780</v>
      </c>
      <c r="N2205" s="133" t="s">
        <v>1407</v>
      </c>
      <c r="O2205" s="4" t="s">
        <v>2127</v>
      </c>
      <c r="P2205" s="4" t="s">
        <v>892</v>
      </c>
      <c r="Q2205" s="4" t="s">
        <v>2128</v>
      </c>
      <c r="R2205" s="4" t="s">
        <v>1515</v>
      </c>
      <c r="S2205" s="4" t="s">
        <v>2129</v>
      </c>
      <c r="T2205" s="4" t="s">
        <v>786</v>
      </c>
      <c r="U2205" s="4"/>
      <c r="V2205" s="4"/>
      <c r="W2205" s="4"/>
    </row>
    <row r="2206" spans="1:23" customFormat="1">
      <c r="A2206" s="10"/>
      <c r="B2206" s="4"/>
      <c r="C2206" s="4"/>
      <c r="D2206" s="4"/>
      <c r="E2206" s="4"/>
      <c r="F2206" s="152" t="s">
        <v>658</v>
      </c>
      <c r="G2206" s="4" t="s">
        <v>659</v>
      </c>
      <c r="H2206" s="4"/>
      <c r="I2206" s="196">
        <v>2832.4</v>
      </c>
      <c r="J2206" s="196">
        <v>1.94</v>
      </c>
      <c r="K2206" s="196">
        <v>1460</v>
      </c>
      <c r="L2206" s="454" t="s">
        <v>1049</v>
      </c>
      <c r="M2206" s="4" t="s">
        <v>780</v>
      </c>
      <c r="N2206" s="133" t="s">
        <v>1407</v>
      </c>
      <c r="O2206" s="4" t="s">
        <v>2127</v>
      </c>
      <c r="P2206" s="4" t="s">
        <v>892</v>
      </c>
      <c r="Q2206" s="4" t="s">
        <v>2128</v>
      </c>
      <c r="R2206" s="4" t="s">
        <v>1515</v>
      </c>
      <c r="S2206" s="4" t="s">
        <v>2129</v>
      </c>
      <c r="T2206" s="4" t="s">
        <v>786</v>
      </c>
      <c r="U2206" s="4"/>
      <c r="V2206" s="4"/>
      <c r="W2206" s="4"/>
    </row>
    <row r="2207" spans="1:23" customFormat="1">
      <c r="A2207" s="10"/>
      <c r="B2207" s="4"/>
      <c r="C2207" s="4"/>
      <c r="D2207" s="4"/>
      <c r="E2207" s="4"/>
      <c r="F2207" s="152" t="s">
        <v>658</v>
      </c>
      <c r="G2207" s="4" t="s">
        <v>659</v>
      </c>
      <c r="H2207" s="4"/>
      <c r="I2207" s="196">
        <v>715940.2</v>
      </c>
      <c r="J2207" s="196">
        <v>490.37</v>
      </c>
      <c r="K2207" s="196">
        <v>1460</v>
      </c>
      <c r="L2207" s="454" t="s">
        <v>1049</v>
      </c>
      <c r="M2207" s="4" t="s">
        <v>780</v>
      </c>
      <c r="N2207" s="133" t="s">
        <v>1407</v>
      </c>
      <c r="O2207" s="4" t="s">
        <v>2127</v>
      </c>
      <c r="P2207" s="4" t="s">
        <v>892</v>
      </c>
      <c r="Q2207" s="4" t="s">
        <v>2128</v>
      </c>
      <c r="R2207" s="4" t="s">
        <v>2158</v>
      </c>
      <c r="S2207" s="4" t="s">
        <v>2129</v>
      </c>
      <c r="T2207" s="4" t="s">
        <v>786</v>
      </c>
      <c r="U2207" s="4"/>
      <c r="V2207" s="4"/>
      <c r="W2207" s="4"/>
    </row>
    <row r="2208" spans="1:23" customFormat="1">
      <c r="A2208" s="10"/>
      <c r="B2208" s="4"/>
      <c r="C2208" s="4"/>
      <c r="D2208" s="4"/>
      <c r="E2208" s="4"/>
      <c r="F2208" s="152" t="s">
        <v>658</v>
      </c>
      <c r="G2208" s="4" t="s">
        <v>659</v>
      </c>
      <c r="H2208" s="4"/>
      <c r="I2208" s="196">
        <v>2832.4</v>
      </c>
      <c r="J2208" s="196">
        <v>1.94</v>
      </c>
      <c r="K2208" s="196">
        <v>1460</v>
      </c>
      <c r="L2208" s="454" t="s">
        <v>1049</v>
      </c>
      <c r="M2208" s="4" t="s">
        <v>780</v>
      </c>
      <c r="N2208" s="133" t="s">
        <v>1407</v>
      </c>
      <c r="O2208" s="4" t="s">
        <v>2127</v>
      </c>
      <c r="P2208" s="4" t="s">
        <v>892</v>
      </c>
      <c r="Q2208" s="4" t="s">
        <v>2128</v>
      </c>
      <c r="R2208" s="4" t="s">
        <v>1515</v>
      </c>
      <c r="S2208" s="4" t="s">
        <v>2129</v>
      </c>
      <c r="T2208" s="4" t="s">
        <v>786</v>
      </c>
      <c r="U2208" s="4"/>
      <c r="V2208" s="4"/>
      <c r="W2208" s="4"/>
    </row>
    <row r="2209" spans="1:23" customFormat="1">
      <c r="A2209" s="10"/>
      <c r="B2209" s="4"/>
      <c r="C2209" s="4"/>
      <c r="D2209" s="4"/>
      <c r="E2209" s="4"/>
      <c r="F2209" s="152" t="s">
        <v>658</v>
      </c>
      <c r="G2209" s="4" t="s">
        <v>659</v>
      </c>
      <c r="H2209" s="4"/>
      <c r="I2209" s="196">
        <v>260507.8</v>
      </c>
      <c r="J2209" s="196">
        <v>178.43</v>
      </c>
      <c r="K2209" s="196">
        <v>1460</v>
      </c>
      <c r="L2209" s="454" t="s">
        <v>1049</v>
      </c>
      <c r="M2209" s="4" t="s">
        <v>780</v>
      </c>
      <c r="N2209" s="133" t="s">
        <v>1407</v>
      </c>
      <c r="O2209" s="4" t="s">
        <v>2127</v>
      </c>
      <c r="P2209" s="4" t="s">
        <v>892</v>
      </c>
      <c r="Q2209" s="4" t="s">
        <v>2128</v>
      </c>
      <c r="R2209" s="4" t="s">
        <v>2159</v>
      </c>
      <c r="S2209" s="4" t="s">
        <v>2129</v>
      </c>
      <c r="T2209" s="4" t="s">
        <v>786</v>
      </c>
      <c r="U2209" s="4"/>
      <c r="V2209" s="4"/>
      <c r="W2209" s="4"/>
    </row>
    <row r="2210" spans="1:23" customFormat="1">
      <c r="A2210" s="10"/>
      <c r="B2210" s="4"/>
      <c r="C2210" s="4"/>
      <c r="D2210" s="4"/>
      <c r="E2210" s="4"/>
      <c r="F2210" s="152" t="s">
        <v>658</v>
      </c>
      <c r="G2210" s="4" t="s">
        <v>659</v>
      </c>
      <c r="H2210" s="4"/>
      <c r="I2210" s="196">
        <v>2832.4</v>
      </c>
      <c r="J2210" s="196">
        <v>1.94</v>
      </c>
      <c r="K2210" s="196">
        <v>1460</v>
      </c>
      <c r="L2210" s="454" t="s">
        <v>1049</v>
      </c>
      <c r="M2210" s="4" t="s">
        <v>780</v>
      </c>
      <c r="N2210" s="133" t="s">
        <v>1407</v>
      </c>
      <c r="O2210" s="4" t="s">
        <v>2127</v>
      </c>
      <c r="P2210" s="4" t="s">
        <v>892</v>
      </c>
      <c r="Q2210" s="4" t="s">
        <v>2128</v>
      </c>
      <c r="R2210" s="4" t="s">
        <v>1515</v>
      </c>
      <c r="S2210" s="4" t="s">
        <v>2129</v>
      </c>
      <c r="T2210" s="4" t="s">
        <v>786</v>
      </c>
      <c r="U2210" s="4"/>
      <c r="V2210" s="4"/>
      <c r="W2210" s="4"/>
    </row>
    <row r="2211" spans="1:23" customFormat="1">
      <c r="A2211" s="10"/>
      <c r="B2211" s="4"/>
      <c r="C2211" s="4"/>
      <c r="D2211" s="4"/>
      <c r="E2211" s="4"/>
      <c r="F2211" s="152" t="s">
        <v>658</v>
      </c>
      <c r="G2211" s="4" t="s">
        <v>659</v>
      </c>
      <c r="H2211" s="4"/>
      <c r="I2211" s="196">
        <v>-129765</v>
      </c>
      <c r="J2211" s="196">
        <v>-86.51</v>
      </c>
      <c r="K2211" s="196">
        <v>1500</v>
      </c>
      <c r="L2211" s="454" t="s">
        <v>1045</v>
      </c>
      <c r="M2211" s="4" t="s">
        <v>780</v>
      </c>
      <c r="N2211" s="133" t="s">
        <v>1407</v>
      </c>
      <c r="O2211" s="4" t="s">
        <v>2206</v>
      </c>
      <c r="P2211" s="4" t="s">
        <v>892</v>
      </c>
      <c r="Q2211" s="4" t="s">
        <v>2207</v>
      </c>
      <c r="R2211" s="4" t="s">
        <v>2210</v>
      </c>
      <c r="S2211" s="4" t="s">
        <v>2209</v>
      </c>
      <c r="T2211" s="4" t="s">
        <v>786</v>
      </c>
      <c r="U2211" s="4"/>
      <c r="V2211" s="4"/>
      <c r="W2211" s="4"/>
    </row>
    <row r="2212" spans="1:23" customFormat="1">
      <c r="A2212" s="10"/>
      <c r="B2212" s="4"/>
      <c r="C2212" s="4"/>
      <c r="D2212" s="4"/>
      <c r="E2212" s="4"/>
      <c r="F2212" s="152" t="s">
        <v>658</v>
      </c>
      <c r="G2212" s="4" t="s">
        <v>659</v>
      </c>
      <c r="H2212" s="4"/>
      <c r="I2212" s="196">
        <v>-507945</v>
      </c>
      <c r="J2212" s="196">
        <v>-338.63</v>
      </c>
      <c r="K2212" s="196">
        <v>1500</v>
      </c>
      <c r="L2212" s="454" t="s">
        <v>1045</v>
      </c>
      <c r="M2212" s="4" t="s">
        <v>780</v>
      </c>
      <c r="N2212" s="133" t="s">
        <v>1407</v>
      </c>
      <c r="O2212" s="4" t="s">
        <v>2206</v>
      </c>
      <c r="P2212" s="4" t="s">
        <v>892</v>
      </c>
      <c r="Q2212" s="4" t="s">
        <v>2207</v>
      </c>
      <c r="R2212" s="4" t="s">
        <v>2212</v>
      </c>
      <c r="S2212" s="4" t="s">
        <v>2209</v>
      </c>
      <c r="T2212" s="4" t="s">
        <v>786</v>
      </c>
      <c r="U2212" s="4"/>
      <c r="V2212" s="4"/>
      <c r="W2212" s="4"/>
    </row>
    <row r="2213" spans="1:23" customFormat="1">
      <c r="A2213" s="10"/>
      <c r="B2213" s="4"/>
      <c r="C2213" s="4"/>
      <c r="D2213" s="4"/>
      <c r="E2213" s="4"/>
      <c r="F2213" s="152" t="s">
        <v>658</v>
      </c>
      <c r="G2213" s="4" t="s">
        <v>659</v>
      </c>
      <c r="H2213" s="4"/>
      <c r="I2213" s="196">
        <v>-2880</v>
      </c>
      <c r="J2213" s="196">
        <v>-1.92</v>
      </c>
      <c r="K2213" s="196">
        <v>1500</v>
      </c>
      <c r="L2213" s="454" t="s">
        <v>1045</v>
      </c>
      <c r="M2213" s="4" t="s">
        <v>780</v>
      </c>
      <c r="N2213" s="133" t="s">
        <v>1407</v>
      </c>
      <c r="O2213" s="4" t="s">
        <v>2206</v>
      </c>
      <c r="P2213" s="4" t="s">
        <v>892</v>
      </c>
      <c r="Q2213" s="4" t="s">
        <v>2207</v>
      </c>
      <c r="R2213" s="4" t="s">
        <v>1515</v>
      </c>
      <c r="S2213" s="4" t="s">
        <v>2209</v>
      </c>
      <c r="T2213" s="4" t="s">
        <v>786</v>
      </c>
      <c r="U2213" s="4"/>
      <c r="V2213" s="4"/>
      <c r="W2213" s="4"/>
    </row>
    <row r="2214" spans="1:23" customFormat="1">
      <c r="A2214" s="10"/>
      <c r="B2214" s="4"/>
      <c r="C2214" s="4"/>
      <c r="D2214" s="4"/>
      <c r="E2214" s="4"/>
      <c r="F2214" s="152" t="s">
        <v>658</v>
      </c>
      <c r="G2214" s="4" t="s">
        <v>659</v>
      </c>
      <c r="H2214" s="4"/>
      <c r="I2214" s="196">
        <v>-129765</v>
      </c>
      <c r="J2214" s="196">
        <v>-86.51</v>
      </c>
      <c r="K2214" s="196">
        <v>1500</v>
      </c>
      <c r="L2214" s="454" t="s">
        <v>1045</v>
      </c>
      <c r="M2214" s="4" t="s">
        <v>780</v>
      </c>
      <c r="N2214" s="133" t="s">
        <v>1407</v>
      </c>
      <c r="O2214" s="4" t="s">
        <v>2206</v>
      </c>
      <c r="P2214" s="4" t="s">
        <v>892</v>
      </c>
      <c r="Q2214" s="4" t="s">
        <v>2207</v>
      </c>
      <c r="R2214" s="4" t="s">
        <v>2147</v>
      </c>
      <c r="S2214" s="4" t="s">
        <v>2209</v>
      </c>
      <c r="T2214" s="4" t="s">
        <v>786</v>
      </c>
      <c r="U2214" s="4"/>
      <c r="V2214" s="4"/>
      <c r="W2214" s="4"/>
    </row>
    <row r="2215" spans="1:23" customFormat="1">
      <c r="A2215" s="10"/>
      <c r="B2215" s="4"/>
      <c r="C2215" s="4"/>
      <c r="D2215" s="4"/>
      <c r="E2215" s="4"/>
      <c r="F2215" s="152" t="s">
        <v>658</v>
      </c>
      <c r="G2215" s="4" t="s">
        <v>659</v>
      </c>
      <c r="H2215" s="4"/>
      <c r="I2215" s="196">
        <v>-2880</v>
      </c>
      <c r="J2215" s="196">
        <v>-1.92</v>
      </c>
      <c r="K2215" s="196">
        <v>1500</v>
      </c>
      <c r="L2215" s="454" t="s">
        <v>1045</v>
      </c>
      <c r="M2215" s="4" t="s">
        <v>780</v>
      </c>
      <c r="N2215" s="133" t="s">
        <v>1407</v>
      </c>
      <c r="O2215" s="4" t="s">
        <v>2206</v>
      </c>
      <c r="P2215" s="4" t="s">
        <v>892</v>
      </c>
      <c r="Q2215" s="4" t="s">
        <v>2207</v>
      </c>
      <c r="R2215" s="4" t="s">
        <v>1515</v>
      </c>
      <c r="S2215" s="4" t="s">
        <v>2209</v>
      </c>
      <c r="T2215" s="4" t="s">
        <v>786</v>
      </c>
      <c r="U2215" s="4"/>
      <c r="V2215" s="4"/>
      <c r="W2215" s="4"/>
    </row>
    <row r="2216" spans="1:23" customFormat="1">
      <c r="A2216" s="10"/>
      <c r="B2216" s="4"/>
      <c r="C2216" s="4"/>
      <c r="D2216" s="4"/>
      <c r="E2216" s="4"/>
      <c r="F2216" s="152" t="s">
        <v>658</v>
      </c>
      <c r="G2216" s="4" t="s">
        <v>659</v>
      </c>
      <c r="H2216" s="4"/>
      <c r="I2216" s="196">
        <v>-194655</v>
      </c>
      <c r="J2216" s="196">
        <v>-129.77000000000001</v>
      </c>
      <c r="K2216" s="196">
        <v>1500</v>
      </c>
      <c r="L2216" s="454" t="s">
        <v>1045</v>
      </c>
      <c r="M2216" s="4" t="s">
        <v>780</v>
      </c>
      <c r="N2216" s="133" t="s">
        <v>1407</v>
      </c>
      <c r="O2216" s="4" t="s">
        <v>2206</v>
      </c>
      <c r="P2216" s="4" t="s">
        <v>892</v>
      </c>
      <c r="Q2216" s="4" t="s">
        <v>2207</v>
      </c>
      <c r="R2216" s="4" t="s">
        <v>2211</v>
      </c>
      <c r="S2216" s="4" t="s">
        <v>2209</v>
      </c>
      <c r="T2216" s="4" t="s">
        <v>786</v>
      </c>
      <c r="U2216" s="4"/>
      <c r="V2216" s="4"/>
      <c r="W2216" s="4"/>
    </row>
    <row r="2217" spans="1:23" customFormat="1">
      <c r="A2217" s="10"/>
      <c r="B2217" s="4"/>
      <c r="C2217" s="4"/>
      <c r="D2217" s="4"/>
      <c r="E2217" s="4"/>
      <c r="F2217" s="152" t="s">
        <v>658</v>
      </c>
      <c r="G2217" s="4" t="s">
        <v>659</v>
      </c>
      <c r="H2217" s="4"/>
      <c r="I2217" s="196">
        <v>-2880</v>
      </c>
      <c r="J2217" s="196">
        <v>-1.92</v>
      </c>
      <c r="K2217" s="196">
        <v>1500</v>
      </c>
      <c r="L2217" s="454" t="s">
        <v>1045</v>
      </c>
      <c r="M2217" s="4" t="s">
        <v>780</v>
      </c>
      <c r="N2217" s="133" t="s">
        <v>1407</v>
      </c>
      <c r="O2217" s="4" t="s">
        <v>2206</v>
      </c>
      <c r="P2217" s="4" t="s">
        <v>892</v>
      </c>
      <c r="Q2217" s="4" t="s">
        <v>2207</v>
      </c>
      <c r="R2217" s="4" t="s">
        <v>1515</v>
      </c>
      <c r="S2217" s="4" t="s">
        <v>2209</v>
      </c>
      <c r="T2217" s="4" t="s">
        <v>786</v>
      </c>
      <c r="U2217" s="4"/>
      <c r="V2217" s="4"/>
      <c r="W2217" s="4"/>
    </row>
    <row r="2218" spans="1:23" customFormat="1">
      <c r="A2218" s="10"/>
      <c r="B2218" s="4"/>
      <c r="C2218" s="4"/>
      <c r="D2218" s="4"/>
      <c r="E2218" s="4"/>
      <c r="F2218" s="152" t="s">
        <v>658</v>
      </c>
      <c r="G2218" s="4" t="s">
        <v>659</v>
      </c>
      <c r="H2218" s="4"/>
      <c r="I2218" s="196">
        <v>-259545</v>
      </c>
      <c r="J2218" s="196">
        <v>-173.03</v>
      </c>
      <c r="K2218" s="196">
        <v>1500</v>
      </c>
      <c r="L2218" s="454" t="s">
        <v>1045</v>
      </c>
      <c r="M2218" s="4" t="s">
        <v>780</v>
      </c>
      <c r="N2218" s="133" t="s">
        <v>1407</v>
      </c>
      <c r="O2218" s="4" t="s">
        <v>2206</v>
      </c>
      <c r="P2218" s="4" t="s">
        <v>892</v>
      </c>
      <c r="Q2218" s="4" t="s">
        <v>2207</v>
      </c>
      <c r="R2218" s="4" t="s">
        <v>2208</v>
      </c>
      <c r="S2218" s="4" t="s">
        <v>2209</v>
      </c>
      <c r="T2218" s="4" t="s">
        <v>786</v>
      </c>
      <c r="U2218" s="4"/>
      <c r="V2218" s="4"/>
      <c r="W2218" s="4"/>
    </row>
    <row r="2219" spans="1:23" customFormat="1">
      <c r="A2219" s="10"/>
      <c r="B2219" s="4"/>
      <c r="C2219" s="4"/>
      <c r="D2219" s="4"/>
      <c r="E2219" s="4"/>
      <c r="F2219" s="152" t="s">
        <v>658</v>
      </c>
      <c r="G2219" s="4" t="s">
        <v>659</v>
      </c>
      <c r="H2219" s="4"/>
      <c r="I2219" s="196">
        <v>-2880</v>
      </c>
      <c r="J2219" s="196">
        <v>-1.92</v>
      </c>
      <c r="K2219" s="196">
        <v>1500</v>
      </c>
      <c r="L2219" s="454" t="s">
        <v>1045</v>
      </c>
      <c r="M2219" s="4" t="s">
        <v>780</v>
      </c>
      <c r="N2219" s="133" t="s">
        <v>1407</v>
      </c>
      <c r="O2219" s="4" t="s">
        <v>2206</v>
      </c>
      <c r="P2219" s="4" t="s">
        <v>892</v>
      </c>
      <c r="Q2219" s="4" t="s">
        <v>2207</v>
      </c>
      <c r="R2219" s="4" t="s">
        <v>1515</v>
      </c>
      <c r="S2219" s="4" t="s">
        <v>2209</v>
      </c>
      <c r="T2219" s="4" t="s">
        <v>786</v>
      </c>
      <c r="U2219" s="4"/>
      <c r="V2219" s="4"/>
      <c r="W2219" s="4"/>
    </row>
    <row r="2220" spans="1:23" customFormat="1">
      <c r="A2220" s="10"/>
      <c r="B2220" s="4"/>
      <c r="C2220" s="4"/>
      <c r="D2220" s="4"/>
      <c r="E2220" s="4"/>
      <c r="F2220" s="152" t="s">
        <v>658</v>
      </c>
      <c r="G2220" s="4" t="s">
        <v>659</v>
      </c>
      <c r="H2220" s="4"/>
      <c r="I2220" s="196">
        <v>-129765</v>
      </c>
      <c r="J2220" s="196">
        <v>-86.51</v>
      </c>
      <c r="K2220" s="196">
        <v>1500</v>
      </c>
      <c r="L2220" s="454" t="s">
        <v>1045</v>
      </c>
      <c r="M2220" s="4" t="s">
        <v>780</v>
      </c>
      <c r="N2220" s="133" t="s">
        <v>1407</v>
      </c>
      <c r="O2220" s="4" t="s">
        <v>2206</v>
      </c>
      <c r="P2220" s="4" t="s">
        <v>892</v>
      </c>
      <c r="Q2220" s="4" t="s">
        <v>2207</v>
      </c>
      <c r="R2220" s="4" t="s">
        <v>2213</v>
      </c>
      <c r="S2220" s="4" t="s">
        <v>2209</v>
      </c>
      <c r="T2220" s="4" t="s">
        <v>786</v>
      </c>
      <c r="U2220" s="4"/>
      <c r="V2220" s="4"/>
      <c r="W2220" s="4"/>
    </row>
    <row r="2221" spans="1:23" customFormat="1">
      <c r="A2221" s="10"/>
      <c r="B2221" s="4"/>
      <c r="C2221" s="4"/>
      <c r="D2221" s="4"/>
      <c r="E2221" s="4"/>
      <c r="F2221" s="152" t="s">
        <v>658</v>
      </c>
      <c r="G2221" s="4" t="s">
        <v>659</v>
      </c>
      <c r="H2221" s="4"/>
      <c r="I2221" s="196">
        <v>-3748389.4</v>
      </c>
      <c r="J2221" s="196">
        <v>-2567.39</v>
      </c>
      <c r="K2221" s="196">
        <v>1460</v>
      </c>
      <c r="L2221" s="454" t="s">
        <v>1049</v>
      </c>
      <c r="M2221" s="4" t="s">
        <v>780</v>
      </c>
      <c r="N2221" s="133" t="s">
        <v>1407</v>
      </c>
      <c r="O2221" s="4" t="s">
        <v>2233</v>
      </c>
      <c r="P2221" s="4" t="s">
        <v>892</v>
      </c>
      <c r="Q2221" s="4" t="s">
        <v>2234</v>
      </c>
      <c r="R2221" s="4" t="s">
        <v>2137</v>
      </c>
      <c r="S2221" s="4" t="s">
        <v>2235</v>
      </c>
      <c r="T2221" s="4" t="s">
        <v>786</v>
      </c>
      <c r="U2221" s="4"/>
      <c r="V2221" s="4"/>
      <c r="W2221" s="4"/>
    </row>
    <row r="2222" spans="1:23" customFormat="1">
      <c r="A2222" s="10"/>
      <c r="B2222" s="4"/>
      <c r="C2222" s="4"/>
      <c r="D2222" s="4"/>
      <c r="E2222" s="4"/>
      <c r="F2222" s="152" t="s">
        <v>658</v>
      </c>
      <c r="G2222" s="4" t="s">
        <v>659</v>
      </c>
      <c r="H2222" s="4"/>
      <c r="I2222" s="196">
        <v>-1874202</v>
      </c>
      <c r="J2222" s="196">
        <v>-1283.7</v>
      </c>
      <c r="K2222" s="196">
        <v>1460</v>
      </c>
      <c r="L2222" s="454" t="s">
        <v>1049</v>
      </c>
      <c r="M2222" s="4" t="s">
        <v>780</v>
      </c>
      <c r="N2222" s="133" t="s">
        <v>1407</v>
      </c>
      <c r="O2222" s="4" t="s">
        <v>2233</v>
      </c>
      <c r="P2222" s="4" t="s">
        <v>892</v>
      </c>
      <c r="Q2222" s="4" t="s">
        <v>2234</v>
      </c>
      <c r="R2222" s="4" t="s">
        <v>2135</v>
      </c>
      <c r="S2222" s="4" t="s">
        <v>2235</v>
      </c>
      <c r="T2222" s="4" t="s">
        <v>786</v>
      </c>
      <c r="U2222" s="4"/>
      <c r="V2222" s="4"/>
      <c r="W2222" s="4"/>
    </row>
    <row r="2223" spans="1:23" customFormat="1">
      <c r="A2223" s="10"/>
      <c r="B2223" s="4"/>
      <c r="C2223" s="4"/>
      <c r="D2223" s="4"/>
      <c r="E2223" s="4"/>
      <c r="F2223" s="152" t="s">
        <v>658</v>
      </c>
      <c r="G2223" s="4" t="s">
        <v>659</v>
      </c>
      <c r="H2223" s="4"/>
      <c r="I2223" s="196">
        <v>-2788.6</v>
      </c>
      <c r="J2223" s="196">
        <v>-1.91</v>
      </c>
      <c r="K2223" s="196">
        <v>1460</v>
      </c>
      <c r="L2223" s="454" t="s">
        <v>1049</v>
      </c>
      <c r="M2223" s="4" t="s">
        <v>780</v>
      </c>
      <c r="N2223" s="133" t="s">
        <v>1407</v>
      </c>
      <c r="O2223" s="4" t="s">
        <v>2233</v>
      </c>
      <c r="P2223" s="4" t="s">
        <v>892</v>
      </c>
      <c r="Q2223" s="4" t="s">
        <v>2234</v>
      </c>
      <c r="R2223" s="4" t="s">
        <v>1515</v>
      </c>
      <c r="S2223" s="4" t="s">
        <v>2235</v>
      </c>
      <c r="T2223" s="4" t="s">
        <v>786</v>
      </c>
      <c r="U2223" s="4"/>
      <c r="V2223" s="4"/>
      <c r="W2223" s="4"/>
    </row>
    <row r="2224" spans="1:23" customFormat="1">
      <c r="A2224" s="10"/>
      <c r="B2224" s="4"/>
      <c r="C2224" s="4"/>
      <c r="D2224" s="4"/>
      <c r="E2224" s="4"/>
      <c r="F2224" s="152" t="s">
        <v>658</v>
      </c>
      <c r="G2224" s="4" t="s">
        <v>659</v>
      </c>
      <c r="H2224" s="4"/>
      <c r="I2224" s="196">
        <v>-932662.6</v>
      </c>
      <c r="J2224" s="196">
        <v>-638.80999999999995</v>
      </c>
      <c r="K2224" s="196">
        <v>1460</v>
      </c>
      <c r="L2224" s="454" t="s">
        <v>1049</v>
      </c>
      <c r="M2224" s="4" t="s">
        <v>780</v>
      </c>
      <c r="N2224" s="133" t="s">
        <v>1407</v>
      </c>
      <c r="O2224" s="4" t="s">
        <v>2233</v>
      </c>
      <c r="P2224" s="4" t="s">
        <v>892</v>
      </c>
      <c r="Q2224" s="4" t="s">
        <v>2234</v>
      </c>
      <c r="R2224" s="4" t="s">
        <v>2155</v>
      </c>
      <c r="S2224" s="4" t="s">
        <v>2235</v>
      </c>
      <c r="T2224" s="4" t="s">
        <v>786</v>
      </c>
      <c r="U2224" s="4"/>
      <c r="V2224" s="4"/>
      <c r="W2224" s="4"/>
    </row>
    <row r="2225" spans="1:23" customFormat="1">
      <c r="A2225" s="10"/>
      <c r="B2225" s="4"/>
      <c r="C2225" s="4"/>
      <c r="D2225" s="4"/>
      <c r="E2225" s="4"/>
      <c r="F2225" s="152" t="s">
        <v>658</v>
      </c>
      <c r="G2225" s="4" t="s">
        <v>659</v>
      </c>
      <c r="H2225" s="4"/>
      <c r="I2225" s="196">
        <v>-1253760.3999999999</v>
      </c>
      <c r="J2225" s="196">
        <v>-858.74</v>
      </c>
      <c r="K2225" s="196">
        <v>1460</v>
      </c>
      <c r="L2225" s="454" t="s">
        <v>1049</v>
      </c>
      <c r="M2225" s="4" t="s">
        <v>780</v>
      </c>
      <c r="N2225" s="133" t="s">
        <v>1407</v>
      </c>
      <c r="O2225" s="4" t="s">
        <v>2233</v>
      </c>
      <c r="P2225" s="4" t="s">
        <v>892</v>
      </c>
      <c r="Q2225" s="4" t="s">
        <v>2234</v>
      </c>
      <c r="R2225" s="4" t="s">
        <v>2130</v>
      </c>
      <c r="S2225" s="4" t="s">
        <v>2235</v>
      </c>
      <c r="T2225" s="4" t="s">
        <v>786</v>
      </c>
      <c r="U2225" s="4"/>
      <c r="V2225" s="4"/>
      <c r="W2225" s="4"/>
    </row>
    <row r="2226" spans="1:23" customFormat="1">
      <c r="A2226" s="10"/>
      <c r="B2226" s="4"/>
      <c r="C2226" s="4"/>
      <c r="D2226" s="4"/>
      <c r="E2226" s="4"/>
      <c r="F2226" s="152" t="s">
        <v>658</v>
      </c>
      <c r="G2226" s="4" t="s">
        <v>659</v>
      </c>
      <c r="H2226" s="4"/>
      <c r="I2226" s="196">
        <v>-2788.6</v>
      </c>
      <c r="J2226" s="196">
        <v>-1.91</v>
      </c>
      <c r="K2226" s="196">
        <v>1460</v>
      </c>
      <c r="L2226" s="454" t="s">
        <v>1049</v>
      </c>
      <c r="M2226" s="4" t="s">
        <v>780</v>
      </c>
      <c r="N2226" s="133" t="s">
        <v>1407</v>
      </c>
      <c r="O2226" s="4" t="s">
        <v>2233</v>
      </c>
      <c r="P2226" s="4" t="s">
        <v>892</v>
      </c>
      <c r="Q2226" s="4" t="s">
        <v>2234</v>
      </c>
      <c r="R2226" s="4" t="s">
        <v>1515</v>
      </c>
      <c r="S2226" s="4" t="s">
        <v>2235</v>
      </c>
      <c r="T2226" s="4" t="s">
        <v>786</v>
      </c>
      <c r="U2226" s="4"/>
      <c r="V2226" s="4"/>
      <c r="W2226" s="4"/>
    </row>
    <row r="2227" spans="1:23" customFormat="1">
      <c r="A2227" s="10"/>
      <c r="B2227" s="4"/>
      <c r="C2227" s="4"/>
      <c r="D2227" s="4"/>
      <c r="E2227" s="4"/>
      <c r="F2227" s="152" t="s">
        <v>658</v>
      </c>
      <c r="G2227" s="4" t="s">
        <v>659</v>
      </c>
      <c r="H2227" s="4"/>
      <c r="I2227" s="196">
        <v>-1277602.2</v>
      </c>
      <c r="J2227" s="196">
        <v>-875.07</v>
      </c>
      <c r="K2227" s="196">
        <v>1460</v>
      </c>
      <c r="L2227" s="454" t="s">
        <v>1049</v>
      </c>
      <c r="M2227" s="4" t="s">
        <v>780</v>
      </c>
      <c r="N2227" s="133" t="s">
        <v>1407</v>
      </c>
      <c r="O2227" s="4" t="s">
        <v>2233</v>
      </c>
      <c r="P2227" s="4" t="s">
        <v>892</v>
      </c>
      <c r="Q2227" s="4" t="s">
        <v>2234</v>
      </c>
      <c r="R2227" s="4" t="s">
        <v>2150</v>
      </c>
      <c r="S2227" s="4" t="s">
        <v>2235</v>
      </c>
      <c r="T2227" s="4" t="s">
        <v>786</v>
      </c>
      <c r="U2227" s="4"/>
      <c r="V2227" s="4"/>
      <c r="W2227" s="4"/>
    </row>
    <row r="2228" spans="1:23" customFormat="1">
      <c r="A2228" s="10"/>
      <c r="B2228" s="4"/>
      <c r="C2228" s="4"/>
      <c r="D2228" s="4"/>
      <c r="E2228" s="4"/>
      <c r="F2228" s="152" t="s">
        <v>658</v>
      </c>
      <c r="G2228" s="4" t="s">
        <v>659</v>
      </c>
      <c r="H2228" s="4"/>
      <c r="I2228" s="196">
        <v>-573999</v>
      </c>
      <c r="J2228" s="196">
        <v>-393.15</v>
      </c>
      <c r="K2228" s="196">
        <v>1460</v>
      </c>
      <c r="L2228" s="454" t="s">
        <v>1049</v>
      </c>
      <c r="M2228" s="4" t="s">
        <v>780</v>
      </c>
      <c r="N2228" s="133" t="s">
        <v>1407</v>
      </c>
      <c r="O2228" s="4" t="s">
        <v>2233</v>
      </c>
      <c r="P2228" s="4" t="s">
        <v>892</v>
      </c>
      <c r="Q2228" s="4" t="s">
        <v>2234</v>
      </c>
      <c r="R2228" s="4" t="s">
        <v>2151</v>
      </c>
      <c r="S2228" s="4" t="s">
        <v>2235</v>
      </c>
      <c r="T2228" s="4" t="s">
        <v>786</v>
      </c>
      <c r="U2228" s="4"/>
      <c r="V2228" s="4"/>
      <c r="W2228" s="4"/>
    </row>
    <row r="2229" spans="1:23" customFormat="1">
      <c r="A2229" s="10"/>
      <c r="B2229" s="4"/>
      <c r="C2229" s="4"/>
      <c r="D2229" s="4"/>
      <c r="E2229" s="4"/>
      <c r="F2229" s="152" t="s">
        <v>658</v>
      </c>
      <c r="G2229" s="4" t="s">
        <v>659</v>
      </c>
      <c r="H2229" s="4"/>
      <c r="I2229" s="196">
        <v>-321127</v>
      </c>
      <c r="J2229" s="196">
        <v>-219.95</v>
      </c>
      <c r="K2229" s="196">
        <v>1460</v>
      </c>
      <c r="L2229" s="454" t="s">
        <v>1049</v>
      </c>
      <c r="M2229" s="4" t="s">
        <v>780</v>
      </c>
      <c r="N2229" s="133" t="s">
        <v>1407</v>
      </c>
      <c r="O2229" s="4" t="s">
        <v>2233</v>
      </c>
      <c r="P2229" s="4" t="s">
        <v>892</v>
      </c>
      <c r="Q2229" s="4" t="s">
        <v>2234</v>
      </c>
      <c r="R2229" s="4" t="s">
        <v>2148</v>
      </c>
      <c r="S2229" s="4" t="s">
        <v>2235</v>
      </c>
      <c r="T2229" s="4" t="s">
        <v>786</v>
      </c>
      <c r="U2229" s="4"/>
      <c r="V2229" s="4"/>
      <c r="W2229" s="4"/>
    </row>
    <row r="2230" spans="1:23" customFormat="1">
      <c r="A2230" s="10"/>
      <c r="B2230" s="4"/>
      <c r="C2230" s="4"/>
      <c r="D2230" s="4"/>
      <c r="E2230" s="4"/>
      <c r="F2230" s="152" t="s">
        <v>658</v>
      </c>
      <c r="G2230" s="4" t="s">
        <v>659</v>
      </c>
      <c r="H2230" s="4"/>
      <c r="I2230" s="196">
        <v>-2788.6</v>
      </c>
      <c r="J2230" s="196">
        <v>-1.91</v>
      </c>
      <c r="K2230" s="196">
        <v>1460</v>
      </c>
      <c r="L2230" s="454" t="s">
        <v>1049</v>
      </c>
      <c r="M2230" s="4" t="s">
        <v>780</v>
      </c>
      <c r="N2230" s="133" t="s">
        <v>1407</v>
      </c>
      <c r="O2230" s="4" t="s">
        <v>2233</v>
      </c>
      <c r="P2230" s="4" t="s">
        <v>892</v>
      </c>
      <c r="Q2230" s="4" t="s">
        <v>2234</v>
      </c>
      <c r="R2230" s="4" t="s">
        <v>2152</v>
      </c>
      <c r="S2230" s="4" t="s">
        <v>2235</v>
      </c>
      <c r="T2230" s="4" t="s">
        <v>786</v>
      </c>
      <c r="U2230" s="4"/>
      <c r="V2230" s="4"/>
      <c r="W2230" s="4"/>
    </row>
    <row r="2231" spans="1:23" customFormat="1">
      <c r="A2231" s="10"/>
      <c r="B2231" s="4"/>
      <c r="C2231" s="4"/>
      <c r="D2231" s="4"/>
      <c r="E2231" s="4"/>
      <c r="F2231" s="152" t="s">
        <v>658</v>
      </c>
      <c r="G2231" s="4" t="s">
        <v>659</v>
      </c>
      <c r="H2231" s="4"/>
      <c r="I2231" s="196">
        <v>-48691</v>
      </c>
      <c r="J2231" s="196">
        <v>-33.35</v>
      </c>
      <c r="K2231" s="196">
        <v>1460</v>
      </c>
      <c r="L2231" s="454" t="s">
        <v>1049</v>
      </c>
      <c r="M2231" s="4" t="s">
        <v>780</v>
      </c>
      <c r="N2231" s="133" t="s">
        <v>1407</v>
      </c>
      <c r="O2231" s="4" t="s">
        <v>2233</v>
      </c>
      <c r="P2231" s="4" t="s">
        <v>892</v>
      </c>
      <c r="Q2231" s="4" t="s">
        <v>2234</v>
      </c>
      <c r="R2231" s="4" t="s">
        <v>2157</v>
      </c>
      <c r="S2231" s="4" t="s">
        <v>2235</v>
      </c>
      <c r="T2231" s="4" t="s">
        <v>786</v>
      </c>
      <c r="U2231" s="4"/>
      <c r="V2231" s="4"/>
      <c r="W2231" s="4"/>
    </row>
    <row r="2232" spans="1:23" customFormat="1">
      <c r="A2232" s="10"/>
      <c r="B2232" s="4"/>
      <c r="C2232" s="4"/>
      <c r="D2232" s="4"/>
      <c r="E2232" s="4"/>
      <c r="F2232" s="152" t="s">
        <v>658</v>
      </c>
      <c r="G2232" s="4" t="s">
        <v>659</v>
      </c>
      <c r="H2232" s="4"/>
      <c r="I2232" s="196">
        <v>-1174555.3999999999</v>
      </c>
      <c r="J2232" s="196">
        <v>-804.49</v>
      </c>
      <c r="K2232" s="196">
        <v>1460</v>
      </c>
      <c r="L2232" s="454" t="s">
        <v>1049</v>
      </c>
      <c r="M2232" s="4" t="s">
        <v>780</v>
      </c>
      <c r="N2232" s="133" t="s">
        <v>1407</v>
      </c>
      <c r="O2232" s="4" t="s">
        <v>2233</v>
      </c>
      <c r="P2232" s="4" t="s">
        <v>892</v>
      </c>
      <c r="Q2232" s="4" t="s">
        <v>2234</v>
      </c>
      <c r="R2232" s="4" t="s">
        <v>2153</v>
      </c>
      <c r="S2232" s="4" t="s">
        <v>2235</v>
      </c>
      <c r="T2232" s="4" t="s">
        <v>786</v>
      </c>
      <c r="U2232" s="4"/>
      <c r="V2232" s="4"/>
      <c r="W2232" s="4"/>
    </row>
    <row r="2233" spans="1:23" customFormat="1">
      <c r="A2233" s="10"/>
      <c r="B2233" s="4"/>
      <c r="C2233" s="4"/>
      <c r="D2233" s="4"/>
      <c r="E2233" s="4"/>
      <c r="F2233" s="152" t="s">
        <v>658</v>
      </c>
      <c r="G2233" s="4" t="s">
        <v>659</v>
      </c>
      <c r="H2233" s="4"/>
      <c r="I2233" s="196">
        <v>-147182.6</v>
      </c>
      <c r="J2233" s="196">
        <v>-100.81</v>
      </c>
      <c r="K2233" s="196">
        <v>1460</v>
      </c>
      <c r="L2233" s="454" t="s">
        <v>1049</v>
      </c>
      <c r="M2233" s="4" t="s">
        <v>780</v>
      </c>
      <c r="N2233" s="133" t="s">
        <v>1407</v>
      </c>
      <c r="O2233" s="4" t="s">
        <v>2233</v>
      </c>
      <c r="P2233" s="4" t="s">
        <v>892</v>
      </c>
      <c r="Q2233" s="4" t="s">
        <v>2234</v>
      </c>
      <c r="R2233" s="4" t="s">
        <v>2154</v>
      </c>
      <c r="S2233" s="4" t="s">
        <v>2235</v>
      </c>
      <c r="T2233" s="4" t="s">
        <v>786</v>
      </c>
      <c r="U2233" s="4"/>
      <c r="V2233" s="4"/>
      <c r="W2233" s="4"/>
    </row>
    <row r="2234" spans="1:23" customFormat="1">
      <c r="A2234" s="10"/>
      <c r="B2234" s="4"/>
      <c r="C2234" s="4"/>
      <c r="D2234" s="4"/>
      <c r="E2234" s="4"/>
      <c r="F2234" s="152" t="s">
        <v>658</v>
      </c>
      <c r="G2234" s="4" t="s">
        <v>659</v>
      </c>
      <c r="H2234" s="4"/>
      <c r="I2234" s="196">
        <v>-333829</v>
      </c>
      <c r="J2234" s="196">
        <v>-228.65</v>
      </c>
      <c r="K2234" s="196">
        <v>1460</v>
      </c>
      <c r="L2234" s="454" t="s">
        <v>1049</v>
      </c>
      <c r="M2234" s="4" t="s">
        <v>780</v>
      </c>
      <c r="N2234" s="133" t="s">
        <v>1407</v>
      </c>
      <c r="O2234" s="4" t="s">
        <v>2233</v>
      </c>
      <c r="P2234" s="4" t="s">
        <v>892</v>
      </c>
      <c r="Q2234" s="4" t="s">
        <v>2234</v>
      </c>
      <c r="R2234" s="4" t="s">
        <v>2146</v>
      </c>
      <c r="S2234" s="4" t="s">
        <v>2235</v>
      </c>
      <c r="T2234" s="4" t="s">
        <v>786</v>
      </c>
      <c r="U2234" s="4"/>
      <c r="V2234" s="4"/>
      <c r="W2234" s="4"/>
    </row>
    <row r="2235" spans="1:23" customFormat="1">
      <c r="A2235" s="10"/>
      <c r="B2235" s="4"/>
      <c r="C2235" s="4"/>
      <c r="D2235" s="4"/>
      <c r="E2235" s="4"/>
      <c r="F2235" s="152" t="s">
        <v>658</v>
      </c>
      <c r="G2235" s="4" t="s">
        <v>659</v>
      </c>
      <c r="H2235" s="4"/>
      <c r="I2235" s="196">
        <v>-260507.8</v>
      </c>
      <c r="J2235" s="196">
        <v>-178.43</v>
      </c>
      <c r="K2235" s="196">
        <v>1460</v>
      </c>
      <c r="L2235" s="454" t="s">
        <v>1049</v>
      </c>
      <c r="M2235" s="4" t="s">
        <v>780</v>
      </c>
      <c r="N2235" s="133" t="s">
        <v>1407</v>
      </c>
      <c r="O2235" s="4" t="s">
        <v>2233</v>
      </c>
      <c r="P2235" s="4" t="s">
        <v>892</v>
      </c>
      <c r="Q2235" s="4" t="s">
        <v>2234</v>
      </c>
      <c r="R2235" s="4" t="s">
        <v>2159</v>
      </c>
      <c r="S2235" s="4" t="s">
        <v>2235</v>
      </c>
      <c r="T2235" s="4" t="s">
        <v>786</v>
      </c>
      <c r="U2235" s="4"/>
      <c r="V2235" s="4"/>
      <c r="W2235" s="4"/>
    </row>
    <row r="2236" spans="1:23" customFormat="1">
      <c r="A2236" s="10"/>
      <c r="B2236" s="4"/>
      <c r="C2236" s="4"/>
      <c r="D2236" s="4"/>
      <c r="E2236" s="4"/>
      <c r="F2236" s="152" t="s">
        <v>658</v>
      </c>
      <c r="G2236" s="4" t="s">
        <v>659</v>
      </c>
      <c r="H2236" s="4"/>
      <c r="I2236" s="196">
        <v>-2832.4</v>
      </c>
      <c r="J2236" s="196">
        <v>-1.94</v>
      </c>
      <c r="K2236" s="196">
        <v>1460</v>
      </c>
      <c r="L2236" s="454" t="s">
        <v>1049</v>
      </c>
      <c r="M2236" s="4" t="s">
        <v>780</v>
      </c>
      <c r="N2236" s="133" t="s">
        <v>1407</v>
      </c>
      <c r="O2236" s="4" t="s">
        <v>2233</v>
      </c>
      <c r="P2236" s="4" t="s">
        <v>892</v>
      </c>
      <c r="Q2236" s="4" t="s">
        <v>2234</v>
      </c>
      <c r="R2236" s="4" t="s">
        <v>1515</v>
      </c>
      <c r="S2236" s="4" t="s">
        <v>2235</v>
      </c>
      <c r="T2236" s="4" t="s">
        <v>786</v>
      </c>
      <c r="U2236" s="4"/>
      <c r="V2236" s="4"/>
      <c r="W2236" s="4"/>
    </row>
    <row r="2237" spans="1:23" customFormat="1">
      <c r="A2237" s="10"/>
      <c r="B2237" s="4"/>
      <c r="C2237" s="4"/>
      <c r="D2237" s="4"/>
      <c r="E2237" s="4"/>
      <c r="F2237" s="152" t="s">
        <v>658</v>
      </c>
      <c r="G2237" s="4" t="s">
        <v>659</v>
      </c>
      <c r="H2237" s="4"/>
      <c r="I2237" s="196">
        <v>-85278.6</v>
      </c>
      <c r="J2237" s="196">
        <v>-58.41</v>
      </c>
      <c r="K2237" s="196">
        <v>1460</v>
      </c>
      <c r="L2237" s="454" t="s">
        <v>1049</v>
      </c>
      <c r="M2237" s="4" t="s">
        <v>780</v>
      </c>
      <c r="N2237" s="133" t="s">
        <v>1407</v>
      </c>
      <c r="O2237" s="4" t="s">
        <v>2233</v>
      </c>
      <c r="P2237" s="4" t="s">
        <v>892</v>
      </c>
      <c r="Q2237" s="4" t="s">
        <v>2234</v>
      </c>
      <c r="R2237" s="4" t="s">
        <v>2144</v>
      </c>
      <c r="S2237" s="4" t="s">
        <v>2235</v>
      </c>
      <c r="T2237" s="4" t="s">
        <v>786</v>
      </c>
      <c r="U2237" s="4"/>
      <c r="V2237" s="4"/>
      <c r="W2237" s="4"/>
    </row>
    <row r="2238" spans="1:23" customFormat="1">
      <c r="A2238" s="10"/>
      <c r="B2238" s="4"/>
      <c r="C2238" s="4"/>
      <c r="D2238" s="4"/>
      <c r="E2238" s="4"/>
      <c r="F2238" s="152" t="s">
        <v>658</v>
      </c>
      <c r="G2238" s="4" t="s">
        <v>659</v>
      </c>
      <c r="H2238" s="4"/>
      <c r="I2238" s="196">
        <v>-2832.4</v>
      </c>
      <c r="J2238" s="196">
        <v>-1.94</v>
      </c>
      <c r="K2238" s="196">
        <v>1460</v>
      </c>
      <c r="L2238" s="454" t="s">
        <v>1049</v>
      </c>
      <c r="M2238" s="4" t="s">
        <v>780</v>
      </c>
      <c r="N2238" s="133" t="s">
        <v>1407</v>
      </c>
      <c r="O2238" s="4" t="s">
        <v>2233</v>
      </c>
      <c r="P2238" s="4" t="s">
        <v>892</v>
      </c>
      <c r="Q2238" s="4" t="s">
        <v>2234</v>
      </c>
      <c r="R2238" s="4" t="s">
        <v>1515</v>
      </c>
      <c r="S2238" s="4" t="s">
        <v>2235</v>
      </c>
      <c r="T2238" s="4" t="s">
        <v>786</v>
      </c>
      <c r="U2238" s="4"/>
      <c r="V2238" s="4"/>
      <c r="W2238" s="4"/>
    </row>
    <row r="2239" spans="1:23" customFormat="1">
      <c r="A2239" s="10"/>
      <c r="B2239" s="4"/>
      <c r="C2239" s="4"/>
      <c r="D2239" s="4"/>
      <c r="E2239" s="4"/>
      <c r="F2239" s="152" t="s">
        <v>658</v>
      </c>
      <c r="G2239" s="4" t="s">
        <v>659</v>
      </c>
      <c r="H2239" s="4"/>
      <c r="I2239" s="196">
        <v>-446059.2</v>
      </c>
      <c r="J2239" s="196">
        <v>-305.52</v>
      </c>
      <c r="K2239" s="196">
        <v>1460</v>
      </c>
      <c r="L2239" s="454" t="s">
        <v>1049</v>
      </c>
      <c r="M2239" s="4" t="s">
        <v>780</v>
      </c>
      <c r="N2239" s="133" t="s">
        <v>1407</v>
      </c>
      <c r="O2239" s="4" t="s">
        <v>2233</v>
      </c>
      <c r="P2239" s="4" t="s">
        <v>892</v>
      </c>
      <c r="Q2239" s="4" t="s">
        <v>2234</v>
      </c>
      <c r="R2239" s="4" t="s">
        <v>2145</v>
      </c>
      <c r="S2239" s="4" t="s">
        <v>2235</v>
      </c>
      <c r="T2239" s="4" t="s">
        <v>786</v>
      </c>
      <c r="U2239" s="4"/>
      <c r="V2239" s="4"/>
      <c r="W2239" s="4"/>
    </row>
    <row r="2240" spans="1:23" customFormat="1">
      <c r="A2240" s="10"/>
      <c r="B2240" s="4"/>
      <c r="C2240" s="4"/>
      <c r="D2240" s="4"/>
      <c r="E2240" s="4"/>
      <c r="F2240" s="152" t="s">
        <v>658</v>
      </c>
      <c r="G2240" s="4" t="s">
        <v>659</v>
      </c>
      <c r="H2240" s="4"/>
      <c r="I2240" s="196">
        <v>-2832.4</v>
      </c>
      <c r="J2240" s="196">
        <v>-1.94</v>
      </c>
      <c r="K2240" s="196">
        <v>1460</v>
      </c>
      <c r="L2240" s="454" t="s">
        <v>1049</v>
      </c>
      <c r="M2240" s="4" t="s">
        <v>780</v>
      </c>
      <c r="N2240" s="133" t="s">
        <v>1407</v>
      </c>
      <c r="O2240" s="4" t="s">
        <v>2233</v>
      </c>
      <c r="P2240" s="4" t="s">
        <v>892</v>
      </c>
      <c r="Q2240" s="4" t="s">
        <v>2234</v>
      </c>
      <c r="R2240" s="4" t="s">
        <v>1515</v>
      </c>
      <c r="S2240" s="4" t="s">
        <v>2235</v>
      </c>
      <c r="T2240" s="4" t="s">
        <v>786</v>
      </c>
      <c r="U2240" s="4"/>
      <c r="V2240" s="4"/>
      <c r="W2240" s="4"/>
    </row>
    <row r="2241" spans="1:23" customFormat="1">
      <c r="A2241" s="10"/>
      <c r="B2241" s="4"/>
      <c r="C2241" s="4"/>
      <c r="D2241" s="4"/>
      <c r="E2241" s="4"/>
      <c r="F2241" s="152" t="s">
        <v>658</v>
      </c>
      <c r="G2241" s="4" t="s">
        <v>659</v>
      </c>
      <c r="H2241" s="4"/>
      <c r="I2241" s="196">
        <v>-477916.4</v>
      </c>
      <c r="J2241" s="196">
        <v>-327.33999999999997</v>
      </c>
      <c r="K2241" s="196">
        <v>1460</v>
      </c>
      <c r="L2241" s="454" t="s">
        <v>1049</v>
      </c>
      <c r="M2241" s="4" t="s">
        <v>780</v>
      </c>
      <c r="N2241" s="133" t="s">
        <v>1407</v>
      </c>
      <c r="O2241" s="4" t="s">
        <v>2233</v>
      </c>
      <c r="P2241" s="4" t="s">
        <v>892</v>
      </c>
      <c r="Q2241" s="4" t="s">
        <v>2234</v>
      </c>
      <c r="R2241" s="4" t="s">
        <v>2147</v>
      </c>
      <c r="S2241" s="4" t="s">
        <v>2235</v>
      </c>
      <c r="T2241" s="4" t="s">
        <v>786</v>
      </c>
      <c r="U2241" s="4"/>
      <c r="V2241" s="4"/>
      <c r="W2241" s="4"/>
    </row>
    <row r="2242" spans="1:23" customFormat="1">
      <c r="A2242" s="10"/>
      <c r="B2242" s="4"/>
      <c r="C2242" s="4"/>
      <c r="D2242" s="4"/>
      <c r="E2242" s="4"/>
      <c r="F2242" s="152" t="s">
        <v>658</v>
      </c>
      <c r="G2242" s="4" t="s">
        <v>659</v>
      </c>
      <c r="H2242" s="4"/>
      <c r="I2242" s="196">
        <v>-2832.4</v>
      </c>
      <c r="J2242" s="196">
        <v>-1.94</v>
      </c>
      <c r="K2242" s="196">
        <v>1460</v>
      </c>
      <c r="L2242" s="454" t="s">
        <v>1049</v>
      </c>
      <c r="M2242" s="4" t="s">
        <v>780</v>
      </c>
      <c r="N2242" s="133" t="s">
        <v>1407</v>
      </c>
      <c r="O2242" s="4" t="s">
        <v>2233</v>
      </c>
      <c r="P2242" s="4" t="s">
        <v>892</v>
      </c>
      <c r="Q2242" s="4" t="s">
        <v>2234</v>
      </c>
      <c r="R2242" s="4" t="s">
        <v>1515</v>
      </c>
      <c r="S2242" s="4" t="s">
        <v>2235</v>
      </c>
      <c r="T2242" s="4" t="s">
        <v>786</v>
      </c>
      <c r="U2242" s="4"/>
      <c r="V2242" s="4"/>
      <c r="W2242" s="4"/>
    </row>
    <row r="2243" spans="1:23" customFormat="1">
      <c r="A2243" s="10"/>
      <c r="B2243" s="4"/>
      <c r="C2243" s="4"/>
      <c r="D2243" s="4"/>
      <c r="E2243" s="4"/>
      <c r="F2243" s="152" t="s">
        <v>658</v>
      </c>
      <c r="G2243" s="4" t="s">
        <v>659</v>
      </c>
      <c r="H2243" s="4"/>
      <c r="I2243" s="196">
        <v>-509788.2</v>
      </c>
      <c r="J2243" s="196">
        <v>-349.17</v>
      </c>
      <c r="K2243" s="196">
        <v>1460</v>
      </c>
      <c r="L2243" s="454" t="s">
        <v>1049</v>
      </c>
      <c r="M2243" s="4" t="s">
        <v>780</v>
      </c>
      <c r="N2243" s="133" t="s">
        <v>1407</v>
      </c>
      <c r="O2243" s="4" t="s">
        <v>2233</v>
      </c>
      <c r="P2243" s="4" t="s">
        <v>892</v>
      </c>
      <c r="Q2243" s="4" t="s">
        <v>2234</v>
      </c>
      <c r="R2243" s="4" t="s">
        <v>2149</v>
      </c>
      <c r="S2243" s="4" t="s">
        <v>2235</v>
      </c>
      <c r="T2243" s="4" t="s">
        <v>786</v>
      </c>
      <c r="U2243" s="4"/>
      <c r="V2243" s="4"/>
      <c r="W2243" s="4"/>
    </row>
    <row r="2244" spans="1:23" customFormat="1">
      <c r="A2244" s="10"/>
      <c r="B2244" s="4"/>
      <c r="C2244" s="4"/>
      <c r="D2244" s="4"/>
      <c r="E2244" s="4"/>
      <c r="F2244" s="152" t="s">
        <v>658</v>
      </c>
      <c r="G2244" s="4" t="s">
        <v>659</v>
      </c>
      <c r="H2244" s="4"/>
      <c r="I2244" s="196">
        <v>-2832.4</v>
      </c>
      <c r="J2244" s="196">
        <v>-1.94</v>
      </c>
      <c r="K2244" s="196">
        <v>1460</v>
      </c>
      <c r="L2244" s="454" t="s">
        <v>1049</v>
      </c>
      <c r="M2244" s="4" t="s">
        <v>780</v>
      </c>
      <c r="N2244" s="133" t="s">
        <v>1407</v>
      </c>
      <c r="O2244" s="4" t="s">
        <v>2233</v>
      </c>
      <c r="P2244" s="4" t="s">
        <v>892</v>
      </c>
      <c r="Q2244" s="4" t="s">
        <v>2234</v>
      </c>
      <c r="R2244" s="4" t="s">
        <v>1515</v>
      </c>
      <c r="S2244" s="4" t="s">
        <v>2235</v>
      </c>
      <c r="T2244" s="4" t="s">
        <v>786</v>
      </c>
      <c r="U2244" s="4"/>
      <c r="V2244" s="4"/>
      <c r="W2244" s="4"/>
    </row>
    <row r="2245" spans="1:23" customFormat="1">
      <c r="A2245" s="10"/>
      <c r="B2245" s="4"/>
      <c r="C2245" s="4"/>
      <c r="D2245" s="4"/>
      <c r="E2245" s="4"/>
      <c r="F2245" s="152" t="s">
        <v>658</v>
      </c>
      <c r="G2245" s="4" t="s">
        <v>659</v>
      </c>
      <c r="H2245" s="4"/>
      <c r="I2245" s="196">
        <v>-1124521.2</v>
      </c>
      <c r="J2245" s="196">
        <v>-770.22</v>
      </c>
      <c r="K2245" s="196">
        <v>1460</v>
      </c>
      <c r="L2245" s="454" t="s">
        <v>1049</v>
      </c>
      <c r="M2245" s="4" t="s">
        <v>780</v>
      </c>
      <c r="N2245" s="133" t="s">
        <v>1407</v>
      </c>
      <c r="O2245" s="4" t="s">
        <v>2233</v>
      </c>
      <c r="P2245" s="4" t="s">
        <v>892</v>
      </c>
      <c r="Q2245" s="4" t="s">
        <v>2234</v>
      </c>
      <c r="R2245" s="4" t="s">
        <v>2131</v>
      </c>
      <c r="S2245" s="4" t="s">
        <v>2235</v>
      </c>
      <c r="T2245" s="4" t="s">
        <v>786</v>
      </c>
      <c r="U2245" s="4"/>
      <c r="V2245" s="4"/>
      <c r="W2245" s="4"/>
    </row>
    <row r="2246" spans="1:23" customFormat="1">
      <c r="A2246" s="10"/>
      <c r="B2246" s="4"/>
      <c r="C2246" s="4"/>
      <c r="D2246" s="4"/>
      <c r="E2246" s="4"/>
      <c r="F2246" s="152" t="s">
        <v>658</v>
      </c>
      <c r="G2246" s="4" t="s">
        <v>659</v>
      </c>
      <c r="H2246" s="4"/>
      <c r="I2246" s="196">
        <v>-2169311.7999999998</v>
      </c>
      <c r="J2246" s="196">
        <v>-1485.83</v>
      </c>
      <c r="K2246" s="196">
        <v>1460</v>
      </c>
      <c r="L2246" s="454" t="s">
        <v>1049</v>
      </c>
      <c r="M2246" s="4" t="s">
        <v>780</v>
      </c>
      <c r="N2246" s="133" t="s">
        <v>1407</v>
      </c>
      <c r="O2246" s="4" t="s">
        <v>2233</v>
      </c>
      <c r="P2246" s="4" t="s">
        <v>892</v>
      </c>
      <c r="Q2246" s="4" t="s">
        <v>2234</v>
      </c>
      <c r="R2246" s="4" t="s">
        <v>2133</v>
      </c>
      <c r="S2246" s="4" t="s">
        <v>2235</v>
      </c>
      <c r="T2246" s="4" t="s">
        <v>786</v>
      </c>
      <c r="U2246" s="4"/>
      <c r="V2246" s="4"/>
      <c r="W2246" s="4"/>
    </row>
    <row r="2247" spans="1:23" customFormat="1">
      <c r="A2247" s="10"/>
      <c r="B2247" s="4"/>
      <c r="C2247" s="4"/>
      <c r="D2247" s="4"/>
      <c r="E2247" s="4"/>
      <c r="F2247" s="152" t="s">
        <v>658</v>
      </c>
      <c r="G2247" s="4" t="s">
        <v>659</v>
      </c>
      <c r="H2247" s="4"/>
      <c r="I2247" s="196">
        <v>-2832.4</v>
      </c>
      <c r="J2247" s="196">
        <v>-1.94</v>
      </c>
      <c r="K2247" s="196">
        <v>1460</v>
      </c>
      <c r="L2247" s="454" t="s">
        <v>1049</v>
      </c>
      <c r="M2247" s="4" t="s">
        <v>780</v>
      </c>
      <c r="N2247" s="133" t="s">
        <v>1407</v>
      </c>
      <c r="O2247" s="4" t="s">
        <v>2233</v>
      </c>
      <c r="P2247" s="4" t="s">
        <v>892</v>
      </c>
      <c r="Q2247" s="4" t="s">
        <v>2234</v>
      </c>
      <c r="R2247" s="4" t="s">
        <v>1515</v>
      </c>
      <c r="S2247" s="4" t="s">
        <v>2235</v>
      </c>
      <c r="T2247" s="4" t="s">
        <v>786</v>
      </c>
      <c r="U2247" s="4"/>
      <c r="V2247" s="4"/>
      <c r="W2247" s="4"/>
    </row>
    <row r="2248" spans="1:23" customFormat="1">
      <c r="A2248" s="10"/>
      <c r="B2248" s="4"/>
      <c r="C2248" s="4"/>
      <c r="D2248" s="4"/>
      <c r="E2248" s="4"/>
      <c r="F2248" s="152" t="s">
        <v>658</v>
      </c>
      <c r="G2248" s="4" t="s">
        <v>659</v>
      </c>
      <c r="H2248" s="4"/>
      <c r="I2248" s="196">
        <v>-1746043.2</v>
      </c>
      <c r="J2248" s="196">
        <v>-1195.92</v>
      </c>
      <c r="K2248" s="196">
        <v>1460</v>
      </c>
      <c r="L2248" s="454" t="s">
        <v>1049</v>
      </c>
      <c r="M2248" s="4" t="s">
        <v>780</v>
      </c>
      <c r="N2248" s="133" t="s">
        <v>1407</v>
      </c>
      <c r="O2248" s="4" t="s">
        <v>2233</v>
      </c>
      <c r="P2248" s="4" t="s">
        <v>892</v>
      </c>
      <c r="Q2248" s="4" t="s">
        <v>2234</v>
      </c>
      <c r="R2248" s="4" t="s">
        <v>2136</v>
      </c>
      <c r="S2248" s="4" t="s">
        <v>2235</v>
      </c>
      <c r="T2248" s="4" t="s">
        <v>786</v>
      </c>
      <c r="U2248" s="4"/>
      <c r="V2248" s="4"/>
      <c r="W2248" s="4"/>
    </row>
    <row r="2249" spans="1:23" customFormat="1">
      <c r="A2249" s="10"/>
      <c r="B2249" s="4"/>
      <c r="C2249" s="4"/>
      <c r="D2249" s="4"/>
      <c r="E2249" s="4"/>
      <c r="F2249" s="152" t="s">
        <v>658</v>
      </c>
      <c r="G2249" s="4" t="s">
        <v>659</v>
      </c>
      <c r="H2249" s="4"/>
      <c r="I2249" s="196">
        <v>-1164744.2</v>
      </c>
      <c r="J2249" s="196">
        <v>-797.77</v>
      </c>
      <c r="K2249" s="196">
        <v>1460</v>
      </c>
      <c r="L2249" s="454" t="s">
        <v>1049</v>
      </c>
      <c r="M2249" s="4" t="s">
        <v>780</v>
      </c>
      <c r="N2249" s="133" t="s">
        <v>1407</v>
      </c>
      <c r="O2249" s="4" t="s">
        <v>2233</v>
      </c>
      <c r="P2249" s="4" t="s">
        <v>892</v>
      </c>
      <c r="Q2249" s="4" t="s">
        <v>2234</v>
      </c>
      <c r="R2249" s="4" t="s">
        <v>2138</v>
      </c>
      <c r="S2249" s="4" t="s">
        <v>2235</v>
      </c>
      <c r="T2249" s="4" t="s">
        <v>786</v>
      </c>
      <c r="U2249" s="4"/>
      <c r="V2249" s="4"/>
      <c r="W2249" s="4"/>
    </row>
    <row r="2250" spans="1:23" customFormat="1">
      <c r="A2250" s="10"/>
      <c r="B2250" s="4"/>
      <c r="C2250" s="4"/>
      <c r="D2250" s="4"/>
      <c r="E2250" s="4"/>
      <c r="F2250" s="152" t="s">
        <v>658</v>
      </c>
      <c r="G2250" s="4" t="s">
        <v>659</v>
      </c>
      <c r="H2250" s="4"/>
      <c r="I2250" s="196">
        <v>-2388107.4</v>
      </c>
      <c r="J2250" s="196">
        <v>-1635.69</v>
      </c>
      <c r="K2250" s="196">
        <v>1460</v>
      </c>
      <c r="L2250" s="454" t="s">
        <v>1049</v>
      </c>
      <c r="M2250" s="4" t="s">
        <v>780</v>
      </c>
      <c r="N2250" s="133" t="s">
        <v>1407</v>
      </c>
      <c r="O2250" s="4" t="s">
        <v>2233</v>
      </c>
      <c r="P2250" s="4" t="s">
        <v>892</v>
      </c>
      <c r="Q2250" s="4" t="s">
        <v>2234</v>
      </c>
      <c r="R2250" s="4" t="s">
        <v>2139</v>
      </c>
      <c r="S2250" s="4" t="s">
        <v>2235</v>
      </c>
      <c r="T2250" s="4" t="s">
        <v>786</v>
      </c>
      <c r="U2250" s="4"/>
      <c r="V2250" s="4"/>
      <c r="W2250" s="4"/>
    </row>
    <row r="2251" spans="1:23" customFormat="1">
      <c r="A2251" s="10"/>
      <c r="B2251" s="4"/>
      <c r="C2251" s="4"/>
      <c r="D2251" s="4"/>
      <c r="E2251" s="4"/>
      <c r="F2251" s="152" t="s">
        <v>658</v>
      </c>
      <c r="G2251" s="4" t="s">
        <v>659</v>
      </c>
      <c r="H2251" s="4"/>
      <c r="I2251" s="196">
        <v>-257558.6</v>
      </c>
      <c r="J2251" s="196">
        <v>-176.41</v>
      </c>
      <c r="K2251" s="196">
        <v>1460</v>
      </c>
      <c r="L2251" s="454" t="s">
        <v>1049</v>
      </c>
      <c r="M2251" s="4" t="s">
        <v>780</v>
      </c>
      <c r="N2251" s="133" t="s">
        <v>1407</v>
      </c>
      <c r="O2251" s="4" t="s">
        <v>2233</v>
      </c>
      <c r="P2251" s="4" t="s">
        <v>892</v>
      </c>
      <c r="Q2251" s="4" t="s">
        <v>2234</v>
      </c>
      <c r="R2251" s="4" t="s">
        <v>2141</v>
      </c>
      <c r="S2251" s="4" t="s">
        <v>2235</v>
      </c>
      <c r="T2251" s="4" t="s">
        <v>786</v>
      </c>
      <c r="U2251" s="4"/>
      <c r="V2251" s="4"/>
      <c r="W2251" s="4"/>
    </row>
    <row r="2252" spans="1:23" customFormat="1">
      <c r="A2252" s="10"/>
      <c r="B2252" s="4"/>
      <c r="C2252" s="4"/>
      <c r="D2252" s="4"/>
      <c r="E2252" s="4"/>
      <c r="F2252" s="152" t="s">
        <v>658</v>
      </c>
      <c r="G2252" s="4" t="s">
        <v>659</v>
      </c>
      <c r="H2252" s="4"/>
      <c r="I2252" s="196">
        <v>-2788.6</v>
      </c>
      <c r="J2252" s="196">
        <v>-1.91</v>
      </c>
      <c r="K2252" s="196">
        <v>1460</v>
      </c>
      <c r="L2252" s="454" t="s">
        <v>1049</v>
      </c>
      <c r="M2252" s="4" t="s">
        <v>780</v>
      </c>
      <c r="N2252" s="133" t="s">
        <v>1407</v>
      </c>
      <c r="O2252" s="4" t="s">
        <v>2233</v>
      </c>
      <c r="P2252" s="4" t="s">
        <v>892</v>
      </c>
      <c r="Q2252" s="4" t="s">
        <v>2234</v>
      </c>
      <c r="R2252" s="4" t="s">
        <v>1515</v>
      </c>
      <c r="S2252" s="4" t="s">
        <v>2235</v>
      </c>
      <c r="T2252" s="4" t="s">
        <v>786</v>
      </c>
      <c r="U2252" s="4"/>
      <c r="V2252" s="4"/>
      <c r="W2252" s="4"/>
    </row>
    <row r="2253" spans="1:23" customFormat="1">
      <c r="A2253" s="10"/>
      <c r="B2253" s="4"/>
      <c r="C2253" s="4"/>
      <c r="D2253" s="4"/>
      <c r="E2253" s="4"/>
      <c r="F2253" s="152" t="s">
        <v>658</v>
      </c>
      <c r="G2253" s="4" t="s">
        <v>659</v>
      </c>
      <c r="H2253" s="4"/>
      <c r="I2253" s="196">
        <v>-101338.6</v>
      </c>
      <c r="J2253" s="196">
        <v>-69.41</v>
      </c>
      <c r="K2253" s="196">
        <v>1460</v>
      </c>
      <c r="L2253" s="454" t="s">
        <v>1049</v>
      </c>
      <c r="M2253" s="4" t="s">
        <v>780</v>
      </c>
      <c r="N2253" s="133" t="s">
        <v>1407</v>
      </c>
      <c r="O2253" s="4" t="s">
        <v>2233</v>
      </c>
      <c r="P2253" s="4" t="s">
        <v>892</v>
      </c>
      <c r="Q2253" s="4" t="s">
        <v>2234</v>
      </c>
      <c r="R2253" s="4" t="s">
        <v>2143</v>
      </c>
      <c r="S2253" s="4" t="s">
        <v>2235</v>
      </c>
      <c r="T2253" s="4" t="s">
        <v>786</v>
      </c>
      <c r="U2253" s="4"/>
      <c r="V2253" s="4"/>
      <c r="W2253" s="4"/>
    </row>
    <row r="2254" spans="1:23" customFormat="1">
      <c r="A2254" s="10"/>
      <c r="B2254" s="4"/>
      <c r="C2254" s="4"/>
      <c r="D2254" s="4"/>
      <c r="E2254" s="4"/>
      <c r="F2254" s="152" t="s">
        <v>658</v>
      </c>
      <c r="G2254" s="4" t="s">
        <v>659</v>
      </c>
      <c r="H2254" s="4"/>
      <c r="I2254" s="196">
        <v>-381556.4</v>
      </c>
      <c r="J2254" s="196">
        <v>-261.33999999999997</v>
      </c>
      <c r="K2254" s="196">
        <v>1460</v>
      </c>
      <c r="L2254" s="454" t="s">
        <v>1049</v>
      </c>
      <c r="M2254" s="4" t="s">
        <v>780</v>
      </c>
      <c r="N2254" s="133" t="s">
        <v>1407</v>
      </c>
      <c r="O2254" s="4" t="s">
        <v>2233</v>
      </c>
      <c r="P2254" s="4" t="s">
        <v>892</v>
      </c>
      <c r="Q2254" s="4" t="s">
        <v>2234</v>
      </c>
      <c r="R2254" s="4" t="s">
        <v>2160</v>
      </c>
      <c r="S2254" s="4" t="s">
        <v>2235</v>
      </c>
      <c r="T2254" s="4" t="s">
        <v>786</v>
      </c>
      <c r="U2254" s="4"/>
      <c r="V2254" s="4"/>
      <c r="W2254" s="4"/>
    </row>
    <row r="2255" spans="1:23" customFormat="1">
      <c r="A2255" s="10"/>
      <c r="B2255" s="4"/>
      <c r="C2255" s="4"/>
      <c r="D2255" s="4"/>
      <c r="E2255" s="4"/>
      <c r="F2255" s="152" t="s">
        <v>658</v>
      </c>
      <c r="G2255" s="4" t="s">
        <v>659</v>
      </c>
      <c r="H2255" s="4"/>
      <c r="I2255" s="196">
        <v>-224518.8</v>
      </c>
      <c r="J2255" s="196">
        <v>-153.78</v>
      </c>
      <c r="K2255" s="196">
        <v>1460</v>
      </c>
      <c r="L2255" s="454" t="s">
        <v>1049</v>
      </c>
      <c r="M2255" s="4" t="s">
        <v>780</v>
      </c>
      <c r="N2255" s="133" t="s">
        <v>1407</v>
      </c>
      <c r="O2255" s="4" t="s">
        <v>2233</v>
      </c>
      <c r="P2255" s="4" t="s">
        <v>892</v>
      </c>
      <c r="Q2255" s="4" t="s">
        <v>2234</v>
      </c>
      <c r="R2255" s="4" t="s">
        <v>2156</v>
      </c>
      <c r="S2255" s="4" t="s">
        <v>2235</v>
      </c>
      <c r="T2255" s="4" t="s">
        <v>786</v>
      </c>
      <c r="U2255" s="4"/>
      <c r="V2255" s="4"/>
      <c r="W2255" s="4"/>
    </row>
    <row r="2256" spans="1:23" customFormat="1">
      <c r="A2256" s="10"/>
      <c r="B2256" s="4"/>
      <c r="C2256" s="4"/>
      <c r="D2256" s="4"/>
      <c r="E2256" s="4"/>
      <c r="F2256" s="152" t="s">
        <v>658</v>
      </c>
      <c r="G2256" s="4" t="s">
        <v>659</v>
      </c>
      <c r="H2256" s="4"/>
      <c r="I2256" s="196">
        <v>-2832.4</v>
      </c>
      <c r="J2256" s="196">
        <v>-1.94</v>
      </c>
      <c r="K2256" s="196">
        <v>1460</v>
      </c>
      <c r="L2256" s="454" t="s">
        <v>1049</v>
      </c>
      <c r="M2256" s="4" t="s">
        <v>780</v>
      </c>
      <c r="N2256" s="133" t="s">
        <v>1407</v>
      </c>
      <c r="O2256" s="4" t="s">
        <v>2233</v>
      </c>
      <c r="P2256" s="4" t="s">
        <v>892</v>
      </c>
      <c r="Q2256" s="4" t="s">
        <v>2234</v>
      </c>
      <c r="R2256" s="4" t="s">
        <v>1515</v>
      </c>
      <c r="S2256" s="4" t="s">
        <v>2235</v>
      </c>
      <c r="T2256" s="4" t="s">
        <v>786</v>
      </c>
      <c r="U2256" s="4"/>
      <c r="V2256" s="4"/>
      <c r="W2256" s="4"/>
    </row>
    <row r="2257" spans="1:23" customFormat="1">
      <c r="A2257" s="10"/>
      <c r="B2257" s="4"/>
      <c r="C2257" s="4"/>
      <c r="D2257" s="4"/>
      <c r="E2257" s="4"/>
      <c r="F2257" s="152" t="s">
        <v>658</v>
      </c>
      <c r="G2257" s="4" t="s">
        <v>659</v>
      </c>
      <c r="H2257" s="4"/>
      <c r="I2257" s="196">
        <v>-1253760.3999999999</v>
      </c>
      <c r="J2257" s="196">
        <v>-858.74</v>
      </c>
      <c r="K2257" s="196">
        <v>1460</v>
      </c>
      <c r="L2257" s="454" t="s">
        <v>1049</v>
      </c>
      <c r="M2257" s="4" t="s">
        <v>780</v>
      </c>
      <c r="N2257" s="133" t="s">
        <v>1407</v>
      </c>
      <c r="O2257" s="4" t="s">
        <v>2233</v>
      </c>
      <c r="P2257" s="4" t="s">
        <v>892</v>
      </c>
      <c r="Q2257" s="4" t="s">
        <v>2234</v>
      </c>
      <c r="R2257" s="4" t="s">
        <v>2134</v>
      </c>
      <c r="S2257" s="4" t="s">
        <v>2235</v>
      </c>
      <c r="T2257" s="4" t="s">
        <v>786</v>
      </c>
      <c r="U2257" s="4"/>
      <c r="V2257" s="4"/>
      <c r="W2257" s="4"/>
    </row>
    <row r="2258" spans="1:23" customFormat="1">
      <c r="A2258" s="10"/>
      <c r="B2258" s="4"/>
      <c r="C2258" s="4"/>
      <c r="D2258" s="4"/>
      <c r="E2258" s="4"/>
      <c r="F2258" s="152" t="s">
        <v>658</v>
      </c>
      <c r="G2258" s="4" t="s">
        <v>659</v>
      </c>
      <c r="H2258" s="4"/>
      <c r="I2258" s="196">
        <v>-715940.2</v>
      </c>
      <c r="J2258" s="196">
        <v>-490.37</v>
      </c>
      <c r="K2258" s="196">
        <v>1460</v>
      </c>
      <c r="L2258" s="454" t="s">
        <v>1049</v>
      </c>
      <c r="M2258" s="4" t="s">
        <v>780</v>
      </c>
      <c r="N2258" s="133" t="s">
        <v>1407</v>
      </c>
      <c r="O2258" s="4" t="s">
        <v>2233</v>
      </c>
      <c r="P2258" s="4" t="s">
        <v>892</v>
      </c>
      <c r="Q2258" s="4" t="s">
        <v>2234</v>
      </c>
      <c r="R2258" s="4" t="s">
        <v>2158</v>
      </c>
      <c r="S2258" s="4" t="s">
        <v>2235</v>
      </c>
      <c r="T2258" s="4" t="s">
        <v>786</v>
      </c>
      <c r="U2258" s="4"/>
      <c r="V2258" s="4"/>
      <c r="W2258" s="4"/>
    </row>
    <row r="2259" spans="1:23" customFormat="1">
      <c r="A2259" s="10"/>
      <c r="B2259" s="4"/>
      <c r="C2259" s="4"/>
      <c r="D2259" s="4"/>
      <c r="E2259" s="4"/>
      <c r="F2259" s="152" t="s">
        <v>658</v>
      </c>
      <c r="G2259" s="4" t="s">
        <v>659</v>
      </c>
      <c r="H2259" s="4"/>
      <c r="I2259" s="196">
        <v>-1277602.2</v>
      </c>
      <c r="J2259" s="196">
        <v>-875.07</v>
      </c>
      <c r="K2259" s="196">
        <v>1460</v>
      </c>
      <c r="L2259" s="454" t="s">
        <v>1049</v>
      </c>
      <c r="M2259" s="4" t="s">
        <v>780</v>
      </c>
      <c r="N2259" s="133" t="s">
        <v>1407</v>
      </c>
      <c r="O2259" s="4" t="s">
        <v>2233</v>
      </c>
      <c r="P2259" s="4" t="s">
        <v>892</v>
      </c>
      <c r="Q2259" s="4" t="s">
        <v>2234</v>
      </c>
      <c r="R2259" s="4" t="s">
        <v>2132</v>
      </c>
      <c r="S2259" s="4" t="s">
        <v>2235</v>
      </c>
      <c r="T2259" s="4" t="s">
        <v>786</v>
      </c>
      <c r="U2259" s="4"/>
      <c r="V2259" s="4"/>
      <c r="W2259" s="4"/>
    </row>
    <row r="2260" spans="1:23" customFormat="1">
      <c r="A2260" s="10"/>
      <c r="B2260" s="4"/>
      <c r="C2260" s="4"/>
      <c r="D2260" s="4"/>
      <c r="E2260" s="4"/>
      <c r="F2260" s="152" t="s">
        <v>658</v>
      </c>
      <c r="G2260" s="4" t="s">
        <v>659</v>
      </c>
      <c r="H2260" s="4"/>
      <c r="I2260" s="196">
        <v>-2832.4</v>
      </c>
      <c r="J2260" s="196">
        <v>-1.94</v>
      </c>
      <c r="K2260" s="196">
        <v>1460</v>
      </c>
      <c r="L2260" s="454" t="s">
        <v>1049</v>
      </c>
      <c r="M2260" s="4" t="s">
        <v>780</v>
      </c>
      <c r="N2260" s="133" t="s">
        <v>1407</v>
      </c>
      <c r="O2260" s="4" t="s">
        <v>2233</v>
      </c>
      <c r="P2260" s="4" t="s">
        <v>892</v>
      </c>
      <c r="Q2260" s="4" t="s">
        <v>2234</v>
      </c>
      <c r="R2260" s="4" t="s">
        <v>1515</v>
      </c>
      <c r="S2260" s="4" t="s">
        <v>2235</v>
      </c>
      <c r="T2260" s="4" t="s">
        <v>786</v>
      </c>
      <c r="U2260" s="4"/>
      <c r="V2260" s="4"/>
      <c r="W2260" s="4"/>
    </row>
    <row r="2261" spans="1:23" customFormat="1">
      <c r="A2261" s="10"/>
      <c r="B2261" s="4"/>
      <c r="C2261" s="4"/>
      <c r="D2261" s="4"/>
      <c r="E2261" s="4"/>
      <c r="F2261" s="152" t="s">
        <v>658</v>
      </c>
      <c r="G2261" s="4" t="s">
        <v>659</v>
      </c>
      <c r="H2261" s="4"/>
      <c r="I2261" s="196">
        <v>-254886.8</v>
      </c>
      <c r="J2261" s="196">
        <v>-174.58</v>
      </c>
      <c r="K2261" s="196">
        <v>1460</v>
      </c>
      <c r="L2261" s="454" t="s">
        <v>1049</v>
      </c>
      <c r="M2261" s="4" t="s">
        <v>780</v>
      </c>
      <c r="N2261" s="133" t="s">
        <v>1407</v>
      </c>
      <c r="O2261" s="4" t="s">
        <v>2233</v>
      </c>
      <c r="P2261" s="4" t="s">
        <v>892</v>
      </c>
      <c r="Q2261" s="4" t="s">
        <v>2234</v>
      </c>
      <c r="R2261" s="4" t="s">
        <v>2142</v>
      </c>
      <c r="S2261" s="4" t="s">
        <v>2235</v>
      </c>
      <c r="T2261" s="4" t="s">
        <v>786</v>
      </c>
      <c r="U2261" s="4"/>
      <c r="V2261" s="4"/>
      <c r="W2261" s="4"/>
    </row>
    <row r="2262" spans="1:23" customFormat="1">
      <c r="A2262" s="10"/>
      <c r="B2262" s="4"/>
      <c r="C2262" s="4"/>
      <c r="D2262" s="4"/>
      <c r="E2262" s="4"/>
      <c r="F2262" s="152" t="s">
        <v>658</v>
      </c>
      <c r="G2262" s="4" t="s">
        <v>659</v>
      </c>
      <c r="H2262" s="4"/>
      <c r="I2262" s="196">
        <v>-2832.4</v>
      </c>
      <c r="J2262" s="196">
        <v>-1.94</v>
      </c>
      <c r="K2262" s="196">
        <v>1460</v>
      </c>
      <c r="L2262" s="454" t="s">
        <v>1049</v>
      </c>
      <c r="M2262" s="4" t="s">
        <v>780</v>
      </c>
      <c r="N2262" s="133" t="s">
        <v>1407</v>
      </c>
      <c r="O2262" s="4" t="s">
        <v>2233</v>
      </c>
      <c r="P2262" s="4" t="s">
        <v>892</v>
      </c>
      <c r="Q2262" s="4" t="s">
        <v>2234</v>
      </c>
      <c r="R2262" s="4" t="s">
        <v>1515</v>
      </c>
      <c r="S2262" s="4" t="s">
        <v>2235</v>
      </c>
      <c r="T2262" s="4" t="s">
        <v>786</v>
      </c>
      <c r="U2262" s="4"/>
      <c r="V2262" s="4"/>
      <c r="W2262" s="4"/>
    </row>
    <row r="2263" spans="1:23" customFormat="1">
      <c r="A2263" s="10"/>
      <c r="B2263" s="4"/>
      <c r="C2263" s="4"/>
      <c r="D2263" s="4"/>
      <c r="E2263" s="4"/>
      <c r="F2263" s="152" t="s">
        <v>658</v>
      </c>
      <c r="G2263" s="4" t="s">
        <v>659</v>
      </c>
      <c r="H2263" s="4"/>
      <c r="I2263" s="196">
        <v>-446059.2</v>
      </c>
      <c r="J2263" s="196">
        <v>-305.52</v>
      </c>
      <c r="K2263" s="196">
        <v>1460</v>
      </c>
      <c r="L2263" s="454" t="s">
        <v>1049</v>
      </c>
      <c r="M2263" s="4" t="s">
        <v>780</v>
      </c>
      <c r="N2263" s="133" t="s">
        <v>1407</v>
      </c>
      <c r="O2263" s="4" t="s">
        <v>2233</v>
      </c>
      <c r="P2263" s="4" t="s">
        <v>892</v>
      </c>
      <c r="Q2263" s="4" t="s">
        <v>2234</v>
      </c>
      <c r="R2263" s="4" t="s">
        <v>2140</v>
      </c>
      <c r="S2263" s="4" t="s">
        <v>2235</v>
      </c>
      <c r="T2263" s="4" t="s">
        <v>786</v>
      </c>
      <c r="U2263" s="4"/>
      <c r="V2263" s="4"/>
      <c r="W2263" s="4"/>
    </row>
    <row r="2264" spans="1:23" customFormat="1">
      <c r="A2264" s="10"/>
      <c r="B2264" s="4"/>
      <c r="C2264" s="4"/>
      <c r="D2264" s="4"/>
      <c r="E2264" s="4"/>
      <c r="F2264" s="152" t="s">
        <v>658</v>
      </c>
      <c r="G2264" s="4" t="s">
        <v>659</v>
      </c>
      <c r="H2264" s="4"/>
      <c r="I2264" s="196">
        <v>-1124521.2</v>
      </c>
      <c r="J2264" s="196">
        <v>-770.22</v>
      </c>
      <c r="K2264" s="196">
        <v>1460</v>
      </c>
      <c r="L2264" s="454" t="s">
        <v>1049</v>
      </c>
      <c r="M2264" s="4" t="s">
        <v>780</v>
      </c>
      <c r="N2264" s="133" t="s">
        <v>1407</v>
      </c>
      <c r="O2264" s="4" t="s">
        <v>2236</v>
      </c>
      <c r="P2264" s="4" t="s">
        <v>892</v>
      </c>
      <c r="Q2264" s="4" t="s">
        <v>2237</v>
      </c>
      <c r="R2264" s="4" t="s">
        <v>2131</v>
      </c>
      <c r="S2264" s="4" t="s">
        <v>2238</v>
      </c>
      <c r="T2264" s="4" t="s">
        <v>786</v>
      </c>
      <c r="U2264" s="4"/>
      <c r="V2264" s="4"/>
      <c r="W2264" s="4"/>
    </row>
    <row r="2265" spans="1:23" customFormat="1">
      <c r="A2265" s="10"/>
      <c r="B2265" s="4"/>
      <c r="C2265" s="4"/>
      <c r="D2265" s="4"/>
      <c r="E2265" s="4"/>
      <c r="F2265" s="152" t="s">
        <v>658</v>
      </c>
      <c r="G2265" s="4" t="s">
        <v>659</v>
      </c>
      <c r="H2265" s="4"/>
      <c r="I2265" s="196">
        <v>-1277602.2</v>
      </c>
      <c r="J2265" s="196">
        <v>-875.07</v>
      </c>
      <c r="K2265" s="196">
        <v>1460</v>
      </c>
      <c r="L2265" s="454" t="s">
        <v>1049</v>
      </c>
      <c r="M2265" s="4" t="s">
        <v>780</v>
      </c>
      <c r="N2265" s="133" t="s">
        <v>1407</v>
      </c>
      <c r="O2265" s="4" t="s">
        <v>2236</v>
      </c>
      <c r="P2265" s="4" t="s">
        <v>892</v>
      </c>
      <c r="Q2265" s="4" t="s">
        <v>2237</v>
      </c>
      <c r="R2265" s="4" t="s">
        <v>2132</v>
      </c>
      <c r="S2265" s="4" t="s">
        <v>2238</v>
      </c>
      <c r="T2265" s="4" t="s">
        <v>786</v>
      </c>
      <c r="U2265" s="4"/>
      <c r="V2265" s="4"/>
      <c r="W2265" s="4"/>
    </row>
    <row r="2266" spans="1:23" customFormat="1">
      <c r="A2266" s="10"/>
      <c r="B2266" s="4"/>
      <c r="C2266" s="4"/>
      <c r="D2266" s="4"/>
      <c r="E2266" s="4"/>
      <c r="F2266" s="152" t="s">
        <v>658</v>
      </c>
      <c r="G2266" s="4" t="s">
        <v>659</v>
      </c>
      <c r="H2266" s="4"/>
      <c r="I2266" s="196">
        <v>-932662.6</v>
      </c>
      <c r="J2266" s="196">
        <v>-638.80999999999995</v>
      </c>
      <c r="K2266" s="196">
        <v>1460</v>
      </c>
      <c r="L2266" s="454" t="s">
        <v>1049</v>
      </c>
      <c r="M2266" s="4" t="s">
        <v>780</v>
      </c>
      <c r="N2266" s="133" t="s">
        <v>1407</v>
      </c>
      <c r="O2266" s="4" t="s">
        <v>2236</v>
      </c>
      <c r="P2266" s="4" t="s">
        <v>892</v>
      </c>
      <c r="Q2266" s="4" t="s">
        <v>2237</v>
      </c>
      <c r="R2266" s="4" t="s">
        <v>2155</v>
      </c>
      <c r="S2266" s="4" t="s">
        <v>2238</v>
      </c>
      <c r="T2266" s="4" t="s">
        <v>786</v>
      </c>
      <c r="U2266" s="4"/>
      <c r="V2266" s="4"/>
      <c r="W2266" s="4"/>
    </row>
    <row r="2267" spans="1:23" customFormat="1">
      <c r="A2267" s="10"/>
      <c r="B2267" s="4"/>
      <c r="C2267" s="4"/>
      <c r="D2267" s="4"/>
      <c r="E2267" s="4"/>
      <c r="F2267" s="152" t="s">
        <v>658</v>
      </c>
      <c r="G2267" s="4" t="s">
        <v>659</v>
      </c>
      <c r="H2267" s="4"/>
      <c r="I2267" s="196">
        <v>-2788.6</v>
      </c>
      <c r="J2267" s="196">
        <v>-1.91</v>
      </c>
      <c r="K2267" s="196">
        <v>1460</v>
      </c>
      <c r="L2267" s="454" t="s">
        <v>1049</v>
      </c>
      <c r="M2267" s="4" t="s">
        <v>780</v>
      </c>
      <c r="N2267" s="133" t="s">
        <v>1407</v>
      </c>
      <c r="O2267" s="4" t="s">
        <v>2236</v>
      </c>
      <c r="P2267" s="4" t="s">
        <v>892</v>
      </c>
      <c r="Q2267" s="4" t="s">
        <v>2237</v>
      </c>
      <c r="R2267" s="4" t="s">
        <v>1515</v>
      </c>
      <c r="S2267" s="4" t="s">
        <v>2238</v>
      </c>
      <c r="T2267" s="4" t="s">
        <v>786</v>
      </c>
      <c r="U2267" s="4"/>
      <c r="V2267" s="4"/>
      <c r="W2267" s="4"/>
    </row>
    <row r="2268" spans="1:23" customFormat="1">
      <c r="A2268" s="10"/>
      <c r="B2268" s="4"/>
      <c r="C2268" s="4"/>
      <c r="D2268" s="4"/>
      <c r="E2268" s="4"/>
      <c r="F2268" s="152" t="s">
        <v>658</v>
      </c>
      <c r="G2268" s="4" t="s">
        <v>659</v>
      </c>
      <c r="H2268" s="4"/>
      <c r="I2268" s="196">
        <v>-224518.8</v>
      </c>
      <c r="J2268" s="196">
        <v>-153.78</v>
      </c>
      <c r="K2268" s="196">
        <v>1460</v>
      </c>
      <c r="L2268" s="454" t="s">
        <v>1049</v>
      </c>
      <c r="M2268" s="4" t="s">
        <v>780</v>
      </c>
      <c r="N2268" s="133" t="s">
        <v>1407</v>
      </c>
      <c r="O2268" s="4" t="s">
        <v>2236</v>
      </c>
      <c r="P2268" s="4" t="s">
        <v>892</v>
      </c>
      <c r="Q2268" s="4" t="s">
        <v>2237</v>
      </c>
      <c r="R2268" s="4" t="s">
        <v>2156</v>
      </c>
      <c r="S2268" s="4" t="s">
        <v>2238</v>
      </c>
      <c r="T2268" s="4" t="s">
        <v>786</v>
      </c>
      <c r="U2268" s="4"/>
      <c r="V2268" s="4"/>
      <c r="W2268" s="4"/>
    </row>
    <row r="2269" spans="1:23" customFormat="1">
      <c r="A2269" s="10"/>
      <c r="B2269" s="4"/>
      <c r="C2269" s="4"/>
      <c r="D2269" s="4"/>
      <c r="E2269" s="4"/>
      <c r="F2269" s="152" t="s">
        <v>658</v>
      </c>
      <c r="G2269" s="4" t="s">
        <v>659</v>
      </c>
      <c r="H2269" s="4"/>
      <c r="I2269" s="196">
        <v>-381556.4</v>
      </c>
      <c r="J2269" s="196">
        <v>-261.33999999999997</v>
      </c>
      <c r="K2269" s="196">
        <v>1460</v>
      </c>
      <c r="L2269" s="454" t="s">
        <v>1049</v>
      </c>
      <c r="M2269" s="4" t="s">
        <v>780</v>
      </c>
      <c r="N2269" s="133" t="s">
        <v>1407</v>
      </c>
      <c r="O2269" s="4" t="s">
        <v>2236</v>
      </c>
      <c r="P2269" s="4" t="s">
        <v>892</v>
      </c>
      <c r="Q2269" s="4" t="s">
        <v>2237</v>
      </c>
      <c r="R2269" s="4" t="s">
        <v>2160</v>
      </c>
      <c r="S2269" s="4" t="s">
        <v>2238</v>
      </c>
      <c r="T2269" s="4" t="s">
        <v>786</v>
      </c>
      <c r="U2269" s="4"/>
      <c r="V2269" s="4"/>
      <c r="W2269" s="4"/>
    </row>
    <row r="2270" spans="1:23" customFormat="1">
      <c r="A2270" s="10"/>
      <c r="B2270" s="4"/>
      <c r="C2270" s="4"/>
      <c r="D2270" s="4"/>
      <c r="E2270" s="4"/>
      <c r="F2270" s="152" t="s">
        <v>658</v>
      </c>
      <c r="G2270" s="4" t="s">
        <v>659</v>
      </c>
      <c r="H2270" s="4"/>
      <c r="I2270" s="196">
        <v>-101338.6</v>
      </c>
      <c r="J2270" s="196">
        <v>-69.41</v>
      </c>
      <c r="K2270" s="196">
        <v>1460</v>
      </c>
      <c r="L2270" s="454" t="s">
        <v>1049</v>
      </c>
      <c r="M2270" s="4" t="s">
        <v>780</v>
      </c>
      <c r="N2270" s="133" t="s">
        <v>1407</v>
      </c>
      <c r="O2270" s="4" t="s">
        <v>2236</v>
      </c>
      <c r="P2270" s="4" t="s">
        <v>892</v>
      </c>
      <c r="Q2270" s="4" t="s">
        <v>2237</v>
      </c>
      <c r="R2270" s="4" t="s">
        <v>2143</v>
      </c>
      <c r="S2270" s="4" t="s">
        <v>2238</v>
      </c>
      <c r="T2270" s="4" t="s">
        <v>786</v>
      </c>
      <c r="U2270" s="4"/>
      <c r="V2270" s="4"/>
      <c r="W2270" s="4"/>
    </row>
    <row r="2271" spans="1:23" customFormat="1">
      <c r="A2271" s="10"/>
      <c r="B2271" s="4"/>
      <c r="C2271" s="4"/>
      <c r="D2271" s="4"/>
      <c r="E2271" s="4"/>
      <c r="F2271" s="152" t="s">
        <v>658</v>
      </c>
      <c r="G2271" s="4" t="s">
        <v>659</v>
      </c>
      <c r="H2271" s="4"/>
      <c r="I2271" s="196">
        <v>-2788.6</v>
      </c>
      <c r="J2271" s="196">
        <v>-1.91</v>
      </c>
      <c r="K2271" s="196">
        <v>1460</v>
      </c>
      <c r="L2271" s="454" t="s">
        <v>1049</v>
      </c>
      <c r="M2271" s="4" t="s">
        <v>780</v>
      </c>
      <c r="N2271" s="133" t="s">
        <v>1407</v>
      </c>
      <c r="O2271" s="4" t="s">
        <v>2236</v>
      </c>
      <c r="P2271" s="4" t="s">
        <v>892</v>
      </c>
      <c r="Q2271" s="4" t="s">
        <v>2237</v>
      </c>
      <c r="R2271" s="4" t="s">
        <v>1515</v>
      </c>
      <c r="S2271" s="4" t="s">
        <v>2238</v>
      </c>
      <c r="T2271" s="4" t="s">
        <v>786</v>
      </c>
      <c r="U2271" s="4"/>
      <c r="V2271" s="4"/>
      <c r="W2271" s="4"/>
    </row>
    <row r="2272" spans="1:23" customFormat="1">
      <c r="A2272" s="10"/>
      <c r="B2272" s="4"/>
      <c r="C2272" s="4"/>
      <c r="D2272" s="4"/>
      <c r="E2272" s="4"/>
      <c r="F2272" s="152" t="s">
        <v>658</v>
      </c>
      <c r="G2272" s="4" t="s">
        <v>659</v>
      </c>
      <c r="H2272" s="4"/>
      <c r="I2272" s="196">
        <v>-1253760.3999999999</v>
      </c>
      <c r="J2272" s="196">
        <v>-858.74</v>
      </c>
      <c r="K2272" s="196">
        <v>1460</v>
      </c>
      <c r="L2272" s="454" t="s">
        <v>1049</v>
      </c>
      <c r="M2272" s="4" t="s">
        <v>780</v>
      </c>
      <c r="N2272" s="133" t="s">
        <v>1407</v>
      </c>
      <c r="O2272" s="4" t="s">
        <v>2236</v>
      </c>
      <c r="P2272" s="4" t="s">
        <v>892</v>
      </c>
      <c r="Q2272" s="4" t="s">
        <v>2237</v>
      </c>
      <c r="R2272" s="4" t="s">
        <v>2130</v>
      </c>
      <c r="S2272" s="4" t="s">
        <v>2238</v>
      </c>
      <c r="T2272" s="4" t="s">
        <v>786</v>
      </c>
      <c r="U2272" s="4"/>
      <c r="V2272" s="4"/>
      <c r="W2272" s="4"/>
    </row>
    <row r="2273" spans="1:23" customFormat="1">
      <c r="A2273" s="10"/>
      <c r="B2273" s="4"/>
      <c r="C2273" s="4"/>
      <c r="D2273" s="4"/>
      <c r="E2273" s="4"/>
      <c r="F2273" s="152" t="s">
        <v>658</v>
      </c>
      <c r="G2273" s="4" t="s">
        <v>659</v>
      </c>
      <c r="H2273" s="4"/>
      <c r="I2273" s="196">
        <v>-1746043.2</v>
      </c>
      <c r="J2273" s="196">
        <v>-1195.92</v>
      </c>
      <c r="K2273" s="196">
        <v>1460</v>
      </c>
      <c r="L2273" s="454" t="s">
        <v>1049</v>
      </c>
      <c r="M2273" s="4" t="s">
        <v>780</v>
      </c>
      <c r="N2273" s="133" t="s">
        <v>1407</v>
      </c>
      <c r="O2273" s="4" t="s">
        <v>2236</v>
      </c>
      <c r="P2273" s="4" t="s">
        <v>892</v>
      </c>
      <c r="Q2273" s="4" t="s">
        <v>2237</v>
      </c>
      <c r="R2273" s="4" t="s">
        <v>2136</v>
      </c>
      <c r="S2273" s="4" t="s">
        <v>2238</v>
      </c>
      <c r="T2273" s="4" t="s">
        <v>786</v>
      </c>
      <c r="U2273" s="4"/>
      <c r="V2273" s="4"/>
      <c r="W2273" s="4"/>
    </row>
    <row r="2274" spans="1:23" customFormat="1">
      <c r="A2274" s="10"/>
      <c r="B2274" s="4"/>
      <c r="C2274" s="4"/>
      <c r="D2274" s="4"/>
      <c r="E2274" s="4"/>
      <c r="F2274" s="152" t="s">
        <v>658</v>
      </c>
      <c r="G2274" s="4" t="s">
        <v>659</v>
      </c>
      <c r="H2274" s="4"/>
      <c r="I2274" s="196">
        <v>-321127</v>
      </c>
      <c r="J2274" s="196">
        <v>-219.95</v>
      </c>
      <c r="K2274" s="196">
        <v>1460</v>
      </c>
      <c r="L2274" s="454" t="s">
        <v>1049</v>
      </c>
      <c r="M2274" s="4" t="s">
        <v>780</v>
      </c>
      <c r="N2274" s="133" t="s">
        <v>1407</v>
      </c>
      <c r="O2274" s="4" t="s">
        <v>2236</v>
      </c>
      <c r="P2274" s="4" t="s">
        <v>892</v>
      </c>
      <c r="Q2274" s="4" t="s">
        <v>2237</v>
      </c>
      <c r="R2274" s="4" t="s">
        <v>2148</v>
      </c>
      <c r="S2274" s="4" t="s">
        <v>2238</v>
      </c>
      <c r="T2274" s="4" t="s">
        <v>786</v>
      </c>
      <c r="U2274" s="4"/>
      <c r="V2274" s="4"/>
      <c r="W2274" s="4"/>
    </row>
    <row r="2275" spans="1:23" customFormat="1">
      <c r="A2275" s="10"/>
      <c r="B2275" s="4"/>
      <c r="C2275" s="4"/>
      <c r="D2275" s="4"/>
      <c r="E2275" s="4"/>
      <c r="F2275" s="152" t="s">
        <v>658</v>
      </c>
      <c r="G2275" s="4" t="s">
        <v>659</v>
      </c>
      <c r="H2275" s="4"/>
      <c r="I2275" s="196">
        <v>-1277602.2</v>
      </c>
      <c r="J2275" s="196">
        <v>-875.07</v>
      </c>
      <c r="K2275" s="196">
        <v>1460</v>
      </c>
      <c r="L2275" s="454" t="s">
        <v>1049</v>
      </c>
      <c r="M2275" s="4" t="s">
        <v>780</v>
      </c>
      <c r="N2275" s="133" t="s">
        <v>1407</v>
      </c>
      <c r="O2275" s="4" t="s">
        <v>2236</v>
      </c>
      <c r="P2275" s="4" t="s">
        <v>892</v>
      </c>
      <c r="Q2275" s="4" t="s">
        <v>2237</v>
      </c>
      <c r="R2275" s="4" t="s">
        <v>2150</v>
      </c>
      <c r="S2275" s="4" t="s">
        <v>2238</v>
      </c>
      <c r="T2275" s="4" t="s">
        <v>786</v>
      </c>
      <c r="U2275" s="4"/>
      <c r="V2275" s="4"/>
      <c r="W2275" s="4"/>
    </row>
    <row r="2276" spans="1:23" customFormat="1">
      <c r="A2276" s="10"/>
      <c r="B2276" s="4"/>
      <c r="C2276" s="4"/>
      <c r="D2276" s="4"/>
      <c r="E2276" s="4"/>
      <c r="F2276" s="152" t="s">
        <v>658</v>
      </c>
      <c r="G2276" s="4" t="s">
        <v>659</v>
      </c>
      <c r="H2276" s="4"/>
      <c r="I2276" s="196">
        <v>-2788.6</v>
      </c>
      <c r="J2276" s="196">
        <v>-1.91</v>
      </c>
      <c r="K2276" s="196">
        <v>1460</v>
      </c>
      <c r="L2276" s="454" t="s">
        <v>1049</v>
      </c>
      <c r="M2276" s="4" t="s">
        <v>780</v>
      </c>
      <c r="N2276" s="133" t="s">
        <v>1407</v>
      </c>
      <c r="O2276" s="4" t="s">
        <v>2236</v>
      </c>
      <c r="P2276" s="4" t="s">
        <v>892</v>
      </c>
      <c r="Q2276" s="4" t="s">
        <v>2237</v>
      </c>
      <c r="R2276" s="4" t="s">
        <v>1515</v>
      </c>
      <c r="S2276" s="4" t="s">
        <v>2238</v>
      </c>
      <c r="T2276" s="4" t="s">
        <v>786</v>
      </c>
      <c r="U2276" s="4"/>
      <c r="V2276" s="4"/>
      <c r="W2276" s="4"/>
    </row>
    <row r="2277" spans="1:23" customFormat="1">
      <c r="A2277" s="10"/>
      <c r="B2277" s="4"/>
      <c r="C2277" s="4"/>
      <c r="D2277" s="4"/>
      <c r="E2277" s="4"/>
      <c r="F2277" s="152" t="s">
        <v>658</v>
      </c>
      <c r="G2277" s="4" t="s">
        <v>659</v>
      </c>
      <c r="H2277" s="4"/>
      <c r="I2277" s="196">
        <v>-573999</v>
      </c>
      <c r="J2277" s="196">
        <v>-393.15</v>
      </c>
      <c r="K2277" s="196">
        <v>1460</v>
      </c>
      <c r="L2277" s="454" t="s">
        <v>1049</v>
      </c>
      <c r="M2277" s="4" t="s">
        <v>780</v>
      </c>
      <c r="N2277" s="133" t="s">
        <v>1407</v>
      </c>
      <c r="O2277" s="4" t="s">
        <v>2236</v>
      </c>
      <c r="P2277" s="4" t="s">
        <v>892</v>
      </c>
      <c r="Q2277" s="4" t="s">
        <v>2237</v>
      </c>
      <c r="R2277" s="4" t="s">
        <v>2151</v>
      </c>
      <c r="S2277" s="4" t="s">
        <v>2238</v>
      </c>
      <c r="T2277" s="4" t="s">
        <v>786</v>
      </c>
      <c r="U2277" s="4"/>
      <c r="V2277" s="4"/>
      <c r="W2277" s="4"/>
    </row>
    <row r="2278" spans="1:23" customFormat="1">
      <c r="A2278" s="10"/>
      <c r="B2278" s="4"/>
      <c r="C2278" s="4"/>
      <c r="D2278" s="4"/>
      <c r="E2278" s="4"/>
      <c r="F2278" s="152" t="s">
        <v>658</v>
      </c>
      <c r="G2278" s="4" t="s">
        <v>659</v>
      </c>
      <c r="H2278" s="4"/>
      <c r="I2278" s="196">
        <v>-2788.6</v>
      </c>
      <c r="J2278" s="196">
        <v>-1.91</v>
      </c>
      <c r="K2278" s="196">
        <v>1460</v>
      </c>
      <c r="L2278" s="454" t="s">
        <v>1049</v>
      </c>
      <c r="M2278" s="4" t="s">
        <v>780</v>
      </c>
      <c r="N2278" s="133" t="s">
        <v>1407</v>
      </c>
      <c r="O2278" s="4" t="s">
        <v>2236</v>
      </c>
      <c r="P2278" s="4" t="s">
        <v>892</v>
      </c>
      <c r="Q2278" s="4" t="s">
        <v>2237</v>
      </c>
      <c r="R2278" s="4" t="s">
        <v>2152</v>
      </c>
      <c r="S2278" s="4" t="s">
        <v>2238</v>
      </c>
      <c r="T2278" s="4" t="s">
        <v>786</v>
      </c>
      <c r="U2278" s="4"/>
      <c r="V2278" s="4"/>
      <c r="W2278" s="4"/>
    </row>
    <row r="2279" spans="1:23" customFormat="1">
      <c r="A2279" s="10"/>
      <c r="B2279" s="4"/>
      <c r="C2279" s="4"/>
      <c r="D2279" s="4"/>
      <c r="E2279" s="4"/>
      <c r="F2279" s="152" t="s">
        <v>658</v>
      </c>
      <c r="G2279" s="4" t="s">
        <v>659</v>
      </c>
      <c r="H2279" s="4"/>
      <c r="I2279" s="196">
        <v>-1174555.3999999999</v>
      </c>
      <c r="J2279" s="196">
        <v>-804.49</v>
      </c>
      <c r="K2279" s="196">
        <v>1460</v>
      </c>
      <c r="L2279" s="454" t="s">
        <v>1049</v>
      </c>
      <c r="M2279" s="4" t="s">
        <v>780</v>
      </c>
      <c r="N2279" s="133" t="s">
        <v>1407</v>
      </c>
      <c r="O2279" s="4" t="s">
        <v>2236</v>
      </c>
      <c r="P2279" s="4" t="s">
        <v>892</v>
      </c>
      <c r="Q2279" s="4" t="s">
        <v>2237</v>
      </c>
      <c r="R2279" s="4" t="s">
        <v>2153</v>
      </c>
      <c r="S2279" s="4" t="s">
        <v>2238</v>
      </c>
      <c r="T2279" s="4" t="s">
        <v>786</v>
      </c>
      <c r="U2279" s="4"/>
      <c r="V2279" s="4"/>
      <c r="W2279" s="4"/>
    </row>
    <row r="2280" spans="1:23" customFormat="1">
      <c r="A2280" s="10"/>
      <c r="B2280" s="4"/>
      <c r="C2280" s="4"/>
      <c r="D2280" s="4"/>
      <c r="E2280" s="4"/>
      <c r="F2280" s="152" t="s">
        <v>658</v>
      </c>
      <c r="G2280" s="4" t="s">
        <v>659</v>
      </c>
      <c r="H2280" s="4"/>
      <c r="I2280" s="196">
        <v>-147182.6</v>
      </c>
      <c r="J2280" s="196">
        <v>-100.81</v>
      </c>
      <c r="K2280" s="196">
        <v>1460</v>
      </c>
      <c r="L2280" s="454" t="s">
        <v>1049</v>
      </c>
      <c r="M2280" s="4" t="s">
        <v>780</v>
      </c>
      <c r="N2280" s="133" t="s">
        <v>1407</v>
      </c>
      <c r="O2280" s="4" t="s">
        <v>2236</v>
      </c>
      <c r="P2280" s="4" t="s">
        <v>892</v>
      </c>
      <c r="Q2280" s="4" t="s">
        <v>2237</v>
      </c>
      <c r="R2280" s="4" t="s">
        <v>2154</v>
      </c>
      <c r="S2280" s="4" t="s">
        <v>2238</v>
      </c>
      <c r="T2280" s="4" t="s">
        <v>786</v>
      </c>
      <c r="U2280" s="4"/>
      <c r="V2280" s="4"/>
      <c r="W2280" s="4"/>
    </row>
    <row r="2281" spans="1:23" customFormat="1">
      <c r="A2281" s="10"/>
      <c r="B2281" s="4"/>
      <c r="C2281" s="4"/>
      <c r="D2281" s="4"/>
      <c r="E2281" s="4"/>
      <c r="F2281" s="152" t="s">
        <v>658</v>
      </c>
      <c r="G2281" s="4" t="s">
        <v>659</v>
      </c>
      <c r="H2281" s="4"/>
      <c r="I2281" s="196">
        <v>-333829</v>
      </c>
      <c r="J2281" s="196">
        <v>-228.65</v>
      </c>
      <c r="K2281" s="196">
        <v>1460</v>
      </c>
      <c r="L2281" s="454" t="s">
        <v>1049</v>
      </c>
      <c r="M2281" s="4" t="s">
        <v>780</v>
      </c>
      <c r="N2281" s="133" t="s">
        <v>1407</v>
      </c>
      <c r="O2281" s="4" t="s">
        <v>2236</v>
      </c>
      <c r="P2281" s="4" t="s">
        <v>892</v>
      </c>
      <c r="Q2281" s="4" t="s">
        <v>2237</v>
      </c>
      <c r="R2281" s="4" t="s">
        <v>2146</v>
      </c>
      <c r="S2281" s="4" t="s">
        <v>2238</v>
      </c>
      <c r="T2281" s="4" t="s">
        <v>786</v>
      </c>
      <c r="U2281" s="4"/>
      <c r="V2281" s="4"/>
      <c r="W2281" s="4"/>
    </row>
    <row r="2282" spans="1:23" customFormat="1">
      <c r="A2282" s="10"/>
      <c r="B2282" s="4"/>
      <c r="C2282" s="4"/>
      <c r="D2282" s="4"/>
      <c r="E2282" s="4"/>
      <c r="F2282" s="152" t="s">
        <v>658</v>
      </c>
      <c r="G2282" s="4" t="s">
        <v>659</v>
      </c>
      <c r="H2282" s="4"/>
      <c r="I2282" s="196">
        <v>-1874202</v>
      </c>
      <c r="J2282" s="196">
        <v>-1283.7</v>
      </c>
      <c r="K2282" s="196">
        <v>1460</v>
      </c>
      <c r="L2282" s="454" t="s">
        <v>1049</v>
      </c>
      <c r="M2282" s="4" t="s">
        <v>780</v>
      </c>
      <c r="N2282" s="133" t="s">
        <v>1407</v>
      </c>
      <c r="O2282" s="4" t="s">
        <v>2236</v>
      </c>
      <c r="P2282" s="4" t="s">
        <v>892</v>
      </c>
      <c r="Q2282" s="4" t="s">
        <v>2237</v>
      </c>
      <c r="R2282" s="4" t="s">
        <v>2135</v>
      </c>
      <c r="S2282" s="4" t="s">
        <v>2238</v>
      </c>
      <c r="T2282" s="4" t="s">
        <v>786</v>
      </c>
      <c r="U2282" s="4"/>
      <c r="V2282" s="4"/>
      <c r="W2282" s="4"/>
    </row>
    <row r="2283" spans="1:23" customFormat="1">
      <c r="A2283" s="10"/>
      <c r="B2283" s="4"/>
      <c r="C2283" s="4"/>
      <c r="D2283" s="4"/>
      <c r="E2283" s="4"/>
      <c r="F2283" s="152" t="s">
        <v>658</v>
      </c>
      <c r="G2283" s="4" t="s">
        <v>659</v>
      </c>
      <c r="H2283" s="4"/>
      <c r="I2283" s="196">
        <v>-3748389.4</v>
      </c>
      <c r="J2283" s="196">
        <v>-2567.39</v>
      </c>
      <c r="K2283" s="196">
        <v>1460</v>
      </c>
      <c r="L2283" s="454" t="s">
        <v>1049</v>
      </c>
      <c r="M2283" s="4" t="s">
        <v>780</v>
      </c>
      <c r="N2283" s="133" t="s">
        <v>1407</v>
      </c>
      <c r="O2283" s="4" t="s">
        <v>2236</v>
      </c>
      <c r="P2283" s="4" t="s">
        <v>892</v>
      </c>
      <c r="Q2283" s="4" t="s">
        <v>2237</v>
      </c>
      <c r="R2283" s="4" t="s">
        <v>2137</v>
      </c>
      <c r="S2283" s="4" t="s">
        <v>2238</v>
      </c>
      <c r="T2283" s="4" t="s">
        <v>786</v>
      </c>
      <c r="U2283" s="4"/>
      <c r="V2283" s="4"/>
      <c r="W2283" s="4"/>
    </row>
    <row r="2284" spans="1:23" customFormat="1">
      <c r="A2284" s="10"/>
      <c r="B2284" s="4"/>
      <c r="C2284" s="4"/>
      <c r="D2284" s="4"/>
      <c r="E2284" s="4"/>
      <c r="F2284" s="152" t="s">
        <v>658</v>
      </c>
      <c r="G2284" s="4" t="s">
        <v>659</v>
      </c>
      <c r="H2284" s="4"/>
      <c r="I2284" s="196">
        <v>-446059.2</v>
      </c>
      <c r="J2284" s="196">
        <v>-305.52</v>
      </c>
      <c r="K2284" s="196">
        <v>1460</v>
      </c>
      <c r="L2284" s="454" t="s">
        <v>1049</v>
      </c>
      <c r="M2284" s="4" t="s">
        <v>780</v>
      </c>
      <c r="N2284" s="133" t="s">
        <v>1407</v>
      </c>
      <c r="O2284" s="4" t="s">
        <v>2236</v>
      </c>
      <c r="P2284" s="4" t="s">
        <v>892</v>
      </c>
      <c r="Q2284" s="4" t="s">
        <v>2237</v>
      </c>
      <c r="R2284" s="4" t="s">
        <v>2140</v>
      </c>
      <c r="S2284" s="4" t="s">
        <v>2238</v>
      </c>
      <c r="T2284" s="4" t="s">
        <v>786</v>
      </c>
      <c r="U2284" s="4"/>
      <c r="V2284" s="4"/>
      <c r="W2284" s="4"/>
    </row>
    <row r="2285" spans="1:23" customFormat="1">
      <c r="A2285" s="10"/>
      <c r="B2285" s="4"/>
      <c r="C2285" s="4"/>
      <c r="D2285" s="4"/>
      <c r="E2285" s="4"/>
      <c r="F2285" s="152" t="s">
        <v>658</v>
      </c>
      <c r="G2285" s="4" t="s">
        <v>659</v>
      </c>
      <c r="H2285" s="4"/>
      <c r="I2285" s="196">
        <v>-2832.4</v>
      </c>
      <c r="J2285" s="196">
        <v>-1.94</v>
      </c>
      <c r="K2285" s="196">
        <v>1460</v>
      </c>
      <c r="L2285" s="454" t="s">
        <v>1049</v>
      </c>
      <c r="M2285" s="4" t="s">
        <v>780</v>
      </c>
      <c r="N2285" s="133" t="s">
        <v>1407</v>
      </c>
      <c r="O2285" s="4" t="s">
        <v>2236</v>
      </c>
      <c r="P2285" s="4" t="s">
        <v>892</v>
      </c>
      <c r="Q2285" s="4" t="s">
        <v>2237</v>
      </c>
      <c r="R2285" s="4" t="s">
        <v>1515</v>
      </c>
      <c r="S2285" s="4" t="s">
        <v>2238</v>
      </c>
      <c r="T2285" s="4" t="s">
        <v>786</v>
      </c>
      <c r="U2285" s="4"/>
      <c r="V2285" s="4"/>
      <c r="W2285" s="4"/>
    </row>
    <row r="2286" spans="1:23" customFormat="1">
      <c r="A2286" s="10"/>
      <c r="B2286" s="4"/>
      <c r="C2286" s="4"/>
      <c r="D2286" s="4"/>
      <c r="E2286" s="4"/>
      <c r="F2286" s="152" t="s">
        <v>658</v>
      </c>
      <c r="G2286" s="4" t="s">
        <v>659</v>
      </c>
      <c r="H2286" s="4"/>
      <c r="I2286" s="196">
        <v>-2169311.7999999998</v>
      </c>
      <c r="J2286" s="196">
        <v>-1485.83</v>
      </c>
      <c r="K2286" s="196">
        <v>1460</v>
      </c>
      <c r="L2286" s="454" t="s">
        <v>1049</v>
      </c>
      <c r="M2286" s="4" t="s">
        <v>780</v>
      </c>
      <c r="N2286" s="133" t="s">
        <v>1407</v>
      </c>
      <c r="O2286" s="4" t="s">
        <v>2236</v>
      </c>
      <c r="P2286" s="4" t="s">
        <v>892</v>
      </c>
      <c r="Q2286" s="4" t="s">
        <v>2237</v>
      </c>
      <c r="R2286" s="4" t="s">
        <v>2133</v>
      </c>
      <c r="S2286" s="4" t="s">
        <v>2238</v>
      </c>
      <c r="T2286" s="4" t="s">
        <v>786</v>
      </c>
      <c r="U2286" s="4"/>
      <c r="V2286" s="4"/>
      <c r="W2286" s="4"/>
    </row>
    <row r="2287" spans="1:23" customFormat="1">
      <c r="A2287" s="10"/>
      <c r="B2287" s="4"/>
      <c r="C2287" s="4"/>
      <c r="D2287" s="4"/>
      <c r="E2287" s="4"/>
      <c r="F2287" s="152" t="s">
        <v>658</v>
      </c>
      <c r="G2287" s="4" t="s">
        <v>659</v>
      </c>
      <c r="H2287" s="4"/>
      <c r="I2287" s="196">
        <v>-254886.8</v>
      </c>
      <c r="J2287" s="196">
        <v>-174.58</v>
      </c>
      <c r="K2287" s="196">
        <v>1460</v>
      </c>
      <c r="L2287" s="454" t="s">
        <v>1049</v>
      </c>
      <c r="M2287" s="4" t="s">
        <v>780</v>
      </c>
      <c r="N2287" s="133" t="s">
        <v>1407</v>
      </c>
      <c r="O2287" s="4" t="s">
        <v>2236</v>
      </c>
      <c r="P2287" s="4" t="s">
        <v>892</v>
      </c>
      <c r="Q2287" s="4" t="s">
        <v>2237</v>
      </c>
      <c r="R2287" s="4" t="s">
        <v>2142</v>
      </c>
      <c r="S2287" s="4" t="s">
        <v>2238</v>
      </c>
      <c r="T2287" s="4" t="s">
        <v>786</v>
      </c>
      <c r="U2287" s="4"/>
      <c r="V2287" s="4"/>
      <c r="W2287" s="4"/>
    </row>
    <row r="2288" spans="1:23" customFormat="1">
      <c r="A2288" s="10"/>
      <c r="B2288" s="4"/>
      <c r="C2288" s="4"/>
      <c r="D2288" s="4"/>
      <c r="E2288" s="4"/>
      <c r="F2288" s="152" t="s">
        <v>658</v>
      </c>
      <c r="G2288" s="4" t="s">
        <v>659</v>
      </c>
      <c r="H2288" s="4"/>
      <c r="I2288" s="196">
        <v>-2832.4</v>
      </c>
      <c r="J2288" s="196">
        <v>-1.94</v>
      </c>
      <c r="K2288" s="196">
        <v>1460</v>
      </c>
      <c r="L2288" s="454" t="s">
        <v>1049</v>
      </c>
      <c r="M2288" s="4" t="s">
        <v>780</v>
      </c>
      <c r="N2288" s="133" t="s">
        <v>1407</v>
      </c>
      <c r="O2288" s="4" t="s">
        <v>2236</v>
      </c>
      <c r="P2288" s="4" t="s">
        <v>892</v>
      </c>
      <c r="Q2288" s="4" t="s">
        <v>2237</v>
      </c>
      <c r="R2288" s="4" t="s">
        <v>1515</v>
      </c>
      <c r="S2288" s="4" t="s">
        <v>2238</v>
      </c>
      <c r="T2288" s="4" t="s">
        <v>786</v>
      </c>
      <c r="U2288" s="4"/>
      <c r="V2288" s="4"/>
      <c r="W2288" s="4"/>
    </row>
    <row r="2289" spans="1:23" customFormat="1">
      <c r="A2289" s="10"/>
      <c r="B2289" s="4"/>
      <c r="C2289" s="4"/>
      <c r="D2289" s="4"/>
      <c r="E2289" s="4"/>
      <c r="F2289" s="152" t="s">
        <v>658</v>
      </c>
      <c r="G2289" s="4" t="s">
        <v>659</v>
      </c>
      <c r="H2289" s="4"/>
      <c r="I2289" s="196">
        <v>-715940.2</v>
      </c>
      <c r="J2289" s="196">
        <v>-490.37</v>
      </c>
      <c r="K2289" s="196">
        <v>1460</v>
      </c>
      <c r="L2289" s="454" t="s">
        <v>1049</v>
      </c>
      <c r="M2289" s="4" t="s">
        <v>780</v>
      </c>
      <c r="N2289" s="133" t="s">
        <v>1407</v>
      </c>
      <c r="O2289" s="4" t="s">
        <v>2236</v>
      </c>
      <c r="P2289" s="4" t="s">
        <v>892</v>
      </c>
      <c r="Q2289" s="4" t="s">
        <v>2237</v>
      </c>
      <c r="R2289" s="4" t="s">
        <v>2158</v>
      </c>
      <c r="S2289" s="4" t="s">
        <v>2238</v>
      </c>
      <c r="T2289" s="4" t="s">
        <v>786</v>
      </c>
      <c r="U2289" s="4"/>
      <c r="V2289" s="4"/>
      <c r="W2289" s="4"/>
    </row>
    <row r="2290" spans="1:23" customFormat="1">
      <c r="A2290" s="10"/>
      <c r="B2290" s="4"/>
      <c r="C2290" s="4"/>
      <c r="D2290" s="4"/>
      <c r="E2290" s="4"/>
      <c r="F2290" s="152" t="s">
        <v>658</v>
      </c>
      <c r="G2290" s="4" t="s">
        <v>659</v>
      </c>
      <c r="H2290" s="4"/>
      <c r="I2290" s="196">
        <v>-2832.4</v>
      </c>
      <c r="J2290" s="196">
        <v>-1.94</v>
      </c>
      <c r="K2290" s="196">
        <v>1460</v>
      </c>
      <c r="L2290" s="454" t="s">
        <v>1049</v>
      </c>
      <c r="M2290" s="4" t="s">
        <v>780</v>
      </c>
      <c r="N2290" s="133" t="s">
        <v>1407</v>
      </c>
      <c r="O2290" s="4" t="s">
        <v>2236</v>
      </c>
      <c r="P2290" s="4" t="s">
        <v>892</v>
      </c>
      <c r="Q2290" s="4" t="s">
        <v>2237</v>
      </c>
      <c r="R2290" s="4" t="s">
        <v>1515</v>
      </c>
      <c r="S2290" s="4" t="s">
        <v>2238</v>
      </c>
      <c r="T2290" s="4" t="s">
        <v>786</v>
      </c>
      <c r="U2290" s="4"/>
      <c r="V2290" s="4"/>
      <c r="W2290" s="4"/>
    </row>
    <row r="2291" spans="1:23" customFormat="1">
      <c r="A2291" s="10"/>
      <c r="B2291" s="4"/>
      <c r="C2291" s="4"/>
      <c r="D2291" s="4"/>
      <c r="E2291" s="4"/>
      <c r="F2291" s="152" t="s">
        <v>658</v>
      </c>
      <c r="G2291" s="4" t="s">
        <v>659</v>
      </c>
      <c r="H2291" s="4"/>
      <c r="I2291" s="196">
        <v>-260507.8</v>
      </c>
      <c r="J2291" s="196">
        <v>-178.43</v>
      </c>
      <c r="K2291" s="196">
        <v>1460</v>
      </c>
      <c r="L2291" s="454" t="s">
        <v>1049</v>
      </c>
      <c r="M2291" s="4" t="s">
        <v>780</v>
      </c>
      <c r="N2291" s="133" t="s">
        <v>1407</v>
      </c>
      <c r="O2291" s="4" t="s">
        <v>2236</v>
      </c>
      <c r="P2291" s="4" t="s">
        <v>892</v>
      </c>
      <c r="Q2291" s="4" t="s">
        <v>2237</v>
      </c>
      <c r="R2291" s="4" t="s">
        <v>2159</v>
      </c>
      <c r="S2291" s="4" t="s">
        <v>2238</v>
      </c>
      <c r="T2291" s="4" t="s">
        <v>786</v>
      </c>
      <c r="U2291" s="4"/>
      <c r="V2291" s="4"/>
      <c r="W2291" s="4"/>
    </row>
    <row r="2292" spans="1:23" customFormat="1">
      <c r="A2292" s="10"/>
      <c r="B2292" s="4"/>
      <c r="C2292" s="4"/>
      <c r="D2292" s="4"/>
      <c r="E2292" s="4"/>
      <c r="F2292" s="152" t="s">
        <v>658</v>
      </c>
      <c r="G2292" s="4" t="s">
        <v>659</v>
      </c>
      <c r="H2292" s="4"/>
      <c r="I2292" s="196">
        <v>-2832.4</v>
      </c>
      <c r="J2292" s="196">
        <v>-1.94</v>
      </c>
      <c r="K2292" s="196">
        <v>1460</v>
      </c>
      <c r="L2292" s="454" t="s">
        <v>1049</v>
      </c>
      <c r="M2292" s="4" t="s">
        <v>780</v>
      </c>
      <c r="N2292" s="133" t="s">
        <v>1407</v>
      </c>
      <c r="O2292" s="4" t="s">
        <v>2236</v>
      </c>
      <c r="P2292" s="4" t="s">
        <v>892</v>
      </c>
      <c r="Q2292" s="4" t="s">
        <v>2237</v>
      </c>
      <c r="R2292" s="4" t="s">
        <v>1515</v>
      </c>
      <c r="S2292" s="4" t="s">
        <v>2238</v>
      </c>
      <c r="T2292" s="4" t="s">
        <v>786</v>
      </c>
      <c r="U2292" s="4"/>
      <c r="V2292" s="4"/>
      <c r="W2292" s="4"/>
    </row>
    <row r="2293" spans="1:23" customFormat="1">
      <c r="A2293" s="10"/>
      <c r="B2293" s="4"/>
      <c r="C2293" s="4"/>
      <c r="D2293" s="4"/>
      <c r="E2293" s="4"/>
      <c r="F2293" s="152" t="s">
        <v>658</v>
      </c>
      <c r="G2293" s="4" t="s">
        <v>659</v>
      </c>
      <c r="H2293" s="4"/>
      <c r="I2293" s="196">
        <v>-1253760.3999999999</v>
      </c>
      <c r="J2293" s="196">
        <v>-858.74</v>
      </c>
      <c r="K2293" s="196">
        <v>1460</v>
      </c>
      <c r="L2293" s="454" t="s">
        <v>1049</v>
      </c>
      <c r="M2293" s="4" t="s">
        <v>780</v>
      </c>
      <c r="N2293" s="133" t="s">
        <v>1407</v>
      </c>
      <c r="O2293" s="4" t="s">
        <v>2236</v>
      </c>
      <c r="P2293" s="4" t="s">
        <v>892</v>
      </c>
      <c r="Q2293" s="4" t="s">
        <v>2237</v>
      </c>
      <c r="R2293" s="4" t="s">
        <v>2134</v>
      </c>
      <c r="S2293" s="4" t="s">
        <v>2238</v>
      </c>
      <c r="T2293" s="4" t="s">
        <v>786</v>
      </c>
      <c r="U2293" s="4"/>
      <c r="V2293" s="4"/>
      <c r="W2293" s="4"/>
    </row>
    <row r="2294" spans="1:23" customFormat="1">
      <c r="A2294" s="10"/>
      <c r="B2294" s="4"/>
      <c r="C2294" s="4"/>
      <c r="D2294" s="4"/>
      <c r="E2294" s="4"/>
      <c r="F2294" s="152" t="s">
        <v>658</v>
      </c>
      <c r="G2294" s="4" t="s">
        <v>659</v>
      </c>
      <c r="H2294" s="4"/>
      <c r="I2294" s="196">
        <v>-85278.6</v>
      </c>
      <c r="J2294" s="196">
        <v>-58.41</v>
      </c>
      <c r="K2294" s="196">
        <v>1460</v>
      </c>
      <c r="L2294" s="454" t="s">
        <v>1049</v>
      </c>
      <c r="M2294" s="4" t="s">
        <v>780</v>
      </c>
      <c r="N2294" s="133" t="s">
        <v>1407</v>
      </c>
      <c r="O2294" s="4" t="s">
        <v>2236</v>
      </c>
      <c r="P2294" s="4" t="s">
        <v>892</v>
      </c>
      <c r="Q2294" s="4" t="s">
        <v>2237</v>
      </c>
      <c r="R2294" s="4" t="s">
        <v>2144</v>
      </c>
      <c r="S2294" s="4" t="s">
        <v>2238</v>
      </c>
      <c r="T2294" s="4" t="s">
        <v>786</v>
      </c>
      <c r="U2294" s="4"/>
      <c r="V2294" s="4"/>
      <c r="W2294" s="4"/>
    </row>
    <row r="2295" spans="1:23" customFormat="1">
      <c r="A2295" s="10"/>
      <c r="B2295" s="4"/>
      <c r="C2295" s="4"/>
      <c r="D2295" s="4"/>
      <c r="E2295" s="4"/>
      <c r="F2295" s="152" t="s">
        <v>658</v>
      </c>
      <c r="G2295" s="4" t="s">
        <v>659</v>
      </c>
      <c r="H2295" s="4"/>
      <c r="I2295" s="196">
        <v>-2832.4</v>
      </c>
      <c r="J2295" s="196">
        <v>-1.94</v>
      </c>
      <c r="K2295" s="196">
        <v>1460</v>
      </c>
      <c r="L2295" s="454" t="s">
        <v>1049</v>
      </c>
      <c r="M2295" s="4" t="s">
        <v>780</v>
      </c>
      <c r="N2295" s="133" t="s">
        <v>1407</v>
      </c>
      <c r="O2295" s="4" t="s">
        <v>2236</v>
      </c>
      <c r="P2295" s="4" t="s">
        <v>892</v>
      </c>
      <c r="Q2295" s="4" t="s">
        <v>2237</v>
      </c>
      <c r="R2295" s="4" t="s">
        <v>1515</v>
      </c>
      <c r="S2295" s="4" t="s">
        <v>2238</v>
      </c>
      <c r="T2295" s="4" t="s">
        <v>786</v>
      </c>
      <c r="U2295" s="4"/>
      <c r="V2295" s="4"/>
      <c r="W2295" s="4"/>
    </row>
    <row r="2296" spans="1:23" customFormat="1">
      <c r="A2296" s="10"/>
      <c r="B2296" s="4"/>
      <c r="C2296" s="4"/>
      <c r="D2296" s="4"/>
      <c r="E2296" s="4"/>
      <c r="F2296" s="152" t="s">
        <v>658</v>
      </c>
      <c r="G2296" s="4" t="s">
        <v>659</v>
      </c>
      <c r="H2296" s="4"/>
      <c r="I2296" s="196">
        <v>-446059.2</v>
      </c>
      <c r="J2296" s="196">
        <v>-305.52</v>
      </c>
      <c r="K2296" s="196">
        <v>1460</v>
      </c>
      <c r="L2296" s="454" t="s">
        <v>1049</v>
      </c>
      <c r="M2296" s="4" t="s">
        <v>780</v>
      </c>
      <c r="N2296" s="133" t="s">
        <v>1407</v>
      </c>
      <c r="O2296" s="4" t="s">
        <v>2236</v>
      </c>
      <c r="P2296" s="4" t="s">
        <v>892</v>
      </c>
      <c r="Q2296" s="4" t="s">
        <v>2237</v>
      </c>
      <c r="R2296" s="4" t="s">
        <v>2145</v>
      </c>
      <c r="S2296" s="4" t="s">
        <v>2238</v>
      </c>
      <c r="T2296" s="4" t="s">
        <v>786</v>
      </c>
      <c r="U2296" s="4"/>
      <c r="V2296" s="4"/>
      <c r="W2296" s="4"/>
    </row>
    <row r="2297" spans="1:23" customFormat="1">
      <c r="A2297" s="10"/>
      <c r="B2297" s="4"/>
      <c r="C2297" s="4"/>
      <c r="D2297" s="4"/>
      <c r="E2297" s="4"/>
      <c r="F2297" s="152" t="s">
        <v>658</v>
      </c>
      <c r="G2297" s="4" t="s">
        <v>659</v>
      </c>
      <c r="H2297" s="4"/>
      <c r="I2297" s="196">
        <v>-2832.4</v>
      </c>
      <c r="J2297" s="196">
        <v>-1.94</v>
      </c>
      <c r="K2297" s="196">
        <v>1460</v>
      </c>
      <c r="L2297" s="454" t="s">
        <v>1049</v>
      </c>
      <c r="M2297" s="4" t="s">
        <v>780</v>
      </c>
      <c r="N2297" s="133" t="s">
        <v>1407</v>
      </c>
      <c r="O2297" s="4" t="s">
        <v>2236</v>
      </c>
      <c r="P2297" s="4" t="s">
        <v>892</v>
      </c>
      <c r="Q2297" s="4" t="s">
        <v>2237</v>
      </c>
      <c r="R2297" s="4" t="s">
        <v>1515</v>
      </c>
      <c r="S2297" s="4" t="s">
        <v>2238</v>
      </c>
      <c r="T2297" s="4" t="s">
        <v>786</v>
      </c>
      <c r="U2297" s="4"/>
      <c r="V2297" s="4"/>
      <c r="W2297" s="4"/>
    </row>
    <row r="2298" spans="1:23" customFormat="1">
      <c r="A2298" s="10"/>
      <c r="B2298" s="4"/>
      <c r="C2298" s="4"/>
      <c r="D2298" s="4"/>
      <c r="E2298" s="4"/>
      <c r="F2298" s="152" t="s">
        <v>658</v>
      </c>
      <c r="G2298" s="4" t="s">
        <v>659</v>
      </c>
      <c r="H2298" s="4"/>
      <c r="I2298" s="196">
        <v>-477916.4</v>
      </c>
      <c r="J2298" s="196">
        <v>-327.33999999999997</v>
      </c>
      <c r="K2298" s="196">
        <v>1460</v>
      </c>
      <c r="L2298" s="454" t="s">
        <v>1049</v>
      </c>
      <c r="M2298" s="4" t="s">
        <v>780</v>
      </c>
      <c r="N2298" s="133" t="s">
        <v>1407</v>
      </c>
      <c r="O2298" s="4" t="s">
        <v>2236</v>
      </c>
      <c r="P2298" s="4" t="s">
        <v>892</v>
      </c>
      <c r="Q2298" s="4" t="s">
        <v>2237</v>
      </c>
      <c r="R2298" s="4" t="s">
        <v>2147</v>
      </c>
      <c r="S2298" s="4" t="s">
        <v>2238</v>
      </c>
      <c r="T2298" s="4" t="s">
        <v>786</v>
      </c>
      <c r="U2298" s="4"/>
      <c r="V2298" s="4"/>
      <c r="W2298" s="4"/>
    </row>
    <row r="2299" spans="1:23" customFormat="1">
      <c r="A2299" s="10"/>
      <c r="B2299" s="4"/>
      <c r="C2299" s="4"/>
      <c r="D2299" s="4"/>
      <c r="E2299" s="4"/>
      <c r="F2299" s="152" t="s">
        <v>658</v>
      </c>
      <c r="G2299" s="4" t="s">
        <v>659</v>
      </c>
      <c r="H2299" s="4"/>
      <c r="I2299" s="196">
        <v>-2832.4</v>
      </c>
      <c r="J2299" s="196">
        <v>-1.94</v>
      </c>
      <c r="K2299" s="196">
        <v>1460</v>
      </c>
      <c r="L2299" s="454" t="s">
        <v>1049</v>
      </c>
      <c r="M2299" s="4" t="s">
        <v>780</v>
      </c>
      <c r="N2299" s="133" t="s">
        <v>1407</v>
      </c>
      <c r="O2299" s="4" t="s">
        <v>2236</v>
      </c>
      <c r="P2299" s="4" t="s">
        <v>892</v>
      </c>
      <c r="Q2299" s="4" t="s">
        <v>2237</v>
      </c>
      <c r="R2299" s="4" t="s">
        <v>1515</v>
      </c>
      <c r="S2299" s="4" t="s">
        <v>2238</v>
      </c>
      <c r="T2299" s="4" t="s">
        <v>786</v>
      </c>
      <c r="U2299" s="4"/>
      <c r="V2299" s="4"/>
      <c r="W2299" s="4"/>
    </row>
    <row r="2300" spans="1:23" customFormat="1">
      <c r="A2300" s="10"/>
      <c r="B2300" s="4"/>
      <c r="C2300" s="4"/>
      <c r="D2300" s="4"/>
      <c r="E2300" s="4"/>
      <c r="F2300" s="152" t="s">
        <v>658</v>
      </c>
      <c r="G2300" s="4" t="s">
        <v>659</v>
      </c>
      <c r="H2300" s="4"/>
      <c r="I2300" s="196">
        <v>-509788.2</v>
      </c>
      <c r="J2300" s="196">
        <v>-349.17</v>
      </c>
      <c r="K2300" s="196">
        <v>1460</v>
      </c>
      <c r="L2300" s="454" t="s">
        <v>1049</v>
      </c>
      <c r="M2300" s="4" t="s">
        <v>780</v>
      </c>
      <c r="N2300" s="133" t="s">
        <v>1407</v>
      </c>
      <c r="O2300" s="4" t="s">
        <v>2236</v>
      </c>
      <c r="P2300" s="4" t="s">
        <v>892</v>
      </c>
      <c r="Q2300" s="4" t="s">
        <v>2237</v>
      </c>
      <c r="R2300" s="4" t="s">
        <v>2149</v>
      </c>
      <c r="S2300" s="4" t="s">
        <v>2238</v>
      </c>
      <c r="T2300" s="4" t="s">
        <v>786</v>
      </c>
      <c r="U2300" s="4"/>
      <c r="V2300" s="4"/>
      <c r="W2300" s="4"/>
    </row>
    <row r="2301" spans="1:23" customFormat="1">
      <c r="A2301" s="10"/>
      <c r="B2301" s="4"/>
      <c r="C2301" s="4"/>
      <c r="D2301" s="4"/>
      <c r="E2301" s="4"/>
      <c r="F2301" s="152" t="s">
        <v>658</v>
      </c>
      <c r="G2301" s="4" t="s">
        <v>659</v>
      </c>
      <c r="H2301" s="4"/>
      <c r="I2301" s="196">
        <v>-2832.4</v>
      </c>
      <c r="J2301" s="196">
        <v>-1.94</v>
      </c>
      <c r="K2301" s="196">
        <v>1460</v>
      </c>
      <c r="L2301" s="454" t="s">
        <v>1049</v>
      </c>
      <c r="M2301" s="4" t="s">
        <v>780</v>
      </c>
      <c r="N2301" s="133" t="s">
        <v>1407</v>
      </c>
      <c r="O2301" s="4" t="s">
        <v>2236</v>
      </c>
      <c r="P2301" s="4" t="s">
        <v>892</v>
      </c>
      <c r="Q2301" s="4" t="s">
        <v>2237</v>
      </c>
      <c r="R2301" s="4" t="s">
        <v>1515</v>
      </c>
      <c r="S2301" s="4" t="s">
        <v>2238</v>
      </c>
      <c r="T2301" s="4" t="s">
        <v>786</v>
      </c>
      <c r="U2301" s="4"/>
      <c r="V2301" s="4"/>
      <c r="W2301" s="4"/>
    </row>
    <row r="2302" spans="1:23" customFormat="1">
      <c r="A2302" s="10"/>
      <c r="B2302" s="4"/>
      <c r="C2302" s="4"/>
      <c r="D2302" s="4"/>
      <c r="E2302" s="4"/>
      <c r="F2302" s="152" t="s">
        <v>658</v>
      </c>
      <c r="G2302" s="4" t="s">
        <v>659</v>
      </c>
      <c r="H2302" s="4"/>
      <c r="I2302" s="196">
        <v>-1164744.2</v>
      </c>
      <c r="J2302" s="196">
        <v>-797.77</v>
      </c>
      <c r="K2302" s="196">
        <v>1460</v>
      </c>
      <c r="L2302" s="454" t="s">
        <v>1049</v>
      </c>
      <c r="M2302" s="4" t="s">
        <v>780</v>
      </c>
      <c r="N2302" s="133" t="s">
        <v>1407</v>
      </c>
      <c r="O2302" s="4" t="s">
        <v>2236</v>
      </c>
      <c r="P2302" s="4" t="s">
        <v>892</v>
      </c>
      <c r="Q2302" s="4" t="s">
        <v>2237</v>
      </c>
      <c r="R2302" s="4" t="s">
        <v>2138</v>
      </c>
      <c r="S2302" s="4" t="s">
        <v>2238</v>
      </c>
      <c r="T2302" s="4" t="s">
        <v>786</v>
      </c>
      <c r="U2302" s="4"/>
      <c r="V2302" s="4"/>
      <c r="W2302" s="4"/>
    </row>
    <row r="2303" spans="1:23" customFormat="1">
      <c r="A2303" s="10"/>
      <c r="B2303" s="4"/>
      <c r="C2303" s="4"/>
      <c r="D2303" s="4"/>
      <c r="E2303" s="4"/>
      <c r="F2303" s="152" t="s">
        <v>658</v>
      </c>
      <c r="G2303" s="4" t="s">
        <v>659</v>
      </c>
      <c r="H2303" s="4"/>
      <c r="I2303" s="196">
        <v>-2832.4</v>
      </c>
      <c r="J2303" s="196">
        <v>-1.94</v>
      </c>
      <c r="K2303" s="196">
        <v>1460</v>
      </c>
      <c r="L2303" s="454" t="s">
        <v>1049</v>
      </c>
      <c r="M2303" s="4" t="s">
        <v>780</v>
      </c>
      <c r="N2303" s="133" t="s">
        <v>1407</v>
      </c>
      <c r="O2303" s="4" t="s">
        <v>2236</v>
      </c>
      <c r="P2303" s="4" t="s">
        <v>892</v>
      </c>
      <c r="Q2303" s="4" t="s">
        <v>2237</v>
      </c>
      <c r="R2303" s="4" t="s">
        <v>1515</v>
      </c>
      <c r="S2303" s="4" t="s">
        <v>2238</v>
      </c>
      <c r="T2303" s="4" t="s">
        <v>786</v>
      </c>
      <c r="U2303" s="4"/>
      <c r="V2303" s="4"/>
      <c r="W2303" s="4"/>
    </row>
    <row r="2304" spans="1:23" customFormat="1">
      <c r="A2304" s="10"/>
      <c r="B2304" s="4"/>
      <c r="C2304" s="4"/>
      <c r="D2304" s="4"/>
      <c r="E2304" s="4"/>
      <c r="F2304" s="152" t="s">
        <v>658</v>
      </c>
      <c r="G2304" s="4" t="s">
        <v>659</v>
      </c>
      <c r="H2304" s="4"/>
      <c r="I2304" s="196">
        <v>-2388107.4</v>
      </c>
      <c r="J2304" s="196">
        <v>-1635.69</v>
      </c>
      <c r="K2304" s="196">
        <v>1460</v>
      </c>
      <c r="L2304" s="454" t="s">
        <v>1049</v>
      </c>
      <c r="M2304" s="4" t="s">
        <v>780</v>
      </c>
      <c r="N2304" s="133" t="s">
        <v>1407</v>
      </c>
      <c r="O2304" s="4" t="s">
        <v>2236</v>
      </c>
      <c r="P2304" s="4" t="s">
        <v>892</v>
      </c>
      <c r="Q2304" s="4" t="s">
        <v>2237</v>
      </c>
      <c r="R2304" s="4" t="s">
        <v>2139</v>
      </c>
      <c r="S2304" s="4" t="s">
        <v>2238</v>
      </c>
      <c r="T2304" s="4" t="s">
        <v>786</v>
      </c>
      <c r="U2304" s="4"/>
      <c r="V2304" s="4"/>
      <c r="W2304" s="4"/>
    </row>
    <row r="2305" spans="1:23" customFormat="1">
      <c r="A2305" s="10"/>
      <c r="B2305" s="4"/>
      <c r="C2305" s="4"/>
      <c r="D2305" s="4"/>
      <c r="E2305" s="4"/>
      <c r="F2305" s="152" t="s">
        <v>658</v>
      </c>
      <c r="G2305" s="4" t="s">
        <v>659</v>
      </c>
      <c r="H2305" s="4"/>
      <c r="I2305" s="196">
        <v>-257558.6</v>
      </c>
      <c r="J2305" s="196">
        <v>-176.41</v>
      </c>
      <c r="K2305" s="196">
        <v>1460</v>
      </c>
      <c r="L2305" s="454" t="s">
        <v>1049</v>
      </c>
      <c r="M2305" s="4" t="s">
        <v>780</v>
      </c>
      <c r="N2305" s="133" t="s">
        <v>1407</v>
      </c>
      <c r="O2305" s="4" t="s">
        <v>2236</v>
      </c>
      <c r="P2305" s="4" t="s">
        <v>892</v>
      </c>
      <c r="Q2305" s="4" t="s">
        <v>2237</v>
      </c>
      <c r="R2305" s="4" t="s">
        <v>2141</v>
      </c>
      <c r="S2305" s="4" t="s">
        <v>2238</v>
      </c>
      <c r="T2305" s="4" t="s">
        <v>786</v>
      </c>
      <c r="U2305" s="4"/>
      <c r="V2305" s="4"/>
      <c r="W2305" s="4"/>
    </row>
    <row r="2306" spans="1:23" customFormat="1">
      <c r="A2306" s="10"/>
      <c r="B2306" s="4"/>
      <c r="C2306" s="4"/>
      <c r="D2306" s="4"/>
      <c r="E2306" s="4"/>
      <c r="F2306" s="152" t="s">
        <v>658</v>
      </c>
      <c r="G2306" s="4" t="s">
        <v>659</v>
      </c>
      <c r="H2306" s="4"/>
      <c r="I2306" s="196">
        <v>-48691</v>
      </c>
      <c r="J2306" s="196">
        <v>-33.35</v>
      </c>
      <c r="K2306" s="196">
        <v>1460</v>
      </c>
      <c r="L2306" s="454" t="s">
        <v>1049</v>
      </c>
      <c r="M2306" s="4" t="s">
        <v>780</v>
      </c>
      <c r="N2306" s="133" t="s">
        <v>1407</v>
      </c>
      <c r="O2306" s="4" t="s">
        <v>2236</v>
      </c>
      <c r="P2306" s="4" t="s">
        <v>892</v>
      </c>
      <c r="Q2306" s="4" t="s">
        <v>2237</v>
      </c>
      <c r="R2306" s="4" t="s">
        <v>2157</v>
      </c>
      <c r="S2306" s="4" t="s">
        <v>2238</v>
      </c>
      <c r="T2306" s="4" t="s">
        <v>786</v>
      </c>
      <c r="U2306" s="4"/>
      <c r="V2306" s="4"/>
      <c r="W2306" s="4"/>
    </row>
    <row r="2307" spans="1:23" customFormat="1">
      <c r="A2307" s="10"/>
      <c r="B2307" s="4"/>
      <c r="C2307" s="4"/>
      <c r="D2307" s="4"/>
      <c r="E2307" s="4"/>
      <c r="F2307" s="152" t="s">
        <v>658</v>
      </c>
      <c r="G2307" s="4" t="s">
        <v>659</v>
      </c>
      <c r="H2307" s="4"/>
      <c r="I2307" s="196">
        <v>62181.8</v>
      </c>
      <c r="J2307" s="196">
        <v>43.79</v>
      </c>
      <c r="K2307" s="196">
        <v>1420</v>
      </c>
      <c r="L2307" s="454" t="s">
        <v>1088</v>
      </c>
      <c r="M2307" s="4" t="s">
        <v>780</v>
      </c>
      <c r="N2307" s="133" t="s">
        <v>1407</v>
      </c>
      <c r="O2307" s="4" t="s">
        <v>2320</v>
      </c>
      <c r="P2307" s="4" t="s">
        <v>892</v>
      </c>
      <c r="Q2307" s="4" t="s">
        <v>2321</v>
      </c>
      <c r="R2307" s="4" t="s">
        <v>2322</v>
      </c>
      <c r="S2307" s="4" t="s">
        <v>2323</v>
      </c>
      <c r="T2307" s="4" t="s">
        <v>786</v>
      </c>
      <c r="U2307" s="4"/>
      <c r="V2307" s="4"/>
      <c r="W2307" s="4"/>
    </row>
    <row r="2308" spans="1:23" customFormat="1">
      <c r="A2308" s="10"/>
      <c r="B2308" s="4"/>
      <c r="C2308" s="4"/>
      <c r="D2308" s="4"/>
      <c r="E2308" s="4"/>
      <c r="F2308" s="152" t="s">
        <v>658</v>
      </c>
      <c r="G2308" s="4" t="s">
        <v>659</v>
      </c>
      <c r="H2308" s="4"/>
      <c r="I2308" s="196">
        <v>4558.2</v>
      </c>
      <c r="J2308" s="196">
        <v>3.21</v>
      </c>
      <c r="K2308" s="196">
        <v>1420</v>
      </c>
      <c r="L2308" s="454" t="s">
        <v>1098</v>
      </c>
      <c r="M2308" s="4" t="s">
        <v>780</v>
      </c>
      <c r="N2308" s="133" t="s">
        <v>1407</v>
      </c>
      <c r="O2308" s="4" t="s">
        <v>2338</v>
      </c>
      <c r="P2308" s="4" t="s">
        <v>892</v>
      </c>
      <c r="Q2308" s="4" t="s">
        <v>2339</v>
      </c>
      <c r="R2308" s="4" t="s">
        <v>2340</v>
      </c>
      <c r="S2308" s="4" t="s">
        <v>2341</v>
      </c>
      <c r="T2308" s="4" t="s">
        <v>786</v>
      </c>
      <c r="U2308" s="4"/>
      <c r="V2308" s="4"/>
      <c r="W2308" s="4"/>
    </row>
    <row r="2309" spans="1:23" customFormat="1">
      <c r="A2309" s="10"/>
      <c r="B2309" s="4"/>
      <c r="C2309" s="4"/>
      <c r="D2309" s="4"/>
      <c r="E2309" s="4"/>
      <c r="F2309" s="152" t="s">
        <v>658</v>
      </c>
      <c r="G2309" s="4" t="s">
        <v>659</v>
      </c>
      <c r="H2309" s="4"/>
      <c r="I2309" s="196">
        <v>2792600.4</v>
      </c>
      <c r="J2309" s="196">
        <v>1966.62</v>
      </c>
      <c r="K2309" s="196">
        <v>1420</v>
      </c>
      <c r="L2309" s="454" t="s">
        <v>1098</v>
      </c>
      <c r="M2309" s="4" t="s">
        <v>780</v>
      </c>
      <c r="N2309" s="133" t="s">
        <v>1407</v>
      </c>
      <c r="O2309" s="4" t="s">
        <v>2338</v>
      </c>
      <c r="P2309" s="4" t="s">
        <v>892</v>
      </c>
      <c r="Q2309" s="4" t="s">
        <v>2339</v>
      </c>
      <c r="R2309" s="4" t="s">
        <v>2342</v>
      </c>
      <c r="S2309" s="4" t="s">
        <v>2341</v>
      </c>
      <c r="T2309" s="4" t="s">
        <v>786</v>
      </c>
      <c r="U2309" s="4"/>
      <c r="V2309" s="4"/>
      <c r="W2309" s="4"/>
    </row>
    <row r="2310" spans="1:23" customFormat="1">
      <c r="A2310" s="10"/>
      <c r="B2310" s="4"/>
      <c r="C2310" s="4"/>
      <c r="D2310" s="4"/>
      <c r="E2310" s="4"/>
      <c r="F2310" s="152" t="s">
        <v>658</v>
      </c>
      <c r="G2310" s="4" t="s">
        <v>659</v>
      </c>
      <c r="H2310" s="4"/>
      <c r="I2310" s="196">
        <v>6981515.2000000002</v>
      </c>
      <c r="J2310" s="196">
        <v>4916.5600000000004</v>
      </c>
      <c r="K2310" s="196">
        <v>1420</v>
      </c>
      <c r="L2310" s="454" t="s">
        <v>1098</v>
      </c>
      <c r="M2310" s="4" t="s">
        <v>780</v>
      </c>
      <c r="N2310" s="133" t="s">
        <v>1407</v>
      </c>
      <c r="O2310" s="4" t="s">
        <v>2338</v>
      </c>
      <c r="P2310" s="4" t="s">
        <v>892</v>
      </c>
      <c r="Q2310" s="4" t="s">
        <v>2339</v>
      </c>
      <c r="R2310" s="4" t="s">
        <v>2318</v>
      </c>
      <c r="S2310" s="4" t="s">
        <v>2341</v>
      </c>
      <c r="T2310" s="4" t="s">
        <v>786</v>
      </c>
      <c r="U2310" s="4"/>
      <c r="V2310" s="4"/>
      <c r="W2310" s="4"/>
    </row>
    <row r="2311" spans="1:23" customFormat="1">
      <c r="A2311" s="10"/>
      <c r="B2311" s="4"/>
      <c r="C2311" s="4"/>
      <c r="D2311" s="4"/>
      <c r="E2311" s="4"/>
      <c r="F2311" s="152" t="s">
        <v>658</v>
      </c>
      <c r="G2311" s="4" t="s">
        <v>659</v>
      </c>
      <c r="H2311" s="4"/>
      <c r="I2311" s="196">
        <v>-2712.2</v>
      </c>
      <c r="J2311" s="196">
        <v>-1.91</v>
      </c>
      <c r="K2311" s="196">
        <v>1420</v>
      </c>
      <c r="L2311" s="454" t="s">
        <v>1098</v>
      </c>
      <c r="M2311" s="4" t="s">
        <v>780</v>
      </c>
      <c r="N2311" s="133" t="s">
        <v>1407</v>
      </c>
      <c r="O2311" s="4" t="s">
        <v>2423</v>
      </c>
      <c r="P2311" s="4" t="s">
        <v>892</v>
      </c>
      <c r="Q2311" s="4" t="s">
        <v>2424</v>
      </c>
      <c r="R2311" s="4" t="s">
        <v>1515</v>
      </c>
      <c r="S2311" s="4" t="s">
        <v>2426</v>
      </c>
      <c r="T2311" s="4" t="s">
        <v>786</v>
      </c>
      <c r="U2311" s="4"/>
      <c r="V2311" s="4"/>
      <c r="W2311" s="4"/>
    </row>
    <row r="2312" spans="1:23" customFormat="1">
      <c r="A2312" s="10"/>
      <c r="B2312" s="4"/>
      <c r="C2312" s="4"/>
      <c r="D2312" s="4"/>
      <c r="E2312" s="4"/>
      <c r="F2312" s="152" t="s">
        <v>658</v>
      </c>
      <c r="G2312" s="4" t="s">
        <v>659</v>
      </c>
      <c r="H2312" s="4"/>
      <c r="I2312" s="196">
        <v>-415932.2</v>
      </c>
      <c r="J2312" s="196">
        <v>-292.91000000000003</v>
      </c>
      <c r="K2312" s="196">
        <v>1420</v>
      </c>
      <c r="L2312" s="454" t="s">
        <v>1098</v>
      </c>
      <c r="M2312" s="4" t="s">
        <v>780</v>
      </c>
      <c r="N2312" s="133" t="s">
        <v>1407</v>
      </c>
      <c r="O2312" s="4" t="s">
        <v>2423</v>
      </c>
      <c r="P2312" s="4" t="s">
        <v>892</v>
      </c>
      <c r="Q2312" s="4" t="s">
        <v>2424</v>
      </c>
      <c r="R2312" s="4" t="s">
        <v>2428</v>
      </c>
      <c r="S2312" s="4" t="s">
        <v>2426</v>
      </c>
      <c r="T2312" s="4" t="s">
        <v>786</v>
      </c>
      <c r="U2312" s="4"/>
      <c r="V2312" s="4"/>
      <c r="W2312" s="4"/>
    </row>
    <row r="2313" spans="1:23" customFormat="1">
      <c r="A2313" s="10"/>
      <c r="B2313" s="4"/>
      <c r="C2313" s="4"/>
      <c r="D2313" s="4"/>
      <c r="E2313" s="4"/>
      <c r="F2313" s="152" t="s">
        <v>658</v>
      </c>
      <c r="G2313" s="4" t="s">
        <v>659</v>
      </c>
      <c r="H2313" s="4"/>
      <c r="I2313" s="196">
        <v>-2712.2</v>
      </c>
      <c r="J2313" s="196">
        <v>-1.91</v>
      </c>
      <c r="K2313" s="196">
        <v>1420</v>
      </c>
      <c r="L2313" s="454" t="s">
        <v>1098</v>
      </c>
      <c r="M2313" s="4" t="s">
        <v>780</v>
      </c>
      <c r="N2313" s="133" t="s">
        <v>1407</v>
      </c>
      <c r="O2313" s="4" t="s">
        <v>2423</v>
      </c>
      <c r="P2313" s="4" t="s">
        <v>892</v>
      </c>
      <c r="Q2313" s="4" t="s">
        <v>2424</v>
      </c>
      <c r="R2313" s="4" t="s">
        <v>1515</v>
      </c>
      <c r="S2313" s="4" t="s">
        <v>2426</v>
      </c>
      <c r="T2313" s="4" t="s">
        <v>786</v>
      </c>
      <c r="U2313" s="4"/>
      <c r="V2313" s="4"/>
      <c r="W2313" s="4"/>
    </row>
    <row r="2314" spans="1:23" customFormat="1">
      <c r="A2314" s="10"/>
      <c r="B2314" s="4"/>
      <c r="C2314" s="4"/>
      <c r="D2314" s="4"/>
      <c r="E2314" s="4"/>
      <c r="F2314" s="152" t="s">
        <v>658</v>
      </c>
      <c r="G2314" s="4" t="s">
        <v>659</v>
      </c>
      <c r="H2314" s="4"/>
      <c r="I2314" s="196">
        <v>-12836.8</v>
      </c>
      <c r="J2314" s="196">
        <v>-9.0399999999999991</v>
      </c>
      <c r="K2314" s="196">
        <v>1420</v>
      </c>
      <c r="L2314" s="454" t="s">
        <v>1098</v>
      </c>
      <c r="M2314" s="4" t="s">
        <v>780</v>
      </c>
      <c r="N2314" s="133" t="s">
        <v>1407</v>
      </c>
      <c r="O2314" s="4" t="s">
        <v>2423</v>
      </c>
      <c r="P2314" s="4" t="s">
        <v>892</v>
      </c>
      <c r="Q2314" s="4" t="s">
        <v>2424</v>
      </c>
      <c r="R2314" s="4" t="s">
        <v>2429</v>
      </c>
      <c r="S2314" s="4" t="s">
        <v>2426</v>
      </c>
      <c r="T2314" s="4" t="s">
        <v>786</v>
      </c>
      <c r="U2314" s="4"/>
      <c r="V2314" s="4"/>
      <c r="W2314" s="4"/>
    </row>
    <row r="2315" spans="1:23" customFormat="1">
      <c r="A2315" s="10"/>
      <c r="B2315" s="4"/>
      <c r="C2315" s="4"/>
      <c r="D2315" s="4"/>
      <c r="E2315" s="4"/>
      <c r="F2315" s="152" t="s">
        <v>658</v>
      </c>
      <c r="G2315" s="4" t="s">
        <v>659</v>
      </c>
      <c r="H2315" s="4"/>
      <c r="I2315" s="196">
        <v>-1095714.6000000001</v>
      </c>
      <c r="J2315" s="196">
        <v>-771.63</v>
      </c>
      <c r="K2315" s="196">
        <v>1420</v>
      </c>
      <c r="L2315" s="454" t="s">
        <v>1098</v>
      </c>
      <c r="M2315" s="4" t="s">
        <v>780</v>
      </c>
      <c r="N2315" s="133" t="s">
        <v>1407</v>
      </c>
      <c r="O2315" s="4" t="s">
        <v>2423</v>
      </c>
      <c r="P2315" s="4" t="s">
        <v>892</v>
      </c>
      <c r="Q2315" s="4" t="s">
        <v>2424</v>
      </c>
      <c r="R2315" s="4" t="s">
        <v>2430</v>
      </c>
      <c r="S2315" s="4" t="s">
        <v>2426</v>
      </c>
      <c r="T2315" s="4" t="s">
        <v>786</v>
      </c>
      <c r="U2315" s="4"/>
      <c r="V2315" s="4"/>
      <c r="W2315" s="4"/>
    </row>
    <row r="2316" spans="1:23" customFormat="1">
      <c r="A2316" s="10"/>
      <c r="B2316" s="4"/>
      <c r="C2316" s="4"/>
      <c r="D2316" s="4"/>
      <c r="E2316" s="4"/>
      <c r="F2316" s="152" t="s">
        <v>658</v>
      </c>
      <c r="G2316" s="4" t="s">
        <v>659</v>
      </c>
      <c r="H2316" s="4"/>
      <c r="I2316" s="196">
        <v>-295189.59999999998</v>
      </c>
      <c r="J2316" s="196">
        <v>-207.88</v>
      </c>
      <c r="K2316" s="196">
        <v>1420</v>
      </c>
      <c r="L2316" s="454" t="s">
        <v>1098</v>
      </c>
      <c r="M2316" s="4" t="s">
        <v>780</v>
      </c>
      <c r="N2316" s="133" t="s">
        <v>1407</v>
      </c>
      <c r="O2316" s="4" t="s">
        <v>2423</v>
      </c>
      <c r="P2316" s="4" t="s">
        <v>892</v>
      </c>
      <c r="Q2316" s="4" t="s">
        <v>2424</v>
      </c>
      <c r="R2316" s="4" t="s">
        <v>2431</v>
      </c>
      <c r="S2316" s="4" t="s">
        <v>2426</v>
      </c>
      <c r="T2316" s="4" t="s">
        <v>786</v>
      </c>
      <c r="U2316" s="4"/>
      <c r="V2316" s="4"/>
      <c r="W2316" s="4"/>
    </row>
    <row r="2317" spans="1:23" customFormat="1">
      <c r="A2317" s="10"/>
      <c r="B2317" s="4"/>
      <c r="C2317" s="4"/>
      <c r="D2317" s="4"/>
      <c r="E2317" s="4"/>
      <c r="F2317" s="152" t="s">
        <v>658</v>
      </c>
      <c r="G2317" s="4" t="s">
        <v>659</v>
      </c>
      <c r="H2317" s="4"/>
      <c r="I2317" s="196">
        <v>-1581510.8</v>
      </c>
      <c r="J2317" s="196">
        <v>-1113.74</v>
      </c>
      <c r="K2317" s="196">
        <v>1420</v>
      </c>
      <c r="L2317" s="454" t="s">
        <v>1098</v>
      </c>
      <c r="M2317" s="4" t="s">
        <v>780</v>
      </c>
      <c r="N2317" s="133" t="s">
        <v>1407</v>
      </c>
      <c r="O2317" s="4" t="s">
        <v>2423</v>
      </c>
      <c r="P2317" s="4" t="s">
        <v>892</v>
      </c>
      <c r="Q2317" s="4" t="s">
        <v>2424</v>
      </c>
      <c r="R2317" s="4" t="s">
        <v>2432</v>
      </c>
      <c r="S2317" s="4" t="s">
        <v>2426</v>
      </c>
      <c r="T2317" s="4" t="s">
        <v>786</v>
      </c>
      <c r="U2317" s="4"/>
      <c r="V2317" s="4"/>
      <c r="W2317" s="4"/>
    </row>
    <row r="2318" spans="1:23" customFormat="1">
      <c r="A2318" s="10"/>
      <c r="B2318" s="4"/>
      <c r="C2318" s="4"/>
      <c r="D2318" s="4"/>
      <c r="E2318" s="4"/>
      <c r="F2318" s="152" t="s">
        <v>658</v>
      </c>
      <c r="G2318" s="4" t="s">
        <v>659</v>
      </c>
      <c r="H2318" s="4"/>
      <c r="I2318" s="196">
        <v>-2712.2</v>
      </c>
      <c r="J2318" s="196">
        <v>-1.91</v>
      </c>
      <c r="K2318" s="196">
        <v>1420</v>
      </c>
      <c r="L2318" s="454" t="s">
        <v>1098</v>
      </c>
      <c r="M2318" s="4" t="s">
        <v>780</v>
      </c>
      <c r="N2318" s="133" t="s">
        <v>1407</v>
      </c>
      <c r="O2318" s="4" t="s">
        <v>2423</v>
      </c>
      <c r="P2318" s="4" t="s">
        <v>892</v>
      </c>
      <c r="Q2318" s="4" t="s">
        <v>2424</v>
      </c>
      <c r="R2318" s="4" t="s">
        <v>1515</v>
      </c>
      <c r="S2318" s="4" t="s">
        <v>2426</v>
      </c>
      <c r="T2318" s="4" t="s">
        <v>786</v>
      </c>
      <c r="U2318" s="4"/>
      <c r="V2318" s="4"/>
      <c r="W2318" s="4"/>
    </row>
    <row r="2319" spans="1:23" customFormat="1">
      <c r="A2319" s="10"/>
      <c r="B2319" s="4"/>
      <c r="C2319" s="4"/>
      <c r="D2319" s="4"/>
      <c r="E2319" s="4"/>
      <c r="F2319" s="152" t="s">
        <v>658</v>
      </c>
      <c r="G2319" s="4" t="s">
        <v>659</v>
      </c>
      <c r="H2319" s="4"/>
      <c r="I2319" s="196">
        <v>-5810228.2000000002</v>
      </c>
      <c r="J2319" s="196">
        <v>-4091.71</v>
      </c>
      <c r="K2319" s="196">
        <v>1420</v>
      </c>
      <c r="L2319" s="454" t="s">
        <v>1098</v>
      </c>
      <c r="M2319" s="4" t="s">
        <v>780</v>
      </c>
      <c r="N2319" s="133" t="s">
        <v>1407</v>
      </c>
      <c r="O2319" s="4" t="s">
        <v>2423</v>
      </c>
      <c r="P2319" s="4" t="s">
        <v>892</v>
      </c>
      <c r="Q2319" s="4" t="s">
        <v>2424</v>
      </c>
      <c r="R2319" s="4" t="s">
        <v>2427</v>
      </c>
      <c r="S2319" s="4" t="s">
        <v>2426</v>
      </c>
      <c r="T2319" s="4" t="s">
        <v>786</v>
      </c>
      <c r="U2319" s="4"/>
      <c r="V2319" s="4"/>
      <c r="W2319" s="4"/>
    </row>
    <row r="2320" spans="1:23" customFormat="1">
      <c r="A2320" s="10"/>
      <c r="B2320" s="4"/>
      <c r="C2320" s="4"/>
      <c r="D2320" s="4"/>
      <c r="E2320" s="4"/>
      <c r="F2320" s="152" t="s">
        <v>658</v>
      </c>
      <c r="G2320" s="4" t="s">
        <v>659</v>
      </c>
      <c r="H2320" s="4"/>
      <c r="I2320" s="196">
        <v>-13603.6</v>
      </c>
      <c r="J2320" s="196">
        <v>-9.58</v>
      </c>
      <c r="K2320" s="196">
        <v>1420</v>
      </c>
      <c r="L2320" s="454" t="s">
        <v>1098</v>
      </c>
      <c r="M2320" s="4" t="s">
        <v>780</v>
      </c>
      <c r="N2320" s="133" t="s">
        <v>1407</v>
      </c>
      <c r="O2320" s="4" t="s">
        <v>2423</v>
      </c>
      <c r="P2320" s="4" t="s">
        <v>892</v>
      </c>
      <c r="Q2320" s="4" t="s">
        <v>2424</v>
      </c>
      <c r="R2320" s="4" t="s">
        <v>2434</v>
      </c>
      <c r="S2320" s="4" t="s">
        <v>2426</v>
      </c>
      <c r="T2320" s="4" t="s">
        <v>786</v>
      </c>
      <c r="U2320" s="4"/>
      <c r="V2320" s="4"/>
      <c r="W2320" s="4"/>
    </row>
    <row r="2321" spans="1:23" customFormat="1">
      <c r="A2321" s="10"/>
      <c r="B2321" s="4"/>
      <c r="C2321" s="4"/>
      <c r="D2321" s="4"/>
      <c r="E2321" s="4"/>
      <c r="F2321" s="152" t="s">
        <v>658</v>
      </c>
      <c r="G2321" s="4" t="s">
        <v>659</v>
      </c>
      <c r="H2321" s="4"/>
      <c r="I2321" s="196">
        <v>-47868.2</v>
      </c>
      <c r="J2321" s="196">
        <v>-33.71</v>
      </c>
      <c r="K2321" s="196">
        <v>1420</v>
      </c>
      <c r="L2321" s="454" t="s">
        <v>1098</v>
      </c>
      <c r="M2321" s="4" t="s">
        <v>780</v>
      </c>
      <c r="N2321" s="133" t="s">
        <v>1407</v>
      </c>
      <c r="O2321" s="4" t="s">
        <v>2423</v>
      </c>
      <c r="P2321" s="4" t="s">
        <v>892</v>
      </c>
      <c r="Q2321" s="4" t="s">
        <v>2424</v>
      </c>
      <c r="R2321" s="4" t="s">
        <v>2435</v>
      </c>
      <c r="S2321" s="4" t="s">
        <v>2426</v>
      </c>
      <c r="T2321" s="4" t="s">
        <v>786</v>
      </c>
      <c r="U2321" s="4"/>
      <c r="V2321" s="4"/>
      <c r="W2321" s="4"/>
    </row>
    <row r="2322" spans="1:23" customFormat="1">
      <c r="A2322" s="10"/>
      <c r="B2322" s="4"/>
      <c r="C2322" s="4"/>
      <c r="D2322" s="4"/>
      <c r="E2322" s="4"/>
      <c r="F2322" s="152" t="s">
        <v>658</v>
      </c>
      <c r="G2322" s="4" t="s">
        <v>659</v>
      </c>
      <c r="H2322" s="4"/>
      <c r="I2322" s="196">
        <v>-289651.59999999998</v>
      </c>
      <c r="J2322" s="196">
        <v>-203.98</v>
      </c>
      <c r="K2322" s="196">
        <v>1420</v>
      </c>
      <c r="L2322" s="454" t="s">
        <v>1098</v>
      </c>
      <c r="M2322" s="4" t="s">
        <v>780</v>
      </c>
      <c r="N2322" s="133" t="s">
        <v>1407</v>
      </c>
      <c r="O2322" s="4" t="s">
        <v>2423</v>
      </c>
      <c r="P2322" s="4" t="s">
        <v>892</v>
      </c>
      <c r="Q2322" s="4" t="s">
        <v>2424</v>
      </c>
      <c r="R2322" s="4" t="s">
        <v>2425</v>
      </c>
      <c r="S2322" s="4" t="s">
        <v>2426</v>
      </c>
      <c r="T2322" s="4" t="s">
        <v>786</v>
      </c>
      <c r="U2322" s="4"/>
      <c r="V2322" s="4"/>
      <c r="W2322" s="4"/>
    </row>
    <row r="2323" spans="1:23" customFormat="1">
      <c r="A2323" s="10"/>
      <c r="B2323" s="4"/>
      <c r="C2323" s="4"/>
      <c r="D2323" s="4"/>
      <c r="E2323" s="4"/>
      <c r="F2323" s="152" t="s">
        <v>658</v>
      </c>
      <c r="G2323" s="4" t="s">
        <v>659</v>
      </c>
      <c r="H2323" s="4"/>
      <c r="I2323" s="196">
        <v>-214263.8</v>
      </c>
      <c r="J2323" s="196">
        <v>-150.88999999999999</v>
      </c>
      <c r="K2323" s="196">
        <v>1420</v>
      </c>
      <c r="L2323" s="454" t="s">
        <v>1098</v>
      </c>
      <c r="M2323" s="4" t="s">
        <v>780</v>
      </c>
      <c r="N2323" s="133" t="s">
        <v>1407</v>
      </c>
      <c r="O2323" s="4" t="s">
        <v>2423</v>
      </c>
      <c r="P2323" s="4" t="s">
        <v>892</v>
      </c>
      <c r="Q2323" s="4" t="s">
        <v>2424</v>
      </c>
      <c r="R2323" s="4" t="s">
        <v>2433</v>
      </c>
      <c r="S2323" s="4" t="s">
        <v>2426</v>
      </c>
      <c r="T2323" s="4" t="s">
        <v>786</v>
      </c>
      <c r="U2323" s="4"/>
      <c r="V2323" s="4"/>
      <c r="W2323" s="4"/>
    </row>
    <row r="2324" spans="1:23" customFormat="1">
      <c r="A2324" s="10"/>
      <c r="B2324" s="4"/>
      <c r="C2324" s="4"/>
      <c r="D2324" s="4"/>
      <c r="E2324" s="4"/>
      <c r="F2324" s="152" t="s">
        <v>658</v>
      </c>
      <c r="G2324" s="4" t="s">
        <v>659</v>
      </c>
      <c r="H2324" s="4"/>
      <c r="I2324" s="196">
        <v>6390000</v>
      </c>
      <c r="J2324" s="196">
        <v>4500</v>
      </c>
      <c r="K2324" s="196">
        <v>1420</v>
      </c>
      <c r="L2324" s="454" t="s">
        <v>1198</v>
      </c>
      <c r="M2324" s="4" t="s">
        <v>780</v>
      </c>
      <c r="N2324" s="133" t="s">
        <v>1407</v>
      </c>
      <c r="O2324" s="4" t="s">
        <v>2542</v>
      </c>
      <c r="P2324" s="4" t="s">
        <v>892</v>
      </c>
      <c r="Q2324" s="4" t="s">
        <v>2543</v>
      </c>
      <c r="R2324" s="4" t="s">
        <v>2318</v>
      </c>
      <c r="S2324" s="4" t="s">
        <v>2544</v>
      </c>
      <c r="T2324" s="4" t="s">
        <v>786</v>
      </c>
      <c r="U2324" s="4"/>
      <c r="V2324" s="4"/>
      <c r="W2324" s="4"/>
    </row>
    <row r="2325" spans="1:23" customFormat="1">
      <c r="A2325" s="10"/>
      <c r="B2325" s="4"/>
      <c r="C2325" s="4"/>
      <c r="D2325" s="4"/>
      <c r="E2325" s="4"/>
      <c r="F2325" s="152" t="s">
        <v>658</v>
      </c>
      <c r="G2325" s="4" t="s">
        <v>659</v>
      </c>
      <c r="H2325" s="4"/>
      <c r="I2325" s="196">
        <v>-278064.40000000002</v>
      </c>
      <c r="J2325" s="196">
        <v>-195.82</v>
      </c>
      <c r="K2325" s="196">
        <v>1420</v>
      </c>
      <c r="L2325" s="454" t="s">
        <v>1239</v>
      </c>
      <c r="M2325" s="4" t="s">
        <v>780</v>
      </c>
      <c r="N2325" s="133" t="s">
        <v>1407</v>
      </c>
      <c r="O2325" s="4" t="s">
        <v>2630</v>
      </c>
      <c r="P2325" s="4" t="s">
        <v>892</v>
      </c>
      <c r="Q2325" s="4" t="s">
        <v>2631</v>
      </c>
      <c r="R2325" s="4" t="s">
        <v>2637</v>
      </c>
      <c r="S2325" s="4" t="s">
        <v>2632</v>
      </c>
      <c r="T2325" s="4" t="s">
        <v>786</v>
      </c>
      <c r="U2325" s="4"/>
      <c r="V2325" s="4"/>
      <c r="W2325" s="4"/>
    </row>
    <row r="2326" spans="1:23" customFormat="1">
      <c r="A2326" s="10"/>
      <c r="B2326" s="4"/>
      <c r="C2326" s="4"/>
      <c r="D2326" s="4"/>
      <c r="E2326" s="4"/>
      <c r="F2326" s="152" t="s">
        <v>658</v>
      </c>
      <c r="G2326" s="4" t="s">
        <v>659</v>
      </c>
      <c r="H2326" s="4"/>
      <c r="I2326" s="196">
        <v>-630735.6</v>
      </c>
      <c r="J2326" s="196">
        <v>-444.18</v>
      </c>
      <c r="K2326" s="196">
        <v>1420</v>
      </c>
      <c r="L2326" s="454" t="s">
        <v>1239</v>
      </c>
      <c r="M2326" s="4" t="s">
        <v>780</v>
      </c>
      <c r="N2326" s="133" t="s">
        <v>1407</v>
      </c>
      <c r="O2326" s="4" t="s">
        <v>2630</v>
      </c>
      <c r="P2326" s="4" t="s">
        <v>892</v>
      </c>
      <c r="Q2326" s="4" t="s">
        <v>2631</v>
      </c>
      <c r="R2326" s="4" t="s">
        <v>2638</v>
      </c>
      <c r="S2326" s="4" t="s">
        <v>2632</v>
      </c>
      <c r="T2326" s="4" t="s">
        <v>786</v>
      </c>
      <c r="U2326" s="4"/>
      <c r="V2326" s="4"/>
      <c r="W2326" s="4"/>
    </row>
    <row r="2327" spans="1:23" customFormat="1">
      <c r="A2327" s="10"/>
      <c r="B2327" s="4"/>
      <c r="C2327" s="4"/>
      <c r="D2327" s="4"/>
      <c r="E2327" s="4"/>
      <c r="F2327" s="152" t="s">
        <v>658</v>
      </c>
      <c r="G2327" s="4" t="s">
        <v>659</v>
      </c>
      <c r="H2327" s="4"/>
      <c r="I2327" s="196">
        <v>-630735.6</v>
      </c>
      <c r="J2327" s="196">
        <v>-444.18</v>
      </c>
      <c r="K2327" s="196">
        <v>1420</v>
      </c>
      <c r="L2327" s="454" t="s">
        <v>1239</v>
      </c>
      <c r="M2327" s="4" t="s">
        <v>780</v>
      </c>
      <c r="N2327" s="133" t="s">
        <v>1407</v>
      </c>
      <c r="O2327" s="4" t="s">
        <v>2630</v>
      </c>
      <c r="P2327" s="4" t="s">
        <v>892</v>
      </c>
      <c r="Q2327" s="4" t="s">
        <v>2631</v>
      </c>
      <c r="R2327" s="4" t="s">
        <v>2639</v>
      </c>
      <c r="S2327" s="4" t="s">
        <v>2632</v>
      </c>
      <c r="T2327" s="4" t="s">
        <v>786</v>
      </c>
      <c r="U2327" s="4"/>
      <c r="V2327" s="4"/>
      <c r="W2327" s="4"/>
    </row>
    <row r="2328" spans="1:23" customFormat="1">
      <c r="A2328" s="10"/>
      <c r="B2328" s="4"/>
      <c r="C2328" s="4"/>
      <c r="D2328" s="4"/>
      <c r="E2328" s="4"/>
      <c r="F2328" s="152" t="s">
        <v>658</v>
      </c>
      <c r="G2328" s="4" t="s">
        <v>659</v>
      </c>
      <c r="H2328" s="4"/>
      <c r="I2328" s="196">
        <v>-2325534</v>
      </c>
      <c r="J2328" s="196">
        <v>-1637.7</v>
      </c>
      <c r="K2328" s="196">
        <v>1420</v>
      </c>
      <c r="L2328" s="454" t="s">
        <v>1239</v>
      </c>
      <c r="M2328" s="4" t="s">
        <v>780</v>
      </c>
      <c r="N2328" s="133" t="s">
        <v>1407</v>
      </c>
      <c r="O2328" s="4" t="s">
        <v>2630</v>
      </c>
      <c r="P2328" s="4" t="s">
        <v>892</v>
      </c>
      <c r="Q2328" s="4" t="s">
        <v>2631</v>
      </c>
      <c r="R2328" s="4" t="s">
        <v>2218</v>
      </c>
      <c r="S2328" s="4" t="s">
        <v>2632</v>
      </c>
      <c r="T2328" s="4" t="s">
        <v>786</v>
      </c>
      <c r="U2328" s="4"/>
      <c r="V2328" s="4"/>
      <c r="W2328" s="4"/>
    </row>
    <row r="2329" spans="1:23" customFormat="1">
      <c r="A2329" s="10"/>
      <c r="B2329" s="4"/>
      <c r="C2329" s="4"/>
      <c r="D2329" s="4"/>
      <c r="E2329" s="4"/>
      <c r="F2329" s="152" t="s">
        <v>658</v>
      </c>
      <c r="G2329" s="4" t="s">
        <v>659</v>
      </c>
      <c r="H2329" s="4"/>
      <c r="I2329" s="196">
        <v>-381880.6</v>
      </c>
      <c r="J2329" s="196">
        <v>-268.93</v>
      </c>
      <c r="K2329" s="196">
        <v>1420</v>
      </c>
      <c r="L2329" s="454" t="s">
        <v>1239</v>
      </c>
      <c r="M2329" s="4" t="s">
        <v>780</v>
      </c>
      <c r="N2329" s="133" t="s">
        <v>1407</v>
      </c>
      <c r="O2329" s="4" t="s">
        <v>2630</v>
      </c>
      <c r="P2329" s="4" t="s">
        <v>892</v>
      </c>
      <c r="Q2329" s="4" t="s">
        <v>2631</v>
      </c>
      <c r="R2329" s="4" t="s">
        <v>2640</v>
      </c>
      <c r="S2329" s="4" t="s">
        <v>2632</v>
      </c>
      <c r="T2329" s="4" t="s">
        <v>786</v>
      </c>
      <c r="U2329" s="4"/>
      <c r="V2329" s="4"/>
      <c r="W2329" s="4"/>
    </row>
    <row r="2330" spans="1:23" customFormat="1">
      <c r="A2330" s="10"/>
      <c r="B2330" s="4"/>
      <c r="C2330" s="4"/>
      <c r="D2330" s="4"/>
      <c r="E2330" s="4"/>
      <c r="F2330" s="152" t="s">
        <v>658</v>
      </c>
      <c r="G2330" s="4" t="s">
        <v>659</v>
      </c>
      <c r="H2330" s="4"/>
      <c r="I2330" s="196">
        <v>-146856.4</v>
      </c>
      <c r="J2330" s="196">
        <v>-103.42</v>
      </c>
      <c r="K2330" s="196">
        <v>1420</v>
      </c>
      <c r="L2330" s="454" t="s">
        <v>1239</v>
      </c>
      <c r="M2330" s="4" t="s">
        <v>780</v>
      </c>
      <c r="N2330" s="133" t="s">
        <v>1407</v>
      </c>
      <c r="O2330" s="4" t="s">
        <v>2630</v>
      </c>
      <c r="P2330" s="4" t="s">
        <v>892</v>
      </c>
      <c r="Q2330" s="4" t="s">
        <v>2631</v>
      </c>
      <c r="R2330" s="4" t="s">
        <v>2636</v>
      </c>
      <c r="S2330" s="4" t="s">
        <v>2632</v>
      </c>
      <c r="T2330" s="4" t="s">
        <v>786</v>
      </c>
      <c r="U2330" s="4"/>
      <c r="V2330" s="4"/>
      <c r="W2330" s="4"/>
    </row>
    <row r="2331" spans="1:23" customFormat="1">
      <c r="A2331" s="10"/>
      <c r="B2331" s="4"/>
      <c r="C2331" s="4"/>
      <c r="D2331" s="4"/>
      <c r="E2331" s="4"/>
      <c r="F2331" s="152" t="s">
        <v>658</v>
      </c>
      <c r="G2331" s="4" t="s">
        <v>659</v>
      </c>
      <c r="H2331" s="4"/>
      <c r="I2331" s="196">
        <v>-491959</v>
      </c>
      <c r="J2331" s="196">
        <v>-346.45</v>
      </c>
      <c r="K2331" s="196">
        <v>1420</v>
      </c>
      <c r="L2331" s="454" t="s">
        <v>1239</v>
      </c>
      <c r="M2331" s="4" t="s">
        <v>780</v>
      </c>
      <c r="N2331" s="133" t="s">
        <v>1407</v>
      </c>
      <c r="O2331" s="4" t="s">
        <v>2630</v>
      </c>
      <c r="P2331" s="4" t="s">
        <v>892</v>
      </c>
      <c r="Q2331" s="4" t="s">
        <v>2631</v>
      </c>
      <c r="R2331" s="4" t="s">
        <v>2634</v>
      </c>
      <c r="S2331" s="4" t="s">
        <v>2632</v>
      </c>
      <c r="T2331" s="4" t="s">
        <v>786</v>
      </c>
      <c r="U2331" s="4"/>
      <c r="V2331" s="4"/>
      <c r="W2331" s="4"/>
    </row>
    <row r="2332" spans="1:23" customFormat="1">
      <c r="A2332" s="10"/>
      <c r="B2332" s="4"/>
      <c r="C2332" s="4"/>
      <c r="D2332" s="4"/>
      <c r="E2332" s="4"/>
      <c r="F2332" s="152" t="s">
        <v>658</v>
      </c>
      <c r="G2332" s="4" t="s">
        <v>659</v>
      </c>
      <c r="H2332" s="4"/>
      <c r="I2332" s="196">
        <v>-2754.8</v>
      </c>
      <c r="J2332" s="196">
        <v>-1.94</v>
      </c>
      <c r="K2332" s="196">
        <v>1420</v>
      </c>
      <c r="L2332" s="454" t="s">
        <v>1239</v>
      </c>
      <c r="M2332" s="4" t="s">
        <v>780</v>
      </c>
      <c r="N2332" s="133" t="s">
        <v>1407</v>
      </c>
      <c r="O2332" s="4" t="s">
        <v>2630</v>
      </c>
      <c r="P2332" s="4" t="s">
        <v>892</v>
      </c>
      <c r="Q2332" s="4" t="s">
        <v>2631</v>
      </c>
      <c r="R2332" s="4" t="s">
        <v>1515</v>
      </c>
      <c r="S2332" s="4" t="s">
        <v>2632</v>
      </c>
      <c r="T2332" s="4" t="s">
        <v>786</v>
      </c>
      <c r="U2332" s="4"/>
      <c r="V2332" s="4"/>
      <c r="W2332" s="4"/>
    </row>
    <row r="2333" spans="1:23" customFormat="1">
      <c r="A2333" s="10"/>
      <c r="B2333" s="4"/>
      <c r="C2333" s="4"/>
      <c r="D2333" s="4"/>
      <c r="E2333" s="4"/>
      <c r="F2333" s="152" t="s">
        <v>658</v>
      </c>
      <c r="G2333" s="4" t="s">
        <v>659</v>
      </c>
      <c r="H2333" s="4"/>
      <c r="I2333" s="196">
        <v>-620909.19999999995</v>
      </c>
      <c r="J2333" s="196">
        <v>-437.26</v>
      </c>
      <c r="K2333" s="196">
        <v>1420</v>
      </c>
      <c r="L2333" s="454" t="s">
        <v>1239</v>
      </c>
      <c r="M2333" s="4" t="s">
        <v>780</v>
      </c>
      <c r="N2333" s="133" t="s">
        <v>1407</v>
      </c>
      <c r="O2333" s="4" t="s">
        <v>2630</v>
      </c>
      <c r="P2333" s="4" t="s">
        <v>892</v>
      </c>
      <c r="Q2333" s="4" t="s">
        <v>2631</v>
      </c>
      <c r="R2333" s="4" t="s">
        <v>2635</v>
      </c>
      <c r="S2333" s="4" t="s">
        <v>2632</v>
      </c>
      <c r="T2333" s="4" t="s">
        <v>786</v>
      </c>
      <c r="U2333" s="4"/>
      <c r="V2333" s="4"/>
      <c r="W2333" s="4"/>
    </row>
    <row r="2334" spans="1:23" customFormat="1">
      <c r="A2334" s="10"/>
      <c r="B2334" s="4"/>
      <c r="C2334" s="4"/>
      <c r="D2334" s="4"/>
      <c r="E2334" s="4"/>
      <c r="F2334" s="152" t="s">
        <v>658</v>
      </c>
      <c r="G2334" s="4" t="s">
        <v>659</v>
      </c>
      <c r="H2334" s="4"/>
      <c r="I2334" s="196">
        <v>-2754.8</v>
      </c>
      <c r="J2334" s="196">
        <v>-1.94</v>
      </c>
      <c r="K2334" s="196">
        <v>1420</v>
      </c>
      <c r="L2334" s="454" t="s">
        <v>1239</v>
      </c>
      <c r="M2334" s="4" t="s">
        <v>780</v>
      </c>
      <c r="N2334" s="133" t="s">
        <v>1407</v>
      </c>
      <c r="O2334" s="4" t="s">
        <v>2630</v>
      </c>
      <c r="P2334" s="4" t="s">
        <v>892</v>
      </c>
      <c r="Q2334" s="4" t="s">
        <v>2631</v>
      </c>
      <c r="R2334" s="4" t="s">
        <v>1515</v>
      </c>
      <c r="S2334" s="4" t="s">
        <v>2632</v>
      </c>
      <c r="T2334" s="4" t="s">
        <v>786</v>
      </c>
      <c r="U2334" s="4"/>
      <c r="V2334" s="4"/>
      <c r="W2334" s="4"/>
    </row>
    <row r="2335" spans="1:23" customFormat="1">
      <c r="A2335" s="10"/>
      <c r="B2335" s="4"/>
      <c r="C2335" s="4"/>
      <c r="D2335" s="4"/>
      <c r="E2335" s="4"/>
      <c r="F2335" s="152" t="s">
        <v>658</v>
      </c>
      <c r="G2335" s="4" t="s">
        <v>659</v>
      </c>
      <c r="H2335" s="4"/>
      <c r="I2335" s="196">
        <v>-300685</v>
      </c>
      <c r="J2335" s="196">
        <v>-211.75</v>
      </c>
      <c r="K2335" s="196">
        <v>1420</v>
      </c>
      <c r="L2335" s="454" t="s">
        <v>1239</v>
      </c>
      <c r="M2335" s="4" t="s">
        <v>780</v>
      </c>
      <c r="N2335" s="133" t="s">
        <v>1407</v>
      </c>
      <c r="O2335" s="4" t="s">
        <v>2630</v>
      </c>
      <c r="P2335" s="4" t="s">
        <v>892</v>
      </c>
      <c r="Q2335" s="4" t="s">
        <v>2631</v>
      </c>
      <c r="R2335" s="4" t="s">
        <v>2641</v>
      </c>
      <c r="S2335" s="4" t="s">
        <v>2632</v>
      </c>
      <c r="T2335" s="4" t="s">
        <v>786</v>
      </c>
      <c r="U2335" s="4"/>
      <c r="V2335" s="4"/>
      <c r="W2335" s="4"/>
    </row>
    <row r="2336" spans="1:23" customFormat="1">
      <c r="A2336" s="10"/>
      <c r="B2336" s="4"/>
      <c r="C2336" s="4"/>
      <c r="D2336" s="4"/>
      <c r="E2336" s="4"/>
      <c r="F2336" s="152" t="s">
        <v>658</v>
      </c>
      <c r="G2336" s="4" t="s">
        <v>659</v>
      </c>
      <c r="H2336" s="4"/>
      <c r="I2336" s="196">
        <v>-2754.8</v>
      </c>
      <c r="J2336" s="196">
        <v>-1.94</v>
      </c>
      <c r="K2336" s="196">
        <v>1420</v>
      </c>
      <c r="L2336" s="454" t="s">
        <v>1239</v>
      </c>
      <c r="M2336" s="4" t="s">
        <v>780</v>
      </c>
      <c r="N2336" s="133" t="s">
        <v>1407</v>
      </c>
      <c r="O2336" s="4" t="s">
        <v>2630</v>
      </c>
      <c r="P2336" s="4" t="s">
        <v>892</v>
      </c>
      <c r="Q2336" s="4" t="s">
        <v>2631</v>
      </c>
      <c r="R2336" s="4" t="s">
        <v>1515</v>
      </c>
      <c r="S2336" s="4" t="s">
        <v>2632</v>
      </c>
      <c r="T2336" s="4" t="s">
        <v>786</v>
      </c>
      <c r="U2336" s="4"/>
      <c r="V2336" s="4"/>
      <c r="W2336" s="4"/>
    </row>
    <row r="2337" spans="1:23" customFormat="1">
      <c r="A2337" s="10"/>
      <c r="B2337" s="4"/>
      <c r="C2337" s="4"/>
      <c r="D2337" s="4"/>
      <c r="E2337" s="4"/>
      <c r="F2337" s="152" t="s">
        <v>658</v>
      </c>
      <c r="G2337" s="4" t="s">
        <v>659</v>
      </c>
      <c r="H2337" s="4"/>
      <c r="I2337" s="196">
        <v>-2754.8</v>
      </c>
      <c r="J2337" s="196">
        <v>-1.94</v>
      </c>
      <c r="K2337" s="196">
        <v>1420</v>
      </c>
      <c r="L2337" s="454" t="s">
        <v>1239</v>
      </c>
      <c r="M2337" s="4" t="s">
        <v>780</v>
      </c>
      <c r="N2337" s="133" t="s">
        <v>1407</v>
      </c>
      <c r="O2337" s="4" t="s">
        <v>2630</v>
      </c>
      <c r="P2337" s="4" t="s">
        <v>892</v>
      </c>
      <c r="Q2337" s="4" t="s">
        <v>2631</v>
      </c>
      <c r="R2337" s="4" t="s">
        <v>1515</v>
      </c>
      <c r="S2337" s="4" t="s">
        <v>2632</v>
      </c>
      <c r="T2337" s="4" t="s">
        <v>786</v>
      </c>
      <c r="U2337" s="4"/>
      <c r="V2337" s="4"/>
      <c r="W2337" s="4"/>
    </row>
    <row r="2338" spans="1:23" customFormat="1">
      <c r="A2338" s="10"/>
      <c r="B2338" s="4"/>
      <c r="C2338" s="4"/>
      <c r="D2338" s="4"/>
      <c r="E2338" s="4"/>
      <c r="F2338" s="152" t="s">
        <v>658</v>
      </c>
      <c r="G2338" s="4" t="s">
        <v>659</v>
      </c>
      <c r="H2338" s="4"/>
      <c r="I2338" s="196">
        <v>-620909.19999999995</v>
      </c>
      <c r="J2338" s="196">
        <v>-437.26</v>
      </c>
      <c r="K2338" s="196">
        <v>1420</v>
      </c>
      <c r="L2338" s="454" t="s">
        <v>1239</v>
      </c>
      <c r="M2338" s="4" t="s">
        <v>780</v>
      </c>
      <c r="N2338" s="133" t="s">
        <v>1407</v>
      </c>
      <c r="O2338" s="4" t="s">
        <v>2630</v>
      </c>
      <c r="P2338" s="4" t="s">
        <v>892</v>
      </c>
      <c r="Q2338" s="4" t="s">
        <v>2631</v>
      </c>
      <c r="R2338" s="4" t="s">
        <v>2633</v>
      </c>
      <c r="S2338" s="4" t="s">
        <v>2632</v>
      </c>
      <c r="T2338" s="4" t="s">
        <v>786</v>
      </c>
      <c r="U2338" s="4"/>
      <c r="V2338" s="4"/>
      <c r="W2338" s="4"/>
    </row>
    <row r="2339" spans="1:23" customFormat="1">
      <c r="A2339" s="10"/>
      <c r="B2339" s="4"/>
      <c r="C2339" s="4"/>
      <c r="D2339" s="4"/>
      <c r="E2339" s="4"/>
      <c r="F2339" s="152" t="s">
        <v>658</v>
      </c>
      <c r="G2339" s="4" t="s">
        <v>659</v>
      </c>
      <c r="H2339" s="4"/>
      <c r="I2339" s="196">
        <v>-2754.8</v>
      </c>
      <c r="J2339" s="196">
        <v>-1.94</v>
      </c>
      <c r="K2339" s="196">
        <v>1420</v>
      </c>
      <c r="L2339" s="454" t="s">
        <v>1239</v>
      </c>
      <c r="M2339" s="4" t="s">
        <v>780</v>
      </c>
      <c r="N2339" s="133" t="s">
        <v>1407</v>
      </c>
      <c r="O2339" s="4" t="s">
        <v>2630</v>
      </c>
      <c r="P2339" s="4" t="s">
        <v>892</v>
      </c>
      <c r="Q2339" s="4" t="s">
        <v>2631</v>
      </c>
      <c r="R2339" s="4" t="s">
        <v>1515</v>
      </c>
      <c r="S2339" s="4" t="s">
        <v>2632</v>
      </c>
      <c r="T2339" s="4" t="s">
        <v>786</v>
      </c>
      <c r="U2339" s="4"/>
      <c r="V2339" s="4"/>
      <c r="W2339" s="4"/>
    </row>
    <row r="2340" spans="1:23" customFormat="1">
      <c r="A2340" s="10"/>
      <c r="B2340" s="4"/>
      <c r="C2340" s="4"/>
      <c r="D2340" s="4"/>
      <c r="E2340" s="4"/>
      <c r="F2340" s="152" t="s">
        <v>660</v>
      </c>
      <c r="G2340" s="4" t="s">
        <v>661</v>
      </c>
      <c r="H2340" s="4"/>
      <c r="I2340" s="196">
        <v>-11360000</v>
      </c>
      <c r="J2340" s="196">
        <v>-8000</v>
      </c>
      <c r="K2340" s="196">
        <v>1420</v>
      </c>
      <c r="L2340" s="454" t="s">
        <v>779</v>
      </c>
      <c r="M2340" s="4" t="s">
        <v>780</v>
      </c>
      <c r="N2340" s="133" t="s">
        <v>1407</v>
      </c>
      <c r="O2340" s="4" t="s">
        <v>1414</v>
      </c>
      <c r="P2340" s="4" t="s">
        <v>783</v>
      </c>
      <c r="Q2340" s="4" t="s">
        <v>1415</v>
      </c>
      <c r="R2340" s="4"/>
      <c r="S2340" s="4" t="s">
        <v>1416</v>
      </c>
      <c r="T2340" s="4" t="s">
        <v>786</v>
      </c>
      <c r="U2340" s="4"/>
      <c r="V2340" s="4"/>
      <c r="W2340" s="4"/>
    </row>
    <row r="2341" spans="1:23" customFormat="1">
      <c r="A2341" s="10"/>
      <c r="B2341" s="4"/>
      <c r="C2341" s="4"/>
      <c r="D2341" s="4"/>
      <c r="E2341" s="4"/>
      <c r="F2341" s="152" t="s">
        <v>660</v>
      </c>
      <c r="G2341" s="4" t="s">
        <v>661</v>
      </c>
      <c r="H2341" s="4"/>
      <c r="I2341" s="196">
        <v>-5680000</v>
      </c>
      <c r="J2341" s="196">
        <v>-4000</v>
      </c>
      <c r="K2341" s="196">
        <v>1420</v>
      </c>
      <c r="L2341" s="454" t="s">
        <v>1417</v>
      </c>
      <c r="M2341" s="4" t="s">
        <v>780</v>
      </c>
      <c r="N2341" s="133" t="s">
        <v>1407</v>
      </c>
      <c r="O2341" s="4" t="s">
        <v>1418</v>
      </c>
      <c r="P2341" s="4" t="s">
        <v>783</v>
      </c>
      <c r="Q2341" s="4" t="s">
        <v>1419</v>
      </c>
      <c r="R2341" s="4"/>
      <c r="S2341" s="4" t="s">
        <v>1420</v>
      </c>
      <c r="T2341" s="4" t="s">
        <v>786</v>
      </c>
      <c r="U2341" s="4"/>
      <c r="V2341" s="4"/>
      <c r="W2341" s="4"/>
    </row>
    <row r="2342" spans="1:23" customFormat="1">
      <c r="A2342" s="10"/>
      <c r="B2342" s="4"/>
      <c r="C2342" s="4"/>
      <c r="D2342" s="4"/>
      <c r="E2342" s="4"/>
      <c r="F2342" s="152" t="s">
        <v>660</v>
      </c>
      <c r="G2342" s="4" t="s">
        <v>661</v>
      </c>
      <c r="H2342" s="4"/>
      <c r="I2342" s="196">
        <v>-4260000</v>
      </c>
      <c r="J2342" s="196">
        <v>-3000</v>
      </c>
      <c r="K2342" s="196">
        <v>1420</v>
      </c>
      <c r="L2342" s="454" t="s">
        <v>1417</v>
      </c>
      <c r="M2342" s="4" t="s">
        <v>780</v>
      </c>
      <c r="N2342" s="133" t="s">
        <v>1407</v>
      </c>
      <c r="O2342" s="4" t="s">
        <v>1421</v>
      </c>
      <c r="P2342" s="4" t="s">
        <v>783</v>
      </c>
      <c r="Q2342" s="4" t="s">
        <v>1422</v>
      </c>
      <c r="R2342" s="4"/>
      <c r="S2342" s="4" t="s">
        <v>1423</v>
      </c>
      <c r="T2342" s="4" t="s">
        <v>786</v>
      </c>
      <c r="U2342" s="4"/>
      <c r="V2342" s="4"/>
      <c r="W2342" s="4"/>
    </row>
    <row r="2343" spans="1:23" customFormat="1">
      <c r="A2343" s="10"/>
      <c r="B2343" s="4"/>
      <c r="C2343" s="4"/>
      <c r="D2343" s="4"/>
      <c r="E2343" s="4"/>
      <c r="F2343" s="152" t="s">
        <v>660</v>
      </c>
      <c r="G2343" s="4" t="s">
        <v>661</v>
      </c>
      <c r="H2343" s="4"/>
      <c r="I2343" s="196">
        <v>-1562000</v>
      </c>
      <c r="J2343" s="196">
        <v>-1100</v>
      </c>
      <c r="K2343" s="196">
        <v>1420</v>
      </c>
      <c r="L2343" s="454" t="s">
        <v>1417</v>
      </c>
      <c r="M2343" s="4" t="s">
        <v>780</v>
      </c>
      <c r="N2343" s="133" t="s">
        <v>1407</v>
      </c>
      <c r="O2343" s="4" t="s">
        <v>1424</v>
      </c>
      <c r="P2343" s="4" t="s">
        <v>783</v>
      </c>
      <c r="Q2343" s="4" t="s">
        <v>1425</v>
      </c>
      <c r="R2343" s="4"/>
      <c r="S2343" s="4" t="s">
        <v>1426</v>
      </c>
      <c r="T2343" s="4" t="s">
        <v>786</v>
      </c>
      <c r="U2343" s="4"/>
      <c r="V2343" s="4"/>
      <c r="W2343" s="4"/>
    </row>
    <row r="2344" spans="1:23" customFormat="1">
      <c r="A2344" s="10"/>
      <c r="B2344" s="4"/>
      <c r="C2344" s="4"/>
      <c r="D2344" s="4"/>
      <c r="E2344" s="4"/>
      <c r="F2344" s="152" t="s">
        <v>660</v>
      </c>
      <c r="G2344" s="4" t="s">
        <v>661</v>
      </c>
      <c r="H2344" s="4"/>
      <c r="I2344" s="196">
        <v>-385629.4</v>
      </c>
      <c r="J2344" s="196">
        <v>-271.57</v>
      </c>
      <c r="K2344" s="196">
        <v>1420</v>
      </c>
      <c r="L2344" s="454" t="s">
        <v>779</v>
      </c>
      <c r="M2344" s="4" t="s">
        <v>780</v>
      </c>
      <c r="N2344" s="133" t="s">
        <v>1407</v>
      </c>
      <c r="O2344" s="4" t="s">
        <v>1427</v>
      </c>
      <c r="P2344" s="4" t="s">
        <v>783</v>
      </c>
      <c r="Q2344" s="4" t="s">
        <v>1428</v>
      </c>
      <c r="R2344" s="4"/>
      <c r="S2344" s="4" t="s">
        <v>1429</v>
      </c>
      <c r="T2344" s="4" t="s">
        <v>786</v>
      </c>
      <c r="U2344" s="4"/>
      <c r="V2344" s="4"/>
      <c r="W2344" s="4"/>
    </row>
    <row r="2345" spans="1:23" customFormat="1">
      <c r="A2345" s="10"/>
      <c r="B2345" s="4"/>
      <c r="C2345" s="4"/>
      <c r="D2345" s="4"/>
      <c r="E2345" s="4"/>
      <c r="F2345" s="152" t="s">
        <v>660</v>
      </c>
      <c r="G2345" s="4" t="s">
        <v>661</v>
      </c>
      <c r="H2345" s="4"/>
      <c r="I2345" s="196">
        <v>45390300</v>
      </c>
      <c r="J2345" s="196">
        <v>31965</v>
      </c>
      <c r="K2345" s="196">
        <v>1420</v>
      </c>
      <c r="L2345" s="454" t="s">
        <v>787</v>
      </c>
      <c r="M2345" s="4" t="s">
        <v>780</v>
      </c>
      <c r="N2345" s="133" t="s">
        <v>1407</v>
      </c>
      <c r="O2345" s="4" t="s">
        <v>1430</v>
      </c>
      <c r="P2345" s="4" t="s">
        <v>783</v>
      </c>
      <c r="Q2345" s="4" t="s">
        <v>1431</v>
      </c>
      <c r="R2345" s="4" t="s">
        <v>1432</v>
      </c>
      <c r="S2345" s="4" t="s">
        <v>1433</v>
      </c>
      <c r="T2345" s="4" t="s">
        <v>786</v>
      </c>
      <c r="U2345" s="4"/>
      <c r="V2345" s="4"/>
      <c r="W2345" s="4"/>
    </row>
    <row r="2346" spans="1:23" customFormat="1">
      <c r="A2346" s="10"/>
      <c r="B2346" s="4"/>
      <c r="C2346" s="4"/>
      <c r="D2346" s="4"/>
      <c r="E2346" s="4"/>
      <c r="F2346" s="152" t="s">
        <v>660</v>
      </c>
      <c r="G2346" s="4" t="s">
        <v>661</v>
      </c>
      <c r="H2346" s="4"/>
      <c r="I2346" s="196">
        <v>36942050</v>
      </c>
      <c r="J2346" s="196">
        <v>26965</v>
      </c>
      <c r="K2346" s="196">
        <v>1370</v>
      </c>
      <c r="L2346" s="454" t="s">
        <v>787</v>
      </c>
      <c r="M2346" s="4" t="s">
        <v>780</v>
      </c>
      <c r="N2346" s="133" t="s">
        <v>1407</v>
      </c>
      <c r="O2346" s="4" t="s">
        <v>1430</v>
      </c>
      <c r="P2346" s="4" t="s">
        <v>783</v>
      </c>
      <c r="Q2346" s="4" t="s">
        <v>1431</v>
      </c>
      <c r="R2346" s="4" t="s">
        <v>1434</v>
      </c>
      <c r="S2346" s="4" t="s">
        <v>1433</v>
      </c>
      <c r="T2346" s="4" t="s">
        <v>786</v>
      </c>
      <c r="U2346" s="4"/>
      <c r="V2346" s="4"/>
      <c r="W2346" s="4"/>
    </row>
    <row r="2347" spans="1:23" customFormat="1">
      <c r="A2347" s="10"/>
      <c r="B2347" s="4"/>
      <c r="C2347" s="4"/>
      <c r="D2347" s="4"/>
      <c r="E2347" s="4"/>
      <c r="F2347" s="152" t="s">
        <v>660</v>
      </c>
      <c r="G2347" s="4" t="s">
        <v>661</v>
      </c>
      <c r="H2347" s="4"/>
      <c r="I2347" s="196">
        <v>-2698</v>
      </c>
      <c r="J2347" s="196">
        <v>-1.9</v>
      </c>
      <c r="K2347" s="196">
        <v>1420</v>
      </c>
      <c r="L2347" s="454" t="s">
        <v>787</v>
      </c>
      <c r="M2347" s="4" t="s">
        <v>780</v>
      </c>
      <c r="N2347" s="133" t="s">
        <v>1407</v>
      </c>
      <c r="O2347" s="4" t="s">
        <v>1446</v>
      </c>
      <c r="P2347" s="4" t="s">
        <v>783</v>
      </c>
      <c r="Q2347" s="4" t="s">
        <v>1447</v>
      </c>
      <c r="R2347" s="4" t="s">
        <v>1462</v>
      </c>
      <c r="S2347" s="4" t="s">
        <v>1449</v>
      </c>
      <c r="T2347" s="4" t="s">
        <v>786</v>
      </c>
      <c r="U2347" s="4"/>
      <c r="V2347" s="4"/>
      <c r="W2347" s="4"/>
    </row>
    <row r="2348" spans="1:23" customFormat="1">
      <c r="A2348" s="10"/>
      <c r="B2348" s="4"/>
      <c r="C2348" s="4"/>
      <c r="D2348" s="4"/>
      <c r="E2348" s="4"/>
      <c r="F2348" s="152" t="s">
        <v>660</v>
      </c>
      <c r="G2348" s="4" t="s">
        <v>661</v>
      </c>
      <c r="H2348" s="4"/>
      <c r="I2348" s="196">
        <v>-55402.8</v>
      </c>
      <c r="J2348" s="196">
        <v>-40.44</v>
      </c>
      <c r="K2348" s="196">
        <v>1370</v>
      </c>
      <c r="L2348" s="454" t="s">
        <v>787</v>
      </c>
      <c r="M2348" s="4" t="s">
        <v>780</v>
      </c>
      <c r="N2348" s="133" t="s">
        <v>1407</v>
      </c>
      <c r="O2348" s="4" t="s">
        <v>1446</v>
      </c>
      <c r="P2348" s="4" t="s">
        <v>783</v>
      </c>
      <c r="Q2348" s="4" t="s">
        <v>1447</v>
      </c>
      <c r="R2348" s="4" t="s">
        <v>1465</v>
      </c>
      <c r="S2348" s="4" t="s">
        <v>1449</v>
      </c>
      <c r="T2348" s="4" t="s">
        <v>786</v>
      </c>
      <c r="U2348" s="4"/>
      <c r="V2348" s="4"/>
      <c r="W2348" s="4"/>
    </row>
    <row r="2349" spans="1:23" customFormat="1">
      <c r="A2349" s="10"/>
      <c r="B2349" s="4"/>
      <c r="C2349" s="4"/>
      <c r="D2349" s="4"/>
      <c r="E2349" s="4"/>
      <c r="F2349" s="152" t="s">
        <v>660</v>
      </c>
      <c r="G2349" s="4" t="s">
        <v>661</v>
      </c>
      <c r="H2349" s="4"/>
      <c r="I2349" s="196">
        <v>-1168966.2</v>
      </c>
      <c r="J2349" s="196">
        <v>-853.26</v>
      </c>
      <c r="K2349" s="196">
        <v>1370</v>
      </c>
      <c r="L2349" s="454" t="s">
        <v>787</v>
      </c>
      <c r="M2349" s="4" t="s">
        <v>780</v>
      </c>
      <c r="N2349" s="133" t="s">
        <v>1407</v>
      </c>
      <c r="O2349" s="4" t="s">
        <v>1446</v>
      </c>
      <c r="P2349" s="4" t="s">
        <v>783</v>
      </c>
      <c r="Q2349" s="4" t="s">
        <v>1447</v>
      </c>
      <c r="R2349" s="4" t="s">
        <v>1452</v>
      </c>
      <c r="S2349" s="4" t="s">
        <v>1449</v>
      </c>
      <c r="T2349" s="4" t="s">
        <v>786</v>
      </c>
      <c r="U2349" s="4"/>
      <c r="V2349" s="4"/>
      <c r="W2349" s="4"/>
    </row>
    <row r="2350" spans="1:23" customFormat="1">
      <c r="A2350" s="10"/>
      <c r="B2350" s="4"/>
      <c r="C2350" s="4"/>
      <c r="D2350" s="4"/>
      <c r="E2350" s="4"/>
      <c r="F2350" s="152" t="s">
        <v>660</v>
      </c>
      <c r="G2350" s="4" t="s">
        <v>661</v>
      </c>
      <c r="H2350" s="4"/>
      <c r="I2350" s="196">
        <v>-1168966.2</v>
      </c>
      <c r="J2350" s="196">
        <v>-853.26</v>
      </c>
      <c r="K2350" s="196">
        <v>1370</v>
      </c>
      <c r="L2350" s="454" t="s">
        <v>787</v>
      </c>
      <c r="M2350" s="4" t="s">
        <v>780</v>
      </c>
      <c r="N2350" s="133" t="s">
        <v>1407</v>
      </c>
      <c r="O2350" s="4" t="s">
        <v>1446</v>
      </c>
      <c r="P2350" s="4" t="s">
        <v>783</v>
      </c>
      <c r="Q2350" s="4" t="s">
        <v>1447</v>
      </c>
      <c r="R2350" s="4" t="s">
        <v>1454</v>
      </c>
      <c r="S2350" s="4" t="s">
        <v>1449</v>
      </c>
      <c r="T2350" s="4" t="s">
        <v>786</v>
      </c>
      <c r="U2350" s="4"/>
      <c r="V2350" s="4"/>
      <c r="W2350" s="4"/>
    </row>
    <row r="2351" spans="1:23" customFormat="1">
      <c r="A2351" s="10"/>
      <c r="B2351" s="4"/>
      <c r="C2351" s="4"/>
      <c r="D2351" s="4"/>
      <c r="E2351" s="4"/>
      <c r="F2351" s="152" t="s">
        <v>660</v>
      </c>
      <c r="G2351" s="4" t="s">
        <v>661</v>
      </c>
      <c r="H2351" s="4"/>
      <c r="I2351" s="196">
        <v>-1781000</v>
      </c>
      <c r="J2351" s="196">
        <v>-1300</v>
      </c>
      <c r="K2351" s="196">
        <v>1370</v>
      </c>
      <c r="L2351" s="454" t="s">
        <v>787</v>
      </c>
      <c r="M2351" s="4" t="s">
        <v>780</v>
      </c>
      <c r="N2351" s="133" t="s">
        <v>1407</v>
      </c>
      <c r="O2351" s="4" t="s">
        <v>1446</v>
      </c>
      <c r="P2351" s="4" t="s">
        <v>783</v>
      </c>
      <c r="Q2351" s="4" t="s">
        <v>1447</v>
      </c>
      <c r="R2351" s="4" t="s">
        <v>1466</v>
      </c>
      <c r="S2351" s="4" t="s">
        <v>1449</v>
      </c>
      <c r="T2351" s="4" t="s">
        <v>786</v>
      </c>
      <c r="U2351" s="4"/>
      <c r="V2351" s="4"/>
      <c r="W2351" s="4"/>
    </row>
    <row r="2352" spans="1:23" customFormat="1">
      <c r="A2352" s="10"/>
      <c r="B2352" s="4"/>
      <c r="C2352" s="4"/>
      <c r="D2352" s="4"/>
      <c r="E2352" s="4"/>
      <c r="F2352" s="152" t="s">
        <v>660</v>
      </c>
      <c r="G2352" s="4" t="s">
        <v>661</v>
      </c>
      <c r="H2352" s="4"/>
      <c r="I2352" s="196">
        <v>-148521.70000000001</v>
      </c>
      <c r="J2352" s="196">
        <v>-108.41</v>
      </c>
      <c r="K2352" s="196">
        <v>1370</v>
      </c>
      <c r="L2352" s="454" t="s">
        <v>787</v>
      </c>
      <c r="M2352" s="4" t="s">
        <v>780</v>
      </c>
      <c r="N2352" s="133" t="s">
        <v>1407</v>
      </c>
      <c r="O2352" s="4" t="s">
        <v>1446</v>
      </c>
      <c r="P2352" s="4" t="s">
        <v>783</v>
      </c>
      <c r="Q2352" s="4" t="s">
        <v>1447</v>
      </c>
      <c r="R2352" s="4" t="s">
        <v>1467</v>
      </c>
      <c r="S2352" s="4" t="s">
        <v>1449</v>
      </c>
      <c r="T2352" s="4" t="s">
        <v>786</v>
      </c>
      <c r="U2352" s="4"/>
      <c r="V2352" s="4"/>
      <c r="W2352" s="4"/>
    </row>
    <row r="2353" spans="1:23" customFormat="1">
      <c r="A2353" s="10"/>
      <c r="B2353" s="4"/>
      <c r="C2353" s="4"/>
      <c r="D2353" s="4"/>
      <c r="E2353" s="4"/>
      <c r="F2353" s="152" t="s">
        <v>660</v>
      </c>
      <c r="G2353" s="4" t="s">
        <v>661</v>
      </c>
      <c r="H2353" s="4"/>
      <c r="I2353" s="196">
        <v>-2603</v>
      </c>
      <c r="J2353" s="196">
        <v>-1.9</v>
      </c>
      <c r="K2353" s="196">
        <v>1370</v>
      </c>
      <c r="L2353" s="454" t="s">
        <v>787</v>
      </c>
      <c r="M2353" s="4" t="s">
        <v>780</v>
      </c>
      <c r="N2353" s="133" t="s">
        <v>1407</v>
      </c>
      <c r="O2353" s="4" t="s">
        <v>1446</v>
      </c>
      <c r="P2353" s="4" t="s">
        <v>783</v>
      </c>
      <c r="Q2353" s="4" t="s">
        <v>1447</v>
      </c>
      <c r="R2353" s="4" t="s">
        <v>1468</v>
      </c>
      <c r="S2353" s="4" t="s">
        <v>1449</v>
      </c>
      <c r="T2353" s="4" t="s">
        <v>786</v>
      </c>
      <c r="U2353" s="4"/>
      <c r="V2353" s="4"/>
      <c r="W2353" s="4"/>
    </row>
    <row r="2354" spans="1:23" customFormat="1">
      <c r="A2354" s="10"/>
      <c r="B2354" s="4"/>
      <c r="C2354" s="4"/>
      <c r="D2354" s="4"/>
      <c r="E2354" s="4"/>
      <c r="F2354" s="152" t="s">
        <v>660</v>
      </c>
      <c r="G2354" s="4" t="s">
        <v>661</v>
      </c>
      <c r="H2354" s="4"/>
      <c r="I2354" s="196">
        <v>-148521.70000000001</v>
      </c>
      <c r="J2354" s="196">
        <v>-108.41</v>
      </c>
      <c r="K2354" s="196">
        <v>1370</v>
      </c>
      <c r="L2354" s="454" t="s">
        <v>787</v>
      </c>
      <c r="M2354" s="4" t="s">
        <v>780</v>
      </c>
      <c r="N2354" s="133" t="s">
        <v>1407</v>
      </c>
      <c r="O2354" s="4" t="s">
        <v>1446</v>
      </c>
      <c r="P2354" s="4" t="s">
        <v>783</v>
      </c>
      <c r="Q2354" s="4" t="s">
        <v>1447</v>
      </c>
      <c r="R2354" s="4" t="s">
        <v>1469</v>
      </c>
      <c r="S2354" s="4" t="s">
        <v>1449</v>
      </c>
      <c r="T2354" s="4" t="s">
        <v>786</v>
      </c>
      <c r="U2354" s="4"/>
      <c r="V2354" s="4"/>
      <c r="W2354" s="4"/>
    </row>
    <row r="2355" spans="1:23" customFormat="1">
      <c r="A2355" s="10"/>
      <c r="B2355" s="4"/>
      <c r="C2355" s="4"/>
      <c r="D2355" s="4"/>
      <c r="E2355" s="4"/>
      <c r="F2355" s="152" t="s">
        <v>660</v>
      </c>
      <c r="G2355" s="4" t="s">
        <v>661</v>
      </c>
      <c r="H2355" s="4"/>
      <c r="I2355" s="196">
        <v>-2603</v>
      </c>
      <c r="J2355" s="196">
        <v>-1.9</v>
      </c>
      <c r="K2355" s="196">
        <v>1370</v>
      </c>
      <c r="L2355" s="454" t="s">
        <v>787</v>
      </c>
      <c r="M2355" s="4" t="s">
        <v>780</v>
      </c>
      <c r="N2355" s="133" t="s">
        <v>1407</v>
      </c>
      <c r="O2355" s="4" t="s">
        <v>1446</v>
      </c>
      <c r="P2355" s="4" t="s">
        <v>783</v>
      </c>
      <c r="Q2355" s="4" t="s">
        <v>1447</v>
      </c>
      <c r="R2355" s="4" t="s">
        <v>1456</v>
      </c>
      <c r="S2355" s="4" t="s">
        <v>1449</v>
      </c>
      <c r="T2355" s="4" t="s">
        <v>786</v>
      </c>
      <c r="U2355" s="4"/>
      <c r="V2355" s="4"/>
      <c r="W2355" s="4"/>
    </row>
    <row r="2356" spans="1:23" customFormat="1">
      <c r="A2356" s="10"/>
      <c r="B2356" s="4"/>
      <c r="C2356" s="4"/>
      <c r="D2356" s="4"/>
      <c r="E2356" s="4"/>
      <c r="F2356" s="152" t="s">
        <v>660</v>
      </c>
      <c r="G2356" s="4" t="s">
        <v>661</v>
      </c>
      <c r="H2356" s="4"/>
      <c r="I2356" s="196">
        <v>-118820.1</v>
      </c>
      <c r="J2356" s="196">
        <v>-86.73</v>
      </c>
      <c r="K2356" s="196">
        <v>1370</v>
      </c>
      <c r="L2356" s="454" t="s">
        <v>787</v>
      </c>
      <c r="M2356" s="4" t="s">
        <v>780</v>
      </c>
      <c r="N2356" s="133" t="s">
        <v>1407</v>
      </c>
      <c r="O2356" s="4" t="s">
        <v>1446</v>
      </c>
      <c r="P2356" s="4" t="s">
        <v>783</v>
      </c>
      <c r="Q2356" s="4" t="s">
        <v>1447</v>
      </c>
      <c r="R2356" s="4" t="s">
        <v>1457</v>
      </c>
      <c r="S2356" s="4" t="s">
        <v>1449</v>
      </c>
      <c r="T2356" s="4" t="s">
        <v>786</v>
      </c>
      <c r="U2356" s="4"/>
      <c r="V2356" s="4"/>
      <c r="W2356" s="4"/>
    </row>
    <row r="2357" spans="1:23" customFormat="1">
      <c r="A2357" s="10"/>
      <c r="B2357" s="4"/>
      <c r="C2357" s="4"/>
      <c r="D2357" s="4"/>
      <c r="E2357" s="4"/>
      <c r="F2357" s="152" t="s">
        <v>660</v>
      </c>
      <c r="G2357" s="4" t="s">
        <v>661</v>
      </c>
      <c r="H2357" s="4"/>
      <c r="I2357" s="196">
        <v>-2603</v>
      </c>
      <c r="J2357" s="196">
        <v>-1.9</v>
      </c>
      <c r="K2357" s="196">
        <v>1370</v>
      </c>
      <c r="L2357" s="454" t="s">
        <v>787</v>
      </c>
      <c r="M2357" s="4" t="s">
        <v>780</v>
      </c>
      <c r="N2357" s="133" t="s">
        <v>1407</v>
      </c>
      <c r="O2357" s="4" t="s">
        <v>1446</v>
      </c>
      <c r="P2357" s="4" t="s">
        <v>783</v>
      </c>
      <c r="Q2357" s="4" t="s">
        <v>1447</v>
      </c>
      <c r="R2357" s="4" t="s">
        <v>1456</v>
      </c>
      <c r="S2357" s="4" t="s">
        <v>1449</v>
      </c>
      <c r="T2357" s="4" t="s">
        <v>786</v>
      </c>
      <c r="U2357" s="4"/>
      <c r="V2357" s="4"/>
      <c r="W2357" s="4"/>
    </row>
    <row r="2358" spans="1:23" customFormat="1">
      <c r="A2358" s="10"/>
      <c r="B2358" s="4"/>
      <c r="C2358" s="4"/>
      <c r="D2358" s="4"/>
      <c r="E2358" s="4"/>
      <c r="F2358" s="152" t="s">
        <v>660</v>
      </c>
      <c r="G2358" s="4" t="s">
        <v>661</v>
      </c>
      <c r="H2358" s="4"/>
      <c r="I2358" s="196">
        <v>-73390.899999999994</v>
      </c>
      <c r="J2358" s="196">
        <v>-53.57</v>
      </c>
      <c r="K2358" s="196">
        <v>1370</v>
      </c>
      <c r="L2358" s="454" t="s">
        <v>787</v>
      </c>
      <c r="M2358" s="4" t="s">
        <v>780</v>
      </c>
      <c r="N2358" s="133" t="s">
        <v>1407</v>
      </c>
      <c r="O2358" s="4" t="s">
        <v>1446</v>
      </c>
      <c r="P2358" s="4" t="s">
        <v>783</v>
      </c>
      <c r="Q2358" s="4" t="s">
        <v>1447</v>
      </c>
      <c r="R2358" s="4" t="s">
        <v>1458</v>
      </c>
      <c r="S2358" s="4" t="s">
        <v>1449</v>
      </c>
      <c r="T2358" s="4" t="s">
        <v>786</v>
      </c>
      <c r="U2358" s="4"/>
      <c r="V2358" s="4"/>
      <c r="W2358" s="4"/>
    </row>
    <row r="2359" spans="1:23" customFormat="1">
      <c r="A2359" s="10"/>
      <c r="B2359" s="4"/>
      <c r="C2359" s="4"/>
      <c r="D2359" s="4"/>
      <c r="E2359" s="4"/>
      <c r="F2359" s="152" t="s">
        <v>660</v>
      </c>
      <c r="G2359" s="4" t="s">
        <v>661</v>
      </c>
      <c r="H2359" s="4"/>
      <c r="I2359" s="196">
        <v>-2603</v>
      </c>
      <c r="J2359" s="196">
        <v>-1.9</v>
      </c>
      <c r="K2359" s="196">
        <v>1370</v>
      </c>
      <c r="L2359" s="454" t="s">
        <v>787</v>
      </c>
      <c r="M2359" s="4" t="s">
        <v>780</v>
      </c>
      <c r="N2359" s="133" t="s">
        <v>1407</v>
      </c>
      <c r="O2359" s="4" t="s">
        <v>1446</v>
      </c>
      <c r="P2359" s="4" t="s">
        <v>783</v>
      </c>
      <c r="Q2359" s="4" t="s">
        <v>1447</v>
      </c>
      <c r="R2359" s="4" t="s">
        <v>1456</v>
      </c>
      <c r="S2359" s="4" t="s">
        <v>1449</v>
      </c>
      <c r="T2359" s="4" t="s">
        <v>786</v>
      </c>
      <c r="U2359" s="4"/>
      <c r="V2359" s="4"/>
      <c r="W2359" s="4"/>
    </row>
    <row r="2360" spans="1:23" customFormat="1">
      <c r="A2360" s="10"/>
      <c r="B2360" s="4"/>
      <c r="C2360" s="4"/>
      <c r="D2360" s="4"/>
      <c r="E2360" s="4"/>
      <c r="F2360" s="152" t="s">
        <v>660</v>
      </c>
      <c r="G2360" s="4" t="s">
        <v>661</v>
      </c>
      <c r="H2360" s="4"/>
      <c r="I2360" s="196">
        <v>-2046601.9</v>
      </c>
      <c r="J2360" s="196">
        <v>-1493.87</v>
      </c>
      <c r="K2360" s="196">
        <v>1370</v>
      </c>
      <c r="L2360" s="454" t="s">
        <v>787</v>
      </c>
      <c r="M2360" s="4" t="s">
        <v>780</v>
      </c>
      <c r="N2360" s="133" t="s">
        <v>1407</v>
      </c>
      <c r="O2360" s="4" t="s">
        <v>1446</v>
      </c>
      <c r="P2360" s="4" t="s">
        <v>783</v>
      </c>
      <c r="Q2360" s="4" t="s">
        <v>1447</v>
      </c>
      <c r="R2360" s="4" t="s">
        <v>1459</v>
      </c>
      <c r="S2360" s="4" t="s">
        <v>1449</v>
      </c>
      <c r="T2360" s="4" t="s">
        <v>786</v>
      </c>
      <c r="U2360" s="4"/>
      <c r="V2360" s="4"/>
      <c r="W2360" s="4"/>
    </row>
    <row r="2361" spans="1:23" customFormat="1">
      <c r="A2361" s="10"/>
      <c r="B2361" s="4"/>
      <c r="C2361" s="4"/>
      <c r="D2361" s="4"/>
      <c r="E2361" s="4"/>
      <c r="F2361" s="152" t="s">
        <v>660</v>
      </c>
      <c r="G2361" s="4" t="s">
        <v>661</v>
      </c>
      <c r="H2361" s="4"/>
      <c r="I2361" s="196">
        <v>-148521.70000000001</v>
      </c>
      <c r="J2361" s="196">
        <v>-108.41</v>
      </c>
      <c r="K2361" s="196">
        <v>1370</v>
      </c>
      <c r="L2361" s="454" t="s">
        <v>787</v>
      </c>
      <c r="M2361" s="4" t="s">
        <v>780</v>
      </c>
      <c r="N2361" s="133" t="s">
        <v>1407</v>
      </c>
      <c r="O2361" s="4" t="s">
        <v>1446</v>
      </c>
      <c r="P2361" s="4" t="s">
        <v>783</v>
      </c>
      <c r="Q2361" s="4" t="s">
        <v>1447</v>
      </c>
      <c r="R2361" s="4" t="s">
        <v>1460</v>
      </c>
      <c r="S2361" s="4" t="s">
        <v>1449</v>
      </c>
      <c r="T2361" s="4" t="s">
        <v>786</v>
      </c>
      <c r="U2361" s="4"/>
      <c r="V2361" s="4"/>
      <c r="W2361" s="4"/>
    </row>
    <row r="2362" spans="1:23" customFormat="1">
      <c r="A2362" s="10"/>
      <c r="B2362" s="4"/>
      <c r="C2362" s="4"/>
      <c r="D2362" s="4"/>
      <c r="E2362" s="4"/>
      <c r="F2362" s="152" t="s">
        <v>660</v>
      </c>
      <c r="G2362" s="4" t="s">
        <v>661</v>
      </c>
      <c r="H2362" s="4"/>
      <c r="I2362" s="196">
        <v>-2603</v>
      </c>
      <c r="J2362" s="196">
        <v>-1.9</v>
      </c>
      <c r="K2362" s="196">
        <v>1370</v>
      </c>
      <c r="L2362" s="454" t="s">
        <v>787</v>
      </c>
      <c r="M2362" s="4" t="s">
        <v>780</v>
      </c>
      <c r="N2362" s="133" t="s">
        <v>1407</v>
      </c>
      <c r="O2362" s="4" t="s">
        <v>1446</v>
      </c>
      <c r="P2362" s="4" t="s">
        <v>783</v>
      </c>
      <c r="Q2362" s="4" t="s">
        <v>1447</v>
      </c>
      <c r="R2362" s="4" t="s">
        <v>1461</v>
      </c>
      <c r="S2362" s="4" t="s">
        <v>1449</v>
      </c>
      <c r="T2362" s="4" t="s">
        <v>786</v>
      </c>
      <c r="U2362" s="4"/>
      <c r="V2362" s="4"/>
      <c r="W2362" s="4"/>
    </row>
    <row r="2363" spans="1:23" customFormat="1">
      <c r="A2363" s="10"/>
      <c r="B2363" s="4"/>
      <c r="C2363" s="4"/>
      <c r="D2363" s="4"/>
      <c r="E2363" s="4"/>
      <c r="F2363" s="152" t="s">
        <v>660</v>
      </c>
      <c r="G2363" s="4" t="s">
        <v>661</v>
      </c>
      <c r="H2363" s="4"/>
      <c r="I2363" s="196">
        <v>-168277.1</v>
      </c>
      <c r="J2363" s="196">
        <v>-122.83</v>
      </c>
      <c r="K2363" s="196">
        <v>1370</v>
      </c>
      <c r="L2363" s="454" t="s">
        <v>787</v>
      </c>
      <c r="M2363" s="4" t="s">
        <v>780</v>
      </c>
      <c r="N2363" s="133" t="s">
        <v>1407</v>
      </c>
      <c r="O2363" s="4" t="s">
        <v>1446</v>
      </c>
      <c r="P2363" s="4" t="s">
        <v>783</v>
      </c>
      <c r="Q2363" s="4" t="s">
        <v>1447</v>
      </c>
      <c r="R2363" s="4" t="s">
        <v>1463</v>
      </c>
      <c r="S2363" s="4" t="s">
        <v>1449</v>
      </c>
      <c r="T2363" s="4" t="s">
        <v>786</v>
      </c>
      <c r="U2363" s="4"/>
      <c r="V2363" s="4"/>
      <c r="W2363" s="4"/>
    </row>
    <row r="2364" spans="1:23" customFormat="1">
      <c r="A2364" s="10"/>
      <c r="B2364" s="4"/>
      <c r="C2364" s="4"/>
      <c r="D2364" s="4"/>
      <c r="E2364" s="4"/>
      <c r="F2364" s="152" t="s">
        <v>660</v>
      </c>
      <c r="G2364" s="4" t="s">
        <v>661</v>
      </c>
      <c r="H2364" s="4"/>
      <c r="I2364" s="196">
        <v>-2603</v>
      </c>
      <c r="J2364" s="196">
        <v>-1.9</v>
      </c>
      <c r="K2364" s="196">
        <v>1370</v>
      </c>
      <c r="L2364" s="454" t="s">
        <v>787</v>
      </c>
      <c r="M2364" s="4" t="s">
        <v>780</v>
      </c>
      <c r="N2364" s="133" t="s">
        <v>1407</v>
      </c>
      <c r="O2364" s="4" t="s">
        <v>1446</v>
      </c>
      <c r="P2364" s="4" t="s">
        <v>783</v>
      </c>
      <c r="Q2364" s="4" t="s">
        <v>1447</v>
      </c>
      <c r="R2364" s="4" t="s">
        <v>1456</v>
      </c>
      <c r="S2364" s="4" t="s">
        <v>1449</v>
      </c>
      <c r="T2364" s="4" t="s">
        <v>786</v>
      </c>
      <c r="U2364" s="4"/>
      <c r="V2364" s="4"/>
      <c r="W2364" s="4"/>
    </row>
    <row r="2365" spans="1:23" customFormat="1">
      <c r="A2365" s="10"/>
      <c r="B2365" s="4"/>
      <c r="C2365" s="4"/>
      <c r="D2365" s="4"/>
      <c r="E2365" s="4"/>
      <c r="F2365" s="152" t="s">
        <v>660</v>
      </c>
      <c r="G2365" s="4" t="s">
        <v>661</v>
      </c>
      <c r="H2365" s="4"/>
      <c r="I2365" s="196">
        <v>-148521.70000000001</v>
      </c>
      <c r="J2365" s="196">
        <v>-108.41</v>
      </c>
      <c r="K2365" s="196">
        <v>1370</v>
      </c>
      <c r="L2365" s="454" t="s">
        <v>787</v>
      </c>
      <c r="M2365" s="4" t="s">
        <v>780</v>
      </c>
      <c r="N2365" s="133" t="s">
        <v>1407</v>
      </c>
      <c r="O2365" s="4" t="s">
        <v>1446</v>
      </c>
      <c r="P2365" s="4" t="s">
        <v>783</v>
      </c>
      <c r="Q2365" s="4" t="s">
        <v>1447</v>
      </c>
      <c r="R2365" s="4" t="s">
        <v>1464</v>
      </c>
      <c r="S2365" s="4" t="s">
        <v>1449</v>
      </c>
      <c r="T2365" s="4" t="s">
        <v>786</v>
      </c>
      <c r="U2365" s="4"/>
      <c r="V2365" s="4"/>
      <c r="W2365" s="4"/>
    </row>
    <row r="2366" spans="1:23" customFormat="1">
      <c r="A2366" s="10"/>
      <c r="B2366" s="4"/>
      <c r="C2366" s="4"/>
      <c r="D2366" s="4"/>
      <c r="E2366" s="4"/>
      <c r="F2366" s="152" t="s">
        <v>660</v>
      </c>
      <c r="G2366" s="4" t="s">
        <v>661</v>
      </c>
      <c r="H2366" s="4"/>
      <c r="I2366" s="196">
        <v>-2603</v>
      </c>
      <c r="J2366" s="196">
        <v>-1.9</v>
      </c>
      <c r="K2366" s="196">
        <v>1370</v>
      </c>
      <c r="L2366" s="454" t="s">
        <v>787</v>
      </c>
      <c r="M2366" s="4" t="s">
        <v>780</v>
      </c>
      <c r="N2366" s="133" t="s">
        <v>1407</v>
      </c>
      <c r="O2366" s="4" t="s">
        <v>1446</v>
      </c>
      <c r="P2366" s="4" t="s">
        <v>783</v>
      </c>
      <c r="Q2366" s="4" t="s">
        <v>1447</v>
      </c>
      <c r="R2366" s="4" t="s">
        <v>1461</v>
      </c>
      <c r="S2366" s="4" t="s">
        <v>1449</v>
      </c>
      <c r="T2366" s="4" t="s">
        <v>786</v>
      </c>
      <c r="U2366" s="4"/>
      <c r="V2366" s="4"/>
      <c r="W2366" s="4"/>
    </row>
    <row r="2367" spans="1:23" customFormat="1">
      <c r="A2367" s="10"/>
      <c r="B2367" s="4"/>
      <c r="C2367" s="4"/>
      <c r="D2367" s="4"/>
      <c r="E2367" s="4"/>
      <c r="F2367" s="152" t="s">
        <v>660</v>
      </c>
      <c r="G2367" s="4" t="s">
        <v>661</v>
      </c>
      <c r="H2367" s="4"/>
      <c r="I2367" s="196">
        <v>-17467.5</v>
      </c>
      <c r="J2367" s="196">
        <v>-12.75</v>
      </c>
      <c r="K2367" s="196">
        <v>1370</v>
      </c>
      <c r="L2367" s="454" t="s">
        <v>787</v>
      </c>
      <c r="M2367" s="4" t="s">
        <v>780</v>
      </c>
      <c r="N2367" s="133" t="s">
        <v>1407</v>
      </c>
      <c r="O2367" s="4" t="s">
        <v>1446</v>
      </c>
      <c r="P2367" s="4" t="s">
        <v>783</v>
      </c>
      <c r="Q2367" s="4" t="s">
        <v>1447</v>
      </c>
      <c r="R2367" s="4" t="s">
        <v>1470</v>
      </c>
      <c r="S2367" s="4" t="s">
        <v>1449</v>
      </c>
      <c r="T2367" s="4" t="s">
        <v>786</v>
      </c>
      <c r="U2367" s="4"/>
      <c r="V2367" s="4"/>
      <c r="W2367" s="4"/>
    </row>
    <row r="2368" spans="1:23" customFormat="1">
      <c r="A2368" s="10"/>
      <c r="B2368" s="4"/>
      <c r="C2368" s="4"/>
      <c r="D2368" s="4"/>
      <c r="E2368" s="4"/>
      <c r="F2368" s="152" t="s">
        <v>660</v>
      </c>
      <c r="G2368" s="4" t="s">
        <v>661</v>
      </c>
      <c r="H2368" s="4"/>
      <c r="I2368" s="196">
        <v>-2603</v>
      </c>
      <c r="J2368" s="196">
        <v>-1.9</v>
      </c>
      <c r="K2368" s="196">
        <v>1370</v>
      </c>
      <c r="L2368" s="454" t="s">
        <v>787</v>
      </c>
      <c r="M2368" s="4" t="s">
        <v>780</v>
      </c>
      <c r="N2368" s="133" t="s">
        <v>1407</v>
      </c>
      <c r="O2368" s="4" t="s">
        <v>1446</v>
      </c>
      <c r="P2368" s="4" t="s">
        <v>783</v>
      </c>
      <c r="Q2368" s="4" t="s">
        <v>1447</v>
      </c>
      <c r="R2368" s="4" t="s">
        <v>1456</v>
      </c>
      <c r="S2368" s="4" t="s">
        <v>1449</v>
      </c>
      <c r="T2368" s="4" t="s">
        <v>786</v>
      </c>
      <c r="U2368" s="4"/>
      <c r="V2368" s="4"/>
      <c r="W2368" s="4"/>
    </row>
    <row r="2369" spans="1:23" customFormat="1">
      <c r="A2369" s="10"/>
      <c r="B2369" s="4"/>
      <c r="C2369" s="4"/>
      <c r="D2369" s="4"/>
      <c r="E2369" s="4"/>
      <c r="F2369" s="152" t="s">
        <v>660</v>
      </c>
      <c r="G2369" s="4" t="s">
        <v>661</v>
      </c>
      <c r="H2369" s="4"/>
      <c r="I2369" s="196">
        <v>-3488965.3</v>
      </c>
      <c r="J2369" s="196">
        <v>-2546.69</v>
      </c>
      <c r="K2369" s="196">
        <v>1370</v>
      </c>
      <c r="L2369" s="454" t="s">
        <v>787</v>
      </c>
      <c r="M2369" s="4" t="s">
        <v>780</v>
      </c>
      <c r="N2369" s="133" t="s">
        <v>1407</v>
      </c>
      <c r="O2369" s="4" t="s">
        <v>1446</v>
      </c>
      <c r="P2369" s="4" t="s">
        <v>783</v>
      </c>
      <c r="Q2369" s="4" t="s">
        <v>1447</v>
      </c>
      <c r="R2369" s="4" t="s">
        <v>1471</v>
      </c>
      <c r="S2369" s="4" t="s">
        <v>1449</v>
      </c>
      <c r="T2369" s="4" t="s">
        <v>786</v>
      </c>
      <c r="U2369" s="4"/>
      <c r="V2369" s="4"/>
      <c r="W2369" s="4"/>
    </row>
    <row r="2370" spans="1:23" customFormat="1">
      <c r="A2370" s="10"/>
      <c r="B2370" s="4"/>
      <c r="C2370" s="4"/>
      <c r="D2370" s="4"/>
      <c r="E2370" s="4"/>
      <c r="F2370" s="152" t="s">
        <v>660</v>
      </c>
      <c r="G2370" s="4" t="s">
        <v>661</v>
      </c>
      <c r="H2370" s="4"/>
      <c r="I2370" s="196">
        <v>-1572691.5</v>
      </c>
      <c r="J2370" s="196">
        <v>-1147.95</v>
      </c>
      <c r="K2370" s="196">
        <v>1370</v>
      </c>
      <c r="L2370" s="454" t="s">
        <v>787</v>
      </c>
      <c r="M2370" s="4" t="s">
        <v>780</v>
      </c>
      <c r="N2370" s="133" t="s">
        <v>1407</v>
      </c>
      <c r="O2370" s="4" t="s">
        <v>1446</v>
      </c>
      <c r="P2370" s="4" t="s">
        <v>783</v>
      </c>
      <c r="Q2370" s="4" t="s">
        <v>1447</v>
      </c>
      <c r="R2370" s="4" t="s">
        <v>1472</v>
      </c>
      <c r="S2370" s="4" t="s">
        <v>1449</v>
      </c>
      <c r="T2370" s="4" t="s">
        <v>786</v>
      </c>
      <c r="U2370" s="4"/>
      <c r="V2370" s="4"/>
      <c r="W2370" s="4"/>
    </row>
    <row r="2371" spans="1:23" customFormat="1">
      <c r="A2371" s="10"/>
      <c r="B2371" s="4"/>
      <c r="C2371" s="4"/>
      <c r="D2371" s="4"/>
      <c r="E2371" s="4"/>
      <c r="F2371" s="152" t="s">
        <v>660</v>
      </c>
      <c r="G2371" s="4" t="s">
        <v>661</v>
      </c>
      <c r="H2371" s="4"/>
      <c r="I2371" s="196">
        <v>-1438500</v>
      </c>
      <c r="J2371" s="196">
        <v>-1050</v>
      </c>
      <c r="K2371" s="196">
        <v>1370</v>
      </c>
      <c r="L2371" s="454" t="s">
        <v>787</v>
      </c>
      <c r="M2371" s="4" t="s">
        <v>780</v>
      </c>
      <c r="N2371" s="133" t="s">
        <v>1407</v>
      </c>
      <c r="O2371" s="4" t="s">
        <v>1446</v>
      </c>
      <c r="P2371" s="4" t="s">
        <v>783</v>
      </c>
      <c r="Q2371" s="4" t="s">
        <v>1447</v>
      </c>
      <c r="R2371" s="4" t="s">
        <v>1473</v>
      </c>
      <c r="S2371" s="4" t="s">
        <v>1449</v>
      </c>
      <c r="T2371" s="4" t="s">
        <v>786</v>
      </c>
      <c r="U2371" s="4"/>
      <c r="V2371" s="4"/>
      <c r="W2371" s="4"/>
    </row>
    <row r="2372" spans="1:23" customFormat="1">
      <c r="A2372" s="10"/>
      <c r="B2372" s="4"/>
      <c r="C2372" s="4"/>
      <c r="D2372" s="4"/>
      <c r="E2372" s="4"/>
      <c r="F2372" s="152" t="s">
        <v>660</v>
      </c>
      <c r="G2372" s="4" t="s">
        <v>661</v>
      </c>
      <c r="H2372" s="4"/>
      <c r="I2372" s="196">
        <v>-1192800</v>
      </c>
      <c r="J2372" s="196">
        <v>-840</v>
      </c>
      <c r="K2372" s="196">
        <v>1420</v>
      </c>
      <c r="L2372" s="454" t="s">
        <v>787</v>
      </c>
      <c r="M2372" s="4" t="s">
        <v>780</v>
      </c>
      <c r="N2372" s="133" t="s">
        <v>1407</v>
      </c>
      <c r="O2372" s="4" t="s">
        <v>1446</v>
      </c>
      <c r="P2372" s="4" t="s">
        <v>783</v>
      </c>
      <c r="Q2372" s="4" t="s">
        <v>1447</v>
      </c>
      <c r="R2372" s="4" t="s">
        <v>1451</v>
      </c>
      <c r="S2372" s="4" t="s">
        <v>1449</v>
      </c>
      <c r="T2372" s="4" t="s">
        <v>786</v>
      </c>
      <c r="U2372" s="4"/>
      <c r="V2372" s="4"/>
      <c r="W2372" s="4"/>
    </row>
    <row r="2373" spans="1:23" customFormat="1">
      <c r="A2373" s="10"/>
      <c r="B2373" s="4"/>
      <c r="C2373" s="4"/>
      <c r="D2373" s="4"/>
      <c r="E2373" s="4"/>
      <c r="F2373" s="152" t="s">
        <v>660</v>
      </c>
      <c r="G2373" s="4" t="s">
        <v>661</v>
      </c>
      <c r="H2373" s="4"/>
      <c r="I2373" s="196">
        <v>-45440</v>
      </c>
      <c r="J2373" s="196">
        <v>-32</v>
      </c>
      <c r="K2373" s="196">
        <v>1420</v>
      </c>
      <c r="L2373" s="454" t="s">
        <v>787</v>
      </c>
      <c r="M2373" s="4" t="s">
        <v>780</v>
      </c>
      <c r="N2373" s="133" t="s">
        <v>1407</v>
      </c>
      <c r="O2373" s="4" t="s">
        <v>1446</v>
      </c>
      <c r="P2373" s="4" t="s">
        <v>783</v>
      </c>
      <c r="Q2373" s="4" t="s">
        <v>1447</v>
      </c>
      <c r="R2373" s="4" t="s">
        <v>1474</v>
      </c>
      <c r="S2373" s="4" t="s">
        <v>1449</v>
      </c>
      <c r="T2373" s="4" t="s">
        <v>786</v>
      </c>
      <c r="U2373" s="4"/>
      <c r="V2373" s="4"/>
      <c r="W2373" s="4"/>
    </row>
    <row r="2374" spans="1:23" customFormat="1">
      <c r="A2374" s="10"/>
      <c r="B2374" s="4"/>
      <c r="C2374" s="4"/>
      <c r="D2374" s="4"/>
      <c r="E2374" s="4"/>
      <c r="F2374" s="152" t="s">
        <v>660</v>
      </c>
      <c r="G2374" s="4" t="s">
        <v>661</v>
      </c>
      <c r="H2374" s="4"/>
      <c r="I2374" s="196">
        <v>-1896573.2</v>
      </c>
      <c r="J2374" s="196">
        <v>-1384.36</v>
      </c>
      <c r="K2374" s="196">
        <v>1370</v>
      </c>
      <c r="L2374" s="454" t="s">
        <v>787</v>
      </c>
      <c r="M2374" s="4" t="s">
        <v>780</v>
      </c>
      <c r="N2374" s="133" t="s">
        <v>1407</v>
      </c>
      <c r="O2374" s="4" t="s">
        <v>1446</v>
      </c>
      <c r="P2374" s="4" t="s">
        <v>783</v>
      </c>
      <c r="Q2374" s="4" t="s">
        <v>1447</v>
      </c>
      <c r="R2374" s="4" t="s">
        <v>1475</v>
      </c>
      <c r="S2374" s="4" t="s">
        <v>1449</v>
      </c>
      <c r="T2374" s="4" t="s">
        <v>786</v>
      </c>
      <c r="U2374" s="4"/>
      <c r="V2374" s="4"/>
      <c r="W2374" s="4"/>
    </row>
    <row r="2375" spans="1:23" customFormat="1">
      <c r="A2375" s="10"/>
      <c r="B2375" s="4"/>
      <c r="C2375" s="4"/>
      <c r="D2375" s="4"/>
      <c r="E2375" s="4"/>
      <c r="F2375" s="152" t="s">
        <v>660</v>
      </c>
      <c r="G2375" s="4" t="s">
        <v>661</v>
      </c>
      <c r="H2375" s="4"/>
      <c r="I2375" s="196">
        <v>-101338.9</v>
      </c>
      <c r="J2375" s="196">
        <v>-73.97</v>
      </c>
      <c r="K2375" s="196">
        <v>1370</v>
      </c>
      <c r="L2375" s="454" t="s">
        <v>787</v>
      </c>
      <c r="M2375" s="4" t="s">
        <v>780</v>
      </c>
      <c r="N2375" s="133" t="s">
        <v>1407</v>
      </c>
      <c r="O2375" s="4" t="s">
        <v>1446</v>
      </c>
      <c r="P2375" s="4" t="s">
        <v>783</v>
      </c>
      <c r="Q2375" s="4" t="s">
        <v>1447</v>
      </c>
      <c r="R2375" s="4" t="s">
        <v>1476</v>
      </c>
      <c r="S2375" s="4" t="s">
        <v>1449</v>
      </c>
      <c r="T2375" s="4" t="s">
        <v>786</v>
      </c>
      <c r="U2375" s="4"/>
      <c r="V2375" s="4"/>
      <c r="W2375" s="4"/>
    </row>
    <row r="2376" spans="1:23" customFormat="1">
      <c r="A2376" s="10"/>
      <c r="B2376" s="4"/>
      <c r="C2376" s="4"/>
      <c r="D2376" s="4"/>
      <c r="E2376" s="4"/>
      <c r="F2376" s="152" t="s">
        <v>660</v>
      </c>
      <c r="G2376" s="4" t="s">
        <v>661</v>
      </c>
      <c r="H2376" s="4"/>
      <c r="I2376" s="196">
        <v>-99400</v>
      </c>
      <c r="J2376" s="196">
        <v>-70</v>
      </c>
      <c r="K2376" s="196">
        <v>1420</v>
      </c>
      <c r="L2376" s="454" t="s">
        <v>787</v>
      </c>
      <c r="M2376" s="4" t="s">
        <v>780</v>
      </c>
      <c r="N2376" s="133" t="s">
        <v>1407</v>
      </c>
      <c r="O2376" s="4" t="s">
        <v>1446</v>
      </c>
      <c r="P2376" s="4" t="s">
        <v>783</v>
      </c>
      <c r="Q2376" s="4" t="s">
        <v>1447</v>
      </c>
      <c r="R2376" s="4" t="s">
        <v>1477</v>
      </c>
      <c r="S2376" s="4" t="s">
        <v>1449</v>
      </c>
      <c r="T2376" s="4" t="s">
        <v>786</v>
      </c>
      <c r="U2376" s="4"/>
      <c r="V2376" s="4"/>
      <c r="W2376" s="4"/>
    </row>
    <row r="2377" spans="1:23" customFormat="1">
      <c r="A2377" s="10"/>
      <c r="B2377" s="4"/>
      <c r="C2377" s="4"/>
      <c r="D2377" s="4"/>
      <c r="E2377" s="4"/>
      <c r="F2377" s="152" t="s">
        <v>660</v>
      </c>
      <c r="G2377" s="4" t="s">
        <v>661</v>
      </c>
      <c r="H2377" s="4"/>
      <c r="I2377" s="196">
        <v>-1091890</v>
      </c>
      <c r="J2377" s="196">
        <v>-797</v>
      </c>
      <c r="K2377" s="196">
        <v>1370</v>
      </c>
      <c r="L2377" s="454" t="s">
        <v>787</v>
      </c>
      <c r="M2377" s="4" t="s">
        <v>780</v>
      </c>
      <c r="N2377" s="133" t="s">
        <v>1407</v>
      </c>
      <c r="O2377" s="4" t="s">
        <v>1446</v>
      </c>
      <c r="P2377" s="4" t="s">
        <v>783</v>
      </c>
      <c r="Q2377" s="4" t="s">
        <v>1447</v>
      </c>
      <c r="R2377" s="4" t="s">
        <v>1478</v>
      </c>
      <c r="S2377" s="4" t="s">
        <v>1449</v>
      </c>
      <c r="T2377" s="4" t="s">
        <v>786</v>
      </c>
      <c r="U2377" s="4"/>
      <c r="V2377" s="4"/>
      <c r="W2377" s="4"/>
    </row>
    <row r="2378" spans="1:23" customFormat="1">
      <c r="A2378" s="10"/>
      <c r="B2378" s="4"/>
      <c r="C2378" s="4"/>
      <c r="D2378" s="4"/>
      <c r="E2378" s="4"/>
      <c r="F2378" s="152" t="s">
        <v>660</v>
      </c>
      <c r="G2378" s="4" t="s">
        <v>661</v>
      </c>
      <c r="H2378" s="4"/>
      <c r="I2378" s="196">
        <v>-284000</v>
      </c>
      <c r="J2378" s="196">
        <v>-200</v>
      </c>
      <c r="K2378" s="196">
        <v>1420</v>
      </c>
      <c r="L2378" s="454" t="s">
        <v>787</v>
      </c>
      <c r="M2378" s="4" t="s">
        <v>780</v>
      </c>
      <c r="N2378" s="133" t="s">
        <v>1407</v>
      </c>
      <c r="O2378" s="4" t="s">
        <v>1446</v>
      </c>
      <c r="P2378" s="4" t="s">
        <v>783</v>
      </c>
      <c r="Q2378" s="4" t="s">
        <v>1447</v>
      </c>
      <c r="R2378" s="4" t="s">
        <v>1479</v>
      </c>
      <c r="S2378" s="4" t="s">
        <v>1449</v>
      </c>
      <c r="T2378" s="4" t="s">
        <v>786</v>
      </c>
      <c r="U2378" s="4"/>
      <c r="V2378" s="4"/>
      <c r="W2378" s="4"/>
    </row>
    <row r="2379" spans="1:23" customFormat="1">
      <c r="A2379" s="10"/>
      <c r="B2379" s="4"/>
      <c r="C2379" s="4"/>
      <c r="D2379" s="4"/>
      <c r="E2379" s="4"/>
      <c r="F2379" s="152" t="s">
        <v>660</v>
      </c>
      <c r="G2379" s="4" t="s">
        <v>661</v>
      </c>
      <c r="H2379" s="4"/>
      <c r="I2379" s="196">
        <v>-2698</v>
      </c>
      <c r="J2379" s="196">
        <v>-1.9</v>
      </c>
      <c r="K2379" s="196">
        <v>1420</v>
      </c>
      <c r="L2379" s="454" t="s">
        <v>787</v>
      </c>
      <c r="M2379" s="4" t="s">
        <v>780</v>
      </c>
      <c r="N2379" s="133" t="s">
        <v>1407</v>
      </c>
      <c r="O2379" s="4" t="s">
        <v>1446</v>
      </c>
      <c r="P2379" s="4" t="s">
        <v>783</v>
      </c>
      <c r="Q2379" s="4" t="s">
        <v>1447</v>
      </c>
      <c r="R2379" s="4" t="s">
        <v>1480</v>
      </c>
      <c r="S2379" s="4" t="s">
        <v>1449</v>
      </c>
      <c r="T2379" s="4" t="s">
        <v>786</v>
      </c>
      <c r="U2379" s="4"/>
      <c r="V2379" s="4"/>
      <c r="W2379" s="4"/>
    </row>
    <row r="2380" spans="1:23" customFormat="1">
      <c r="A2380" s="10"/>
      <c r="B2380" s="4"/>
      <c r="C2380" s="4"/>
      <c r="D2380" s="4"/>
      <c r="E2380" s="4"/>
      <c r="F2380" s="152" t="s">
        <v>660</v>
      </c>
      <c r="G2380" s="4" t="s">
        <v>661</v>
      </c>
      <c r="H2380" s="4"/>
      <c r="I2380" s="196">
        <v>-568000</v>
      </c>
      <c r="J2380" s="196">
        <v>-400</v>
      </c>
      <c r="K2380" s="196">
        <v>1420</v>
      </c>
      <c r="L2380" s="454" t="s">
        <v>787</v>
      </c>
      <c r="M2380" s="4" t="s">
        <v>780</v>
      </c>
      <c r="N2380" s="133" t="s">
        <v>1407</v>
      </c>
      <c r="O2380" s="4" t="s">
        <v>1446</v>
      </c>
      <c r="P2380" s="4" t="s">
        <v>783</v>
      </c>
      <c r="Q2380" s="4" t="s">
        <v>1447</v>
      </c>
      <c r="R2380" s="4" t="s">
        <v>1481</v>
      </c>
      <c r="S2380" s="4" t="s">
        <v>1449</v>
      </c>
      <c r="T2380" s="4" t="s">
        <v>786</v>
      </c>
      <c r="U2380" s="4"/>
      <c r="V2380" s="4"/>
      <c r="W2380" s="4"/>
    </row>
    <row r="2381" spans="1:23" customFormat="1">
      <c r="A2381" s="10"/>
      <c r="B2381" s="4"/>
      <c r="C2381" s="4"/>
      <c r="D2381" s="4"/>
      <c r="E2381" s="4"/>
      <c r="F2381" s="152" t="s">
        <v>660</v>
      </c>
      <c r="G2381" s="4" t="s">
        <v>661</v>
      </c>
      <c r="H2381" s="4"/>
      <c r="I2381" s="196">
        <v>-2698</v>
      </c>
      <c r="J2381" s="196">
        <v>-1.9</v>
      </c>
      <c r="K2381" s="196">
        <v>1420</v>
      </c>
      <c r="L2381" s="454" t="s">
        <v>787</v>
      </c>
      <c r="M2381" s="4" t="s">
        <v>780</v>
      </c>
      <c r="N2381" s="133" t="s">
        <v>1407</v>
      </c>
      <c r="O2381" s="4" t="s">
        <v>1446</v>
      </c>
      <c r="P2381" s="4" t="s">
        <v>783</v>
      </c>
      <c r="Q2381" s="4" t="s">
        <v>1447</v>
      </c>
      <c r="R2381" s="4" t="s">
        <v>1456</v>
      </c>
      <c r="S2381" s="4" t="s">
        <v>1449</v>
      </c>
      <c r="T2381" s="4" t="s">
        <v>786</v>
      </c>
      <c r="U2381" s="4"/>
      <c r="V2381" s="4"/>
      <c r="W2381" s="4"/>
    </row>
    <row r="2382" spans="1:23" customFormat="1">
      <c r="A2382" s="10"/>
      <c r="B2382" s="4"/>
      <c r="C2382" s="4"/>
      <c r="D2382" s="4"/>
      <c r="E2382" s="4"/>
      <c r="F2382" s="152" t="s">
        <v>660</v>
      </c>
      <c r="G2382" s="4" t="s">
        <v>661</v>
      </c>
      <c r="H2382" s="4"/>
      <c r="I2382" s="196">
        <v>-639000</v>
      </c>
      <c r="J2382" s="196">
        <v>-450</v>
      </c>
      <c r="K2382" s="196">
        <v>1420</v>
      </c>
      <c r="L2382" s="454" t="s">
        <v>787</v>
      </c>
      <c r="M2382" s="4" t="s">
        <v>780</v>
      </c>
      <c r="N2382" s="133" t="s">
        <v>1407</v>
      </c>
      <c r="O2382" s="4" t="s">
        <v>1446</v>
      </c>
      <c r="P2382" s="4" t="s">
        <v>783</v>
      </c>
      <c r="Q2382" s="4" t="s">
        <v>1447</v>
      </c>
      <c r="R2382" s="4" t="s">
        <v>1482</v>
      </c>
      <c r="S2382" s="4" t="s">
        <v>1449</v>
      </c>
      <c r="T2382" s="4" t="s">
        <v>786</v>
      </c>
      <c r="U2382" s="4"/>
      <c r="V2382" s="4"/>
      <c r="W2382" s="4"/>
    </row>
    <row r="2383" spans="1:23" customFormat="1">
      <c r="A2383" s="10"/>
      <c r="B2383" s="4"/>
      <c r="C2383" s="4"/>
      <c r="D2383" s="4"/>
      <c r="E2383" s="4"/>
      <c r="F2383" s="152" t="s">
        <v>660</v>
      </c>
      <c r="G2383" s="4" t="s">
        <v>661</v>
      </c>
      <c r="H2383" s="4"/>
      <c r="I2383" s="196">
        <v>-2603</v>
      </c>
      <c r="J2383" s="196">
        <v>-1.9</v>
      </c>
      <c r="K2383" s="196">
        <v>1370</v>
      </c>
      <c r="L2383" s="454" t="s">
        <v>787</v>
      </c>
      <c r="M2383" s="4" t="s">
        <v>780</v>
      </c>
      <c r="N2383" s="133" t="s">
        <v>1407</v>
      </c>
      <c r="O2383" s="4" t="s">
        <v>1446</v>
      </c>
      <c r="P2383" s="4" t="s">
        <v>783</v>
      </c>
      <c r="Q2383" s="4" t="s">
        <v>1447</v>
      </c>
      <c r="R2383" s="4" t="s">
        <v>1456</v>
      </c>
      <c r="S2383" s="4" t="s">
        <v>1449</v>
      </c>
      <c r="T2383" s="4" t="s">
        <v>786</v>
      </c>
      <c r="U2383" s="4"/>
      <c r="V2383" s="4"/>
      <c r="W2383" s="4"/>
    </row>
    <row r="2384" spans="1:23" customFormat="1">
      <c r="A2384" s="10"/>
      <c r="B2384" s="4"/>
      <c r="C2384" s="4"/>
      <c r="D2384" s="4"/>
      <c r="E2384" s="4"/>
      <c r="F2384" s="152" t="s">
        <v>660</v>
      </c>
      <c r="G2384" s="4" t="s">
        <v>661</v>
      </c>
      <c r="H2384" s="4"/>
      <c r="I2384" s="196">
        <v>-2698</v>
      </c>
      <c r="J2384" s="196">
        <v>-1.9</v>
      </c>
      <c r="K2384" s="196">
        <v>1420</v>
      </c>
      <c r="L2384" s="454" t="s">
        <v>787</v>
      </c>
      <c r="M2384" s="4" t="s">
        <v>780</v>
      </c>
      <c r="N2384" s="133" t="s">
        <v>1407</v>
      </c>
      <c r="O2384" s="4" t="s">
        <v>1446</v>
      </c>
      <c r="P2384" s="4" t="s">
        <v>783</v>
      </c>
      <c r="Q2384" s="4" t="s">
        <v>1447</v>
      </c>
      <c r="R2384" s="4" t="s">
        <v>1462</v>
      </c>
      <c r="S2384" s="4" t="s">
        <v>1449</v>
      </c>
      <c r="T2384" s="4" t="s">
        <v>786</v>
      </c>
      <c r="U2384" s="4"/>
      <c r="V2384" s="4"/>
      <c r="W2384" s="4"/>
    </row>
    <row r="2385" spans="1:23" customFormat="1">
      <c r="A2385" s="10"/>
      <c r="B2385" s="4"/>
      <c r="C2385" s="4"/>
      <c r="D2385" s="4"/>
      <c r="E2385" s="4"/>
      <c r="F2385" s="152" t="s">
        <v>660</v>
      </c>
      <c r="G2385" s="4" t="s">
        <v>661</v>
      </c>
      <c r="H2385" s="4"/>
      <c r="I2385" s="196">
        <v>-752600</v>
      </c>
      <c r="J2385" s="196">
        <v>-530</v>
      </c>
      <c r="K2385" s="196">
        <v>1420</v>
      </c>
      <c r="L2385" s="454" t="s">
        <v>787</v>
      </c>
      <c r="M2385" s="4" t="s">
        <v>780</v>
      </c>
      <c r="N2385" s="133" t="s">
        <v>1407</v>
      </c>
      <c r="O2385" s="4" t="s">
        <v>1446</v>
      </c>
      <c r="P2385" s="4" t="s">
        <v>783</v>
      </c>
      <c r="Q2385" s="4" t="s">
        <v>1447</v>
      </c>
      <c r="R2385" s="4" t="s">
        <v>1485</v>
      </c>
      <c r="S2385" s="4" t="s">
        <v>1449</v>
      </c>
      <c r="T2385" s="4" t="s">
        <v>786</v>
      </c>
      <c r="U2385" s="4"/>
      <c r="V2385" s="4"/>
      <c r="W2385" s="4"/>
    </row>
    <row r="2386" spans="1:23" customFormat="1">
      <c r="A2386" s="10"/>
      <c r="B2386" s="4"/>
      <c r="C2386" s="4"/>
      <c r="D2386" s="4"/>
      <c r="E2386" s="4"/>
      <c r="F2386" s="152" t="s">
        <v>660</v>
      </c>
      <c r="G2386" s="4" t="s">
        <v>661</v>
      </c>
      <c r="H2386" s="4"/>
      <c r="I2386" s="196">
        <v>-2698</v>
      </c>
      <c r="J2386" s="196">
        <v>-1.9</v>
      </c>
      <c r="K2386" s="196">
        <v>1420</v>
      </c>
      <c r="L2386" s="454" t="s">
        <v>787</v>
      </c>
      <c r="M2386" s="4" t="s">
        <v>780</v>
      </c>
      <c r="N2386" s="133" t="s">
        <v>1407</v>
      </c>
      <c r="O2386" s="4" t="s">
        <v>1446</v>
      </c>
      <c r="P2386" s="4" t="s">
        <v>783</v>
      </c>
      <c r="Q2386" s="4" t="s">
        <v>1447</v>
      </c>
      <c r="R2386" s="4" t="s">
        <v>1483</v>
      </c>
      <c r="S2386" s="4" t="s">
        <v>1449</v>
      </c>
      <c r="T2386" s="4" t="s">
        <v>786</v>
      </c>
      <c r="U2386" s="4"/>
      <c r="V2386" s="4"/>
      <c r="W2386" s="4"/>
    </row>
    <row r="2387" spans="1:23" customFormat="1">
      <c r="A2387" s="10"/>
      <c r="B2387" s="4"/>
      <c r="C2387" s="4"/>
      <c r="D2387" s="4"/>
      <c r="E2387" s="4"/>
      <c r="F2387" s="152" t="s">
        <v>660</v>
      </c>
      <c r="G2387" s="4" t="s">
        <v>661</v>
      </c>
      <c r="H2387" s="4"/>
      <c r="I2387" s="196">
        <v>-781000</v>
      </c>
      <c r="J2387" s="196">
        <v>-550</v>
      </c>
      <c r="K2387" s="196">
        <v>1420</v>
      </c>
      <c r="L2387" s="454" t="s">
        <v>787</v>
      </c>
      <c r="M2387" s="4" t="s">
        <v>780</v>
      </c>
      <c r="N2387" s="133" t="s">
        <v>1407</v>
      </c>
      <c r="O2387" s="4" t="s">
        <v>1446</v>
      </c>
      <c r="P2387" s="4" t="s">
        <v>783</v>
      </c>
      <c r="Q2387" s="4" t="s">
        <v>1447</v>
      </c>
      <c r="R2387" s="4" t="s">
        <v>1484</v>
      </c>
      <c r="S2387" s="4" t="s">
        <v>1449</v>
      </c>
      <c r="T2387" s="4" t="s">
        <v>786</v>
      </c>
      <c r="U2387" s="4"/>
      <c r="V2387" s="4"/>
      <c r="W2387" s="4"/>
    </row>
    <row r="2388" spans="1:23" customFormat="1">
      <c r="A2388" s="10"/>
      <c r="B2388" s="4"/>
      <c r="C2388" s="4"/>
      <c r="D2388" s="4"/>
      <c r="E2388" s="4"/>
      <c r="F2388" s="152" t="s">
        <v>660</v>
      </c>
      <c r="G2388" s="4" t="s">
        <v>661</v>
      </c>
      <c r="H2388" s="4"/>
      <c r="I2388" s="196">
        <v>-2698</v>
      </c>
      <c r="J2388" s="196">
        <v>-1.9</v>
      </c>
      <c r="K2388" s="196">
        <v>1420</v>
      </c>
      <c r="L2388" s="454" t="s">
        <v>787</v>
      </c>
      <c r="M2388" s="4" t="s">
        <v>780</v>
      </c>
      <c r="N2388" s="133" t="s">
        <v>1407</v>
      </c>
      <c r="O2388" s="4" t="s">
        <v>1446</v>
      </c>
      <c r="P2388" s="4" t="s">
        <v>783</v>
      </c>
      <c r="Q2388" s="4" t="s">
        <v>1447</v>
      </c>
      <c r="R2388" s="4" t="s">
        <v>1456</v>
      </c>
      <c r="S2388" s="4" t="s">
        <v>1449</v>
      </c>
      <c r="T2388" s="4" t="s">
        <v>786</v>
      </c>
      <c r="U2388" s="4"/>
      <c r="V2388" s="4"/>
      <c r="W2388" s="4"/>
    </row>
    <row r="2389" spans="1:23" customFormat="1">
      <c r="A2389" s="10"/>
      <c r="B2389" s="4"/>
      <c r="C2389" s="4"/>
      <c r="D2389" s="4"/>
      <c r="E2389" s="4"/>
      <c r="F2389" s="152" t="s">
        <v>660</v>
      </c>
      <c r="G2389" s="4" t="s">
        <v>661</v>
      </c>
      <c r="H2389" s="4"/>
      <c r="I2389" s="196">
        <v>-1491000</v>
      </c>
      <c r="J2389" s="196">
        <v>-1050</v>
      </c>
      <c r="K2389" s="196">
        <v>1420</v>
      </c>
      <c r="L2389" s="454" t="s">
        <v>787</v>
      </c>
      <c r="M2389" s="4" t="s">
        <v>780</v>
      </c>
      <c r="N2389" s="133" t="s">
        <v>1407</v>
      </c>
      <c r="O2389" s="4" t="s">
        <v>1446</v>
      </c>
      <c r="P2389" s="4" t="s">
        <v>783</v>
      </c>
      <c r="Q2389" s="4" t="s">
        <v>1447</v>
      </c>
      <c r="R2389" s="4" t="s">
        <v>1486</v>
      </c>
      <c r="S2389" s="4" t="s">
        <v>1449</v>
      </c>
      <c r="T2389" s="4" t="s">
        <v>786</v>
      </c>
      <c r="U2389" s="4"/>
      <c r="V2389" s="4"/>
      <c r="W2389" s="4"/>
    </row>
    <row r="2390" spans="1:23" customFormat="1">
      <c r="A2390" s="10"/>
      <c r="B2390" s="4"/>
      <c r="C2390" s="4"/>
      <c r="D2390" s="4"/>
      <c r="E2390" s="4"/>
      <c r="F2390" s="152" t="s">
        <v>660</v>
      </c>
      <c r="G2390" s="4" t="s">
        <v>661</v>
      </c>
      <c r="H2390" s="4"/>
      <c r="I2390" s="196">
        <v>-1168966.2</v>
      </c>
      <c r="J2390" s="196">
        <v>-853.26</v>
      </c>
      <c r="K2390" s="196">
        <v>1370</v>
      </c>
      <c r="L2390" s="454" t="s">
        <v>787</v>
      </c>
      <c r="M2390" s="4" t="s">
        <v>780</v>
      </c>
      <c r="N2390" s="133" t="s">
        <v>1407</v>
      </c>
      <c r="O2390" s="4" t="s">
        <v>1446</v>
      </c>
      <c r="P2390" s="4" t="s">
        <v>783</v>
      </c>
      <c r="Q2390" s="4" t="s">
        <v>1447</v>
      </c>
      <c r="R2390" s="4" t="s">
        <v>1455</v>
      </c>
      <c r="S2390" s="4" t="s">
        <v>1449</v>
      </c>
      <c r="T2390" s="4" t="s">
        <v>786</v>
      </c>
      <c r="U2390" s="4"/>
      <c r="V2390" s="4"/>
      <c r="W2390" s="4"/>
    </row>
    <row r="2391" spans="1:23" customFormat="1">
      <c r="A2391" s="10"/>
      <c r="B2391" s="4"/>
      <c r="C2391" s="4"/>
      <c r="D2391" s="4"/>
      <c r="E2391" s="4"/>
      <c r="F2391" s="152" t="s">
        <v>660</v>
      </c>
      <c r="G2391" s="4" t="s">
        <v>661</v>
      </c>
      <c r="H2391" s="4"/>
      <c r="I2391" s="196">
        <v>-1191187.6000000001</v>
      </c>
      <c r="J2391" s="196">
        <v>-869.48</v>
      </c>
      <c r="K2391" s="196">
        <v>1370</v>
      </c>
      <c r="L2391" s="454" t="s">
        <v>787</v>
      </c>
      <c r="M2391" s="4" t="s">
        <v>780</v>
      </c>
      <c r="N2391" s="133" t="s">
        <v>1407</v>
      </c>
      <c r="O2391" s="4" t="s">
        <v>1446</v>
      </c>
      <c r="P2391" s="4" t="s">
        <v>783</v>
      </c>
      <c r="Q2391" s="4" t="s">
        <v>1447</v>
      </c>
      <c r="R2391" s="4" t="s">
        <v>1453</v>
      </c>
      <c r="S2391" s="4" t="s">
        <v>1449</v>
      </c>
      <c r="T2391" s="4" t="s">
        <v>786</v>
      </c>
      <c r="U2391" s="4"/>
      <c r="V2391" s="4"/>
      <c r="W2391" s="4"/>
    </row>
    <row r="2392" spans="1:23" customFormat="1">
      <c r="A2392" s="10"/>
      <c r="B2392" s="4"/>
      <c r="C2392" s="4"/>
      <c r="D2392" s="4"/>
      <c r="E2392" s="4"/>
      <c r="F2392" s="152" t="s">
        <v>660</v>
      </c>
      <c r="G2392" s="4" t="s">
        <v>661</v>
      </c>
      <c r="H2392" s="4"/>
      <c r="I2392" s="196">
        <v>-71000</v>
      </c>
      <c r="J2392" s="196">
        <v>-50</v>
      </c>
      <c r="K2392" s="196">
        <v>1420</v>
      </c>
      <c r="L2392" s="454" t="s">
        <v>787</v>
      </c>
      <c r="M2392" s="4" t="s">
        <v>780</v>
      </c>
      <c r="N2392" s="133" t="s">
        <v>1407</v>
      </c>
      <c r="O2392" s="4" t="s">
        <v>1446</v>
      </c>
      <c r="P2392" s="4" t="s">
        <v>783</v>
      </c>
      <c r="Q2392" s="4" t="s">
        <v>1447</v>
      </c>
      <c r="R2392" s="4" t="s">
        <v>1450</v>
      </c>
      <c r="S2392" s="4" t="s">
        <v>1449</v>
      </c>
      <c r="T2392" s="4" t="s">
        <v>786</v>
      </c>
      <c r="U2392" s="4"/>
      <c r="V2392" s="4"/>
      <c r="W2392" s="4"/>
    </row>
    <row r="2393" spans="1:23" customFormat="1">
      <c r="A2393" s="10"/>
      <c r="B2393" s="4"/>
      <c r="C2393" s="4"/>
      <c r="D2393" s="4"/>
      <c r="E2393" s="4"/>
      <c r="F2393" s="152" t="s">
        <v>660</v>
      </c>
      <c r="G2393" s="4" t="s">
        <v>661</v>
      </c>
      <c r="H2393" s="4"/>
      <c r="I2393" s="196">
        <v>-355000</v>
      </c>
      <c r="J2393" s="196">
        <v>-250</v>
      </c>
      <c r="K2393" s="196">
        <v>1420</v>
      </c>
      <c r="L2393" s="454" t="s">
        <v>787</v>
      </c>
      <c r="M2393" s="4" t="s">
        <v>780</v>
      </c>
      <c r="N2393" s="133" t="s">
        <v>1407</v>
      </c>
      <c r="O2393" s="4" t="s">
        <v>1446</v>
      </c>
      <c r="P2393" s="4" t="s">
        <v>783</v>
      </c>
      <c r="Q2393" s="4" t="s">
        <v>1447</v>
      </c>
      <c r="R2393" s="4" t="s">
        <v>1450</v>
      </c>
      <c r="S2393" s="4" t="s">
        <v>1449</v>
      </c>
      <c r="T2393" s="4" t="s">
        <v>786</v>
      </c>
      <c r="U2393" s="4"/>
      <c r="V2393" s="4"/>
      <c r="W2393" s="4"/>
    </row>
    <row r="2394" spans="1:23" customFormat="1">
      <c r="A2394" s="10"/>
      <c r="B2394" s="4"/>
      <c r="C2394" s="4"/>
      <c r="D2394" s="4"/>
      <c r="E2394" s="4"/>
      <c r="F2394" s="152" t="s">
        <v>660</v>
      </c>
      <c r="G2394" s="4" t="s">
        <v>661</v>
      </c>
      <c r="H2394" s="4"/>
      <c r="I2394" s="196">
        <v>-68074.8</v>
      </c>
      <c r="J2394" s="196">
        <v>-47.94</v>
      </c>
      <c r="K2394" s="196">
        <v>1420</v>
      </c>
      <c r="L2394" s="454" t="s">
        <v>787</v>
      </c>
      <c r="M2394" s="4" t="s">
        <v>780</v>
      </c>
      <c r="N2394" s="133" t="s">
        <v>1407</v>
      </c>
      <c r="O2394" s="4" t="s">
        <v>1446</v>
      </c>
      <c r="P2394" s="4" t="s">
        <v>783</v>
      </c>
      <c r="Q2394" s="4" t="s">
        <v>1447</v>
      </c>
      <c r="R2394" s="4" t="s">
        <v>1448</v>
      </c>
      <c r="S2394" s="4" t="s">
        <v>1449</v>
      </c>
      <c r="T2394" s="4" t="s">
        <v>786</v>
      </c>
      <c r="U2394" s="4"/>
      <c r="V2394" s="4"/>
      <c r="W2394" s="4"/>
    </row>
    <row r="2395" spans="1:23" customFormat="1">
      <c r="A2395" s="10"/>
      <c r="B2395" s="4"/>
      <c r="C2395" s="4"/>
      <c r="D2395" s="4"/>
      <c r="E2395" s="4"/>
      <c r="F2395" s="152" t="s">
        <v>660</v>
      </c>
      <c r="G2395" s="4" t="s">
        <v>661</v>
      </c>
      <c r="H2395" s="4"/>
      <c r="I2395" s="196">
        <v>-2603</v>
      </c>
      <c r="J2395" s="196">
        <v>-1.9</v>
      </c>
      <c r="K2395" s="196">
        <v>1370</v>
      </c>
      <c r="L2395" s="454" t="s">
        <v>787</v>
      </c>
      <c r="M2395" s="4" t="s">
        <v>780</v>
      </c>
      <c r="N2395" s="133" t="s">
        <v>1407</v>
      </c>
      <c r="O2395" s="4" t="s">
        <v>1446</v>
      </c>
      <c r="P2395" s="4" t="s">
        <v>783</v>
      </c>
      <c r="Q2395" s="4" t="s">
        <v>1447</v>
      </c>
      <c r="R2395" s="4" t="s">
        <v>1487</v>
      </c>
      <c r="S2395" s="4" t="s">
        <v>1449</v>
      </c>
      <c r="T2395" s="4" t="s">
        <v>786</v>
      </c>
      <c r="U2395" s="4"/>
      <c r="V2395" s="4"/>
      <c r="W2395" s="4"/>
    </row>
    <row r="2396" spans="1:23" customFormat="1">
      <c r="A2396" s="10"/>
      <c r="B2396" s="4"/>
      <c r="C2396" s="4"/>
      <c r="D2396" s="4"/>
      <c r="E2396" s="4"/>
      <c r="F2396" s="152" t="s">
        <v>660</v>
      </c>
      <c r="G2396" s="4" t="s">
        <v>661</v>
      </c>
      <c r="H2396" s="4"/>
      <c r="I2396" s="196">
        <v>-1545360</v>
      </c>
      <c r="J2396" s="196">
        <v>-1128</v>
      </c>
      <c r="K2396" s="196">
        <v>1370</v>
      </c>
      <c r="L2396" s="454" t="s">
        <v>787</v>
      </c>
      <c r="M2396" s="4" t="s">
        <v>780</v>
      </c>
      <c r="N2396" s="133" t="s">
        <v>1407</v>
      </c>
      <c r="O2396" s="4" t="s">
        <v>1446</v>
      </c>
      <c r="P2396" s="4" t="s">
        <v>783</v>
      </c>
      <c r="Q2396" s="4" t="s">
        <v>1447</v>
      </c>
      <c r="R2396" s="4" t="s">
        <v>1488</v>
      </c>
      <c r="S2396" s="4" t="s">
        <v>1449</v>
      </c>
      <c r="T2396" s="4" t="s">
        <v>786</v>
      </c>
      <c r="U2396" s="4"/>
      <c r="V2396" s="4"/>
      <c r="W2396" s="4"/>
    </row>
    <row r="2397" spans="1:23" customFormat="1">
      <c r="A2397" s="10"/>
      <c r="B2397" s="4"/>
      <c r="C2397" s="4"/>
      <c r="D2397" s="4"/>
      <c r="E2397" s="4"/>
      <c r="F2397" s="152" t="s">
        <v>660</v>
      </c>
      <c r="G2397" s="4" t="s">
        <v>661</v>
      </c>
      <c r="H2397" s="4"/>
      <c r="I2397" s="196">
        <v>-2342700</v>
      </c>
      <c r="J2397" s="196">
        <v>-1710</v>
      </c>
      <c r="K2397" s="196">
        <v>1370</v>
      </c>
      <c r="L2397" s="454" t="s">
        <v>787</v>
      </c>
      <c r="M2397" s="4" t="s">
        <v>780</v>
      </c>
      <c r="N2397" s="133" t="s">
        <v>1407</v>
      </c>
      <c r="O2397" s="4" t="s">
        <v>1446</v>
      </c>
      <c r="P2397" s="4" t="s">
        <v>783</v>
      </c>
      <c r="Q2397" s="4" t="s">
        <v>1447</v>
      </c>
      <c r="R2397" s="4" t="s">
        <v>1489</v>
      </c>
      <c r="S2397" s="4" t="s">
        <v>1449</v>
      </c>
      <c r="T2397" s="4" t="s">
        <v>786</v>
      </c>
      <c r="U2397" s="4"/>
      <c r="V2397" s="4"/>
      <c r="W2397" s="4"/>
    </row>
    <row r="2398" spans="1:23" customFormat="1">
      <c r="A2398" s="10"/>
      <c r="B2398" s="4"/>
      <c r="C2398" s="4"/>
      <c r="D2398" s="4"/>
      <c r="E2398" s="4"/>
      <c r="F2398" s="152" t="s">
        <v>660</v>
      </c>
      <c r="G2398" s="4" t="s">
        <v>661</v>
      </c>
      <c r="H2398" s="4"/>
      <c r="I2398" s="196">
        <v>-5560000</v>
      </c>
      <c r="J2398" s="196">
        <v>-4000</v>
      </c>
      <c r="K2398" s="196">
        <v>1390</v>
      </c>
      <c r="L2398" s="454" t="s">
        <v>899</v>
      </c>
      <c r="M2398" s="4" t="s">
        <v>780</v>
      </c>
      <c r="N2398" s="133" t="s">
        <v>1407</v>
      </c>
      <c r="O2398" s="4" t="s">
        <v>1605</v>
      </c>
      <c r="P2398" s="4" t="s">
        <v>892</v>
      </c>
      <c r="Q2398" s="4" t="s">
        <v>1606</v>
      </c>
      <c r="R2398" s="4"/>
      <c r="S2398" s="4" t="s">
        <v>1607</v>
      </c>
      <c r="T2398" s="4" t="s">
        <v>786</v>
      </c>
      <c r="U2398" s="4"/>
      <c r="V2398" s="4"/>
      <c r="W2398" s="4"/>
    </row>
    <row r="2399" spans="1:23" customFormat="1">
      <c r="A2399" s="10"/>
      <c r="B2399" s="4"/>
      <c r="C2399" s="4"/>
      <c r="D2399" s="4"/>
      <c r="E2399" s="4"/>
      <c r="F2399" s="152" t="s">
        <v>660</v>
      </c>
      <c r="G2399" s="4" t="s">
        <v>661</v>
      </c>
      <c r="H2399" s="4"/>
      <c r="I2399" s="196">
        <v>-22880000</v>
      </c>
      <c r="J2399" s="196">
        <v>-16000</v>
      </c>
      <c r="K2399" s="196">
        <v>1430</v>
      </c>
      <c r="L2399" s="454" t="s">
        <v>1608</v>
      </c>
      <c r="M2399" s="4" t="s">
        <v>780</v>
      </c>
      <c r="N2399" s="133" t="s">
        <v>1407</v>
      </c>
      <c r="O2399" s="4" t="s">
        <v>1609</v>
      </c>
      <c r="P2399" s="4" t="s">
        <v>892</v>
      </c>
      <c r="Q2399" s="4" t="s">
        <v>1610</v>
      </c>
      <c r="R2399" s="4"/>
      <c r="S2399" s="4" t="s">
        <v>1611</v>
      </c>
      <c r="T2399" s="4" t="s">
        <v>786</v>
      </c>
      <c r="U2399" s="4"/>
      <c r="V2399" s="4"/>
      <c r="W2399" s="4"/>
    </row>
    <row r="2400" spans="1:23" customFormat="1">
      <c r="A2400" s="10"/>
      <c r="B2400" s="4"/>
      <c r="C2400" s="4"/>
      <c r="D2400" s="4"/>
      <c r="E2400" s="4"/>
      <c r="F2400" s="152" t="s">
        <v>660</v>
      </c>
      <c r="G2400" s="4" t="s">
        <v>661</v>
      </c>
      <c r="H2400" s="4"/>
      <c r="I2400" s="196">
        <v>35200650</v>
      </c>
      <c r="J2400" s="196">
        <v>24965</v>
      </c>
      <c r="K2400" s="196">
        <v>1410</v>
      </c>
      <c r="L2400" s="454" t="s">
        <v>890</v>
      </c>
      <c r="M2400" s="4" t="s">
        <v>780</v>
      </c>
      <c r="N2400" s="133" t="s">
        <v>1407</v>
      </c>
      <c r="O2400" s="4" t="s">
        <v>1617</v>
      </c>
      <c r="P2400" s="4" t="s">
        <v>892</v>
      </c>
      <c r="Q2400" s="4" t="s">
        <v>1618</v>
      </c>
      <c r="R2400" s="4" t="s">
        <v>1432</v>
      </c>
      <c r="S2400" s="4" t="s">
        <v>1619</v>
      </c>
      <c r="T2400" s="4" t="s">
        <v>786</v>
      </c>
      <c r="U2400" s="4"/>
      <c r="V2400" s="4"/>
      <c r="W2400" s="4"/>
    </row>
    <row r="2401" spans="1:23" customFormat="1">
      <c r="A2401" s="10"/>
      <c r="B2401" s="4"/>
      <c r="C2401" s="4"/>
      <c r="D2401" s="4"/>
      <c r="E2401" s="4"/>
      <c r="F2401" s="152" t="s">
        <v>660</v>
      </c>
      <c r="G2401" s="4" t="s">
        <v>661</v>
      </c>
      <c r="H2401" s="4"/>
      <c r="I2401" s="196">
        <v>-2641</v>
      </c>
      <c r="J2401" s="196">
        <v>-1.9</v>
      </c>
      <c r="K2401" s="196">
        <v>1390</v>
      </c>
      <c r="L2401" s="454" t="s">
        <v>899</v>
      </c>
      <c r="M2401" s="4" t="s">
        <v>780</v>
      </c>
      <c r="N2401" s="133" t="s">
        <v>1407</v>
      </c>
      <c r="O2401" s="4" t="s">
        <v>1759</v>
      </c>
      <c r="P2401" s="4" t="s">
        <v>892</v>
      </c>
      <c r="Q2401" s="4" t="s">
        <v>1760</v>
      </c>
      <c r="R2401" s="4" t="s">
        <v>1456</v>
      </c>
      <c r="S2401" s="4" t="s">
        <v>1761</v>
      </c>
      <c r="T2401" s="4" t="s">
        <v>786</v>
      </c>
      <c r="U2401" s="4"/>
      <c r="V2401" s="4"/>
      <c r="W2401" s="4"/>
    </row>
    <row r="2402" spans="1:23" customFormat="1">
      <c r="A2402" s="10"/>
      <c r="B2402" s="4"/>
      <c r="C2402" s="4"/>
      <c r="D2402" s="4"/>
      <c r="E2402" s="4"/>
      <c r="F2402" s="152" t="s">
        <v>660</v>
      </c>
      <c r="G2402" s="4" t="s">
        <v>661</v>
      </c>
      <c r="H2402" s="4"/>
      <c r="I2402" s="196">
        <v>-1123120</v>
      </c>
      <c r="J2402" s="196">
        <v>-808</v>
      </c>
      <c r="K2402" s="196">
        <v>1390</v>
      </c>
      <c r="L2402" s="454" t="s">
        <v>899</v>
      </c>
      <c r="M2402" s="4" t="s">
        <v>780</v>
      </c>
      <c r="N2402" s="133" t="s">
        <v>1407</v>
      </c>
      <c r="O2402" s="4" t="s">
        <v>1759</v>
      </c>
      <c r="P2402" s="4" t="s">
        <v>892</v>
      </c>
      <c r="Q2402" s="4" t="s">
        <v>1760</v>
      </c>
      <c r="R2402" s="4" t="s">
        <v>1762</v>
      </c>
      <c r="S2402" s="4" t="s">
        <v>1761</v>
      </c>
      <c r="T2402" s="4" t="s">
        <v>786</v>
      </c>
      <c r="U2402" s="4"/>
      <c r="V2402" s="4"/>
      <c r="W2402" s="4"/>
    </row>
    <row r="2403" spans="1:23" customFormat="1">
      <c r="A2403" s="10"/>
      <c r="B2403" s="4"/>
      <c r="C2403" s="4"/>
      <c r="D2403" s="4"/>
      <c r="E2403" s="4"/>
      <c r="F2403" s="152" t="s">
        <v>660</v>
      </c>
      <c r="G2403" s="4" t="s">
        <v>661</v>
      </c>
      <c r="H2403" s="4"/>
      <c r="I2403" s="196">
        <v>-1308450</v>
      </c>
      <c r="J2403" s="196">
        <v>-915</v>
      </c>
      <c r="K2403" s="196">
        <v>1430</v>
      </c>
      <c r="L2403" s="454" t="s">
        <v>890</v>
      </c>
      <c r="M2403" s="4" t="s">
        <v>780</v>
      </c>
      <c r="N2403" s="133" t="s">
        <v>1407</v>
      </c>
      <c r="O2403" s="4" t="s">
        <v>1789</v>
      </c>
      <c r="P2403" s="4" t="s">
        <v>892</v>
      </c>
      <c r="Q2403" s="4" t="s">
        <v>1790</v>
      </c>
      <c r="R2403" s="4" t="s">
        <v>1791</v>
      </c>
      <c r="S2403" s="4" t="s">
        <v>1792</v>
      </c>
      <c r="T2403" s="4" t="s">
        <v>786</v>
      </c>
      <c r="U2403" s="4"/>
      <c r="V2403" s="4"/>
      <c r="W2403" s="4"/>
    </row>
    <row r="2404" spans="1:23" customFormat="1">
      <c r="A2404" s="10"/>
      <c r="B2404" s="4"/>
      <c r="C2404" s="4"/>
      <c r="D2404" s="4"/>
      <c r="E2404" s="4"/>
      <c r="F2404" s="152" t="s">
        <v>660</v>
      </c>
      <c r="G2404" s="4" t="s">
        <v>661</v>
      </c>
      <c r="H2404" s="4"/>
      <c r="I2404" s="196">
        <v>-9165000</v>
      </c>
      <c r="J2404" s="196">
        <v>-6500</v>
      </c>
      <c r="K2404" s="196">
        <v>1410</v>
      </c>
      <c r="L2404" s="454" t="s">
        <v>890</v>
      </c>
      <c r="M2404" s="4" t="s">
        <v>780</v>
      </c>
      <c r="N2404" s="133" t="s">
        <v>1407</v>
      </c>
      <c r="O2404" s="4" t="s">
        <v>1789</v>
      </c>
      <c r="P2404" s="4" t="s">
        <v>892</v>
      </c>
      <c r="Q2404" s="4" t="s">
        <v>1790</v>
      </c>
      <c r="R2404" s="4" t="s">
        <v>1793</v>
      </c>
      <c r="S2404" s="4" t="s">
        <v>1792</v>
      </c>
      <c r="T2404" s="4" t="s">
        <v>786</v>
      </c>
      <c r="U2404" s="4"/>
      <c r="V2404" s="4"/>
      <c r="W2404" s="4"/>
    </row>
    <row r="2405" spans="1:23" customFormat="1">
      <c r="A2405" s="10"/>
      <c r="B2405" s="4"/>
      <c r="C2405" s="4"/>
      <c r="D2405" s="4"/>
      <c r="E2405" s="4"/>
      <c r="F2405" s="152" t="s">
        <v>660</v>
      </c>
      <c r="G2405" s="4" t="s">
        <v>661</v>
      </c>
      <c r="H2405" s="4"/>
      <c r="I2405" s="196">
        <v>-2717</v>
      </c>
      <c r="J2405" s="196">
        <v>-1.9</v>
      </c>
      <c r="K2405" s="196">
        <v>1430</v>
      </c>
      <c r="L2405" s="454" t="s">
        <v>890</v>
      </c>
      <c r="M2405" s="4" t="s">
        <v>780</v>
      </c>
      <c r="N2405" s="133" t="s">
        <v>1407</v>
      </c>
      <c r="O2405" s="4" t="s">
        <v>1789</v>
      </c>
      <c r="P2405" s="4" t="s">
        <v>892</v>
      </c>
      <c r="Q2405" s="4" t="s">
        <v>1790</v>
      </c>
      <c r="R2405" s="4" t="s">
        <v>1456</v>
      </c>
      <c r="S2405" s="4" t="s">
        <v>1792</v>
      </c>
      <c r="T2405" s="4" t="s">
        <v>786</v>
      </c>
      <c r="U2405" s="4"/>
      <c r="V2405" s="4"/>
      <c r="W2405" s="4"/>
    </row>
    <row r="2406" spans="1:23" customFormat="1">
      <c r="A2406" s="10"/>
      <c r="B2406" s="4"/>
      <c r="C2406" s="4"/>
      <c r="D2406" s="4"/>
      <c r="E2406" s="4"/>
      <c r="F2406" s="152" t="s">
        <v>660</v>
      </c>
      <c r="G2406" s="4" t="s">
        <v>661</v>
      </c>
      <c r="H2406" s="4"/>
      <c r="I2406" s="196">
        <v>-1501500</v>
      </c>
      <c r="J2406" s="196">
        <v>-1050</v>
      </c>
      <c r="K2406" s="196">
        <v>1430</v>
      </c>
      <c r="L2406" s="454" t="s">
        <v>890</v>
      </c>
      <c r="M2406" s="4" t="s">
        <v>780</v>
      </c>
      <c r="N2406" s="133" t="s">
        <v>1407</v>
      </c>
      <c r="O2406" s="4" t="s">
        <v>1789</v>
      </c>
      <c r="P2406" s="4" t="s">
        <v>892</v>
      </c>
      <c r="Q2406" s="4" t="s">
        <v>1790</v>
      </c>
      <c r="R2406" s="4" t="s">
        <v>1798</v>
      </c>
      <c r="S2406" s="4" t="s">
        <v>1792</v>
      </c>
      <c r="T2406" s="4" t="s">
        <v>786</v>
      </c>
      <c r="U2406" s="4"/>
      <c r="V2406" s="4"/>
      <c r="W2406" s="4"/>
    </row>
    <row r="2407" spans="1:23" customFormat="1">
      <c r="A2407" s="10"/>
      <c r="B2407" s="4"/>
      <c r="C2407" s="4"/>
      <c r="D2407" s="4"/>
      <c r="E2407" s="4"/>
      <c r="F2407" s="152" t="s">
        <v>660</v>
      </c>
      <c r="G2407" s="4" t="s">
        <v>661</v>
      </c>
      <c r="H2407" s="4"/>
      <c r="I2407" s="196">
        <v>-2820</v>
      </c>
      <c r="J2407" s="196">
        <v>-2</v>
      </c>
      <c r="K2407" s="196">
        <v>1410</v>
      </c>
      <c r="L2407" s="454" t="s">
        <v>890</v>
      </c>
      <c r="M2407" s="4" t="s">
        <v>780</v>
      </c>
      <c r="N2407" s="133" t="s">
        <v>1407</v>
      </c>
      <c r="O2407" s="4" t="s">
        <v>1789</v>
      </c>
      <c r="P2407" s="4" t="s">
        <v>892</v>
      </c>
      <c r="Q2407" s="4" t="s">
        <v>1790</v>
      </c>
      <c r="R2407" s="4" t="s">
        <v>1461</v>
      </c>
      <c r="S2407" s="4" t="s">
        <v>1792</v>
      </c>
      <c r="T2407" s="4" t="s">
        <v>786</v>
      </c>
      <c r="U2407" s="4"/>
      <c r="V2407" s="4"/>
      <c r="W2407" s="4"/>
    </row>
    <row r="2408" spans="1:23" customFormat="1">
      <c r="A2408" s="10"/>
      <c r="B2408" s="4"/>
      <c r="C2408" s="4"/>
      <c r="D2408" s="4"/>
      <c r="E2408" s="4"/>
      <c r="F2408" s="152" t="s">
        <v>660</v>
      </c>
      <c r="G2408" s="4" t="s">
        <v>661</v>
      </c>
      <c r="H2408" s="4"/>
      <c r="I2408" s="196">
        <v>-1430000</v>
      </c>
      <c r="J2408" s="196">
        <v>-1000</v>
      </c>
      <c r="K2408" s="196">
        <v>1430</v>
      </c>
      <c r="L2408" s="454" t="s">
        <v>890</v>
      </c>
      <c r="M2408" s="4" t="s">
        <v>780</v>
      </c>
      <c r="N2408" s="133" t="s">
        <v>1407</v>
      </c>
      <c r="O2408" s="4" t="s">
        <v>1789</v>
      </c>
      <c r="P2408" s="4" t="s">
        <v>892</v>
      </c>
      <c r="Q2408" s="4" t="s">
        <v>1790</v>
      </c>
      <c r="R2408" s="4" t="s">
        <v>1800</v>
      </c>
      <c r="S2408" s="4" t="s">
        <v>1792</v>
      </c>
      <c r="T2408" s="4" t="s">
        <v>786</v>
      </c>
      <c r="U2408" s="4"/>
      <c r="V2408" s="4"/>
      <c r="W2408" s="4"/>
    </row>
    <row r="2409" spans="1:23" customFormat="1">
      <c r="A2409" s="10"/>
      <c r="B2409" s="4"/>
      <c r="C2409" s="4"/>
      <c r="D2409" s="4"/>
      <c r="E2409" s="4"/>
      <c r="F2409" s="152" t="s">
        <v>660</v>
      </c>
      <c r="G2409" s="4" t="s">
        <v>661</v>
      </c>
      <c r="H2409" s="4"/>
      <c r="I2409" s="196">
        <v>-915200</v>
      </c>
      <c r="J2409" s="196">
        <v>-640</v>
      </c>
      <c r="K2409" s="196">
        <v>1430</v>
      </c>
      <c r="L2409" s="454" t="s">
        <v>890</v>
      </c>
      <c r="M2409" s="4" t="s">
        <v>780</v>
      </c>
      <c r="N2409" s="133" t="s">
        <v>1407</v>
      </c>
      <c r="O2409" s="4" t="s">
        <v>1789</v>
      </c>
      <c r="P2409" s="4" t="s">
        <v>892</v>
      </c>
      <c r="Q2409" s="4" t="s">
        <v>1790</v>
      </c>
      <c r="R2409" s="4" t="s">
        <v>1796</v>
      </c>
      <c r="S2409" s="4" t="s">
        <v>1792</v>
      </c>
      <c r="T2409" s="4" t="s">
        <v>786</v>
      </c>
      <c r="U2409" s="4"/>
      <c r="V2409" s="4"/>
      <c r="W2409" s="4"/>
    </row>
    <row r="2410" spans="1:23" customFormat="1">
      <c r="A2410" s="10"/>
      <c r="B2410" s="4"/>
      <c r="C2410" s="4"/>
      <c r="D2410" s="4"/>
      <c r="E2410" s="4"/>
      <c r="F2410" s="152" t="s">
        <v>660</v>
      </c>
      <c r="G2410" s="4" t="s">
        <v>661</v>
      </c>
      <c r="H2410" s="4"/>
      <c r="I2410" s="196">
        <v>-2717</v>
      </c>
      <c r="J2410" s="196">
        <v>-1.9</v>
      </c>
      <c r="K2410" s="196">
        <v>1430</v>
      </c>
      <c r="L2410" s="454" t="s">
        <v>890</v>
      </c>
      <c r="M2410" s="4" t="s">
        <v>780</v>
      </c>
      <c r="N2410" s="133" t="s">
        <v>1407</v>
      </c>
      <c r="O2410" s="4" t="s">
        <v>1789</v>
      </c>
      <c r="P2410" s="4" t="s">
        <v>892</v>
      </c>
      <c r="Q2410" s="4" t="s">
        <v>1790</v>
      </c>
      <c r="R2410" s="4" t="s">
        <v>1456</v>
      </c>
      <c r="S2410" s="4" t="s">
        <v>1792</v>
      </c>
      <c r="T2410" s="4" t="s">
        <v>786</v>
      </c>
      <c r="U2410" s="4"/>
      <c r="V2410" s="4"/>
      <c r="W2410" s="4"/>
    </row>
    <row r="2411" spans="1:23" customFormat="1">
      <c r="A2411" s="10"/>
      <c r="B2411" s="4"/>
      <c r="C2411" s="4"/>
      <c r="D2411" s="4"/>
      <c r="E2411" s="4"/>
      <c r="F2411" s="152" t="s">
        <v>660</v>
      </c>
      <c r="G2411" s="4" t="s">
        <v>661</v>
      </c>
      <c r="H2411" s="4"/>
      <c r="I2411" s="196">
        <v>-2717</v>
      </c>
      <c r="J2411" s="196">
        <v>-1.9</v>
      </c>
      <c r="K2411" s="196">
        <v>1430</v>
      </c>
      <c r="L2411" s="454" t="s">
        <v>890</v>
      </c>
      <c r="M2411" s="4" t="s">
        <v>780</v>
      </c>
      <c r="N2411" s="133" t="s">
        <v>1407</v>
      </c>
      <c r="O2411" s="4" t="s">
        <v>1789</v>
      </c>
      <c r="P2411" s="4" t="s">
        <v>892</v>
      </c>
      <c r="Q2411" s="4" t="s">
        <v>1790</v>
      </c>
      <c r="R2411" s="4" t="s">
        <v>1456</v>
      </c>
      <c r="S2411" s="4" t="s">
        <v>1792</v>
      </c>
      <c r="T2411" s="4" t="s">
        <v>786</v>
      </c>
      <c r="U2411" s="4"/>
      <c r="V2411" s="4"/>
      <c r="W2411" s="4"/>
    </row>
    <row r="2412" spans="1:23" customFormat="1">
      <c r="A2412" s="10"/>
      <c r="B2412" s="4"/>
      <c r="C2412" s="4"/>
      <c r="D2412" s="4"/>
      <c r="E2412" s="4"/>
      <c r="F2412" s="152" t="s">
        <v>660</v>
      </c>
      <c r="G2412" s="4" t="s">
        <v>661</v>
      </c>
      <c r="H2412" s="4"/>
      <c r="I2412" s="196">
        <v>-2717</v>
      </c>
      <c r="J2412" s="196">
        <v>-1.9</v>
      </c>
      <c r="K2412" s="196">
        <v>1430</v>
      </c>
      <c r="L2412" s="454" t="s">
        <v>890</v>
      </c>
      <c r="M2412" s="4" t="s">
        <v>780</v>
      </c>
      <c r="N2412" s="133" t="s">
        <v>1407</v>
      </c>
      <c r="O2412" s="4" t="s">
        <v>1789</v>
      </c>
      <c r="P2412" s="4" t="s">
        <v>892</v>
      </c>
      <c r="Q2412" s="4" t="s">
        <v>1790</v>
      </c>
      <c r="R2412" s="4" t="s">
        <v>1456</v>
      </c>
      <c r="S2412" s="4" t="s">
        <v>1792</v>
      </c>
      <c r="T2412" s="4" t="s">
        <v>786</v>
      </c>
      <c r="U2412" s="4"/>
      <c r="V2412" s="4"/>
      <c r="W2412" s="4"/>
    </row>
    <row r="2413" spans="1:23" customFormat="1">
      <c r="A2413" s="10"/>
      <c r="B2413" s="4"/>
      <c r="C2413" s="4"/>
      <c r="D2413" s="4"/>
      <c r="E2413" s="4"/>
      <c r="F2413" s="152" t="s">
        <v>660</v>
      </c>
      <c r="G2413" s="4" t="s">
        <v>661</v>
      </c>
      <c r="H2413" s="4"/>
      <c r="I2413" s="196">
        <v>-2431000</v>
      </c>
      <c r="J2413" s="196">
        <v>-1700</v>
      </c>
      <c r="K2413" s="196">
        <v>1430</v>
      </c>
      <c r="L2413" s="454" t="s">
        <v>890</v>
      </c>
      <c r="M2413" s="4" t="s">
        <v>780</v>
      </c>
      <c r="N2413" s="133" t="s">
        <v>1407</v>
      </c>
      <c r="O2413" s="4" t="s">
        <v>1789</v>
      </c>
      <c r="P2413" s="4" t="s">
        <v>892</v>
      </c>
      <c r="Q2413" s="4" t="s">
        <v>1790</v>
      </c>
      <c r="R2413" s="4" t="s">
        <v>1799</v>
      </c>
      <c r="S2413" s="4" t="s">
        <v>1792</v>
      </c>
      <c r="T2413" s="4" t="s">
        <v>786</v>
      </c>
      <c r="U2413" s="4"/>
      <c r="V2413" s="4"/>
      <c r="W2413" s="4"/>
    </row>
    <row r="2414" spans="1:23" customFormat="1">
      <c r="A2414" s="10"/>
      <c r="B2414" s="4"/>
      <c r="C2414" s="4"/>
      <c r="D2414" s="4"/>
      <c r="E2414" s="4"/>
      <c r="F2414" s="152" t="s">
        <v>660</v>
      </c>
      <c r="G2414" s="4" t="s">
        <v>661</v>
      </c>
      <c r="H2414" s="4"/>
      <c r="I2414" s="196">
        <v>-52790.400000000001</v>
      </c>
      <c r="J2414" s="196">
        <v>-37.44</v>
      </c>
      <c r="K2414" s="196">
        <v>1410</v>
      </c>
      <c r="L2414" s="454" t="s">
        <v>890</v>
      </c>
      <c r="M2414" s="4" t="s">
        <v>780</v>
      </c>
      <c r="N2414" s="133" t="s">
        <v>1407</v>
      </c>
      <c r="O2414" s="4" t="s">
        <v>1789</v>
      </c>
      <c r="P2414" s="4" t="s">
        <v>892</v>
      </c>
      <c r="Q2414" s="4" t="s">
        <v>1790</v>
      </c>
      <c r="R2414" s="4" t="s">
        <v>1795</v>
      </c>
      <c r="S2414" s="4" t="s">
        <v>1792</v>
      </c>
      <c r="T2414" s="4" t="s">
        <v>786</v>
      </c>
      <c r="U2414" s="4"/>
      <c r="V2414" s="4"/>
      <c r="W2414" s="4"/>
    </row>
    <row r="2415" spans="1:23" customFormat="1">
      <c r="A2415" s="10"/>
      <c r="B2415" s="4"/>
      <c r="C2415" s="4"/>
      <c r="D2415" s="4"/>
      <c r="E2415" s="4"/>
      <c r="F2415" s="152" t="s">
        <v>660</v>
      </c>
      <c r="G2415" s="4" t="s">
        <v>661</v>
      </c>
      <c r="H2415" s="4"/>
      <c r="I2415" s="196">
        <v>-400400</v>
      </c>
      <c r="J2415" s="196">
        <v>-280</v>
      </c>
      <c r="K2415" s="196">
        <v>1430</v>
      </c>
      <c r="L2415" s="454" t="s">
        <v>890</v>
      </c>
      <c r="M2415" s="4" t="s">
        <v>780</v>
      </c>
      <c r="N2415" s="133" t="s">
        <v>1407</v>
      </c>
      <c r="O2415" s="4" t="s">
        <v>1789</v>
      </c>
      <c r="P2415" s="4" t="s">
        <v>892</v>
      </c>
      <c r="Q2415" s="4" t="s">
        <v>1790</v>
      </c>
      <c r="R2415" s="4" t="s">
        <v>1797</v>
      </c>
      <c r="S2415" s="4" t="s">
        <v>1792</v>
      </c>
      <c r="T2415" s="4" t="s">
        <v>786</v>
      </c>
      <c r="U2415" s="4"/>
      <c r="V2415" s="4"/>
      <c r="W2415" s="4"/>
    </row>
    <row r="2416" spans="1:23" customFormat="1">
      <c r="A2416" s="10"/>
      <c r="B2416" s="4"/>
      <c r="C2416" s="4"/>
      <c r="D2416" s="4"/>
      <c r="E2416" s="4"/>
      <c r="F2416" s="152" t="s">
        <v>660</v>
      </c>
      <c r="G2416" s="4" t="s">
        <v>661</v>
      </c>
      <c r="H2416" s="4"/>
      <c r="I2416" s="196">
        <v>-1144000</v>
      </c>
      <c r="J2416" s="196">
        <v>-800</v>
      </c>
      <c r="K2416" s="196">
        <v>1430</v>
      </c>
      <c r="L2416" s="454" t="s">
        <v>890</v>
      </c>
      <c r="M2416" s="4" t="s">
        <v>780</v>
      </c>
      <c r="N2416" s="133" t="s">
        <v>1407</v>
      </c>
      <c r="O2416" s="4" t="s">
        <v>1789</v>
      </c>
      <c r="P2416" s="4" t="s">
        <v>892</v>
      </c>
      <c r="Q2416" s="4" t="s">
        <v>1790</v>
      </c>
      <c r="R2416" s="4" t="s">
        <v>1794</v>
      </c>
      <c r="S2416" s="4" t="s">
        <v>1792</v>
      </c>
      <c r="T2416" s="4" t="s">
        <v>786</v>
      </c>
      <c r="U2416" s="4"/>
      <c r="V2416" s="4"/>
      <c r="W2416" s="4"/>
    </row>
    <row r="2417" spans="1:23" customFormat="1">
      <c r="A2417" s="10"/>
      <c r="B2417" s="4"/>
      <c r="C2417" s="4"/>
      <c r="D2417" s="4"/>
      <c r="E2417" s="4"/>
      <c r="F2417" s="152" t="s">
        <v>660</v>
      </c>
      <c r="G2417" s="4" t="s">
        <v>661</v>
      </c>
      <c r="H2417" s="4"/>
      <c r="I2417" s="196">
        <v>-2660</v>
      </c>
      <c r="J2417" s="196">
        <v>-1.9</v>
      </c>
      <c r="K2417" s="196">
        <v>1400</v>
      </c>
      <c r="L2417" s="454" t="s">
        <v>994</v>
      </c>
      <c r="M2417" s="4" t="s">
        <v>780</v>
      </c>
      <c r="N2417" s="133" t="s">
        <v>1407</v>
      </c>
      <c r="O2417" s="4" t="s">
        <v>1908</v>
      </c>
      <c r="P2417" s="4" t="s">
        <v>892</v>
      </c>
      <c r="Q2417" s="4" t="s">
        <v>1909</v>
      </c>
      <c r="R2417" s="4" t="s">
        <v>1456</v>
      </c>
      <c r="S2417" s="4" t="s">
        <v>1910</v>
      </c>
      <c r="T2417" s="4" t="s">
        <v>786</v>
      </c>
      <c r="U2417" s="4"/>
      <c r="V2417" s="4"/>
      <c r="W2417" s="4"/>
    </row>
    <row r="2418" spans="1:23" customFormat="1">
      <c r="A2418" s="10"/>
      <c r="B2418" s="4"/>
      <c r="C2418" s="4"/>
      <c r="D2418" s="4"/>
      <c r="E2418" s="4"/>
      <c r="F2418" s="152" t="s">
        <v>660</v>
      </c>
      <c r="G2418" s="4" t="s">
        <v>661</v>
      </c>
      <c r="H2418" s="4"/>
      <c r="I2418" s="196">
        <v>-802200</v>
      </c>
      <c r="J2418" s="196">
        <v>-573</v>
      </c>
      <c r="K2418" s="196">
        <v>1400</v>
      </c>
      <c r="L2418" s="454" t="s">
        <v>994</v>
      </c>
      <c r="M2418" s="4" t="s">
        <v>780</v>
      </c>
      <c r="N2418" s="133" t="s">
        <v>1407</v>
      </c>
      <c r="O2418" s="4" t="s">
        <v>1908</v>
      </c>
      <c r="P2418" s="4" t="s">
        <v>892</v>
      </c>
      <c r="Q2418" s="4" t="s">
        <v>1909</v>
      </c>
      <c r="R2418" s="4" t="s">
        <v>1911</v>
      </c>
      <c r="S2418" s="4" t="s">
        <v>1910</v>
      </c>
      <c r="T2418" s="4" t="s">
        <v>786</v>
      </c>
      <c r="U2418" s="4"/>
      <c r="V2418" s="4"/>
      <c r="W2418" s="4"/>
    </row>
    <row r="2419" spans="1:23" customFormat="1">
      <c r="A2419" s="10"/>
      <c r="B2419" s="4"/>
      <c r="C2419" s="4"/>
      <c r="D2419" s="4"/>
      <c r="E2419" s="4"/>
      <c r="F2419" s="152" t="s">
        <v>660</v>
      </c>
      <c r="G2419" s="4" t="s">
        <v>661</v>
      </c>
      <c r="H2419" s="4"/>
      <c r="I2419" s="196">
        <v>-3500000</v>
      </c>
      <c r="J2419" s="196">
        <v>-2500</v>
      </c>
      <c r="K2419" s="196">
        <v>1400</v>
      </c>
      <c r="L2419" s="454" t="s">
        <v>1937</v>
      </c>
      <c r="M2419" s="4" t="s">
        <v>780</v>
      </c>
      <c r="N2419" s="133" t="s">
        <v>1407</v>
      </c>
      <c r="O2419" s="4" t="s">
        <v>1938</v>
      </c>
      <c r="P2419" s="4" t="s">
        <v>892</v>
      </c>
      <c r="Q2419" s="4" t="s">
        <v>1939</v>
      </c>
      <c r="R2419" s="4"/>
      <c r="S2419" s="4" t="s">
        <v>1940</v>
      </c>
      <c r="T2419" s="4" t="s">
        <v>786</v>
      </c>
      <c r="U2419" s="4"/>
      <c r="V2419" s="4"/>
      <c r="W2419" s="4"/>
    </row>
    <row r="2420" spans="1:23" customFormat="1">
      <c r="A2420" s="10"/>
      <c r="B2420" s="4"/>
      <c r="C2420" s="4"/>
      <c r="D2420" s="4"/>
      <c r="E2420" s="4"/>
      <c r="F2420" s="152" t="s">
        <v>660</v>
      </c>
      <c r="G2420" s="4" t="s">
        <v>661</v>
      </c>
      <c r="H2420" s="4"/>
      <c r="I2420" s="196">
        <v>-2660</v>
      </c>
      <c r="J2420" s="196">
        <v>-1.9</v>
      </c>
      <c r="K2420" s="196">
        <v>1400</v>
      </c>
      <c r="L2420" s="454" t="s">
        <v>1017</v>
      </c>
      <c r="M2420" s="4" t="s">
        <v>780</v>
      </c>
      <c r="N2420" s="133" t="s">
        <v>1407</v>
      </c>
      <c r="O2420" s="4" t="s">
        <v>1992</v>
      </c>
      <c r="P2420" s="4" t="s">
        <v>892</v>
      </c>
      <c r="Q2420" s="4" t="s">
        <v>1993</v>
      </c>
      <c r="R2420" s="4" t="s">
        <v>1515</v>
      </c>
      <c r="S2420" s="4" t="s">
        <v>1994</v>
      </c>
      <c r="T2420" s="4" t="s">
        <v>786</v>
      </c>
      <c r="U2420" s="4"/>
      <c r="V2420" s="4"/>
      <c r="W2420" s="4"/>
    </row>
    <row r="2421" spans="1:23" customFormat="1">
      <c r="A2421" s="10"/>
      <c r="B2421" s="4"/>
      <c r="C2421" s="4"/>
      <c r="D2421" s="4"/>
      <c r="E2421" s="4"/>
      <c r="F2421" s="152" t="s">
        <v>660</v>
      </c>
      <c r="G2421" s="4" t="s">
        <v>661</v>
      </c>
      <c r="H2421" s="4"/>
      <c r="I2421" s="196">
        <v>-1260000</v>
      </c>
      <c r="J2421" s="196">
        <v>-900</v>
      </c>
      <c r="K2421" s="196">
        <v>1400</v>
      </c>
      <c r="L2421" s="454" t="s">
        <v>1017</v>
      </c>
      <c r="M2421" s="4" t="s">
        <v>780</v>
      </c>
      <c r="N2421" s="133" t="s">
        <v>1407</v>
      </c>
      <c r="O2421" s="4" t="s">
        <v>1992</v>
      </c>
      <c r="P2421" s="4" t="s">
        <v>892</v>
      </c>
      <c r="Q2421" s="4" t="s">
        <v>1993</v>
      </c>
      <c r="R2421" s="4" t="s">
        <v>1996</v>
      </c>
      <c r="S2421" s="4" t="s">
        <v>1994</v>
      </c>
      <c r="T2421" s="4" t="s">
        <v>786</v>
      </c>
      <c r="U2421" s="4"/>
      <c r="V2421" s="4"/>
      <c r="W2421" s="4"/>
    </row>
    <row r="2422" spans="1:23" customFormat="1">
      <c r="A2422" s="10"/>
      <c r="B2422" s="4"/>
      <c r="C2422" s="4"/>
      <c r="D2422" s="4"/>
      <c r="E2422" s="4"/>
      <c r="F2422" s="152" t="s">
        <v>660</v>
      </c>
      <c r="G2422" s="4" t="s">
        <v>661</v>
      </c>
      <c r="H2422" s="4"/>
      <c r="I2422" s="196">
        <v>-350000</v>
      </c>
      <c r="J2422" s="196">
        <v>-250</v>
      </c>
      <c r="K2422" s="196">
        <v>1400</v>
      </c>
      <c r="L2422" s="454" t="s">
        <v>1017</v>
      </c>
      <c r="M2422" s="4" t="s">
        <v>780</v>
      </c>
      <c r="N2422" s="133" t="s">
        <v>1407</v>
      </c>
      <c r="O2422" s="4" t="s">
        <v>1992</v>
      </c>
      <c r="P2422" s="4" t="s">
        <v>892</v>
      </c>
      <c r="Q2422" s="4" t="s">
        <v>1993</v>
      </c>
      <c r="R2422" s="4" t="s">
        <v>1997</v>
      </c>
      <c r="S2422" s="4" t="s">
        <v>1994</v>
      </c>
      <c r="T2422" s="4" t="s">
        <v>786</v>
      </c>
      <c r="U2422" s="4"/>
      <c r="V2422" s="4"/>
      <c r="W2422" s="4"/>
    </row>
    <row r="2423" spans="1:23" customFormat="1">
      <c r="A2423" s="10"/>
      <c r="B2423" s="4"/>
      <c r="C2423" s="4"/>
      <c r="D2423" s="4"/>
      <c r="E2423" s="4"/>
      <c r="F2423" s="152" t="s">
        <v>660</v>
      </c>
      <c r="G2423" s="4" t="s">
        <v>661</v>
      </c>
      <c r="H2423" s="4"/>
      <c r="I2423" s="196">
        <v>-2660</v>
      </c>
      <c r="J2423" s="196">
        <v>-1.9</v>
      </c>
      <c r="K2423" s="196">
        <v>1400</v>
      </c>
      <c r="L2423" s="454" t="s">
        <v>1017</v>
      </c>
      <c r="M2423" s="4" t="s">
        <v>780</v>
      </c>
      <c r="N2423" s="133" t="s">
        <v>1407</v>
      </c>
      <c r="O2423" s="4" t="s">
        <v>1992</v>
      </c>
      <c r="P2423" s="4" t="s">
        <v>892</v>
      </c>
      <c r="Q2423" s="4" t="s">
        <v>1993</v>
      </c>
      <c r="R2423" s="4" t="s">
        <v>1515</v>
      </c>
      <c r="S2423" s="4" t="s">
        <v>1994</v>
      </c>
      <c r="T2423" s="4" t="s">
        <v>786</v>
      </c>
      <c r="U2423" s="4"/>
      <c r="V2423" s="4"/>
      <c r="W2423" s="4"/>
    </row>
    <row r="2424" spans="1:23" customFormat="1">
      <c r="A2424" s="10"/>
      <c r="B2424" s="4"/>
      <c r="C2424" s="4"/>
      <c r="D2424" s="4"/>
      <c r="E2424" s="4"/>
      <c r="F2424" s="152" t="s">
        <v>660</v>
      </c>
      <c r="G2424" s="4" t="s">
        <v>661</v>
      </c>
      <c r="H2424" s="4"/>
      <c r="I2424" s="196">
        <v>-1330000</v>
      </c>
      <c r="J2424" s="196">
        <v>-950</v>
      </c>
      <c r="K2424" s="196">
        <v>1400</v>
      </c>
      <c r="L2424" s="454" t="s">
        <v>1017</v>
      </c>
      <c r="M2424" s="4" t="s">
        <v>780</v>
      </c>
      <c r="N2424" s="133" t="s">
        <v>1407</v>
      </c>
      <c r="O2424" s="4" t="s">
        <v>1992</v>
      </c>
      <c r="P2424" s="4" t="s">
        <v>892</v>
      </c>
      <c r="Q2424" s="4" t="s">
        <v>1993</v>
      </c>
      <c r="R2424" s="4" t="s">
        <v>1998</v>
      </c>
      <c r="S2424" s="4" t="s">
        <v>1994</v>
      </c>
      <c r="T2424" s="4" t="s">
        <v>786</v>
      </c>
      <c r="U2424" s="4"/>
      <c r="V2424" s="4"/>
      <c r="W2424" s="4"/>
    </row>
    <row r="2425" spans="1:23" customFormat="1">
      <c r="A2425" s="10"/>
      <c r="B2425" s="4"/>
      <c r="C2425" s="4"/>
      <c r="D2425" s="4"/>
      <c r="E2425" s="4"/>
      <c r="F2425" s="152" t="s">
        <v>660</v>
      </c>
      <c r="G2425" s="4" t="s">
        <v>661</v>
      </c>
      <c r="H2425" s="4"/>
      <c r="I2425" s="196">
        <v>-2660</v>
      </c>
      <c r="J2425" s="196">
        <v>-1.9</v>
      </c>
      <c r="K2425" s="196">
        <v>1400</v>
      </c>
      <c r="L2425" s="454" t="s">
        <v>1017</v>
      </c>
      <c r="M2425" s="4" t="s">
        <v>780</v>
      </c>
      <c r="N2425" s="133" t="s">
        <v>1407</v>
      </c>
      <c r="O2425" s="4" t="s">
        <v>1992</v>
      </c>
      <c r="P2425" s="4" t="s">
        <v>892</v>
      </c>
      <c r="Q2425" s="4" t="s">
        <v>1993</v>
      </c>
      <c r="R2425" s="4" t="s">
        <v>1515</v>
      </c>
      <c r="S2425" s="4" t="s">
        <v>1994</v>
      </c>
      <c r="T2425" s="4" t="s">
        <v>786</v>
      </c>
      <c r="U2425" s="4"/>
      <c r="V2425" s="4"/>
      <c r="W2425" s="4"/>
    </row>
    <row r="2426" spans="1:23" customFormat="1">
      <c r="A2426" s="10"/>
      <c r="B2426" s="4"/>
      <c r="C2426" s="4"/>
      <c r="D2426" s="4"/>
      <c r="E2426" s="4"/>
      <c r="F2426" s="152" t="s">
        <v>660</v>
      </c>
      <c r="G2426" s="4" t="s">
        <v>661</v>
      </c>
      <c r="H2426" s="4"/>
      <c r="I2426" s="196">
        <v>-1330000</v>
      </c>
      <c r="J2426" s="196">
        <v>-950</v>
      </c>
      <c r="K2426" s="196">
        <v>1400</v>
      </c>
      <c r="L2426" s="454" t="s">
        <v>1017</v>
      </c>
      <c r="M2426" s="4" t="s">
        <v>780</v>
      </c>
      <c r="N2426" s="133" t="s">
        <v>1407</v>
      </c>
      <c r="O2426" s="4" t="s">
        <v>1992</v>
      </c>
      <c r="P2426" s="4" t="s">
        <v>892</v>
      </c>
      <c r="Q2426" s="4" t="s">
        <v>1993</v>
      </c>
      <c r="R2426" s="4" t="s">
        <v>2000</v>
      </c>
      <c r="S2426" s="4" t="s">
        <v>1994</v>
      </c>
      <c r="T2426" s="4" t="s">
        <v>786</v>
      </c>
      <c r="U2426" s="4"/>
      <c r="V2426" s="4"/>
      <c r="W2426" s="4"/>
    </row>
    <row r="2427" spans="1:23" customFormat="1">
      <c r="A2427" s="10"/>
      <c r="B2427" s="4"/>
      <c r="C2427" s="4"/>
      <c r="D2427" s="4"/>
      <c r="E2427" s="4"/>
      <c r="F2427" s="152" t="s">
        <v>660</v>
      </c>
      <c r="G2427" s="4" t="s">
        <v>661</v>
      </c>
      <c r="H2427" s="4"/>
      <c r="I2427" s="196">
        <v>-2660</v>
      </c>
      <c r="J2427" s="196">
        <v>-1.9</v>
      </c>
      <c r="K2427" s="196">
        <v>1400</v>
      </c>
      <c r="L2427" s="454" t="s">
        <v>1017</v>
      </c>
      <c r="M2427" s="4" t="s">
        <v>780</v>
      </c>
      <c r="N2427" s="133" t="s">
        <v>1407</v>
      </c>
      <c r="O2427" s="4" t="s">
        <v>1992</v>
      </c>
      <c r="P2427" s="4" t="s">
        <v>892</v>
      </c>
      <c r="Q2427" s="4" t="s">
        <v>1993</v>
      </c>
      <c r="R2427" s="4" t="s">
        <v>2001</v>
      </c>
      <c r="S2427" s="4" t="s">
        <v>1994</v>
      </c>
      <c r="T2427" s="4" t="s">
        <v>786</v>
      </c>
      <c r="U2427" s="4"/>
      <c r="V2427" s="4"/>
      <c r="W2427" s="4"/>
    </row>
    <row r="2428" spans="1:23" customFormat="1">
      <c r="A2428" s="10"/>
      <c r="B2428" s="4"/>
      <c r="C2428" s="4"/>
      <c r="D2428" s="4"/>
      <c r="E2428" s="4"/>
      <c r="F2428" s="152" t="s">
        <v>660</v>
      </c>
      <c r="G2428" s="4" t="s">
        <v>661</v>
      </c>
      <c r="H2428" s="4"/>
      <c r="I2428" s="196">
        <v>-1470000</v>
      </c>
      <c r="J2428" s="196">
        <v>-1050</v>
      </c>
      <c r="K2428" s="196">
        <v>1400</v>
      </c>
      <c r="L2428" s="454" t="s">
        <v>1017</v>
      </c>
      <c r="M2428" s="4" t="s">
        <v>780</v>
      </c>
      <c r="N2428" s="133" t="s">
        <v>1407</v>
      </c>
      <c r="O2428" s="4" t="s">
        <v>1992</v>
      </c>
      <c r="P2428" s="4" t="s">
        <v>892</v>
      </c>
      <c r="Q2428" s="4" t="s">
        <v>1993</v>
      </c>
      <c r="R2428" s="4" t="s">
        <v>1995</v>
      </c>
      <c r="S2428" s="4" t="s">
        <v>1994</v>
      </c>
      <c r="T2428" s="4" t="s">
        <v>786</v>
      </c>
      <c r="U2428" s="4"/>
      <c r="V2428" s="4"/>
      <c r="W2428" s="4"/>
    </row>
    <row r="2429" spans="1:23" customFormat="1">
      <c r="A2429" s="10"/>
      <c r="B2429" s="4"/>
      <c r="C2429" s="4"/>
      <c r="D2429" s="4"/>
      <c r="E2429" s="4"/>
      <c r="F2429" s="152" t="s">
        <v>660</v>
      </c>
      <c r="G2429" s="4" t="s">
        <v>661</v>
      </c>
      <c r="H2429" s="4"/>
      <c r="I2429" s="196">
        <v>-2660</v>
      </c>
      <c r="J2429" s="196">
        <v>-1.9</v>
      </c>
      <c r="K2429" s="196">
        <v>1400</v>
      </c>
      <c r="L2429" s="454" t="s">
        <v>1017</v>
      </c>
      <c r="M2429" s="4" t="s">
        <v>780</v>
      </c>
      <c r="N2429" s="133" t="s">
        <v>1407</v>
      </c>
      <c r="O2429" s="4" t="s">
        <v>1992</v>
      </c>
      <c r="P2429" s="4" t="s">
        <v>892</v>
      </c>
      <c r="Q2429" s="4" t="s">
        <v>1993</v>
      </c>
      <c r="R2429" s="4" t="s">
        <v>1515</v>
      </c>
      <c r="S2429" s="4" t="s">
        <v>1994</v>
      </c>
      <c r="T2429" s="4" t="s">
        <v>786</v>
      </c>
      <c r="U2429" s="4"/>
      <c r="V2429" s="4"/>
      <c r="W2429" s="4"/>
    </row>
    <row r="2430" spans="1:23" customFormat="1">
      <c r="A2430" s="10"/>
      <c r="B2430" s="4"/>
      <c r="C2430" s="4"/>
      <c r="D2430" s="4"/>
      <c r="E2430" s="4"/>
      <c r="F2430" s="152" t="s">
        <v>660</v>
      </c>
      <c r="G2430" s="4" t="s">
        <v>661</v>
      </c>
      <c r="H2430" s="4"/>
      <c r="I2430" s="196">
        <v>-85400</v>
      </c>
      <c r="J2430" s="196">
        <v>-61</v>
      </c>
      <c r="K2430" s="196">
        <v>1400</v>
      </c>
      <c r="L2430" s="454" t="s">
        <v>1017</v>
      </c>
      <c r="M2430" s="4" t="s">
        <v>780</v>
      </c>
      <c r="N2430" s="133" t="s">
        <v>1407</v>
      </c>
      <c r="O2430" s="4" t="s">
        <v>1992</v>
      </c>
      <c r="P2430" s="4" t="s">
        <v>892</v>
      </c>
      <c r="Q2430" s="4" t="s">
        <v>1993</v>
      </c>
      <c r="R2430" s="4" t="s">
        <v>1999</v>
      </c>
      <c r="S2430" s="4" t="s">
        <v>1994</v>
      </c>
      <c r="T2430" s="4" t="s">
        <v>786</v>
      </c>
      <c r="U2430" s="4"/>
      <c r="V2430" s="4"/>
      <c r="W2430" s="4"/>
    </row>
    <row r="2431" spans="1:23" customFormat="1">
      <c r="A2431" s="10"/>
      <c r="B2431" s="4"/>
      <c r="C2431" s="4"/>
      <c r="D2431" s="4"/>
      <c r="E2431" s="4"/>
      <c r="F2431" s="152" t="s">
        <v>660</v>
      </c>
      <c r="G2431" s="4" t="s">
        <v>661</v>
      </c>
      <c r="H2431" s="4"/>
      <c r="I2431" s="196">
        <v>-1470000</v>
      </c>
      <c r="J2431" s="196">
        <v>-1050</v>
      </c>
      <c r="K2431" s="196">
        <v>1400</v>
      </c>
      <c r="L2431" s="454" t="s">
        <v>1017</v>
      </c>
      <c r="M2431" s="4" t="s">
        <v>780</v>
      </c>
      <c r="N2431" s="133" t="s">
        <v>1407</v>
      </c>
      <c r="O2431" s="4" t="s">
        <v>1992</v>
      </c>
      <c r="P2431" s="4" t="s">
        <v>892</v>
      </c>
      <c r="Q2431" s="4" t="s">
        <v>1993</v>
      </c>
      <c r="R2431" s="4" t="s">
        <v>2005</v>
      </c>
      <c r="S2431" s="4" t="s">
        <v>1994</v>
      </c>
      <c r="T2431" s="4" t="s">
        <v>786</v>
      </c>
      <c r="U2431" s="4"/>
      <c r="V2431" s="4"/>
      <c r="W2431" s="4"/>
    </row>
    <row r="2432" spans="1:23" customFormat="1">
      <c r="A2432" s="10"/>
      <c r="B2432" s="4"/>
      <c r="C2432" s="4"/>
      <c r="D2432" s="4"/>
      <c r="E2432" s="4"/>
      <c r="F2432" s="152" t="s">
        <v>660</v>
      </c>
      <c r="G2432" s="4" t="s">
        <v>661</v>
      </c>
      <c r="H2432" s="4"/>
      <c r="I2432" s="196">
        <v>-44800</v>
      </c>
      <c r="J2432" s="196">
        <v>-32</v>
      </c>
      <c r="K2432" s="196">
        <v>1400</v>
      </c>
      <c r="L2432" s="454" t="s">
        <v>1017</v>
      </c>
      <c r="M2432" s="4" t="s">
        <v>780</v>
      </c>
      <c r="N2432" s="133" t="s">
        <v>1407</v>
      </c>
      <c r="O2432" s="4" t="s">
        <v>1992</v>
      </c>
      <c r="P2432" s="4" t="s">
        <v>892</v>
      </c>
      <c r="Q2432" s="4" t="s">
        <v>1993</v>
      </c>
      <c r="R2432" s="4" t="s">
        <v>1474</v>
      </c>
      <c r="S2432" s="4" t="s">
        <v>1994</v>
      </c>
      <c r="T2432" s="4" t="s">
        <v>786</v>
      </c>
      <c r="U2432" s="4"/>
      <c r="V2432" s="4"/>
      <c r="W2432" s="4"/>
    </row>
    <row r="2433" spans="1:23" customFormat="1">
      <c r="A2433" s="10"/>
      <c r="B2433" s="4"/>
      <c r="C2433" s="4"/>
      <c r="D2433" s="4"/>
      <c r="E2433" s="4"/>
      <c r="F2433" s="152" t="s">
        <v>660</v>
      </c>
      <c r="G2433" s="4" t="s">
        <v>661</v>
      </c>
      <c r="H2433" s="4"/>
      <c r="I2433" s="196">
        <v>-490000</v>
      </c>
      <c r="J2433" s="196">
        <v>-350</v>
      </c>
      <c r="K2433" s="196">
        <v>1400</v>
      </c>
      <c r="L2433" s="454" t="s">
        <v>1017</v>
      </c>
      <c r="M2433" s="4" t="s">
        <v>780</v>
      </c>
      <c r="N2433" s="133" t="s">
        <v>1407</v>
      </c>
      <c r="O2433" s="4" t="s">
        <v>1992</v>
      </c>
      <c r="P2433" s="4" t="s">
        <v>892</v>
      </c>
      <c r="Q2433" s="4" t="s">
        <v>1993</v>
      </c>
      <c r="R2433" s="4" t="s">
        <v>2004</v>
      </c>
      <c r="S2433" s="4" t="s">
        <v>1994</v>
      </c>
      <c r="T2433" s="4" t="s">
        <v>786</v>
      </c>
      <c r="U2433" s="4"/>
      <c r="V2433" s="4"/>
      <c r="W2433" s="4"/>
    </row>
    <row r="2434" spans="1:23" customFormat="1">
      <c r="A2434" s="10"/>
      <c r="B2434" s="4"/>
      <c r="C2434" s="4"/>
      <c r="D2434" s="4"/>
      <c r="E2434" s="4"/>
      <c r="F2434" s="152" t="s">
        <v>660</v>
      </c>
      <c r="G2434" s="4" t="s">
        <v>661</v>
      </c>
      <c r="H2434" s="4"/>
      <c r="I2434" s="196">
        <v>-2660</v>
      </c>
      <c r="J2434" s="196">
        <v>-1.9</v>
      </c>
      <c r="K2434" s="196">
        <v>1400</v>
      </c>
      <c r="L2434" s="454" t="s">
        <v>1017</v>
      </c>
      <c r="M2434" s="4" t="s">
        <v>780</v>
      </c>
      <c r="N2434" s="133" t="s">
        <v>1407</v>
      </c>
      <c r="O2434" s="4" t="s">
        <v>1992</v>
      </c>
      <c r="P2434" s="4" t="s">
        <v>892</v>
      </c>
      <c r="Q2434" s="4" t="s">
        <v>1993</v>
      </c>
      <c r="R2434" s="4" t="s">
        <v>1515</v>
      </c>
      <c r="S2434" s="4" t="s">
        <v>1994</v>
      </c>
      <c r="T2434" s="4" t="s">
        <v>786</v>
      </c>
      <c r="U2434" s="4"/>
      <c r="V2434" s="4"/>
      <c r="W2434" s="4"/>
    </row>
    <row r="2435" spans="1:23" customFormat="1">
      <c r="A2435" s="10"/>
      <c r="B2435" s="4"/>
      <c r="C2435" s="4"/>
      <c r="D2435" s="4"/>
      <c r="E2435" s="4"/>
      <c r="F2435" s="152" t="s">
        <v>660</v>
      </c>
      <c r="G2435" s="4" t="s">
        <v>661</v>
      </c>
      <c r="H2435" s="4"/>
      <c r="I2435" s="196">
        <v>-1092000</v>
      </c>
      <c r="J2435" s="196">
        <v>-780</v>
      </c>
      <c r="K2435" s="196">
        <v>1400</v>
      </c>
      <c r="L2435" s="454" t="s">
        <v>1017</v>
      </c>
      <c r="M2435" s="4" t="s">
        <v>780</v>
      </c>
      <c r="N2435" s="133" t="s">
        <v>1407</v>
      </c>
      <c r="O2435" s="4" t="s">
        <v>1992</v>
      </c>
      <c r="P2435" s="4" t="s">
        <v>892</v>
      </c>
      <c r="Q2435" s="4" t="s">
        <v>1993</v>
      </c>
      <c r="R2435" s="4" t="s">
        <v>2002</v>
      </c>
      <c r="S2435" s="4" t="s">
        <v>1994</v>
      </c>
      <c r="T2435" s="4" t="s">
        <v>786</v>
      </c>
      <c r="U2435" s="4"/>
      <c r="V2435" s="4"/>
      <c r="W2435" s="4"/>
    </row>
    <row r="2436" spans="1:23" customFormat="1">
      <c r="A2436" s="10"/>
      <c r="B2436" s="4"/>
      <c r="C2436" s="4"/>
      <c r="D2436" s="4"/>
      <c r="E2436" s="4"/>
      <c r="F2436" s="152" t="s">
        <v>660</v>
      </c>
      <c r="G2436" s="4" t="s">
        <v>661</v>
      </c>
      <c r="H2436" s="4"/>
      <c r="I2436" s="196">
        <v>-2660</v>
      </c>
      <c r="J2436" s="196">
        <v>-1.9</v>
      </c>
      <c r="K2436" s="196">
        <v>1400</v>
      </c>
      <c r="L2436" s="454" t="s">
        <v>1017</v>
      </c>
      <c r="M2436" s="4" t="s">
        <v>780</v>
      </c>
      <c r="N2436" s="133" t="s">
        <v>1407</v>
      </c>
      <c r="O2436" s="4" t="s">
        <v>1992</v>
      </c>
      <c r="P2436" s="4" t="s">
        <v>892</v>
      </c>
      <c r="Q2436" s="4" t="s">
        <v>1993</v>
      </c>
      <c r="R2436" s="4" t="s">
        <v>1515</v>
      </c>
      <c r="S2436" s="4" t="s">
        <v>1994</v>
      </c>
      <c r="T2436" s="4" t="s">
        <v>786</v>
      </c>
      <c r="U2436" s="4"/>
      <c r="V2436" s="4"/>
      <c r="W2436" s="4"/>
    </row>
    <row r="2437" spans="1:23" customFormat="1">
      <c r="A2437" s="10"/>
      <c r="B2437" s="4"/>
      <c r="C2437" s="4"/>
      <c r="D2437" s="4"/>
      <c r="E2437" s="4"/>
      <c r="F2437" s="152" t="s">
        <v>660</v>
      </c>
      <c r="G2437" s="4" t="s">
        <v>661</v>
      </c>
      <c r="H2437" s="4"/>
      <c r="I2437" s="196">
        <v>-560000</v>
      </c>
      <c r="J2437" s="196">
        <v>-400</v>
      </c>
      <c r="K2437" s="196">
        <v>1400</v>
      </c>
      <c r="L2437" s="454" t="s">
        <v>1017</v>
      </c>
      <c r="M2437" s="4" t="s">
        <v>780</v>
      </c>
      <c r="N2437" s="133" t="s">
        <v>1407</v>
      </c>
      <c r="O2437" s="4" t="s">
        <v>1992</v>
      </c>
      <c r="P2437" s="4" t="s">
        <v>892</v>
      </c>
      <c r="Q2437" s="4" t="s">
        <v>1993</v>
      </c>
      <c r="R2437" s="4" t="s">
        <v>2003</v>
      </c>
      <c r="S2437" s="4" t="s">
        <v>1994</v>
      </c>
      <c r="T2437" s="4" t="s">
        <v>786</v>
      </c>
      <c r="U2437" s="4"/>
      <c r="V2437" s="4"/>
      <c r="W2437" s="4"/>
    </row>
    <row r="2438" spans="1:23" customFormat="1">
      <c r="A2438" s="10"/>
      <c r="B2438" s="4"/>
      <c r="C2438" s="4"/>
      <c r="D2438" s="4"/>
      <c r="E2438" s="4"/>
      <c r="F2438" s="152" t="s">
        <v>660</v>
      </c>
      <c r="G2438" s="4" t="s">
        <v>661</v>
      </c>
      <c r="H2438" s="4"/>
      <c r="I2438" s="196">
        <v>-2660</v>
      </c>
      <c r="J2438" s="196">
        <v>-1.9</v>
      </c>
      <c r="K2438" s="196">
        <v>1400</v>
      </c>
      <c r="L2438" s="454" t="s">
        <v>1017</v>
      </c>
      <c r="M2438" s="4" t="s">
        <v>780</v>
      </c>
      <c r="N2438" s="133" t="s">
        <v>1407</v>
      </c>
      <c r="O2438" s="4" t="s">
        <v>1992</v>
      </c>
      <c r="P2438" s="4" t="s">
        <v>892</v>
      </c>
      <c r="Q2438" s="4" t="s">
        <v>1993</v>
      </c>
      <c r="R2438" s="4" t="s">
        <v>1515</v>
      </c>
      <c r="S2438" s="4" t="s">
        <v>1994</v>
      </c>
      <c r="T2438" s="4" t="s">
        <v>786</v>
      </c>
      <c r="U2438" s="4"/>
      <c r="V2438" s="4"/>
      <c r="W2438" s="4"/>
    </row>
    <row r="2439" spans="1:23" customFormat="1">
      <c r="A2439" s="10"/>
      <c r="B2439" s="4"/>
      <c r="C2439" s="4"/>
      <c r="D2439" s="4"/>
      <c r="E2439" s="4"/>
      <c r="F2439" s="152" t="s">
        <v>660</v>
      </c>
      <c r="G2439" s="4" t="s">
        <v>661</v>
      </c>
      <c r="H2439" s="4"/>
      <c r="I2439" s="196">
        <v>-21900000</v>
      </c>
      <c r="J2439" s="196">
        <v>-15000</v>
      </c>
      <c r="K2439" s="196">
        <v>1460</v>
      </c>
      <c r="L2439" s="454" t="s">
        <v>2104</v>
      </c>
      <c r="M2439" s="4" t="s">
        <v>780</v>
      </c>
      <c r="N2439" s="133" t="s">
        <v>1407</v>
      </c>
      <c r="O2439" s="4" t="s">
        <v>2105</v>
      </c>
      <c r="P2439" s="4" t="s">
        <v>892</v>
      </c>
      <c r="Q2439" s="4" t="s">
        <v>2106</v>
      </c>
      <c r="R2439" s="4"/>
      <c r="S2439" s="4" t="s">
        <v>2107</v>
      </c>
      <c r="T2439" s="4" t="s">
        <v>786</v>
      </c>
      <c r="U2439" s="4"/>
      <c r="V2439" s="4"/>
      <c r="W2439" s="4"/>
    </row>
    <row r="2440" spans="1:23" customFormat="1">
      <c r="A2440" s="10"/>
      <c r="B2440" s="4"/>
      <c r="C2440" s="4"/>
      <c r="D2440" s="4"/>
      <c r="E2440" s="4"/>
      <c r="F2440" s="152" t="s">
        <v>660</v>
      </c>
      <c r="G2440" s="4" t="s">
        <v>661</v>
      </c>
      <c r="H2440" s="4"/>
      <c r="I2440" s="196">
        <v>-187902</v>
      </c>
      <c r="J2440" s="196">
        <v>-128.69999999999999</v>
      </c>
      <c r="K2440" s="196">
        <v>1460</v>
      </c>
      <c r="L2440" s="454" t="s">
        <v>1041</v>
      </c>
      <c r="M2440" s="4" t="s">
        <v>780</v>
      </c>
      <c r="N2440" s="133" t="s">
        <v>1407</v>
      </c>
      <c r="O2440" s="4" t="s">
        <v>2108</v>
      </c>
      <c r="P2440" s="4" t="s">
        <v>892</v>
      </c>
      <c r="Q2440" s="4" t="s">
        <v>2109</v>
      </c>
      <c r="R2440" s="4"/>
      <c r="S2440" s="4" t="s">
        <v>2110</v>
      </c>
      <c r="T2440" s="4" t="s">
        <v>786</v>
      </c>
      <c r="U2440" s="4"/>
      <c r="V2440" s="4"/>
      <c r="W2440" s="4"/>
    </row>
    <row r="2441" spans="1:23" customFormat="1">
      <c r="A2441" s="10"/>
      <c r="B2441" s="4"/>
      <c r="C2441" s="4"/>
      <c r="D2441" s="4"/>
      <c r="E2441" s="4"/>
      <c r="F2441" s="152" t="s">
        <v>660</v>
      </c>
      <c r="G2441" s="4" t="s">
        <v>661</v>
      </c>
      <c r="H2441" s="4"/>
      <c r="I2441" s="196">
        <v>-150321.60000000001</v>
      </c>
      <c r="J2441" s="196">
        <v>-102.96</v>
      </c>
      <c r="K2441" s="196">
        <v>1460</v>
      </c>
      <c r="L2441" s="454" t="s">
        <v>1041</v>
      </c>
      <c r="M2441" s="4" t="s">
        <v>780</v>
      </c>
      <c r="N2441" s="133" t="s">
        <v>1407</v>
      </c>
      <c r="O2441" s="4" t="s">
        <v>2111</v>
      </c>
      <c r="P2441" s="4" t="s">
        <v>892</v>
      </c>
      <c r="Q2441" s="4" t="s">
        <v>2112</v>
      </c>
      <c r="R2441" s="4"/>
      <c r="S2441" s="4" t="s">
        <v>2113</v>
      </c>
      <c r="T2441" s="4" t="s">
        <v>786</v>
      </c>
      <c r="U2441" s="4"/>
      <c r="V2441" s="4"/>
      <c r="W2441" s="4"/>
    </row>
    <row r="2442" spans="1:23" customFormat="1">
      <c r="A2442" s="10"/>
      <c r="B2442" s="4"/>
      <c r="C2442" s="4"/>
      <c r="D2442" s="4"/>
      <c r="E2442" s="4"/>
      <c r="F2442" s="152" t="s">
        <v>660</v>
      </c>
      <c r="G2442" s="4" t="s">
        <v>661</v>
      </c>
      <c r="H2442" s="4"/>
      <c r="I2442" s="196">
        <v>-1853981</v>
      </c>
      <c r="J2442" s="196">
        <v>-1269.8499999999999</v>
      </c>
      <c r="K2442" s="196">
        <v>1460</v>
      </c>
      <c r="L2442" s="454" t="s">
        <v>1041</v>
      </c>
      <c r="M2442" s="4" t="s">
        <v>780</v>
      </c>
      <c r="N2442" s="133" t="s">
        <v>1407</v>
      </c>
      <c r="O2442" s="4" t="s">
        <v>2114</v>
      </c>
      <c r="P2442" s="4" t="s">
        <v>892</v>
      </c>
      <c r="Q2442" s="4" t="s">
        <v>2115</v>
      </c>
      <c r="R2442" s="4"/>
      <c r="S2442" s="4" t="s">
        <v>2116</v>
      </c>
      <c r="T2442" s="4" t="s">
        <v>786</v>
      </c>
      <c r="U2442" s="4"/>
      <c r="V2442" s="4"/>
      <c r="W2442" s="4"/>
    </row>
    <row r="2443" spans="1:23" customFormat="1">
      <c r="A2443" s="10"/>
      <c r="B2443" s="4"/>
      <c r="C2443" s="4"/>
      <c r="D2443" s="4"/>
      <c r="E2443" s="4"/>
      <c r="F2443" s="152" t="s">
        <v>660</v>
      </c>
      <c r="G2443" s="4" t="s">
        <v>661</v>
      </c>
      <c r="H2443" s="4"/>
      <c r="I2443" s="196">
        <v>-2605121.7999999998</v>
      </c>
      <c r="J2443" s="196">
        <v>-1784.33</v>
      </c>
      <c r="K2443" s="196">
        <v>1460</v>
      </c>
      <c r="L2443" s="454" t="s">
        <v>1041</v>
      </c>
      <c r="M2443" s="4" t="s">
        <v>780</v>
      </c>
      <c r="N2443" s="133" t="s">
        <v>1407</v>
      </c>
      <c r="O2443" s="4" t="s">
        <v>2117</v>
      </c>
      <c r="P2443" s="4" t="s">
        <v>892</v>
      </c>
      <c r="Q2443" s="4" t="s">
        <v>2118</v>
      </c>
      <c r="R2443" s="4"/>
      <c r="S2443" s="4" t="s">
        <v>2119</v>
      </c>
      <c r="T2443" s="4" t="s">
        <v>786</v>
      </c>
      <c r="U2443" s="4"/>
      <c r="V2443" s="4"/>
      <c r="W2443" s="4"/>
    </row>
    <row r="2444" spans="1:23" customFormat="1">
      <c r="A2444" s="10"/>
      <c r="B2444" s="4"/>
      <c r="C2444" s="4"/>
      <c r="D2444" s="4"/>
      <c r="E2444" s="4"/>
      <c r="F2444" s="152" t="s">
        <v>660</v>
      </c>
      <c r="G2444" s="4" t="s">
        <v>661</v>
      </c>
      <c r="H2444" s="4"/>
      <c r="I2444" s="196">
        <v>9750000</v>
      </c>
      <c r="J2444" s="196">
        <v>6500</v>
      </c>
      <c r="K2444" s="196">
        <v>1500</v>
      </c>
      <c r="L2444" s="454" t="s">
        <v>2120</v>
      </c>
      <c r="M2444" s="4" t="s">
        <v>780</v>
      </c>
      <c r="N2444" s="133" t="s">
        <v>1407</v>
      </c>
      <c r="O2444" s="4" t="s">
        <v>2121</v>
      </c>
      <c r="P2444" s="4" t="s">
        <v>892</v>
      </c>
      <c r="Q2444" s="4" t="s">
        <v>2122</v>
      </c>
      <c r="R2444" s="4"/>
      <c r="S2444" s="4" t="s">
        <v>2123</v>
      </c>
      <c r="T2444" s="4" t="s">
        <v>786</v>
      </c>
      <c r="U2444" s="4"/>
      <c r="V2444" s="4"/>
      <c r="W2444" s="4"/>
    </row>
    <row r="2445" spans="1:23" customFormat="1">
      <c r="A2445" s="10"/>
      <c r="B2445" s="4"/>
      <c r="C2445" s="4"/>
      <c r="D2445" s="4"/>
      <c r="E2445" s="4"/>
      <c r="F2445" s="152" t="s">
        <v>660</v>
      </c>
      <c r="G2445" s="4" t="s">
        <v>661</v>
      </c>
      <c r="H2445" s="4"/>
      <c r="I2445" s="196">
        <v>29163500</v>
      </c>
      <c r="J2445" s="196">
        <v>19975</v>
      </c>
      <c r="K2445" s="196">
        <v>1460</v>
      </c>
      <c r="L2445" s="454" t="s">
        <v>1049</v>
      </c>
      <c r="M2445" s="4" t="s">
        <v>780</v>
      </c>
      <c r="N2445" s="133" t="s">
        <v>1407</v>
      </c>
      <c r="O2445" s="4" t="s">
        <v>2124</v>
      </c>
      <c r="P2445" s="4" t="s">
        <v>892</v>
      </c>
      <c r="Q2445" s="4" t="s">
        <v>2125</v>
      </c>
      <c r="R2445" s="4" t="s">
        <v>1434</v>
      </c>
      <c r="S2445" s="4" t="s">
        <v>2126</v>
      </c>
      <c r="T2445" s="4" t="s">
        <v>786</v>
      </c>
      <c r="U2445" s="4"/>
      <c r="V2445" s="4"/>
      <c r="W2445" s="4"/>
    </row>
    <row r="2446" spans="1:23" customFormat="1">
      <c r="A2446" s="10"/>
      <c r="B2446" s="4"/>
      <c r="C2446" s="4"/>
      <c r="D2446" s="4"/>
      <c r="E2446" s="4"/>
      <c r="F2446" s="152" t="s">
        <v>660</v>
      </c>
      <c r="G2446" s="4" t="s">
        <v>661</v>
      </c>
      <c r="H2446" s="4"/>
      <c r="I2446" s="196">
        <v>-1617450</v>
      </c>
      <c r="J2446" s="196">
        <v>-1078.3</v>
      </c>
      <c r="K2446" s="196">
        <v>1500</v>
      </c>
      <c r="L2446" s="454" t="s">
        <v>1045</v>
      </c>
      <c r="M2446" s="4" t="s">
        <v>780</v>
      </c>
      <c r="N2446" s="133" t="s">
        <v>1407</v>
      </c>
      <c r="O2446" s="4" t="s">
        <v>2214</v>
      </c>
      <c r="P2446" s="4" t="s">
        <v>892</v>
      </c>
      <c r="Q2446" s="4" t="s">
        <v>2215</v>
      </c>
      <c r="R2446" s="4" t="s">
        <v>2216</v>
      </c>
      <c r="S2446" s="4" t="s">
        <v>2217</v>
      </c>
      <c r="T2446" s="4" t="s">
        <v>786</v>
      </c>
      <c r="U2446" s="4"/>
      <c r="V2446" s="4"/>
      <c r="W2446" s="4"/>
    </row>
    <row r="2447" spans="1:23" customFormat="1">
      <c r="A2447" s="10"/>
      <c r="B2447" s="4"/>
      <c r="C2447" s="4"/>
      <c r="D2447" s="4"/>
      <c r="E2447" s="4"/>
      <c r="F2447" s="152" t="s">
        <v>660</v>
      </c>
      <c r="G2447" s="4" t="s">
        <v>661</v>
      </c>
      <c r="H2447" s="4"/>
      <c r="I2447" s="196">
        <v>-1372500</v>
      </c>
      <c r="J2447" s="196">
        <v>-915</v>
      </c>
      <c r="K2447" s="196">
        <v>1500</v>
      </c>
      <c r="L2447" s="454" t="s">
        <v>1045</v>
      </c>
      <c r="M2447" s="4" t="s">
        <v>780</v>
      </c>
      <c r="N2447" s="133" t="s">
        <v>1407</v>
      </c>
      <c r="O2447" s="4" t="s">
        <v>2214</v>
      </c>
      <c r="P2447" s="4" t="s">
        <v>892</v>
      </c>
      <c r="Q2447" s="4" t="s">
        <v>2215</v>
      </c>
      <c r="R2447" s="4" t="s">
        <v>2219</v>
      </c>
      <c r="S2447" s="4" t="s">
        <v>2217</v>
      </c>
      <c r="T2447" s="4" t="s">
        <v>786</v>
      </c>
      <c r="U2447" s="4"/>
      <c r="V2447" s="4"/>
      <c r="W2447" s="4"/>
    </row>
    <row r="2448" spans="1:23" customFormat="1">
      <c r="A2448" s="10"/>
      <c r="B2448" s="4"/>
      <c r="C2448" s="4"/>
      <c r="D2448" s="4"/>
      <c r="E2448" s="4"/>
      <c r="F2448" s="152" t="s">
        <v>660</v>
      </c>
      <c r="G2448" s="4" t="s">
        <v>661</v>
      </c>
      <c r="H2448" s="4"/>
      <c r="I2448" s="196">
        <v>-5122500</v>
      </c>
      <c r="J2448" s="196">
        <v>-3415</v>
      </c>
      <c r="K2448" s="196">
        <v>1500</v>
      </c>
      <c r="L2448" s="454" t="s">
        <v>1045</v>
      </c>
      <c r="M2448" s="4" t="s">
        <v>780</v>
      </c>
      <c r="N2448" s="133" t="s">
        <v>1407</v>
      </c>
      <c r="O2448" s="4" t="s">
        <v>2214</v>
      </c>
      <c r="P2448" s="4" t="s">
        <v>892</v>
      </c>
      <c r="Q2448" s="4" t="s">
        <v>2215</v>
      </c>
      <c r="R2448" s="4" t="s">
        <v>2218</v>
      </c>
      <c r="S2448" s="4" t="s">
        <v>2217</v>
      </c>
      <c r="T2448" s="4" t="s">
        <v>786</v>
      </c>
      <c r="U2448" s="4"/>
      <c r="V2448" s="4"/>
      <c r="W2448" s="4"/>
    </row>
    <row r="2449" spans="1:23" customFormat="1">
      <c r="A2449" s="10"/>
      <c r="B2449" s="4"/>
      <c r="C2449" s="4"/>
      <c r="D2449" s="4"/>
      <c r="E2449" s="4"/>
      <c r="F2449" s="152" t="s">
        <v>660</v>
      </c>
      <c r="G2449" s="4" t="s">
        <v>661</v>
      </c>
      <c r="H2449" s="4"/>
      <c r="I2449" s="196">
        <v>-1483316.2</v>
      </c>
      <c r="J2449" s="196">
        <v>-1015.97</v>
      </c>
      <c r="K2449" s="196">
        <v>1460</v>
      </c>
      <c r="L2449" s="454" t="s">
        <v>1049</v>
      </c>
      <c r="M2449" s="4" t="s">
        <v>780</v>
      </c>
      <c r="N2449" s="133" t="s">
        <v>1407</v>
      </c>
      <c r="O2449" s="4" t="s">
        <v>2220</v>
      </c>
      <c r="P2449" s="4" t="s">
        <v>892</v>
      </c>
      <c r="Q2449" s="4" t="s">
        <v>2221</v>
      </c>
      <c r="R2449" s="4" t="s">
        <v>2227</v>
      </c>
      <c r="S2449" s="4" t="s">
        <v>2223</v>
      </c>
      <c r="T2449" s="4" t="s">
        <v>786</v>
      </c>
      <c r="U2449" s="4"/>
      <c r="V2449" s="4"/>
      <c r="W2449" s="4"/>
    </row>
    <row r="2450" spans="1:23" customFormat="1">
      <c r="A2450" s="10"/>
      <c r="B2450" s="4"/>
      <c r="C2450" s="4"/>
      <c r="D2450" s="4"/>
      <c r="E2450" s="4"/>
      <c r="F2450" s="152" t="s">
        <v>660</v>
      </c>
      <c r="G2450" s="4" t="s">
        <v>661</v>
      </c>
      <c r="H2450" s="4"/>
      <c r="I2450" s="196">
        <v>-48880.800000000003</v>
      </c>
      <c r="J2450" s="196">
        <v>-33.479999999999997</v>
      </c>
      <c r="K2450" s="196">
        <v>1460</v>
      </c>
      <c r="L2450" s="454" t="s">
        <v>1049</v>
      </c>
      <c r="M2450" s="4" t="s">
        <v>780</v>
      </c>
      <c r="N2450" s="133" t="s">
        <v>1407</v>
      </c>
      <c r="O2450" s="4" t="s">
        <v>2220</v>
      </c>
      <c r="P2450" s="4" t="s">
        <v>892</v>
      </c>
      <c r="Q2450" s="4" t="s">
        <v>2221</v>
      </c>
      <c r="R2450" s="4" t="s">
        <v>2230</v>
      </c>
      <c r="S2450" s="4" t="s">
        <v>2223</v>
      </c>
      <c r="T2450" s="4" t="s">
        <v>786</v>
      </c>
      <c r="U2450" s="4"/>
      <c r="V2450" s="4"/>
      <c r="W2450" s="4"/>
    </row>
    <row r="2451" spans="1:23" customFormat="1">
      <c r="A2451" s="10"/>
      <c r="B2451" s="4"/>
      <c r="C2451" s="4"/>
      <c r="D2451" s="4"/>
      <c r="E2451" s="4"/>
      <c r="F2451" s="152" t="s">
        <v>660</v>
      </c>
      <c r="G2451" s="4" t="s">
        <v>661</v>
      </c>
      <c r="H2451" s="4"/>
      <c r="I2451" s="196">
        <v>-2774</v>
      </c>
      <c r="J2451" s="196">
        <v>-1.9</v>
      </c>
      <c r="K2451" s="196">
        <v>1460</v>
      </c>
      <c r="L2451" s="454" t="s">
        <v>1049</v>
      </c>
      <c r="M2451" s="4" t="s">
        <v>780</v>
      </c>
      <c r="N2451" s="133" t="s">
        <v>1407</v>
      </c>
      <c r="O2451" s="4" t="s">
        <v>2220</v>
      </c>
      <c r="P2451" s="4" t="s">
        <v>892</v>
      </c>
      <c r="Q2451" s="4" t="s">
        <v>2221</v>
      </c>
      <c r="R2451" s="4" t="s">
        <v>1515</v>
      </c>
      <c r="S2451" s="4" t="s">
        <v>2223</v>
      </c>
      <c r="T2451" s="4" t="s">
        <v>786</v>
      </c>
      <c r="U2451" s="4"/>
      <c r="V2451" s="4"/>
      <c r="W2451" s="4"/>
    </row>
    <row r="2452" spans="1:23" customFormat="1">
      <c r="A2452" s="10"/>
      <c r="B2452" s="4"/>
      <c r="C2452" s="4"/>
      <c r="D2452" s="4"/>
      <c r="E2452" s="4"/>
      <c r="F2452" s="152" t="s">
        <v>660</v>
      </c>
      <c r="G2452" s="4" t="s">
        <v>661</v>
      </c>
      <c r="H2452" s="4"/>
      <c r="I2452" s="196">
        <v>-2482000</v>
      </c>
      <c r="J2452" s="196">
        <v>-1700</v>
      </c>
      <c r="K2452" s="196">
        <v>1460</v>
      </c>
      <c r="L2452" s="454" t="s">
        <v>1049</v>
      </c>
      <c r="M2452" s="4" t="s">
        <v>780</v>
      </c>
      <c r="N2452" s="133" t="s">
        <v>1407</v>
      </c>
      <c r="O2452" s="4" t="s">
        <v>2220</v>
      </c>
      <c r="P2452" s="4" t="s">
        <v>892</v>
      </c>
      <c r="Q2452" s="4" t="s">
        <v>2221</v>
      </c>
      <c r="R2452" s="4" t="s">
        <v>2222</v>
      </c>
      <c r="S2452" s="4" t="s">
        <v>2223</v>
      </c>
      <c r="T2452" s="4" t="s">
        <v>786</v>
      </c>
      <c r="U2452" s="4"/>
      <c r="V2452" s="4"/>
      <c r="W2452" s="4"/>
    </row>
    <row r="2453" spans="1:23" customFormat="1">
      <c r="A2453" s="10"/>
      <c r="B2453" s="4"/>
      <c r="C2453" s="4"/>
      <c r="D2453" s="4"/>
      <c r="E2453" s="4"/>
      <c r="F2453" s="152" t="s">
        <v>660</v>
      </c>
      <c r="G2453" s="4" t="s">
        <v>661</v>
      </c>
      <c r="H2453" s="4"/>
      <c r="I2453" s="196">
        <v>-292000</v>
      </c>
      <c r="J2453" s="196">
        <v>-200</v>
      </c>
      <c r="K2453" s="196">
        <v>1460</v>
      </c>
      <c r="L2453" s="454" t="s">
        <v>1049</v>
      </c>
      <c r="M2453" s="4" t="s">
        <v>780</v>
      </c>
      <c r="N2453" s="133" t="s">
        <v>1407</v>
      </c>
      <c r="O2453" s="4" t="s">
        <v>2220</v>
      </c>
      <c r="P2453" s="4" t="s">
        <v>892</v>
      </c>
      <c r="Q2453" s="4" t="s">
        <v>2221</v>
      </c>
      <c r="R2453" s="4" t="s">
        <v>2231</v>
      </c>
      <c r="S2453" s="4" t="s">
        <v>2223</v>
      </c>
      <c r="T2453" s="4" t="s">
        <v>786</v>
      </c>
      <c r="U2453" s="4"/>
      <c r="V2453" s="4"/>
      <c r="W2453" s="4"/>
    </row>
    <row r="2454" spans="1:23" customFormat="1">
      <c r="A2454" s="10"/>
      <c r="B2454" s="4"/>
      <c r="C2454" s="4"/>
      <c r="D2454" s="4"/>
      <c r="E2454" s="4"/>
      <c r="F2454" s="152" t="s">
        <v>660</v>
      </c>
      <c r="G2454" s="4" t="s">
        <v>661</v>
      </c>
      <c r="H2454" s="4"/>
      <c r="I2454" s="196">
        <v>-1460000</v>
      </c>
      <c r="J2454" s="196">
        <v>-1000</v>
      </c>
      <c r="K2454" s="196">
        <v>1460</v>
      </c>
      <c r="L2454" s="454" t="s">
        <v>1049</v>
      </c>
      <c r="M2454" s="4" t="s">
        <v>780</v>
      </c>
      <c r="N2454" s="133" t="s">
        <v>1407</v>
      </c>
      <c r="O2454" s="4" t="s">
        <v>2220</v>
      </c>
      <c r="P2454" s="4" t="s">
        <v>892</v>
      </c>
      <c r="Q2454" s="4" t="s">
        <v>2221</v>
      </c>
      <c r="R2454" s="4" t="s">
        <v>2224</v>
      </c>
      <c r="S2454" s="4" t="s">
        <v>2223</v>
      </c>
      <c r="T2454" s="4" t="s">
        <v>786</v>
      </c>
      <c r="U2454" s="4"/>
      <c r="V2454" s="4"/>
      <c r="W2454" s="4"/>
    </row>
    <row r="2455" spans="1:23" customFormat="1">
      <c r="A2455" s="10"/>
      <c r="B2455" s="4"/>
      <c r="C2455" s="4"/>
      <c r="D2455" s="4"/>
      <c r="E2455" s="4"/>
      <c r="F2455" s="152" t="s">
        <v>660</v>
      </c>
      <c r="G2455" s="4" t="s">
        <v>661</v>
      </c>
      <c r="H2455" s="4"/>
      <c r="I2455" s="196">
        <v>-43741.599999999999</v>
      </c>
      <c r="J2455" s="196">
        <v>-29.96</v>
      </c>
      <c r="K2455" s="196">
        <v>1460</v>
      </c>
      <c r="L2455" s="454" t="s">
        <v>1049</v>
      </c>
      <c r="M2455" s="4" t="s">
        <v>780</v>
      </c>
      <c r="N2455" s="133" t="s">
        <v>1407</v>
      </c>
      <c r="O2455" s="4" t="s">
        <v>2220</v>
      </c>
      <c r="P2455" s="4" t="s">
        <v>892</v>
      </c>
      <c r="Q2455" s="4" t="s">
        <v>2221</v>
      </c>
      <c r="R2455" s="4" t="s">
        <v>2228</v>
      </c>
      <c r="S2455" s="4" t="s">
        <v>2223</v>
      </c>
      <c r="T2455" s="4" t="s">
        <v>786</v>
      </c>
      <c r="U2455" s="4"/>
      <c r="V2455" s="4"/>
      <c r="W2455" s="4"/>
    </row>
    <row r="2456" spans="1:23" customFormat="1">
      <c r="A2456" s="10"/>
      <c r="B2456" s="4"/>
      <c r="C2456" s="4"/>
      <c r="D2456" s="4"/>
      <c r="E2456" s="4"/>
      <c r="F2456" s="152" t="s">
        <v>660</v>
      </c>
      <c r="G2456" s="4" t="s">
        <v>661</v>
      </c>
      <c r="H2456" s="4"/>
      <c r="I2456" s="196">
        <v>-356240</v>
      </c>
      <c r="J2456" s="196">
        <v>-244</v>
      </c>
      <c r="K2456" s="196">
        <v>1460</v>
      </c>
      <c r="L2456" s="454" t="s">
        <v>1049</v>
      </c>
      <c r="M2456" s="4" t="s">
        <v>780</v>
      </c>
      <c r="N2456" s="133" t="s">
        <v>1407</v>
      </c>
      <c r="O2456" s="4" t="s">
        <v>2220</v>
      </c>
      <c r="P2456" s="4" t="s">
        <v>892</v>
      </c>
      <c r="Q2456" s="4" t="s">
        <v>2221</v>
      </c>
      <c r="R2456" s="4" t="s">
        <v>2232</v>
      </c>
      <c r="S2456" s="4" t="s">
        <v>2223</v>
      </c>
      <c r="T2456" s="4" t="s">
        <v>786</v>
      </c>
      <c r="U2456" s="4"/>
      <c r="V2456" s="4"/>
      <c r="W2456" s="4"/>
    </row>
    <row r="2457" spans="1:23" customFormat="1">
      <c r="A2457" s="10"/>
      <c r="B2457" s="4"/>
      <c r="C2457" s="4"/>
      <c r="D2457" s="4"/>
      <c r="E2457" s="4"/>
      <c r="F2457" s="152" t="s">
        <v>660</v>
      </c>
      <c r="G2457" s="4" t="s">
        <v>661</v>
      </c>
      <c r="H2457" s="4"/>
      <c r="I2457" s="196">
        <v>-2766700</v>
      </c>
      <c r="J2457" s="196">
        <v>-1895</v>
      </c>
      <c r="K2457" s="196">
        <v>1460</v>
      </c>
      <c r="L2457" s="454" t="s">
        <v>1049</v>
      </c>
      <c r="M2457" s="4" t="s">
        <v>780</v>
      </c>
      <c r="N2457" s="133" t="s">
        <v>1407</v>
      </c>
      <c r="O2457" s="4" t="s">
        <v>2220</v>
      </c>
      <c r="P2457" s="4" t="s">
        <v>892</v>
      </c>
      <c r="Q2457" s="4" t="s">
        <v>2221</v>
      </c>
      <c r="R2457" s="4" t="s">
        <v>2229</v>
      </c>
      <c r="S2457" s="4" t="s">
        <v>2223</v>
      </c>
      <c r="T2457" s="4" t="s">
        <v>786</v>
      </c>
      <c r="U2457" s="4"/>
      <c r="V2457" s="4"/>
      <c r="W2457" s="4"/>
    </row>
    <row r="2458" spans="1:23" customFormat="1">
      <c r="A2458" s="10"/>
      <c r="B2458" s="4"/>
      <c r="C2458" s="4"/>
      <c r="D2458" s="4"/>
      <c r="E2458" s="4"/>
      <c r="F2458" s="152" t="s">
        <v>660</v>
      </c>
      <c r="G2458" s="4" t="s">
        <v>661</v>
      </c>
      <c r="H2458" s="4"/>
      <c r="I2458" s="196">
        <v>7100000</v>
      </c>
      <c r="J2458" s="196">
        <v>5000</v>
      </c>
      <c r="K2458" s="196">
        <v>1420</v>
      </c>
      <c r="L2458" s="454" t="s">
        <v>1081</v>
      </c>
      <c r="M2458" s="4" t="s">
        <v>780</v>
      </c>
      <c r="N2458" s="133" t="s">
        <v>1407</v>
      </c>
      <c r="O2458" s="4" t="s">
        <v>2316</v>
      </c>
      <c r="P2458" s="4" t="s">
        <v>892</v>
      </c>
      <c r="Q2458" s="4" t="s">
        <v>2317</v>
      </c>
      <c r="R2458" s="4" t="s">
        <v>2318</v>
      </c>
      <c r="S2458" s="4" t="s">
        <v>2319</v>
      </c>
      <c r="T2458" s="4" t="s">
        <v>786</v>
      </c>
      <c r="U2458" s="4"/>
      <c r="V2458" s="4"/>
      <c r="W2458" s="4"/>
    </row>
    <row r="2459" spans="1:23" customFormat="1">
      <c r="A2459" s="10"/>
      <c r="B2459" s="4"/>
      <c r="C2459" s="4"/>
      <c r="D2459" s="4"/>
      <c r="E2459" s="4"/>
      <c r="F2459" s="152" t="s">
        <v>660</v>
      </c>
      <c r="G2459" s="4" t="s">
        <v>661</v>
      </c>
      <c r="H2459" s="4"/>
      <c r="I2459" s="196">
        <v>3550000</v>
      </c>
      <c r="J2459" s="196">
        <v>2500</v>
      </c>
      <c r="K2459" s="196">
        <v>1420</v>
      </c>
      <c r="L2459" s="454" t="s">
        <v>1088</v>
      </c>
      <c r="M2459" s="4" t="s">
        <v>780</v>
      </c>
      <c r="N2459" s="133" t="s">
        <v>1407</v>
      </c>
      <c r="O2459" s="4" t="s">
        <v>2324</v>
      </c>
      <c r="P2459" s="4" t="s">
        <v>892</v>
      </c>
      <c r="Q2459" s="4" t="s">
        <v>2325</v>
      </c>
      <c r="R2459" s="4" t="s">
        <v>2326</v>
      </c>
      <c r="S2459" s="4" t="s">
        <v>2327</v>
      </c>
      <c r="T2459" s="4" t="s">
        <v>786</v>
      </c>
      <c r="U2459" s="4"/>
      <c r="V2459" s="4"/>
      <c r="W2459" s="4"/>
    </row>
    <row r="2460" spans="1:23" customFormat="1">
      <c r="A2460" s="10"/>
      <c r="B2460" s="4"/>
      <c r="C2460" s="4"/>
      <c r="D2460" s="4"/>
      <c r="E2460" s="4"/>
      <c r="F2460" s="152" t="s">
        <v>660</v>
      </c>
      <c r="G2460" s="4" t="s">
        <v>661</v>
      </c>
      <c r="H2460" s="4"/>
      <c r="I2460" s="196">
        <v>4586.6000000000004</v>
      </c>
      <c r="J2460" s="196">
        <v>3.23</v>
      </c>
      <c r="K2460" s="196">
        <v>1420</v>
      </c>
      <c r="L2460" s="454" t="s">
        <v>1093</v>
      </c>
      <c r="M2460" s="4" t="s">
        <v>780</v>
      </c>
      <c r="N2460" s="133" t="s">
        <v>1407</v>
      </c>
      <c r="O2460" s="4" t="s">
        <v>2328</v>
      </c>
      <c r="P2460" s="4" t="s">
        <v>892</v>
      </c>
      <c r="Q2460" s="4" t="s">
        <v>2329</v>
      </c>
      <c r="R2460" s="4" t="s">
        <v>2330</v>
      </c>
      <c r="S2460" s="4" t="s">
        <v>2331</v>
      </c>
      <c r="T2460" s="4" t="s">
        <v>786</v>
      </c>
      <c r="U2460" s="4"/>
      <c r="V2460" s="4"/>
      <c r="W2460" s="4"/>
    </row>
    <row r="2461" spans="1:23" customFormat="1">
      <c r="A2461" s="10"/>
      <c r="B2461" s="4"/>
      <c r="C2461" s="4"/>
      <c r="D2461" s="4"/>
      <c r="E2461" s="4"/>
      <c r="F2461" s="152" t="s">
        <v>660</v>
      </c>
      <c r="G2461" s="4" t="s">
        <v>661</v>
      </c>
      <c r="H2461" s="4"/>
      <c r="I2461" s="196">
        <v>296780</v>
      </c>
      <c r="J2461" s="196">
        <v>209</v>
      </c>
      <c r="K2461" s="196">
        <v>1420</v>
      </c>
      <c r="L2461" s="454" t="s">
        <v>2332</v>
      </c>
      <c r="M2461" s="4" t="s">
        <v>780</v>
      </c>
      <c r="N2461" s="133" t="s">
        <v>1407</v>
      </c>
      <c r="O2461" s="4" t="s">
        <v>2333</v>
      </c>
      <c r="P2461" s="4" t="s">
        <v>892</v>
      </c>
      <c r="Q2461" s="4" t="s">
        <v>2334</v>
      </c>
      <c r="R2461" s="4" t="s">
        <v>2335</v>
      </c>
      <c r="S2461" s="4" t="s">
        <v>2336</v>
      </c>
      <c r="T2461" s="4" t="s">
        <v>786</v>
      </c>
      <c r="U2461" s="4"/>
      <c r="V2461" s="4"/>
      <c r="W2461" s="4"/>
    </row>
    <row r="2462" spans="1:23" customFormat="1">
      <c r="A2462" s="10"/>
      <c r="B2462" s="4"/>
      <c r="C2462" s="4"/>
      <c r="D2462" s="4"/>
      <c r="E2462" s="4"/>
      <c r="F2462" s="152" t="s">
        <v>660</v>
      </c>
      <c r="G2462" s="4" t="s">
        <v>661</v>
      </c>
      <c r="H2462" s="4"/>
      <c r="I2462" s="196">
        <v>681600</v>
      </c>
      <c r="J2462" s="196">
        <v>480</v>
      </c>
      <c r="K2462" s="196">
        <v>1420</v>
      </c>
      <c r="L2462" s="454" t="s">
        <v>2332</v>
      </c>
      <c r="M2462" s="4" t="s">
        <v>780</v>
      </c>
      <c r="N2462" s="133" t="s">
        <v>1407</v>
      </c>
      <c r="O2462" s="4" t="s">
        <v>2333</v>
      </c>
      <c r="P2462" s="4" t="s">
        <v>892</v>
      </c>
      <c r="Q2462" s="4" t="s">
        <v>2334</v>
      </c>
      <c r="R2462" s="4" t="s">
        <v>2337</v>
      </c>
      <c r="S2462" s="4" t="s">
        <v>2336</v>
      </c>
      <c r="T2462" s="4" t="s">
        <v>786</v>
      </c>
      <c r="U2462" s="4"/>
      <c r="V2462" s="4"/>
      <c r="W2462" s="4"/>
    </row>
    <row r="2463" spans="1:23" customFormat="1">
      <c r="A2463" s="10"/>
      <c r="B2463" s="4"/>
      <c r="C2463" s="4"/>
      <c r="D2463" s="4"/>
      <c r="E2463" s="4"/>
      <c r="F2463" s="152" t="s">
        <v>660</v>
      </c>
      <c r="G2463" s="4" t="s">
        <v>661</v>
      </c>
      <c r="H2463" s="4"/>
      <c r="I2463" s="196">
        <v>-828371.2</v>
      </c>
      <c r="J2463" s="196">
        <v>-583.36</v>
      </c>
      <c r="K2463" s="196">
        <v>1420</v>
      </c>
      <c r="L2463" s="454" t="s">
        <v>1081</v>
      </c>
      <c r="M2463" s="4" t="s">
        <v>780</v>
      </c>
      <c r="N2463" s="133" t="s">
        <v>1407</v>
      </c>
      <c r="O2463" s="4" t="s">
        <v>2407</v>
      </c>
      <c r="P2463" s="4" t="s">
        <v>892</v>
      </c>
      <c r="Q2463" s="4" t="s">
        <v>2408</v>
      </c>
      <c r="R2463" s="4" t="s">
        <v>2410</v>
      </c>
      <c r="S2463" s="4" t="s">
        <v>2409</v>
      </c>
      <c r="T2463" s="4" t="s">
        <v>786</v>
      </c>
      <c r="U2463" s="4"/>
      <c r="V2463" s="4"/>
      <c r="W2463" s="4"/>
    </row>
    <row r="2464" spans="1:23" customFormat="1">
      <c r="A2464" s="10"/>
      <c r="B2464" s="4"/>
      <c r="C2464" s="4"/>
      <c r="D2464" s="4"/>
      <c r="E2464" s="4"/>
      <c r="F2464" s="152" t="s">
        <v>660</v>
      </c>
      <c r="G2464" s="4" t="s">
        <v>661</v>
      </c>
      <c r="H2464" s="4"/>
      <c r="I2464" s="196">
        <v>-1491000</v>
      </c>
      <c r="J2464" s="196">
        <v>-1050</v>
      </c>
      <c r="K2464" s="196">
        <v>1420</v>
      </c>
      <c r="L2464" s="454" t="s">
        <v>1081</v>
      </c>
      <c r="M2464" s="4" t="s">
        <v>780</v>
      </c>
      <c r="N2464" s="133" t="s">
        <v>1407</v>
      </c>
      <c r="O2464" s="4" t="s">
        <v>2407</v>
      </c>
      <c r="P2464" s="4" t="s">
        <v>892</v>
      </c>
      <c r="Q2464" s="4" t="s">
        <v>2408</v>
      </c>
      <c r="R2464" s="4" t="s">
        <v>2411</v>
      </c>
      <c r="S2464" s="4" t="s">
        <v>2409</v>
      </c>
      <c r="T2464" s="4" t="s">
        <v>786</v>
      </c>
      <c r="U2464" s="4"/>
      <c r="V2464" s="4"/>
      <c r="W2464" s="4"/>
    </row>
    <row r="2465" spans="1:23" customFormat="1">
      <c r="A2465" s="10"/>
      <c r="B2465" s="4"/>
      <c r="C2465" s="4"/>
      <c r="D2465" s="4"/>
      <c r="E2465" s="4"/>
      <c r="F2465" s="152" t="s">
        <v>660</v>
      </c>
      <c r="G2465" s="4" t="s">
        <v>661</v>
      </c>
      <c r="H2465" s="4"/>
      <c r="I2465" s="196">
        <v>-2698</v>
      </c>
      <c r="J2465" s="196">
        <v>-1.9</v>
      </c>
      <c r="K2465" s="196">
        <v>1420</v>
      </c>
      <c r="L2465" s="454" t="s">
        <v>1081</v>
      </c>
      <c r="M2465" s="4" t="s">
        <v>780</v>
      </c>
      <c r="N2465" s="133" t="s">
        <v>1407</v>
      </c>
      <c r="O2465" s="4" t="s">
        <v>2407</v>
      </c>
      <c r="P2465" s="4" t="s">
        <v>892</v>
      </c>
      <c r="Q2465" s="4" t="s">
        <v>2408</v>
      </c>
      <c r="R2465" s="4" t="s">
        <v>2001</v>
      </c>
      <c r="S2465" s="4" t="s">
        <v>2409</v>
      </c>
      <c r="T2465" s="4" t="s">
        <v>786</v>
      </c>
      <c r="U2465" s="4"/>
      <c r="V2465" s="4"/>
      <c r="W2465" s="4"/>
    </row>
    <row r="2466" spans="1:23" customFormat="1">
      <c r="A2466" s="10"/>
      <c r="B2466" s="4"/>
      <c r="C2466" s="4"/>
      <c r="D2466" s="4"/>
      <c r="E2466" s="4"/>
      <c r="F2466" s="152" t="s">
        <v>660</v>
      </c>
      <c r="G2466" s="4" t="s">
        <v>661</v>
      </c>
      <c r="H2466" s="4"/>
      <c r="I2466" s="196">
        <v>-2698</v>
      </c>
      <c r="J2466" s="196">
        <v>-1.9</v>
      </c>
      <c r="K2466" s="196">
        <v>1420</v>
      </c>
      <c r="L2466" s="454" t="s">
        <v>1081</v>
      </c>
      <c r="M2466" s="4" t="s">
        <v>780</v>
      </c>
      <c r="N2466" s="133" t="s">
        <v>1407</v>
      </c>
      <c r="O2466" s="4" t="s">
        <v>2407</v>
      </c>
      <c r="P2466" s="4" t="s">
        <v>892</v>
      </c>
      <c r="Q2466" s="4" t="s">
        <v>2408</v>
      </c>
      <c r="R2466" s="4" t="s">
        <v>1456</v>
      </c>
      <c r="S2466" s="4" t="s">
        <v>2409</v>
      </c>
      <c r="T2466" s="4" t="s">
        <v>786</v>
      </c>
      <c r="U2466" s="4"/>
      <c r="V2466" s="4"/>
      <c r="W2466" s="4"/>
    </row>
    <row r="2467" spans="1:23" customFormat="1">
      <c r="A2467" s="10"/>
      <c r="B2467" s="4"/>
      <c r="C2467" s="4"/>
      <c r="D2467" s="4"/>
      <c r="E2467" s="4"/>
      <c r="F2467" s="152" t="s">
        <v>660</v>
      </c>
      <c r="G2467" s="4" t="s">
        <v>661</v>
      </c>
      <c r="H2467" s="4"/>
      <c r="I2467" s="196">
        <v>-812907.4</v>
      </c>
      <c r="J2467" s="196">
        <v>-572.47</v>
      </c>
      <c r="K2467" s="196">
        <v>1420</v>
      </c>
      <c r="L2467" s="454" t="s">
        <v>1081</v>
      </c>
      <c r="M2467" s="4" t="s">
        <v>780</v>
      </c>
      <c r="N2467" s="133" t="s">
        <v>1407</v>
      </c>
      <c r="O2467" s="4" t="s">
        <v>2407</v>
      </c>
      <c r="P2467" s="4" t="s">
        <v>892</v>
      </c>
      <c r="Q2467" s="4" t="s">
        <v>2408</v>
      </c>
      <c r="R2467" s="4" t="s">
        <v>2412</v>
      </c>
      <c r="S2467" s="4" t="s">
        <v>2409</v>
      </c>
      <c r="T2467" s="4" t="s">
        <v>786</v>
      </c>
      <c r="U2467" s="4"/>
      <c r="V2467" s="4"/>
      <c r="W2467" s="4"/>
    </row>
    <row r="2468" spans="1:23" customFormat="1">
      <c r="A2468" s="10"/>
      <c r="B2468" s="4"/>
      <c r="C2468" s="4"/>
      <c r="D2468" s="4"/>
      <c r="E2468" s="4"/>
      <c r="F2468" s="152" t="s">
        <v>660</v>
      </c>
      <c r="G2468" s="4" t="s">
        <v>661</v>
      </c>
      <c r="H2468" s="4"/>
      <c r="I2468" s="196">
        <v>-812907.4</v>
      </c>
      <c r="J2468" s="196">
        <v>-572.47</v>
      </c>
      <c r="K2468" s="196">
        <v>1420</v>
      </c>
      <c r="L2468" s="454" t="s">
        <v>1081</v>
      </c>
      <c r="M2468" s="4" t="s">
        <v>780</v>
      </c>
      <c r="N2468" s="133" t="s">
        <v>1407</v>
      </c>
      <c r="O2468" s="4" t="s">
        <v>2407</v>
      </c>
      <c r="P2468" s="4" t="s">
        <v>892</v>
      </c>
      <c r="Q2468" s="4" t="s">
        <v>2408</v>
      </c>
      <c r="R2468" s="4" t="s">
        <v>2413</v>
      </c>
      <c r="S2468" s="4" t="s">
        <v>2409</v>
      </c>
      <c r="T2468" s="4" t="s">
        <v>786</v>
      </c>
      <c r="U2468" s="4"/>
      <c r="V2468" s="4"/>
      <c r="W2468" s="4"/>
    </row>
    <row r="2469" spans="1:23" customFormat="1">
      <c r="A2469" s="10"/>
      <c r="B2469" s="4"/>
      <c r="C2469" s="4"/>
      <c r="D2469" s="4"/>
      <c r="E2469" s="4"/>
      <c r="F2469" s="152" t="s">
        <v>660</v>
      </c>
      <c r="G2469" s="4" t="s">
        <v>661</v>
      </c>
      <c r="H2469" s="4"/>
      <c r="I2469" s="196">
        <v>-2698</v>
      </c>
      <c r="J2469" s="196">
        <v>-1.9</v>
      </c>
      <c r="K2469" s="196">
        <v>1420</v>
      </c>
      <c r="L2469" s="454" t="s">
        <v>1081</v>
      </c>
      <c r="M2469" s="4" t="s">
        <v>780</v>
      </c>
      <c r="N2469" s="133" t="s">
        <v>1407</v>
      </c>
      <c r="O2469" s="4" t="s">
        <v>2407</v>
      </c>
      <c r="P2469" s="4" t="s">
        <v>892</v>
      </c>
      <c r="Q2469" s="4" t="s">
        <v>2408</v>
      </c>
      <c r="R2469" s="4" t="s">
        <v>1456</v>
      </c>
      <c r="S2469" s="4" t="s">
        <v>2409</v>
      </c>
      <c r="T2469" s="4" t="s">
        <v>786</v>
      </c>
      <c r="U2469" s="4"/>
      <c r="V2469" s="4"/>
      <c r="W2469" s="4"/>
    </row>
    <row r="2470" spans="1:23" customFormat="1">
      <c r="A2470" s="10"/>
      <c r="B2470" s="4"/>
      <c r="C2470" s="4"/>
      <c r="D2470" s="4"/>
      <c r="E2470" s="4"/>
      <c r="F2470" s="152" t="s">
        <v>660</v>
      </c>
      <c r="G2470" s="4" t="s">
        <v>661</v>
      </c>
      <c r="H2470" s="4"/>
      <c r="I2470" s="196">
        <v>-495807.2</v>
      </c>
      <c r="J2470" s="196">
        <v>-349.16</v>
      </c>
      <c r="K2470" s="196">
        <v>1420</v>
      </c>
      <c r="L2470" s="454" t="s">
        <v>1081</v>
      </c>
      <c r="M2470" s="4" t="s">
        <v>780</v>
      </c>
      <c r="N2470" s="133" t="s">
        <v>1407</v>
      </c>
      <c r="O2470" s="4" t="s">
        <v>2407</v>
      </c>
      <c r="P2470" s="4" t="s">
        <v>892</v>
      </c>
      <c r="Q2470" s="4" t="s">
        <v>2408</v>
      </c>
      <c r="R2470" s="4" t="s">
        <v>2414</v>
      </c>
      <c r="S2470" s="4" t="s">
        <v>2409</v>
      </c>
      <c r="T2470" s="4" t="s">
        <v>786</v>
      </c>
      <c r="U2470" s="4"/>
      <c r="V2470" s="4"/>
      <c r="W2470" s="4"/>
    </row>
    <row r="2471" spans="1:23" customFormat="1">
      <c r="A2471" s="10"/>
      <c r="B2471" s="4"/>
      <c r="C2471" s="4"/>
      <c r="D2471" s="4"/>
      <c r="E2471" s="4"/>
      <c r="F2471" s="152" t="s">
        <v>660</v>
      </c>
      <c r="G2471" s="4" t="s">
        <v>661</v>
      </c>
      <c r="H2471" s="4"/>
      <c r="I2471" s="196">
        <v>-828371.2</v>
      </c>
      <c r="J2471" s="196">
        <v>-583.36</v>
      </c>
      <c r="K2471" s="196">
        <v>1420</v>
      </c>
      <c r="L2471" s="454" t="s">
        <v>1081</v>
      </c>
      <c r="M2471" s="4" t="s">
        <v>780</v>
      </c>
      <c r="N2471" s="133" t="s">
        <v>1407</v>
      </c>
      <c r="O2471" s="4" t="s">
        <v>2407</v>
      </c>
      <c r="P2471" s="4" t="s">
        <v>892</v>
      </c>
      <c r="Q2471" s="4" t="s">
        <v>2408</v>
      </c>
      <c r="R2471" s="4" t="s">
        <v>2415</v>
      </c>
      <c r="S2471" s="4" t="s">
        <v>2409</v>
      </c>
      <c r="T2471" s="4" t="s">
        <v>786</v>
      </c>
      <c r="U2471" s="4"/>
      <c r="V2471" s="4"/>
      <c r="W2471" s="4"/>
    </row>
    <row r="2472" spans="1:23" customFormat="1">
      <c r="A2472" s="10"/>
      <c r="B2472" s="4"/>
      <c r="C2472" s="4"/>
      <c r="D2472" s="4"/>
      <c r="E2472" s="4"/>
      <c r="F2472" s="152" t="s">
        <v>660</v>
      </c>
      <c r="G2472" s="4" t="s">
        <v>661</v>
      </c>
      <c r="H2472" s="4"/>
      <c r="I2472" s="196">
        <v>-810436.6</v>
      </c>
      <c r="J2472" s="196">
        <v>-570.73</v>
      </c>
      <c r="K2472" s="196">
        <v>1420</v>
      </c>
      <c r="L2472" s="454" t="s">
        <v>1081</v>
      </c>
      <c r="M2472" s="4" t="s">
        <v>780</v>
      </c>
      <c r="N2472" s="133" t="s">
        <v>1407</v>
      </c>
      <c r="O2472" s="4" t="s">
        <v>2407</v>
      </c>
      <c r="P2472" s="4" t="s">
        <v>892</v>
      </c>
      <c r="Q2472" s="4" t="s">
        <v>2408</v>
      </c>
      <c r="R2472" s="4" t="s">
        <v>2416</v>
      </c>
      <c r="S2472" s="4" t="s">
        <v>2409</v>
      </c>
      <c r="T2472" s="4" t="s">
        <v>786</v>
      </c>
      <c r="U2472" s="4"/>
      <c r="V2472" s="4"/>
      <c r="W2472" s="4"/>
    </row>
    <row r="2473" spans="1:23" customFormat="1">
      <c r="A2473" s="10"/>
      <c r="B2473" s="4"/>
      <c r="C2473" s="4"/>
      <c r="D2473" s="4"/>
      <c r="E2473" s="4"/>
      <c r="F2473" s="152" t="s">
        <v>660</v>
      </c>
      <c r="G2473" s="4" t="s">
        <v>661</v>
      </c>
      <c r="H2473" s="4"/>
      <c r="I2473" s="196">
        <v>-2698</v>
      </c>
      <c r="J2473" s="196">
        <v>-1.9</v>
      </c>
      <c r="K2473" s="196">
        <v>1420</v>
      </c>
      <c r="L2473" s="454" t="s">
        <v>1081</v>
      </c>
      <c r="M2473" s="4" t="s">
        <v>780</v>
      </c>
      <c r="N2473" s="133" t="s">
        <v>1407</v>
      </c>
      <c r="O2473" s="4" t="s">
        <v>2407</v>
      </c>
      <c r="P2473" s="4" t="s">
        <v>892</v>
      </c>
      <c r="Q2473" s="4" t="s">
        <v>2408</v>
      </c>
      <c r="R2473" s="4" t="s">
        <v>1515</v>
      </c>
      <c r="S2473" s="4" t="s">
        <v>2409</v>
      </c>
      <c r="T2473" s="4" t="s">
        <v>786</v>
      </c>
      <c r="U2473" s="4"/>
      <c r="V2473" s="4"/>
      <c r="W2473" s="4"/>
    </row>
    <row r="2474" spans="1:23" customFormat="1">
      <c r="A2474" s="10"/>
      <c r="B2474" s="4"/>
      <c r="C2474" s="4"/>
      <c r="D2474" s="4"/>
      <c r="E2474" s="4"/>
      <c r="F2474" s="152" t="s">
        <v>660</v>
      </c>
      <c r="G2474" s="4" t="s">
        <v>661</v>
      </c>
      <c r="H2474" s="4"/>
      <c r="I2474" s="196">
        <v>-2698</v>
      </c>
      <c r="J2474" s="196">
        <v>-1.9</v>
      </c>
      <c r="K2474" s="196">
        <v>1420</v>
      </c>
      <c r="L2474" s="454" t="s">
        <v>1081</v>
      </c>
      <c r="M2474" s="4" t="s">
        <v>780</v>
      </c>
      <c r="N2474" s="133" t="s">
        <v>1407</v>
      </c>
      <c r="O2474" s="4" t="s">
        <v>2407</v>
      </c>
      <c r="P2474" s="4" t="s">
        <v>892</v>
      </c>
      <c r="Q2474" s="4" t="s">
        <v>2408</v>
      </c>
      <c r="R2474" s="4" t="s">
        <v>1456</v>
      </c>
      <c r="S2474" s="4" t="s">
        <v>2409</v>
      </c>
      <c r="T2474" s="4" t="s">
        <v>786</v>
      </c>
      <c r="U2474" s="4"/>
      <c r="V2474" s="4"/>
      <c r="W2474" s="4"/>
    </row>
    <row r="2475" spans="1:23" customFormat="1">
      <c r="A2475" s="10"/>
      <c r="B2475" s="4"/>
      <c r="C2475" s="4"/>
      <c r="D2475" s="4"/>
      <c r="E2475" s="4"/>
      <c r="F2475" s="152" t="s">
        <v>660</v>
      </c>
      <c r="G2475" s="4" t="s">
        <v>661</v>
      </c>
      <c r="H2475" s="4"/>
      <c r="I2475" s="196">
        <v>-45440</v>
      </c>
      <c r="J2475" s="196">
        <v>-32</v>
      </c>
      <c r="K2475" s="196">
        <v>1420</v>
      </c>
      <c r="L2475" s="454" t="s">
        <v>1081</v>
      </c>
      <c r="M2475" s="4" t="s">
        <v>780</v>
      </c>
      <c r="N2475" s="133" t="s">
        <v>1407</v>
      </c>
      <c r="O2475" s="4" t="s">
        <v>2407</v>
      </c>
      <c r="P2475" s="4" t="s">
        <v>892</v>
      </c>
      <c r="Q2475" s="4" t="s">
        <v>2408</v>
      </c>
      <c r="R2475" s="4" t="s">
        <v>1474</v>
      </c>
      <c r="S2475" s="4" t="s">
        <v>2409</v>
      </c>
      <c r="T2475" s="4" t="s">
        <v>786</v>
      </c>
      <c r="U2475" s="4"/>
      <c r="V2475" s="4"/>
      <c r="W2475" s="4"/>
    </row>
    <row r="2476" spans="1:23" customFormat="1">
      <c r="A2476" s="10"/>
      <c r="B2476" s="4"/>
      <c r="C2476" s="4"/>
      <c r="D2476" s="4"/>
      <c r="E2476" s="4"/>
      <c r="F2476" s="152" t="s">
        <v>660</v>
      </c>
      <c r="G2476" s="4" t="s">
        <v>661</v>
      </c>
      <c r="H2476" s="4"/>
      <c r="I2476" s="196">
        <v>-2698</v>
      </c>
      <c r="J2476" s="196">
        <v>-1.9</v>
      </c>
      <c r="K2476" s="196">
        <v>1420</v>
      </c>
      <c r="L2476" s="454" t="s">
        <v>1081</v>
      </c>
      <c r="M2476" s="4" t="s">
        <v>780</v>
      </c>
      <c r="N2476" s="133" t="s">
        <v>1407</v>
      </c>
      <c r="O2476" s="4" t="s">
        <v>2407</v>
      </c>
      <c r="P2476" s="4" t="s">
        <v>892</v>
      </c>
      <c r="Q2476" s="4" t="s">
        <v>2408</v>
      </c>
      <c r="R2476" s="4" t="s">
        <v>1515</v>
      </c>
      <c r="S2476" s="4" t="s">
        <v>2409</v>
      </c>
      <c r="T2476" s="4" t="s">
        <v>786</v>
      </c>
      <c r="U2476" s="4"/>
      <c r="V2476" s="4"/>
      <c r="W2476" s="4"/>
    </row>
    <row r="2477" spans="1:23" customFormat="1">
      <c r="A2477" s="10"/>
      <c r="B2477" s="4"/>
      <c r="C2477" s="4"/>
      <c r="D2477" s="4"/>
      <c r="E2477" s="4"/>
      <c r="F2477" s="152" t="s">
        <v>660</v>
      </c>
      <c r="G2477" s="4" t="s">
        <v>661</v>
      </c>
      <c r="H2477" s="4"/>
      <c r="I2477" s="196">
        <v>-2698</v>
      </c>
      <c r="J2477" s="196">
        <v>-1.9</v>
      </c>
      <c r="K2477" s="196">
        <v>1420</v>
      </c>
      <c r="L2477" s="454" t="s">
        <v>1081</v>
      </c>
      <c r="M2477" s="4" t="s">
        <v>780</v>
      </c>
      <c r="N2477" s="133" t="s">
        <v>1407</v>
      </c>
      <c r="O2477" s="4" t="s">
        <v>2407</v>
      </c>
      <c r="P2477" s="4" t="s">
        <v>892</v>
      </c>
      <c r="Q2477" s="4" t="s">
        <v>2408</v>
      </c>
      <c r="R2477" s="4" t="s">
        <v>1515</v>
      </c>
      <c r="S2477" s="4" t="s">
        <v>2409</v>
      </c>
      <c r="T2477" s="4" t="s">
        <v>786</v>
      </c>
      <c r="U2477" s="4"/>
      <c r="V2477" s="4"/>
      <c r="W2477" s="4"/>
    </row>
    <row r="2478" spans="1:23" customFormat="1">
      <c r="A2478" s="10"/>
      <c r="B2478" s="4"/>
      <c r="C2478" s="4"/>
      <c r="D2478" s="4"/>
      <c r="E2478" s="4"/>
      <c r="F2478" s="152" t="s">
        <v>660</v>
      </c>
      <c r="G2478" s="4" t="s">
        <v>661</v>
      </c>
      <c r="H2478" s="4"/>
      <c r="I2478" s="196">
        <v>-2698</v>
      </c>
      <c r="J2478" s="196">
        <v>-1.9</v>
      </c>
      <c r="K2478" s="196">
        <v>1420</v>
      </c>
      <c r="L2478" s="454" t="s">
        <v>1113</v>
      </c>
      <c r="M2478" s="4" t="s">
        <v>780</v>
      </c>
      <c r="N2478" s="133" t="s">
        <v>1407</v>
      </c>
      <c r="O2478" s="4" t="s">
        <v>2417</v>
      </c>
      <c r="P2478" s="4" t="s">
        <v>892</v>
      </c>
      <c r="Q2478" s="4" t="s">
        <v>2418</v>
      </c>
      <c r="R2478" s="4" t="s">
        <v>1515</v>
      </c>
      <c r="S2478" s="4" t="s">
        <v>2419</v>
      </c>
      <c r="T2478" s="4" t="s">
        <v>786</v>
      </c>
      <c r="U2478" s="4"/>
      <c r="V2478" s="4"/>
      <c r="W2478" s="4"/>
    </row>
    <row r="2479" spans="1:23" customFormat="1">
      <c r="A2479" s="10"/>
      <c r="B2479" s="4"/>
      <c r="C2479" s="4"/>
      <c r="D2479" s="4"/>
      <c r="E2479" s="4"/>
      <c r="F2479" s="152" t="s">
        <v>660</v>
      </c>
      <c r="G2479" s="4" t="s">
        <v>661</v>
      </c>
      <c r="H2479" s="4"/>
      <c r="I2479" s="196">
        <v>-179658.4</v>
      </c>
      <c r="J2479" s="196">
        <v>-126.52</v>
      </c>
      <c r="K2479" s="196">
        <v>1420</v>
      </c>
      <c r="L2479" s="454" t="s">
        <v>1113</v>
      </c>
      <c r="M2479" s="4" t="s">
        <v>780</v>
      </c>
      <c r="N2479" s="133" t="s">
        <v>1407</v>
      </c>
      <c r="O2479" s="4" t="s">
        <v>2417</v>
      </c>
      <c r="P2479" s="4" t="s">
        <v>892</v>
      </c>
      <c r="Q2479" s="4" t="s">
        <v>2418</v>
      </c>
      <c r="R2479" s="4" t="s">
        <v>1515</v>
      </c>
      <c r="S2479" s="4" t="s">
        <v>2419</v>
      </c>
      <c r="T2479" s="4" t="s">
        <v>786</v>
      </c>
      <c r="U2479" s="4"/>
      <c r="V2479" s="4"/>
      <c r="W2479" s="4"/>
    </row>
    <row r="2480" spans="1:23" customFormat="1">
      <c r="A2480" s="10"/>
      <c r="B2480" s="4"/>
      <c r="C2480" s="4"/>
      <c r="D2480" s="4"/>
      <c r="E2480" s="4"/>
      <c r="F2480" s="152" t="s">
        <v>660</v>
      </c>
      <c r="G2480" s="4" t="s">
        <v>661</v>
      </c>
      <c r="H2480" s="4"/>
      <c r="I2480" s="196">
        <v>-94898.6</v>
      </c>
      <c r="J2480" s="196">
        <v>-66.83</v>
      </c>
      <c r="K2480" s="196">
        <v>1420</v>
      </c>
      <c r="L2480" s="454" t="s">
        <v>1113</v>
      </c>
      <c r="M2480" s="4" t="s">
        <v>780</v>
      </c>
      <c r="N2480" s="133" t="s">
        <v>1407</v>
      </c>
      <c r="O2480" s="4" t="s">
        <v>2417</v>
      </c>
      <c r="P2480" s="4" t="s">
        <v>892</v>
      </c>
      <c r="Q2480" s="4" t="s">
        <v>2418</v>
      </c>
      <c r="R2480" s="4" t="s">
        <v>2420</v>
      </c>
      <c r="S2480" s="4" t="s">
        <v>2419</v>
      </c>
      <c r="T2480" s="4" t="s">
        <v>786</v>
      </c>
      <c r="U2480" s="4"/>
      <c r="V2480" s="4"/>
      <c r="W2480" s="4"/>
    </row>
    <row r="2481" spans="1:23" customFormat="1">
      <c r="A2481" s="10"/>
      <c r="B2481" s="4"/>
      <c r="C2481" s="4"/>
      <c r="D2481" s="4"/>
      <c r="E2481" s="4"/>
      <c r="F2481" s="152" t="s">
        <v>660</v>
      </c>
      <c r="G2481" s="4" t="s">
        <v>661</v>
      </c>
      <c r="H2481" s="4"/>
      <c r="I2481" s="196">
        <v>-1383122.6</v>
      </c>
      <c r="J2481" s="196">
        <v>-974.03</v>
      </c>
      <c r="K2481" s="196">
        <v>1420</v>
      </c>
      <c r="L2481" s="454" t="s">
        <v>1113</v>
      </c>
      <c r="M2481" s="4" t="s">
        <v>780</v>
      </c>
      <c r="N2481" s="133" t="s">
        <v>1407</v>
      </c>
      <c r="O2481" s="4" t="s">
        <v>2417</v>
      </c>
      <c r="P2481" s="4" t="s">
        <v>892</v>
      </c>
      <c r="Q2481" s="4" t="s">
        <v>2418</v>
      </c>
      <c r="R2481" s="4" t="s">
        <v>2421</v>
      </c>
      <c r="S2481" s="4" t="s">
        <v>2419</v>
      </c>
      <c r="T2481" s="4" t="s">
        <v>786</v>
      </c>
      <c r="U2481" s="4"/>
      <c r="V2481" s="4"/>
      <c r="W2481" s="4"/>
    </row>
    <row r="2482" spans="1:23" customFormat="1">
      <c r="A2482" s="10"/>
      <c r="B2482" s="4"/>
      <c r="C2482" s="4"/>
      <c r="D2482" s="4"/>
      <c r="E2482" s="4"/>
      <c r="F2482" s="152" t="s">
        <v>660</v>
      </c>
      <c r="G2482" s="4" t="s">
        <v>661</v>
      </c>
      <c r="H2482" s="4"/>
      <c r="I2482" s="196">
        <v>-1491000</v>
      </c>
      <c r="J2482" s="196">
        <v>-1050</v>
      </c>
      <c r="K2482" s="196">
        <v>1420</v>
      </c>
      <c r="L2482" s="454" t="s">
        <v>1113</v>
      </c>
      <c r="M2482" s="4" t="s">
        <v>780</v>
      </c>
      <c r="N2482" s="133" t="s">
        <v>1407</v>
      </c>
      <c r="O2482" s="4" t="s">
        <v>2417</v>
      </c>
      <c r="P2482" s="4" t="s">
        <v>892</v>
      </c>
      <c r="Q2482" s="4" t="s">
        <v>2418</v>
      </c>
      <c r="R2482" s="4" t="s">
        <v>2422</v>
      </c>
      <c r="S2482" s="4" t="s">
        <v>2419</v>
      </c>
      <c r="T2482" s="4" t="s">
        <v>786</v>
      </c>
      <c r="U2482" s="4"/>
      <c r="V2482" s="4"/>
      <c r="W2482" s="4"/>
    </row>
    <row r="2483" spans="1:23" customFormat="1">
      <c r="A2483" s="10"/>
      <c r="B2483" s="4"/>
      <c r="C2483" s="4"/>
      <c r="D2483" s="4"/>
      <c r="E2483" s="4"/>
      <c r="F2483" s="152" t="s">
        <v>660</v>
      </c>
      <c r="G2483" s="4" t="s">
        <v>661</v>
      </c>
      <c r="H2483" s="4"/>
      <c r="I2483" s="196">
        <v>-296780</v>
      </c>
      <c r="J2483" s="196">
        <v>-209</v>
      </c>
      <c r="K2483" s="196">
        <v>1420</v>
      </c>
      <c r="L2483" s="454" t="s">
        <v>2332</v>
      </c>
      <c r="M2483" s="4" t="s">
        <v>780</v>
      </c>
      <c r="N2483" s="133" t="s">
        <v>1407</v>
      </c>
      <c r="O2483" s="4" t="s">
        <v>2436</v>
      </c>
      <c r="P2483" s="4" t="s">
        <v>892</v>
      </c>
      <c r="Q2483" s="4" t="s">
        <v>2437</v>
      </c>
      <c r="R2483" s="4" t="s">
        <v>2335</v>
      </c>
      <c r="S2483" s="4" t="s">
        <v>2438</v>
      </c>
      <c r="T2483" s="4" t="s">
        <v>786</v>
      </c>
      <c r="U2483" s="4"/>
      <c r="V2483" s="4"/>
      <c r="W2483" s="4"/>
    </row>
    <row r="2484" spans="1:23" customFormat="1">
      <c r="A2484" s="10"/>
      <c r="B2484" s="4"/>
      <c r="C2484" s="4"/>
      <c r="D2484" s="4"/>
      <c r="E2484" s="4"/>
      <c r="F2484" s="152" t="s">
        <v>660</v>
      </c>
      <c r="G2484" s="4" t="s">
        <v>661</v>
      </c>
      <c r="H2484" s="4"/>
      <c r="I2484" s="196">
        <v>-681600</v>
      </c>
      <c r="J2484" s="196">
        <v>-480</v>
      </c>
      <c r="K2484" s="196">
        <v>1420</v>
      </c>
      <c r="L2484" s="454" t="s">
        <v>2332</v>
      </c>
      <c r="M2484" s="4" t="s">
        <v>780</v>
      </c>
      <c r="N2484" s="133" t="s">
        <v>1407</v>
      </c>
      <c r="O2484" s="4" t="s">
        <v>2436</v>
      </c>
      <c r="P2484" s="4" t="s">
        <v>892</v>
      </c>
      <c r="Q2484" s="4" t="s">
        <v>2437</v>
      </c>
      <c r="R2484" s="4" t="s">
        <v>2337</v>
      </c>
      <c r="S2484" s="4" t="s">
        <v>2438</v>
      </c>
      <c r="T2484" s="4" t="s">
        <v>786</v>
      </c>
      <c r="U2484" s="4"/>
      <c r="V2484" s="4"/>
      <c r="W2484" s="4"/>
    </row>
    <row r="2485" spans="1:23" customFormat="1">
      <c r="A2485" s="10"/>
      <c r="B2485" s="4"/>
      <c r="C2485" s="4"/>
      <c r="D2485" s="4"/>
      <c r="E2485" s="4"/>
      <c r="F2485" s="152" t="s">
        <v>660</v>
      </c>
      <c r="G2485" s="4" t="s">
        <v>661</v>
      </c>
      <c r="H2485" s="4"/>
      <c r="I2485" s="196">
        <v>-296780</v>
      </c>
      <c r="J2485" s="196">
        <v>-209</v>
      </c>
      <c r="K2485" s="196">
        <v>1420</v>
      </c>
      <c r="L2485" s="454" t="s">
        <v>1093</v>
      </c>
      <c r="M2485" s="4" t="s">
        <v>780</v>
      </c>
      <c r="N2485" s="133" t="s">
        <v>1407</v>
      </c>
      <c r="O2485" s="4" t="s">
        <v>2439</v>
      </c>
      <c r="P2485" s="4" t="s">
        <v>892</v>
      </c>
      <c r="Q2485" s="4" t="s">
        <v>2440</v>
      </c>
      <c r="R2485" s="4" t="s">
        <v>2335</v>
      </c>
      <c r="S2485" s="4" t="s">
        <v>2441</v>
      </c>
      <c r="T2485" s="4" t="s">
        <v>786</v>
      </c>
      <c r="U2485" s="4"/>
      <c r="V2485" s="4"/>
      <c r="W2485" s="4"/>
    </row>
    <row r="2486" spans="1:23" customFormat="1">
      <c r="A2486" s="10"/>
      <c r="B2486" s="4"/>
      <c r="C2486" s="4"/>
      <c r="D2486" s="4"/>
      <c r="E2486" s="4"/>
      <c r="F2486" s="152" t="s">
        <v>660</v>
      </c>
      <c r="G2486" s="4" t="s">
        <v>661</v>
      </c>
      <c r="H2486" s="4"/>
      <c r="I2486" s="196">
        <v>-681600</v>
      </c>
      <c r="J2486" s="196">
        <v>-480</v>
      </c>
      <c r="K2486" s="196">
        <v>1420</v>
      </c>
      <c r="L2486" s="454" t="s">
        <v>1093</v>
      </c>
      <c r="M2486" s="4" t="s">
        <v>780</v>
      </c>
      <c r="N2486" s="133" t="s">
        <v>1407</v>
      </c>
      <c r="O2486" s="4" t="s">
        <v>2439</v>
      </c>
      <c r="P2486" s="4" t="s">
        <v>892</v>
      </c>
      <c r="Q2486" s="4" t="s">
        <v>2440</v>
      </c>
      <c r="R2486" s="4" t="s">
        <v>2337</v>
      </c>
      <c r="S2486" s="4" t="s">
        <v>2441</v>
      </c>
      <c r="T2486" s="4" t="s">
        <v>786</v>
      </c>
      <c r="U2486" s="4"/>
      <c r="V2486" s="4"/>
      <c r="W2486" s="4"/>
    </row>
    <row r="2487" spans="1:23" customFormat="1">
      <c r="A2487" s="10"/>
      <c r="B2487" s="4"/>
      <c r="C2487" s="4"/>
      <c r="D2487" s="4"/>
      <c r="E2487" s="4"/>
      <c r="F2487" s="152" t="s">
        <v>660</v>
      </c>
      <c r="G2487" s="4" t="s">
        <v>661</v>
      </c>
      <c r="H2487" s="4"/>
      <c r="I2487" s="196">
        <v>12034500</v>
      </c>
      <c r="J2487" s="196">
        <v>8475</v>
      </c>
      <c r="K2487" s="196">
        <v>1420</v>
      </c>
      <c r="L2487" s="454" t="s">
        <v>1210</v>
      </c>
      <c r="M2487" s="4" t="s">
        <v>780</v>
      </c>
      <c r="N2487" s="133" t="s">
        <v>1407</v>
      </c>
      <c r="O2487" s="4" t="s">
        <v>2539</v>
      </c>
      <c r="P2487" s="4" t="s">
        <v>892</v>
      </c>
      <c r="Q2487" s="4" t="s">
        <v>2540</v>
      </c>
      <c r="R2487" s="4" t="s">
        <v>1432</v>
      </c>
      <c r="S2487" s="4" t="s">
        <v>2541</v>
      </c>
      <c r="T2487" s="4" t="s">
        <v>786</v>
      </c>
      <c r="U2487" s="4"/>
      <c r="V2487" s="4"/>
      <c r="W2487" s="4"/>
    </row>
    <row r="2488" spans="1:23" customFormat="1">
      <c r="A2488" s="10"/>
      <c r="B2488" s="4"/>
      <c r="C2488" s="4"/>
      <c r="D2488" s="4"/>
      <c r="E2488" s="4"/>
      <c r="F2488" s="152" t="s">
        <v>660</v>
      </c>
      <c r="G2488" s="4" t="s">
        <v>661</v>
      </c>
      <c r="H2488" s="4"/>
      <c r="I2488" s="196">
        <v>-126578.8</v>
      </c>
      <c r="J2488" s="196">
        <v>-89.14</v>
      </c>
      <c r="K2488" s="196">
        <v>1420</v>
      </c>
      <c r="L2488" s="454" t="s">
        <v>1205</v>
      </c>
      <c r="M2488" s="4" t="s">
        <v>780</v>
      </c>
      <c r="N2488" s="133" t="s">
        <v>1407</v>
      </c>
      <c r="O2488" s="4" t="s">
        <v>2626</v>
      </c>
      <c r="P2488" s="4" t="s">
        <v>892</v>
      </c>
      <c r="Q2488" s="4" t="s">
        <v>2627</v>
      </c>
      <c r="R2488" s="4" t="s">
        <v>2628</v>
      </c>
      <c r="S2488" s="4" t="s">
        <v>2629</v>
      </c>
      <c r="T2488" s="4" t="s">
        <v>786</v>
      </c>
      <c r="U2488" s="4"/>
      <c r="V2488" s="4"/>
      <c r="W2488" s="4"/>
    </row>
    <row r="2489" spans="1:23" customFormat="1">
      <c r="A2489" s="10"/>
      <c r="B2489" s="4"/>
      <c r="C2489" s="4"/>
      <c r="D2489" s="4"/>
      <c r="E2489" s="4"/>
      <c r="F2489" s="152" t="s">
        <v>660</v>
      </c>
      <c r="G2489" s="4" t="s">
        <v>661</v>
      </c>
      <c r="H2489" s="4"/>
      <c r="I2489" s="196">
        <v>-45440</v>
      </c>
      <c r="J2489" s="196">
        <v>-32</v>
      </c>
      <c r="K2489" s="196">
        <v>1420</v>
      </c>
      <c r="L2489" s="454" t="s">
        <v>1239</v>
      </c>
      <c r="M2489" s="4" t="s">
        <v>780</v>
      </c>
      <c r="N2489" s="133" t="s">
        <v>1407</v>
      </c>
      <c r="O2489" s="4" t="s">
        <v>2642</v>
      </c>
      <c r="P2489" s="4" t="s">
        <v>892</v>
      </c>
      <c r="Q2489" s="4" t="s">
        <v>2643</v>
      </c>
      <c r="R2489" s="4" t="s">
        <v>1474</v>
      </c>
      <c r="S2489" s="4" t="s">
        <v>2644</v>
      </c>
      <c r="T2489" s="4" t="s">
        <v>786</v>
      </c>
      <c r="U2489" s="4"/>
      <c r="V2489" s="4"/>
      <c r="W2489" s="4"/>
    </row>
    <row r="2490" spans="1:23" customFormat="1">
      <c r="A2490" s="10"/>
      <c r="B2490" s="4"/>
      <c r="C2490" s="4"/>
      <c r="D2490" s="4"/>
      <c r="E2490" s="4"/>
      <c r="F2490" s="152" t="s">
        <v>660</v>
      </c>
      <c r="G2490" s="4" t="s">
        <v>661</v>
      </c>
      <c r="H2490" s="4"/>
      <c r="I2490" s="196">
        <v>-35500</v>
      </c>
      <c r="J2490" s="196">
        <v>-25</v>
      </c>
      <c r="K2490" s="196">
        <v>1420</v>
      </c>
      <c r="L2490" s="454" t="s">
        <v>1239</v>
      </c>
      <c r="M2490" s="4" t="s">
        <v>780</v>
      </c>
      <c r="N2490" s="133" t="s">
        <v>1407</v>
      </c>
      <c r="O2490" s="4" t="s">
        <v>2642</v>
      </c>
      <c r="P2490" s="4" t="s">
        <v>892</v>
      </c>
      <c r="Q2490" s="4" t="s">
        <v>2643</v>
      </c>
      <c r="R2490" s="4" t="s">
        <v>1432</v>
      </c>
      <c r="S2490" s="4" t="s">
        <v>2644</v>
      </c>
      <c r="T2490" s="4" t="s">
        <v>786</v>
      </c>
      <c r="U2490" s="4"/>
      <c r="V2490" s="4"/>
      <c r="W2490" s="4"/>
    </row>
    <row r="2491" spans="1:23" customFormat="1">
      <c r="A2491" s="10"/>
      <c r="B2491" s="4"/>
      <c r="C2491" s="4"/>
      <c r="D2491" s="4"/>
      <c r="E2491" s="4"/>
      <c r="F2491" s="152" t="s">
        <v>373</v>
      </c>
      <c r="G2491" s="4" t="s">
        <v>374</v>
      </c>
      <c r="H2491" s="4"/>
      <c r="I2491" s="196">
        <v>-2959280</v>
      </c>
      <c r="J2491" s="196">
        <v>-2084</v>
      </c>
      <c r="K2491" s="196">
        <v>1420</v>
      </c>
      <c r="L2491" s="454" t="s">
        <v>787</v>
      </c>
      <c r="M2491" s="4" t="s">
        <v>1540</v>
      </c>
      <c r="N2491" s="133" t="s">
        <v>1407</v>
      </c>
      <c r="O2491" s="4" t="s">
        <v>1541</v>
      </c>
      <c r="P2491" s="4" t="s">
        <v>1542</v>
      </c>
      <c r="Q2491" s="4" t="s">
        <v>1543</v>
      </c>
      <c r="R2491" s="4"/>
      <c r="S2491" s="4" t="s">
        <v>1544</v>
      </c>
      <c r="T2491" s="4" t="s">
        <v>786</v>
      </c>
      <c r="U2491" s="4"/>
      <c r="V2491" s="4"/>
      <c r="W2491" s="4"/>
    </row>
    <row r="2492" spans="1:23" customFormat="1">
      <c r="A2492" s="10"/>
      <c r="B2492" s="4"/>
      <c r="C2492" s="4"/>
      <c r="D2492" s="4"/>
      <c r="E2492" s="4"/>
      <c r="F2492" s="152" t="s">
        <v>373</v>
      </c>
      <c r="G2492" s="4" t="s">
        <v>374</v>
      </c>
      <c r="H2492" s="4"/>
      <c r="I2492" s="196">
        <v>-4464480</v>
      </c>
      <c r="J2492" s="196">
        <v>-3144</v>
      </c>
      <c r="K2492" s="196">
        <v>1420</v>
      </c>
      <c r="L2492" s="454" t="s">
        <v>787</v>
      </c>
      <c r="M2492" s="4" t="s">
        <v>1540</v>
      </c>
      <c r="N2492" s="133" t="s">
        <v>1407</v>
      </c>
      <c r="O2492" s="4" t="s">
        <v>1545</v>
      </c>
      <c r="P2492" s="4" t="s">
        <v>1542</v>
      </c>
      <c r="Q2492" s="4" t="s">
        <v>1546</v>
      </c>
      <c r="R2492" s="4"/>
      <c r="S2492" s="4" t="s">
        <v>1547</v>
      </c>
      <c r="T2492" s="4" t="s">
        <v>786</v>
      </c>
      <c r="U2492" s="4"/>
      <c r="V2492" s="4"/>
      <c r="W2492" s="4"/>
    </row>
    <row r="2493" spans="1:23" customFormat="1">
      <c r="A2493" s="10"/>
      <c r="B2493" s="4"/>
      <c r="C2493" s="4"/>
      <c r="D2493" s="4"/>
      <c r="E2493" s="4"/>
      <c r="F2493" s="152" t="s">
        <v>373</v>
      </c>
      <c r="G2493" s="4" t="s">
        <v>374</v>
      </c>
      <c r="H2493" s="4"/>
      <c r="I2493" s="196">
        <v>-3335580</v>
      </c>
      <c r="J2493" s="196">
        <v>-2349</v>
      </c>
      <c r="K2493" s="196">
        <v>1420</v>
      </c>
      <c r="L2493" s="454" t="s">
        <v>787</v>
      </c>
      <c r="M2493" s="4" t="s">
        <v>1540</v>
      </c>
      <c r="N2493" s="133" t="s">
        <v>1407</v>
      </c>
      <c r="O2493" s="4" t="s">
        <v>1548</v>
      </c>
      <c r="P2493" s="4" t="s">
        <v>1542</v>
      </c>
      <c r="Q2493" s="4" t="s">
        <v>1549</v>
      </c>
      <c r="R2493" s="4"/>
      <c r="S2493" s="4" t="s">
        <v>1550</v>
      </c>
      <c r="T2493" s="4" t="s">
        <v>786</v>
      </c>
      <c r="U2493" s="4"/>
      <c r="V2493" s="4"/>
      <c r="W2493" s="4"/>
    </row>
    <row r="2494" spans="1:23" customFormat="1">
      <c r="A2494" s="10"/>
      <c r="B2494" s="4"/>
      <c r="C2494" s="4"/>
      <c r="D2494" s="4"/>
      <c r="E2494" s="4"/>
      <c r="F2494" s="152" t="s">
        <v>373</v>
      </c>
      <c r="G2494" s="4" t="s">
        <v>374</v>
      </c>
      <c r="H2494" s="4"/>
      <c r="I2494" s="196">
        <v>-568000</v>
      </c>
      <c r="J2494" s="196">
        <v>-400</v>
      </c>
      <c r="K2494" s="196">
        <v>1420</v>
      </c>
      <c r="L2494" s="454" t="s">
        <v>787</v>
      </c>
      <c r="M2494" s="4" t="s">
        <v>1540</v>
      </c>
      <c r="N2494" s="133" t="s">
        <v>1407</v>
      </c>
      <c r="O2494" s="4" t="s">
        <v>1551</v>
      </c>
      <c r="P2494" s="4" t="s">
        <v>1542</v>
      </c>
      <c r="Q2494" s="4" t="s">
        <v>1552</v>
      </c>
      <c r="R2494" s="4"/>
      <c r="S2494" s="4" t="s">
        <v>1553</v>
      </c>
      <c r="T2494" s="4" t="s">
        <v>786</v>
      </c>
      <c r="U2494" s="4"/>
      <c r="V2494" s="4"/>
      <c r="W2494" s="4"/>
    </row>
    <row r="2495" spans="1:23" customFormat="1">
      <c r="A2495" s="10"/>
      <c r="B2495" s="4"/>
      <c r="C2495" s="4"/>
      <c r="D2495" s="4"/>
      <c r="E2495" s="4"/>
      <c r="F2495" s="152" t="s">
        <v>373</v>
      </c>
      <c r="G2495" s="4" t="s">
        <v>374</v>
      </c>
      <c r="H2495" s="4"/>
      <c r="I2495" s="196">
        <v>-4493590</v>
      </c>
      <c r="J2495" s="196">
        <v>-3164.5</v>
      </c>
      <c r="K2495" s="196">
        <v>1420</v>
      </c>
      <c r="L2495" s="454" t="s">
        <v>787</v>
      </c>
      <c r="M2495" s="4" t="s">
        <v>1540</v>
      </c>
      <c r="N2495" s="133" t="s">
        <v>1407</v>
      </c>
      <c r="O2495" s="4" t="s">
        <v>1554</v>
      </c>
      <c r="P2495" s="4" t="s">
        <v>1542</v>
      </c>
      <c r="Q2495" s="4" t="s">
        <v>1555</v>
      </c>
      <c r="R2495" s="4"/>
      <c r="S2495" s="4" t="s">
        <v>1556</v>
      </c>
      <c r="T2495" s="4" t="s">
        <v>786</v>
      </c>
      <c r="U2495" s="4"/>
      <c r="V2495" s="4"/>
      <c r="W2495" s="4"/>
    </row>
    <row r="2496" spans="1:23" customFormat="1">
      <c r="A2496" s="10"/>
      <c r="B2496" s="4"/>
      <c r="C2496" s="4"/>
      <c r="D2496" s="4"/>
      <c r="E2496" s="4"/>
      <c r="F2496" s="152" t="s">
        <v>373</v>
      </c>
      <c r="G2496" s="4" t="s">
        <v>374</v>
      </c>
      <c r="H2496" s="4"/>
      <c r="I2496" s="196">
        <v>-3124000</v>
      </c>
      <c r="J2496" s="196">
        <v>-2200</v>
      </c>
      <c r="K2496" s="196">
        <v>1420</v>
      </c>
      <c r="L2496" s="454" t="s">
        <v>787</v>
      </c>
      <c r="M2496" s="4" t="s">
        <v>1540</v>
      </c>
      <c r="N2496" s="133" t="s">
        <v>1407</v>
      </c>
      <c r="O2496" s="4" t="s">
        <v>1557</v>
      </c>
      <c r="P2496" s="4" t="s">
        <v>1542</v>
      </c>
      <c r="Q2496" s="4" t="s">
        <v>1558</v>
      </c>
      <c r="R2496" s="4"/>
      <c r="S2496" s="4" t="s">
        <v>1559</v>
      </c>
      <c r="T2496" s="4" t="s">
        <v>786</v>
      </c>
      <c r="U2496" s="4"/>
      <c r="V2496" s="4"/>
      <c r="W2496" s="4"/>
    </row>
    <row r="2497" spans="1:23" customFormat="1">
      <c r="A2497" s="10"/>
      <c r="B2497" s="4"/>
      <c r="C2497" s="4"/>
      <c r="D2497" s="4"/>
      <c r="E2497" s="4"/>
      <c r="F2497" s="152" t="s">
        <v>373</v>
      </c>
      <c r="G2497" s="4" t="s">
        <v>374</v>
      </c>
      <c r="H2497" s="4"/>
      <c r="I2497" s="196">
        <v>-2834320</v>
      </c>
      <c r="J2497" s="196">
        <v>-1996</v>
      </c>
      <c r="K2497" s="196">
        <v>1420</v>
      </c>
      <c r="L2497" s="454" t="s">
        <v>787</v>
      </c>
      <c r="M2497" s="4" t="s">
        <v>1540</v>
      </c>
      <c r="N2497" s="133" t="s">
        <v>1407</v>
      </c>
      <c r="O2497" s="4" t="s">
        <v>1560</v>
      </c>
      <c r="P2497" s="4" t="s">
        <v>1542</v>
      </c>
      <c r="Q2497" s="4" t="s">
        <v>1561</v>
      </c>
      <c r="R2497" s="4"/>
      <c r="S2497" s="4" t="s">
        <v>1562</v>
      </c>
      <c r="T2497" s="4" t="s">
        <v>786</v>
      </c>
      <c r="U2497" s="4"/>
      <c r="V2497" s="4"/>
      <c r="W2497" s="4"/>
    </row>
    <row r="2498" spans="1:23" customFormat="1">
      <c r="A2498" s="10"/>
      <c r="B2498" s="4"/>
      <c r="C2498" s="4"/>
      <c r="D2498" s="4"/>
      <c r="E2498" s="4"/>
      <c r="F2498" s="152" t="s">
        <v>373</v>
      </c>
      <c r="G2498" s="4" t="s">
        <v>374</v>
      </c>
      <c r="H2498" s="4"/>
      <c r="I2498" s="196">
        <v>-2742020</v>
      </c>
      <c r="J2498" s="196">
        <v>-1931</v>
      </c>
      <c r="K2498" s="196">
        <v>1420</v>
      </c>
      <c r="L2498" s="454" t="s">
        <v>787</v>
      </c>
      <c r="M2498" s="4" t="s">
        <v>1540</v>
      </c>
      <c r="N2498" s="133" t="s">
        <v>1407</v>
      </c>
      <c r="O2498" s="4" t="s">
        <v>1563</v>
      </c>
      <c r="P2498" s="4" t="s">
        <v>1542</v>
      </c>
      <c r="Q2498" s="4" t="s">
        <v>1564</v>
      </c>
      <c r="R2498" s="4"/>
      <c r="S2498" s="4" t="s">
        <v>1565</v>
      </c>
      <c r="T2498" s="4" t="s">
        <v>786</v>
      </c>
      <c r="U2498" s="4"/>
      <c r="V2498" s="4"/>
      <c r="W2498" s="4"/>
    </row>
    <row r="2499" spans="1:23" customFormat="1">
      <c r="A2499" s="10"/>
      <c r="B2499" s="4"/>
      <c r="C2499" s="4"/>
      <c r="D2499" s="4"/>
      <c r="E2499" s="4"/>
      <c r="F2499" s="152" t="s">
        <v>373</v>
      </c>
      <c r="G2499" s="4" t="s">
        <v>374</v>
      </c>
      <c r="H2499" s="4"/>
      <c r="I2499" s="196">
        <v>5312220</v>
      </c>
      <c r="J2499" s="196">
        <v>3741</v>
      </c>
      <c r="K2499" s="196">
        <v>1420</v>
      </c>
      <c r="L2499" s="454" t="s">
        <v>787</v>
      </c>
      <c r="M2499" s="4" t="s">
        <v>1566</v>
      </c>
      <c r="N2499" s="133" t="s">
        <v>1407</v>
      </c>
      <c r="O2499" s="4" t="s">
        <v>1567</v>
      </c>
      <c r="P2499" s="4" t="s">
        <v>1568</v>
      </c>
      <c r="Q2499" s="4" t="s">
        <v>1569</v>
      </c>
      <c r="R2499" s="4" t="s">
        <v>1570</v>
      </c>
      <c r="S2499" s="4" t="s">
        <v>1571</v>
      </c>
      <c r="T2499" s="4" t="s">
        <v>786</v>
      </c>
      <c r="U2499" s="4"/>
      <c r="V2499" s="4"/>
      <c r="W2499" s="4"/>
    </row>
    <row r="2500" spans="1:23" customFormat="1">
      <c r="A2500" s="10"/>
      <c r="B2500" s="4"/>
      <c r="C2500" s="4"/>
      <c r="D2500" s="4"/>
      <c r="E2500" s="4"/>
      <c r="F2500" s="152" t="s">
        <v>373</v>
      </c>
      <c r="G2500" s="4" t="s">
        <v>374</v>
      </c>
      <c r="H2500" s="4"/>
      <c r="I2500" s="196">
        <v>4462350</v>
      </c>
      <c r="J2500" s="196">
        <v>3142.5</v>
      </c>
      <c r="K2500" s="196">
        <v>1420</v>
      </c>
      <c r="L2500" s="454" t="s">
        <v>787</v>
      </c>
      <c r="M2500" s="4" t="s">
        <v>1566</v>
      </c>
      <c r="N2500" s="133" t="s">
        <v>1407</v>
      </c>
      <c r="O2500" s="4" t="s">
        <v>1572</v>
      </c>
      <c r="P2500" s="4" t="s">
        <v>1568</v>
      </c>
      <c r="Q2500" s="4" t="s">
        <v>1573</v>
      </c>
      <c r="R2500" s="4" t="s">
        <v>1570</v>
      </c>
      <c r="S2500" s="4" t="s">
        <v>1574</v>
      </c>
      <c r="T2500" s="4" t="s">
        <v>786</v>
      </c>
      <c r="U2500" s="4"/>
      <c r="V2500" s="4"/>
      <c r="W2500" s="4"/>
    </row>
    <row r="2501" spans="1:23" customFormat="1">
      <c r="A2501" s="10"/>
      <c r="B2501" s="4"/>
      <c r="C2501" s="4"/>
      <c r="D2501" s="4"/>
      <c r="E2501" s="4"/>
      <c r="F2501" s="152" t="s">
        <v>373</v>
      </c>
      <c r="G2501" s="4" t="s">
        <v>374</v>
      </c>
      <c r="H2501" s="4"/>
      <c r="I2501" s="196">
        <v>3116190</v>
      </c>
      <c r="J2501" s="196">
        <v>2194.5</v>
      </c>
      <c r="K2501" s="196">
        <v>1420</v>
      </c>
      <c r="L2501" s="454" t="s">
        <v>787</v>
      </c>
      <c r="M2501" s="4" t="s">
        <v>1566</v>
      </c>
      <c r="N2501" s="133" t="s">
        <v>1407</v>
      </c>
      <c r="O2501" s="4" t="s">
        <v>1575</v>
      </c>
      <c r="P2501" s="4" t="s">
        <v>1568</v>
      </c>
      <c r="Q2501" s="4" t="s">
        <v>1576</v>
      </c>
      <c r="R2501" s="4" t="s">
        <v>1570</v>
      </c>
      <c r="S2501" s="4" t="s">
        <v>1577</v>
      </c>
      <c r="T2501" s="4" t="s">
        <v>786</v>
      </c>
      <c r="U2501" s="4"/>
      <c r="V2501" s="4"/>
      <c r="W2501" s="4"/>
    </row>
    <row r="2502" spans="1:23" customFormat="1">
      <c r="A2502" s="10"/>
      <c r="B2502" s="4"/>
      <c r="C2502" s="4"/>
      <c r="D2502" s="4"/>
      <c r="E2502" s="4"/>
      <c r="F2502" s="152" t="s">
        <v>373</v>
      </c>
      <c r="G2502" s="4" t="s">
        <v>374</v>
      </c>
      <c r="H2502" s="4"/>
      <c r="I2502" s="196">
        <v>3677800</v>
      </c>
      <c r="J2502" s="196">
        <v>2590</v>
      </c>
      <c r="K2502" s="196">
        <v>1420</v>
      </c>
      <c r="L2502" s="454" t="s">
        <v>787</v>
      </c>
      <c r="M2502" s="4" t="s">
        <v>1566</v>
      </c>
      <c r="N2502" s="133" t="s">
        <v>1407</v>
      </c>
      <c r="O2502" s="4" t="s">
        <v>1578</v>
      </c>
      <c r="P2502" s="4" t="s">
        <v>1568</v>
      </c>
      <c r="Q2502" s="4" t="s">
        <v>1579</v>
      </c>
      <c r="R2502" s="4" t="s">
        <v>1570</v>
      </c>
      <c r="S2502" s="4" t="s">
        <v>1580</v>
      </c>
      <c r="T2502" s="4" t="s">
        <v>786</v>
      </c>
      <c r="U2502" s="4"/>
      <c r="V2502" s="4"/>
      <c r="W2502" s="4"/>
    </row>
    <row r="2503" spans="1:23" customFormat="1">
      <c r="A2503" s="10"/>
      <c r="B2503" s="4"/>
      <c r="C2503" s="4"/>
      <c r="D2503" s="4"/>
      <c r="E2503" s="4"/>
      <c r="F2503" s="152" t="s">
        <v>373</v>
      </c>
      <c r="G2503" s="4" t="s">
        <v>374</v>
      </c>
      <c r="H2503" s="4"/>
      <c r="I2503" s="196">
        <v>3388120</v>
      </c>
      <c r="J2503" s="196">
        <v>2386</v>
      </c>
      <c r="K2503" s="196">
        <v>1420</v>
      </c>
      <c r="L2503" s="454" t="s">
        <v>787</v>
      </c>
      <c r="M2503" s="4" t="s">
        <v>1566</v>
      </c>
      <c r="N2503" s="133" t="s">
        <v>1407</v>
      </c>
      <c r="O2503" s="4" t="s">
        <v>1581</v>
      </c>
      <c r="P2503" s="4" t="s">
        <v>1568</v>
      </c>
      <c r="Q2503" s="4" t="s">
        <v>1582</v>
      </c>
      <c r="R2503" s="4" t="s">
        <v>1570</v>
      </c>
      <c r="S2503" s="4" t="s">
        <v>1583</v>
      </c>
      <c r="T2503" s="4" t="s">
        <v>786</v>
      </c>
      <c r="U2503" s="4"/>
      <c r="V2503" s="4"/>
      <c r="W2503" s="4"/>
    </row>
    <row r="2504" spans="1:23" customFormat="1">
      <c r="A2504" s="10"/>
      <c r="B2504" s="4"/>
      <c r="C2504" s="4"/>
      <c r="D2504" s="4"/>
      <c r="E2504" s="4"/>
      <c r="F2504" s="152" t="s">
        <v>373</v>
      </c>
      <c r="G2504" s="4" t="s">
        <v>374</v>
      </c>
      <c r="H2504" s="4"/>
      <c r="I2504" s="196">
        <v>5047390</v>
      </c>
      <c r="J2504" s="196">
        <v>3554.5</v>
      </c>
      <c r="K2504" s="196">
        <v>1420</v>
      </c>
      <c r="L2504" s="454" t="s">
        <v>787</v>
      </c>
      <c r="M2504" s="4" t="s">
        <v>1566</v>
      </c>
      <c r="N2504" s="133" t="s">
        <v>1407</v>
      </c>
      <c r="O2504" s="4" t="s">
        <v>1584</v>
      </c>
      <c r="P2504" s="4" t="s">
        <v>1568</v>
      </c>
      <c r="Q2504" s="4" t="s">
        <v>1585</v>
      </c>
      <c r="R2504" s="4" t="s">
        <v>1570</v>
      </c>
      <c r="S2504" s="4" t="s">
        <v>1586</v>
      </c>
      <c r="T2504" s="4" t="s">
        <v>786</v>
      </c>
      <c r="U2504" s="4"/>
      <c r="V2504" s="4"/>
      <c r="W2504" s="4"/>
    </row>
    <row r="2505" spans="1:23" customFormat="1">
      <c r="A2505" s="10"/>
      <c r="B2505" s="4"/>
      <c r="C2505" s="4"/>
      <c r="D2505" s="4"/>
      <c r="E2505" s="4"/>
      <c r="F2505" s="152" t="s">
        <v>373</v>
      </c>
      <c r="G2505" s="4" t="s">
        <v>374</v>
      </c>
      <c r="H2505" s="4"/>
      <c r="I2505" s="196">
        <v>3889380</v>
      </c>
      <c r="J2505" s="196">
        <v>2739</v>
      </c>
      <c r="K2505" s="196">
        <v>1420</v>
      </c>
      <c r="L2505" s="454" t="s">
        <v>787</v>
      </c>
      <c r="M2505" s="4" t="s">
        <v>1566</v>
      </c>
      <c r="N2505" s="133" t="s">
        <v>1407</v>
      </c>
      <c r="O2505" s="4" t="s">
        <v>1587</v>
      </c>
      <c r="P2505" s="4" t="s">
        <v>1568</v>
      </c>
      <c r="Q2505" s="4" t="s">
        <v>1588</v>
      </c>
      <c r="R2505" s="4" t="s">
        <v>1570</v>
      </c>
      <c r="S2505" s="4" t="s">
        <v>1589</v>
      </c>
      <c r="T2505" s="4" t="s">
        <v>786</v>
      </c>
      <c r="U2505" s="4"/>
      <c r="V2505" s="4"/>
      <c r="W2505" s="4"/>
    </row>
    <row r="2506" spans="1:23" customFormat="1">
      <c r="A2506" s="10"/>
      <c r="B2506" s="4"/>
      <c r="C2506" s="4"/>
      <c r="D2506" s="4"/>
      <c r="E2506" s="4"/>
      <c r="F2506" s="152" t="s">
        <v>373</v>
      </c>
      <c r="G2506" s="4" t="s">
        <v>374</v>
      </c>
      <c r="H2506" s="4"/>
      <c r="I2506" s="196">
        <v>3779330</v>
      </c>
      <c r="J2506" s="196">
        <v>2661.5</v>
      </c>
      <c r="K2506" s="196">
        <v>1420</v>
      </c>
      <c r="L2506" s="454" t="s">
        <v>787</v>
      </c>
      <c r="M2506" s="4" t="s">
        <v>1566</v>
      </c>
      <c r="N2506" s="133" t="s">
        <v>1407</v>
      </c>
      <c r="O2506" s="4" t="s">
        <v>1590</v>
      </c>
      <c r="P2506" s="4" t="s">
        <v>1568</v>
      </c>
      <c r="Q2506" s="4" t="s">
        <v>1591</v>
      </c>
      <c r="R2506" s="4" t="s">
        <v>1570</v>
      </c>
      <c r="S2506" s="4" t="s">
        <v>1592</v>
      </c>
      <c r="T2506" s="4" t="s">
        <v>786</v>
      </c>
      <c r="U2506" s="4"/>
      <c r="V2506" s="4"/>
      <c r="W2506" s="4"/>
    </row>
    <row r="2507" spans="1:23" customFormat="1">
      <c r="A2507" s="10"/>
      <c r="B2507" s="4"/>
      <c r="C2507" s="4"/>
      <c r="D2507" s="4"/>
      <c r="E2507" s="4"/>
      <c r="F2507" s="152" t="s">
        <v>373</v>
      </c>
      <c r="G2507" s="4" t="s">
        <v>374</v>
      </c>
      <c r="H2507" s="4"/>
      <c r="I2507" s="196">
        <v>3481840</v>
      </c>
      <c r="J2507" s="196">
        <v>2452</v>
      </c>
      <c r="K2507" s="196">
        <v>1420</v>
      </c>
      <c r="L2507" s="454" t="s">
        <v>787</v>
      </c>
      <c r="M2507" s="4" t="s">
        <v>1566</v>
      </c>
      <c r="N2507" s="133" t="s">
        <v>1407</v>
      </c>
      <c r="O2507" s="4" t="s">
        <v>1593</v>
      </c>
      <c r="P2507" s="4" t="s">
        <v>1568</v>
      </c>
      <c r="Q2507" s="4" t="s">
        <v>1594</v>
      </c>
      <c r="R2507" s="4" t="s">
        <v>1570</v>
      </c>
      <c r="S2507" s="4" t="s">
        <v>1595</v>
      </c>
      <c r="T2507" s="4" t="s">
        <v>786</v>
      </c>
      <c r="U2507" s="4"/>
      <c r="V2507" s="4"/>
      <c r="W2507" s="4"/>
    </row>
    <row r="2508" spans="1:23" customFormat="1">
      <c r="A2508" s="10"/>
      <c r="B2508" s="4"/>
      <c r="C2508" s="4"/>
      <c r="D2508" s="4"/>
      <c r="E2508" s="4"/>
      <c r="F2508" s="152" t="s">
        <v>373</v>
      </c>
      <c r="G2508" s="4" t="s">
        <v>374</v>
      </c>
      <c r="H2508" s="4"/>
      <c r="I2508" s="196">
        <v>5018280</v>
      </c>
      <c r="J2508" s="196">
        <v>3534</v>
      </c>
      <c r="K2508" s="196">
        <v>1420</v>
      </c>
      <c r="L2508" s="454" t="s">
        <v>787</v>
      </c>
      <c r="M2508" s="4" t="s">
        <v>1566</v>
      </c>
      <c r="N2508" s="133" t="s">
        <v>1407</v>
      </c>
      <c r="O2508" s="4" t="s">
        <v>1596</v>
      </c>
      <c r="P2508" s="4" t="s">
        <v>1568</v>
      </c>
      <c r="Q2508" s="4" t="s">
        <v>1597</v>
      </c>
      <c r="R2508" s="4" t="s">
        <v>1570</v>
      </c>
      <c r="S2508" s="4" t="s">
        <v>1598</v>
      </c>
      <c r="T2508" s="4" t="s">
        <v>786</v>
      </c>
      <c r="U2508" s="4"/>
      <c r="V2508" s="4"/>
      <c r="W2508" s="4"/>
    </row>
    <row r="2509" spans="1:23" customFormat="1">
      <c r="A2509" s="10"/>
      <c r="B2509" s="4"/>
      <c r="C2509" s="4"/>
      <c r="D2509" s="4"/>
      <c r="E2509" s="4"/>
      <c r="F2509" s="152" t="s">
        <v>373</v>
      </c>
      <c r="G2509" s="4" t="s">
        <v>374</v>
      </c>
      <c r="H2509" s="4"/>
      <c r="I2509" s="196">
        <v>3513080</v>
      </c>
      <c r="J2509" s="196">
        <v>2474</v>
      </c>
      <c r="K2509" s="196">
        <v>1420</v>
      </c>
      <c r="L2509" s="454" t="s">
        <v>787</v>
      </c>
      <c r="M2509" s="4" t="s">
        <v>1566</v>
      </c>
      <c r="N2509" s="133" t="s">
        <v>1407</v>
      </c>
      <c r="O2509" s="4" t="s">
        <v>1599</v>
      </c>
      <c r="P2509" s="4" t="s">
        <v>1568</v>
      </c>
      <c r="Q2509" s="4" t="s">
        <v>1600</v>
      </c>
      <c r="R2509" s="4" t="s">
        <v>1570</v>
      </c>
      <c r="S2509" s="4" t="s">
        <v>1601</v>
      </c>
      <c r="T2509" s="4" t="s">
        <v>786</v>
      </c>
      <c r="U2509" s="4"/>
      <c r="V2509" s="4"/>
      <c r="W2509" s="4"/>
    </row>
    <row r="2510" spans="1:23" customFormat="1">
      <c r="A2510" s="10"/>
      <c r="B2510" s="4"/>
      <c r="C2510" s="4"/>
      <c r="D2510" s="4"/>
      <c r="E2510" s="4"/>
      <c r="F2510" s="152" t="s">
        <v>373</v>
      </c>
      <c r="G2510" s="4" t="s">
        <v>374</v>
      </c>
      <c r="H2510" s="4"/>
      <c r="I2510" s="196">
        <v>3295820</v>
      </c>
      <c r="J2510" s="196">
        <v>2321</v>
      </c>
      <c r="K2510" s="196">
        <v>1420</v>
      </c>
      <c r="L2510" s="454" t="s">
        <v>787</v>
      </c>
      <c r="M2510" s="4" t="s">
        <v>1566</v>
      </c>
      <c r="N2510" s="133" t="s">
        <v>1407</v>
      </c>
      <c r="O2510" s="4" t="s">
        <v>1602</v>
      </c>
      <c r="P2510" s="4" t="s">
        <v>1568</v>
      </c>
      <c r="Q2510" s="4" t="s">
        <v>1603</v>
      </c>
      <c r="R2510" s="4" t="s">
        <v>1570</v>
      </c>
      <c r="S2510" s="4" t="s">
        <v>1604</v>
      </c>
      <c r="T2510" s="4" t="s">
        <v>786</v>
      </c>
      <c r="U2510" s="4"/>
      <c r="V2510" s="4"/>
      <c r="W2510" s="4"/>
    </row>
    <row r="2511" spans="1:23" customFormat="1">
      <c r="A2511" s="10"/>
      <c r="B2511" s="4"/>
      <c r="C2511" s="4"/>
      <c r="D2511" s="4"/>
      <c r="E2511" s="4"/>
      <c r="F2511" s="152" t="s">
        <v>373</v>
      </c>
      <c r="G2511" s="4" t="s">
        <v>374</v>
      </c>
      <c r="H2511" s="4"/>
      <c r="I2511" s="196">
        <v>-987000</v>
      </c>
      <c r="J2511" s="196">
        <v>-700</v>
      </c>
      <c r="K2511" s="196">
        <v>1410</v>
      </c>
      <c r="L2511" s="454" t="s">
        <v>899</v>
      </c>
      <c r="M2511" s="4" t="s">
        <v>1540</v>
      </c>
      <c r="N2511" s="133" t="s">
        <v>1407</v>
      </c>
      <c r="O2511" s="4" t="s">
        <v>1831</v>
      </c>
      <c r="P2511" s="4" t="s">
        <v>1832</v>
      </c>
      <c r="Q2511" s="4" t="s">
        <v>1833</v>
      </c>
      <c r="R2511" s="4"/>
      <c r="S2511" s="4" t="s">
        <v>1834</v>
      </c>
      <c r="T2511" s="4" t="s">
        <v>786</v>
      </c>
      <c r="U2511" s="4"/>
      <c r="V2511" s="4"/>
      <c r="W2511" s="4"/>
    </row>
    <row r="2512" spans="1:23" customFormat="1">
      <c r="A2512" s="10"/>
      <c r="B2512" s="4"/>
      <c r="C2512" s="4"/>
      <c r="D2512" s="4"/>
      <c r="E2512" s="4"/>
      <c r="F2512" s="152" t="s">
        <v>373</v>
      </c>
      <c r="G2512" s="4" t="s">
        <v>374</v>
      </c>
      <c r="H2512" s="4"/>
      <c r="I2512" s="196">
        <v>-1663800</v>
      </c>
      <c r="J2512" s="196">
        <v>-1180</v>
      </c>
      <c r="K2512" s="196">
        <v>1410</v>
      </c>
      <c r="L2512" s="454" t="s">
        <v>899</v>
      </c>
      <c r="M2512" s="4" t="s">
        <v>1540</v>
      </c>
      <c r="N2512" s="133" t="s">
        <v>1407</v>
      </c>
      <c r="O2512" s="4" t="s">
        <v>1835</v>
      </c>
      <c r="P2512" s="4" t="s">
        <v>1832</v>
      </c>
      <c r="Q2512" s="4" t="s">
        <v>1836</v>
      </c>
      <c r="R2512" s="4"/>
      <c r="S2512" s="4" t="s">
        <v>1837</v>
      </c>
      <c r="T2512" s="4" t="s">
        <v>786</v>
      </c>
      <c r="U2512" s="4"/>
      <c r="V2512" s="4"/>
      <c r="W2512" s="4"/>
    </row>
    <row r="2513" spans="1:23" customFormat="1">
      <c r="A2513" s="10"/>
      <c r="B2513" s="4"/>
      <c r="C2513" s="4"/>
      <c r="D2513" s="4"/>
      <c r="E2513" s="4"/>
      <c r="F2513" s="152" t="s">
        <v>373</v>
      </c>
      <c r="G2513" s="4" t="s">
        <v>374</v>
      </c>
      <c r="H2513" s="4"/>
      <c r="I2513" s="196">
        <v>-1551000</v>
      </c>
      <c r="J2513" s="196">
        <v>-1100</v>
      </c>
      <c r="K2513" s="196">
        <v>1410</v>
      </c>
      <c r="L2513" s="454" t="s">
        <v>899</v>
      </c>
      <c r="M2513" s="4" t="s">
        <v>1540</v>
      </c>
      <c r="N2513" s="133" t="s">
        <v>1407</v>
      </c>
      <c r="O2513" s="4" t="s">
        <v>1838</v>
      </c>
      <c r="P2513" s="4" t="s">
        <v>1832</v>
      </c>
      <c r="Q2513" s="4" t="s">
        <v>1839</v>
      </c>
      <c r="R2513" s="4"/>
      <c r="S2513" s="4" t="s">
        <v>1840</v>
      </c>
      <c r="T2513" s="4" t="s">
        <v>786</v>
      </c>
      <c r="U2513" s="4"/>
      <c r="V2513" s="4"/>
      <c r="W2513" s="4"/>
    </row>
    <row r="2514" spans="1:23" customFormat="1">
      <c r="A2514" s="10"/>
      <c r="B2514" s="4"/>
      <c r="C2514" s="4"/>
      <c r="D2514" s="4"/>
      <c r="E2514" s="4"/>
      <c r="F2514" s="152" t="s">
        <v>373</v>
      </c>
      <c r="G2514" s="4" t="s">
        <v>374</v>
      </c>
      <c r="H2514" s="4"/>
      <c r="I2514" s="196">
        <v>-2115000</v>
      </c>
      <c r="J2514" s="196">
        <v>-1500</v>
      </c>
      <c r="K2514" s="196">
        <v>1410</v>
      </c>
      <c r="L2514" s="454" t="s">
        <v>899</v>
      </c>
      <c r="M2514" s="4" t="s">
        <v>1540</v>
      </c>
      <c r="N2514" s="133" t="s">
        <v>1407</v>
      </c>
      <c r="O2514" s="4" t="s">
        <v>1841</v>
      </c>
      <c r="P2514" s="4" t="s">
        <v>1832</v>
      </c>
      <c r="Q2514" s="4" t="s">
        <v>1842</v>
      </c>
      <c r="R2514" s="4"/>
      <c r="S2514" s="4" t="s">
        <v>1843</v>
      </c>
      <c r="T2514" s="4" t="s">
        <v>786</v>
      </c>
      <c r="U2514" s="4"/>
      <c r="V2514" s="4"/>
      <c r="W2514" s="4"/>
    </row>
    <row r="2515" spans="1:23" customFormat="1">
      <c r="A2515" s="10"/>
      <c r="B2515" s="4"/>
      <c r="C2515" s="4"/>
      <c r="D2515" s="4"/>
      <c r="E2515" s="4"/>
      <c r="F2515" s="152" t="s">
        <v>373</v>
      </c>
      <c r="G2515" s="4" t="s">
        <v>374</v>
      </c>
      <c r="H2515" s="4"/>
      <c r="I2515" s="196">
        <v>-2249655</v>
      </c>
      <c r="J2515" s="196">
        <v>-1595.5</v>
      </c>
      <c r="K2515" s="196">
        <v>1410</v>
      </c>
      <c r="L2515" s="454" t="s">
        <v>919</v>
      </c>
      <c r="M2515" s="4" t="s">
        <v>1540</v>
      </c>
      <c r="N2515" s="133" t="s">
        <v>1407</v>
      </c>
      <c r="O2515" s="4" t="s">
        <v>1844</v>
      </c>
      <c r="P2515" s="4" t="s">
        <v>1832</v>
      </c>
      <c r="Q2515" s="4" t="s">
        <v>1845</v>
      </c>
      <c r="R2515" s="4"/>
      <c r="S2515" s="4" t="s">
        <v>1846</v>
      </c>
      <c r="T2515" s="4" t="s">
        <v>786</v>
      </c>
      <c r="U2515" s="4"/>
      <c r="V2515" s="4"/>
      <c r="W2515" s="4"/>
    </row>
    <row r="2516" spans="1:23" customFormat="1">
      <c r="A2516" s="10"/>
      <c r="B2516" s="4"/>
      <c r="C2516" s="4"/>
      <c r="D2516" s="4"/>
      <c r="E2516" s="4"/>
      <c r="F2516" s="152" t="s">
        <v>373</v>
      </c>
      <c r="G2516" s="4" t="s">
        <v>374</v>
      </c>
      <c r="H2516" s="4"/>
      <c r="I2516" s="196">
        <v>-6281550</v>
      </c>
      <c r="J2516" s="196">
        <v>-4455</v>
      </c>
      <c r="K2516" s="196">
        <v>1410</v>
      </c>
      <c r="L2516" s="454" t="s">
        <v>919</v>
      </c>
      <c r="M2516" s="4" t="s">
        <v>1540</v>
      </c>
      <c r="N2516" s="133" t="s">
        <v>1407</v>
      </c>
      <c r="O2516" s="4" t="s">
        <v>1847</v>
      </c>
      <c r="P2516" s="4" t="s">
        <v>1832</v>
      </c>
      <c r="Q2516" s="4" t="s">
        <v>1848</v>
      </c>
      <c r="R2516" s="4"/>
      <c r="S2516" s="4" t="s">
        <v>1849</v>
      </c>
      <c r="T2516" s="4" t="s">
        <v>786</v>
      </c>
      <c r="U2516" s="4"/>
      <c r="V2516" s="4"/>
      <c r="W2516" s="4"/>
    </row>
    <row r="2517" spans="1:23" customFormat="1">
      <c r="A2517" s="10"/>
      <c r="B2517" s="4"/>
      <c r="C2517" s="4"/>
      <c r="D2517" s="4"/>
      <c r="E2517" s="4"/>
      <c r="F2517" s="152" t="s">
        <v>373</v>
      </c>
      <c r="G2517" s="4" t="s">
        <v>374</v>
      </c>
      <c r="H2517" s="4"/>
      <c r="I2517" s="196">
        <v>-4208850</v>
      </c>
      <c r="J2517" s="196">
        <v>-2985</v>
      </c>
      <c r="K2517" s="196">
        <v>1410</v>
      </c>
      <c r="L2517" s="454" t="s">
        <v>919</v>
      </c>
      <c r="M2517" s="4" t="s">
        <v>1540</v>
      </c>
      <c r="N2517" s="133" t="s">
        <v>1407</v>
      </c>
      <c r="O2517" s="4" t="s">
        <v>1850</v>
      </c>
      <c r="P2517" s="4" t="s">
        <v>1832</v>
      </c>
      <c r="Q2517" s="4" t="s">
        <v>1851</v>
      </c>
      <c r="R2517" s="4"/>
      <c r="S2517" s="4" t="s">
        <v>1852</v>
      </c>
      <c r="T2517" s="4" t="s">
        <v>786</v>
      </c>
      <c r="U2517" s="4"/>
      <c r="V2517" s="4"/>
      <c r="W2517" s="4"/>
    </row>
    <row r="2518" spans="1:23" customFormat="1">
      <c r="A2518" s="10"/>
      <c r="B2518" s="4"/>
      <c r="C2518" s="4"/>
      <c r="D2518" s="4"/>
      <c r="E2518" s="4"/>
      <c r="F2518" s="152" t="s">
        <v>373</v>
      </c>
      <c r="G2518" s="4" t="s">
        <v>374</v>
      </c>
      <c r="H2518" s="4"/>
      <c r="I2518" s="196">
        <v>-186825</v>
      </c>
      <c r="J2518" s="196">
        <v>-132.5</v>
      </c>
      <c r="K2518" s="196">
        <v>1410</v>
      </c>
      <c r="L2518" s="454" t="s">
        <v>919</v>
      </c>
      <c r="M2518" s="4" t="s">
        <v>1540</v>
      </c>
      <c r="N2518" s="133" t="s">
        <v>1407</v>
      </c>
      <c r="O2518" s="4" t="s">
        <v>1853</v>
      </c>
      <c r="P2518" s="4" t="s">
        <v>1832</v>
      </c>
      <c r="Q2518" s="4" t="s">
        <v>1854</v>
      </c>
      <c r="R2518" s="4"/>
      <c r="S2518" s="4" t="s">
        <v>1855</v>
      </c>
      <c r="T2518" s="4" t="s">
        <v>786</v>
      </c>
      <c r="U2518" s="4"/>
      <c r="V2518" s="4"/>
      <c r="W2518" s="4"/>
    </row>
    <row r="2519" spans="1:23" customFormat="1">
      <c r="A2519" s="10"/>
      <c r="B2519" s="4"/>
      <c r="C2519" s="4"/>
      <c r="D2519" s="4"/>
      <c r="E2519" s="4"/>
      <c r="F2519" s="152" t="s">
        <v>373</v>
      </c>
      <c r="G2519" s="4" t="s">
        <v>374</v>
      </c>
      <c r="H2519" s="4"/>
      <c r="I2519" s="196">
        <v>-2822115</v>
      </c>
      <c r="J2519" s="196">
        <v>-2001.5</v>
      </c>
      <c r="K2519" s="196">
        <v>1410</v>
      </c>
      <c r="L2519" s="454" t="s">
        <v>919</v>
      </c>
      <c r="M2519" s="4" t="s">
        <v>1540</v>
      </c>
      <c r="N2519" s="133" t="s">
        <v>1407</v>
      </c>
      <c r="O2519" s="4" t="s">
        <v>1856</v>
      </c>
      <c r="P2519" s="4" t="s">
        <v>1832</v>
      </c>
      <c r="Q2519" s="4" t="s">
        <v>1857</v>
      </c>
      <c r="R2519" s="4"/>
      <c r="S2519" s="4" t="s">
        <v>1858</v>
      </c>
      <c r="T2519" s="4" t="s">
        <v>786</v>
      </c>
      <c r="U2519" s="4"/>
      <c r="V2519" s="4"/>
      <c r="W2519" s="4"/>
    </row>
    <row r="2520" spans="1:23" customFormat="1">
      <c r="A2520" s="10"/>
      <c r="B2520" s="4"/>
      <c r="C2520" s="4"/>
      <c r="D2520" s="4"/>
      <c r="E2520" s="4"/>
      <c r="F2520" s="152" t="s">
        <v>373</v>
      </c>
      <c r="G2520" s="4" t="s">
        <v>374</v>
      </c>
      <c r="H2520" s="4"/>
      <c r="I2520" s="196">
        <v>-1565805</v>
      </c>
      <c r="J2520" s="196">
        <v>-1110.5</v>
      </c>
      <c r="K2520" s="196">
        <v>1410</v>
      </c>
      <c r="L2520" s="454" t="s">
        <v>919</v>
      </c>
      <c r="M2520" s="4" t="s">
        <v>1540</v>
      </c>
      <c r="N2520" s="133" t="s">
        <v>1407</v>
      </c>
      <c r="O2520" s="4" t="s">
        <v>1859</v>
      </c>
      <c r="P2520" s="4" t="s">
        <v>1832</v>
      </c>
      <c r="Q2520" s="4" t="s">
        <v>1860</v>
      </c>
      <c r="R2520" s="4"/>
      <c r="S2520" s="4" t="s">
        <v>1861</v>
      </c>
      <c r="T2520" s="4" t="s">
        <v>786</v>
      </c>
      <c r="U2520" s="4"/>
      <c r="V2520" s="4"/>
      <c r="W2520" s="4"/>
    </row>
    <row r="2521" spans="1:23" customFormat="1">
      <c r="A2521" s="10"/>
      <c r="B2521" s="4"/>
      <c r="C2521" s="4"/>
      <c r="D2521" s="4"/>
      <c r="E2521" s="4"/>
      <c r="F2521" s="152" t="s">
        <v>373</v>
      </c>
      <c r="G2521" s="4" t="s">
        <v>374</v>
      </c>
      <c r="H2521" s="4"/>
      <c r="I2521" s="196">
        <v>-3399510</v>
      </c>
      <c r="J2521" s="196">
        <v>-2411</v>
      </c>
      <c r="K2521" s="196">
        <v>1410</v>
      </c>
      <c r="L2521" s="454" t="s">
        <v>919</v>
      </c>
      <c r="M2521" s="4" t="s">
        <v>1540</v>
      </c>
      <c r="N2521" s="133" t="s">
        <v>1407</v>
      </c>
      <c r="O2521" s="4" t="s">
        <v>1862</v>
      </c>
      <c r="P2521" s="4" t="s">
        <v>1832</v>
      </c>
      <c r="Q2521" s="4" t="s">
        <v>1863</v>
      </c>
      <c r="R2521" s="4"/>
      <c r="S2521" s="4" t="s">
        <v>1864</v>
      </c>
      <c r="T2521" s="4" t="s">
        <v>786</v>
      </c>
      <c r="U2521" s="4"/>
      <c r="V2521" s="4"/>
      <c r="W2521" s="4"/>
    </row>
    <row r="2522" spans="1:23" customFormat="1">
      <c r="A2522" s="10"/>
      <c r="B2522" s="4"/>
      <c r="C2522" s="4"/>
      <c r="D2522" s="4"/>
      <c r="E2522" s="4"/>
      <c r="F2522" s="152" t="s">
        <v>373</v>
      </c>
      <c r="G2522" s="4" t="s">
        <v>374</v>
      </c>
      <c r="H2522" s="4"/>
      <c r="I2522" s="196">
        <v>-2928040</v>
      </c>
      <c r="J2522" s="196">
        <v>-2062</v>
      </c>
      <c r="K2522" s="196">
        <v>1420</v>
      </c>
      <c r="L2522" s="454" t="s">
        <v>919</v>
      </c>
      <c r="M2522" s="4" t="s">
        <v>1540</v>
      </c>
      <c r="N2522" s="133" t="s">
        <v>1407</v>
      </c>
      <c r="O2522" s="4" t="s">
        <v>1865</v>
      </c>
      <c r="P2522" s="4" t="s">
        <v>1832</v>
      </c>
      <c r="Q2522" s="4" t="s">
        <v>1866</v>
      </c>
      <c r="R2522" s="4"/>
      <c r="S2522" s="4" t="s">
        <v>1867</v>
      </c>
      <c r="T2522" s="4" t="s">
        <v>786</v>
      </c>
      <c r="U2522" s="4"/>
      <c r="V2522" s="4"/>
      <c r="W2522" s="4"/>
    </row>
    <row r="2523" spans="1:23" customFormat="1">
      <c r="A2523" s="10"/>
      <c r="B2523" s="4"/>
      <c r="C2523" s="4"/>
      <c r="D2523" s="4"/>
      <c r="E2523" s="4"/>
      <c r="F2523" s="152" t="s">
        <v>373</v>
      </c>
      <c r="G2523" s="4" t="s">
        <v>374</v>
      </c>
      <c r="H2523" s="4"/>
      <c r="I2523" s="196">
        <v>-4758420</v>
      </c>
      <c r="J2523" s="196">
        <v>-3351</v>
      </c>
      <c r="K2523" s="196">
        <v>1420</v>
      </c>
      <c r="L2523" s="454" t="s">
        <v>919</v>
      </c>
      <c r="M2523" s="4" t="s">
        <v>1540</v>
      </c>
      <c r="N2523" s="133" t="s">
        <v>1407</v>
      </c>
      <c r="O2523" s="4" t="s">
        <v>1868</v>
      </c>
      <c r="P2523" s="4" t="s">
        <v>1832</v>
      </c>
      <c r="Q2523" s="4" t="s">
        <v>1869</v>
      </c>
      <c r="R2523" s="4"/>
      <c r="S2523" s="4" t="s">
        <v>1870</v>
      </c>
      <c r="T2523" s="4" t="s">
        <v>786</v>
      </c>
      <c r="U2523" s="4"/>
      <c r="V2523" s="4"/>
      <c r="W2523" s="4"/>
    </row>
    <row r="2524" spans="1:23" customFormat="1">
      <c r="A2524" s="10"/>
      <c r="B2524" s="4"/>
      <c r="C2524" s="4"/>
      <c r="D2524" s="4"/>
      <c r="E2524" s="4"/>
      <c r="F2524" s="152" t="s">
        <v>373</v>
      </c>
      <c r="G2524" s="4" t="s">
        <v>374</v>
      </c>
      <c r="H2524" s="4"/>
      <c r="I2524" s="196">
        <v>-1994390</v>
      </c>
      <c r="J2524" s="196">
        <v>-1404.5</v>
      </c>
      <c r="K2524" s="196">
        <v>1420</v>
      </c>
      <c r="L2524" s="454" t="s">
        <v>919</v>
      </c>
      <c r="M2524" s="4" t="s">
        <v>1540</v>
      </c>
      <c r="N2524" s="133" t="s">
        <v>1407</v>
      </c>
      <c r="O2524" s="4" t="s">
        <v>1871</v>
      </c>
      <c r="P2524" s="4" t="s">
        <v>1832</v>
      </c>
      <c r="Q2524" s="4" t="s">
        <v>1872</v>
      </c>
      <c r="R2524" s="4"/>
      <c r="S2524" s="4" t="s">
        <v>1873</v>
      </c>
      <c r="T2524" s="4" t="s">
        <v>786</v>
      </c>
      <c r="U2524" s="4"/>
      <c r="V2524" s="4"/>
      <c r="W2524" s="4"/>
    </row>
    <row r="2525" spans="1:23" customFormat="1">
      <c r="A2525" s="10"/>
      <c r="B2525" s="4"/>
      <c r="C2525" s="4"/>
      <c r="D2525" s="4"/>
      <c r="E2525" s="4"/>
      <c r="F2525" s="152" t="s">
        <v>373</v>
      </c>
      <c r="G2525" s="4" t="s">
        <v>374</v>
      </c>
      <c r="H2525" s="4"/>
      <c r="I2525" s="196">
        <v>-3908550</v>
      </c>
      <c r="J2525" s="196">
        <v>-2752.5</v>
      </c>
      <c r="K2525" s="196">
        <v>1420</v>
      </c>
      <c r="L2525" s="454" t="s">
        <v>919</v>
      </c>
      <c r="M2525" s="4" t="s">
        <v>1540</v>
      </c>
      <c r="N2525" s="133" t="s">
        <v>1407</v>
      </c>
      <c r="O2525" s="4" t="s">
        <v>1874</v>
      </c>
      <c r="P2525" s="4" t="s">
        <v>1832</v>
      </c>
      <c r="Q2525" s="4" t="s">
        <v>1875</v>
      </c>
      <c r="R2525" s="4"/>
      <c r="S2525" s="4" t="s">
        <v>1876</v>
      </c>
      <c r="T2525" s="4" t="s">
        <v>786</v>
      </c>
      <c r="U2525" s="4"/>
      <c r="V2525" s="4"/>
      <c r="W2525" s="4"/>
    </row>
    <row r="2526" spans="1:23" customFormat="1">
      <c r="A2526" s="10"/>
      <c r="B2526" s="4"/>
      <c r="C2526" s="4"/>
      <c r="D2526" s="4"/>
      <c r="E2526" s="4"/>
      <c r="F2526" s="152" t="s">
        <v>373</v>
      </c>
      <c r="G2526" s="4" t="s">
        <v>374</v>
      </c>
      <c r="H2526" s="4"/>
      <c r="I2526" s="196">
        <v>-3225530</v>
      </c>
      <c r="J2526" s="196">
        <v>-2271.5</v>
      </c>
      <c r="K2526" s="196">
        <v>1420</v>
      </c>
      <c r="L2526" s="454" t="s">
        <v>919</v>
      </c>
      <c r="M2526" s="4" t="s">
        <v>1540</v>
      </c>
      <c r="N2526" s="133" t="s">
        <v>1407</v>
      </c>
      <c r="O2526" s="4" t="s">
        <v>1877</v>
      </c>
      <c r="P2526" s="4" t="s">
        <v>1832</v>
      </c>
      <c r="Q2526" s="4" t="s">
        <v>1878</v>
      </c>
      <c r="R2526" s="4"/>
      <c r="S2526" s="4" t="s">
        <v>1879</v>
      </c>
      <c r="T2526" s="4" t="s">
        <v>786</v>
      </c>
      <c r="U2526" s="4"/>
      <c r="V2526" s="4"/>
      <c r="W2526" s="4"/>
    </row>
    <row r="2527" spans="1:23" customFormat="1">
      <c r="A2527" s="10"/>
      <c r="B2527" s="4"/>
      <c r="C2527" s="4"/>
      <c r="D2527" s="4"/>
      <c r="E2527" s="4"/>
      <c r="F2527" s="152" t="s">
        <v>373</v>
      </c>
      <c r="G2527" s="4" t="s">
        <v>374</v>
      </c>
      <c r="H2527" s="4"/>
      <c r="I2527" s="196">
        <v>5514510</v>
      </c>
      <c r="J2527" s="196">
        <v>3911</v>
      </c>
      <c r="K2527" s="196">
        <v>1410</v>
      </c>
      <c r="L2527" s="454" t="s">
        <v>899</v>
      </c>
      <c r="M2527" s="4" t="s">
        <v>1566</v>
      </c>
      <c r="N2527" s="133" t="s">
        <v>1407</v>
      </c>
      <c r="O2527" s="4" t="s">
        <v>1880</v>
      </c>
      <c r="P2527" s="4" t="s">
        <v>1881</v>
      </c>
      <c r="Q2527" s="4" t="s">
        <v>1882</v>
      </c>
      <c r="R2527" s="4" t="s">
        <v>1883</v>
      </c>
      <c r="S2527" s="4" t="s">
        <v>1884</v>
      </c>
      <c r="T2527" s="4" t="s">
        <v>786</v>
      </c>
      <c r="U2527" s="4"/>
      <c r="V2527" s="4"/>
      <c r="W2527" s="4"/>
    </row>
    <row r="2528" spans="1:23" customFormat="1">
      <c r="A2528" s="10"/>
      <c r="B2528" s="4"/>
      <c r="C2528" s="4"/>
      <c r="D2528" s="4"/>
      <c r="E2528" s="4"/>
      <c r="F2528" s="152" t="s">
        <v>373</v>
      </c>
      <c r="G2528" s="4" t="s">
        <v>374</v>
      </c>
      <c r="H2528" s="4"/>
      <c r="I2528" s="196">
        <v>1565805</v>
      </c>
      <c r="J2528" s="196">
        <v>1110.5</v>
      </c>
      <c r="K2528" s="196">
        <v>1410</v>
      </c>
      <c r="L2528" s="454" t="s">
        <v>899</v>
      </c>
      <c r="M2528" s="4" t="s">
        <v>1566</v>
      </c>
      <c r="N2528" s="133" t="s">
        <v>1407</v>
      </c>
      <c r="O2528" s="4" t="s">
        <v>1885</v>
      </c>
      <c r="P2528" s="4" t="s">
        <v>1881</v>
      </c>
      <c r="Q2528" s="4" t="s">
        <v>1886</v>
      </c>
      <c r="R2528" s="4" t="s">
        <v>1883</v>
      </c>
      <c r="S2528" s="4" t="s">
        <v>1887</v>
      </c>
      <c r="T2528" s="4" t="s">
        <v>786</v>
      </c>
      <c r="U2528" s="4"/>
      <c r="V2528" s="4"/>
      <c r="W2528" s="4"/>
    </row>
    <row r="2529" spans="1:23" customFormat="1">
      <c r="A2529" s="10"/>
      <c r="B2529" s="4"/>
      <c r="C2529" s="4"/>
      <c r="D2529" s="4"/>
      <c r="E2529" s="4"/>
      <c r="F2529" s="152" t="s">
        <v>373</v>
      </c>
      <c r="G2529" s="4" t="s">
        <v>374</v>
      </c>
      <c r="H2529" s="4"/>
      <c r="I2529" s="196">
        <v>7832550</v>
      </c>
      <c r="J2529" s="196">
        <v>5555</v>
      </c>
      <c r="K2529" s="196">
        <v>1410</v>
      </c>
      <c r="L2529" s="454" t="s">
        <v>899</v>
      </c>
      <c r="M2529" s="4" t="s">
        <v>1566</v>
      </c>
      <c r="N2529" s="133" t="s">
        <v>1407</v>
      </c>
      <c r="O2529" s="4" t="s">
        <v>1888</v>
      </c>
      <c r="P2529" s="4" t="s">
        <v>1881</v>
      </c>
      <c r="Q2529" s="4" t="s">
        <v>1889</v>
      </c>
      <c r="R2529" s="4" t="s">
        <v>1883</v>
      </c>
      <c r="S2529" s="4" t="s">
        <v>1890</v>
      </c>
      <c r="T2529" s="4" t="s">
        <v>786</v>
      </c>
      <c r="U2529" s="4"/>
      <c r="V2529" s="4"/>
      <c r="W2529" s="4"/>
    </row>
    <row r="2530" spans="1:23" customFormat="1">
      <c r="A2530" s="10"/>
      <c r="B2530" s="4"/>
      <c r="C2530" s="4"/>
      <c r="D2530" s="4"/>
      <c r="E2530" s="4"/>
      <c r="F2530" s="152" t="s">
        <v>373</v>
      </c>
      <c r="G2530" s="4" t="s">
        <v>374</v>
      </c>
      <c r="H2530" s="4"/>
      <c r="I2530" s="196">
        <v>2249655</v>
      </c>
      <c r="J2530" s="196">
        <v>1595.5</v>
      </c>
      <c r="K2530" s="196">
        <v>1410</v>
      </c>
      <c r="L2530" s="454" t="s">
        <v>899</v>
      </c>
      <c r="M2530" s="4" t="s">
        <v>1566</v>
      </c>
      <c r="N2530" s="133" t="s">
        <v>1407</v>
      </c>
      <c r="O2530" s="4" t="s">
        <v>1891</v>
      </c>
      <c r="P2530" s="4" t="s">
        <v>1881</v>
      </c>
      <c r="Q2530" s="4" t="s">
        <v>1892</v>
      </c>
      <c r="R2530" s="4" t="s">
        <v>1883</v>
      </c>
      <c r="S2530" s="4" t="s">
        <v>1893</v>
      </c>
      <c r="T2530" s="4" t="s">
        <v>786</v>
      </c>
      <c r="U2530" s="4"/>
      <c r="V2530" s="4"/>
      <c r="W2530" s="4"/>
    </row>
    <row r="2531" spans="1:23" customFormat="1">
      <c r="A2531" s="10"/>
      <c r="B2531" s="4"/>
      <c r="C2531" s="4"/>
      <c r="D2531" s="4"/>
      <c r="E2531" s="4"/>
      <c r="F2531" s="152" t="s">
        <v>373</v>
      </c>
      <c r="G2531" s="4" t="s">
        <v>374</v>
      </c>
      <c r="H2531" s="4"/>
      <c r="I2531" s="196">
        <v>4758750</v>
      </c>
      <c r="J2531" s="196">
        <v>3375</v>
      </c>
      <c r="K2531" s="196">
        <v>1410</v>
      </c>
      <c r="L2531" s="454" t="s">
        <v>899</v>
      </c>
      <c r="M2531" s="4" t="s">
        <v>1566</v>
      </c>
      <c r="N2531" s="133" t="s">
        <v>1407</v>
      </c>
      <c r="O2531" s="4" t="s">
        <v>1894</v>
      </c>
      <c r="P2531" s="4" t="s">
        <v>1881</v>
      </c>
      <c r="Q2531" s="4" t="s">
        <v>1895</v>
      </c>
      <c r="R2531" s="4" t="s">
        <v>1896</v>
      </c>
      <c r="S2531" s="4" t="s">
        <v>1897</v>
      </c>
      <c r="T2531" s="4" t="s">
        <v>786</v>
      </c>
      <c r="U2531" s="4"/>
      <c r="V2531" s="4"/>
      <c r="W2531" s="4"/>
    </row>
    <row r="2532" spans="1:23" customFormat="1">
      <c r="A2532" s="10"/>
      <c r="B2532" s="4"/>
      <c r="C2532" s="4"/>
      <c r="D2532" s="4"/>
      <c r="E2532" s="4"/>
      <c r="F2532" s="152" t="s">
        <v>373</v>
      </c>
      <c r="G2532" s="4" t="s">
        <v>374</v>
      </c>
      <c r="H2532" s="4"/>
      <c r="I2532" s="196">
        <v>5035815</v>
      </c>
      <c r="J2532" s="196">
        <v>3571.5</v>
      </c>
      <c r="K2532" s="196">
        <v>1410</v>
      </c>
      <c r="L2532" s="454" t="s">
        <v>899</v>
      </c>
      <c r="M2532" s="4" t="s">
        <v>1566</v>
      </c>
      <c r="N2532" s="133" t="s">
        <v>1407</v>
      </c>
      <c r="O2532" s="4" t="s">
        <v>1898</v>
      </c>
      <c r="P2532" s="4" t="s">
        <v>1881</v>
      </c>
      <c r="Q2532" s="4" t="s">
        <v>1899</v>
      </c>
      <c r="R2532" s="4" t="s">
        <v>1896</v>
      </c>
      <c r="S2532" s="4" t="s">
        <v>1900</v>
      </c>
      <c r="T2532" s="4" t="s">
        <v>786</v>
      </c>
      <c r="U2532" s="4"/>
      <c r="V2532" s="4"/>
      <c r="W2532" s="4"/>
    </row>
    <row r="2533" spans="1:23" customFormat="1">
      <c r="A2533" s="10"/>
      <c r="B2533" s="4"/>
      <c r="C2533" s="4"/>
      <c r="D2533" s="4"/>
      <c r="E2533" s="4"/>
      <c r="F2533" s="152" t="s">
        <v>373</v>
      </c>
      <c r="G2533" s="4" t="s">
        <v>374</v>
      </c>
      <c r="H2533" s="4"/>
      <c r="I2533" s="196">
        <v>736725</v>
      </c>
      <c r="J2533" s="196">
        <v>522.5</v>
      </c>
      <c r="K2533" s="196">
        <v>1410</v>
      </c>
      <c r="L2533" s="454" t="s">
        <v>899</v>
      </c>
      <c r="M2533" s="4" t="s">
        <v>1566</v>
      </c>
      <c r="N2533" s="133" t="s">
        <v>1407</v>
      </c>
      <c r="O2533" s="4" t="s">
        <v>1901</v>
      </c>
      <c r="P2533" s="4" t="s">
        <v>1881</v>
      </c>
      <c r="Q2533" s="4" t="s">
        <v>1902</v>
      </c>
      <c r="R2533" s="4" t="s">
        <v>1896</v>
      </c>
      <c r="S2533" s="4" t="s">
        <v>1903</v>
      </c>
      <c r="T2533" s="4" t="s">
        <v>786</v>
      </c>
      <c r="U2533" s="4"/>
      <c r="V2533" s="4"/>
      <c r="W2533" s="4"/>
    </row>
    <row r="2534" spans="1:23" customFormat="1">
      <c r="A2534" s="10"/>
      <c r="B2534" s="4"/>
      <c r="C2534" s="4"/>
      <c r="D2534" s="4"/>
      <c r="E2534" s="4"/>
      <c r="F2534" s="152" t="s">
        <v>373</v>
      </c>
      <c r="G2534" s="4" t="s">
        <v>374</v>
      </c>
      <c r="H2534" s="4"/>
      <c r="I2534" s="196">
        <v>5901555</v>
      </c>
      <c r="J2534" s="196">
        <v>4185.5</v>
      </c>
      <c r="K2534" s="196">
        <v>1410</v>
      </c>
      <c r="L2534" s="454" t="s">
        <v>899</v>
      </c>
      <c r="M2534" s="4" t="s">
        <v>1566</v>
      </c>
      <c r="N2534" s="133" t="s">
        <v>1407</v>
      </c>
      <c r="O2534" s="4" t="s">
        <v>1904</v>
      </c>
      <c r="P2534" s="4" t="s">
        <v>1881</v>
      </c>
      <c r="Q2534" s="4" t="s">
        <v>1905</v>
      </c>
      <c r="R2534" s="4" t="s">
        <v>1906</v>
      </c>
      <c r="S2534" s="4" t="s">
        <v>1907</v>
      </c>
      <c r="T2534" s="4" t="s">
        <v>786</v>
      </c>
      <c r="U2534" s="4"/>
      <c r="V2534" s="4"/>
      <c r="W2534" s="4"/>
    </row>
    <row r="2535" spans="1:23" customFormat="1">
      <c r="A2535" s="10"/>
      <c r="B2535" s="4"/>
      <c r="C2535" s="4"/>
      <c r="D2535" s="4"/>
      <c r="E2535" s="4"/>
      <c r="F2535" s="152" t="s">
        <v>373</v>
      </c>
      <c r="G2535" s="4" t="s">
        <v>374</v>
      </c>
      <c r="H2535" s="4"/>
      <c r="I2535" s="196">
        <v>-4914555</v>
      </c>
      <c r="J2535" s="196">
        <v>-3485.5</v>
      </c>
      <c r="K2535" s="196">
        <v>1410</v>
      </c>
      <c r="L2535" s="454" t="s">
        <v>2024</v>
      </c>
      <c r="M2535" s="4" t="s">
        <v>1540</v>
      </c>
      <c r="N2535" s="133" t="s">
        <v>1407</v>
      </c>
      <c r="O2535" s="4" t="s">
        <v>2025</v>
      </c>
      <c r="P2535" s="4" t="s">
        <v>1832</v>
      </c>
      <c r="Q2535" s="4" t="s">
        <v>2026</v>
      </c>
      <c r="R2535" s="4"/>
      <c r="S2535" s="4" t="s">
        <v>2027</v>
      </c>
      <c r="T2535" s="4" t="s">
        <v>786</v>
      </c>
      <c r="U2535" s="4"/>
      <c r="V2535" s="4"/>
      <c r="W2535" s="4"/>
    </row>
    <row r="2536" spans="1:23" customFormat="1">
      <c r="A2536" s="10"/>
      <c r="B2536" s="4"/>
      <c r="C2536" s="4"/>
      <c r="D2536" s="4"/>
      <c r="E2536" s="4"/>
      <c r="F2536" s="152" t="s">
        <v>373</v>
      </c>
      <c r="G2536" s="4" t="s">
        <v>374</v>
      </c>
      <c r="H2536" s="4"/>
      <c r="I2536" s="196">
        <v>-37500</v>
      </c>
      <c r="J2536" s="196">
        <v>-25</v>
      </c>
      <c r="K2536" s="196">
        <v>1500</v>
      </c>
      <c r="L2536" s="454" t="s">
        <v>1305</v>
      </c>
      <c r="M2536" s="4" t="s">
        <v>1540</v>
      </c>
      <c r="N2536" s="133" t="s">
        <v>1407</v>
      </c>
      <c r="O2536" s="4" t="s">
        <v>2028</v>
      </c>
      <c r="P2536" s="4" t="s">
        <v>1832</v>
      </c>
      <c r="Q2536" s="4" t="s">
        <v>2029</v>
      </c>
      <c r="R2536" s="4"/>
      <c r="S2536" s="4" t="s">
        <v>2030</v>
      </c>
      <c r="T2536" s="4" t="s">
        <v>786</v>
      </c>
      <c r="U2536" s="4"/>
      <c r="V2536" s="4"/>
      <c r="W2536" s="4"/>
    </row>
    <row r="2537" spans="1:23" customFormat="1">
      <c r="A2537" s="10"/>
      <c r="B2537" s="4"/>
      <c r="C2537" s="4"/>
      <c r="D2537" s="4"/>
      <c r="E2537" s="4"/>
      <c r="F2537" s="152" t="s">
        <v>373</v>
      </c>
      <c r="G2537" s="4" t="s">
        <v>374</v>
      </c>
      <c r="H2537" s="4"/>
      <c r="I2537" s="196">
        <v>-37500</v>
      </c>
      <c r="J2537" s="196">
        <v>-25</v>
      </c>
      <c r="K2537" s="196">
        <v>1500</v>
      </c>
      <c r="L2537" s="454" t="s">
        <v>1017</v>
      </c>
      <c r="M2537" s="4" t="s">
        <v>1540</v>
      </c>
      <c r="N2537" s="133" t="s">
        <v>1407</v>
      </c>
      <c r="O2537" s="4" t="s">
        <v>2031</v>
      </c>
      <c r="P2537" s="4" t="s">
        <v>1832</v>
      </c>
      <c r="Q2537" s="4" t="s">
        <v>2032</v>
      </c>
      <c r="R2537" s="4"/>
      <c r="S2537" s="4" t="s">
        <v>2033</v>
      </c>
      <c r="T2537" s="4" t="s">
        <v>786</v>
      </c>
      <c r="U2537" s="4"/>
      <c r="V2537" s="4"/>
      <c r="W2537" s="4"/>
    </row>
    <row r="2538" spans="1:23" customFormat="1">
      <c r="A2538" s="10"/>
      <c r="B2538" s="4"/>
      <c r="C2538" s="4"/>
      <c r="D2538" s="4"/>
      <c r="E2538" s="4"/>
      <c r="F2538" s="152" t="s">
        <v>373</v>
      </c>
      <c r="G2538" s="4" t="s">
        <v>374</v>
      </c>
      <c r="H2538" s="4"/>
      <c r="I2538" s="196">
        <v>-1515000</v>
      </c>
      <c r="J2538" s="196">
        <v>-1010</v>
      </c>
      <c r="K2538" s="196">
        <v>1500</v>
      </c>
      <c r="L2538" s="454" t="s">
        <v>1017</v>
      </c>
      <c r="M2538" s="4" t="s">
        <v>1540</v>
      </c>
      <c r="N2538" s="133" t="s">
        <v>1407</v>
      </c>
      <c r="O2538" s="4" t="s">
        <v>2034</v>
      </c>
      <c r="P2538" s="4" t="s">
        <v>1832</v>
      </c>
      <c r="Q2538" s="4" t="s">
        <v>2035</v>
      </c>
      <c r="R2538" s="4"/>
      <c r="S2538" s="4" t="s">
        <v>2036</v>
      </c>
      <c r="T2538" s="4" t="s">
        <v>786</v>
      </c>
      <c r="U2538" s="4"/>
      <c r="V2538" s="4"/>
      <c r="W2538" s="4"/>
    </row>
    <row r="2539" spans="1:23" customFormat="1">
      <c r="A2539" s="10"/>
      <c r="B2539" s="4"/>
      <c r="C2539" s="4"/>
      <c r="D2539" s="4"/>
      <c r="E2539" s="4"/>
      <c r="F2539" s="152" t="s">
        <v>373</v>
      </c>
      <c r="G2539" s="4" t="s">
        <v>374</v>
      </c>
      <c r="H2539" s="4"/>
      <c r="I2539" s="196">
        <v>-3240000</v>
      </c>
      <c r="J2539" s="196">
        <v>-2160</v>
      </c>
      <c r="K2539" s="196">
        <v>1500</v>
      </c>
      <c r="L2539" s="454" t="s">
        <v>1017</v>
      </c>
      <c r="M2539" s="4" t="s">
        <v>1540</v>
      </c>
      <c r="N2539" s="133" t="s">
        <v>1407</v>
      </c>
      <c r="O2539" s="4" t="s">
        <v>2037</v>
      </c>
      <c r="P2539" s="4" t="s">
        <v>1832</v>
      </c>
      <c r="Q2539" s="4" t="s">
        <v>2038</v>
      </c>
      <c r="R2539" s="4"/>
      <c r="S2539" s="4" t="s">
        <v>2039</v>
      </c>
      <c r="T2539" s="4" t="s">
        <v>786</v>
      </c>
      <c r="U2539" s="4"/>
      <c r="V2539" s="4"/>
      <c r="W2539" s="4"/>
    </row>
    <row r="2540" spans="1:23" customFormat="1">
      <c r="A2540" s="10"/>
      <c r="B2540" s="4"/>
      <c r="C2540" s="4"/>
      <c r="D2540" s="4"/>
      <c r="E2540" s="4"/>
      <c r="F2540" s="152" t="s">
        <v>373</v>
      </c>
      <c r="G2540" s="4" t="s">
        <v>374</v>
      </c>
      <c r="H2540" s="4"/>
      <c r="I2540" s="196">
        <v>-2287500</v>
      </c>
      <c r="J2540" s="196">
        <v>-1525</v>
      </c>
      <c r="K2540" s="196">
        <v>1500</v>
      </c>
      <c r="L2540" s="454" t="s">
        <v>1017</v>
      </c>
      <c r="M2540" s="4" t="s">
        <v>1540</v>
      </c>
      <c r="N2540" s="133" t="s">
        <v>1407</v>
      </c>
      <c r="O2540" s="4" t="s">
        <v>2040</v>
      </c>
      <c r="P2540" s="4" t="s">
        <v>1832</v>
      </c>
      <c r="Q2540" s="4" t="s">
        <v>2041</v>
      </c>
      <c r="R2540" s="4"/>
      <c r="S2540" s="4" t="s">
        <v>2042</v>
      </c>
      <c r="T2540" s="4" t="s">
        <v>786</v>
      </c>
      <c r="U2540" s="4"/>
      <c r="V2540" s="4"/>
      <c r="W2540" s="4"/>
    </row>
    <row r="2541" spans="1:23" customFormat="1">
      <c r="A2541" s="10"/>
      <c r="B2541" s="4"/>
      <c r="C2541" s="4"/>
      <c r="D2541" s="4"/>
      <c r="E2541" s="4"/>
      <c r="F2541" s="152" t="s">
        <v>373</v>
      </c>
      <c r="G2541" s="4" t="s">
        <v>374</v>
      </c>
      <c r="H2541" s="4"/>
      <c r="I2541" s="196">
        <v>-825000</v>
      </c>
      <c r="J2541" s="196">
        <v>-550</v>
      </c>
      <c r="K2541" s="196">
        <v>1500</v>
      </c>
      <c r="L2541" s="454" t="s">
        <v>1017</v>
      </c>
      <c r="M2541" s="4" t="s">
        <v>1540</v>
      </c>
      <c r="N2541" s="133" t="s">
        <v>1407</v>
      </c>
      <c r="O2541" s="4" t="s">
        <v>2043</v>
      </c>
      <c r="P2541" s="4" t="s">
        <v>1832</v>
      </c>
      <c r="Q2541" s="4" t="s">
        <v>2044</v>
      </c>
      <c r="R2541" s="4"/>
      <c r="S2541" s="4" t="s">
        <v>2045</v>
      </c>
      <c r="T2541" s="4" t="s">
        <v>786</v>
      </c>
      <c r="U2541" s="4"/>
      <c r="V2541" s="4"/>
      <c r="W2541" s="4"/>
    </row>
    <row r="2542" spans="1:23" customFormat="1">
      <c r="A2542" s="10"/>
      <c r="B2542" s="4"/>
      <c r="C2542" s="4"/>
      <c r="D2542" s="4"/>
      <c r="E2542" s="4"/>
      <c r="F2542" s="152" t="s">
        <v>373</v>
      </c>
      <c r="G2542" s="4" t="s">
        <v>374</v>
      </c>
      <c r="H2542" s="4"/>
      <c r="I2542" s="196">
        <v>-90000</v>
      </c>
      <c r="J2542" s="196">
        <v>-60</v>
      </c>
      <c r="K2542" s="196">
        <v>1500</v>
      </c>
      <c r="L2542" s="454" t="s">
        <v>1017</v>
      </c>
      <c r="M2542" s="4" t="s">
        <v>1540</v>
      </c>
      <c r="N2542" s="133" t="s">
        <v>1407</v>
      </c>
      <c r="O2542" s="4" t="s">
        <v>2046</v>
      </c>
      <c r="P2542" s="4" t="s">
        <v>1832</v>
      </c>
      <c r="Q2542" s="4" t="s">
        <v>2047</v>
      </c>
      <c r="R2542" s="4"/>
      <c r="S2542" s="4" t="s">
        <v>2048</v>
      </c>
      <c r="T2542" s="4" t="s">
        <v>786</v>
      </c>
      <c r="U2542" s="4"/>
      <c r="V2542" s="4"/>
      <c r="W2542" s="4"/>
    </row>
    <row r="2543" spans="1:23" customFormat="1">
      <c r="A2543" s="10"/>
      <c r="B2543" s="4"/>
      <c r="C2543" s="4"/>
      <c r="D2543" s="4"/>
      <c r="E2543" s="4"/>
      <c r="F2543" s="152" t="s">
        <v>373</v>
      </c>
      <c r="G2543" s="4" t="s">
        <v>374</v>
      </c>
      <c r="H2543" s="4"/>
      <c r="I2543" s="196">
        <v>-75000</v>
      </c>
      <c r="J2543" s="196">
        <v>-50</v>
      </c>
      <c r="K2543" s="196">
        <v>1500</v>
      </c>
      <c r="L2543" s="454" t="s">
        <v>1017</v>
      </c>
      <c r="M2543" s="4" t="s">
        <v>1540</v>
      </c>
      <c r="N2543" s="133" t="s">
        <v>1407</v>
      </c>
      <c r="O2543" s="4" t="s">
        <v>2049</v>
      </c>
      <c r="P2543" s="4" t="s">
        <v>1832</v>
      </c>
      <c r="Q2543" s="4" t="s">
        <v>2050</v>
      </c>
      <c r="R2543" s="4"/>
      <c r="S2543" s="4" t="s">
        <v>2051</v>
      </c>
      <c r="T2543" s="4" t="s">
        <v>786</v>
      </c>
      <c r="U2543" s="4"/>
      <c r="V2543" s="4"/>
      <c r="W2543" s="4"/>
    </row>
    <row r="2544" spans="1:23" customFormat="1">
      <c r="A2544" s="10"/>
      <c r="B2544" s="4"/>
      <c r="C2544" s="4"/>
      <c r="D2544" s="4"/>
      <c r="E2544" s="4"/>
      <c r="F2544" s="152" t="s">
        <v>373</v>
      </c>
      <c r="G2544" s="4" t="s">
        <v>374</v>
      </c>
      <c r="H2544" s="4"/>
      <c r="I2544" s="196">
        <v>5625000</v>
      </c>
      <c r="J2544" s="196">
        <v>3750</v>
      </c>
      <c r="K2544" s="196">
        <v>1500</v>
      </c>
      <c r="L2544" s="454" t="s">
        <v>1017</v>
      </c>
      <c r="M2544" s="4" t="s">
        <v>1566</v>
      </c>
      <c r="N2544" s="133" t="s">
        <v>1407</v>
      </c>
      <c r="O2544" s="4" t="s">
        <v>2052</v>
      </c>
      <c r="P2544" s="4" t="s">
        <v>1881</v>
      </c>
      <c r="Q2544" s="4" t="s">
        <v>2053</v>
      </c>
      <c r="R2544" s="4" t="s">
        <v>2054</v>
      </c>
      <c r="S2544" s="4" t="s">
        <v>2055</v>
      </c>
      <c r="T2544" s="4" t="s">
        <v>786</v>
      </c>
      <c r="U2544" s="4"/>
      <c r="V2544" s="4"/>
      <c r="W2544" s="4"/>
    </row>
    <row r="2545" spans="1:23" customFormat="1">
      <c r="A2545" s="10"/>
      <c r="B2545" s="4"/>
      <c r="C2545" s="4"/>
      <c r="D2545" s="4"/>
      <c r="E2545" s="4"/>
      <c r="F2545" s="152" t="s">
        <v>373</v>
      </c>
      <c r="G2545" s="4" t="s">
        <v>374</v>
      </c>
      <c r="H2545" s="4"/>
      <c r="I2545" s="196">
        <v>6262500</v>
      </c>
      <c r="J2545" s="196">
        <v>4175</v>
      </c>
      <c r="K2545" s="196">
        <v>1500</v>
      </c>
      <c r="L2545" s="454" t="s">
        <v>1017</v>
      </c>
      <c r="M2545" s="4" t="s">
        <v>1566</v>
      </c>
      <c r="N2545" s="133" t="s">
        <v>1407</v>
      </c>
      <c r="O2545" s="4" t="s">
        <v>2058</v>
      </c>
      <c r="P2545" s="4" t="s">
        <v>1881</v>
      </c>
      <c r="Q2545" s="4" t="s">
        <v>2059</v>
      </c>
      <c r="R2545" s="4" t="s">
        <v>2054</v>
      </c>
      <c r="S2545" s="4" t="s">
        <v>2060</v>
      </c>
      <c r="T2545" s="4" t="s">
        <v>786</v>
      </c>
      <c r="U2545" s="4"/>
      <c r="V2545" s="4"/>
      <c r="W2545" s="4"/>
    </row>
    <row r="2546" spans="1:23" customFormat="1">
      <c r="A2546" s="10"/>
      <c r="B2546" s="4"/>
      <c r="C2546" s="4"/>
      <c r="D2546" s="4"/>
      <c r="E2546" s="4"/>
      <c r="F2546" s="152" t="s">
        <v>373</v>
      </c>
      <c r="G2546" s="4" t="s">
        <v>374</v>
      </c>
      <c r="H2546" s="4"/>
      <c r="I2546" s="196">
        <v>3240000</v>
      </c>
      <c r="J2546" s="196">
        <v>2160</v>
      </c>
      <c r="K2546" s="196">
        <v>1500</v>
      </c>
      <c r="L2546" s="454" t="s">
        <v>1017</v>
      </c>
      <c r="M2546" s="4" t="s">
        <v>1566</v>
      </c>
      <c r="N2546" s="133" t="s">
        <v>1407</v>
      </c>
      <c r="O2546" s="4" t="s">
        <v>2061</v>
      </c>
      <c r="P2546" s="4" t="s">
        <v>1881</v>
      </c>
      <c r="Q2546" s="4" t="s">
        <v>2062</v>
      </c>
      <c r="R2546" s="4" t="s">
        <v>2054</v>
      </c>
      <c r="S2546" s="4" t="s">
        <v>2063</v>
      </c>
      <c r="T2546" s="4" t="s">
        <v>786</v>
      </c>
      <c r="U2546" s="4"/>
      <c r="V2546" s="4"/>
      <c r="W2546" s="4"/>
    </row>
    <row r="2547" spans="1:23" customFormat="1">
      <c r="A2547" s="10"/>
      <c r="B2547" s="4"/>
      <c r="C2547" s="4"/>
      <c r="D2547" s="4"/>
      <c r="E2547" s="4"/>
      <c r="F2547" s="152" t="s">
        <v>373</v>
      </c>
      <c r="G2547" s="4" t="s">
        <v>374</v>
      </c>
      <c r="H2547" s="4"/>
      <c r="I2547" s="196">
        <v>5795250</v>
      </c>
      <c r="J2547" s="196">
        <v>3863.5</v>
      </c>
      <c r="K2547" s="196">
        <v>1500</v>
      </c>
      <c r="L2547" s="454" t="s">
        <v>1017</v>
      </c>
      <c r="M2547" s="4" t="s">
        <v>1566</v>
      </c>
      <c r="N2547" s="133" t="s">
        <v>1407</v>
      </c>
      <c r="O2547" s="4" t="s">
        <v>2064</v>
      </c>
      <c r="P2547" s="4" t="s">
        <v>1881</v>
      </c>
      <c r="Q2547" s="4" t="s">
        <v>2065</v>
      </c>
      <c r="R2547" s="4" t="s">
        <v>2054</v>
      </c>
      <c r="S2547" s="4" t="s">
        <v>2066</v>
      </c>
      <c r="T2547" s="4" t="s">
        <v>786</v>
      </c>
      <c r="U2547" s="4"/>
      <c r="V2547" s="4"/>
      <c r="W2547" s="4"/>
    </row>
    <row r="2548" spans="1:23" customFormat="1">
      <c r="A2548" s="10"/>
      <c r="B2548" s="4"/>
      <c r="C2548" s="4"/>
      <c r="D2548" s="4"/>
      <c r="E2548" s="4"/>
      <c r="F2548" s="152" t="s">
        <v>373</v>
      </c>
      <c r="G2548" s="4" t="s">
        <v>374</v>
      </c>
      <c r="H2548" s="4"/>
      <c r="I2548" s="196">
        <v>3112500</v>
      </c>
      <c r="J2548" s="196">
        <v>2075</v>
      </c>
      <c r="K2548" s="196">
        <v>1500</v>
      </c>
      <c r="L2548" s="454" t="s">
        <v>1017</v>
      </c>
      <c r="M2548" s="4" t="s">
        <v>1566</v>
      </c>
      <c r="N2548" s="133" t="s">
        <v>1407</v>
      </c>
      <c r="O2548" s="4" t="s">
        <v>2067</v>
      </c>
      <c r="P2548" s="4" t="s">
        <v>1881</v>
      </c>
      <c r="Q2548" s="4" t="s">
        <v>2068</v>
      </c>
      <c r="R2548" s="4" t="s">
        <v>2069</v>
      </c>
      <c r="S2548" s="4" t="s">
        <v>2070</v>
      </c>
      <c r="T2548" s="4" t="s">
        <v>786</v>
      </c>
      <c r="U2548" s="4"/>
      <c r="V2548" s="4"/>
      <c r="W2548" s="4"/>
    </row>
    <row r="2549" spans="1:23" customFormat="1">
      <c r="A2549" s="10"/>
      <c r="B2549" s="4"/>
      <c r="C2549" s="4"/>
      <c r="D2549" s="4"/>
      <c r="E2549" s="4"/>
      <c r="F2549" s="152" t="s">
        <v>373</v>
      </c>
      <c r="G2549" s="4" t="s">
        <v>374</v>
      </c>
      <c r="H2549" s="4"/>
      <c r="I2549" s="196">
        <v>2895000</v>
      </c>
      <c r="J2549" s="196">
        <v>1930</v>
      </c>
      <c r="K2549" s="196">
        <v>1500</v>
      </c>
      <c r="L2549" s="454" t="s">
        <v>1017</v>
      </c>
      <c r="M2549" s="4" t="s">
        <v>1566</v>
      </c>
      <c r="N2549" s="133" t="s">
        <v>1407</v>
      </c>
      <c r="O2549" s="4" t="s">
        <v>2071</v>
      </c>
      <c r="P2549" s="4" t="s">
        <v>1881</v>
      </c>
      <c r="Q2549" s="4" t="s">
        <v>2072</v>
      </c>
      <c r="R2549" s="4" t="s">
        <v>2069</v>
      </c>
      <c r="S2549" s="4" t="s">
        <v>2073</v>
      </c>
      <c r="T2549" s="4" t="s">
        <v>786</v>
      </c>
      <c r="U2549" s="4"/>
      <c r="V2549" s="4"/>
      <c r="W2549" s="4"/>
    </row>
    <row r="2550" spans="1:23" customFormat="1">
      <c r="A2550" s="10"/>
      <c r="B2550" s="4"/>
      <c r="C2550" s="4"/>
      <c r="D2550" s="4"/>
      <c r="E2550" s="4"/>
      <c r="F2550" s="152" t="s">
        <v>373</v>
      </c>
      <c r="G2550" s="4" t="s">
        <v>374</v>
      </c>
      <c r="H2550" s="4"/>
      <c r="I2550" s="196">
        <v>6900000</v>
      </c>
      <c r="J2550" s="196">
        <v>4600</v>
      </c>
      <c r="K2550" s="196">
        <v>1500</v>
      </c>
      <c r="L2550" s="454" t="s">
        <v>1017</v>
      </c>
      <c r="M2550" s="4" t="s">
        <v>1566</v>
      </c>
      <c r="N2550" s="133" t="s">
        <v>1407</v>
      </c>
      <c r="O2550" s="4" t="s">
        <v>2074</v>
      </c>
      <c r="P2550" s="4" t="s">
        <v>1881</v>
      </c>
      <c r="Q2550" s="4" t="s">
        <v>2075</v>
      </c>
      <c r="R2550" s="4" t="s">
        <v>2069</v>
      </c>
      <c r="S2550" s="4" t="s">
        <v>2076</v>
      </c>
      <c r="T2550" s="4" t="s">
        <v>786</v>
      </c>
      <c r="U2550" s="4"/>
      <c r="V2550" s="4"/>
      <c r="W2550" s="4"/>
    </row>
    <row r="2551" spans="1:23" customFormat="1">
      <c r="A2551" s="10"/>
      <c r="B2551" s="4"/>
      <c r="C2551" s="4"/>
      <c r="D2551" s="4"/>
      <c r="E2551" s="4"/>
      <c r="F2551" s="152" t="s">
        <v>373</v>
      </c>
      <c r="G2551" s="4" t="s">
        <v>374</v>
      </c>
      <c r="H2551" s="4"/>
      <c r="I2551" s="196">
        <v>20888250</v>
      </c>
      <c r="J2551" s="196">
        <v>13925.5</v>
      </c>
      <c r="K2551" s="196">
        <v>1500</v>
      </c>
      <c r="L2551" s="454" t="s">
        <v>1017</v>
      </c>
      <c r="M2551" s="4" t="s">
        <v>1566</v>
      </c>
      <c r="N2551" s="133" t="s">
        <v>1407</v>
      </c>
      <c r="O2551" s="4" t="s">
        <v>2077</v>
      </c>
      <c r="P2551" s="4" t="s">
        <v>1881</v>
      </c>
      <c r="Q2551" s="4" t="s">
        <v>2078</v>
      </c>
      <c r="R2551" s="4" t="s">
        <v>2079</v>
      </c>
      <c r="S2551" s="4" t="s">
        <v>2080</v>
      </c>
      <c r="T2551" s="4" t="s">
        <v>786</v>
      </c>
      <c r="U2551" s="4"/>
      <c r="V2551" s="4"/>
      <c r="W2551" s="4"/>
    </row>
    <row r="2552" spans="1:23" customFormat="1">
      <c r="A2552" s="10"/>
      <c r="B2552" s="4"/>
      <c r="C2552" s="4"/>
      <c r="D2552" s="4"/>
      <c r="E2552" s="4"/>
      <c r="F2552" s="152" t="s">
        <v>373</v>
      </c>
      <c r="G2552" s="4" t="s">
        <v>374</v>
      </c>
      <c r="H2552" s="4"/>
      <c r="I2552" s="196">
        <v>10056750</v>
      </c>
      <c r="J2552" s="196">
        <v>6704.5</v>
      </c>
      <c r="K2552" s="196">
        <v>1500</v>
      </c>
      <c r="L2552" s="454" t="s">
        <v>1017</v>
      </c>
      <c r="M2552" s="4" t="s">
        <v>1566</v>
      </c>
      <c r="N2552" s="133" t="s">
        <v>1407</v>
      </c>
      <c r="O2552" s="4" t="s">
        <v>2081</v>
      </c>
      <c r="P2552" s="4" t="s">
        <v>1881</v>
      </c>
      <c r="Q2552" s="4" t="s">
        <v>2082</v>
      </c>
      <c r="R2552" s="4" t="s">
        <v>2083</v>
      </c>
      <c r="S2552" s="4" t="s">
        <v>2084</v>
      </c>
      <c r="T2552" s="4" t="s">
        <v>786</v>
      </c>
      <c r="U2552" s="4"/>
      <c r="V2552" s="4"/>
      <c r="W2552" s="4"/>
    </row>
    <row r="2553" spans="1:23" customFormat="1">
      <c r="A2553" s="10"/>
      <c r="B2553" s="4"/>
      <c r="C2553" s="4"/>
      <c r="D2553" s="4"/>
      <c r="E2553" s="4"/>
      <c r="F2553" s="152" t="s">
        <v>373</v>
      </c>
      <c r="G2553" s="4" t="s">
        <v>374</v>
      </c>
      <c r="H2553" s="4"/>
      <c r="I2553" s="196">
        <v>2287500</v>
      </c>
      <c r="J2553" s="196">
        <v>1525</v>
      </c>
      <c r="K2553" s="196">
        <v>1500</v>
      </c>
      <c r="L2553" s="454" t="s">
        <v>1017</v>
      </c>
      <c r="M2553" s="4" t="s">
        <v>1566</v>
      </c>
      <c r="N2553" s="133" t="s">
        <v>1407</v>
      </c>
      <c r="O2553" s="4" t="s">
        <v>2085</v>
      </c>
      <c r="P2553" s="4" t="s">
        <v>1881</v>
      </c>
      <c r="Q2553" s="4" t="s">
        <v>2086</v>
      </c>
      <c r="R2553" s="4" t="s">
        <v>2083</v>
      </c>
      <c r="S2553" s="4" t="s">
        <v>2087</v>
      </c>
      <c r="T2553" s="4" t="s">
        <v>786</v>
      </c>
      <c r="U2553" s="4"/>
      <c r="V2553" s="4"/>
      <c r="W2553" s="4"/>
    </row>
    <row r="2554" spans="1:23" customFormat="1">
      <c r="A2554" s="10"/>
      <c r="B2554" s="4"/>
      <c r="C2554" s="4"/>
      <c r="D2554" s="4"/>
      <c r="E2554" s="4"/>
      <c r="F2554" s="152" t="s">
        <v>373</v>
      </c>
      <c r="G2554" s="4" t="s">
        <v>374</v>
      </c>
      <c r="H2554" s="4"/>
      <c r="I2554" s="196">
        <v>8351999.8499999996</v>
      </c>
      <c r="J2554" s="196">
        <v>5567.9998999999998</v>
      </c>
      <c r="K2554" s="196">
        <v>1500</v>
      </c>
      <c r="L2554" s="454" t="s">
        <v>1017</v>
      </c>
      <c r="M2554" s="4" t="s">
        <v>1566</v>
      </c>
      <c r="N2554" s="133" t="s">
        <v>1407</v>
      </c>
      <c r="O2554" s="4" t="s">
        <v>2088</v>
      </c>
      <c r="P2554" s="4" t="s">
        <v>1881</v>
      </c>
      <c r="Q2554" s="4" t="s">
        <v>2089</v>
      </c>
      <c r="R2554" s="4" t="s">
        <v>2083</v>
      </c>
      <c r="S2554" s="4" t="s">
        <v>2090</v>
      </c>
      <c r="T2554" s="4" t="s">
        <v>786</v>
      </c>
      <c r="U2554" s="4"/>
      <c r="V2554" s="4"/>
      <c r="W2554" s="4"/>
    </row>
    <row r="2555" spans="1:23" customFormat="1">
      <c r="A2555" s="10"/>
      <c r="B2555" s="4"/>
      <c r="C2555" s="4"/>
      <c r="D2555" s="4"/>
      <c r="E2555" s="4"/>
      <c r="F2555" s="152" t="s">
        <v>373</v>
      </c>
      <c r="G2555" s="4" t="s">
        <v>374</v>
      </c>
      <c r="H2555" s="4"/>
      <c r="I2555" s="196">
        <v>-4280250</v>
      </c>
      <c r="J2555" s="196">
        <v>-2853.5</v>
      </c>
      <c r="K2555" s="196">
        <v>1500</v>
      </c>
      <c r="L2555" s="454" t="s">
        <v>1045</v>
      </c>
      <c r="M2555" s="4" t="s">
        <v>1540</v>
      </c>
      <c r="N2555" s="133" t="s">
        <v>1407</v>
      </c>
      <c r="O2555" s="4" t="s">
        <v>2281</v>
      </c>
      <c r="P2555" s="4" t="s">
        <v>1832</v>
      </c>
      <c r="Q2555" s="4" t="s">
        <v>2282</v>
      </c>
      <c r="R2555" s="4"/>
      <c r="S2555" s="4" t="s">
        <v>2283</v>
      </c>
      <c r="T2555" s="4" t="s">
        <v>786</v>
      </c>
      <c r="U2555" s="4"/>
      <c r="V2555" s="4"/>
      <c r="W2555" s="4"/>
    </row>
    <row r="2556" spans="1:23" customFormat="1">
      <c r="A2556" s="10"/>
      <c r="B2556" s="4"/>
      <c r="C2556" s="4"/>
      <c r="D2556" s="4"/>
      <c r="E2556" s="4"/>
      <c r="F2556" s="152" t="s">
        <v>373</v>
      </c>
      <c r="G2556" s="4" t="s">
        <v>374</v>
      </c>
      <c r="H2556" s="4"/>
      <c r="I2556" s="196">
        <v>-3975000</v>
      </c>
      <c r="J2556" s="196">
        <v>-2650</v>
      </c>
      <c r="K2556" s="196">
        <v>1500</v>
      </c>
      <c r="L2556" s="454" t="s">
        <v>1045</v>
      </c>
      <c r="M2556" s="4" t="s">
        <v>1540</v>
      </c>
      <c r="N2556" s="133" t="s">
        <v>1407</v>
      </c>
      <c r="O2556" s="4" t="s">
        <v>2284</v>
      </c>
      <c r="P2556" s="4" t="s">
        <v>1832</v>
      </c>
      <c r="Q2556" s="4" t="s">
        <v>2285</v>
      </c>
      <c r="R2556" s="4"/>
      <c r="S2556" s="4" t="s">
        <v>2286</v>
      </c>
      <c r="T2556" s="4" t="s">
        <v>786</v>
      </c>
      <c r="U2556" s="4"/>
      <c r="V2556" s="4"/>
      <c r="W2556" s="4"/>
    </row>
    <row r="2557" spans="1:23" customFormat="1">
      <c r="A2557" s="10"/>
      <c r="B2557" s="4"/>
      <c r="C2557" s="4"/>
      <c r="D2557" s="4"/>
      <c r="E2557" s="4"/>
      <c r="F2557" s="152" t="s">
        <v>373</v>
      </c>
      <c r="G2557" s="4" t="s">
        <v>374</v>
      </c>
      <c r="H2557" s="4"/>
      <c r="I2557" s="196">
        <v>-4800000</v>
      </c>
      <c r="J2557" s="196">
        <v>-3200</v>
      </c>
      <c r="K2557" s="196">
        <v>1500</v>
      </c>
      <c r="L2557" s="454" t="s">
        <v>1045</v>
      </c>
      <c r="M2557" s="4" t="s">
        <v>1540</v>
      </c>
      <c r="N2557" s="133" t="s">
        <v>1407</v>
      </c>
      <c r="O2557" s="4" t="s">
        <v>2287</v>
      </c>
      <c r="P2557" s="4" t="s">
        <v>1832</v>
      </c>
      <c r="Q2557" s="4" t="s">
        <v>2288</v>
      </c>
      <c r="R2557" s="4"/>
      <c r="S2557" s="4" t="s">
        <v>2289</v>
      </c>
      <c r="T2557" s="4" t="s">
        <v>786</v>
      </c>
      <c r="U2557" s="4"/>
      <c r="V2557" s="4"/>
      <c r="W2557" s="4"/>
    </row>
    <row r="2558" spans="1:23" customFormat="1">
      <c r="A2558" s="10"/>
      <c r="B2558" s="4"/>
      <c r="C2558" s="4"/>
      <c r="D2558" s="4"/>
      <c r="E2558" s="4"/>
      <c r="F2558" s="152" t="s">
        <v>373</v>
      </c>
      <c r="G2558" s="4" t="s">
        <v>374</v>
      </c>
      <c r="H2558" s="4"/>
      <c r="I2558" s="196">
        <v>-20798250</v>
      </c>
      <c r="J2558" s="196">
        <v>-13865.5</v>
      </c>
      <c r="K2558" s="196">
        <v>1500</v>
      </c>
      <c r="L2558" s="454" t="s">
        <v>1045</v>
      </c>
      <c r="M2558" s="4" t="s">
        <v>1540</v>
      </c>
      <c r="N2558" s="133" t="s">
        <v>1407</v>
      </c>
      <c r="O2558" s="4" t="s">
        <v>2290</v>
      </c>
      <c r="P2558" s="4" t="s">
        <v>1832</v>
      </c>
      <c r="Q2558" s="4" t="s">
        <v>2291</v>
      </c>
      <c r="R2558" s="4"/>
      <c r="S2558" s="4" t="s">
        <v>2292</v>
      </c>
      <c r="T2558" s="4" t="s">
        <v>786</v>
      </c>
      <c r="U2558" s="4"/>
      <c r="V2558" s="4"/>
      <c r="W2558" s="4"/>
    </row>
    <row r="2559" spans="1:23" customFormat="1">
      <c r="A2559" s="10"/>
      <c r="B2559" s="4"/>
      <c r="C2559" s="4"/>
      <c r="D2559" s="4"/>
      <c r="E2559" s="4"/>
      <c r="F2559" s="152" t="s">
        <v>373</v>
      </c>
      <c r="G2559" s="4" t="s">
        <v>374</v>
      </c>
      <c r="H2559" s="4"/>
      <c r="I2559" s="196">
        <v>-6900000</v>
      </c>
      <c r="J2559" s="196">
        <v>-4600</v>
      </c>
      <c r="K2559" s="196">
        <v>1500</v>
      </c>
      <c r="L2559" s="454" t="s">
        <v>1045</v>
      </c>
      <c r="M2559" s="4" t="s">
        <v>1540</v>
      </c>
      <c r="N2559" s="133" t="s">
        <v>1407</v>
      </c>
      <c r="O2559" s="4" t="s">
        <v>2293</v>
      </c>
      <c r="P2559" s="4" t="s">
        <v>1832</v>
      </c>
      <c r="Q2559" s="4" t="s">
        <v>2294</v>
      </c>
      <c r="R2559" s="4"/>
      <c r="S2559" s="4" t="s">
        <v>2295</v>
      </c>
      <c r="T2559" s="4" t="s">
        <v>786</v>
      </c>
      <c r="U2559" s="4"/>
      <c r="V2559" s="4"/>
      <c r="W2559" s="4"/>
    </row>
    <row r="2560" spans="1:23" customFormat="1">
      <c r="A2560" s="10"/>
      <c r="B2560" s="4"/>
      <c r="C2560" s="4"/>
      <c r="D2560" s="4"/>
      <c r="E2560" s="4"/>
      <c r="F2560" s="152" t="s">
        <v>373</v>
      </c>
      <c r="G2560" s="4" t="s">
        <v>374</v>
      </c>
      <c r="H2560" s="4"/>
      <c r="I2560" s="196">
        <v>-2857500</v>
      </c>
      <c r="J2560" s="196">
        <v>-1905</v>
      </c>
      <c r="K2560" s="196">
        <v>1500</v>
      </c>
      <c r="L2560" s="454" t="s">
        <v>1045</v>
      </c>
      <c r="M2560" s="4" t="s">
        <v>1540</v>
      </c>
      <c r="N2560" s="133" t="s">
        <v>1407</v>
      </c>
      <c r="O2560" s="4" t="s">
        <v>2296</v>
      </c>
      <c r="P2560" s="4" t="s">
        <v>1832</v>
      </c>
      <c r="Q2560" s="4" t="s">
        <v>2297</v>
      </c>
      <c r="R2560" s="4"/>
      <c r="S2560" s="4" t="s">
        <v>2298</v>
      </c>
      <c r="T2560" s="4" t="s">
        <v>786</v>
      </c>
      <c r="U2560" s="4"/>
      <c r="V2560" s="4"/>
      <c r="W2560" s="4"/>
    </row>
    <row r="2561" spans="1:23" customFormat="1">
      <c r="A2561" s="10"/>
      <c r="B2561" s="4"/>
      <c r="C2561" s="4"/>
      <c r="D2561" s="4"/>
      <c r="E2561" s="4"/>
      <c r="F2561" s="152" t="s">
        <v>373</v>
      </c>
      <c r="G2561" s="4" t="s">
        <v>374</v>
      </c>
      <c r="H2561" s="4"/>
      <c r="I2561" s="196">
        <v>-3075000</v>
      </c>
      <c r="J2561" s="196">
        <v>-2050</v>
      </c>
      <c r="K2561" s="196">
        <v>1500</v>
      </c>
      <c r="L2561" s="454" t="s">
        <v>1045</v>
      </c>
      <c r="M2561" s="4" t="s">
        <v>1540</v>
      </c>
      <c r="N2561" s="133" t="s">
        <v>1407</v>
      </c>
      <c r="O2561" s="4" t="s">
        <v>2299</v>
      </c>
      <c r="P2561" s="4" t="s">
        <v>1832</v>
      </c>
      <c r="Q2561" s="4" t="s">
        <v>2300</v>
      </c>
      <c r="R2561" s="4"/>
      <c r="S2561" s="4" t="s">
        <v>2301</v>
      </c>
      <c r="T2561" s="4" t="s">
        <v>786</v>
      </c>
      <c r="U2561" s="4"/>
      <c r="V2561" s="4"/>
      <c r="W2561" s="4"/>
    </row>
    <row r="2562" spans="1:23" customFormat="1">
      <c r="A2562" s="10"/>
      <c r="B2562" s="4"/>
      <c r="C2562" s="4"/>
      <c r="D2562" s="4"/>
      <c r="E2562" s="4"/>
      <c r="F2562" s="152" t="s">
        <v>373</v>
      </c>
      <c r="G2562" s="4" t="s">
        <v>374</v>
      </c>
      <c r="H2562" s="4"/>
      <c r="I2562" s="196">
        <v>-2287500</v>
      </c>
      <c r="J2562" s="196">
        <v>-1525</v>
      </c>
      <c r="K2562" s="196">
        <v>1500</v>
      </c>
      <c r="L2562" s="454" t="s">
        <v>1045</v>
      </c>
      <c r="M2562" s="4" t="s">
        <v>1540</v>
      </c>
      <c r="N2562" s="133" t="s">
        <v>1407</v>
      </c>
      <c r="O2562" s="4" t="s">
        <v>2302</v>
      </c>
      <c r="P2562" s="4" t="s">
        <v>1832</v>
      </c>
      <c r="Q2562" s="4" t="s">
        <v>2303</v>
      </c>
      <c r="R2562" s="4"/>
      <c r="S2562" s="4" t="s">
        <v>2304</v>
      </c>
      <c r="T2562" s="4" t="s">
        <v>786</v>
      </c>
      <c r="U2562" s="4"/>
      <c r="V2562" s="4"/>
      <c r="W2562" s="4"/>
    </row>
    <row r="2563" spans="1:23" customFormat="1">
      <c r="A2563" s="10"/>
      <c r="B2563" s="4"/>
      <c r="C2563" s="4"/>
      <c r="D2563" s="4"/>
      <c r="E2563" s="4"/>
      <c r="F2563" s="152" t="s">
        <v>373</v>
      </c>
      <c r="G2563" s="4" t="s">
        <v>374</v>
      </c>
      <c r="H2563" s="4"/>
      <c r="I2563" s="196">
        <v>-9562500</v>
      </c>
      <c r="J2563" s="196">
        <v>-6375</v>
      </c>
      <c r="K2563" s="196">
        <v>1500</v>
      </c>
      <c r="L2563" s="454" t="s">
        <v>1045</v>
      </c>
      <c r="M2563" s="4" t="s">
        <v>1540</v>
      </c>
      <c r="N2563" s="133" t="s">
        <v>1407</v>
      </c>
      <c r="O2563" s="4" t="s">
        <v>2305</v>
      </c>
      <c r="P2563" s="4" t="s">
        <v>1832</v>
      </c>
      <c r="Q2563" s="4" t="s">
        <v>2306</v>
      </c>
      <c r="R2563" s="4"/>
      <c r="S2563" s="4" t="s">
        <v>2307</v>
      </c>
      <c r="T2563" s="4" t="s">
        <v>786</v>
      </c>
      <c r="U2563" s="4"/>
      <c r="V2563" s="4"/>
      <c r="W2563" s="4"/>
    </row>
    <row r="2564" spans="1:23" customFormat="1">
      <c r="A2564" s="10"/>
      <c r="B2564" s="4"/>
      <c r="C2564" s="4"/>
      <c r="D2564" s="4"/>
      <c r="E2564" s="4"/>
      <c r="F2564" s="152" t="s">
        <v>373</v>
      </c>
      <c r="G2564" s="4" t="s">
        <v>374</v>
      </c>
      <c r="H2564" s="4"/>
      <c r="I2564" s="196">
        <v>-8351999.8499999996</v>
      </c>
      <c r="J2564" s="196">
        <v>-5567.9998999999998</v>
      </c>
      <c r="K2564" s="196">
        <v>1500</v>
      </c>
      <c r="L2564" s="454" t="s">
        <v>1045</v>
      </c>
      <c r="M2564" s="4" t="s">
        <v>1540</v>
      </c>
      <c r="N2564" s="133" t="s">
        <v>1407</v>
      </c>
      <c r="O2564" s="4" t="s">
        <v>2308</v>
      </c>
      <c r="P2564" s="4" t="s">
        <v>1832</v>
      </c>
      <c r="Q2564" s="4" t="s">
        <v>2309</v>
      </c>
      <c r="R2564" s="4"/>
      <c r="S2564" s="4" t="s">
        <v>2310</v>
      </c>
      <c r="T2564" s="4" t="s">
        <v>786</v>
      </c>
      <c r="U2564" s="4"/>
      <c r="V2564" s="4"/>
      <c r="W2564" s="4"/>
    </row>
    <row r="2565" spans="1:23" customFormat="1">
      <c r="A2565" s="10"/>
      <c r="B2565" s="4"/>
      <c r="C2565" s="4"/>
      <c r="D2565" s="4"/>
      <c r="E2565" s="4"/>
      <c r="F2565" s="152" t="s">
        <v>373</v>
      </c>
      <c r="G2565" s="4" t="s">
        <v>374</v>
      </c>
      <c r="H2565" s="4"/>
      <c r="I2565" s="196">
        <v>-553800</v>
      </c>
      <c r="J2565" s="196">
        <v>-390</v>
      </c>
      <c r="K2565" s="196">
        <v>1420</v>
      </c>
      <c r="L2565" s="454" t="s">
        <v>1045</v>
      </c>
      <c r="M2565" s="4" t="s">
        <v>1540</v>
      </c>
      <c r="N2565" s="133" t="s">
        <v>1407</v>
      </c>
      <c r="O2565" s="4" t="s">
        <v>2490</v>
      </c>
      <c r="P2565" s="4" t="s">
        <v>2491</v>
      </c>
      <c r="Q2565" s="4" t="s">
        <v>2492</v>
      </c>
      <c r="R2565" s="4"/>
      <c r="S2565" s="4" t="s">
        <v>2493</v>
      </c>
      <c r="T2565" s="4" t="s">
        <v>786</v>
      </c>
      <c r="U2565" s="4"/>
      <c r="V2565" s="4"/>
      <c r="W2565" s="4"/>
    </row>
    <row r="2566" spans="1:23" customFormat="1">
      <c r="A2566" s="10"/>
      <c r="B2566" s="4"/>
      <c r="C2566" s="4"/>
      <c r="D2566" s="4"/>
      <c r="E2566" s="4"/>
      <c r="F2566" s="152" t="s">
        <v>373</v>
      </c>
      <c r="G2566" s="4" t="s">
        <v>374</v>
      </c>
      <c r="H2566" s="4"/>
      <c r="I2566" s="196">
        <v>-553800</v>
      </c>
      <c r="J2566" s="196">
        <v>-390</v>
      </c>
      <c r="K2566" s="196">
        <v>1420</v>
      </c>
      <c r="L2566" s="454" t="s">
        <v>1045</v>
      </c>
      <c r="M2566" s="4" t="s">
        <v>1540</v>
      </c>
      <c r="N2566" s="133" t="s">
        <v>1407</v>
      </c>
      <c r="O2566" s="4" t="s">
        <v>2494</v>
      </c>
      <c r="P2566" s="4" t="s">
        <v>2491</v>
      </c>
      <c r="Q2566" s="4" t="s">
        <v>2495</v>
      </c>
      <c r="R2566" s="4"/>
      <c r="S2566" s="4" t="s">
        <v>2496</v>
      </c>
      <c r="T2566" s="4" t="s">
        <v>786</v>
      </c>
      <c r="U2566" s="4"/>
      <c r="V2566" s="4"/>
      <c r="W2566" s="4"/>
    </row>
    <row r="2567" spans="1:23" customFormat="1">
      <c r="A2567" s="10"/>
      <c r="B2567" s="4"/>
      <c r="C2567" s="4"/>
      <c r="D2567" s="4"/>
      <c r="E2567" s="4"/>
      <c r="F2567" s="152" t="s">
        <v>373</v>
      </c>
      <c r="G2567" s="4" t="s">
        <v>374</v>
      </c>
      <c r="H2567" s="4"/>
      <c r="I2567" s="196">
        <v>-553800</v>
      </c>
      <c r="J2567" s="196">
        <v>-390</v>
      </c>
      <c r="K2567" s="196">
        <v>1420</v>
      </c>
      <c r="L2567" s="454" t="s">
        <v>1045</v>
      </c>
      <c r="M2567" s="4" t="s">
        <v>1540</v>
      </c>
      <c r="N2567" s="133" t="s">
        <v>1407</v>
      </c>
      <c r="O2567" s="4" t="s">
        <v>2497</v>
      </c>
      <c r="P2567" s="4" t="s">
        <v>2491</v>
      </c>
      <c r="Q2567" s="4" t="s">
        <v>2498</v>
      </c>
      <c r="R2567" s="4"/>
      <c r="S2567" s="4" t="s">
        <v>2499</v>
      </c>
      <c r="T2567" s="4" t="s">
        <v>786</v>
      </c>
      <c r="U2567" s="4"/>
      <c r="V2567" s="4"/>
      <c r="W2567" s="4"/>
    </row>
    <row r="2568" spans="1:23" customFormat="1">
      <c r="A2568" s="10"/>
      <c r="B2568" s="4"/>
      <c r="C2568" s="4"/>
      <c r="D2568" s="4"/>
      <c r="E2568" s="4"/>
      <c r="F2568" s="152" t="s">
        <v>373</v>
      </c>
      <c r="G2568" s="4" t="s">
        <v>374</v>
      </c>
      <c r="H2568" s="4"/>
      <c r="I2568" s="196">
        <v>-553800</v>
      </c>
      <c r="J2568" s="196">
        <v>-390</v>
      </c>
      <c r="K2568" s="196">
        <v>1420</v>
      </c>
      <c r="L2568" s="454" t="s">
        <v>1045</v>
      </c>
      <c r="M2568" s="4" t="s">
        <v>1540</v>
      </c>
      <c r="N2568" s="133" t="s">
        <v>1407</v>
      </c>
      <c r="O2568" s="4" t="s">
        <v>2500</v>
      </c>
      <c r="P2568" s="4" t="s">
        <v>2491</v>
      </c>
      <c r="Q2568" s="4" t="s">
        <v>2501</v>
      </c>
      <c r="R2568" s="4"/>
      <c r="S2568" s="4" t="s">
        <v>2502</v>
      </c>
      <c r="T2568" s="4" t="s">
        <v>786</v>
      </c>
      <c r="U2568" s="4"/>
      <c r="V2568" s="4"/>
      <c r="W2568" s="4"/>
    </row>
    <row r="2569" spans="1:23" customFormat="1">
      <c r="A2569" s="10"/>
      <c r="B2569" s="4"/>
      <c r="C2569" s="4"/>
      <c r="D2569" s="4"/>
      <c r="E2569" s="4"/>
      <c r="F2569" s="152" t="s">
        <v>373</v>
      </c>
      <c r="G2569" s="4" t="s">
        <v>374</v>
      </c>
      <c r="H2569" s="4"/>
      <c r="I2569" s="196">
        <v>-549900</v>
      </c>
      <c r="J2569" s="196">
        <v>-390</v>
      </c>
      <c r="K2569" s="196">
        <v>1410</v>
      </c>
      <c r="L2569" s="454" t="s">
        <v>1045</v>
      </c>
      <c r="M2569" s="4" t="s">
        <v>1540</v>
      </c>
      <c r="N2569" s="133" t="s">
        <v>1407</v>
      </c>
      <c r="O2569" s="4" t="s">
        <v>2503</v>
      </c>
      <c r="P2569" s="4" t="s">
        <v>2491</v>
      </c>
      <c r="Q2569" s="4" t="s">
        <v>2504</v>
      </c>
      <c r="R2569" s="4"/>
      <c r="S2569" s="4" t="s">
        <v>2505</v>
      </c>
      <c r="T2569" s="4" t="s">
        <v>786</v>
      </c>
      <c r="U2569" s="4"/>
      <c r="V2569" s="4"/>
      <c r="W2569" s="4"/>
    </row>
    <row r="2570" spans="1:23" customFormat="1">
      <c r="A2570" s="10"/>
      <c r="B2570" s="4"/>
      <c r="C2570" s="4"/>
      <c r="D2570" s="4"/>
      <c r="E2570" s="4"/>
      <c r="F2570" s="152" t="s">
        <v>373</v>
      </c>
      <c r="G2570" s="4" t="s">
        <v>374</v>
      </c>
      <c r="H2570" s="4"/>
      <c r="I2570" s="196">
        <v>-549900</v>
      </c>
      <c r="J2570" s="196">
        <v>-390</v>
      </c>
      <c r="K2570" s="196">
        <v>1410</v>
      </c>
      <c r="L2570" s="454" t="s">
        <v>1045</v>
      </c>
      <c r="M2570" s="4" t="s">
        <v>1540</v>
      </c>
      <c r="N2570" s="133" t="s">
        <v>1407</v>
      </c>
      <c r="O2570" s="4" t="s">
        <v>2506</v>
      </c>
      <c r="P2570" s="4" t="s">
        <v>2491</v>
      </c>
      <c r="Q2570" s="4" t="s">
        <v>2507</v>
      </c>
      <c r="R2570" s="4"/>
      <c r="S2570" s="4" t="s">
        <v>2508</v>
      </c>
      <c r="T2570" s="4" t="s">
        <v>786</v>
      </c>
      <c r="U2570" s="4"/>
      <c r="V2570" s="4"/>
      <c r="W2570" s="4"/>
    </row>
    <row r="2571" spans="1:23" customFormat="1">
      <c r="A2571" s="10"/>
      <c r="B2571" s="4"/>
      <c r="C2571" s="4"/>
      <c r="D2571" s="4"/>
      <c r="E2571" s="4"/>
      <c r="F2571" s="152" t="s">
        <v>373</v>
      </c>
      <c r="G2571" s="4" t="s">
        <v>374</v>
      </c>
      <c r="H2571" s="4"/>
      <c r="I2571" s="196">
        <v>-553800</v>
      </c>
      <c r="J2571" s="196">
        <v>-390</v>
      </c>
      <c r="K2571" s="196">
        <v>1420</v>
      </c>
      <c r="L2571" s="454" t="s">
        <v>1045</v>
      </c>
      <c r="M2571" s="4" t="s">
        <v>1540</v>
      </c>
      <c r="N2571" s="133" t="s">
        <v>1407</v>
      </c>
      <c r="O2571" s="4" t="s">
        <v>2509</v>
      </c>
      <c r="P2571" s="4" t="s">
        <v>2491</v>
      </c>
      <c r="Q2571" s="4" t="s">
        <v>2510</v>
      </c>
      <c r="R2571" s="4"/>
      <c r="S2571" s="4" t="s">
        <v>2511</v>
      </c>
      <c r="T2571" s="4" t="s">
        <v>786</v>
      </c>
      <c r="U2571" s="4"/>
      <c r="V2571" s="4"/>
      <c r="W2571" s="4"/>
    </row>
    <row r="2572" spans="1:23" customFormat="1">
      <c r="A2572" s="10"/>
      <c r="B2572" s="4"/>
      <c r="C2572" s="4"/>
      <c r="D2572" s="4"/>
      <c r="E2572" s="4"/>
      <c r="F2572" s="152" t="s">
        <v>373</v>
      </c>
      <c r="G2572" s="4" t="s">
        <v>374</v>
      </c>
      <c r="H2572" s="4"/>
      <c r="I2572" s="196">
        <v>-553800</v>
      </c>
      <c r="J2572" s="196">
        <v>-390</v>
      </c>
      <c r="K2572" s="196">
        <v>1420</v>
      </c>
      <c r="L2572" s="454" t="s">
        <v>1045</v>
      </c>
      <c r="M2572" s="4" t="s">
        <v>1540</v>
      </c>
      <c r="N2572" s="133" t="s">
        <v>1407</v>
      </c>
      <c r="O2572" s="4" t="s">
        <v>2512</v>
      </c>
      <c r="P2572" s="4" t="s">
        <v>2491</v>
      </c>
      <c r="Q2572" s="4" t="s">
        <v>2513</v>
      </c>
      <c r="R2572" s="4"/>
      <c r="S2572" s="4" t="s">
        <v>2514</v>
      </c>
      <c r="T2572" s="4" t="s">
        <v>786</v>
      </c>
      <c r="U2572" s="4"/>
      <c r="V2572" s="4"/>
      <c r="W2572" s="4"/>
    </row>
    <row r="2573" spans="1:23" customFormat="1">
      <c r="A2573" s="10"/>
      <c r="B2573" s="4"/>
      <c r="C2573" s="4"/>
      <c r="D2573" s="4"/>
      <c r="E2573" s="4"/>
      <c r="F2573" s="152" t="s">
        <v>373</v>
      </c>
      <c r="G2573" s="4" t="s">
        <v>374</v>
      </c>
      <c r="H2573" s="4"/>
      <c r="I2573" s="196">
        <v>-553800</v>
      </c>
      <c r="J2573" s="196">
        <v>-390</v>
      </c>
      <c r="K2573" s="196">
        <v>1420</v>
      </c>
      <c r="L2573" s="454" t="s">
        <v>1045</v>
      </c>
      <c r="M2573" s="4" t="s">
        <v>1540</v>
      </c>
      <c r="N2573" s="133" t="s">
        <v>1407</v>
      </c>
      <c r="O2573" s="4" t="s">
        <v>2515</v>
      </c>
      <c r="P2573" s="4" t="s">
        <v>2491</v>
      </c>
      <c r="Q2573" s="4" t="s">
        <v>2516</v>
      </c>
      <c r="R2573" s="4"/>
      <c r="S2573" s="4" t="s">
        <v>2517</v>
      </c>
      <c r="T2573" s="4" t="s">
        <v>786</v>
      </c>
      <c r="U2573" s="4"/>
      <c r="V2573" s="4"/>
      <c r="W2573" s="4"/>
    </row>
    <row r="2574" spans="1:23" customFormat="1">
      <c r="A2574" s="10"/>
      <c r="B2574" s="4"/>
      <c r="C2574" s="4"/>
      <c r="D2574" s="4"/>
      <c r="E2574" s="4"/>
      <c r="F2574" s="152" t="s">
        <v>373</v>
      </c>
      <c r="G2574" s="4" t="s">
        <v>374</v>
      </c>
      <c r="H2574" s="4"/>
      <c r="I2574" s="196">
        <v>-553800</v>
      </c>
      <c r="J2574" s="196">
        <v>-390</v>
      </c>
      <c r="K2574" s="196">
        <v>1420</v>
      </c>
      <c r="L2574" s="454" t="s">
        <v>1045</v>
      </c>
      <c r="M2574" s="4" t="s">
        <v>1540</v>
      </c>
      <c r="N2574" s="133" t="s">
        <v>1407</v>
      </c>
      <c r="O2574" s="4" t="s">
        <v>2518</v>
      </c>
      <c r="P2574" s="4" t="s">
        <v>2491</v>
      </c>
      <c r="Q2574" s="4" t="s">
        <v>2519</v>
      </c>
      <c r="R2574" s="4"/>
      <c r="S2574" s="4" t="s">
        <v>2520</v>
      </c>
      <c r="T2574" s="4" t="s">
        <v>786</v>
      </c>
      <c r="U2574" s="4"/>
      <c r="V2574" s="4"/>
      <c r="W2574" s="4"/>
    </row>
    <row r="2575" spans="1:23" customFormat="1">
      <c r="A2575" s="10"/>
      <c r="B2575" s="4"/>
      <c r="C2575" s="4"/>
      <c r="D2575" s="4"/>
      <c r="E2575" s="4"/>
      <c r="F2575" s="152" t="s">
        <v>373</v>
      </c>
      <c r="G2575" s="4" t="s">
        <v>374</v>
      </c>
      <c r="H2575" s="4"/>
      <c r="I2575" s="196">
        <v>-553800</v>
      </c>
      <c r="J2575" s="196">
        <v>-390</v>
      </c>
      <c r="K2575" s="196">
        <v>1420</v>
      </c>
      <c r="L2575" s="454" t="s">
        <v>1045</v>
      </c>
      <c r="M2575" s="4" t="s">
        <v>1540</v>
      </c>
      <c r="N2575" s="133" t="s">
        <v>1407</v>
      </c>
      <c r="O2575" s="4" t="s">
        <v>2521</v>
      </c>
      <c r="P2575" s="4" t="s">
        <v>2491</v>
      </c>
      <c r="Q2575" s="4" t="s">
        <v>2522</v>
      </c>
      <c r="R2575" s="4"/>
      <c r="S2575" s="4" t="s">
        <v>2523</v>
      </c>
      <c r="T2575" s="4" t="s">
        <v>786</v>
      </c>
      <c r="U2575" s="4"/>
      <c r="V2575" s="4"/>
      <c r="W2575" s="4"/>
    </row>
    <row r="2576" spans="1:23" customFormat="1">
      <c r="A2576" s="10"/>
      <c r="B2576" s="4"/>
      <c r="C2576" s="4"/>
      <c r="D2576" s="4"/>
      <c r="E2576" s="4"/>
      <c r="F2576" s="152" t="s">
        <v>373</v>
      </c>
      <c r="G2576" s="4" t="s">
        <v>374</v>
      </c>
      <c r="H2576" s="4"/>
      <c r="I2576" s="196">
        <v>-553800</v>
      </c>
      <c r="J2576" s="196">
        <v>-390</v>
      </c>
      <c r="K2576" s="196">
        <v>1420</v>
      </c>
      <c r="L2576" s="454" t="s">
        <v>1045</v>
      </c>
      <c r="M2576" s="4" t="s">
        <v>1540</v>
      </c>
      <c r="N2576" s="133" t="s">
        <v>1407</v>
      </c>
      <c r="O2576" s="4" t="s">
        <v>2524</v>
      </c>
      <c r="P2576" s="4" t="s">
        <v>2491</v>
      </c>
      <c r="Q2576" s="4" t="s">
        <v>2525</v>
      </c>
      <c r="R2576" s="4"/>
      <c r="S2576" s="4" t="s">
        <v>2526</v>
      </c>
      <c r="T2576" s="4" t="s">
        <v>786</v>
      </c>
      <c r="U2576" s="4"/>
      <c r="V2576" s="4"/>
      <c r="W2576" s="4"/>
    </row>
    <row r="2577" spans="1:23" customFormat="1">
      <c r="A2577" s="10"/>
      <c r="B2577" s="4"/>
      <c r="C2577" s="4"/>
      <c r="D2577" s="4"/>
      <c r="E2577" s="4"/>
      <c r="F2577" s="152" t="s">
        <v>373</v>
      </c>
      <c r="G2577" s="4" t="s">
        <v>374</v>
      </c>
      <c r="H2577" s="4"/>
      <c r="I2577" s="196">
        <v>-553800</v>
      </c>
      <c r="J2577" s="196">
        <v>-390</v>
      </c>
      <c r="K2577" s="196">
        <v>1420</v>
      </c>
      <c r="L2577" s="454" t="s">
        <v>1045</v>
      </c>
      <c r="M2577" s="4" t="s">
        <v>1540</v>
      </c>
      <c r="N2577" s="133" t="s">
        <v>1407</v>
      </c>
      <c r="O2577" s="4" t="s">
        <v>2527</v>
      </c>
      <c r="P2577" s="4" t="s">
        <v>2491</v>
      </c>
      <c r="Q2577" s="4" t="s">
        <v>2528</v>
      </c>
      <c r="R2577" s="4"/>
      <c r="S2577" s="4" t="s">
        <v>2529</v>
      </c>
      <c r="T2577" s="4" t="s">
        <v>786</v>
      </c>
      <c r="U2577" s="4"/>
      <c r="V2577" s="4"/>
      <c r="W2577" s="4"/>
    </row>
    <row r="2578" spans="1:23" customFormat="1">
      <c r="A2578" s="10"/>
      <c r="B2578" s="4"/>
      <c r="C2578" s="4"/>
      <c r="D2578" s="4"/>
      <c r="E2578" s="4"/>
      <c r="F2578" s="152" t="s">
        <v>373</v>
      </c>
      <c r="G2578" s="4" t="s">
        <v>374</v>
      </c>
      <c r="H2578" s="4"/>
      <c r="I2578" s="196">
        <v>-419250</v>
      </c>
      <c r="J2578" s="196">
        <v>-279.5</v>
      </c>
      <c r="K2578" s="196">
        <v>1500</v>
      </c>
      <c r="L2578" s="454" t="s">
        <v>1045</v>
      </c>
      <c r="M2578" s="4" t="s">
        <v>1540</v>
      </c>
      <c r="N2578" s="133" t="s">
        <v>1407</v>
      </c>
      <c r="O2578" s="4" t="s">
        <v>2530</v>
      </c>
      <c r="P2578" s="4" t="s">
        <v>2491</v>
      </c>
      <c r="Q2578" s="4" t="s">
        <v>2531</v>
      </c>
      <c r="R2578" s="4"/>
      <c r="S2578" s="4" t="s">
        <v>2532</v>
      </c>
      <c r="T2578" s="4" t="s">
        <v>786</v>
      </c>
      <c r="U2578" s="4"/>
      <c r="V2578" s="4"/>
      <c r="W2578" s="4"/>
    </row>
    <row r="2579" spans="1:23" customFormat="1">
      <c r="A2579" s="10"/>
      <c r="B2579" s="4"/>
      <c r="C2579" s="4"/>
      <c r="D2579" s="4"/>
      <c r="E2579" s="4"/>
      <c r="F2579" s="152" t="s">
        <v>373</v>
      </c>
      <c r="G2579" s="4" t="s">
        <v>374</v>
      </c>
      <c r="H2579" s="4"/>
      <c r="I2579" s="196">
        <v>-549900</v>
      </c>
      <c r="J2579" s="196">
        <v>-390</v>
      </c>
      <c r="K2579" s="196">
        <v>1410</v>
      </c>
      <c r="L2579" s="454" t="s">
        <v>1045</v>
      </c>
      <c r="M2579" s="4" t="s">
        <v>1540</v>
      </c>
      <c r="N2579" s="133" t="s">
        <v>1407</v>
      </c>
      <c r="O2579" s="4" t="s">
        <v>2533</v>
      </c>
      <c r="P2579" s="4" t="s">
        <v>2491</v>
      </c>
      <c r="Q2579" s="4" t="s">
        <v>2534</v>
      </c>
      <c r="R2579" s="4"/>
      <c r="S2579" s="4" t="s">
        <v>2535</v>
      </c>
      <c r="T2579" s="4" t="s">
        <v>786</v>
      </c>
      <c r="U2579" s="4"/>
      <c r="V2579" s="4"/>
      <c r="W2579" s="4"/>
    </row>
    <row r="2580" spans="1:23" customFormat="1">
      <c r="A2580" s="10"/>
      <c r="B2580" s="4"/>
      <c r="C2580" s="4"/>
      <c r="D2580" s="4"/>
      <c r="E2580" s="4"/>
      <c r="F2580" s="152" t="s">
        <v>373</v>
      </c>
      <c r="G2580" s="4" t="s">
        <v>374</v>
      </c>
      <c r="H2580" s="4"/>
      <c r="I2580" s="196">
        <v>-553800</v>
      </c>
      <c r="J2580" s="196">
        <v>-390</v>
      </c>
      <c r="K2580" s="196">
        <v>1420</v>
      </c>
      <c r="L2580" s="454" t="s">
        <v>1045</v>
      </c>
      <c r="M2580" s="4" t="s">
        <v>1540</v>
      </c>
      <c r="N2580" s="133" t="s">
        <v>1407</v>
      </c>
      <c r="O2580" s="4" t="s">
        <v>2536</v>
      </c>
      <c r="P2580" s="4" t="s">
        <v>2491</v>
      </c>
      <c r="Q2580" s="4" t="s">
        <v>2537</v>
      </c>
      <c r="R2580" s="4"/>
      <c r="S2580" s="4" t="s">
        <v>2538</v>
      </c>
      <c r="T2580" s="4" t="s">
        <v>786</v>
      </c>
      <c r="U2580" s="4"/>
      <c r="V2580" s="4"/>
      <c r="W2580" s="4"/>
    </row>
    <row r="2581" spans="1:23" customFormat="1">
      <c r="A2581" s="10"/>
      <c r="B2581" s="4"/>
      <c r="C2581" s="4"/>
      <c r="D2581" s="4"/>
      <c r="E2581" s="4"/>
      <c r="F2581" s="152" t="s">
        <v>375</v>
      </c>
      <c r="G2581" s="4" t="s">
        <v>376</v>
      </c>
      <c r="H2581" s="4"/>
      <c r="I2581" s="196">
        <v>-7604045</v>
      </c>
      <c r="J2581" s="196">
        <v>-5208.25</v>
      </c>
      <c r="K2581" s="196">
        <v>1460</v>
      </c>
      <c r="L2581" s="454" t="s">
        <v>1041</v>
      </c>
      <c r="M2581" s="4" t="s">
        <v>780</v>
      </c>
      <c r="N2581" s="133" t="s">
        <v>781</v>
      </c>
      <c r="O2581" s="4" t="s">
        <v>1057</v>
      </c>
      <c r="P2581" s="4" t="s">
        <v>892</v>
      </c>
      <c r="Q2581" s="4" t="s">
        <v>1058</v>
      </c>
      <c r="R2581" s="4" t="s">
        <v>1061</v>
      </c>
      <c r="S2581" s="4" t="s">
        <v>1060</v>
      </c>
      <c r="T2581" s="4" t="s">
        <v>786</v>
      </c>
      <c r="U2581" s="4"/>
      <c r="V2581" s="4"/>
      <c r="W2581" s="4"/>
    </row>
    <row r="2582" spans="1:23" customFormat="1">
      <c r="A2582" s="10"/>
      <c r="B2582" s="4"/>
      <c r="C2582" s="4"/>
      <c r="D2582" s="4"/>
      <c r="E2582" s="4"/>
      <c r="F2582" s="152" t="s">
        <v>360</v>
      </c>
      <c r="G2582" s="4" t="s">
        <v>361</v>
      </c>
      <c r="H2582" s="4"/>
      <c r="I2582" s="196">
        <v>-815591.2</v>
      </c>
      <c r="J2582" s="196">
        <v>-574.36</v>
      </c>
      <c r="K2582" s="196">
        <v>1420</v>
      </c>
      <c r="L2582" s="454" t="s">
        <v>1205</v>
      </c>
      <c r="M2582" s="4" t="s">
        <v>780</v>
      </c>
      <c r="N2582" s="133" t="s">
        <v>781</v>
      </c>
      <c r="O2582" s="4" t="s">
        <v>1206</v>
      </c>
      <c r="P2582" s="4" t="s">
        <v>892</v>
      </c>
      <c r="Q2582" s="4" t="s">
        <v>1207</v>
      </c>
      <c r="R2582" s="4" t="s">
        <v>1208</v>
      </c>
      <c r="S2582" s="4" t="s">
        <v>1209</v>
      </c>
      <c r="T2582" s="4" t="s">
        <v>786</v>
      </c>
      <c r="U2582" s="4"/>
      <c r="V2582" s="4"/>
      <c r="W2582" s="4"/>
    </row>
    <row r="2583" spans="1:23" customFormat="1">
      <c r="A2583" s="10"/>
      <c r="B2583" s="4"/>
      <c r="C2583" s="4"/>
      <c r="D2583" s="4"/>
      <c r="E2583" s="4"/>
      <c r="F2583" s="152" t="s">
        <v>360</v>
      </c>
      <c r="G2583" s="4" t="s">
        <v>361</v>
      </c>
      <c r="H2583" s="4"/>
      <c r="I2583" s="196">
        <v>278064.40000000002</v>
      </c>
      <c r="J2583" s="196">
        <v>195.82</v>
      </c>
      <c r="K2583" s="196">
        <v>1420</v>
      </c>
      <c r="L2583" s="454" t="s">
        <v>1239</v>
      </c>
      <c r="M2583" s="4" t="s">
        <v>780</v>
      </c>
      <c r="N2583" s="133" t="s">
        <v>781</v>
      </c>
      <c r="O2583" s="4" t="s">
        <v>1245</v>
      </c>
      <c r="P2583" s="4" t="s">
        <v>892</v>
      </c>
      <c r="Q2583" s="4" t="s">
        <v>1246</v>
      </c>
      <c r="R2583" s="4" t="s">
        <v>1249</v>
      </c>
      <c r="S2583" s="4" t="s">
        <v>1248</v>
      </c>
      <c r="T2583" s="4" t="s">
        <v>786</v>
      </c>
      <c r="U2583" s="4"/>
      <c r="V2583" s="4"/>
      <c r="W2583" s="4"/>
    </row>
    <row r="2584" spans="1:23" customFormat="1">
      <c r="A2584" s="10"/>
      <c r="B2584" s="4"/>
      <c r="C2584" s="4"/>
      <c r="D2584" s="4"/>
      <c r="E2584" s="4"/>
      <c r="F2584" s="152" t="s">
        <v>360</v>
      </c>
      <c r="G2584" s="4" t="s">
        <v>361</v>
      </c>
      <c r="H2584" s="4"/>
      <c r="I2584" s="196">
        <v>136500000</v>
      </c>
      <c r="J2584" s="196">
        <v>105000</v>
      </c>
      <c r="K2584" s="196">
        <v>1300</v>
      </c>
      <c r="L2584" s="454" t="s">
        <v>811</v>
      </c>
      <c r="M2584" s="4" t="s">
        <v>780</v>
      </c>
      <c r="N2584" s="133" t="s">
        <v>1407</v>
      </c>
      <c r="O2584" s="4" t="s">
        <v>812</v>
      </c>
      <c r="P2584" s="4" t="s">
        <v>783</v>
      </c>
      <c r="Q2584" s="4" t="s">
        <v>813</v>
      </c>
      <c r="R2584" s="4" t="s">
        <v>1437</v>
      </c>
      <c r="S2584" s="4" t="s">
        <v>815</v>
      </c>
      <c r="T2584" s="4" t="s">
        <v>786</v>
      </c>
      <c r="U2584" s="4"/>
      <c r="V2584" s="4"/>
      <c r="W2584" s="4"/>
    </row>
    <row r="2585" spans="1:23" customFormat="1">
      <c r="A2585" s="10"/>
      <c r="B2585" s="4"/>
      <c r="C2585" s="4"/>
      <c r="D2585" s="4"/>
      <c r="E2585" s="4"/>
      <c r="F2585" s="152" t="s">
        <v>360</v>
      </c>
      <c r="G2585" s="4" t="s">
        <v>361</v>
      </c>
      <c r="H2585" s="4"/>
      <c r="I2585" s="196">
        <v>2754.8</v>
      </c>
      <c r="J2585" s="196">
        <v>1.94</v>
      </c>
      <c r="K2585" s="196">
        <v>1420</v>
      </c>
      <c r="L2585" s="454" t="s">
        <v>1239</v>
      </c>
      <c r="M2585" s="4" t="s">
        <v>780</v>
      </c>
      <c r="N2585" s="133" t="s">
        <v>1407</v>
      </c>
      <c r="O2585" s="4" t="s">
        <v>2630</v>
      </c>
      <c r="P2585" s="4" t="s">
        <v>892</v>
      </c>
      <c r="Q2585" s="4" t="s">
        <v>2631</v>
      </c>
      <c r="R2585" s="4" t="s">
        <v>1515</v>
      </c>
      <c r="S2585" s="4" t="s">
        <v>2632</v>
      </c>
      <c r="T2585" s="4" t="s">
        <v>786</v>
      </c>
      <c r="U2585" s="4"/>
      <c r="V2585" s="4"/>
      <c r="W2585" s="4"/>
    </row>
    <row r="2586" spans="1:23" customFormat="1">
      <c r="A2586" s="10"/>
      <c r="B2586" s="4"/>
      <c r="C2586" s="4"/>
      <c r="D2586" s="4"/>
      <c r="E2586" s="4"/>
      <c r="F2586" s="152" t="s">
        <v>360</v>
      </c>
      <c r="G2586" s="4" t="s">
        <v>361</v>
      </c>
      <c r="H2586" s="4"/>
      <c r="I2586" s="196">
        <v>278064.40000000002</v>
      </c>
      <c r="J2586" s="196">
        <v>195.82</v>
      </c>
      <c r="K2586" s="196">
        <v>1420</v>
      </c>
      <c r="L2586" s="454" t="s">
        <v>1239</v>
      </c>
      <c r="M2586" s="4" t="s">
        <v>780</v>
      </c>
      <c r="N2586" s="133" t="s">
        <v>1407</v>
      </c>
      <c r="O2586" s="4" t="s">
        <v>2630</v>
      </c>
      <c r="P2586" s="4" t="s">
        <v>892</v>
      </c>
      <c r="Q2586" s="4" t="s">
        <v>2631</v>
      </c>
      <c r="R2586" s="4" t="s">
        <v>2637</v>
      </c>
      <c r="S2586" s="4" t="s">
        <v>2632</v>
      </c>
      <c r="T2586" s="4" t="s">
        <v>786</v>
      </c>
      <c r="U2586" s="4"/>
      <c r="V2586" s="4"/>
      <c r="W2586" s="4"/>
    </row>
    <row r="2587" spans="1:23" customFormat="1">
      <c r="A2587" s="10"/>
      <c r="B2587" s="4"/>
      <c r="C2587" s="4"/>
      <c r="D2587" s="4"/>
      <c r="E2587" s="4"/>
      <c r="F2587" s="152" t="s">
        <v>362</v>
      </c>
      <c r="G2587" s="4" t="s">
        <v>363</v>
      </c>
      <c r="H2587" s="4"/>
      <c r="I2587" s="196">
        <v>133900</v>
      </c>
      <c r="J2587" s="196">
        <v>103</v>
      </c>
      <c r="K2587" s="196">
        <v>1300</v>
      </c>
      <c r="L2587" s="454" t="s">
        <v>919</v>
      </c>
      <c r="M2587" s="4" t="s">
        <v>780</v>
      </c>
      <c r="N2587" s="133" t="s">
        <v>781</v>
      </c>
      <c r="O2587" s="4" t="s">
        <v>920</v>
      </c>
      <c r="P2587" s="4" t="s">
        <v>892</v>
      </c>
      <c r="Q2587" s="4" t="s">
        <v>921</v>
      </c>
      <c r="R2587" s="4" t="s">
        <v>922</v>
      </c>
      <c r="S2587" s="4" t="s">
        <v>923</v>
      </c>
      <c r="T2587" s="4" t="s">
        <v>786</v>
      </c>
      <c r="U2587" s="4"/>
      <c r="V2587" s="4"/>
      <c r="W2587" s="4"/>
    </row>
    <row r="2588" spans="1:23" customFormat="1">
      <c r="A2588" s="10"/>
      <c r="B2588" s="4"/>
      <c r="C2588" s="4"/>
      <c r="D2588" s="4"/>
      <c r="E2588" s="4"/>
      <c r="F2588" s="152" t="s">
        <v>362</v>
      </c>
      <c r="G2588" s="4" t="s">
        <v>363</v>
      </c>
      <c r="H2588" s="4"/>
      <c r="I2588" s="196">
        <v>-133900</v>
      </c>
      <c r="J2588" s="196">
        <v>-103</v>
      </c>
      <c r="K2588" s="196">
        <v>1300</v>
      </c>
      <c r="L2588" s="454" t="s">
        <v>919</v>
      </c>
      <c r="M2588" s="4" t="s">
        <v>780</v>
      </c>
      <c r="N2588" s="133" t="s">
        <v>1407</v>
      </c>
      <c r="O2588" s="4" t="s">
        <v>983</v>
      </c>
      <c r="P2588" s="4" t="s">
        <v>892</v>
      </c>
      <c r="Q2588" s="4" t="s">
        <v>984</v>
      </c>
      <c r="R2588" s="4" t="s">
        <v>1813</v>
      </c>
      <c r="S2588" s="4" t="s">
        <v>986</v>
      </c>
      <c r="T2588" s="4" t="s">
        <v>786</v>
      </c>
      <c r="U2588" s="4"/>
      <c r="V2588" s="4"/>
      <c r="W2588" s="4"/>
    </row>
    <row r="2589" spans="1:23" customFormat="1">
      <c r="A2589" s="10"/>
      <c r="B2589" s="4"/>
      <c r="C2589" s="4"/>
      <c r="D2589" s="4"/>
      <c r="E2589" s="4"/>
      <c r="F2589" s="152" t="s">
        <v>364</v>
      </c>
      <c r="G2589" s="4" t="s">
        <v>365</v>
      </c>
      <c r="H2589" s="4"/>
      <c r="I2589" s="196">
        <v>-9854000</v>
      </c>
      <c r="J2589" s="196">
        <v>-7580</v>
      </c>
      <c r="K2589" s="196">
        <v>1300</v>
      </c>
      <c r="L2589" s="454" t="s">
        <v>811</v>
      </c>
      <c r="M2589" s="4" t="s">
        <v>780</v>
      </c>
      <c r="N2589" s="133" t="s">
        <v>1407</v>
      </c>
      <c r="O2589" s="4" t="s">
        <v>877</v>
      </c>
      <c r="P2589" s="4" t="s">
        <v>783</v>
      </c>
      <c r="Q2589" s="4" t="s">
        <v>878</v>
      </c>
      <c r="R2589" s="4" t="s">
        <v>1534</v>
      </c>
      <c r="S2589" s="4" t="s">
        <v>880</v>
      </c>
      <c r="T2589" s="4" t="s">
        <v>786</v>
      </c>
      <c r="U2589" s="4"/>
      <c r="V2589" s="4"/>
      <c r="W2589" s="4"/>
    </row>
    <row r="2590" spans="1:23" customFormat="1">
      <c r="A2590" s="10"/>
      <c r="B2590" s="4"/>
      <c r="C2590" s="4"/>
      <c r="D2590" s="4"/>
      <c r="E2590" s="4"/>
      <c r="F2590" s="152" t="s">
        <v>364</v>
      </c>
      <c r="G2590" s="4" t="s">
        <v>365</v>
      </c>
      <c r="H2590" s="4"/>
      <c r="I2590" s="196">
        <v>-719100</v>
      </c>
      <c r="J2590" s="196">
        <v>-510</v>
      </c>
      <c r="K2590" s="196">
        <v>1410</v>
      </c>
      <c r="L2590" s="454" t="s">
        <v>919</v>
      </c>
      <c r="M2590" s="4" t="s">
        <v>780</v>
      </c>
      <c r="N2590" s="133" t="s">
        <v>1407</v>
      </c>
      <c r="O2590" s="4" t="s">
        <v>983</v>
      </c>
      <c r="P2590" s="4" t="s">
        <v>892</v>
      </c>
      <c r="Q2590" s="4" t="s">
        <v>984</v>
      </c>
      <c r="R2590" s="4" t="s">
        <v>1810</v>
      </c>
      <c r="S2590" s="4" t="s">
        <v>986</v>
      </c>
      <c r="T2590" s="4" t="s">
        <v>786</v>
      </c>
      <c r="U2590" s="4"/>
      <c r="V2590" s="4"/>
      <c r="W2590" s="4"/>
    </row>
    <row r="2591" spans="1:23" customFormat="1">
      <c r="A2591" s="10"/>
      <c r="B2591" s="4"/>
      <c r="C2591" s="4"/>
      <c r="D2591" s="4"/>
      <c r="E2591" s="4"/>
      <c r="F2591" s="152" t="s">
        <v>364</v>
      </c>
      <c r="G2591" s="4" t="s">
        <v>365</v>
      </c>
      <c r="H2591" s="4"/>
      <c r="I2591" s="196">
        <v>-6510000</v>
      </c>
      <c r="J2591" s="196">
        <v>-4340</v>
      </c>
      <c r="K2591" s="196">
        <v>1500</v>
      </c>
      <c r="L2591" s="454" t="s">
        <v>1045</v>
      </c>
      <c r="M2591" s="4" t="s">
        <v>780</v>
      </c>
      <c r="N2591" s="133" t="s">
        <v>1407</v>
      </c>
      <c r="O2591" s="4" t="s">
        <v>2242</v>
      </c>
      <c r="P2591" s="4" t="s">
        <v>892</v>
      </c>
      <c r="Q2591" s="4" t="s">
        <v>2243</v>
      </c>
      <c r="R2591" s="4" t="s">
        <v>2251</v>
      </c>
      <c r="S2591" s="4" t="s">
        <v>2245</v>
      </c>
      <c r="T2591" s="4" t="s">
        <v>786</v>
      </c>
      <c r="U2591" s="4"/>
      <c r="V2591" s="4"/>
      <c r="W2591" s="4"/>
    </row>
    <row r="2592" spans="1:23" customFormat="1">
      <c r="A2592" s="10"/>
      <c r="B2592" s="4"/>
      <c r="C2592" s="4"/>
      <c r="D2592" s="4"/>
      <c r="E2592" s="4"/>
      <c r="F2592" s="152" t="s">
        <v>364</v>
      </c>
      <c r="G2592" s="4" t="s">
        <v>365</v>
      </c>
      <c r="H2592" s="4"/>
      <c r="I2592" s="196">
        <v>-1448400</v>
      </c>
      <c r="J2592" s="196">
        <v>-1020</v>
      </c>
      <c r="K2592" s="196">
        <v>1420</v>
      </c>
      <c r="L2592" s="454" t="s">
        <v>1088</v>
      </c>
      <c r="M2592" s="4" t="s">
        <v>780</v>
      </c>
      <c r="N2592" s="133" t="s">
        <v>1407</v>
      </c>
      <c r="O2592" s="4" t="s">
        <v>1194</v>
      </c>
      <c r="P2592" s="4" t="s">
        <v>892</v>
      </c>
      <c r="Q2592" s="4" t="s">
        <v>1195</v>
      </c>
      <c r="R2592" s="4" t="s">
        <v>2459</v>
      </c>
      <c r="S2592" s="4" t="s">
        <v>1197</v>
      </c>
      <c r="T2592" s="4" t="s">
        <v>786</v>
      </c>
      <c r="U2592" s="4"/>
      <c r="V2592" s="4"/>
      <c r="W2592" s="4"/>
    </row>
    <row r="2593" spans="1:23" customFormat="1">
      <c r="A2593" s="10"/>
      <c r="B2593" s="4"/>
      <c r="C2593" s="4"/>
      <c r="D2593" s="4"/>
      <c r="E2593" s="4"/>
      <c r="F2593" s="152" t="s">
        <v>364</v>
      </c>
      <c r="G2593" s="4" t="s">
        <v>365</v>
      </c>
      <c r="H2593" s="4"/>
      <c r="I2593" s="196">
        <v>-10373100</v>
      </c>
      <c r="J2593" s="196">
        <v>-7305</v>
      </c>
      <c r="K2593" s="196">
        <v>1420</v>
      </c>
      <c r="L2593" s="454" t="s">
        <v>1093</v>
      </c>
      <c r="M2593" s="4" t="s">
        <v>780</v>
      </c>
      <c r="N2593" s="133" t="s">
        <v>1407</v>
      </c>
      <c r="O2593" s="4" t="s">
        <v>2477</v>
      </c>
      <c r="P2593" s="4" t="s">
        <v>892</v>
      </c>
      <c r="Q2593" s="4" t="s">
        <v>2478</v>
      </c>
      <c r="R2593" s="4" t="s">
        <v>2479</v>
      </c>
      <c r="S2593" s="4" t="s">
        <v>2480</v>
      </c>
      <c r="T2593" s="4" t="s">
        <v>786</v>
      </c>
      <c r="U2593" s="4"/>
      <c r="V2593" s="4"/>
      <c r="W2593" s="4"/>
    </row>
    <row r="2594" spans="1:23" customFormat="1">
      <c r="A2594" s="10"/>
      <c r="B2594" s="4"/>
      <c r="C2594" s="4"/>
      <c r="D2594" s="4"/>
      <c r="E2594" s="4"/>
      <c r="F2594" s="152" t="s">
        <v>364</v>
      </c>
      <c r="G2594" s="4" t="s">
        <v>365</v>
      </c>
      <c r="H2594" s="4"/>
      <c r="I2594" s="196">
        <v>-19482400</v>
      </c>
      <c r="J2594" s="196">
        <v>-13720</v>
      </c>
      <c r="K2594" s="196">
        <v>1420</v>
      </c>
      <c r="L2594" s="454" t="s">
        <v>1093</v>
      </c>
      <c r="M2594" s="4" t="s">
        <v>780</v>
      </c>
      <c r="N2594" s="133" t="s">
        <v>1407</v>
      </c>
      <c r="O2594" s="4" t="s">
        <v>2477</v>
      </c>
      <c r="P2594" s="4" t="s">
        <v>892</v>
      </c>
      <c r="Q2594" s="4" t="s">
        <v>2478</v>
      </c>
      <c r="R2594" s="4" t="s">
        <v>2483</v>
      </c>
      <c r="S2594" s="4" t="s">
        <v>2480</v>
      </c>
      <c r="T2594" s="4" t="s">
        <v>786</v>
      </c>
      <c r="U2594" s="4"/>
      <c r="V2594" s="4"/>
      <c r="W2594" s="4"/>
    </row>
    <row r="2595" spans="1:23" customFormat="1">
      <c r="A2595" s="10"/>
      <c r="B2595" s="4"/>
      <c r="C2595" s="4"/>
      <c r="D2595" s="4"/>
      <c r="E2595" s="4"/>
      <c r="F2595" s="152" t="s">
        <v>364</v>
      </c>
      <c r="G2595" s="4" t="s">
        <v>365</v>
      </c>
      <c r="H2595" s="4"/>
      <c r="I2595" s="196">
        <v>-1498100</v>
      </c>
      <c r="J2595" s="196">
        <v>-1055</v>
      </c>
      <c r="K2595" s="196">
        <v>1420</v>
      </c>
      <c r="L2595" s="454" t="s">
        <v>1093</v>
      </c>
      <c r="M2595" s="4" t="s">
        <v>780</v>
      </c>
      <c r="N2595" s="133" t="s">
        <v>1407</v>
      </c>
      <c r="O2595" s="4" t="s">
        <v>2651</v>
      </c>
      <c r="P2595" s="4" t="s">
        <v>892</v>
      </c>
      <c r="Q2595" s="4" t="s">
        <v>2652</v>
      </c>
      <c r="R2595" s="4" t="s">
        <v>2655</v>
      </c>
      <c r="S2595" s="4" t="s">
        <v>2654</v>
      </c>
      <c r="T2595" s="4" t="s">
        <v>786</v>
      </c>
      <c r="U2595" s="4"/>
      <c r="V2595" s="4"/>
      <c r="W2595" s="4"/>
    </row>
    <row r="2596" spans="1:23" customFormat="1">
      <c r="A2596" s="10"/>
      <c r="B2596" s="4"/>
      <c r="C2596" s="4"/>
      <c r="D2596" s="4"/>
      <c r="E2596" s="4"/>
      <c r="F2596" s="152" t="s">
        <v>364</v>
      </c>
      <c r="G2596" s="4" t="s">
        <v>365</v>
      </c>
      <c r="H2596" s="4"/>
      <c r="I2596" s="196">
        <v>-2454900</v>
      </c>
      <c r="J2596" s="196">
        <v>-1670</v>
      </c>
      <c r="K2596" s="196">
        <v>1470</v>
      </c>
      <c r="L2596" s="454" t="s">
        <v>1239</v>
      </c>
      <c r="M2596" s="4" t="s">
        <v>780</v>
      </c>
      <c r="N2596" s="133" t="s">
        <v>1407</v>
      </c>
      <c r="O2596" s="4" t="s">
        <v>2679</v>
      </c>
      <c r="P2596" s="4" t="s">
        <v>892</v>
      </c>
      <c r="Q2596" s="4" t="s">
        <v>2680</v>
      </c>
      <c r="R2596" s="4" t="s">
        <v>2688</v>
      </c>
      <c r="S2596" s="4" t="s">
        <v>2682</v>
      </c>
      <c r="T2596" s="4" t="s">
        <v>786</v>
      </c>
      <c r="U2596" s="4"/>
      <c r="V2596" s="4"/>
      <c r="W2596" s="4"/>
    </row>
    <row r="2597" spans="1:23" customFormat="1">
      <c r="A2597" s="10"/>
      <c r="B2597" s="4"/>
      <c r="C2597" s="4"/>
      <c r="D2597" s="4"/>
      <c r="E2597" s="4"/>
      <c r="F2597" s="152" t="s">
        <v>364</v>
      </c>
      <c r="G2597" s="4" t="s">
        <v>365</v>
      </c>
      <c r="H2597" s="4"/>
      <c r="I2597" s="196">
        <v>-5027400</v>
      </c>
      <c r="J2597" s="196">
        <v>-3420</v>
      </c>
      <c r="K2597" s="196">
        <v>1470</v>
      </c>
      <c r="L2597" s="454" t="s">
        <v>1239</v>
      </c>
      <c r="M2597" s="4" t="s">
        <v>780</v>
      </c>
      <c r="N2597" s="133" t="s">
        <v>1407</v>
      </c>
      <c r="O2597" s="4" t="s">
        <v>2679</v>
      </c>
      <c r="P2597" s="4" t="s">
        <v>892</v>
      </c>
      <c r="Q2597" s="4" t="s">
        <v>2680</v>
      </c>
      <c r="R2597" s="4" t="s">
        <v>2689</v>
      </c>
      <c r="S2597" s="4" t="s">
        <v>2682</v>
      </c>
      <c r="T2597" s="4" t="s">
        <v>786</v>
      </c>
      <c r="U2597" s="4"/>
      <c r="V2597" s="4"/>
      <c r="W2597" s="4"/>
    </row>
    <row r="2598" spans="1:23" customFormat="1">
      <c r="A2598" s="10"/>
      <c r="B2598" s="4"/>
      <c r="C2598" s="4"/>
      <c r="D2598" s="4"/>
      <c r="E2598" s="4"/>
      <c r="F2598" s="152" t="s">
        <v>364</v>
      </c>
      <c r="G2598" s="4" t="s">
        <v>365</v>
      </c>
      <c r="H2598" s="4"/>
      <c r="I2598" s="196">
        <v>-2520315</v>
      </c>
      <c r="J2598" s="196">
        <v>-1714.5</v>
      </c>
      <c r="K2598" s="196">
        <v>1470</v>
      </c>
      <c r="L2598" s="454" t="s">
        <v>1239</v>
      </c>
      <c r="M2598" s="4" t="s">
        <v>780</v>
      </c>
      <c r="N2598" s="133" t="s">
        <v>1407</v>
      </c>
      <c r="O2598" s="4" t="s">
        <v>2679</v>
      </c>
      <c r="P2598" s="4" t="s">
        <v>892</v>
      </c>
      <c r="Q2598" s="4" t="s">
        <v>2680</v>
      </c>
      <c r="R2598" s="4" t="s">
        <v>2692</v>
      </c>
      <c r="S2598" s="4" t="s">
        <v>2682</v>
      </c>
      <c r="T2598" s="4" t="s">
        <v>786</v>
      </c>
      <c r="U2598" s="4"/>
      <c r="V2598" s="4"/>
      <c r="W2598" s="4"/>
    </row>
    <row r="2599" spans="1:23" customFormat="1">
      <c r="A2599" s="10"/>
      <c r="B2599" s="4"/>
      <c r="C2599" s="4"/>
      <c r="D2599" s="4"/>
      <c r="E2599" s="4"/>
      <c r="F2599" s="152" t="s">
        <v>364</v>
      </c>
      <c r="G2599" s="4" t="s">
        <v>365</v>
      </c>
      <c r="H2599" s="4"/>
      <c r="I2599" s="196">
        <v>-14067900</v>
      </c>
      <c r="J2599" s="196">
        <v>-9570</v>
      </c>
      <c r="K2599" s="196">
        <v>1470</v>
      </c>
      <c r="L2599" s="454" t="s">
        <v>1239</v>
      </c>
      <c r="M2599" s="4" t="s">
        <v>780</v>
      </c>
      <c r="N2599" s="133" t="s">
        <v>1407</v>
      </c>
      <c r="O2599" s="4" t="s">
        <v>2679</v>
      </c>
      <c r="P2599" s="4" t="s">
        <v>892</v>
      </c>
      <c r="Q2599" s="4" t="s">
        <v>2680</v>
      </c>
      <c r="R2599" s="4" t="s">
        <v>2686</v>
      </c>
      <c r="S2599" s="4" t="s">
        <v>2682</v>
      </c>
      <c r="T2599" s="4" t="s">
        <v>786</v>
      </c>
      <c r="U2599" s="4"/>
      <c r="V2599" s="4"/>
      <c r="W2599" s="4"/>
    </row>
    <row r="2600" spans="1:23" customFormat="1">
      <c r="A2600" s="10"/>
      <c r="B2600" s="4"/>
      <c r="C2600" s="4"/>
      <c r="D2600" s="4"/>
      <c r="E2600" s="4"/>
      <c r="F2600" s="152" t="s">
        <v>368</v>
      </c>
      <c r="G2600" s="4" t="s">
        <v>369</v>
      </c>
      <c r="H2600" s="4"/>
      <c r="I2600" s="196">
        <v>34500700</v>
      </c>
      <c r="J2600" s="196">
        <v>26539</v>
      </c>
      <c r="K2600" s="196">
        <v>1300</v>
      </c>
      <c r="L2600" s="454" t="s">
        <v>899</v>
      </c>
      <c r="M2600" s="4" t="s">
        <v>780</v>
      </c>
      <c r="N2600" s="133" t="s">
        <v>2705</v>
      </c>
      <c r="O2600" s="4" t="s">
        <v>1119</v>
      </c>
      <c r="P2600" s="4" t="s">
        <v>892</v>
      </c>
      <c r="Q2600" s="4" t="s">
        <v>1120</v>
      </c>
      <c r="R2600" s="4" t="s">
        <v>2726</v>
      </c>
      <c r="S2600" s="4" t="s">
        <v>1122</v>
      </c>
      <c r="T2600" s="4" t="s">
        <v>786</v>
      </c>
      <c r="U2600" s="4"/>
      <c r="V2600" s="4"/>
      <c r="W2600" s="4"/>
    </row>
    <row r="2601" spans="1:23" customFormat="1">
      <c r="A2601" s="10"/>
      <c r="B2601" s="4"/>
      <c r="C2601" s="4"/>
      <c r="D2601" s="4"/>
      <c r="E2601" s="4"/>
      <c r="F2601" s="152" t="s">
        <v>368</v>
      </c>
      <c r="G2601" s="4" t="s">
        <v>369</v>
      </c>
      <c r="H2601" s="4"/>
      <c r="I2601" s="196">
        <v>31200000</v>
      </c>
      <c r="J2601" s="196">
        <v>24000</v>
      </c>
      <c r="K2601" s="196">
        <v>1300</v>
      </c>
      <c r="L2601" s="454" t="s">
        <v>899</v>
      </c>
      <c r="M2601" s="4" t="s">
        <v>780</v>
      </c>
      <c r="N2601" s="133" t="s">
        <v>2705</v>
      </c>
      <c r="O2601" s="4" t="s">
        <v>1119</v>
      </c>
      <c r="P2601" s="4" t="s">
        <v>892</v>
      </c>
      <c r="Q2601" s="4" t="s">
        <v>1120</v>
      </c>
      <c r="R2601" s="4" t="s">
        <v>2727</v>
      </c>
      <c r="S2601" s="4" t="s">
        <v>1122</v>
      </c>
      <c r="T2601" s="4" t="s">
        <v>786</v>
      </c>
      <c r="U2601" s="4"/>
      <c r="V2601" s="4"/>
      <c r="W2601" s="4"/>
    </row>
    <row r="2602" spans="1:23" customFormat="1">
      <c r="A2602" s="10"/>
      <c r="B2602" s="4"/>
      <c r="C2602" s="4"/>
      <c r="D2602" s="4"/>
      <c r="E2602" s="4"/>
      <c r="F2602" s="152" t="s">
        <v>368</v>
      </c>
      <c r="G2602" s="4" t="s">
        <v>369</v>
      </c>
      <c r="H2602" s="4"/>
      <c r="I2602" s="196">
        <v>874510</v>
      </c>
      <c r="J2602" s="196">
        <v>672.7</v>
      </c>
      <c r="K2602" s="196">
        <v>1300</v>
      </c>
      <c r="L2602" s="454" t="s">
        <v>811</v>
      </c>
      <c r="M2602" s="4" t="s">
        <v>780</v>
      </c>
      <c r="N2602" s="133" t="s">
        <v>781</v>
      </c>
      <c r="O2602" s="4" t="s">
        <v>812</v>
      </c>
      <c r="P2602" s="4" t="s">
        <v>783</v>
      </c>
      <c r="Q2602" s="4" t="s">
        <v>813</v>
      </c>
      <c r="R2602" s="4" t="s">
        <v>816</v>
      </c>
      <c r="S2602" s="4" t="s">
        <v>815</v>
      </c>
      <c r="T2602" s="4" t="s">
        <v>786</v>
      </c>
      <c r="U2602" s="4"/>
      <c r="V2602" s="4"/>
      <c r="W2602" s="4"/>
    </row>
    <row r="2603" spans="1:23" customFormat="1">
      <c r="A2603" s="10"/>
      <c r="B2603" s="4"/>
      <c r="C2603" s="4"/>
      <c r="D2603" s="4"/>
      <c r="E2603" s="4"/>
      <c r="F2603" s="152" t="s">
        <v>368</v>
      </c>
      <c r="G2603" s="4" t="s">
        <v>369</v>
      </c>
      <c r="H2603" s="4"/>
      <c r="I2603" s="196">
        <v>4550000</v>
      </c>
      <c r="J2603" s="196">
        <v>3500</v>
      </c>
      <c r="K2603" s="196">
        <v>1300</v>
      </c>
      <c r="L2603" s="454" t="s">
        <v>811</v>
      </c>
      <c r="M2603" s="4" t="s">
        <v>780</v>
      </c>
      <c r="N2603" s="133" t="s">
        <v>781</v>
      </c>
      <c r="O2603" s="4" t="s">
        <v>812</v>
      </c>
      <c r="P2603" s="4" t="s">
        <v>783</v>
      </c>
      <c r="Q2603" s="4" t="s">
        <v>813</v>
      </c>
      <c r="R2603" s="4" t="s">
        <v>814</v>
      </c>
      <c r="S2603" s="4" t="s">
        <v>815</v>
      </c>
      <c r="T2603" s="4" t="s">
        <v>786</v>
      </c>
      <c r="U2603" s="4"/>
      <c r="V2603" s="4"/>
      <c r="W2603" s="4"/>
    </row>
    <row r="2604" spans="1:23" customFormat="1">
      <c r="A2604" s="10"/>
      <c r="B2604" s="4"/>
      <c r="C2604" s="4"/>
      <c r="D2604" s="4"/>
      <c r="E2604" s="4"/>
      <c r="F2604" s="152" t="s">
        <v>368</v>
      </c>
      <c r="G2604" s="4" t="s">
        <v>369</v>
      </c>
      <c r="H2604" s="4"/>
      <c r="I2604" s="196">
        <v>110970</v>
      </c>
      <c r="J2604" s="196">
        <v>81</v>
      </c>
      <c r="K2604" s="196">
        <v>1370</v>
      </c>
      <c r="L2604" s="454" t="s">
        <v>817</v>
      </c>
      <c r="M2604" s="4" t="s">
        <v>780</v>
      </c>
      <c r="N2604" s="133" t="s">
        <v>781</v>
      </c>
      <c r="O2604" s="4" t="s">
        <v>818</v>
      </c>
      <c r="P2604" s="4" t="s">
        <v>783</v>
      </c>
      <c r="Q2604" s="4" t="s">
        <v>819</v>
      </c>
      <c r="R2604" s="4" t="s">
        <v>822</v>
      </c>
      <c r="S2604" s="4" t="s">
        <v>821</v>
      </c>
      <c r="T2604" s="4" t="s">
        <v>786</v>
      </c>
      <c r="U2604" s="4"/>
      <c r="V2604" s="4"/>
      <c r="W2604" s="4"/>
    </row>
    <row r="2605" spans="1:23" customFormat="1">
      <c r="A2605" s="10"/>
      <c r="B2605" s="4"/>
      <c r="C2605" s="4"/>
      <c r="D2605" s="4"/>
      <c r="E2605" s="4"/>
      <c r="F2605" s="152" t="s">
        <v>368</v>
      </c>
      <c r="G2605" s="4" t="s">
        <v>369</v>
      </c>
      <c r="H2605" s="4"/>
      <c r="I2605" s="196">
        <v>5215590</v>
      </c>
      <c r="J2605" s="196">
        <v>3807</v>
      </c>
      <c r="K2605" s="196">
        <v>1370</v>
      </c>
      <c r="L2605" s="454" t="s">
        <v>817</v>
      </c>
      <c r="M2605" s="4" t="s">
        <v>780</v>
      </c>
      <c r="N2605" s="133" t="s">
        <v>781</v>
      </c>
      <c r="O2605" s="4" t="s">
        <v>818</v>
      </c>
      <c r="P2605" s="4" t="s">
        <v>783</v>
      </c>
      <c r="Q2605" s="4" t="s">
        <v>819</v>
      </c>
      <c r="R2605" s="4" t="s">
        <v>823</v>
      </c>
      <c r="S2605" s="4" t="s">
        <v>821</v>
      </c>
      <c r="T2605" s="4" t="s">
        <v>786</v>
      </c>
      <c r="U2605" s="4"/>
      <c r="V2605" s="4"/>
      <c r="W2605" s="4"/>
    </row>
    <row r="2606" spans="1:23" customFormat="1">
      <c r="A2606" s="10"/>
      <c r="B2606" s="4"/>
      <c r="C2606" s="4"/>
      <c r="D2606" s="4"/>
      <c r="E2606" s="4"/>
      <c r="F2606" s="152" t="s">
        <v>368</v>
      </c>
      <c r="G2606" s="4" t="s">
        <v>369</v>
      </c>
      <c r="H2606" s="4"/>
      <c r="I2606" s="196">
        <v>110970</v>
      </c>
      <c r="J2606" s="196">
        <v>81</v>
      </c>
      <c r="K2606" s="196">
        <v>1370</v>
      </c>
      <c r="L2606" s="454" t="s">
        <v>817</v>
      </c>
      <c r="M2606" s="4" t="s">
        <v>780</v>
      </c>
      <c r="N2606" s="133" t="s">
        <v>781</v>
      </c>
      <c r="O2606" s="4" t="s">
        <v>818</v>
      </c>
      <c r="P2606" s="4" t="s">
        <v>783</v>
      </c>
      <c r="Q2606" s="4" t="s">
        <v>819</v>
      </c>
      <c r="R2606" s="4" t="s">
        <v>824</v>
      </c>
      <c r="S2606" s="4" t="s">
        <v>821</v>
      </c>
      <c r="T2606" s="4" t="s">
        <v>786</v>
      </c>
      <c r="U2606" s="4"/>
      <c r="V2606" s="4"/>
      <c r="W2606" s="4"/>
    </row>
    <row r="2607" spans="1:23" customFormat="1">
      <c r="A2607" s="10"/>
      <c r="B2607" s="4"/>
      <c r="C2607" s="4"/>
      <c r="D2607" s="4"/>
      <c r="E2607" s="4"/>
      <c r="F2607" s="152" t="s">
        <v>368</v>
      </c>
      <c r="G2607" s="4" t="s">
        <v>369</v>
      </c>
      <c r="H2607" s="4"/>
      <c r="I2607" s="196">
        <v>45000000</v>
      </c>
      <c r="J2607" s="196">
        <v>30000</v>
      </c>
      <c r="K2607" s="196">
        <v>1500</v>
      </c>
      <c r="L2607" s="454" t="s">
        <v>1012</v>
      </c>
      <c r="M2607" s="4" t="s">
        <v>780</v>
      </c>
      <c r="N2607" s="133" t="s">
        <v>781</v>
      </c>
      <c r="O2607" s="4" t="s">
        <v>1013</v>
      </c>
      <c r="P2607" s="4" t="s">
        <v>892</v>
      </c>
      <c r="Q2607" s="4" t="s">
        <v>1014</v>
      </c>
      <c r="R2607" s="4" t="s">
        <v>1015</v>
      </c>
      <c r="S2607" s="4" t="s">
        <v>1016</v>
      </c>
      <c r="T2607" s="4" t="s">
        <v>786</v>
      </c>
      <c r="U2607" s="4"/>
      <c r="V2607" s="4"/>
      <c r="W2607" s="4"/>
    </row>
    <row r="2608" spans="1:23" customFormat="1">
      <c r="A2608" s="10"/>
      <c r="B2608" s="4"/>
      <c r="C2608" s="4"/>
      <c r="D2608" s="4"/>
      <c r="E2608" s="4"/>
      <c r="F2608" s="152" t="s">
        <v>368</v>
      </c>
      <c r="G2608" s="4" t="s">
        <v>369</v>
      </c>
      <c r="H2608" s="4"/>
      <c r="I2608" s="196">
        <v>106674100</v>
      </c>
      <c r="J2608" s="196">
        <v>82057</v>
      </c>
      <c r="K2608" s="196">
        <v>1300</v>
      </c>
      <c r="L2608" s="454" t="s">
        <v>899</v>
      </c>
      <c r="M2608" s="4" t="s">
        <v>780</v>
      </c>
      <c r="N2608" s="133" t="s">
        <v>781</v>
      </c>
      <c r="O2608" s="4" t="s">
        <v>1119</v>
      </c>
      <c r="P2608" s="4" t="s">
        <v>892</v>
      </c>
      <c r="Q2608" s="4" t="s">
        <v>1120</v>
      </c>
      <c r="R2608" s="4" t="s">
        <v>1121</v>
      </c>
      <c r="S2608" s="4" t="s">
        <v>1122</v>
      </c>
      <c r="T2608" s="4" t="s">
        <v>786</v>
      </c>
      <c r="U2608" s="4"/>
      <c r="V2608" s="4"/>
      <c r="W2608" s="4"/>
    </row>
    <row r="2609" spans="1:23" customFormat="1">
      <c r="A2609" s="10"/>
      <c r="B2609" s="4"/>
      <c r="C2609" s="4"/>
      <c r="D2609" s="4"/>
      <c r="E2609" s="4"/>
      <c r="F2609" s="152" t="s">
        <v>368</v>
      </c>
      <c r="G2609" s="4" t="s">
        <v>369</v>
      </c>
      <c r="H2609" s="4"/>
      <c r="I2609" s="196">
        <v>2795980</v>
      </c>
      <c r="J2609" s="196">
        <v>1969</v>
      </c>
      <c r="K2609" s="196">
        <v>1420</v>
      </c>
      <c r="L2609" s="454" t="s">
        <v>1135</v>
      </c>
      <c r="M2609" s="4" t="s">
        <v>780</v>
      </c>
      <c r="N2609" s="133" t="s">
        <v>781</v>
      </c>
      <c r="O2609" s="4" t="s">
        <v>1136</v>
      </c>
      <c r="P2609" s="4" t="s">
        <v>892</v>
      </c>
      <c r="Q2609" s="4" t="s">
        <v>1137</v>
      </c>
      <c r="R2609" s="4" t="s">
        <v>1138</v>
      </c>
      <c r="S2609" s="4" t="s">
        <v>1139</v>
      </c>
      <c r="T2609" s="4" t="s">
        <v>786</v>
      </c>
      <c r="U2609" s="4"/>
      <c r="V2609" s="4"/>
      <c r="W2609" s="4"/>
    </row>
    <row r="2610" spans="1:23" customFormat="1">
      <c r="A2610" s="10"/>
      <c r="B2610" s="4"/>
      <c r="C2610" s="4"/>
      <c r="D2610" s="4"/>
      <c r="E2610" s="4"/>
      <c r="F2610" s="152" t="s">
        <v>368</v>
      </c>
      <c r="G2610" s="4" t="s">
        <v>369</v>
      </c>
      <c r="H2610" s="4"/>
      <c r="I2610" s="196">
        <v>828750</v>
      </c>
      <c r="J2610" s="196">
        <v>637.5</v>
      </c>
      <c r="K2610" s="196">
        <v>1300</v>
      </c>
      <c r="L2610" s="454" t="s">
        <v>811</v>
      </c>
      <c r="M2610" s="4" t="s">
        <v>780</v>
      </c>
      <c r="N2610" s="133" t="s">
        <v>1407</v>
      </c>
      <c r="O2610" s="4" t="s">
        <v>812</v>
      </c>
      <c r="P2610" s="4" t="s">
        <v>783</v>
      </c>
      <c r="Q2610" s="4" t="s">
        <v>813</v>
      </c>
      <c r="R2610" s="4" t="s">
        <v>1436</v>
      </c>
      <c r="S2610" s="4" t="s">
        <v>815</v>
      </c>
      <c r="T2610" s="4" t="s">
        <v>786</v>
      </c>
      <c r="U2610" s="4"/>
      <c r="V2610" s="4"/>
      <c r="W2610" s="4"/>
    </row>
    <row r="2611" spans="1:23" customFormat="1">
      <c r="A2611" s="10"/>
      <c r="B2611" s="4"/>
      <c r="C2611" s="4"/>
      <c r="D2611" s="4"/>
      <c r="E2611" s="4"/>
      <c r="F2611" s="152" t="s">
        <v>368</v>
      </c>
      <c r="G2611" s="4" t="s">
        <v>369</v>
      </c>
      <c r="H2611" s="4"/>
      <c r="I2611" s="196">
        <v>2125500</v>
      </c>
      <c r="J2611" s="196">
        <v>1635</v>
      </c>
      <c r="K2611" s="196">
        <v>1300</v>
      </c>
      <c r="L2611" s="454" t="s">
        <v>811</v>
      </c>
      <c r="M2611" s="4" t="s">
        <v>780</v>
      </c>
      <c r="N2611" s="133" t="s">
        <v>1407</v>
      </c>
      <c r="O2611" s="4" t="s">
        <v>812</v>
      </c>
      <c r="P2611" s="4" t="s">
        <v>783</v>
      </c>
      <c r="Q2611" s="4" t="s">
        <v>813</v>
      </c>
      <c r="R2611" s="4" t="s">
        <v>1438</v>
      </c>
      <c r="S2611" s="4" t="s">
        <v>815</v>
      </c>
      <c r="T2611" s="4" t="s">
        <v>786</v>
      </c>
      <c r="U2611" s="4"/>
      <c r="V2611" s="4"/>
      <c r="W2611" s="4"/>
    </row>
    <row r="2612" spans="1:23" customFormat="1">
      <c r="A2612" s="10"/>
      <c r="B2612" s="4"/>
      <c r="C2612" s="4"/>
      <c r="D2612" s="4"/>
      <c r="E2612" s="4"/>
      <c r="F2612" s="152" t="s">
        <v>368</v>
      </c>
      <c r="G2612" s="4" t="s">
        <v>369</v>
      </c>
      <c r="H2612" s="4"/>
      <c r="I2612" s="196">
        <v>4703210</v>
      </c>
      <c r="J2612" s="196">
        <v>3433</v>
      </c>
      <c r="K2612" s="196">
        <v>1370</v>
      </c>
      <c r="L2612" s="454" t="s">
        <v>817</v>
      </c>
      <c r="M2612" s="4" t="s">
        <v>780</v>
      </c>
      <c r="N2612" s="133" t="s">
        <v>1407</v>
      </c>
      <c r="O2612" s="4" t="s">
        <v>818</v>
      </c>
      <c r="P2612" s="4" t="s">
        <v>783</v>
      </c>
      <c r="Q2612" s="4" t="s">
        <v>819</v>
      </c>
      <c r="R2612" s="4" t="s">
        <v>1440</v>
      </c>
      <c r="S2612" s="4" t="s">
        <v>821</v>
      </c>
      <c r="T2612" s="4" t="s">
        <v>786</v>
      </c>
      <c r="U2612" s="4"/>
      <c r="V2612" s="4"/>
      <c r="W2612" s="4"/>
    </row>
    <row r="2613" spans="1:23" customFormat="1">
      <c r="A2613" s="10"/>
      <c r="B2613" s="4"/>
      <c r="C2613" s="4"/>
      <c r="D2613" s="4"/>
      <c r="E2613" s="4"/>
      <c r="F2613" s="152" t="s">
        <v>368</v>
      </c>
      <c r="G2613" s="4" t="s">
        <v>369</v>
      </c>
      <c r="H2613" s="4"/>
      <c r="I2613" s="196">
        <v>106580500</v>
      </c>
      <c r="J2613" s="196">
        <v>81985</v>
      </c>
      <c r="K2613" s="196">
        <v>1300</v>
      </c>
      <c r="L2613" s="454" t="s">
        <v>899</v>
      </c>
      <c r="M2613" s="4" t="s">
        <v>780</v>
      </c>
      <c r="N2613" s="133" t="s">
        <v>1407</v>
      </c>
      <c r="O2613" s="4" t="s">
        <v>1119</v>
      </c>
      <c r="P2613" s="4" t="s">
        <v>892</v>
      </c>
      <c r="Q2613" s="4" t="s">
        <v>1120</v>
      </c>
      <c r="R2613" s="4" t="s">
        <v>2389</v>
      </c>
      <c r="S2613" s="4" t="s">
        <v>1122</v>
      </c>
      <c r="T2613" s="4" t="s">
        <v>786</v>
      </c>
      <c r="U2613" s="4"/>
      <c r="V2613" s="4"/>
      <c r="W2613" s="4"/>
    </row>
    <row r="2614" spans="1:23" customFormat="1">
      <c r="A2614" s="10"/>
      <c r="B2614" s="4"/>
      <c r="C2614" s="4"/>
      <c r="D2614" s="4"/>
      <c r="E2614" s="4"/>
      <c r="F2614" s="152" t="s">
        <v>368</v>
      </c>
      <c r="G2614" s="4" t="s">
        <v>369</v>
      </c>
      <c r="H2614" s="4"/>
      <c r="I2614" s="196">
        <v>-68120000</v>
      </c>
      <c r="J2614" s="196">
        <v>-52400</v>
      </c>
      <c r="K2614" s="196">
        <v>1300</v>
      </c>
      <c r="L2614" s="454" t="s">
        <v>899</v>
      </c>
      <c r="M2614" s="4" t="s">
        <v>780</v>
      </c>
      <c r="N2614" s="133" t="s">
        <v>1407</v>
      </c>
      <c r="O2614" s="4" t="s">
        <v>2454</v>
      </c>
      <c r="P2614" s="4" t="s">
        <v>892</v>
      </c>
      <c r="Q2614" s="4" t="s">
        <v>2455</v>
      </c>
      <c r="R2614" s="4" t="s">
        <v>2457</v>
      </c>
      <c r="S2614" s="4" t="s">
        <v>2456</v>
      </c>
      <c r="T2614" s="4" t="s">
        <v>786</v>
      </c>
      <c r="U2614" s="4"/>
      <c r="V2614" s="4"/>
      <c r="W2614" s="4"/>
    </row>
    <row r="2615" spans="1:23" customFormat="1">
      <c r="A2615" s="10"/>
      <c r="B2615" s="4"/>
      <c r="C2615" s="4"/>
      <c r="D2615" s="4"/>
      <c r="E2615" s="4"/>
      <c r="F2615" s="152" t="s">
        <v>368</v>
      </c>
      <c r="G2615" s="4" t="s">
        <v>369</v>
      </c>
      <c r="H2615" s="4"/>
      <c r="I2615" s="196">
        <v>-2125500</v>
      </c>
      <c r="J2615" s="196">
        <v>-1635</v>
      </c>
      <c r="K2615" s="196">
        <v>1300</v>
      </c>
      <c r="L2615" s="454" t="s">
        <v>899</v>
      </c>
      <c r="M2615" s="4" t="s">
        <v>780</v>
      </c>
      <c r="N2615" s="133" t="s">
        <v>1407</v>
      </c>
      <c r="O2615" s="4" t="s">
        <v>2454</v>
      </c>
      <c r="P2615" s="4" t="s">
        <v>892</v>
      </c>
      <c r="Q2615" s="4" t="s">
        <v>2455</v>
      </c>
      <c r="R2615" s="4" t="s">
        <v>1438</v>
      </c>
      <c r="S2615" s="4" t="s">
        <v>2456</v>
      </c>
      <c r="T2615" s="4" t="s">
        <v>786</v>
      </c>
      <c r="U2615" s="4"/>
      <c r="V2615" s="4"/>
      <c r="W2615" s="4"/>
    </row>
    <row r="2616" spans="1:23" customFormat="1">
      <c r="A2616" s="10"/>
      <c r="B2616" s="4"/>
      <c r="C2616" s="4"/>
      <c r="D2616" s="4"/>
      <c r="E2616" s="4"/>
      <c r="F2616" s="152" t="s">
        <v>289</v>
      </c>
      <c r="G2616" s="4" t="s">
        <v>290</v>
      </c>
      <c r="H2616" s="4"/>
      <c r="I2616" s="196">
        <v>-1417000</v>
      </c>
      <c r="J2616" s="196">
        <v>-1090</v>
      </c>
      <c r="K2616" s="196">
        <v>1300</v>
      </c>
      <c r="L2616" s="454" t="s">
        <v>811</v>
      </c>
      <c r="M2616" s="4" t="s">
        <v>780</v>
      </c>
      <c r="N2616" s="133" t="s">
        <v>781</v>
      </c>
      <c r="O2616" s="4" t="s">
        <v>877</v>
      </c>
      <c r="P2616" s="4" t="s">
        <v>783</v>
      </c>
      <c r="Q2616" s="4" t="s">
        <v>878</v>
      </c>
      <c r="R2616" s="4" t="s">
        <v>879</v>
      </c>
      <c r="S2616" s="4" t="s">
        <v>880</v>
      </c>
      <c r="T2616" s="4" t="s">
        <v>786</v>
      </c>
      <c r="U2616" s="4"/>
      <c r="V2616" s="4"/>
      <c r="W2616" s="4"/>
    </row>
    <row r="2617" spans="1:23" customFormat="1">
      <c r="A2617" s="10"/>
      <c r="B2617" s="4"/>
      <c r="C2617" s="4"/>
      <c r="D2617" s="4"/>
      <c r="E2617" s="4"/>
      <c r="F2617" s="152" t="s">
        <v>289</v>
      </c>
      <c r="G2617" s="4" t="s">
        <v>290</v>
      </c>
      <c r="H2617" s="4"/>
      <c r="I2617" s="196">
        <v>-1417000</v>
      </c>
      <c r="J2617" s="196">
        <v>-1090</v>
      </c>
      <c r="K2617" s="196">
        <v>1300</v>
      </c>
      <c r="L2617" s="454" t="s">
        <v>817</v>
      </c>
      <c r="M2617" s="4" t="s">
        <v>780</v>
      </c>
      <c r="N2617" s="133" t="s">
        <v>781</v>
      </c>
      <c r="O2617" s="4" t="s">
        <v>881</v>
      </c>
      <c r="P2617" s="4" t="s">
        <v>783</v>
      </c>
      <c r="Q2617" s="4" t="s">
        <v>882</v>
      </c>
      <c r="R2617" s="4" t="s">
        <v>883</v>
      </c>
      <c r="S2617" s="4" t="s">
        <v>884</v>
      </c>
      <c r="T2617" s="4" t="s">
        <v>786</v>
      </c>
      <c r="U2617" s="4"/>
      <c r="V2617" s="4"/>
      <c r="W2617" s="4"/>
    </row>
    <row r="2618" spans="1:23" customFormat="1">
      <c r="A2618" s="10"/>
      <c r="B2618" s="4"/>
      <c r="C2618" s="4"/>
      <c r="D2618" s="4"/>
      <c r="E2618" s="4"/>
      <c r="F2618" s="152" t="s">
        <v>289</v>
      </c>
      <c r="G2618" s="4" t="s">
        <v>290</v>
      </c>
      <c r="H2618" s="4"/>
      <c r="I2618" s="196">
        <v>-19110000</v>
      </c>
      <c r="J2618" s="196">
        <v>-14700</v>
      </c>
      <c r="K2618" s="196">
        <v>1300</v>
      </c>
      <c r="L2618" s="454" t="s">
        <v>817</v>
      </c>
      <c r="M2618" s="4" t="s">
        <v>780</v>
      </c>
      <c r="N2618" s="133" t="s">
        <v>781</v>
      </c>
      <c r="O2618" s="4" t="s">
        <v>881</v>
      </c>
      <c r="P2618" s="4" t="s">
        <v>783</v>
      </c>
      <c r="Q2618" s="4" t="s">
        <v>882</v>
      </c>
      <c r="R2618" s="4" t="s">
        <v>885</v>
      </c>
      <c r="S2618" s="4" t="s">
        <v>884</v>
      </c>
      <c r="T2618" s="4" t="s">
        <v>786</v>
      </c>
      <c r="U2618" s="4"/>
      <c r="V2618" s="4"/>
      <c r="W2618" s="4"/>
    </row>
    <row r="2619" spans="1:23" customFormat="1">
      <c r="A2619" s="10"/>
      <c r="B2619" s="4"/>
      <c r="C2619" s="4"/>
      <c r="D2619" s="4"/>
      <c r="E2619" s="4"/>
      <c r="F2619" s="152" t="s">
        <v>289</v>
      </c>
      <c r="G2619" s="4" t="s">
        <v>290</v>
      </c>
      <c r="H2619" s="4"/>
      <c r="I2619" s="196">
        <v>-5392450</v>
      </c>
      <c r="J2619" s="196">
        <v>-3797.5</v>
      </c>
      <c r="K2619" s="196">
        <v>1420</v>
      </c>
      <c r="L2619" s="454" t="s">
        <v>825</v>
      </c>
      <c r="M2619" s="4" t="s">
        <v>780</v>
      </c>
      <c r="N2619" s="133" t="s">
        <v>781</v>
      </c>
      <c r="O2619" s="4" t="s">
        <v>886</v>
      </c>
      <c r="P2619" s="4" t="s">
        <v>783</v>
      </c>
      <c r="Q2619" s="4" t="s">
        <v>887</v>
      </c>
      <c r="R2619" s="4" t="s">
        <v>888</v>
      </c>
      <c r="S2619" s="4" t="s">
        <v>889</v>
      </c>
      <c r="T2619" s="4" t="s">
        <v>786</v>
      </c>
      <c r="U2619" s="4"/>
      <c r="V2619" s="4"/>
      <c r="W2619" s="4"/>
    </row>
    <row r="2620" spans="1:23" customFormat="1">
      <c r="A2620" s="10"/>
      <c r="B2620" s="4"/>
      <c r="C2620" s="4"/>
      <c r="D2620" s="4"/>
      <c r="E2620" s="4"/>
      <c r="F2620" s="152" t="s">
        <v>289</v>
      </c>
      <c r="G2620" s="4" t="s">
        <v>290</v>
      </c>
      <c r="H2620" s="4"/>
      <c r="I2620" s="196">
        <v>5135000</v>
      </c>
      <c r="J2620" s="196">
        <v>3950</v>
      </c>
      <c r="K2620" s="196">
        <v>1300</v>
      </c>
      <c r="L2620" s="454" t="s">
        <v>913</v>
      </c>
      <c r="M2620" s="4" t="s">
        <v>780</v>
      </c>
      <c r="N2620" s="133" t="s">
        <v>781</v>
      </c>
      <c r="O2620" s="4" t="s">
        <v>914</v>
      </c>
      <c r="P2620" s="4" t="s">
        <v>892</v>
      </c>
      <c r="Q2620" s="4" t="s">
        <v>915</v>
      </c>
      <c r="R2620" s="4" t="s">
        <v>918</v>
      </c>
      <c r="S2620" s="4" t="s">
        <v>917</v>
      </c>
      <c r="T2620" s="4" t="s">
        <v>786</v>
      </c>
      <c r="U2620" s="4"/>
      <c r="V2620" s="4"/>
      <c r="W2620" s="4"/>
    </row>
    <row r="2621" spans="1:23" customFormat="1">
      <c r="A2621" s="10"/>
      <c r="B2621" s="4"/>
      <c r="C2621" s="4"/>
      <c r="D2621" s="4"/>
      <c r="E2621" s="4"/>
      <c r="F2621" s="152" t="s">
        <v>289</v>
      </c>
      <c r="G2621" s="4" t="s">
        <v>290</v>
      </c>
      <c r="H2621" s="4"/>
      <c r="I2621" s="196">
        <v>5135000</v>
      </c>
      <c r="J2621" s="196">
        <v>3950</v>
      </c>
      <c r="K2621" s="196">
        <v>1300</v>
      </c>
      <c r="L2621" s="454" t="s">
        <v>913</v>
      </c>
      <c r="M2621" s="4" t="s">
        <v>780</v>
      </c>
      <c r="N2621" s="133" t="s">
        <v>781</v>
      </c>
      <c r="O2621" s="4" t="s">
        <v>914</v>
      </c>
      <c r="P2621" s="4" t="s">
        <v>892</v>
      </c>
      <c r="Q2621" s="4" t="s">
        <v>915</v>
      </c>
      <c r="R2621" s="4" t="s">
        <v>916</v>
      </c>
      <c r="S2621" s="4" t="s">
        <v>917</v>
      </c>
      <c r="T2621" s="4" t="s">
        <v>786</v>
      </c>
      <c r="U2621" s="4"/>
      <c r="V2621" s="4"/>
      <c r="W2621" s="4"/>
    </row>
    <row r="2622" spans="1:23" customFormat="1">
      <c r="A2622" s="10"/>
      <c r="B2622" s="4"/>
      <c r="C2622" s="4"/>
      <c r="D2622" s="4"/>
      <c r="E2622" s="4"/>
      <c r="F2622" s="152" t="s">
        <v>289</v>
      </c>
      <c r="G2622" s="4" t="s">
        <v>290</v>
      </c>
      <c r="H2622" s="4"/>
      <c r="I2622" s="196">
        <v>-5392450</v>
      </c>
      <c r="J2622" s="196">
        <v>-3797.5</v>
      </c>
      <c r="K2622" s="196">
        <v>1420</v>
      </c>
      <c r="L2622" s="454" t="s">
        <v>913</v>
      </c>
      <c r="M2622" s="4" t="s">
        <v>780</v>
      </c>
      <c r="N2622" s="133" t="s">
        <v>781</v>
      </c>
      <c r="O2622" s="4" t="s">
        <v>977</v>
      </c>
      <c r="P2622" s="4" t="s">
        <v>892</v>
      </c>
      <c r="Q2622" s="4" t="s">
        <v>978</v>
      </c>
      <c r="R2622" s="4" t="s">
        <v>982</v>
      </c>
      <c r="S2622" s="4" t="s">
        <v>980</v>
      </c>
      <c r="T2622" s="4" t="s">
        <v>786</v>
      </c>
      <c r="U2622" s="4"/>
      <c r="V2622" s="4"/>
      <c r="W2622" s="4"/>
    </row>
    <row r="2623" spans="1:23" customFormat="1">
      <c r="A2623" s="10"/>
      <c r="B2623" s="4"/>
      <c r="C2623" s="4"/>
      <c r="D2623" s="4"/>
      <c r="E2623" s="4"/>
      <c r="F2623" s="152" t="s">
        <v>289</v>
      </c>
      <c r="G2623" s="4" t="s">
        <v>290</v>
      </c>
      <c r="H2623" s="4"/>
      <c r="I2623" s="196">
        <v>-5392450</v>
      </c>
      <c r="J2623" s="196">
        <v>-3797.5</v>
      </c>
      <c r="K2623" s="196">
        <v>1420</v>
      </c>
      <c r="L2623" s="454" t="s">
        <v>913</v>
      </c>
      <c r="M2623" s="4" t="s">
        <v>780</v>
      </c>
      <c r="N2623" s="133" t="s">
        <v>781</v>
      </c>
      <c r="O2623" s="4" t="s">
        <v>977</v>
      </c>
      <c r="P2623" s="4" t="s">
        <v>892</v>
      </c>
      <c r="Q2623" s="4" t="s">
        <v>978</v>
      </c>
      <c r="R2623" s="4" t="s">
        <v>979</v>
      </c>
      <c r="S2623" s="4" t="s">
        <v>980</v>
      </c>
      <c r="T2623" s="4" t="s">
        <v>786</v>
      </c>
      <c r="U2623" s="4"/>
      <c r="V2623" s="4"/>
      <c r="W2623" s="4"/>
    </row>
    <row r="2624" spans="1:23" customFormat="1">
      <c r="A2624" s="10"/>
      <c r="B2624" s="4"/>
      <c r="C2624" s="4"/>
      <c r="D2624" s="4"/>
      <c r="E2624" s="4"/>
      <c r="F2624" s="152" t="s">
        <v>289</v>
      </c>
      <c r="G2624" s="4" t="s">
        <v>290</v>
      </c>
      <c r="H2624" s="4"/>
      <c r="I2624" s="196">
        <v>-5392450</v>
      </c>
      <c r="J2624" s="196">
        <v>-3797.5</v>
      </c>
      <c r="K2624" s="196">
        <v>1420</v>
      </c>
      <c r="L2624" s="454" t="s">
        <v>913</v>
      </c>
      <c r="M2624" s="4" t="s">
        <v>780</v>
      </c>
      <c r="N2624" s="133" t="s">
        <v>781</v>
      </c>
      <c r="O2624" s="4" t="s">
        <v>977</v>
      </c>
      <c r="P2624" s="4" t="s">
        <v>892</v>
      </c>
      <c r="Q2624" s="4" t="s">
        <v>978</v>
      </c>
      <c r="R2624" s="4" t="s">
        <v>981</v>
      </c>
      <c r="S2624" s="4" t="s">
        <v>980</v>
      </c>
      <c r="T2624" s="4" t="s">
        <v>786</v>
      </c>
      <c r="U2624" s="4"/>
      <c r="V2624" s="4"/>
      <c r="W2624" s="4"/>
    </row>
    <row r="2625" spans="1:23" customFormat="1">
      <c r="A2625" s="10"/>
      <c r="B2625" s="4"/>
      <c r="C2625" s="4"/>
      <c r="D2625" s="4"/>
      <c r="E2625" s="4"/>
      <c r="F2625" s="152" t="s">
        <v>289</v>
      </c>
      <c r="G2625" s="4" t="s">
        <v>290</v>
      </c>
      <c r="H2625" s="4"/>
      <c r="I2625" s="196">
        <v>-5542005</v>
      </c>
      <c r="J2625" s="196">
        <v>-3930.5</v>
      </c>
      <c r="K2625" s="196">
        <v>1410</v>
      </c>
      <c r="L2625" s="454" t="s">
        <v>919</v>
      </c>
      <c r="M2625" s="4" t="s">
        <v>780</v>
      </c>
      <c r="N2625" s="133" t="s">
        <v>781</v>
      </c>
      <c r="O2625" s="4" t="s">
        <v>983</v>
      </c>
      <c r="P2625" s="4" t="s">
        <v>892</v>
      </c>
      <c r="Q2625" s="4" t="s">
        <v>984</v>
      </c>
      <c r="R2625" s="4" t="s">
        <v>985</v>
      </c>
      <c r="S2625" s="4" t="s">
        <v>986</v>
      </c>
      <c r="T2625" s="4" t="s">
        <v>786</v>
      </c>
      <c r="U2625" s="4"/>
      <c r="V2625" s="4"/>
      <c r="W2625" s="4"/>
    </row>
    <row r="2626" spans="1:23" customFormat="1">
      <c r="A2626" s="10"/>
      <c r="B2626" s="4"/>
      <c r="C2626" s="4"/>
      <c r="D2626" s="4"/>
      <c r="E2626" s="4"/>
      <c r="F2626" s="152" t="s">
        <v>289</v>
      </c>
      <c r="G2626" s="4" t="s">
        <v>290</v>
      </c>
      <c r="H2626" s="4"/>
      <c r="I2626" s="196">
        <v>-5278525</v>
      </c>
      <c r="J2626" s="196">
        <v>-3797.5</v>
      </c>
      <c r="K2626" s="196">
        <v>1390</v>
      </c>
      <c r="L2626" s="454" t="s">
        <v>919</v>
      </c>
      <c r="M2626" s="4" t="s">
        <v>780</v>
      </c>
      <c r="N2626" s="133" t="s">
        <v>781</v>
      </c>
      <c r="O2626" s="4" t="s">
        <v>983</v>
      </c>
      <c r="P2626" s="4" t="s">
        <v>892</v>
      </c>
      <c r="Q2626" s="4" t="s">
        <v>984</v>
      </c>
      <c r="R2626" s="4" t="s">
        <v>987</v>
      </c>
      <c r="S2626" s="4" t="s">
        <v>986</v>
      </c>
      <c r="T2626" s="4" t="s">
        <v>786</v>
      </c>
      <c r="U2626" s="4"/>
      <c r="V2626" s="4"/>
      <c r="W2626" s="4"/>
    </row>
    <row r="2627" spans="1:23" customFormat="1">
      <c r="A2627" s="10"/>
      <c r="B2627" s="4"/>
      <c r="C2627" s="4"/>
      <c r="D2627" s="4"/>
      <c r="E2627" s="4"/>
      <c r="F2627" s="152" t="s">
        <v>289</v>
      </c>
      <c r="G2627" s="4" t="s">
        <v>290</v>
      </c>
      <c r="H2627" s="4"/>
      <c r="I2627" s="196">
        <v>-5455750</v>
      </c>
      <c r="J2627" s="196">
        <v>-3925</v>
      </c>
      <c r="K2627" s="196">
        <v>1390</v>
      </c>
      <c r="L2627" s="454" t="s">
        <v>919</v>
      </c>
      <c r="M2627" s="4" t="s">
        <v>780</v>
      </c>
      <c r="N2627" s="133" t="s">
        <v>781</v>
      </c>
      <c r="O2627" s="4" t="s">
        <v>983</v>
      </c>
      <c r="P2627" s="4" t="s">
        <v>892</v>
      </c>
      <c r="Q2627" s="4" t="s">
        <v>984</v>
      </c>
      <c r="R2627" s="4" t="s">
        <v>988</v>
      </c>
      <c r="S2627" s="4" t="s">
        <v>986</v>
      </c>
      <c r="T2627" s="4" t="s">
        <v>786</v>
      </c>
      <c r="U2627" s="4"/>
      <c r="V2627" s="4"/>
      <c r="W2627" s="4"/>
    </row>
    <row r="2628" spans="1:23" customFormat="1">
      <c r="A2628" s="10"/>
      <c r="B2628" s="4"/>
      <c r="C2628" s="4"/>
      <c r="D2628" s="4"/>
      <c r="E2628" s="4"/>
      <c r="F2628" s="152" t="s">
        <v>289</v>
      </c>
      <c r="G2628" s="4" t="s">
        <v>290</v>
      </c>
      <c r="H2628" s="4"/>
      <c r="I2628" s="196">
        <v>-5354475</v>
      </c>
      <c r="J2628" s="196">
        <v>-3797.5</v>
      </c>
      <c r="K2628" s="196">
        <v>1410</v>
      </c>
      <c r="L2628" s="454" t="s">
        <v>1007</v>
      </c>
      <c r="M2628" s="4" t="s">
        <v>780</v>
      </c>
      <c r="N2628" s="133" t="s">
        <v>781</v>
      </c>
      <c r="O2628" s="4" t="s">
        <v>1008</v>
      </c>
      <c r="P2628" s="4" t="s">
        <v>892</v>
      </c>
      <c r="Q2628" s="4" t="s">
        <v>1009</v>
      </c>
      <c r="R2628" s="4" t="s">
        <v>1010</v>
      </c>
      <c r="S2628" s="4" t="s">
        <v>1011</v>
      </c>
      <c r="T2628" s="4" t="s">
        <v>786</v>
      </c>
      <c r="U2628" s="4"/>
      <c r="V2628" s="4"/>
      <c r="W2628" s="4"/>
    </row>
    <row r="2629" spans="1:23" customFormat="1">
      <c r="A2629" s="10"/>
      <c r="B2629" s="4"/>
      <c r="C2629" s="4"/>
      <c r="D2629" s="4"/>
      <c r="E2629" s="4"/>
      <c r="F2629" s="152" t="s">
        <v>289</v>
      </c>
      <c r="G2629" s="4" t="s">
        <v>290</v>
      </c>
      <c r="H2629" s="4"/>
      <c r="I2629" s="196">
        <v>-12190500</v>
      </c>
      <c r="J2629" s="196">
        <v>-8707.5</v>
      </c>
      <c r="K2629" s="196">
        <v>1400</v>
      </c>
      <c r="L2629" s="454" t="s">
        <v>1012</v>
      </c>
      <c r="M2629" s="4" t="s">
        <v>780</v>
      </c>
      <c r="N2629" s="133" t="s">
        <v>781</v>
      </c>
      <c r="O2629" s="4" t="s">
        <v>1027</v>
      </c>
      <c r="P2629" s="4" t="s">
        <v>892</v>
      </c>
      <c r="Q2629" s="4" t="s">
        <v>1028</v>
      </c>
      <c r="R2629" s="4" t="s">
        <v>1029</v>
      </c>
      <c r="S2629" s="4" t="s">
        <v>1030</v>
      </c>
      <c r="T2629" s="4" t="s">
        <v>786</v>
      </c>
      <c r="U2629" s="4"/>
      <c r="V2629" s="4"/>
      <c r="W2629" s="4"/>
    </row>
    <row r="2630" spans="1:23" customFormat="1">
      <c r="A2630" s="10"/>
      <c r="B2630" s="4"/>
      <c r="C2630" s="4"/>
      <c r="D2630" s="4"/>
      <c r="E2630" s="4"/>
      <c r="F2630" s="152" t="s">
        <v>289</v>
      </c>
      <c r="G2630" s="4" t="s">
        <v>290</v>
      </c>
      <c r="H2630" s="4"/>
      <c r="I2630" s="196">
        <v>-8707500</v>
      </c>
      <c r="J2630" s="196">
        <v>-5805</v>
      </c>
      <c r="K2630" s="196">
        <v>1500</v>
      </c>
      <c r="L2630" s="454" t="s">
        <v>1012</v>
      </c>
      <c r="M2630" s="4" t="s">
        <v>780</v>
      </c>
      <c r="N2630" s="133" t="s">
        <v>781</v>
      </c>
      <c r="O2630" s="4" t="s">
        <v>1027</v>
      </c>
      <c r="P2630" s="4" t="s">
        <v>892</v>
      </c>
      <c r="Q2630" s="4" t="s">
        <v>1028</v>
      </c>
      <c r="R2630" s="4" t="s">
        <v>1031</v>
      </c>
      <c r="S2630" s="4" t="s">
        <v>1030</v>
      </c>
      <c r="T2630" s="4" t="s">
        <v>786</v>
      </c>
      <c r="U2630" s="4"/>
      <c r="V2630" s="4"/>
      <c r="W2630" s="4"/>
    </row>
    <row r="2631" spans="1:23" customFormat="1">
      <c r="A2631" s="10"/>
      <c r="B2631" s="4"/>
      <c r="C2631" s="4"/>
      <c r="D2631" s="4"/>
      <c r="E2631" s="4"/>
      <c r="F2631" s="152" t="s">
        <v>289</v>
      </c>
      <c r="G2631" s="4" t="s">
        <v>290</v>
      </c>
      <c r="H2631" s="4"/>
      <c r="I2631" s="196">
        <v>5609000</v>
      </c>
      <c r="J2631" s="196">
        <v>3950</v>
      </c>
      <c r="K2631" s="196">
        <v>1420</v>
      </c>
      <c r="L2631" s="454" t="s">
        <v>1123</v>
      </c>
      <c r="M2631" s="4" t="s">
        <v>780</v>
      </c>
      <c r="N2631" s="133" t="s">
        <v>781</v>
      </c>
      <c r="O2631" s="4" t="s">
        <v>1124</v>
      </c>
      <c r="P2631" s="4" t="s">
        <v>892</v>
      </c>
      <c r="Q2631" s="4" t="s">
        <v>1125</v>
      </c>
      <c r="R2631" s="4" t="s">
        <v>1126</v>
      </c>
      <c r="S2631" s="4" t="s">
        <v>1127</v>
      </c>
      <c r="T2631" s="4" t="s">
        <v>786</v>
      </c>
      <c r="U2631" s="4"/>
      <c r="V2631" s="4"/>
      <c r="W2631" s="4"/>
    </row>
    <row r="2632" spans="1:23" customFormat="1">
      <c r="A2632" s="10"/>
      <c r="B2632" s="4"/>
      <c r="C2632" s="4"/>
      <c r="D2632" s="4"/>
      <c r="E2632" s="4"/>
      <c r="F2632" s="152" t="s">
        <v>289</v>
      </c>
      <c r="G2632" s="4" t="s">
        <v>290</v>
      </c>
      <c r="H2632" s="4"/>
      <c r="I2632" s="196">
        <v>3095600</v>
      </c>
      <c r="J2632" s="196">
        <v>2180</v>
      </c>
      <c r="K2632" s="196">
        <v>1420</v>
      </c>
      <c r="L2632" s="454" t="s">
        <v>1123</v>
      </c>
      <c r="M2632" s="4" t="s">
        <v>780</v>
      </c>
      <c r="N2632" s="133" t="s">
        <v>781</v>
      </c>
      <c r="O2632" s="4" t="s">
        <v>1124</v>
      </c>
      <c r="P2632" s="4" t="s">
        <v>892</v>
      </c>
      <c r="Q2632" s="4" t="s">
        <v>1125</v>
      </c>
      <c r="R2632" s="4" t="s">
        <v>1128</v>
      </c>
      <c r="S2632" s="4" t="s">
        <v>1127</v>
      </c>
      <c r="T2632" s="4" t="s">
        <v>786</v>
      </c>
      <c r="U2632" s="4"/>
      <c r="V2632" s="4"/>
      <c r="W2632" s="4"/>
    </row>
    <row r="2633" spans="1:23" customFormat="1">
      <c r="A2633" s="10"/>
      <c r="B2633" s="4"/>
      <c r="C2633" s="4"/>
      <c r="D2633" s="4"/>
      <c r="E2633" s="4"/>
      <c r="F2633" s="152" t="s">
        <v>289</v>
      </c>
      <c r="G2633" s="4" t="s">
        <v>290</v>
      </c>
      <c r="H2633" s="4"/>
      <c r="I2633" s="196">
        <v>-4631850</v>
      </c>
      <c r="J2633" s="196">
        <v>-3172.5</v>
      </c>
      <c r="K2633" s="196">
        <v>1460</v>
      </c>
      <c r="L2633" s="454" t="s">
        <v>1109</v>
      </c>
      <c r="M2633" s="4" t="s">
        <v>780</v>
      </c>
      <c r="N2633" s="133" t="s">
        <v>781</v>
      </c>
      <c r="O2633" s="4" t="s">
        <v>1190</v>
      </c>
      <c r="P2633" s="4" t="s">
        <v>892</v>
      </c>
      <c r="Q2633" s="4" t="s">
        <v>1191</v>
      </c>
      <c r="R2633" s="4" t="s">
        <v>1192</v>
      </c>
      <c r="S2633" s="4" t="s">
        <v>1193</v>
      </c>
      <c r="T2633" s="4" t="s">
        <v>786</v>
      </c>
      <c r="U2633" s="4"/>
      <c r="V2633" s="4"/>
      <c r="W2633" s="4"/>
    </row>
    <row r="2634" spans="1:23" customFormat="1">
      <c r="A2634" s="10"/>
      <c r="B2634" s="4"/>
      <c r="C2634" s="4"/>
      <c r="D2634" s="4"/>
      <c r="E2634" s="4"/>
      <c r="F2634" s="152" t="s">
        <v>289</v>
      </c>
      <c r="G2634" s="4" t="s">
        <v>290</v>
      </c>
      <c r="H2634" s="4"/>
      <c r="I2634" s="196">
        <v>-22691600</v>
      </c>
      <c r="J2634" s="196">
        <v>-15980</v>
      </c>
      <c r="K2634" s="196">
        <v>1420</v>
      </c>
      <c r="L2634" s="454" t="s">
        <v>1088</v>
      </c>
      <c r="M2634" s="4" t="s">
        <v>780</v>
      </c>
      <c r="N2634" s="133" t="s">
        <v>781</v>
      </c>
      <c r="O2634" s="4" t="s">
        <v>1194</v>
      </c>
      <c r="P2634" s="4" t="s">
        <v>892</v>
      </c>
      <c r="Q2634" s="4" t="s">
        <v>1195</v>
      </c>
      <c r="R2634" s="4" t="s">
        <v>1196</v>
      </c>
      <c r="S2634" s="4" t="s">
        <v>1197</v>
      </c>
      <c r="T2634" s="4" t="s">
        <v>786</v>
      </c>
      <c r="U2634" s="4"/>
      <c r="V2634" s="4"/>
      <c r="W2634" s="4"/>
    </row>
    <row r="2635" spans="1:23" customFormat="1">
      <c r="A2635" s="10"/>
      <c r="B2635" s="4"/>
      <c r="C2635" s="4"/>
      <c r="D2635" s="4"/>
      <c r="E2635" s="4"/>
      <c r="F2635" s="152" t="s">
        <v>289</v>
      </c>
      <c r="G2635" s="4" t="s">
        <v>290</v>
      </c>
      <c r="H2635" s="4"/>
      <c r="I2635" s="196">
        <v>-4504950</v>
      </c>
      <c r="J2635" s="196">
        <v>-3172.5</v>
      </c>
      <c r="K2635" s="196">
        <v>1420</v>
      </c>
      <c r="L2635" s="454" t="s">
        <v>1093</v>
      </c>
      <c r="M2635" s="4" t="s">
        <v>780</v>
      </c>
      <c r="N2635" s="133" t="s">
        <v>781</v>
      </c>
      <c r="O2635" s="4" t="s">
        <v>1254</v>
      </c>
      <c r="P2635" s="4" t="s">
        <v>892</v>
      </c>
      <c r="Q2635" s="4" t="s">
        <v>1255</v>
      </c>
      <c r="R2635" s="4" t="s">
        <v>1256</v>
      </c>
      <c r="S2635" s="4" t="s">
        <v>1257</v>
      </c>
      <c r="T2635" s="4" t="s">
        <v>786</v>
      </c>
      <c r="U2635" s="4"/>
      <c r="V2635" s="4"/>
      <c r="W2635" s="4"/>
    </row>
    <row r="2636" spans="1:23" customFormat="1">
      <c r="A2636" s="10"/>
      <c r="B2636" s="4"/>
      <c r="C2636" s="4"/>
      <c r="D2636" s="4"/>
      <c r="E2636" s="4"/>
      <c r="F2636" s="152" t="s">
        <v>289</v>
      </c>
      <c r="G2636" s="4" t="s">
        <v>290</v>
      </c>
      <c r="H2636" s="4"/>
      <c r="I2636" s="196">
        <v>-3095600</v>
      </c>
      <c r="J2636" s="196">
        <v>-2180</v>
      </c>
      <c r="K2636" s="196">
        <v>1420</v>
      </c>
      <c r="L2636" s="454" t="s">
        <v>1258</v>
      </c>
      <c r="M2636" s="4" t="s">
        <v>780</v>
      </c>
      <c r="N2636" s="133" t="s">
        <v>781</v>
      </c>
      <c r="O2636" s="4" t="s">
        <v>1259</v>
      </c>
      <c r="P2636" s="4" t="s">
        <v>892</v>
      </c>
      <c r="Q2636" s="4" t="s">
        <v>1260</v>
      </c>
      <c r="R2636" s="4" t="s">
        <v>1261</v>
      </c>
      <c r="S2636" s="4" t="s">
        <v>1262</v>
      </c>
      <c r="T2636" s="4" t="s">
        <v>786</v>
      </c>
      <c r="U2636" s="4"/>
      <c r="V2636" s="4"/>
      <c r="W2636" s="4"/>
    </row>
    <row r="2637" spans="1:23" customFormat="1">
      <c r="A2637" s="10"/>
      <c r="B2637" s="4"/>
      <c r="C2637" s="4"/>
      <c r="D2637" s="4"/>
      <c r="E2637" s="4"/>
      <c r="F2637" s="152" t="s">
        <v>289</v>
      </c>
      <c r="G2637" s="4" t="s">
        <v>290</v>
      </c>
      <c r="H2637" s="4"/>
      <c r="I2637" s="196">
        <v>-3095600</v>
      </c>
      <c r="J2637" s="196">
        <v>-2180</v>
      </c>
      <c r="K2637" s="196">
        <v>1420</v>
      </c>
      <c r="L2637" s="454" t="s">
        <v>1258</v>
      </c>
      <c r="M2637" s="4" t="s">
        <v>780</v>
      </c>
      <c r="N2637" s="133" t="s">
        <v>781</v>
      </c>
      <c r="O2637" s="4" t="s">
        <v>1259</v>
      </c>
      <c r="P2637" s="4" t="s">
        <v>892</v>
      </c>
      <c r="Q2637" s="4" t="s">
        <v>1260</v>
      </c>
      <c r="R2637" s="4" t="s">
        <v>1263</v>
      </c>
      <c r="S2637" s="4" t="s">
        <v>1262</v>
      </c>
      <c r="T2637" s="4" t="s">
        <v>786</v>
      </c>
      <c r="U2637" s="4"/>
      <c r="V2637" s="4"/>
      <c r="W2637" s="4"/>
    </row>
    <row r="2638" spans="1:23" customFormat="1">
      <c r="A2638" s="10"/>
      <c r="B2638" s="4"/>
      <c r="C2638" s="4"/>
      <c r="D2638" s="4"/>
      <c r="E2638" s="4"/>
      <c r="F2638" s="152" t="s">
        <v>289</v>
      </c>
      <c r="G2638" s="4" t="s">
        <v>290</v>
      </c>
      <c r="H2638" s="4"/>
      <c r="I2638" s="196">
        <v>-1547800</v>
      </c>
      <c r="J2638" s="196">
        <v>-1090</v>
      </c>
      <c r="K2638" s="196">
        <v>1420</v>
      </c>
      <c r="L2638" s="454" t="s">
        <v>1258</v>
      </c>
      <c r="M2638" s="4" t="s">
        <v>780</v>
      </c>
      <c r="N2638" s="133" t="s">
        <v>781</v>
      </c>
      <c r="O2638" s="4" t="s">
        <v>1259</v>
      </c>
      <c r="P2638" s="4" t="s">
        <v>892</v>
      </c>
      <c r="Q2638" s="4" t="s">
        <v>1260</v>
      </c>
      <c r="R2638" s="4" t="s">
        <v>1264</v>
      </c>
      <c r="S2638" s="4" t="s">
        <v>1262</v>
      </c>
      <c r="T2638" s="4" t="s">
        <v>786</v>
      </c>
      <c r="U2638" s="4"/>
      <c r="V2638" s="4"/>
      <c r="W2638" s="4"/>
    </row>
    <row r="2639" spans="1:23" customFormat="1">
      <c r="A2639" s="10"/>
      <c r="B2639" s="4"/>
      <c r="C2639" s="4"/>
      <c r="D2639" s="4"/>
      <c r="E2639" s="4"/>
      <c r="F2639" s="152" t="s">
        <v>289</v>
      </c>
      <c r="G2639" s="4" t="s">
        <v>290</v>
      </c>
      <c r="H2639" s="4"/>
      <c r="I2639" s="196">
        <v>-3095600</v>
      </c>
      <c r="J2639" s="196">
        <v>-2180</v>
      </c>
      <c r="K2639" s="196">
        <v>1420</v>
      </c>
      <c r="L2639" s="454" t="s">
        <v>1258</v>
      </c>
      <c r="M2639" s="4" t="s">
        <v>780</v>
      </c>
      <c r="N2639" s="133" t="s">
        <v>781</v>
      </c>
      <c r="O2639" s="4" t="s">
        <v>1259</v>
      </c>
      <c r="P2639" s="4" t="s">
        <v>892</v>
      </c>
      <c r="Q2639" s="4" t="s">
        <v>1260</v>
      </c>
      <c r="R2639" s="4" t="s">
        <v>1265</v>
      </c>
      <c r="S2639" s="4" t="s">
        <v>1262</v>
      </c>
      <c r="T2639" s="4" t="s">
        <v>786</v>
      </c>
      <c r="U2639" s="4"/>
      <c r="V2639" s="4"/>
      <c r="W2639" s="4"/>
    </row>
    <row r="2640" spans="1:23" customFormat="1">
      <c r="A2640" s="10"/>
      <c r="B2640" s="4"/>
      <c r="C2640" s="4"/>
      <c r="D2640" s="4"/>
      <c r="E2640" s="4"/>
      <c r="F2640" s="152" t="s">
        <v>289</v>
      </c>
      <c r="G2640" s="4" t="s">
        <v>290</v>
      </c>
      <c r="H2640" s="4"/>
      <c r="I2640" s="196">
        <v>-1547800</v>
      </c>
      <c r="J2640" s="196">
        <v>-1090</v>
      </c>
      <c r="K2640" s="196">
        <v>1420</v>
      </c>
      <c r="L2640" s="454" t="s">
        <v>1258</v>
      </c>
      <c r="M2640" s="4" t="s">
        <v>780</v>
      </c>
      <c r="N2640" s="133" t="s">
        <v>781</v>
      </c>
      <c r="O2640" s="4" t="s">
        <v>1259</v>
      </c>
      <c r="P2640" s="4" t="s">
        <v>892</v>
      </c>
      <c r="Q2640" s="4" t="s">
        <v>1260</v>
      </c>
      <c r="R2640" s="4" t="s">
        <v>1266</v>
      </c>
      <c r="S2640" s="4" t="s">
        <v>1262</v>
      </c>
      <c r="T2640" s="4" t="s">
        <v>786</v>
      </c>
      <c r="U2640" s="4"/>
      <c r="V2640" s="4"/>
      <c r="W2640" s="4"/>
    </row>
    <row r="2641" spans="1:23" customFormat="1">
      <c r="A2641" s="10"/>
      <c r="B2641" s="4"/>
      <c r="C2641" s="4"/>
      <c r="D2641" s="4"/>
      <c r="E2641" s="4"/>
      <c r="F2641" s="152" t="s">
        <v>289</v>
      </c>
      <c r="G2641" s="4" t="s">
        <v>290</v>
      </c>
      <c r="H2641" s="4"/>
      <c r="I2641" s="196">
        <v>-9719900</v>
      </c>
      <c r="J2641" s="196">
        <v>-6845</v>
      </c>
      <c r="K2641" s="196">
        <v>1420</v>
      </c>
      <c r="L2641" s="454" t="s">
        <v>1267</v>
      </c>
      <c r="M2641" s="4" t="s">
        <v>780</v>
      </c>
      <c r="N2641" s="133" t="s">
        <v>781</v>
      </c>
      <c r="O2641" s="4" t="s">
        <v>1268</v>
      </c>
      <c r="P2641" s="4" t="s">
        <v>892</v>
      </c>
      <c r="Q2641" s="4" t="s">
        <v>1269</v>
      </c>
      <c r="R2641" s="4" t="s">
        <v>1270</v>
      </c>
      <c r="S2641" s="4" t="s">
        <v>1271</v>
      </c>
      <c r="T2641" s="4" t="s">
        <v>786</v>
      </c>
      <c r="U2641" s="4"/>
      <c r="V2641" s="4"/>
      <c r="W2641" s="4"/>
    </row>
    <row r="2642" spans="1:23" customFormat="1">
      <c r="A2642" s="10"/>
      <c r="B2642" s="4"/>
      <c r="C2642" s="4"/>
      <c r="D2642" s="4"/>
      <c r="E2642" s="4"/>
      <c r="F2642" s="152" t="s">
        <v>289</v>
      </c>
      <c r="G2642" s="4" t="s">
        <v>290</v>
      </c>
      <c r="H2642" s="4"/>
      <c r="I2642" s="196">
        <v>-5325350</v>
      </c>
      <c r="J2642" s="196">
        <v>-3647.5</v>
      </c>
      <c r="K2642" s="196">
        <v>1460</v>
      </c>
      <c r="L2642" s="454" t="s">
        <v>1109</v>
      </c>
      <c r="M2642" s="4" t="s">
        <v>780</v>
      </c>
      <c r="N2642" s="133" t="s">
        <v>1272</v>
      </c>
      <c r="O2642" s="4" t="s">
        <v>1190</v>
      </c>
      <c r="P2642" s="4" t="s">
        <v>892</v>
      </c>
      <c r="Q2642" s="4" t="s">
        <v>1191</v>
      </c>
      <c r="R2642" s="4" t="s">
        <v>1372</v>
      </c>
      <c r="S2642" s="4" t="s">
        <v>1193</v>
      </c>
      <c r="T2642" s="4" t="s">
        <v>786</v>
      </c>
      <c r="U2642" s="4"/>
      <c r="V2642" s="4"/>
      <c r="W2642" s="4"/>
    </row>
    <row r="2643" spans="1:23" customFormat="1">
      <c r="A2643" s="10"/>
      <c r="B2643" s="4"/>
      <c r="C2643" s="4"/>
      <c r="D2643" s="4"/>
      <c r="E2643" s="4"/>
      <c r="F2643" s="152" t="s">
        <v>289</v>
      </c>
      <c r="G2643" s="4" t="s">
        <v>290</v>
      </c>
      <c r="H2643" s="4"/>
      <c r="I2643" s="196">
        <v>-5179450</v>
      </c>
      <c r="J2643" s="196">
        <v>-3647.5</v>
      </c>
      <c r="K2643" s="196">
        <v>1420</v>
      </c>
      <c r="L2643" s="454" t="s">
        <v>1088</v>
      </c>
      <c r="M2643" s="4" t="s">
        <v>780</v>
      </c>
      <c r="N2643" s="133" t="s">
        <v>1272</v>
      </c>
      <c r="O2643" s="4" t="s">
        <v>1194</v>
      </c>
      <c r="P2643" s="4" t="s">
        <v>892</v>
      </c>
      <c r="Q2643" s="4" t="s">
        <v>1195</v>
      </c>
      <c r="R2643" s="4" t="s">
        <v>1373</v>
      </c>
      <c r="S2643" s="4" t="s">
        <v>1197</v>
      </c>
      <c r="T2643" s="4" t="s">
        <v>786</v>
      </c>
      <c r="U2643" s="4"/>
      <c r="V2643" s="4"/>
      <c r="W2643" s="4"/>
    </row>
    <row r="2644" spans="1:23" customFormat="1">
      <c r="A2644" s="10"/>
      <c r="B2644" s="4"/>
      <c r="C2644" s="4"/>
      <c r="D2644" s="4"/>
      <c r="E2644" s="4"/>
      <c r="F2644" s="152" t="s">
        <v>289</v>
      </c>
      <c r="G2644" s="4" t="s">
        <v>290</v>
      </c>
      <c r="H2644" s="4"/>
      <c r="I2644" s="196">
        <v>-3095600</v>
      </c>
      <c r="J2644" s="196">
        <v>-2180</v>
      </c>
      <c r="K2644" s="196">
        <v>1420</v>
      </c>
      <c r="L2644" s="454" t="s">
        <v>1123</v>
      </c>
      <c r="M2644" s="4" t="s">
        <v>780</v>
      </c>
      <c r="N2644" s="133" t="s">
        <v>1272</v>
      </c>
      <c r="O2644" s="4" t="s">
        <v>1374</v>
      </c>
      <c r="P2644" s="4" t="s">
        <v>892</v>
      </c>
      <c r="Q2644" s="4" t="s">
        <v>1375</v>
      </c>
      <c r="R2644" s="4" t="s">
        <v>1376</v>
      </c>
      <c r="S2644" s="4" t="s">
        <v>1377</v>
      </c>
      <c r="T2644" s="4" t="s">
        <v>786</v>
      </c>
      <c r="U2644" s="4"/>
      <c r="V2644" s="4"/>
      <c r="W2644" s="4"/>
    </row>
    <row r="2645" spans="1:23" customFormat="1">
      <c r="A2645" s="10"/>
      <c r="B2645" s="4"/>
      <c r="C2645" s="4"/>
      <c r="D2645" s="4"/>
      <c r="E2645" s="4"/>
      <c r="F2645" s="152" t="s">
        <v>289</v>
      </c>
      <c r="G2645" s="4" t="s">
        <v>290</v>
      </c>
      <c r="H2645" s="4"/>
      <c r="I2645" s="196">
        <v>-5609000</v>
      </c>
      <c r="J2645" s="196">
        <v>-3950</v>
      </c>
      <c r="K2645" s="196">
        <v>1420</v>
      </c>
      <c r="L2645" s="454" t="s">
        <v>1123</v>
      </c>
      <c r="M2645" s="4" t="s">
        <v>780</v>
      </c>
      <c r="N2645" s="133" t="s">
        <v>1272</v>
      </c>
      <c r="O2645" s="4" t="s">
        <v>1374</v>
      </c>
      <c r="P2645" s="4" t="s">
        <v>892</v>
      </c>
      <c r="Q2645" s="4" t="s">
        <v>1375</v>
      </c>
      <c r="R2645" s="4" t="s">
        <v>1378</v>
      </c>
      <c r="S2645" s="4" t="s">
        <v>1377</v>
      </c>
      <c r="T2645" s="4" t="s">
        <v>786</v>
      </c>
      <c r="U2645" s="4"/>
      <c r="V2645" s="4"/>
      <c r="W2645" s="4"/>
    </row>
    <row r="2646" spans="1:23" customFormat="1">
      <c r="A2646" s="10"/>
      <c r="B2646" s="4"/>
      <c r="C2646" s="4"/>
      <c r="D2646" s="4"/>
      <c r="E2646" s="4"/>
      <c r="F2646" s="152" t="s">
        <v>289</v>
      </c>
      <c r="G2646" s="4" t="s">
        <v>290</v>
      </c>
      <c r="H2646" s="4"/>
      <c r="I2646" s="196">
        <v>-6617200</v>
      </c>
      <c r="J2646" s="196">
        <v>-4660</v>
      </c>
      <c r="K2646" s="196">
        <v>1420</v>
      </c>
      <c r="L2646" s="454" t="s">
        <v>1210</v>
      </c>
      <c r="M2646" s="4" t="s">
        <v>780</v>
      </c>
      <c r="N2646" s="133" t="s">
        <v>1272</v>
      </c>
      <c r="O2646" s="4" t="s">
        <v>1397</v>
      </c>
      <c r="P2646" s="4" t="s">
        <v>892</v>
      </c>
      <c r="Q2646" s="4" t="s">
        <v>1398</v>
      </c>
      <c r="R2646" s="4" t="s">
        <v>1399</v>
      </c>
      <c r="S2646" s="4" t="s">
        <v>1400</v>
      </c>
      <c r="T2646" s="4" t="s">
        <v>786</v>
      </c>
      <c r="U2646" s="4"/>
      <c r="V2646" s="4"/>
      <c r="W2646" s="4"/>
    </row>
    <row r="2647" spans="1:23" customFormat="1">
      <c r="A2647" s="10"/>
      <c r="B2647" s="4"/>
      <c r="C2647" s="4"/>
      <c r="D2647" s="4"/>
      <c r="E2647" s="4"/>
      <c r="F2647" s="152" t="s">
        <v>289</v>
      </c>
      <c r="G2647" s="4" t="s">
        <v>290</v>
      </c>
      <c r="H2647" s="4"/>
      <c r="I2647" s="196">
        <v>-16081500</v>
      </c>
      <c r="J2647" s="196">
        <v>-11325</v>
      </c>
      <c r="K2647" s="196">
        <v>1420</v>
      </c>
      <c r="L2647" s="454" t="s">
        <v>1267</v>
      </c>
      <c r="M2647" s="4" t="s">
        <v>780</v>
      </c>
      <c r="N2647" s="133" t="s">
        <v>1272</v>
      </c>
      <c r="O2647" s="4" t="s">
        <v>1268</v>
      </c>
      <c r="P2647" s="4" t="s">
        <v>892</v>
      </c>
      <c r="Q2647" s="4" t="s">
        <v>1269</v>
      </c>
      <c r="R2647" s="4" t="s">
        <v>1401</v>
      </c>
      <c r="S2647" s="4" t="s">
        <v>1271</v>
      </c>
      <c r="T2647" s="4" t="s">
        <v>786</v>
      </c>
      <c r="U2647" s="4"/>
      <c r="V2647" s="4"/>
      <c r="W2647" s="4"/>
    </row>
    <row r="2648" spans="1:23" customFormat="1">
      <c r="A2648" s="10"/>
      <c r="B2648" s="4"/>
      <c r="C2648" s="4"/>
      <c r="D2648" s="4"/>
      <c r="E2648" s="4"/>
      <c r="F2648" s="152" t="s">
        <v>289</v>
      </c>
      <c r="G2648" s="4" t="s">
        <v>290</v>
      </c>
      <c r="H2648" s="4"/>
      <c r="I2648" s="196">
        <v>-6850200</v>
      </c>
      <c r="J2648" s="196">
        <v>-4660</v>
      </c>
      <c r="K2648" s="196">
        <v>1470</v>
      </c>
      <c r="L2648" s="454" t="s">
        <v>1239</v>
      </c>
      <c r="M2648" s="4" t="s">
        <v>780</v>
      </c>
      <c r="N2648" s="133" t="s">
        <v>1272</v>
      </c>
      <c r="O2648" s="4" t="s">
        <v>1402</v>
      </c>
      <c r="P2648" s="4" t="s">
        <v>892</v>
      </c>
      <c r="Q2648" s="4" t="s">
        <v>1403</v>
      </c>
      <c r="R2648" s="4" t="s">
        <v>1404</v>
      </c>
      <c r="S2648" s="4" t="s">
        <v>1405</v>
      </c>
      <c r="T2648" s="4" t="s">
        <v>786</v>
      </c>
      <c r="U2648" s="4"/>
      <c r="V2648" s="4"/>
      <c r="W2648" s="4"/>
    </row>
    <row r="2649" spans="1:23" customFormat="1">
      <c r="A2649" s="10"/>
      <c r="B2649" s="4"/>
      <c r="C2649" s="4"/>
      <c r="D2649" s="4"/>
      <c r="E2649" s="4"/>
      <c r="F2649" s="152" t="s">
        <v>289</v>
      </c>
      <c r="G2649" s="4" t="s">
        <v>290</v>
      </c>
      <c r="H2649" s="4"/>
      <c r="I2649" s="196">
        <v>-3367000</v>
      </c>
      <c r="J2649" s="196">
        <v>-2590</v>
      </c>
      <c r="K2649" s="196">
        <v>1300</v>
      </c>
      <c r="L2649" s="454" t="s">
        <v>811</v>
      </c>
      <c r="M2649" s="4" t="s">
        <v>780</v>
      </c>
      <c r="N2649" s="133" t="s">
        <v>1407</v>
      </c>
      <c r="O2649" s="4" t="s">
        <v>877</v>
      </c>
      <c r="P2649" s="4" t="s">
        <v>783</v>
      </c>
      <c r="Q2649" s="4" t="s">
        <v>878</v>
      </c>
      <c r="R2649" s="4" t="s">
        <v>1535</v>
      </c>
      <c r="S2649" s="4" t="s">
        <v>880</v>
      </c>
      <c r="T2649" s="4" t="s">
        <v>786</v>
      </c>
      <c r="U2649" s="4"/>
      <c r="V2649" s="4"/>
      <c r="W2649" s="4"/>
    </row>
    <row r="2650" spans="1:23" customFormat="1">
      <c r="A2650" s="10"/>
      <c r="B2650" s="4"/>
      <c r="C2650" s="4"/>
      <c r="D2650" s="4"/>
      <c r="E2650" s="4"/>
      <c r="F2650" s="152" t="s">
        <v>289</v>
      </c>
      <c r="G2650" s="4" t="s">
        <v>290</v>
      </c>
      <c r="H2650" s="4"/>
      <c r="I2650" s="196">
        <v>-7020000</v>
      </c>
      <c r="J2650" s="196">
        <v>-5400</v>
      </c>
      <c r="K2650" s="196">
        <v>1300</v>
      </c>
      <c r="L2650" s="454" t="s">
        <v>817</v>
      </c>
      <c r="M2650" s="4" t="s">
        <v>780</v>
      </c>
      <c r="N2650" s="133" t="s">
        <v>1407</v>
      </c>
      <c r="O2650" s="4" t="s">
        <v>881</v>
      </c>
      <c r="P2650" s="4" t="s">
        <v>783</v>
      </c>
      <c r="Q2650" s="4" t="s">
        <v>882</v>
      </c>
      <c r="R2650" s="4" t="s">
        <v>1536</v>
      </c>
      <c r="S2650" s="4" t="s">
        <v>884</v>
      </c>
      <c r="T2650" s="4" t="s">
        <v>786</v>
      </c>
      <c r="U2650" s="4"/>
      <c r="V2650" s="4"/>
      <c r="W2650" s="4"/>
    </row>
    <row r="2651" spans="1:23" customFormat="1">
      <c r="A2651" s="10"/>
      <c r="B2651" s="4"/>
      <c r="C2651" s="4"/>
      <c r="D2651" s="4"/>
      <c r="E2651" s="4"/>
      <c r="F2651" s="152" t="s">
        <v>289</v>
      </c>
      <c r="G2651" s="4" t="s">
        <v>290</v>
      </c>
      <c r="H2651" s="4"/>
      <c r="I2651" s="196">
        <v>-3809000</v>
      </c>
      <c r="J2651" s="196">
        <v>-2930</v>
      </c>
      <c r="K2651" s="196">
        <v>1300</v>
      </c>
      <c r="L2651" s="454" t="s">
        <v>817</v>
      </c>
      <c r="M2651" s="4" t="s">
        <v>780</v>
      </c>
      <c r="N2651" s="133" t="s">
        <v>1407</v>
      </c>
      <c r="O2651" s="4" t="s">
        <v>881</v>
      </c>
      <c r="P2651" s="4" t="s">
        <v>783</v>
      </c>
      <c r="Q2651" s="4" t="s">
        <v>882</v>
      </c>
      <c r="R2651" s="4" t="s">
        <v>1537</v>
      </c>
      <c r="S2651" s="4" t="s">
        <v>884</v>
      </c>
      <c r="T2651" s="4" t="s">
        <v>786</v>
      </c>
      <c r="U2651" s="4"/>
      <c r="V2651" s="4"/>
      <c r="W2651" s="4"/>
    </row>
    <row r="2652" spans="1:23" customFormat="1">
      <c r="A2652" s="10"/>
      <c r="B2652" s="4"/>
      <c r="C2652" s="4"/>
      <c r="D2652" s="4"/>
      <c r="E2652" s="4"/>
      <c r="F2652" s="152" t="s">
        <v>289</v>
      </c>
      <c r="G2652" s="4" t="s">
        <v>290</v>
      </c>
      <c r="H2652" s="4"/>
      <c r="I2652" s="196">
        <v>-4544000</v>
      </c>
      <c r="J2652" s="196">
        <v>-3200</v>
      </c>
      <c r="K2652" s="196">
        <v>1420</v>
      </c>
      <c r="L2652" s="454" t="s">
        <v>825</v>
      </c>
      <c r="M2652" s="4" t="s">
        <v>780</v>
      </c>
      <c r="N2652" s="133" t="s">
        <v>1407</v>
      </c>
      <c r="O2652" s="4" t="s">
        <v>886</v>
      </c>
      <c r="P2652" s="4" t="s">
        <v>783</v>
      </c>
      <c r="Q2652" s="4" t="s">
        <v>887</v>
      </c>
      <c r="R2652" s="4" t="s">
        <v>1539</v>
      </c>
      <c r="S2652" s="4" t="s">
        <v>889</v>
      </c>
      <c r="T2652" s="4" t="s">
        <v>786</v>
      </c>
      <c r="U2652" s="4"/>
      <c r="V2652" s="4"/>
      <c r="W2652" s="4"/>
    </row>
    <row r="2653" spans="1:23" customFormat="1">
      <c r="A2653" s="10"/>
      <c r="B2653" s="4"/>
      <c r="C2653" s="4"/>
      <c r="D2653" s="4"/>
      <c r="E2653" s="4"/>
      <c r="F2653" s="152" t="s">
        <v>289</v>
      </c>
      <c r="G2653" s="4" t="s">
        <v>290</v>
      </c>
      <c r="H2653" s="4"/>
      <c r="I2653" s="196">
        <v>-947850</v>
      </c>
      <c r="J2653" s="196">
        <v>-667.5</v>
      </c>
      <c r="K2653" s="196">
        <v>1420</v>
      </c>
      <c r="L2653" s="454" t="s">
        <v>825</v>
      </c>
      <c r="M2653" s="4" t="s">
        <v>780</v>
      </c>
      <c r="N2653" s="133" t="s">
        <v>1407</v>
      </c>
      <c r="O2653" s="4" t="s">
        <v>886</v>
      </c>
      <c r="P2653" s="4" t="s">
        <v>783</v>
      </c>
      <c r="Q2653" s="4" t="s">
        <v>887</v>
      </c>
      <c r="R2653" s="4" t="s">
        <v>1538</v>
      </c>
      <c r="S2653" s="4" t="s">
        <v>889</v>
      </c>
      <c r="T2653" s="4" t="s">
        <v>786</v>
      </c>
      <c r="U2653" s="4"/>
      <c r="V2653" s="4"/>
      <c r="W2653" s="4"/>
    </row>
    <row r="2654" spans="1:23" customFormat="1">
      <c r="A2654" s="10"/>
      <c r="B2654" s="4"/>
      <c r="C2654" s="4"/>
      <c r="D2654" s="4"/>
      <c r="E2654" s="4"/>
      <c r="F2654" s="152" t="s">
        <v>289</v>
      </c>
      <c r="G2654" s="4" t="s">
        <v>290</v>
      </c>
      <c r="H2654" s="4"/>
      <c r="I2654" s="196">
        <v>-3195000</v>
      </c>
      <c r="J2654" s="196">
        <v>-2250</v>
      </c>
      <c r="K2654" s="196">
        <v>1420</v>
      </c>
      <c r="L2654" s="454" t="s">
        <v>913</v>
      </c>
      <c r="M2654" s="4" t="s">
        <v>780</v>
      </c>
      <c r="N2654" s="133" t="s">
        <v>1407</v>
      </c>
      <c r="O2654" s="4" t="s">
        <v>977</v>
      </c>
      <c r="P2654" s="4" t="s">
        <v>892</v>
      </c>
      <c r="Q2654" s="4" t="s">
        <v>978</v>
      </c>
      <c r="R2654" s="4" t="s">
        <v>1801</v>
      </c>
      <c r="S2654" s="4" t="s">
        <v>980</v>
      </c>
      <c r="T2654" s="4" t="s">
        <v>786</v>
      </c>
      <c r="U2654" s="4"/>
      <c r="V2654" s="4"/>
      <c r="W2654" s="4"/>
    </row>
    <row r="2655" spans="1:23" customFormat="1">
      <c r="A2655" s="10"/>
      <c r="B2655" s="4"/>
      <c r="C2655" s="4"/>
      <c r="D2655" s="4"/>
      <c r="E2655" s="4"/>
      <c r="F2655" s="152" t="s">
        <v>289</v>
      </c>
      <c r="G2655" s="4" t="s">
        <v>290</v>
      </c>
      <c r="H2655" s="4"/>
      <c r="I2655" s="196">
        <v>-4039650</v>
      </c>
      <c r="J2655" s="196">
        <v>-2865</v>
      </c>
      <c r="K2655" s="196">
        <v>1410</v>
      </c>
      <c r="L2655" s="454" t="s">
        <v>919</v>
      </c>
      <c r="M2655" s="4" t="s">
        <v>780</v>
      </c>
      <c r="N2655" s="133" t="s">
        <v>1407</v>
      </c>
      <c r="O2655" s="4" t="s">
        <v>983</v>
      </c>
      <c r="P2655" s="4" t="s">
        <v>892</v>
      </c>
      <c r="Q2655" s="4" t="s">
        <v>984</v>
      </c>
      <c r="R2655" s="4" t="s">
        <v>1812</v>
      </c>
      <c r="S2655" s="4" t="s">
        <v>986</v>
      </c>
      <c r="T2655" s="4" t="s">
        <v>786</v>
      </c>
      <c r="U2655" s="4"/>
      <c r="V2655" s="4"/>
      <c r="W2655" s="4"/>
    </row>
    <row r="2656" spans="1:23" customFormat="1">
      <c r="A2656" s="10"/>
      <c r="B2656" s="4"/>
      <c r="C2656" s="4"/>
      <c r="D2656" s="4"/>
      <c r="E2656" s="4"/>
      <c r="F2656" s="152" t="s">
        <v>289</v>
      </c>
      <c r="G2656" s="4" t="s">
        <v>290</v>
      </c>
      <c r="H2656" s="4"/>
      <c r="I2656" s="196">
        <v>-4039650</v>
      </c>
      <c r="J2656" s="196">
        <v>-2865</v>
      </c>
      <c r="K2656" s="196">
        <v>1410</v>
      </c>
      <c r="L2656" s="454" t="s">
        <v>919</v>
      </c>
      <c r="M2656" s="4" t="s">
        <v>780</v>
      </c>
      <c r="N2656" s="133" t="s">
        <v>1407</v>
      </c>
      <c r="O2656" s="4" t="s">
        <v>983</v>
      </c>
      <c r="P2656" s="4" t="s">
        <v>892</v>
      </c>
      <c r="Q2656" s="4" t="s">
        <v>984</v>
      </c>
      <c r="R2656" s="4" t="s">
        <v>1811</v>
      </c>
      <c r="S2656" s="4" t="s">
        <v>986</v>
      </c>
      <c r="T2656" s="4" t="s">
        <v>786</v>
      </c>
      <c r="U2656" s="4"/>
      <c r="V2656" s="4"/>
      <c r="W2656" s="4"/>
    </row>
    <row r="2657" spans="1:23" customFormat="1">
      <c r="A2657" s="10"/>
      <c r="B2657" s="4"/>
      <c r="C2657" s="4"/>
      <c r="D2657" s="4"/>
      <c r="E2657" s="4"/>
      <c r="F2657" s="152" t="s">
        <v>289</v>
      </c>
      <c r="G2657" s="4" t="s">
        <v>290</v>
      </c>
      <c r="H2657" s="4"/>
      <c r="I2657" s="196">
        <v>-4716450</v>
      </c>
      <c r="J2657" s="196">
        <v>-3345</v>
      </c>
      <c r="K2657" s="196">
        <v>1410</v>
      </c>
      <c r="L2657" s="454" t="s">
        <v>919</v>
      </c>
      <c r="M2657" s="4" t="s">
        <v>780</v>
      </c>
      <c r="N2657" s="133" t="s">
        <v>1407</v>
      </c>
      <c r="O2657" s="4" t="s">
        <v>983</v>
      </c>
      <c r="P2657" s="4" t="s">
        <v>892</v>
      </c>
      <c r="Q2657" s="4" t="s">
        <v>984</v>
      </c>
      <c r="R2657" s="4" t="s">
        <v>1809</v>
      </c>
      <c r="S2657" s="4" t="s">
        <v>986</v>
      </c>
      <c r="T2657" s="4" t="s">
        <v>786</v>
      </c>
      <c r="U2657" s="4"/>
      <c r="V2657" s="4"/>
      <c r="W2657" s="4"/>
    </row>
    <row r="2658" spans="1:23" customFormat="1">
      <c r="A2658" s="10"/>
      <c r="B2658" s="4"/>
      <c r="C2658" s="4"/>
      <c r="D2658" s="4"/>
      <c r="E2658" s="4"/>
      <c r="F2658" s="152" t="s">
        <v>289</v>
      </c>
      <c r="G2658" s="4" t="s">
        <v>290</v>
      </c>
      <c r="H2658" s="4"/>
      <c r="I2658" s="196">
        <v>-9173200</v>
      </c>
      <c r="J2658" s="196">
        <v>-6460</v>
      </c>
      <c r="K2658" s="196">
        <v>1420</v>
      </c>
      <c r="L2658" s="454" t="s">
        <v>919</v>
      </c>
      <c r="M2658" s="4" t="s">
        <v>780</v>
      </c>
      <c r="N2658" s="133" t="s">
        <v>1407</v>
      </c>
      <c r="O2658" s="4" t="s">
        <v>983</v>
      </c>
      <c r="P2658" s="4" t="s">
        <v>892</v>
      </c>
      <c r="Q2658" s="4" t="s">
        <v>984</v>
      </c>
      <c r="R2658" s="4" t="s">
        <v>1814</v>
      </c>
      <c r="S2658" s="4" t="s">
        <v>986</v>
      </c>
      <c r="T2658" s="4" t="s">
        <v>786</v>
      </c>
      <c r="U2658" s="4"/>
      <c r="V2658" s="4"/>
      <c r="W2658" s="4"/>
    </row>
    <row r="2659" spans="1:23" customFormat="1">
      <c r="A2659" s="10"/>
      <c r="B2659" s="4"/>
      <c r="C2659" s="4"/>
      <c r="D2659" s="4"/>
      <c r="E2659" s="4"/>
      <c r="F2659" s="152" t="s">
        <v>289</v>
      </c>
      <c r="G2659" s="4" t="s">
        <v>290</v>
      </c>
      <c r="H2659" s="4"/>
      <c r="I2659" s="196">
        <v>-3771750</v>
      </c>
      <c r="J2659" s="196">
        <v>-2675</v>
      </c>
      <c r="K2659" s="196">
        <v>1410</v>
      </c>
      <c r="L2659" s="454" t="s">
        <v>919</v>
      </c>
      <c r="M2659" s="4" t="s">
        <v>780</v>
      </c>
      <c r="N2659" s="133" t="s">
        <v>1407</v>
      </c>
      <c r="O2659" s="4" t="s">
        <v>983</v>
      </c>
      <c r="P2659" s="4" t="s">
        <v>892</v>
      </c>
      <c r="Q2659" s="4" t="s">
        <v>984</v>
      </c>
      <c r="R2659" s="4" t="s">
        <v>1815</v>
      </c>
      <c r="S2659" s="4" t="s">
        <v>986</v>
      </c>
      <c r="T2659" s="4" t="s">
        <v>786</v>
      </c>
      <c r="U2659" s="4"/>
      <c r="V2659" s="4"/>
      <c r="W2659" s="4"/>
    </row>
    <row r="2660" spans="1:23" customFormat="1">
      <c r="A2660" s="10"/>
      <c r="B2660" s="4"/>
      <c r="C2660" s="4"/>
      <c r="D2660" s="4"/>
      <c r="E2660" s="4"/>
      <c r="F2660" s="152" t="s">
        <v>289</v>
      </c>
      <c r="G2660" s="4" t="s">
        <v>290</v>
      </c>
      <c r="H2660" s="4"/>
      <c r="I2660" s="196">
        <v>-697950</v>
      </c>
      <c r="J2660" s="196">
        <v>-495</v>
      </c>
      <c r="K2660" s="196">
        <v>1410</v>
      </c>
      <c r="L2660" s="454" t="s">
        <v>919</v>
      </c>
      <c r="M2660" s="4" t="s">
        <v>780</v>
      </c>
      <c r="N2660" s="133" t="s">
        <v>1407</v>
      </c>
      <c r="O2660" s="4" t="s">
        <v>983</v>
      </c>
      <c r="P2660" s="4" t="s">
        <v>892</v>
      </c>
      <c r="Q2660" s="4" t="s">
        <v>984</v>
      </c>
      <c r="R2660" s="4" t="s">
        <v>1816</v>
      </c>
      <c r="S2660" s="4" t="s">
        <v>986</v>
      </c>
      <c r="T2660" s="4" t="s">
        <v>786</v>
      </c>
      <c r="U2660" s="4"/>
      <c r="V2660" s="4"/>
      <c r="W2660" s="4"/>
    </row>
    <row r="2661" spans="1:23" customFormat="1">
      <c r="A2661" s="10"/>
      <c r="B2661" s="4"/>
      <c r="C2661" s="4"/>
      <c r="D2661" s="4"/>
      <c r="E2661" s="4"/>
      <c r="F2661" s="152" t="s">
        <v>289</v>
      </c>
      <c r="G2661" s="4" t="s">
        <v>290</v>
      </c>
      <c r="H2661" s="4"/>
      <c r="I2661" s="196">
        <v>-697950</v>
      </c>
      <c r="J2661" s="196">
        <v>-495</v>
      </c>
      <c r="K2661" s="196">
        <v>1410</v>
      </c>
      <c r="L2661" s="454" t="s">
        <v>919</v>
      </c>
      <c r="M2661" s="4" t="s">
        <v>780</v>
      </c>
      <c r="N2661" s="133" t="s">
        <v>1407</v>
      </c>
      <c r="O2661" s="4" t="s">
        <v>983</v>
      </c>
      <c r="P2661" s="4" t="s">
        <v>892</v>
      </c>
      <c r="Q2661" s="4" t="s">
        <v>984</v>
      </c>
      <c r="R2661" s="4" t="s">
        <v>1817</v>
      </c>
      <c r="S2661" s="4" t="s">
        <v>986</v>
      </c>
      <c r="T2661" s="4" t="s">
        <v>786</v>
      </c>
      <c r="U2661" s="4"/>
      <c r="V2661" s="4"/>
      <c r="W2661" s="4"/>
    </row>
    <row r="2662" spans="1:23" customFormat="1">
      <c r="A2662" s="10"/>
      <c r="B2662" s="4"/>
      <c r="C2662" s="4"/>
      <c r="D2662" s="4"/>
      <c r="E2662" s="4"/>
      <c r="F2662" s="152" t="s">
        <v>289</v>
      </c>
      <c r="G2662" s="4" t="s">
        <v>290</v>
      </c>
      <c r="H2662" s="4"/>
      <c r="I2662" s="196">
        <v>-3313500</v>
      </c>
      <c r="J2662" s="196">
        <v>-2350</v>
      </c>
      <c r="K2662" s="196">
        <v>1410</v>
      </c>
      <c r="L2662" s="454" t="s">
        <v>919</v>
      </c>
      <c r="M2662" s="4" t="s">
        <v>780</v>
      </c>
      <c r="N2662" s="133" t="s">
        <v>1407</v>
      </c>
      <c r="O2662" s="4" t="s">
        <v>983</v>
      </c>
      <c r="P2662" s="4" t="s">
        <v>892</v>
      </c>
      <c r="Q2662" s="4" t="s">
        <v>984</v>
      </c>
      <c r="R2662" s="4" t="s">
        <v>1806</v>
      </c>
      <c r="S2662" s="4" t="s">
        <v>986</v>
      </c>
      <c r="T2662" s="4" t="s">
        <v>786</v>
      </c>
      <c r="U2662" s="4"/>
      <c r="V2662" s="4"/>
      <c r="W2662" s="4"/>
    </row>
    <row r="2663" spans="1:23" customFormat="1">
      <c r="A2663" s="10"/>
      <c r="B2663" s="4"/>
      <c r="C2663" s="4"/>
      <c r="D2663" s="4"/>
      <c r="E2663" s="4"/>
      <c r="F2663" s="152" t="s">
        <v>289</v>
      </c>
      <c r="G2663" s="4" t="s">
        <v>290</v>
      </c>
      <c r="H2663" s="4"/>
      <c r="I2663" s="196">
        <v>-2210880</v>
      </c>
      <c r="J2663" s="196">
        <v>-1568</v>
      </c>
      <c r="K2663" s="196">
        <v>1410</v>
      </c>
      <c r="L2663" s="454" t="s">
        <v>919</v>
      </c>
      <c r="M2663" s="4" t="s">
        <v>780</v>
      </c>
      <c r="N2663" s="133" t="s">
        <v>1407</v>
      </c>
      <c r="O2663" s="4" t="s">
        <v>983</v>
      </c>
      <c r="P2663" s="4" t="s">
        <v>892</v>
      </c>
      <c r="Q2663" s="4" t="s">
        <v>984</v>
      </c>
      <c r="R2663" s="4" t="s">
        <v>1807</v>
      </c>
      <c r="S2663" s="4" t="s">
        <v>986</v>
      </c>
      <c r="T2663" s="4" t="s">
        <v>786</v>
      </c>
      <c r="U2663" s="4"/>
      <c r="V2663" s="4"/>
      <c r="W2663" s="4"/>
    </row>
    <row r="2664" spans="1:23" customFormat="1">
      <c r="A2664" s="10"/>
      <c r="B2664" s="4"/>
      <c r="C2664" s="4"/>
      <c r="D2664" s="4"/>
      <c r="E2664" s="4"/>
      <c r="F2664" s="152" t="s">
        <v>289</v>
      </c>
      <c r="G2664" s="4" t="s">
        <v>290</v>
      </c>
      <c r="H2664" s="4"/>
      <c r="I2664" s="196">
        <v>-2210880</v>
      </c>
      <c r="J2664" s="196">
        <v>-1568</v>
      </c>
      <c r="K2664" s="196">
        <v>1410</v>
      </c>
      <c r="L2664" s="454" t="s">
        <v>919</v>
      </c>
      <c r="M2664" s="4" t="s">
        <v>780</v>
      </c>
      <c r="N2664" s="133" t="s">
        <v>1407</v>
      </c>
      <c r="O2664" s="4" t="s">
        <v>983</v>
      </c>
      <c r="P2664" s="4" t="s">
        <v>892</v>
      </c>
      <c r="Q2664" s="4" t="s">
        <v>984</v>
      </c>
      <c r="R2664" s="4" t="s">
        <v>1807</v>
      </c>
      <c r="S2664" s="4" t="s">
        <v>986</v>
      </c>
      <c r="T2664" s="4" t="s">
        <v>786</v>
      </c>
      <c r="U2664" s="4"/>
      <c r="V2664" s="4"/>
      <c r="W2664" s="4"/>
    </row>
    <row r="2665" spans="1:23" customFormat="1">
      <c r="A2665" s="10"/>
      <c r="B2665" s="4"/>
      <c r="C2665" s="4"/>
      <c r="D2665" s="4"/>
      <c r="E2665" s="4"/>
      <c r="F2665" s="152" t="s">
        <v>289</v>
      </c>
      <c r="G2665" s="4" t="s">
        <v>290</v>
      </c>
      <c r="H2665" s="4"/>
      <c r="I2665" s="196">
        <v>-1572150</v>
      </c>
      <c r="J2665" s="196">
        <v>-1115</v>
      </c>
      <c r="K2665" s="196">
        <v>1410</v>
      </c>
      <c r="L2665" s="454" t="s">
        <v>919</v>
      </c>
      <c r="M2665" s="4" t="s">
        <v>780</v>
      </c>
      <c r="N2665" s="133" t="s">
        <v>1407</v>
      </c>
      <c r="O2665" s="4" t="s">
        <v>983</v>
      </c>
      <c r="P2665" s="4" t="s">
        <v>892</v>
      </c>
      <c r="Q2665" s="4" t="s">
        <v>984</v>
      </c>
      <c r="R2665" s="4" t="s">
        <v>1808</v>
      </c>
      <c r="S2665" s="4" t="s">
        <v>986</v>
      </c>
      <c r="T2665" s="4" t="s">
        <v>786</v>
      </c>
      <c r="U2665" s="4"/>
      <c r="V2665" s="4"/>
      <c r="W2665" s="4"/>
    </row>
    <row r="2666" spans="1:23" customFormat="1">
      <c r="A2666" s="10"/>
      <c r="B2666" s="4"/>
      <c r="C2666" s="4"/>
      <c r="D2666" s="4"/>
      <c r="E2666" s="4"/>
      <c r="F2666" s="152" t="s">
        <v>289</v>
      </c>
      <c r="G2666" s="4" t="s">
        <v>290</v>
      </c>
      <c r="H2666" s="4"/>
      <c r="I2666" s="196">
        <v>-347500</v>
      </c>
      <c r="J2666" s="196">
        <v>-250</v>
      </c>
      <c r="K2666" s="196">
        <v>1390</v>
      </c>
      <c r="L2666" s="454" t="s">
        <v>927</v>
      </c>
      <c r="M2666" s="4" t="s">
        <v>780</v>
      </c>
      <c r="N2666" s="133" t="s">
        <v>1407</v>
      </c>
      <c r="O2666" s="4" t="s">
        <v>1827</v>
      </c>
      <c r="P2666" s="4" t="s">
        <v>892</v>
      </c>
      <c r="Q2666" s="4" t="s">
        <v>1828</v>
      </c>
      <c r="R2666" s="4" t="s">
        <v>1829</v>
      </c>
      <c r="S2666" s="4" t="s">
        <v>1830</v>
      </c>
      <c r="T2666" s="4" t="s">
        <v>786</v>
      </c>
      <c r="U2666" s="4"/>
      <c r="V2666" s="4"/>
      <c r="W2666" s="4"/>
    </row>
    <row r="2667" spans="1:23" customFormat="1">
      <c r="A2667" s="10"/>
      <c r="B2667" s="4"/>
      <c r="C2667" s="4"/>
      <c r="D2667" s="4"/>
      <c r="E2667" s="4"/>
      <c r="F2667" s="152" t="s">
        <v>289</v>
      </c>
      <c r="G2667" s="4" t="s">
        <v>290</v>
      </c>
      <c r="H2667" s="4"/>
      <c r="I2667" s="196">
        <v>-2992500</v>
      </c>
      <c r="J2667" s="196">
        <v>-2137.5</v>
      </c>
      <c r="K2667" s="196">
        <v>1400</v>
      </c>
      <c r="L2667" s="454" t="s">
        <v>1007</v>
      </c>
      <c r="M2667" s="4" t="s">
        <v>780</v>
      </c>
      <c r="N2667" s="133" t="s">
        <v>1407</v>
      </c>
      <c r="O2667" s="4" t="s">
        <v>1008</v>
      </c>
      <c r="P2667" s="4" t="s">
        <v>892</v>
      </c>
      <c r="Q2667" s="4" t="s">
        <v>1009</v>
      </c>
      <c r="R2667" s="4" t="s">
        <v>1927</v>
      </c>
      <c r="S2667" s="4" t="s">
        <v>1011</v>
      </c>
      <c r="T2667" s="4" t="s">
        <v>786</v>
      </c>
      <c r="U2667" s="4"/>
      <c r="V2667" s="4"/>
      <c r="W2667" s="4"/>
    </row>
    <row r="2668" spans="1:23" customFormat="1">
      <c r="A2668" s="10"/>
      <c r="B2668" s="4"/>
      <c r="C2668" s="4"/>
      <c r="D2668" s="4"/>
      <c r="E2668" s="4"/>
      <c r="F2668" s="152" t="s">
        <v>289</v>
      </c>
      <c r="G2668" s="4" t="s">
        <v>290</v>
      </c>
      <c r="H2668" s="4"/>
      <c r="I2668" s="196">
        <v>-4096950</v>
      </c>
      <c r="J2668" s="196">
        <v>-2865</v>
      </c>
      <c r="K2668" s="196">
        <v>1430</v>
      </c>
      <c r="L2668" s="454" t="s">
        <v>1007</v>
      </c>
      <c r="M2668" s="4" t="s">
        <v>780</v>
      </c>
      <c r="N2668" s="133" t="s">
        <v>1407</v>
      </c>
      <c r="O2668" s="4" t="s">
        <v>1008</v>
      </c>
      <c r="P2668" s="4" t="s">
        <v>892</v>
      </c>
      <c r="Q2668" s="4" t="s">
        <v>1009</v>
      </c>
      <c r="R2668" s="4" t="s">
        <v>1925</v>
      </c>
      <c r="S2668" s="4" t="s">
        <v>1011</v>
      </c>
      <c r="T2668" s="4" t="s">
        <v>786</v>
      </c>
      <c r="U2668" s="4"/>
      <c r="V2668" s="4"/>
      <c r="W2668" s="4"/>
    </row>
    <row r="2669" spans="1:23" customFormat="1">
      <c r="A2669" s="10"/>
      <c r="B2669" s="4"/>
      <c r="C2669" s="4"/>
      <c r="D2669" s="4"/>
      <c r="E2669" s="4"/>
      <c r="F2669" s="152" t="s">
        <v>289</v>
      </c>
      <c r="G2669" s="4" t="s">
        <v>290</v>
      </c>
      <c r="H2669" s="4"/>
      <c r="I2669" s="196">
        <v>-3889600</v>
      </c>
      <c r="J2669" s="196">
        <v>-2720</v>
      </c>
      <c r="K2669" s="196">
        <v>1430</v>
      </c>
      <c r="L2669" s="454" t="s">
        <v>1007</v>
      </c>
      <c r="M2669" s="4" t="s">
        <v>780</v>
      </c>
      <c r="N2669" s="133" t="s">
        <v>1407</v>
      </c>
      <c r="O2669" s="4" t="s">
        <v>1008</v>
      </c>
      <c r="P2669" s="4" t="s">
        <v>892</v>
      </c>
      <c r="Q2669" s="4" t="s">
        <v>1009</v>
      </c>
      <c r="R2669" s="4" t="s">
        <v>1928</v>
      </c>
      <c r="S2669" s="4" t="s">
        <v>1011</v>
      </c>
      <c r="T2669" s="4" t="s">
        <v>786</v>
      </c>
      <c r="U2669" s="4"/>
      <c r="V2669" s="4"/>
      <c r="W2669" s="4"/>
    </row>
    <row r="2670" spans="1:23" customFormat="1">
      <c r="A2670" s="10"/>
      <c r="B2670" s="4"/>
      <c r="C2670" s="4"/>
      <c r="D2670" s="4"/>
      <c r="E2670" s="4"/>
      <c r="F2670" s="152" t="s">
        <v>289</v>
      </c>
      <c r="G2670" s="4" t="s">
        <v>290</v>
      </c>
      <c r="H2670" s="4"/>
      <c r="I2670" s="196">
        <v>-4290000</v>
      </c>
      <c r="J2670" s="196">
        <v>-3000</v>
      </c>
      <c r="K2670" s="196">
        <v>1430</v>
      </c>
      <c r="L2670" s="454" t="s">
        <v>1007</v>
      </c>
      <c r="M2670" s="4" t="s">
        <v>780</v>
      </c>
      <c r="N2670" s="133" t="s">
        <v>1407</v>
      </c>
      <c r="O2670" s="4" t="s">
        <v>1008</v>
      </c>
      <c r="P2670" s="4" t="s">
        <v>892</v>
      </c>
      <c r="Q2670" s="4" t="s">
        <v>1009</v>
      </c>
      <c r="R2670" s="4" t="s">
        <v>1929</v>
      </c>
      <c r="S2670" s="4" t="s">
        <v>1011</v>
      </c>
      <c r="T2670" s="4" t="s">
        <v>786</v>
      </c>
      <c r="U2670" s="4"/>
      <c r="V2670" s="4"/>
      <c r="W2670" s="4"/>
    </row>
    <row r="2671" spans="1:23" customFormat="1">
      <c r="A2671" s="10"/>
      <c r="B2671" s="4"/>
      <c r="C2671" s="4"/>
      <c r="D2671" s="4"/>
      <c r="E2671" s="4"/>
      <c r="F2671" s="152" t="s">
        <v>289</v>
      </c>
      <c r="G2671" s="4" t="s">
        <v>290</v>
      </c>
      <c r="H2671" s="4"/>
      <c r="I2671" s="196">
        <v>-4290000</v>
      </c>
      <c r="J2671" s="196">
        <v>-3000</v>
      </c>
      <c r="K2671" s="196">
        <v>1430</v>
      </c>
      <c r="L2671" s="454" t="s">
        <v>1007</v>
      </c>
      <c r="M2671" s="4" t="s">
        <v>780</v>
      </c>
      <c r="N2671" s="133" t="s">
        <v>1407</v>
      </c>
      <c r="O2671" s="4" t="s">
        <v>1008</v>
      </c>
      <c r="P2671" s="4" t="s">
        <v>892</v>
      </c>
      <c r="Q2671" s="4" t="s">
        <v>1009</v>
      </c>
      <c r="R2671" s="4" t="s">
        <v>1930</v>
      </c>
      <c r="S2671" s="4" t="s">
        <v>1011</v>
      </c>
      <c r="T2671" s="4" t="s">
        <v>786</v>
      </c>
      <c r="U2671" s="4"/>
      <c r="V2671" s="4"/>
      <c r="W2671" s="4"/>
    </row>
    <row r="2672" spans="1:23" customFormat="1">
      <c r="A2672" s="10"/>
      <c r="B2672" s="4"/>
      <c r="C2672" s="4"/>
      <c r="D2672" s="4"/>
      <c r="E2672" s="4"/>
      <c r="F2672" s="152" t="s">
        <v>289</v>
      </c>
      <c r="G2672" s="4" t="s">
        <v>290</v>
      </c>
      <c r="H2672" s="4"/>
      <c r="I2672" s="196">
        <v>-7579000</v>
      </c>
      <c r="J2672" s="196">
        <v>-5300</v>
      </c>
      <c r="K2672" s="196">
        <v>1430</v>
      </c>
      <c r="L2672" s="454" t="s">
        <v>1007</v>
      </c>
      <c r="M2672" s="4" t="s">
        <v>780</v>
      </c>
      <c r="N2672" s="133" t="s">
        <v>1407</v>
      </c>
      <c r="O2672" s="4" t="s">
        <v>1008</v>
      </c>
      <c r="P2672" s="4" t="s">
        <v>892</v>
      </c>
      <c r="Q2672" s="4" t="s">
        <v>1009</v>
      </c>
      <c r="R2672" s="4" t="s">
        <v>1931</v>
      </c>
      <c r="S2672" s="4" t="s">
        <v>1011</v>
      </c>
      <c r="T2672" s="4" t="s">
        <v>786</v>
      </c>
      <c r="U2672" s="4"/>
      <c r="V2672" s="4"/>
      <c r="W2672" s="4"/>
    </row>
    <row r="2673" spans="1:23" customFormat="1">
      <c r="A2673" s="10"/>
      <c r="B2673" s="4"/>
      <c r="C2673" s="4"/>
      <c r="D2673" s="4"/>
      <c r="E2673" s="4"/>
      <c r="F2673" s="152" t="s">
        <v>289</v>
      </c>
      <c r="G2673" s="4" t="s">
        <v>290</v>
      </c>
      <c r="H2673" s="4"/>
      <c r="I2673" s="196">
        <v>-2876400</v>
      </c>
      <c r="J2673" s="196">
        <v>-2040</v>
      </c>
      <c r="K2673" s="196">
        <v>1410</v>
      </c>
      <c r="L2673" s="454" t="s">
        <v>1007</v>
      </c>
      <c r="M2673" s="4" t="s">
        <v>780</v>
      </c>
      <c r="N2673" s="133" t="s">
        <v>1407</v>
      </c>
      <c r="O2673" s="4" t="s">
        <v>1008</v>
      </c>
      <c r="P2673" s="4" t="s">
        <v>892</v>
      </c>
      <c r="Q2673" s="4" t="s">
        <v>1009</v>
      </c>
      <c r="R2673" s="4" t="s">
        <v>1936</v>
      </c>
      <c r="S2673" s="4" t="s">
        <v>1011</v>
      </c>
      <c r="T2673" s="4" t="s">
        <v>786</v>
      </c>
      <c r="U2673" s="4"/>
      <c r="V2673" s="4"/>
      <c r="W2673" s="4"/>
    </row>
    <row r="2674" spans="1:23" customFormat="1">
      <c r="A2674" s="10"/>
      <c r="B2674" s="4"/>
      <c r="C2674" s="4"/>
      <c r="D2674" s="4"/>
      <c r="E2674" s="4"/>
      <c r="F2674" s="152" t="s">
        <v>289</v>
      </c>
      <c r="G2674" s="4" t="s">
        <v>290</v>
      </c>
      <c r="H2674" s="4"/>
      <c r="I2674" s="196">
        <v>-20982050</v>
      </c>
      <c r="J2674" s="196">
        <v>-15095</v>
      </c>
      <c r="K2674" s="196">
        <v>1390</v>
      </c>
      <c r="L2674" s="454" t="s">
        <v>1007</v>
      </c>
      <c r="M2674" s="4" t="s">
        <v>780</v>
      </c>
      <c r="N2674" s="133" t="s">
        <v>1407</v>
      </c>
      <c r="O2674" s="4" t="s">
        <v>1008</v>
      </c>
      <c r="P2674" s="4" t="s">
        <v>892</v>
      </c>
      <c r="Q2674" s="4" t="s">
        <v>1009</v>
      </c>
      <c r="R2674" s="4" t="s">
        <v>1926</v>
      </c>
      <c r="S2674" s="4" t="s">
        <v>1011</v>
      </c>
      <c r="T2674" s="4" t="s">
        <v>786</v>
      </c>
      <c r="U2674" s="4"/>
      <c r="V2674" s="4"/>
      <c r="W2674" s="4"/>
    </row>
    <row r="2675" spans="1:23" customFormat="1">
      <c r="A2675" s="10"/>
      <c r="B2675" s="4"/>
      <c r="C2675" s="4"/>
      <c r="D2675" s="4"/>
      <c r="E2675" s="4"/>
      <c r="F2675" s="152" t="s">
        <v>289</v>
      </c>
      <c r="G2675" s="4" t="s">
        <v>290</v>
      </c>
      <c r="H2675" s="4"/>
      <c r="I2675" s="196">
        <v>-1903500</v>
      </c>
      <c r="J2675" s="196">
        <v>-1350</v>
      </c>
      <c r="K2675" s="196">
        <v>1410</v>
      </c>
      <c r="L2675" s="454" t="s">
        <v>1007</v>
      </c>
      <c r="M2675" s="4" t="s">
        <v>780</v>
      </c>
      <c r="N2675" s="133" t="s">
        <v>1407</v>
      </c>
      <c r="O2675" s="4" t="s">
        <v>1008</v>
      </c>
      <c r="P2675" s="4" t="s">
        <v>892</v>
      </c>
      <c r="Q2675" s="4" t="s">
        <v>1009</v>
      </c>
      <c r="R2675" s="4" t="s">
        <v>1935</v>
      </c>
      <c r="S2675" s="4" t="s">
        <v>1011</v>
      </c>
      <c r="T2675" s="4" t="s">
        <v>786</v>
      </c>
      <c r="U2675" s="4"/>
      <c r="V2675" s="4"/>
      <c r="W2675" s="4"/>
    </row>
    <row r="2676" spans="1:23" customFormat="1">
      <c r="A2676" s="10"/>
      <c r="B2676" s="4"/>
      <c r="C2676" s="4"/>
      <c r="D2676" s="4"/>
      <c r="E2676" s="4"/>
      <c r="F2676" s="152" t="s">
        <v>289</v>
      </c>
      <c r="G2676" s="4" t="s">
        <v>290</v>
      </c>
      <c r="H2676" s="4"/>
      <c r="I2676" s="196">
        <v>-1903500</v>
      </c>
      <c r="J2676" s="196">
        <v>-1350</v>
      </c>
      <c r="K2676" s="196">
        <v>1410</v>
      </c>
      <c r="L2676" s="454" t="s">
        <v>1007</v>
      </c>
      <c r="M2676" s="4" t="s">
        <v>780</v>
      </c>
      <c r="N2676" s="133" t="s">
        <v>1407</v>
      </c>
      <c r="O2676" s="4" t="s">
        <v>1008</v>
      </c>
      <c r="P2676" s="4" t="s">
        <v>892</v>
      </c>
      <c r="Q2676" s="4" t="s">
        <v>1009</v>
      </c>
      <c r="R2676" s="4" t="s">
        <v>1932</v>
      </c>
      <c r="S2676" s="4" t="s">
        <v>1011</v>
      </c>
      <c r="T2676" s="4" t="s">
        <v>786</v>
      </c>
      <c r="U2676" s="4"/>
      <c r="V2676" s="4"/>
      <c r="W2676" s="4"/>
    </row>
    <row r="2677" spans="1:23" customFormat="1">
      <c r="A2677" s="10"/>
      <c r="B2677" s="4"/>
      <c r="C2677" s="4"/>
      <c r="D2677" s="4"/>
      <c r="E2677" s="4"/>
      <c r="F2677" s="152" t="s">
        <v>289</v>
      </c>
      <c r="G2677" s="4" t="s">
        <v>290</v>
      </c>
      <c r="H2677" s="4"/>
      <c r="I2677" s="196">
        <v>-14628900</v>
      </c>
      <c r="J2677" s="196">
        <v>-10230</v>
      </c>
      <c r="K2677" s="196">
        <v>1430</v>
      </c>
      <c r="L2677" s="454" t="s">
        <v>1007</v>
      </c>
      <c r="M2677" s="4" t="s">
        <v>780</v>
      </c>
      <c r="N2677" s="133" t="s">
        <v>1407</v>
      </c>
      <c r="O2677" s="4" t="s">
        <v>1008</v>
      </c>
      <c r="P2677" s="4" t="s">
        <v>892</v>
      </c>
      <c r="Q2677" s="4" t="s">
        <v>1009</v>
      </c>
      <c r="R2677" s="4" t="s">
        <v>1934</v>
      </c>
      <c r="S2677" s="4" t="s">
        <v>1011</v>
      </c>
      <c r="T2677" s="4" t="s">
        <v>786</v>
      </c>
      <c r="U2677" s="4"/>
      <c r="V2677" s="4"/>
      <c r="W2677" s="4"/>
    </row>
    <row r="2678" spans="1:23" customFormat="1">
      <c r="A2678" s="10"/>
      <c r="B2678" s="4"/>
      <c r="C2678" s="4"/>
      <c r="D2678" s="4"/>
      <c r="E2678" s="4"/>
      <c r="F2678" s="152" t="s">
        <v>289</v>
      </c>
      <c r="G2678" s="4" t="s">
        <v>290</v>
      </c>
      <c r="H2678" s="4"/>
      <c r="I2678" s="196">
        <v>-1882350</v>
      </c>
      <c r="J2678" s="196">
        <v>-1335</v>
      </c>
      <c r="K2678" s="196">
        <v>1410</v>
      </c>
      <c r="L2678" s="454" t="s">
        <v>1007</v>
      </c>
      <c r="M2678" s="4" t="s">
        <v>780</v>
      </c>
      <c r="N2678" s="133" t="s">
        <v>1407</v>
      </c>
      <c r="O2678" s="4" t="s">
        <v>1008</v>
      </c>
      <c r="P2678" s="4" t="s">
        <v>892</v>
      </c>
      <c r="Q2678" s="4" t="s">
        <v>1009</v>
      </c>
      <c r="R2678" s="4" t="s">
        <v>1933</v>
      </c>
      <c r="S2678" s="4" t="s">
        <v>1011</v>
      </c>
      <c r="T2678" s="4" t="s">
        <v>786</v>
      </c>
      <c r="U2678" s="4"/>
      <c r="V2678" s="4"/>
      <c r="W2678" s="4"/>
    </row>
    <row r="2679" spans="1:23" customFormat="1">
      <c r="A2679" s="10"/>
      <c r="B2679" s="4"/>
      <c r="C2679" s="4"/>
      <c r="D2679" s="4"/>
      <c r="E2679" s="4"/>
      <c r="F2679" s="152" t="s">
        <v>289</v>
      </c>
      <c r="G2679" s="4" t="s">
        <v>290</v>
      </c>
      <c r="H2679" s="4"/>
      <c r="I2679" s="196">
        <v>-1890000</v>
      </c>
      <c r="J2679" s="196">
        <v>-1350</v>
      </c>
      <c r="K2679" s="196">
        <v>1400</v>
      </c>
      <c r="L2679" s="454" t="s">
        <v>1012</v>
      </c>
      <c r="M2679" s="4" t="s">
        <v>780</v>
      </c>
      <c r="N2679" s="133" t="s">
        <v>1407</v>
      </c>
      <c r="O2679" s="4" t="s">
        <v>1027</v>
      </c>
      <c r="P2679" s="4" t="s">
        <v>892</v>
      </c>
      <c r="Q2679" s="4" t="s">
        <v>1028</v>
      </c>
      <c r="R2679" s="4" t="s">
        <v>2013</v>
      </c>
      <c r="S2679" s="4" t="s">
        <v>1030</v>
      </c>
      <c r="T2679" s="4" t="s">
        <v>786</v>
      </c>
      <c r="U2679" s="4"/>
      <c r="V2679" s="4"/>
      <c r="W2679" s="4"/>
    </row>
    <row r="2680" spans="1:23" customFormat="1">
      <c r="A2680" s="10"/>
      <c r="B2680" s="4"/>
      <c r="C2680" s="4"/>
      <c r="D2680" s="4"/>
      <c r="E2680" s="4"/>
      <c r="F2680" s="152" t="s">
        <v>289</v>
      </c>
      <c r="G2680" s="4" t="s">
        <v>290</v>
      </c>
      <c r="H2680" s="4"/>
      <c r="I2680" s="196">
        <v>-852000</v>
      </c>
      <c r="J2680" s="196">
        <v>-600</v>
      </c>
      <c r="K2680" s="196">
        <v>1420</v>
      </c>
      <c r="L2680" s="454" t="s">
        <v>1012</v>
      </c>
      <c r="M2680" s="4" t="s">
        <v>780</v>
      </c>
      <c r="N2680" s="133" t="s">
        <v>1407</v>
      </c>
      <c r="O2680" s="4" t="s">
        <v>1027</v>
      </c>
      <c r="P2680" s="4" t="s">
        <v>892</v>
      </c>
      <c r="Q2680" s="4" t="s">
        <v>1028</v>
      </c>
      <c r="R2680" s="4" t="s">
        <v>2014</v>
      </c>
      <c r="S2680" s="4" t="s">
        <v>1030</v>
      </c>
      <c r="T2680" s="4" t="s">
        <v>786</v>
      </c>
      <c r="U2680" s="4"/>
      <c r="V2680" s="4"/>
      <c r="W2680" s="4"/>
    </row>
    <row r="2681" spans="1:23" customFormat="1">
      <c r="A2681" s="10"/>
      <c r="B2681" s="4"/>
      <c r="C2681" s="4"/>
      <c r="D2681" s="4"/>
      <c r="E2681" s="4"/>
      <c r="F2681" s="152" t="s">
        <v>289</v>
      </c>
      <c r="G2681" s="4" t="s">
        <v>290</v>
      </c>
      <c r="H2681" s="4"/>
      <c r="I2681" s="196">
        <v>-1962675</v>
      </c>
      <c r="J2681" s="196">
        <v>-1372.5</v>
      </c>
      <c r="K2681" s="196">
        <v>1430</v>
      </c>
      <c r="L2681" s="454" t="s">
        <v>1012</v>
      </c>
      <c r="M2681" s="4" t="s">
        <v>780</v>
      </c>
      <c r="N2681" s="133" t="s">
        <v>1407</v>
      </c>
      <c r="O2681" s="4" t="s">
        <v>1027</v>
      </c>
      <c r="P2681" s="4" t="s">
        <v>892</v>
      </c>
      <c r="Q2681" s="4" t="s">
        <v>1028</v>
      </c>
      <c r="R2681" s="4" t="s">
        <v>2015</v>
      </c>
      <c r="S2681" s="4" t="s">
        <v>1030</v>
      </c>
      <c r="T2681" s="4" t="s">
        <v>786</v>
      </c>
      <c r="U2681" s="4"/>
      <c r="V2681" s="4"/>
      <c r="W2681" s="4"/>
    </row>
    <row r="2682" spans="1:23" customFormat="1">
      <c r="A2682" s="10"/>
      <c r="B2682" s="4"/>
      <c r="C2682" s="4"/>
      <c r="D2682" s="4"/>
      <c r="E2682" s="4"/>
      <c r="F2682" s="152" t="s">
        <v>289</v>
      </c>
      <c r="G2682" s="4" t="s">
        <v>290</v>
      </c>
      <c r="H2682" s="4"/>
      <c r="I2682" s="196">
        <v>-674800</v>
      </c>
      <c r="J2682" s="196">
        <v>-482</v>
      </c>
      <c r="K2682" s="196">
        <v>1400</v>
      </c>
      <c r="L2682" s="454" t="s">
        <v>1012</v>
      </c>
      <c r="M2682" s="4" t="s">
        <v>780</v>
      </c>
      <c r="N2682" s="133" t="s">
        <v>1407</v>
      </c>
      <c r="O2682" s="4" t="s">
        <v>1027</v>
      </c>
      <c r="P2682" s="4" t="s">
        <v>892</v>
      </c>
      <c r="Q2682" s="4" t="s">
        <v>1028</v>
      </c>
      <c r="R2682" s="4" t="s">
        <v>2016</v>
      </c>
      <c r="S2682" s="4" t="s">
        <v>1030</v>
      </c>
      <c r="T2682" s="4" t="s">
        <v>786</v>
      </c>
      <c r="U2682" s="4"/>
      <c r="V2682" s="4"/>
      <c r="W2682" s="4"/>
    </row>
    <row r="2683" spans="1:23" customFormat="1">
      <c r="A2683" s="10"/>
      <c r="B2683" s="4"/>
      <c r="C2683" s="4"/>
      <c r="D2683" s="4"/>
      <c r="E2683" s="4"/>
      <c r="F2683" s="152" t="s">
        <v>289</v>
      </c>
      <c r="G2683" s="4" t="s">
        <v>290</v>
      </c>
      <c r="H2683" s="4"/>
      <c r="I2683" s="196">
        <v>-3710000</v>
      </c>
      <c r="J2683" s="196">
        <v>-2650</v>
      </c>
      <c r="K2683" s="196">
        <v>1400</v>
      </c>
      <c r="L2683" s="454" t="s">
        <v>1012</v>
      </c>
      <c r="M2683" s="4" t="s">
        <v>780</v>
      </c>
      <c r="N2683" s="133" t="s">
        <v>1407</v>
      </c>
      <c r="O2683" s="4" t="s">
        <v>1027</v>
      </c>
      <c r="P2683" s="4" t="s">
        <v>892</v>
      </c>
      <c r="Q2683" s="4" t="s">
        <v>1028</v>
      </c>
      <c r="R2683" s="4" t="s">
        <v>2017</v>
      </c>
      <c r="S2683" s="4" t="s">
        <v>1030</v>
      </c>
      <c r="T2683" s="4" t="s">
        <v>786</v>
      </c>
      <c r="U2683" s="4"/>
      <c r="V2683" s="4"/>
      <c r="W2683" s="4"/>
    </row>
    <row r="2684" spans="1:23" customFormat="1">
      <c r="A2684" s="10"/>
      <c r="B2684" s="4"/>
      <c r="C2684" s="4"/>
      <c r="D2684" s="4"/>
      <c r="E2684" s="4"/>
      <c r="F2684" s="152" t="s">
        <v>289</v>
      </c>
      <c r="G2684" s="4" t="s">
        <v>290</v>
      </c>
      <c r="H2684" s="4"/>
      <c r="I2684" s="196">
        <v>-3985800</v>
      </c>
      <c r="J2684" s="196">
        <v>-2847</v>
      </c>
      <c r="K2684" s="196">
        <v>1400</v>
      </c>
      <c r="L2684" s="454" t="s">
        <v>1012</v>
      </c>
      <c r="M2684" s="4" t="s">
        <v>780</v>
      </c>
      <c r="N2684" s="133" t="s">
        <v>1407</v>
      </c>
      <c r="O2684" s="4" t="s">
        <v>1027</v>
      </c>
      <c r="P2684" s="4" t="s">
        <v>892</v>
      </c>
      <c r="Q2684" s="4" t="s">
        <v>1028</v>
      </c>
      <c r="R2684" s="4" t="s">
        <v>2018</v>
      </c>
      <c r="S2684" s="4" t="s">
        <v>1030</v>
      </c>
      <c r="T2684" s="4" t="s">
        <v>786</v>
      </c>
      <c r="U2684" s="4"/>
      <c r="V2684" s="4"/>
      <c r="W2684" s="4"/>
    </row>
    <row r="2685" spans="1:23" customFormat="1">
      <c r="A2685" s="10"/>
      <c r="B2685" s="4"/>
      <c r="C2685" s="4"/>
      <c r="D2685" s="4"/>
      <c r="E2685" s="4"/>
      <c r="F2685" s="152" t="s">
        <v>289</v>
      </c>
      <c r="G2685" s="4" t="s">
        <v>290</v>
      </c>
      <c r="H2685" s="4"/>
      <c r="I2685" s="196">
        <v>852000</v>
      </c>
      <c r="J2685" s="196">
        <v>600</v>
      </c>
      <c r="K2685" s="196">
        <v>1420</v>
      </c>
      <c r="L2685" s="454" t="s">
        <v>899</v>
      </c>
      <c r="M2685" s="4" t="s">
        <v>780</v>
      </c>
      <c r="N2685" s="133" t="s">
        <v>1407</v>
      </c>
      <c r="O2685" s="4" t="s">
        <v>2161</v>
      </c>
      <c r="P2685" s="4" t="s">
        <v>892</v>
      </c>
      <c r="Q2685" s="4" t="s">
        <v>2162</v>
      </c>
      <c r="R2685" s="4" t="s">
        <v>2014</v>
      </c>
      <c r="S2685" s="4" t="s">
        <v>2163</v>
      </c>
      <c r="T2685" s="4" t="s">
        <v>786</v>
      </c>
      <c r="U2685" s="4"/>
      <c r="V2685" s="4"/>
      <c r="W2685" s="4"/>
    </row>
    <row r="2686" spans="1:23" customFormat="1">
      <c r="A2686" s="10"/>
      <c r="B2686" s="4"/>
      <c r="C2686" s="4"/>
      <c r="D2686" s="4"/>
      <c r="E2686" s="4"/>
      <c r="F2686" s="152" t="s">
        <v>289</v>
      </c>
      <c r="G2686" s="4" t="s">
        <v>290</v>
      </c>
      <c r="H2686" s="4"/>
      <c r="I2686" s="196">
        <v>-3869000</v>
      </c>
      <c r="J2686" s="196">
        <v>-2650</v>
      </c>
      <c r="K2686" s="196">
        <v>1460</v>
      </c>
      <c r="L2686" s="454" t="s">
        <v>1045</v>
      </c>
      <c r="M2686" s="4" t="s">
        <v>780</v>
      </c>
      <c r="N2686" s="133" t="s">
        <v>1407</v>
      </c>
      <c r="O2686" s="4" t="s">
        <v>2242</v>
      </c>
      <c r="P2686" s="4" t="s">
        <v>892</v>
      </c>
      <c r="Q2686" s="4" t="s">
        <v>2243</v>
      </c>
      <c r="R2686" s="4" t="s">
        <v>2244</v>
      </c>
      <c r="S2686" s="4" t="s">
        <v>2245</v>
      </c>
      <c r="T2686" s="4" t="s">
        <v>786</v>
      </c>
      <c r="U2686" s="4"/>
      <c r="V2686" s="4"/>
      <c r="W2686" s="4"/>
    </row>
    <row r="2687" spans="1:23" customFormat="1">
      <c r="A2687" s="10"/>
      <c r="B2687" s="4"/>
      <c r="C2687" s="4"/>
      <c r="D2687" s="4"/>
      <c r="E2687" s="4"/>
      <c r="F2687" s="152" t="s">
        <v>289</v>
      </c>
      <c r="G2687" s="4" t="s">
        <v>290</v>
      </c>
      <c r="H2687" s="4"/>
      <c r="I2687" s="196">
        <v>-3206250</v>
      </c>
      <c r="J2687" s="196">
        <v>-2137.5</v>
      </c>
      <c r="K2687" s="196">
        <v>1500</v>
      </c>
      <c r="L2687" s="454" t="s">
        <v>1045</v>
      </c>
      <c r="M2687" s="4" t="s">
        <v>780</v>
      </c>
      <c r="N2687" s="133" t="s">
        <v>1407</v>
      </c>
      <c r="O2687" s="4" t="s">
        <v>2242</v>
      </c>
      <c r="P2687" s="4" t="s">
        <v>892</v>
      </c>
      <c r="Q2687" s="4" t="s">
        <v>2243</v>
      </c>
      <c r="R2687" s="4" t="s">
        <v>2246</v>
      </c>
      <c r="S2687" s="4" t="s">
        <v>2245</v>
      </c>
      <c r="T2687" s="4" t="s">
        <v>786</v>
      </c>
      <c r="U2687" s="4"/>
      <c r="V2687" s="4"/>
      <c r="W2687" s="4"/>
    </row>
    <row r="2688" spans="1:23" customFormat="1">
      <c r="A2688" s="10"/>
      <c r="B2688" s="4"/>
      <c r="C2688" s="4"/>
      <c r="D2688" s="4"/>
      <c r="E2688" s="4"/>
      <c r="F2688" s="152" t="s">
        <v>289</v>
      </c>
      <c r="G2688" s="4" t="s">
        <v>290</v>
      </c>
      <c r="H2688" s="4"/>
      <c r="I2688" s="196">
        <v>-2992500</v>
      </c>
      <c r="J2688" s="196">
        <v>-2137.5</v>
      </c>
      <c r="K2688" s="196">
        <v>1400</v>
      </c>
      <c r="L2688" s="454" t="s">
        <v>1045</v>
      </c>
      <c r="M2688" s="4" t="s">
        <v>780</v>
      </c>
      <c r="N2688" s="133" t="s">
        <v>1407</v>
      </c>
      <c r="O2688" s="4" t="s">
        <v>2242</v>
      </c>
      <c r="P2688" s="4" t="s">
        <v>892</v>
      </c>
      <c r="Q2688" s="4" t="s">
        <v>2243</v>
      </c>
      <c r="R2688" s="4" t="s">
        <v>2247</v>
      </c>
      <c r="S2688" s="4" t="s">
        <v>2245</v>
      </c>
      <c r="T2688" s="4" t="s">
        <v>786</v>
      </c>
      <c r="U2688" s="4"/>
      <c r="V2688" s="4"/>
      <c r="W2688" s="4"/>
    </row>
    <row r="2689" spans="1:23" customFormat="1">
      <c r="A2689" s="10"/>
      <c r="B2689" s="4"/>
      <c r="C2689" s="4"/>
      <c r="D2689" s="4"/>
      <c r="E2689" s="4"/>
      <c r="F2689" s="152" t="s">
        <v>289</v>
      </c>
      <c r="G2689" s="4" t="s">
        <v>290</v>
      </c>
      <c r="H2689" s="4"/>
      <c r="I2689" s="196">
        <v>-10425000</v>
      </c>
      <c r="J2689" s="196">
        <v>-6950</v>
      </c>
      <c r="K2689" s="196">
        <v>1500</v>
      </c>
      <c r="L2689" s="454" t="s">
        <v>1045</v>
      </c>
      <c r="M2689" s="4" t="s">
        <v>780</v>
      </c>
      <c r="N2689" s="133" t="s">
        <v>1407</v>
      </c>
      <c r="O2689" s="4" t="s">
        <v>2242</v>
      </c>
      <c r="P2689" s="4" t="s">
        <v>892</v>
      </c>
      <c r="Q2689" s="4" t="s">
        <v>2243</v>
      </c>
      <c r="R2689" s="4" t="s">
        <v>2248</v>
      </c>
      <c r="S2689" s="4" t="s">
        <v>2245</v>
      </c>
      <c r="T2689" s="4" t="s">
        <v>786</v>
      </c>
      <c r="U2689" s="4"/>
      <c r="V2689" s="4"/>
      <c r="W2689" s="4"/>
    </row>
    <row r="2690" spans="1:23" customFormat="1">
      <c r="A2690" s="10"/>
      <c r="B2690" s="4"/>
      <c r="C2690" s="4"/>
      <c r="D2690" s="4"/>
      <c r="E2690" s="4"/>
      <c r="F2690" s="152" t="s">
        <v>289</v>
      </c>
      <c r="G2690" s="4" t="s">
        <v>290</v>
      </c>
      <c r="H2690" s="4"/>
      <c r="I2690" s="196">
        <v>-16874000</v>
      </c>
      <c r="J2690" s="196">
        <v>-11800</v>
      </c>
      <c r="K2690" s="196">
        <v>1430</v>
      </c>
      <c r="L2690" s="454" t="s">
        <v>1045</v>
      </c>
      <c r="M2690" s="4" t="s">
        <v>780</v>
      </c>
      <c r="N2690" s="133" t="s">
        <v>1407</v>
      </c>
      <c r="O2690" s="4" t="s">
        <v>2242</v>
      </c>
      <c r="P2690" s="4" t="s">
        <v>892</v>
      </c>
      <c r="Q2690" s="4" t="s">
        <v>2243</v>
      </c>
      <c r="R2690" s="4" t="s">
        <v>2249</v>
      </c>
      <c r="S2690" s="4" t="s">
        <v>2245</v>
      </c>
      <c r="T2690" s="4" t="s">
        <v>786</v>
      </c>
      <c r="U2690" s="4"/>
      <c r="V2690" s="4"/>
      <c r="W2690" s="4"/>
    </row>
    <row r="2691" spans="1:23" customFormat="1">
      <c r="A2691" s="10"/>
      <c r="B2691" s="4"/>
      <c r="C2691" s="4"/>
      <c r="D2691" s="4"/>
      <c r="E2691" s="4"/>
      <c r="F2691" s="152" t="s">
        <v>289</v>
      </c>
      <c r="G2691" s="4" t="s">
        <v>290</v>
      </c>
      <c r="H2691" s="4"/>
      <c r="I2691" s="196">
        <v>-3206250</v>
      </c>
      <c r="J2691" s="196">
        <v>-2137.5</v>
      </c>
      <c r="K2691" s="196">
        <v>1500</v>
      </c>
      <c r="L2691" s="454" t="s">
        <v>1045</v>
      </c>
      <c r="M2691" s="4" t="s">
        <v>780</v>
      </c>
      <c r="N2691" s="133" t="s">
        <v>1407</v>
      </c>
      <c r="O2691" s="4" t="s">
        <v>2242</v>
      </c>
      <c r="P2691" s="4" t="s">
        <v>892</v>
      </c>
      <c r="Q2691" s="4" t="s">
        <v>2243</v>
      </c>
      <c r="R2691" s="4" t="s">
        <v>2250</v>
      </c>
      <c r="S2691" s="4" t="s">
        <v>2245</v>
      </c>
      <c r="T2691" s="4" t="s">
        <v>786</v>
      </c>
      <c r="U2691" s="4"/>
      <c r="V2691" s="4"/>
      <c r="W2691" s="4"/>
    </row>
    <row r="2692" spans="1:23" customFormat="1">
      <c r="A2692" s="10"/>
      <c r="B2692" s="4"/>
      <c r="C2692" s="4"/>
      <c r="D2692" s="4"/>
      <c r="E2692" s="4"/>
      <c r="F2692" s="152" t="s">
        <v>289</v>
      </c>
      <c r="G2692" s="4" t="s">
        <v>290</v>
      </c>
      <c r="H2692" s="4"/>
      <c r="I2692" s="196">
        <v>-730000</v>
      </c>
      <c r="J2692" s="196">
        <v>-500</v>
      </c>
      <c r="K2692" s="196">
        <v>1460</v>
      </c>
      <c r="L2692" s="454" t="s">
        <v>1045</v>
      </c>
      <c r="M2692" s="4" t="s">
        <v>780</v>
      </c>
      <c r="N2692" s="133" t="s">
        <v>1407</v>
      </c>
      <c r="O2692" s="4" t="s">
        <v>2256</v>
      </c>
      <c r="P2692" s="4" t="s">
        <v>892</v>
      </c>
      <c r="Q2692" s="4" t="s">
        <v>2257</v>
      </c>
      <c r="R2692" s="4" t="s">
        <v>2258</v>
      </c>
      <c r="S2692" s="4" t="s">
        <v>2259</v>
      </c>
      <c r="T2692" s="4" t="s">
        <v>786</v>
      </c>
      <c r="U2692" s="4"/>
      <c r="V2692" s="4"/>
      <c r="W2692" s="4"/>
    </row>
    <row r="2693" spans="1:23" customFormat="1">
      <c r="A2693" s="10"/>
      <c r="B2693" s="4"/>
      <c r="C2693" s="4"/>
      <c r="D2693" s="4"/>
      <c r="E2693" s="4"/>
      <c r="F2693" s="152" t="s">
        <v>289</v>
      </c>
      <c r="G2693" s="4" t="s">
        <v>290</v>
      </c>
      <c r="H2693" s="4"/>
      <c r="I2693" s="196">
        <v>-2003850</v>
      </c>
      <c r="J2693" s="196">
        <v>-1372.5</v>
      </c>
      <c r="K2693" s="196">
        <v>1460</v>
      </c>
      <c r="L2693" s="454" t="s">
        <v>1045</v>
      </c>
      <c r="M2693" s="4" t="s">
        <v>780</v>
      </c>
      <c r="N2693" s="133" t="s">
        <v>1407</v>
      </c>
      <c r="O2693" s="4" t="s">
        <v>2256</v>
      </c>
      <c r="P2693" s="4" t="s">
        <v>892</v>
      </c>
      <c r="Q2693" s="4" t="s">
        <v>2257</v>
      </c>
      <c r="R2693" s="4" t="s">
        <v>2260</v>
      </c>
      <c r="S2693" s="4" t="s">
        <v>2259</v>
      </c>
      <c r="T2693" s="4" t="s">
        <v>786</v>
      </c>
      <c r="U2693" s="4"/>
      <c r="V2693" s="4"/>
      <c r="W2693" s="4"/>
    </row>
    <row r="2694" spans="1:23" customFormat="1">
      <c r="A2694" s="10"/>
      <c r="B2694" s="4"/>
      <c r="C2694" s="4"/>
      <c r="D2694" s="4"/>
      <c r="E2694" s="4"/>
      <c r="F2694" s="152" t="s">
        <v>289</v>
      </c>
      <c r="G2694" s="4" t="s">
        <v>290</v>
      </c>
      <c r="H2694" s="4"/>
      <c r="I2694" s="196">
        <v>-2927300</v>
      </c>
      <c r="J2694" s="196">
        <v>-2005</v>
      </c>
      <c r="K2694" s="196">
        <v>1460</v>
      </c>
      <c r="L2694" s="454" t="s">
        <v>1045</v>
      </c>
      <c r="M2694" s="4" t="s">
        <v>780</v>
      </c>
      <c r="N2694" s="133" t="s">
        <v>1407</v>
      </c>
      <c r="O2694" s="4" t="s">
        <v>2256</v>
      </c>
      <c r="P2694" s="4" t="s">
        <v>892</v>
      </c>
      <c r="Q2694" s="4" t="s">
        <v>2257</v>
      </c>
      <c r="R2694" s="4" t="s">
        <v>2261</v>
      </c>
      <c r="S2694" s="4" t="s">
        <v>2259</v>
      </c>
      <c r="T2694" s="4" t="s">
        <v>786</v>
      </c>
      <c r="U2694" s="4"/>
      <c r="V2694" s="4"/>
      <c r="W2694" s="4"/>
    </row>
    <row r="2695" spans="1:23" customFormat="1">
      <c r="A2695" s="10"/>
      <c r="B2695" s="4"/>
      <c r="C2695" s="4"/>
      <c r="D2695" s="4"/>
      <c r="E2695" s="4"/>
      <c r="F2695" s="152" t="s">
        <v>289</v>
      </c>
      <c r="G2695" s="4" t="s">
        <v>290</v>
      </c>
      <c r="H2695" s="4"/>
      <c r="I2695" s="196">
        <v>-4781500</v>
      </c>
      <c r="J2695" s="196">
        <v>-3275</v>
      </c>
      <c r="K2695" s="196">
        <v>1460</v>
      </c>
      <c r="L2695" s="454" t="s">
        <v>1045</v>
      </c>
      <c r="M2695" s="4" t="s">
        <v>780</v>
      </c>
      <c r="N2695" s="133" t="s">
        <v>1407</v>
      </c>
      <c r="O2695" s="4" t="s">
        <v>2256</v>
      </c>
      <c r="P2695" s="4" t="s">
        <v>892</v>
      </c>
      <c r="Q2695" s="4" t="s">
        <v>2257</v>
      </c>
      <c r="R2695" s="4" t="s">
        <v>2262</v>
      </c>
      <c r="S2695" s="4" t="s">
        <v>2259</v>
      </c>
      <c r="T2695" s="4" t="s">
        <v>786</v>
      </c>
      <c r="U2695" s="4"/>
      <c r="V2695" s="4"/>
      <c r="W2695" s="4"/>
    </row>
    <row r="2696" spans="1:23" customFormat="1">
      <c r="A2696" s="10"/>
      <c r="B2696" s="4"/>
      <c r="C2696" s="4"/>
      <c r="D2696" s="4"/>
      <c r="E2696" s="4"/>
      <c r="F2696" s="152" t="s">
        <v>289</v>
      </c>
      <c r="G2696" s="4" t="s">
        <v>290</v>
      </c>
      <c r="H2696" s="4"/>
      <c r="I2696" s="196">
        <v>-2616320</v>
      </c>
      <c r="J2696" s="196">
        <v>-1792</v>
      </c>
      <c r="K2696" s="196">
        <v>1460</v>
      </c>
      <c r="L2696" s="454" t="s">
        <v>1045</v>
      </c>
      <c r="M2696" s="4" t="s">
        <v>780</v>
      </c>
      <c r="N2696" s="133" t="s">
        <v>1407</v>
      </c>
      <c r="O2696" s="4" t="s">
        <v>2256</v>
      </c>
      <c r="P2696" s="4" t="s">
        <v>892</v>
      </c>
      <c r="Q2696" s="4" t="s">
        <v>2257</v>
      </c>
      <c r="R2696" s="4" t="s">
        <v>2264</v>
      </c>
      <c r="S2696" s="4" t="s">
        <v>2259</v>
      </c>
      <c r="T2696" s="4" t="s">
        <v>786</v>
      </c>
      <c r="U2696" s="4"/>
      <c r="V2696" s="4"/>
      <c r="W2696" s="4"/>
    </row>
    <row r="2697" spans="1:23" customFormat="1">
      <c r="A2697" s="10"/>
      <c r="B2697" s="4"/>
      <c r="C2697" s="4"/>
      <c r="D2697" s="4"/>
      <c r="E2697" s="4"/>
      <c r="F2697" s="152" t="s">
        <v>289</v>
      </c>
      <c r="G2697" s="4" t="s">
        <v>290</v>
      </c>
      <c r="H2697" s="4"/>
      <c r="I2697" s="196">
        <v>-1460000</v>
      </c>
      <c r="J2697" s="196">
        <v>-1000</v>
      </c>
      <c r="K2697" s="196">
        <v>1460</v>
      </c>
      <c r="L2697" s="454" t="s">
        <v>1045</v>
      </c>
      <c r="M2697" s="4" t="s">
        <v>780</v>
      </c>
      <c r="N2697" s="133" t="s">
        <v>1407</v>
      </c>
      <c r="O2697" s="4" t="s">
        <v>2256</v>
      </c>
      <c r="P2697" s="4" t="s">
        <v>892</v>
      </c>
      <c r="Q2697" s="4" t="s">
        <v>2257</v>
      </c>
      <c r="R2697" s="4" t="s">
        <v>2265</v>
      </c>
      <c r="S2697" s="4" t="s">
        <v>2259</v>
      </c>
      <c r="T2697" s="4" t="s">
        <v>786</v>
      </c>
      <c r="U2697" s="4"/>
      <c r="V2697" s="4"/>
      <c r="W2697" s="4"/>
    </row>
    <row r="2698" spans="1:23" customFormat="1">
      <c r="A2698" s="10"/>
      <c r="B2698" s="4"/>
      <c r="C2698" s="4"/>
      <c r="D2698" s="4"/>
      <c r="E2698" s="4"/>
      <c r="F2698" s="152" t="s">
        <v>289</v>
      </c>
      <c r="G2698" s="4" t="s">
        <v>290</v>
      </c>
      <c r="H2698" s="4"/>
      <c r="I2698" s="196">
        <v>-8340980</v>
      </c>
      <c r="J2698" s="196">
        <v>-5713</v>
      </c>
      <c r="K2698" s="196">
        <v>1460</v>
      </c>
      <c r="L2698" s="454" t="s">
        <v>1045</v>
      </c>
      <c r="M2698" s="4" t="s">
        <v>780</v>
      </c>
      <c r="N2698" s="133" t="s">
        <v>1407</v>
      </c>
      <c r="O2698" s="4" t="s">
        <v>2256</v>
      </c>
      <c r="P2698" s="4" t="s">
        <v>892</v>
      </c>
      <c r="Q2698" s="4" t="s">
        <v>2257</v>
      </c>
      <c r="R2698" s="4" t="s">
        <v>2263</v>
      </c>
      <c r="S2698" s="4" t="s">
        <v>2259</v>
      </c>
      <c r="T2698" s="4" t="s">
        <v>786</v>
      </c>
      <c r="U2698" s="4"/>
      <c r="V2698" s="4"/>
      <c r="W2698" s="4"/>
    </row>
    <row r="2699" spans="1:23" customFormat="1">
      <c r="A2699" s="10"/>
      <c r="B2699" s="4"/>
      <c r="C2699" s="4"/>
      <c r="D2699" s="4"/>
      <c r="E2699" s="4"/>
      <c r="F2699" s="152" t="s">
        <v>289</v>
      </c>
      <c r="G2699" s="4" t="s">
        <v>290</v>
      </c>
      <c r="H2699" s="4"/>
      <c r="I2699" s="196">
        <v>-2266650</v>
      </c>
      <c r="J2699" s="196">
        <v>-1552.5</v>
      </c>
      <c r="K2699" s="196">
        <v>1460</v>
      </c>
      <c r="L2699" s="454" t="s">
        <v>1045</v>
      </c>
      <c r="M2699" s="4" t="s">
        <v>780</v>
      </c>
      <c r="N2699" s="133" t="s">
        <v>1407</v>
      </c>
      <c r="O2699" s="4" t="s">
        <v>2256</v>
      </c>
      <c r="P2699" s="4" t="s">
        <v>892</v>
      </c>
      <c r="Q2699" s="4" t="s">
        <v>2257</v>
      </c>
      <c r="R2699" s="4" t="s">
        <v>2266</v>
      </c>
      <c r="S2699" s="4" t="s">
        <v>2259</v>
      </c>
      <c r="T2699" s="4" t="s">
        <v>786</v>
      </c>
      <c r="U2699" s="4"/>
      <c r="V2699" s="4"/>
      <c r="W2699" s="4"/>
    </row>
    <row r="2700" spans="1:23" customFormat="1">
      <c r="A2700" s="10"/>
      <c r="B2700" s="4"/>
      <c r="C2700" s="4"/>
      <c r="D2700" s="4"/>
      <c r="E2700" s="4"/>
      <c r="F2700" s="152" t="s">
        <v>289</v>
      </c>
      <c r="G2700" s="4" t="s">
        <v>290</v>
      </c>
      <c r="H2700" s="4"/>
      <c r="I2700" s="196">
        <v>-3959082</v>
      </c>
      <c r="J2700" s="196">
        <v>-2711.7</v>
      </c>
      <c r="K2700" s="196">
        <v>1460</v>
      </c>
      <c r="L2700" s="454" t="s">
        <v>1045</v>
      </c>
      <c r="M2700" s="4" t="s">
        <v>780</v>
      </c>
      <c r="N2700" s="133" t="s">
        <v>1407</v>
      </c>
      <c r="O2700" s="4" t="s">
        <v>2256</v>
      </c>
      <c r="P2700" s="4" t="s">
        <v>892</v>
      </c>
      <c r="Q2700" s="4" t="s">
        <v>2257</v>
      </c>
      <c r="R2700" s="4" t="s">
        <v>2267</v>
      </c>
      <c r="S2700" s="4" t="s">
        <v>2259</v>
      </c>
      <c r="T2700" s="4" t="s">
        <v>786</v>
      </c>
      <c r="U2700" s="4"/>
      <c r="V2700" s="4"/>
      <c r="W2700" s="4"/>
    </row>
    <row r="2701" spans="1:23" customFormat="1">
      <c r="A2701" s="10"/>
      <c r="B2701" s="4"/>
      <c r="C2701" s="4"/>
      <c r="D2701" s="4"/>
      <c r="E2701" s="4"/>
      <c r="F2701" s="152" t="s">
        <v>289</v>
      </c>
      <c r="G2701" s="4" t="s">
        <v>290</v>
      </c>
      <c r="H2701" s="4"/>
      <c r="I2701" s="196">
        <v>-12161800</v>
      </c>
      <c r="J2701" s="196">
        <v>-8330</v>
      </c>
      <c r="K2701" s="196">
        <v>1460</v>
      </c>
      <c r="L2701" s="454" t="s">
        <v>1045</v>
      </c>
      <c r="M2701" s="4" t="s">
        <v>780</v>
      </c>
      <c r="N2701" s="133" t="s">
        <v>1407</v>
      </c>
      <c r="O2701" s="4" t="s">
        <v>2256</v>
      </c>
      <c r="P2701" s="4" t="s">
        <v>892</v>
      </c>
      <c r="Q2701" s="4" t="s">
        <v>2257</v>
      </c>
      <c r="R2701" s="4" t="s">
        <v>2258</v>
      </c>
      <c r="S2701" s="4" t="s">
        <v>2259</v>
      </c>
      <c r="T2701" s="4" t="s">
        <v>786</v>
      </c>
      <c r="U2701" s="4"/>
      <c r="V2701" s="4"/>
      <c r="W2701" s="4"/>
    </row>
    <row r="2702" spans="1:23" customFormat="1">
      <c r="A2702" s="10"/>
      <c r="B2702" s="4"/>
      <c r="C2702" s="4"/>
      <c r="D2702" s="4"/>
      <c r="E2702" s="4"/>
      <c r="F2702" s="152" t="s">
        <v>289</v>
      </c>
      <c r="G2702" s="4" t="s">
        <v>290</v>
      </c>
      <c r="H2702" s="4"/>
      <c r="I2702" s="196">
        <v>569400</v>
      </c>
      <c r="J2702" s="196">
        <v>390</v>
      </c>
      <c r="K2702" s="196">
        <v>1460</v>
      </c>
      <c r="L2702" s="454" t="s">
        <v>1045</v>
      </c>
      <c r="M2702" s="4"/>
      <c r="N2702" s="133" t="s">
        <v>1407</v>
      </c>
      <c r="O2702" s="4"/>
      <c r="P2702" s="4" t="s">
        <v>2311</v>
      </c>
      <c r="Q2702" s="4" t="s">
        <v>2314</v>
      </c>
      <c r="R2702" s="4"/>
      <c r="S2702" s="4" t="s">
        <v>2313</v>
      </c>
      <c r="T2702" s="4" t="s">
        <v>786</v>
      </c>
      <c r="U2702" s="4"/>
      <c r="V2702" s="4"/>
      <c r="W2702" s="4"/>
    </row>
    <row r="2703" spans="1:23" customFormat="1">
      <c r="A2703" s="10"/>
      <c r="B2703" s="4"/>
      <c r="C2703" s="4"/>
      <c r="D2703" s="4"/>
      <c r="E2703" s="4"/>
      <c r="F2703" s="152" t="s">
        <v>289</v>
      </c>
      <c r="G2703" s="4" t="s">
        <v>290</v>
      </c>
      <c r="H2703" s="4"/>
      <c r="I2703" s="196">
        <v>569400</v>
      </c>
      <c r="J2703" s="196">
        <v>390</v>
      </c>
      <c r="K2703" s="196">
        <v>1460</v>
      </c>
      <c r="L2703" s="454" t="s">
        <v>1045</v>
      </c>
      <c r="M2703" s="4"/>
      <c r="N2703" s="133" t="s">
        <v>1407</v>
      </c>
      <c r="O2703" s="4"/>
      <c r="P2703" s="4" t="s">
        <v>2311</v>
      </c>
      <c r="Q2703" s="4" t="s">
        <v>2314</v>
      </c>
      <c r="R2703" s="4"/>
      <c r="S2703" s="4" t="s">
        <v>2313</v>
      </c>
      <c r="T2703" s="4" t="s">
        <v>786</v>
      </c>
      <c r="U2703" s="4"/>
      <c r="V2703" s="4"/>
      <c r="W2703" s="4"/>
    </row>
    <row r="2704" spans="1:23" customFormat="1">
      <c r="A2704" s="10"/>
      <c r="B2704" s="4"/>
      <c r="C2704" s="4"/>
      <c r="D2704" s="4"/>
      <c r="E2704" s="4"/>
      <c r="F2704" s="152" t="s">
        <v>289</v>
      </c>
      <c r="G2704" s="4" t="s">
        <v>290</v>
      </c>
      <c r="H2704" s="4"/>
      <c r="I2704" s="196">
        <v>569400</v>
      </c>
      <c r="J2704" s="196">
        <v>390</v>
      </c>
      <c r="K2704" s="196">
        <v>1460</v>
      </c>
      <c r="L2704" s="454" t="s">
        <v>1045</v>
      </c>
      <c r="M2704" s="4"/>
      <c r="N2704" s="133" t="s">
        <v>1407</v>
      </c>
      <c r="O2704" s="4"/>
      <c r="P2704" s="4" t="s">
        <v>2311</v>
      </c>
      <c r="Q2704" s="4" t="s">
        <v>2315</v>
      </c>
      <c r="R2704" s="4"/>
      <c r="S2704" s="4" t="s">
        <v>2313</v>
      </c>
      <c r="T2704" s="4" t="s">
        <v>786</v>
      </c>
      <c r="U2704" s="4"/>
      <c r="V2704" s="4"/>
      <c r="W2704" s="4"/>
    </row>
    <row r="2705" spans="1:23" customFormat="1">
      <c r="A2705" s="10"/>
      <c r="B2705" s="4"/>
      <c r="C2705" s="4"/>
      <c r="D2705" s="4"/>
      <c r="E2705" s="4"/>
      <c r="F2705" s="152" t="s">
        <v>289</v>
      </c>
      <c r="G2705" s="4" t="s">
        <v>290</v>
      </c>
      <c r="H2705" s="4"/>
      <c r="I2705" s="196">
        <v>569400</v>
      </c>
      <c r="J2705" s="196">
        <v>390</v>
      </c>
      <c r="K2705" s="196">
        <v>1460</v>
      </c>
      <c r="L2705" s="454" t="s">
        <v>1045</v>
      </c>
      <c r="M2705" s="4"/>
      <c r="N2705" s="133" t="s">
        <v>1407</v>
      </c>
      <c r="O2705" s="4"/>
      <c r="P2705" s="4" t="s">
        <v>2311</v>
      </c>
      <c r="Q2705" s="4" t="s">
        <v>2315</v>
      </c>
      <c r="R2705" s="4"/>
      <c r="S2705" s="4" t="s">
        <v>2313</v>
      </c>
      <c r="T2705" s="4" t="s">
        <v>786</v>
      </c>
      <c r="U2705" s="4"/>
      <c r="V2705" s="4"/>
      <c r="W2705" s="4"/>
    </row>
    <row r="2706" spans="1:23" customFormat="1">
      <c r="A2706" s="10"/>
      <c r="B2706" s="4"/>
      <c r="C2706" s="4"/>
      <c r="D2706" s="4"/>
      <c r="E2706" s="4"/>
      <c r="F2706" s="152" t="s">
        <v>289</v>
      </c>
      <c r="G2706" s="4" t="s">
        <v>290</v>
      </c>
      <c r="H2706" s="4"/>
      <c r="I2706" s="196">
        <v>569400</v>
      </c>
      <c r="J2706" s="196">
        <v>390</v>
      </c>
      <c r="K2706" s="196">
        <v>1460</v>
      </c>
      <c r="L2706" s="454" t="s">
        <v>1045</v>
      </c>
      <c r="M2706" s="4"/>
      <c r="N2706" s="133" t="s">
        <v>1407</v>
      </c>
      <c r="O2706" s="4"/>
      <c r="P2706" s="4" t="s">
        <v>2311</v>
      </c>
      <c r="Q2706" s="4" t="s">
        <v>2315</v>
      </c>
      <c r="R2706" s="4"/>
      <c r="S2706" s="4" t="s">
        <v>2313</v>
      </c>
      <c r="T2706" s="4" t="s">
        <v>786</v>
      </c>
      <c r="U2706" s="4"/>
      <c r="V2706" s="4"/>
      <c r="W2706" s="4"/>
    </row>
    <row r="2707" spans="1:23" customFormat="1">
      <c r="A2707" s="10"/>
      <c r="B2707" s="4"/>
      <c r="C2707" s="4"/>
      <c r="D2707" s="4"/>
      <c r="E2707" s="4"/>
      <c r="F2707" s="152" t="s">
        <v>289</v>
      </c>
      <c r="G2707" s="4" t="s">
        <v>290</v>
      </c>
      <c r="H2707" s="4"/>
      <c r="I2707" s="196">
        <v>569400</v>
      </c>
      <c r="J2707" s="196">
        <v>390</v>
      </c>
      <c r="K2707" s="196">
        <v>1460</v>
      </c>
      <c r="L2707" s="454" t="s">
        <v>1045</v>
      </c>
      <c r="M2707" s="4"/>
      <c r="N2707" s="133" t="s">
        <v>1407</v>
      </c>
      <c r="O2707" s="4"/>
      <c r="P2707" s="4" t="s">
        <v>2311</v>
      </c>
      <c r="Q2707" s="4" t="s">
        <v>2315</v>
      </c>
      <c r="R2707" s="4"/>
      <c r="S2707" s="4" t="s">
        <v>2313</v>
      </c>
      <c r="T2707" s="4" t="s">
        <v>786</v>
      </c>
      <c r="U2707" s="4"/>
      <c r="V2707" s="4"/>
      <c r="W2707" s="4"/>
    </row>
    <row r="2708" spans="1:23" customFormat="1">
      <c r="A2708" s="10"/>
      <c r="B2708" s="4"/>
      <c r="C2708" s="4"/>
      <c r="D2708" s="4"/>
      <c r="E2708" s="4"/>
      <c r="F2708" s="152" t="s">
        <v>289</v>
      </c>
      <c r="G2708" s="4" t="s">
        <v>290</v>
      </c>
      <c r="H2708" s="4"/>
      <c r="I2708" s="196">
        <v>569400</v>
      </c>
      <c r="J2708" s="196">
        <v>390</v>
      </c>
      <c r="K2708" s="196">
        <v>1460</v>
      </c>
      <c r="L2708" s="454" t="s">
        <v>1045</v>
      </c>
      <c r="M2708" s="4"/>
      <c r="N2708" s="133" t="s">
        <v>1407</v>
      </c>
      <c r="O2708" s="4"/>
      <c r="P2708" s="4" t="s">
        <v>2311</v>
      </c>
      <c r="Q2708" s="4" t="s">
        <v>2315</v>
      </c>
      <c r="R2708" s="4"/>
      <c r="S2708" s="4" t="s">
        <v>2313</v>
      </c>
      <c r="T2708" s="4" t="s">
        <v>786</v>
      </c>
      <c r="U2708" s="4"/>
      <c r="V2708" s="4"/>
      <c r="W2708" s="4"/>
    </row>
    <row r="2709" spans="1:23" customFormat="1">
      <c r="A2709" s="10"/>
      <c r="B2709" s="4"/>
      <c r="C2709" s="4"/>
      <c r="D2709" s="4"/>
      <c r="E2709" s="4"/>
      <c r="F2709" s="152" t="s">
        <v>289</v>
      </c>
      <c r="G2709" s="4" t="s">
        <v>290</v>
      </c>
      <c r="H2709" s="4"/>
      <c r="I2709" s="196">
        <v>569400</v>
      </c>
      <c r="J2709" s="196">
        <v>390</v>
      </c>
      <c r="K2709" s="196">
        <v>1460</v>
      </c>
      <c r="L2709" s="454" t="s">
        <v>1045</v>
      </c>
      <c r="M2709" s="4"/>
      <c r="N2709" s="133" t="s">
        <v>1407</v>
      </c>
      <c r="O2709" s="4"/>
      <c r="P2709" s="4" t="s">
        <v>2311</v>
      </c>
      <c r="Q2709" s="4" t="s">
        <v>2315</v>
      </c>
      <c r="R2709" s="4"/>
      <c r="S2709" s="4" t="s">
        <v>2313</v>
      </c>
      <c r="T2709" s="4" t="s">
        <v>786</v>
      </c>
      <c r="U2709" s="4"/>
      <c r="V2709" s="4"/>
      <c r="W2709" s="4"/>
    </row>
    <row r="2710" spans="1:23" customFormat="1">
      <c r="A2710" s="10"/>
      <c r="B2710" s="4"/>
      <c r="C2710" s="4"/>
      <c r="D2710" s="4"/>
      <c r="E2710" s="4"/>
      <c r="F2710" s="152" t="s">
        <v>289</v>
      </c>
      <c r="G2710" s="4" t="s">
        <v>290</v>
      </c>
      <c r="H2710" s="4"/>
      <c r="I2710" s="196">
        <v>569400</v>
      </c>
      <c r="J2710" s="196">
        <v>390</v>
      </c>
      <c r="K2710" s="196">
        <v>1460</v>
      </c>
      <c r="L2710" s="454" t="s">
        <v>1045</v>
      </c>
      <c r="M2710" s="4"/>
      <c r="N2710" s="133" t="s">
        <v>1407</v>
      </c>
      <c r="O2710" s="4"/>
      <c r="P2710" s="4" t="s">
        <v>2311</v>
      </c>
      <c r="Q2710" s="4" t="s">
        <v>2315</v>
      </c>
      <c r="R2710" s="4"/>
      <c r="S2710" s="4" t="s">
        <v>2313</v>
      </c>
      <c r="T2710" s="4" t="s">
        <v>786</v>
      </c>
      <c r="U2710" s="4"/>
      <c r="V2710" s="4"/>
      <c r="W2710" s="4"/>
    </row>
    <row r="2711" spans="1:23" customFormat="1">
      <c r="A2711" s="10"/>
      <c r="B2711" s="4"/>
      <c r="C2711" s="4"/>
      <c r="D2711" s="4"/>
      <c r="E2711" s="4"/>
      <c r="F2711" s="152" t="s">
        <v>289</v>
      </c>
      <c r="G2711" s="4" t="s">
        <v>290</v>
      </c>
      <c r="H2711" s="4"/>
      <c r="I2711" s="196">
        <v>408070</v>
      </c>
      <c r="J2711" s="196">
        <v>279.5</v>
      </c>
      <c r="K2711" s="196">
        <v>1460</v>
      </c>
      <c r="L2711" s="454" t="s">
        <v>1045</v>
      </c>
      <c r="M2711" s="4"/>
      <c r="N2711" s="133" t="s">
        <v>1407</v>
      </c>
      <c r="O2711" s="4"/>
      <c r="P2711" s="4" t="s">
        <v>2311</v>
      </c>
      <c r="Q2711" s="4" t="s">
        <v>2312</v>
      </c>
      <c r="R2711" s="4"/>
      <c r="S2711" s="4" t="s">
        <v>2313</v>
      </c>
      <c r="T2711" s="4" t="s">
        <v>786</v>
      </c>
      <c r="U2711" s="4"/>
      <c r="V2711" s="4"/>
      <c r="W2711" s="4"/>
    </row>
    <row r="2712" spans="1:23" customFormat="1">
      <c r="A2712" s="10"/>
      <c r="B2712" s="4"/>
      <c r="C2712" s="4"/>
      <c r="D2712" s="4"/>
      <c r="E2712" s="4"/>
      <c r="F2712" s="152" t="s">
        <v>289</v>
      </c>
      <c r="G2712" s="4" t="s">
        <v>290</v>
      </c>
      <c r="H2712" s="4"/>
      <c r="I2712" s="196">
        <v>569400</v>
      </c>
      <c r="J2712" s="196">
        <v>390</v>
      </c>
      <c r="K2712" s="196">
        <v>1460</v>
      </c>
      <c r="L2712" s="454" t="s">
        <v>1045</v>
      </c>
      <c r="M2712" s="4"/>
      <c r="N2712" s="133" t="s">
        <v>1407</v>
      </c>
      <c r="O2712" s="4"/>
      <c r="P2712" s="4" t="s">
        <v>2311</v>
      </c>
      <c r="Q2712" s="4" t="s">
        <v>2314</v>
      </c>
      <c r="R2712" s="4"/>
      <c r="S2712" s="4" t="s">
        <v>2313</v>
      </c>
      <c r="T2712" s="4" t="s">
        <v>786</v>
      </c>
      <c r="U2712" s="4"/>
      <c r="V2712" s="4"/>
      <c r="W2712" s="4"/>
    </row>
    <row r="2713" spans="1:23" customFormat="1">
      <c r="A2713" s="10"/>
      <c r="B2713" s="4"/>
      <c r="C2713" s="4"/>
      <c r="D2713" s="4"/>
      <c r="E2713" s="4"/>
      <c r="F2713" s="152" t="s">
        <v>289</v>
      </c>
      <c r="G2713" s="4" t="s">
        <v>290</v>
      </c>
      <c r="H2713" s="4"/>
      <c r="I2713" s="196">
        <v>569400</v>
      </c>
      <c r="J2713" s="196">
        <v>390</v>
      </c>
      <c r="K2713" s="196">
        <v>1460</v>
      </c>
      <c r="L2713" s="454" t="s">
        <v>1045</v>
      </c>
      <c r="M2713" s="4"/>
      <c r="N2713" s="133" t="s">
        <v>1407</v>
      </c>
      <c r="O2713" s="4"/>
      <c r="P2713" s="4" t="s">
        <v>2311</v>
      </c>
      <c r="Q2713" s="4" t="s">
        <v>2315</v>
      </c>
      <c r="R2713" s="4"/>
      <c r="S2713" s="4" t="s">
        <v>2313</v>
      </c>
      <c r="T2713" s="4" t="s">
        <v>786</v>
      </c>
      <c r="U2713" s="4"/>
      <c r="V2713" s="4"/>
      <c r="W2713" s="4"/>
    </row>
    <row r="2714" spans="1:23" customFormat="1">
      <c r="A2714" s="10"/>
      <c r="B2714" s="4"/>
      <c r="C2714" s="4"/>
      <c r="D2714" s="4"/>
      <c r="E2714" s="4"/>
      <c r="F2714" s="152" t="s">
        <v>289</v>
      </c>
      <c r="G2714" s="4" t="s">
        <v>290</v>
      </c>
      <c r="H2714" s="4"/>
      <c r="I2714" s="196">
        <v>569400</v>
      </c>
      <c r="J2714" s="196">
        <v>390</v>
      </c>
      <c r="K2714" s="196">
        <v>1460</v>
      </c>
      <c r="L2714" s="454" t="s">
        <v>1045</v>
      </c>
      <c r="M2714" s="4"/>
      <c r="N2714" s="133" t="s">
        <v>1407</v>
      </c>
      <c r="O2714" s="4"/>
      <c r="P2714" s="4" t="s">
        <v>2311</v>
      </c>
      <c r="Q2714" s="4" t="s">
        <v>2315</v>
      </c>
      <c r="R2714" s="4"/>
      <c r="S2714" s="4" t="s">
        <v>2313</v>
      </c>
      <c r="T2714" s="4" t="s">
        <v>786</v>
      </c>
      <c r="U2714" s="4"/>
      <c r="V2714" s="4"/>
      <c r="W2714" s="4"/>
    </row>
    <row r="2715" spans="1:23" customFormat="1">
      <c r="A2715" s="10"/>
      <c r="B2715" s="4"/>
      <c r="C2715" s="4"/>
      <c r="D2715" s="4"/>
      <c r="E2715" s="4"/>
      <c r="F2715" s="152" t="s">
        <v>289</v>
      </c>
      <c r="G2715" s="4" t="s">
        <v>290</v>
      </c>
      <c r="H2715" s="4"/>
      <c r="I2715" s="196">
        <v>569400</v>
      </c>
      <c r="J2715" s="196">
        <v>390</v>
      </c>
      <c r="K2715" s="196">
        <v>1460</v>
      </c>
      <c r="L2715" s="454" t="s">
        <v>1045</v>
      </c>
      <c r="M2715" s="4"/>
      <c r="N2715" s="133" t="s">
        <v>1407</v>
      </c>
      <c r="O2715" s="4"/>
      <c r="P2715" s="4" t="s">
        <v>2311</v>
      </c>
      <c r="Q2715" s="4" t="s">
        <v>2315</v>
      </c>
      <c r="R2715" s="4"/>
      <c r="S2715" s="4" t="s">
        <v>2313</v>
      </c>
      <c r="T2715" s="4" t="s">
        <v>786</v>
      </c>
      <c r="U2715" s="4"/>
      <c r="V2715" s="4"/>
      <c r="W2715" s="4"/>
    </row>
    <row r="2716" spans="1:23" customFormat="1">
      <c r="A2716" s="10"/>
      <c r="B2716" s="4"/>
      <c r="C2716" s="4"/>
      <c r="D2716" s="4"/>
      <c r="E2716" s="4"/>
      <c r="F2716" s="152" t="s">
        <v>289</v>
      </c>
      <c r="G2716" s="4" t="s">
        <v>290</v>
      </c>
      <c r="H2716" s="4"/>
      <c r="I2716" s="196">
        <v>569400</v>
      </c>
      <c r="J2716" s="196">
        <v>390</v>
      </c>
      <c r="K2716" s="196">
        <v>1460</v>
      </c>
      <c r="L2716" s="454" t="s">
        <v>1045</v>
      </c>
      <c r="M2716" s="4"/>
      <c r="N2716" s="133" t="s">
        <v>1407</v>
      </c>
      <c r="O2716" s="4"/>
      <c r="P2716" s="4" t="s">
        <v>2311</v>
      </c>
      <c r="Q2716" s="4" t="s">
        <v>2315</v>
      </c>
      <c r="R2716" s="4"/>
      <c r="S2716" s="4" t="s">
        <v>2313</v>
      </c>
      <c r="T2716" s="4" t="s">
        <v>786</v>
      </c>
      <c r="U2716" s="4"/>
      <c r="V2716" s="4"/>
      <c r="W2716" s="4"/>
    </row>
    <row r="2717" spans="1:23" customFormat="1">
      <c r="A2717" s="10"/>
      <c r="B2717" s="4"/>
      <c r="C2717" s="4"/>
      <c r="D2717" s="4"/>
      <c r="E2717" s="4"/>
      <c r="F2717" s="152" t="s">
        <v>289</v>
      </c>
      <c r="G2717" s="4" t="s">
        <v>290</v>
      </c>
      <c r="H2717" s="4"/>
      <c r="I2717" s="196">
        <v>569400</v>
      </c>
      <c r="J2717" s="196">
        <v>390</v>
      </c>
      <c r="K2717" s="196">
        <v>1460</v>
      </c>
      <c r="L2717" s="454" t="s">
        <v>1045</v>
      </c>
      <c r="M2717" s="4"/>
      <c r="N2717" s="133" t="s">
        <v>1407</v>
      </c>
      <c r="O2717" s="4"/>
      <c r="P2717" s="4" t="s">
        <v>2311</v>
      </c>
      <c r="Q2717" s="4" t="s">
        <v>2315</v>
      </c>
      <c r="R2717" s="4"/>
      <c r="S2717" s="4" t="s">
        <v>2313</v>
      </c>
      <c r="T2717" s="4" t="s">
        <v>786</v>
      </c>
      <c r="U2717" s="4"/>
      <c r="V2717" s="4"/>
      <c r="W2717" s="4"/>
    </row>
    <row r="2718" spans="1:23" customFormat="1">
      <c r="A2718" s="10"/>
      <c r="B2718" s="4"/>
      <c r="C2718" s="4"/>
      <c r="D2718" s="4"/>
      <c r="E2718" s="4"/>
      <c r="F2718" s="152" t="s">
        <v>289</v>
      </c>
      <c r="G2718" s="4" t="s">
        <v>290</v>
      </c>
      <c r="H2718" s="4"/>
      <c r="I2718" s="196">
        <v>-4686600</v>
      </c>
      <c r="J2718" s="196">
        <v>-3210</v>
      </c>
      <c r="K2718" s="196">
        <v>1460</v>
      </c>
      <c r="L2718" s="454" t="s">
        <v>1109</v>
      </c>
      <c r="M2718" s="4" t="s">
        <v>780</v>
      </c>
      <c r="N2718" s="133" t="s">
        <v>1407</v>
      </c>
      <c r="O2718" s="4" t="s">
        <v>1190</v>
      </c>
      <c r="P2718" s="4" t="s">
        <v>892</v>
      </c>
      <c r="Q2718" s="4" t="s">
        <v>1191</v>
      </c>
      <c r="R2718" s="4" t="s">
        <v>2442</v>
      </c>
      <c r="S2718" s="4" t="s">
        <v>1193</v>
      </c>
      <c r="T2718" s="4" t="s">
        <v>786</v>
      </c>
      <c r="U2718" s="4"/>
      <c r="V2718" s="4"/>
      <c r="W2718" s="4"/>
    </row>
    <row r="2719" spans="1:23" customFormat="1">
      <c r="A2719" s="10"/>
      <c r="B2719" s="4"/>
      <c r="C2719" s="4"/>
      <c r="D2719" s="4"/>
      <c r="E2719" s="4"/>
      <c r="F2719" s="152" t="s">
        <v>289</v>
      </c>
      <c r="G2719" s="4" t="s">
        <v>290</v>
      </c>
      <c r="H2719" s="4"/>
      <c r="I2719" s="196">
        <v>-6285300</v>
      </c>
      <c r="J2719" s="196">
        <v>-4305</v>
      </c>
      <c r="K2719" s="196">
        <v>1460</v>
      </c>
      <c r="L2719" s="454" t="s">
        <v>1109</v>
      </c>
      <c r="M2719" s="4" t="s">
        <v>780</v>
      </c>
      <c r="N2719" s="133" t="s">
        <v>1407</v>
      </c>
      <c r="O2719" s="4" t="s">
        <v>1190</v>
      </c>
      <c r="P2719" s="4" t="s">
        <v>892</v>
      </c>
      <c r="Q2719" s="4" t="s">
        <v>1191</v>
      </c>
      <c r="R2719" s="4" t="s">
        <v>2443</v>
      </c>
      <c r="S2719" s="4" t="s">
        <v>1193</v>
      </c>
      <c r="T2719" s="4" t="s">
        <v>786</v>
      </c>
      <c r="U2719" s="4"/>
      <c r="V2719" s="4"/>
      <c r="W2719" s="4"/>
    </row>
    <row r="2720" spans="1:23" customFormat="1">
      <c r="A2720" s="10"/>
      <c r="B2720" s="4"/>
      <c r="C2720" s="4"/>
      <c r="D2720" s="4"/>
      <c r="E2720" s="4"/>
      <c r="F2720" s="152" t="s">
        <v>289</v>
      </c>
      <c r="G2720" s="4" t="s">
        <v>290</v>
      </c>
      <c r="H2720" s="4"/>
      <c r="I2720" s="196">
        <v>-985500</v>
      </c>
      <c r="J2720" s="196">
        <v>-675</v>
      </c>
      <c r="K2720" s="196">
        <v>1460</v>
      </c>
      <c r="L2720" s="454" t="s">
        <v>1109</v>
      </c>
      <c r="M2720" s="4" t="s">
        <v>780</v>
      </c>
      <c r="N2720" s="133" t="s">
        <v>1407</v>
      </c>
      <c r="O2720" s="4" t="s">
        <v>1190</v>
      </c>
      <c r="P2720" s="4" t="s">
        <v>892</v>
      </c>
      <c r="Q2720" s="4" t="s">
        <v>1191</v>
      </c>
      <c r="R2720" s="4" t="s">
        <v>2444</v>
      </c>
      <c r="S2720" s="4" t="s">
        <v>1193</v>
      </c>
      <c r="T2720" s="4" t="s">
        <v>786</v>
      </c>
      <c r="U2720" s="4"/>
      <c r="V2720" s="4"/>
      <c r="W2720" s="4"/>
    </row>
    <row r="2721" spans="1:23" customFormat="1">
      <c r="A2721" s="10"/>
      <c r="B2721" s="4"/>
      <c r="C2721" s="4"/>
      <c r="D2721" s="4"/>
      <c r="E2721" s="4"/>
      <c r="F2721" s="152" t="s">
        <v>289</v>
      </c>
      <c r="G2721" s="4" t="s">
        <v>290</v>
      </c>
      <c r="H2721" s="4"/>
      <c r="I2721" s="196">
        <v>-4572400</v>
      </c>
      <c r="J2721" s="196">
        <v>-3220</v>
      </c>
      <c r="K2721" s="196">
        <v>1420</v>
      </c>
      <c r="L2721" s="454" t="s">
        <v>1109</v>
      </c>
      <c r="M2721" s="4" t="s">
        <v>780</v>
      </c>
      <c r="N2721" s="133" t="s">
        <v>1407</v>
      </c>
      <c r="O2721" s="4" t="s">
        <v>1190</v>
      </c>
      <c r="P2721" s="4" t="s">
        <v>892</v>
      </c>
      <c r="Q2721" s="4" t="s">
        <v>1191</v>
      </c>
      <c r="R2721" s="4" t="s">
        <v>2445</v>
      </c>
      <c r="S2721" s="4" t="s">
        <v>1193</v>
      </c>
      <c r="T2721" s="4" t="s">
        <v>786</v>
      </c>
      <c r="U2721" s="4"/>
      <c r="V2721" s="4"/>
      <c r="W2721" s="4"/>
    </row>
    <row r="2722" spans="1:23" customFormat="1">
      <c r="A2722" s="10"/>
      <c r="B2722" s="4"/>
      <c r="C2722" s="4"/>
      <c r="D2722" s="4"/>
      <c r="E2722" s="4"/>
      <c r="F2722" s="152" t="s">
        <v>289</v>
      </c>
      <c r="G2722" s="4" t="s">
        <v>290</v>
      </c>
      <c r="H2722" s="4"/>
      <c r="I2722" s="196">
        <v>-4686600</v>
      </c>
      <c r="J2722" s="196">
        <v>-3210</v>
      </c>
      <c r="K2722" s="196">
        <v>1460</v>
      </c>
      <c r="L2722" s="454" t="s">
        <v>1109</v>
      </c>
      <c r="M2722" s="4" t="s">
        <v>780</v>
      </c>
      <c r="N2722" s="133" t="s">
        <v>1407</v>
      </c>
      <c r="O2722" s="4" t="s">
        <v>1190</v>
      </c>
      <c r="P2722" s="4" t="s">
        <v>892</v>
      </c>
      <c r="Q2722" s="4" t="s">
        <v>1191</v>
      </c>
      <c r="R2722" s="4" t="s">
        <v>2446</v>
      </c>
      <c r="S2722" s="4" t="s">
        <v>1193</v>
      </c>
      <c r="T2722" s="4" t="s">
        <v>786</v>
      </c>
      <c r="U2722" s="4"/>
      <c r="V2722" s="4"/>
      <c r="W2722" s="4"/>
    </row>
    <row r="2723" spans="1:23" customFormat="1">
      <c r="A2723" s="10"/>
      <c r="B2723" s="4"/>
      <c r="C2723" s="4"/>
      <c r="D2723" s="4"/>
      <c r="E2723" s="4"/>
      <c r="F2723" s="152" t="s">
        <v>289</v>
      </c>
      <c r="G2723" s="4" t="s">
        <v>290</v>
      </c>
      <c r="H2723" s="4"/>
      <c r="I2723" s="196">
        <v>-6285300</v>
      </c>
      <c r="J2723" s="196">
        <v>-4305</v>
      </c>
      <c r="K2723" s="196">
        <v>1460</v>
      </c>
      <c r="L2723" s="454" t="s">
        <v>1109</v>
      </c>
      <c r="M2723" s="4" t="s">
        <v>780</v>
      </c>
      <c r="N2723" s="133" t="s">
        <v>1407</v>
      </c>
      <c r="O2723" s="4" t="s">
        <v>1190</v>
      </c>
      <c r="P2723" s="4" t="s">
        <v>892</v>
      </c>
      <c r="Q2723" s="4" t="s">
        <v>1191</v>
      </c>
      <c r="R2723" s="4" t="s">
        <v>2447</v>
      </c>
      <c r="S2723" s="4" t="s">
        <v>1193</v>
      </c>
      <c r="T2723" s="4" t="s">
        <v>786</v>
      </c>
      <c r="U2723" s="4"/>
      <c r="V2723" s="4"/>
      <c r="W2723" s="4"/>
    </row>
    <row r="2724" spans="1:23" customFormat="1">
      <c r="A2724" s="10"/>
      <c r="B2724" s="4"/>
      <c r="C2724" s="4"/>
      <c r="D2724" s="4"/>
      <c r="E2724" s="4"/>
      <c r="F2724" s="152" t="s">
        <v>289</v>
      </c>
      <c r="G2724" s="4" t="s">
        <v>290</v>
      </c>
      <c r="H2724" s="4"/>
      <c r="I2724" s="196">
        <v>-2591500</v>
      </c>
      <c r="J2724" s="196">
        <v>-1775</v>
      </c>
      <c r="K2724" s="196">
        <v>1460</v>
      </c>
      <c r="L2724" s="454" t="s">
        <v>1109</v>
      </c>
      <c r="M2724" s="4" t="s">
        <v>780</v>
      </c>
      <c r="N2724" s="133" t="s">
        <v>1407</v>
      </c>
      <c r="O2724" s="4" t="s">
        <v>1190</v>
      </c>
      <c r="P2724" s="4" t="s">
        <v>892</v>
      </c>
      <c r="Q2724" s="4" t="s">
        <v>1191</v>
      </c>
      <c r="R2724" s="4" t="s">
        <v>2448</v>
      </c>
      <c r="S2724" s="4" t="s">
        <v>1193</v>
      </c>
      <c r="T2724" s="4" t="s">
        <v>786</v>
      </c>
      <c r="U2724" s="4"/>
      <c r="V2724" s="4"/>
      <c r="W2724" s="4"/>
    </row>
    <row r="2725" spans="1:23" customFormat="1">
      <c r="A2725" s="10"/>
      <c r="B2725" s="4"/>
      <c r="C2725" s="4"/>
      <c r="D2725" s="4"/>
      <c r="E2725" s="4"/>
      <c r="F2725" s="152" t="s">
        <v>289</v>
      </c>
      <c r="G2725" s="4" t="s">
        <v>290</v>
      </c>
      <c r="H2725" s="4"/>
      <c r="I2725" s="196">
        <v>-985500</v>
      </c>
      <c r="J2725" s="196">
        <v>-675</v>
      </c>
      <c r="K2725" s="196">
        <v>1460</v>
      </c>
      <c r="L2725" s="454" t="s">
        <v>1109</v>
      </c>
      <c r="M2725" s="4" t="s">
        <v>780</v>
      </c>
      <c r="N2725" s="133" t="s">
        <v>1407</v>
      </c>
      <c r="O2725" s="4" t="s">
        <v>1190</v>
      </c>
      <c r="P2725" s="4" t="s">
        <v>892</v>
      </c>
      <c r="Q2725" s="4" t="s">
        <v>1191</v>
      </c>
      <c r="R2725" s="4" t="s">
        <v>2449</v>
      </c>
      <c r="S2725" s="4" t="s">
        <v>1193</v>
      </c>
      <c r="T2725" s="4" t="s">
        <v>786</v>
      </c>
      <c r="U2725" s="4"/>
      <c r="V2725" s="4"/>
      <c r="W2725" s="4"/>
    </row>
    <row r="2726" spans="1:23" customFormat="1">
      <c r="A2726" s="10"/>
      <c r="B2726" s="4"/>
      <c r="C2726" s="4"/>
      <c r="D2726" s="4"/>
      <c r="E2726" s="4"/>
      <c r="F2726" s="152" t="s">
        <v>289</v>
      </c>
      <c r="G2726" s="4" t="s">
        <v>290</v>
      </c>
      <c r="H2726" s="4"/>
      <c r="I2726" s="196">
        <v>-4956700</v>
      </c>
      <c r="J2726" s="196">
        <v>-3395</v>
      </c>
      <c r="K2726" s="196">
        <v>1460</v>
      </c>
      <c r="L2726" s="454" t="s">
        <v>1109</v>
      </c>
      <c r="M2726" s="4" t="s">
        <v>780</v>
      </c>
      <c r="N2726" s="133" t="s">
        <v>1407</v>
      </c>
      <c r="O2726" s="4" t="s">
        <v>1190</v>
      </c>
      <c r="P2726" s="4" t="s">
        <v>892</v>
      </c>
      <c r="Q2726" s="4" t="s">
        <v>1191</v>
      </c>
      <c r="R2726" s="4" t="s">
        <v>2450</v>
      </c>
      <c r="S2726" s="4" t="s">
        <v>1193</v>
      </c>
      <c r="T2726" s="4" t="s">
        <v>786</v>
      </c>
      <c r="U2726" s="4"/>
      <c r="V2726" s="4"/>
      <c r="W2726" s="4"/>
    </row>
    <row r="2727" spans="1:23" customFormat="1">
      <c r="A2727" s="10"/>
      <c r="B2727" s="4"/>
      <c r="C2727" s="4"/>
      <c r="D2727" s="4"/>
      <c r="E2727" s="4"/>
      <c r="F2727" s="152" t="s">
        <v>289</v>
      </c>
      <c r="G2727" s="4" t="s">
        <v>290</v>
      </c>
      <c r="H2727" s="4"/>
      <c r="I2727" s="196">
        <v>-3120750</v>
      </c>
      <c r="J2727" s="196">
        <v>-2137.5</v>
      </c>
      <c r="K2727" s="196">
        <v>1460</v>
      </c>
      <c r="L2727" s="454" t="s">
        <v>1109</v>
      </c>
      <c r="M2727" s="4" t="s">
        <v>780</v>
      </c>
      <c r="N2727" s="133" t="s">
        <v>1407</v>
      </c>
      <c r="O2727" s="4" t="s">
        <v>1190</v>
      </c>
      <c r="P2727" s="4" t="s">
        <v>892</v>
      </c>
      <c r="Q2727" s="4" t="s">
        <v>1191</v>
      </c>
      <c r="R2727" s="4" t="s">
        <v>2451</v>
      </c>
      <c r="S2727" s="4" t="s">
        <v>1193</v>
      </c>
      <c r="T2727" s="4" t="s">
        <v>786</v>
      </c>
      <c r="U2727" s="4"/>
      <c r="V2727" s="4"/>
      <c r="W2727" s="4"/>
    </row>
    <row r="2728" spans="1:23" customFormat="1">
      <c r="A2728" s="10"/>
      <c r="B2728" s="4"/>
      <c r="C2728" s="4"/>
      <c r="D2728" s="4"/>
      <c r="E2728" s="4"/>
      <c r="F2728" s="152" t="s">
        <v>289</v>
      </c>
      <c r="G2728" s="4" t="s">
        <v>290</v>
      </c>
      <c r="H2728" s="4"/>
      <c r="I2728" s="196">
        <v>-6022500</v>
      </c>
      <c r="J2728" s="196">
        <v>-4125</v>
      </c>
      <c r="K2728" s="196">
        <v>1460</v>
      </c>
      <c r="L2728" s="454" t="s">
        <v>1109</v>
      </c>
      <c r="M2728" s="4" t="s">
        <v>780</v>
      </c>
      <c r="N2728" s="133" t="s">
        <v>1407</v>
      </c>
      <c r="O2728" s="4" t="s">
        <v>1190</v>
      </c>
      <c r="P2728" s="4" t="s">
        <v>892</v>
      </c>
      <c r="Q2728" s="4" t="s">
        <v>1191</v>
      </c>
      <c r="R2728" s="4" t="s">
        <v>2453</v>
      </c>
      <c r="S2728" s="4" t="s">
        <v>1193</v>
      </c>
      <c r="T2728" s="4" t="s">
        <v>786</v>
      </c>
      <c r="U2728" s="4"/>
      <c r="V2728" s="4"/>
      <c r="W2728" s="4"/>
    </row>
    <row r="2729" spans="1:23" customFormat="1">
      <c r="A2729" s="10"/>
      <c r="B2729" s="4"/>
      <c r="C2729" s="4"/>
      <c r="D2729" s="4"/>
      <c r="E2729" s="4"/>
      <c r="F2729" s="152" t="s">
        <v>289</v>
      </c>
      <c r="G2729" s="4" t="s">
        <v>290</v>
      </c>
      <c r="H2729" s="4"/>
      <c r="I2729" s="196">
        <v>-2410450</v>
      </c>
      <c r="J2729" s="196">
        <v>-1697.5</v>
      </c>
      <c r="K2729" s="196">
        <v>1420</v>
      </c>
      <c r="L2729" s="454" t="s">
        <v>1088</v>
      </c>
      <c r="M2729" s="4" t="s">
        <v>780</v>
      </c>
      <c r="N2729" s="133" t="s">
        <v>1407</v>
      </c>
      <c r="O2729" s="4" t="s">
        <v>1194</v>
      </c>
      <c r="P2729" s="4" t="s">
        <v>892</v>
      </c>
      <c r="Q2729" s="4" t="s">
        <v>1195</v>
      </c>
      <c r="R2729" s="4" t="s">
        <v>2458</v>
      </c>
      <c r="S2729" s="4" t="s">
        <v>1197</v>
      </c>
      <c r="T2729" s="4" t="s">
        <v>786</v>
      </c>
      <c r="U2729" s="4"/>
      <c r="V2729" s="4"/>
      <c r="W2729" s="4"/>
    </row>
    <row r="2730" spans="1:23" customFormat="1">
      <c r="A2730" s="10"/>
      <c r="B2730" s="4"/>
      <c r="C2730" s="4"/>
      <c r="D2730" s="4"/>
      <c r="E2730" s="4"/>
      <c r="F2730" s="152" t="s">
        <v>289</v>
      </c>
      <c r="G2730" s="4" t="s">
        <v>290</v>
      </c>
      <c r="H2730" s="4"/>
      <c r="I2730" s="196">
        <v>-13603600</v>
      </c>
      <c r="J2730" s="196">
        <v>-9580</v>
      </c>
      <c r="K2730" s="196">
        <v>1420</v>
      </c>
      <c r="L2730" s="454" t="s">
        <v>1088</v>
      </c>
      <c r="M2730" s="4" t="s">
        <v>780</v>
      </c>
      <c r="N2730" s="133" t="s">
        <v>1407</v>
      </c>
      <c r="O2730" s="4" t="s">
        <v>1194</v>
      </c>
      <c r="P2730" s="4" t="s">
        <v>892</v>
      </c>
      <c r="Q2730" s="4" t="s">
        <v>1195</v>
      </c>
      <c r="R2730" s="4" t="s">
        <v>2460</v>
      </c>
      <c r="S2730" s="4" t="s">
        <v>1197</v>
      </c>
      <c r="T2730" s="4" t="s">
        <v>786</v>
      </c>
      <c r="U2730" s="4"/>
      <c r="V2730" s="4"/>
      <c r="W2730" s="4"/>
    </row>
    <row r="2731" spans="1:23" customFormat="1">
      <c r="A2731" s="10"/>
      <c r="B2731" s="4"/>
      <c r="C2731" s="4"/>
      <c r="D2731" s="4"/>
      <c r="E2731" s="4"/>
      <c r="F2731" s="152" t="s">
        <v>289</v>
      </c>
      <c r="G2731" s="4" t="s">
        <v>290</v>
      </c>
      <c r="H2731" s="4"/>
      <c r="I2731" s="196">
        <v>-6790440</v>
      </c>
      <c r="J2731" s="196">
        <v>-4782</v>
      </c>
      <c r="K2731" s="196">
        <v>1420</v>
      </c>
      <c r="L2731" s="454" t="s">
        <v>1088</v>
      </c>
      <c r="M2731" s="4" t="s">
        <v>780</v>
      </c>
      <c r="N2731" s="133" t="s">
        <v>1407</v>
      </c>
      <c r="O2731" s="4" t="s">
        <v>1194</v>
      </c>
      <c r="P2731" s="4" t="s">
        <v>892</v>
      </c>
      <c r="Q2731" s="4" t="s">
        <v>1195</v>
      </c>
      <c r="R2731" s="4" t="s">
        <v>2461</v>
      </c>
      <c r="S2731" s="4" t="s">
        <v>1197</v>
      </c>
      <c r="T2731" s="4" t="s">
        <v>786</v>
      </c>
      <c r="U2731" s="4"/>
      <c r="V2731" s="4"/>
      <c r="W2731" s="4"/>
    </row>
    <row r="2732" spans="1:23" customFormat="1">
      <c r="A2732" s="10"/>
      <c r="B2732" s="4"/>
      <c r="C2732" s="4"/>
      <c r="D2732" s="4"/>
      <c r="E2732" s="4"/>
      <c r="F2732" s="152" t="s">
        <v>289</v>
      </c>
      <c r="G2732" s="4" t="s">
        <v>290</v>
      </c>
      <c r="H2732" s="4"/>
      <c r="I2732" s="196">
        <v>-2903900</v>
      </c>
      <c r="J2732" s="196">
        <v>-2045</v>
      </c>
      <c r="K2732" s="196">
        <v>1420</v>
      </c>
      <c r="L2732" s="454" t="s">
        <v>1088</v>
      </c>
      <c r="M2732" s="4" t="s">
        <v>780</v>
      </c>
      <c r="N2732" s="133" t="s">
        <v>1407</v>
      </c>
      <c r="O2732" s="4" t="s">
        <v>1194</v>
      </c>
      <c r="P2732" s="4" t="s">
        <v>892</v>
      </c>
      <c r="Q2732" s="4" t="s">
        <v>1195</v>
      </c>
      <c r="R2732" s="4" t="s">
        <v>2465</v>
      </c>
      <c r="S2732" s="4" t="s">
        <v>1197</v>
      </c>
      <c r="T2732" s="4" t="s">
        <v>786</v>
      </c>
      <c r="U2732" s="4"/>
      <c r="V2732" s="4"/>
      <c r="W2732" s="4"/>
    </row>
    <row r="2733" spans="1:23" customFormat="1">
      <c r="A2733" s="10"/>
      <c r="B2733" s="4"/>
      <c r="C2733" s="4"/>
      <c r="D2733" s="4"/>
      <c r="E2733" s="4"/>
      <c r="F2733" s="152" t="s">
        <v>289</v>
      </c>
      <c r="G2733" s="4" t="s">
        <v>290</v>
      </c>
      <c r="H2733" s="4"/>
      <c r="I2733" s="196">
        <v>-4742800</v>
      </c>
      <c r="J2733" s="196">
        <v>-3340</v>
      </c>
      <c r="K2733" s="196">
        <v>1420</v>
      </c>
      <c r="L2733" s="454" t="s">
        <v>1088</v>
      </c>
      <c r="M2733" s="4" t="s">
        <v>780</v>
      </c>
      <c r="N2733" s="133" t="s">
        <v>1407</v>
      </c>
      <c r="O2733" s="4" t="s">
        <v>1194</v>
      </c>
      <c r="P2733" s="4" t="s">
        <v>892</v>
      </c>
      <c r="Q2733" s="4" t="s">
        <v>1195</v>
      </c>
      <c r="R2733" s="4" t="s">
        <v>2462</v>
      </c>
      <c r="S2733" s="4" t="s">
        <v>1197</v>
      </c>
      <c r="T2733" s="4" t="s">
        <v>786</v>
      </c>
      <c r="U2733" s="4"/>
      <c r="V2733" s="4"/>
      <c r="W2733" s="4"/>
    </row>
    <row r="2734" spans="1:23" customFormat="1">
      <c r="A2734" s="10"/>
      <c r="B2734" s="4"/>
      <c r="C2734" s="4"/>
      <c r="D2734" s="4"/>
      <c r="E2734" s="4"/>
      <c r="F2734" s="152" t="s">
        <v>289</v>
      </c>
      <c r="G2734" s="4" t="s">
        <v>290</v>
      </c>
      <c r="H2734" s="4"/>
      <c r="I2734" s="196">
        <v>-958500</v>
      </c>
      <c r="J2734" s="196">
        <v>-675</v>
      </c>
      <c r="K2734" s="196">
        <v>1420</v>
      </c>
      <c r="L2734" s="454" t="s">
        <v>1088</v>
      </c>
      <c r="M2734" s="4" t="s">
        <v>780</v>
      </c>
      <c r="N2734" s="133" t="s">
        <v>1407</v>
      </c>
      <c r="O2734" s="4" t="s">
        <v>1194</v>
      </c>
      <c r="P2734" s="4" t="s">
        <v>892</v>
      </c>
      <c r="Q2734" s="4" t="s">
        <v>1195</v>
      </c>
      <c r="R2734" s="4" t="s">
        <v>2463</v>
      </c>
      <c r="S2734" s="4" t="s">
        <v>1197</v>
      </c>
      <c r="T2734" s="4" t="s">
        <v>786</v>
      </c>
      <c r="U2734" s="4"/>
      <c r="V2734" s="4"/>
      <c r="W2734" s="4"/>
    </row>
    <row r="2735" spans="1:23" customFormat="1">
      <c r="A2735" s="10"/>
      <c r="B2735" s="4"/>
      <c r="C2735" s="4"/>
      <c r="D2735" s="4"/>
      <c r="E2735" s="4"/>
      <c r="F2735" s="152" t="s">
        <v>289</v>
      </c>
      <c r="G2735" s="4" t="s">
        <v>290</v>
      </c>
      <c r="H2735" s="4"/>
      <c r="I2735" s="196">
        <v>-958500</v>
      </c>
      <c r="J2735" s="196">
        <v>-675</v>
      </c>
      <c r="K2735" s="196">
        <v>1420</v>
      </c>
      <c r="L2735" s="454" t="s">
        <v>1088</v>
      </c>
      <c r="M2735" s="4" t="s">
        <v>780</v>
      </c>
      <c r="N2735" s="133" t="s">
        <v>1407</v>
      </c>
      <c r="O2735" s="4" t="s">
        <v>1194</v>
      </c>
      <c r="P2735" s="4" t="s">
        <v>892</v>
      </c>
      <c r="Q2735" s="4" t="s">
        <v>1195</v>
      </c>
      <c r="R2735" s="4" t="s">
        <v>2464</v>
      </c>
      <c r="S2735" s="4" t="s">
        <v>1197</v>
      </c>
      <c r="T2735" s="4" t="s">
        <v>786</v>
      </c>
      <c r="U2735" s="4"/>
      <c r="V2735" s="4"/>
      <c r="W2735" s="4"/>
    </row>
    <row r="2736" spans="1:23" customFormat="1">
      <c r="A2736" s="10"/>
      <c r="B2736" s="4"/>
      <c r="C2736" s="4"/>
      <c r="D2736" s="4"/>
      <c r="E2736" s="4"/>
      <c r="F2736" s="152" t="s">
        <v>289</v>
      </c>
      <c r="G2736" s="4" t="s">
        <v>290</v>
      </c>
      <c r="H2736" s="4"/>
      <c r="I2736" s="196">
        <v>-1959600</v>
      </c>
      <c r="J2736" s="196">
        <v>-1380</v>
      </c>
      <c r="K2736" s="196">
        <v>1420</v>
      </c>
      <c r="L2736" s="454" t="s">
        <v>1123</v>
      </c>
      <c r="M2736" s="4" t="s">
        <v>780</v>
      </c>
      <c r="N2736" s="133" t="s">
        <v>1407</v>
      </c>
      <c r="O2736" s="4" t="s">
        <v>1374</v>
      </c>
      <c r="P2736" s="4" t="s">
        <v>892</v>
      </c>
      <c r="Q2736" s="4" t="s">
        <v>1375</v>
      </c>
      <c r="R2736" s="4" t="s">
        <v>2471</v>
      </c>
      <c r="S2736" s="4" t="s">
        <v>1377</v>
      </c>
      <c r="T2736" s="4" t="s">
        <v>786</v>
      </c>
      <c r="U2736" s="4"/>
      <c r="V2736" s="4"/>
      <c r="W2736" s="4"/>
    </row>
    <row r="2737" spans="1:23" customFormat="1">
      <c r="A2737" s="10"/>
      <c r="B2737" s="4"/>
      <c r="C2737" s="4"/>
      <c r="D2737" s="4"/>
      <c r="E2737" s="4"/>
      <c r="F2737" s="152" t="s">
        <v>289</v>
      </c>
      <c r="G2737" s="4" t="s">
        <v>290</v>
      </c>
      <c r="H2737" s="4"/>
      <c r="I2737" s="196">
        <v>-1959600</v>
      </c>
      <c r="J2737" s="196">
        <v>-1380</v>
      </c>
      <c r="K2737" s="196">
        <v>1420</v>
      </c>
      <c r="L2737" s="454" t="s">
        <v>1123</v>
      </c>
      <c r="M2737" s="4" t="s">
        <v>780</v>
      </c>
      <c r="N2737" s="133" t="s">
        <v>1407</v>
      </c>
      <c r="O2737" s="4" t="s">
        <v>1374</v>
      </c>
      <c r="P2737" s="4" t="s">
        <v>892</v>
      </c>
      <c r="Q2737" s="4" t="s">
        <v>1375</v>
      </c>
      <c r="R2737" s="4" t="s">
        <v>2472</v>
      </c>
      <c r="S2737" s="4" t="s">
        <v>1377</v>
      </c>
      <c r="T2737" s="4" t="s">
        <v>786</v>
      </c>
      <c r="U2737" s="4"/>
      <c r="V2737" s="4"/>
      <c r="W2737" s="4"/>
    </row>
    <row r="2738" spans="1:23" customFormat="1">
      <c r="A2738" s="10"/>
      <c r="B2738" s="4"/>
      <c r="C2738" s="4"/>
      <c r="D2738" s="4"/>
      <c r="E2738" s="4"/>
      <c r="F2738" s="152" t="s">
        <v>289</v>
      </c>
      <c r="G2738" s="4" t="s">
        <v>290</v>
      </c>
      <c r="H2738" s="4"/>
      <c r="I2738" s="196">
        <v>-1959600</v>
      </c>
      <c r="J2738" s="196">
        <v>-1380</v>
      </c>
      <c r="K2738" s="196">
        <v>1420</v>
      </c>
      <c r="L2738" s="454" t="s">
        <v>1123</v>
      </c>
      <c r="M2738" s="4" t="s">
        <v>780</v>
      </c>
      <c r="N2738" s="133" t="s">
        <v>1407</v>
      </c>
      <c r="O2738" s="4" t="s">
        <v>1374</v>
      </c>
      <c r="P2738" s="4" t="s">
        <v>892</v>
      </c>
      <c r="Q2738" s="4" t="s">
        <v>1375</v>
      </c>
      <c r="R2738" s="4" t="s">
        <v>2473</v>
      </c>
      <c r="S2738" s="4" t="s">
        <v>1377</v>
      </c>
      <c r="T2738" s="4" t="s">
        <v>786</v>
      </c>
      <c r="U2738" s="4"/>
      <c r="V2738" s="4"/>
      <c r="W2738" s="4"/>
    </row>
    <row r="2739" spans="1:23" customFormat="1">
      <c r="A2739" s="10"/>
      <c r="B2739" s="4"/>
      <c r="C2739" s="4"/>
      <c r="D2739" s="4"/>
      <c r="E2739" s="4"/>
      <c r="F2739" s="152" t="s">
        <v>289</v>
      </c>
      <c r="G2739" s="4" t="s">
        <v>290</v>
      </c>
      <c r="H2739" s="4"/>
      <c r="I2739" s="196">
        <v>-8065600</v>
      </c>
      <c r="J2739" s="196">
        <v>-5680</v>
      </c>
      <c r="K2739" s="196">
        <v>1420</v>
      </c>
      <c r="L2739" s="454" t="s">
        <v>1123</v>
      </c>
      <c r="M2739" s="4" t="s">
        <v>780</v>
      </c>
      <c r="N2739" s="133" t="s">
        <v>1407</v>
      </c>
      <c r="O2739" s="4" t="s">
        <v>1374</v>
      </c>
      <c r="P2739" s="4" t="s">
        <v>892</v>
      </c>
      <c r="Q2739" s="4" t="s">
        <v>1375</v>
      </c>
      <c r="R2739" s="4" t="s">
        <v>2474</v>
      </c>
      <c r="S2739" s="4" t="s">
        <v>1377</v>
      </c>
      <c r="T2739" s="4" t="s">
        <v>786</v>
      </c>
      <c r="U2739" s="4"/>
      <c r="V2739" s="4"/>
      <c r="W2739" s="4"/>
    </row>
    <row r="2740" spans="1:23" customFormat="1">
      <c r="A2740" s="10"/>
      <c r="B2740" s="4"/>
      <c r="C2740" s="4"/>
      <c r="D2740" s="4"/>
      <c r="E2740" s="4"/>
      <c r="F2740" s="152" t="s">
        <v>289</v>
      </c>
      <c r="G2740" s="4" t="s">
        <v>290</v>
      </c>
      <c r="H2740" s="4"/>
      <c r="I2740" s="196">
        <v>-4572400</v>
      </c>
      <c r="J2740" s="196">
        <v>-3220</v>
      </c>
      <c r="K2740" s="196">
        <v>1420</v>
      </c>
      <c r="L2740" s="454" t="s">
        <v>1123</v>
      </c>
      <c r="M2740" s="4" t="s">
        <v>780</v>
      </c>
      <c r="N2740" s="133" t="s">
        <v>1407</v>
      </c>
      <c r="O2740" s="4" t="s">
        <v>1374</v>
      </c>
      <c r="P2740" s="4" t="s">
        <v>892</v>
      </c>
      <c r="Q2740" s="4" t="s">
        <v>1375</v>
      </c>
      <c r="R2740" s="4" t="s">
        <v>2476</v>
      </c>
      <c r="S2740" s="4" t="s">
        <v>1377</v>
      </c>
      <c r="T2740" s="4" t="s">
        <v>786</v>
      </c>
      <c r="U2740" s="4"/>
      <c r="V2740" s="4"/>
      <c r="W2740" s="4"/>
    </row>
    <row r="2741" spans="1:23" customFormat="1">
      <c r="A2741" s="10"/>
      <c r="B2741" s="4"/>
      <c r="C2741" s="4"/>
      <c r="D2741" s="4"/>
      <c r="E2741" s="4"/>
      <c r="F2741" s="152" t="s">
        <v>289</v>
      </c>
      <c r="G2741" s="4" t="s">
        <v>290</v>
      </c>
      <c r="H2741" s="4"/>
      <c r="I2741" s="196">
        <v>-8406400</v>
      </c>
      <c r="J2741" s="196">
        <v>-5920</v>
      </c>
      <c r="K2741" s="196">
        <v>1420</v>
      </c>
      <c r="L2741" s="454" t="s">
        <v>1123</v>
      </c>
      <c r="M2741" s="4" t="s">
        <v>780</v>
      </c>
      <c r="N2741" s="133" t="s">
        <v>1407</v>
      </c>
      <c r="O2741" s="4" t="s">
        <v>1374</v>
      </c>
      <c r="P2741" s="4" t="s">
        <v>892</v>
      </c>
      <c r="Q2741" s="4" t="s">
        <v>1375</v>
      </c>
      <c r="R2741" s="4" t="s">
        <v>2475</v>
      </c>
      <c r="S2741" s="4" t="s">
        <v>1377</v>
      </c>
      <c r="T2741" s="4" t="s">
        <v>786</v>
      </c>
      <c r="U2741" s="4"/>
      <c r="V2741" s="4"/>
      <c r="W2741" s="4"/>
    </row>
    <row r="2742" spans="1:23" customFormat="1">
      <c r="A2742" s="10"/>
      <c r="B2742" s="4"/>
      <c r="C2742" s="4"/>
      <c r="D2742" s="4"/>
      <c r="E2742" s="4"/>
      <c r="F2742" s="152" t="s">
        <v>289</v>
      </c>
      <c r="G2742" s="4" t="s">
        <v>290</v>
      </c>
      <c r="H2742" s="4"/>
      <c r="I2742" s="196">
        <v>-9173200</v>
      </c>
      <c r="J2742" s="196">
        <v>-6460</v>
      </c>
      <c r="K2742" s="196">
        <v>1420</v>
      </c>
      <c r="L2742" s="454" t="s">
        <v>1093</v>
      </c>
      <c r="M2742" s="4" t="s">
        <v>780</v>
      </c>
      <c r="N2742" s="133" t="s">
        <v>1407</v>
      </c>
      <c r="O2742" s="4" t="s">
        <v>2477</v>
      </c>
      <c r="P2742" s="4" t="s">
        <v>892</v>
      </c>
      <c r="Q2742" s="4" t="s">
        <v>2478</v>
      </c>
      <c r="R2742" s="4" t="s">
        <v>2482</v>
      </c>
      <c r="S2742" s="4" t="s">
        <v>2480</v>
      </c>
      <c r="T2742" s="4" t="s">
        <v>786</v>
      </c>
      <c r="U2742" s="4"/>
      <c r="V2742" s="4"/>
      <c r="W2742" s="4"/>
    </row>
    <row r="2743" spans="1:23" customFormat="1">
      <c r="A2743" s="10"/>
      <c r="B2743" s="4"/>
      <c r="C2743" s="4"/>
      <c r="D2743" s="4"/>
      <c r="E2743" s="4"/>
      <c r="F2743" s="152" t="s">
        <v>289</v>
      </c>
      <c r="G2743" s="4" t="s">
        <v>290</v>
      </c>
      <c r="H2743" s="4"/>
      <c r="I2743" s="196">
        <v>-8065600</v>
      </c>
      <c r="J2743" s="196">
        <v>-5680</v>
      </c>
      <c r="K2743" s="196">
        <v>1420</v>
      </c>
      <c r="L2743" s="454" t="s">
        <v>1093</v>
      </c>
      <c r="M2743" s="4" t="s">
        <v>780</v>
      </c>
      <c r="N2743" s="133" t="s">
        <v>1407</v>
      </c>
      <c r="O2743" s="4" t="s">
        <v>2477</v>
      </c>
      <c r="P2743" s="4" t="s">
        <v>892</v>
      </c>
      <c r="Q2743" s="4" t="s">
        <v>2478</v>
      </c>
      <c r="R2743" s="4" t="s">
        <v>2484</v>
      </c>
      <c r="S2743" s="4" t="s">
        <v>2480</v>
      </c>
      <c r="T2743" s="4" t="s">
        <v>786</v>
      </c>
      <c r="U2743" s="4"/>
      <c r="V2743" s="4"/>
      <c r="W2743" s="4"/>
    </row>
    <row r="2744" spans="1:23" customFormat="1">
      <c r="A2744" s="10"/>
      <c r="B2744" s="4"/>
      <c r="C2744" s="4"/>
      <c r="D2744" s="4"/>
      <c r="E2744" s="4"/>
      <c r="F2744" s="152" t="s">
        <v>289</v>
      </c>
      <c r="G2744" s="4" t="s">
        <v>290</v>
      </c>
      <c r="H2744" s="4"/>
      <c r="I2744" s="196">
        <v>-2197450</v>
      </c>
      <c r="J2744" s="196">
        <v>-1547.5</v>
      </c>
      <c r="K2744" s="196">
        <v>1420</v>
      </c>
      <c r="L2744" s="454" t="s">
        <v>1093</v>
      </c>
      <c r="M2744" s="4" t="s">
        <v>780</v>
      </c>
      <c r="N2744" s="133" t="s">
        <v>1407</v>
      </c>
      <c r="O2744" s="4" t="s">
        <v>2477</v>
      </c>
      <c r="P2744" s="4" t="s">
        <v>892</v>
      </c>
      <c r="Q2744" s="4" t="s">
        <v>2478</v>
      </c>
      <c r="R2744" s="4" t="s">
        <v>2485</v>
      </c>
      <c r="S2744" s="4" t="s">
        <v>2480</v>
      </c>
      <c r="T2744" s="4" t="s">
        <v>786</v>
      </c>
      <c r="U2744" s="4"/>
      <c r="V2744" s="4"/>
      <c r="W2744" s="4"/>
    </row>
    <row r="2745" spans="1:23" customFormat="1">
      <c r="A2745" s="10"/>
      <c r="B2745" s="4"/>
      <c r="C2745" s="4"/>
      <c r="D2745" s="4"/>
      <c r="E2745" s="4"/>
      <c r="F2745" s="152" t="s">
        <v>289</v>
      </c>
      <c r="G2745" s="4" t="s">
        <v>290</v>
      </c>
      <c r="H2745" s="4"/>
      <c r="I2745" s="196">
        <v>-1416450</v>
      </c>
      <c r="J2745" s="196">
        <v>-997.5</v>
      </c>
      <c r="K2745" s="196">
        <v>1420</v>
      </c>
      <c r="L2745" s="454" t="s">
        <v>1093</v>
      </c>
      <c r="M2745" s="4" t="s">
        <v>780</v>
      </c>
      <c r="N2745" s="133" t="s">
        <v>1407</v>
      </c>
      <c r="O2745" s="4" t="s">
        <v>1254</v>
      </c>
      <c r="P2745" s="4" t="s">
        <v>892</v>
      </c>
      <c r="Q2745" s="4" t="s">
        <v>1255</v>
      </c>
      <c r="R2745" s="4" t="s">
        <v>2645</v>
      </c>
      <c r="S2745" s="4" t="s">
        <v>1257</v>
      </c>
      <c r="T2745" s="4" t="s">
        <v>786</v>
      </c>
      <c r="U2745" s="4"/>
      <c r="V2745" s="4"/>
      <c r="W2745" s="4"/>
    </row>
    <row r="2746" spans="1:23" customFormat="1">
      <c r="A2746" s="10"/>
      <c r="B2746" s="4"/>
      <c r="C2746" s="4"/>
      <c r="D2746" s="4"/>
      <c r="E2746" s="4"/>
      <c r="F2746" s="152" t="s">
        <v>289</v>
      </c>
      <c r="G2746" s="4" t="s">
        <v>290</v>
      </c>
      <c r="H2746" s="4"/>
      <c r="I2746" s="196">
        <v>-4970000</v>
      </c>
      <c r="J2746" s="196">
        <v>-3500</v>
      </c>
      <c r="K2746" s="196">
        <v>1420</v>
      </c>
      <c r="L2746" s="454" t="s">
        <v>1093</v>
      </c>
      <c r="M2746" s="4" t="s">
        <v>780</v>
      </c>
      <c r="N2746" s="133" t="s">
        <v>1407</v>
      </c>
      <c r="O2746" s="4" t="s">
        <v>1254</v>
      </c>
      <c r="P2746" s="4" t="s">
        <v>892</v>
      </c>
      <c r="Q2746" s="4" t="s">
        <v>1255</v>
      </c>
      <c r="R2746" s="4" t="s">
        <v>2646</v>
      </c>
      <c r="S2746" s="4" t="s">
        <v>1257</v>
      </c>
      <c r="T2746" s="4" t="s">
        <v>786</v>
      </c>
      <c r="U2746" s="4"/>
      <c r="V2746" s="4"/>
      <c r="W2746" s="4"/>
    </row>
    <row r="2747" spans="1:23" customFormat="1">
      <c r="A2747" s="10"/>
      <c r="B2747" s="4"/>
      <c r="C2747" s="4"/>
      <c r="D2747" s="4"/>
      <c r="E2747" s="4"/>
      <c r="F2747" s="152" t="s">
        <v>289</v>
      </c>
      <c r="G2747" s="4" t="s">
        <v>290</v>
      </c>
      <c r="H2747" s="4"/>
      <c r="I2747" s="196">
        <v>-5715500</v>
      </c>
      <c r="J2747" s="196">
        <v>-4025</v>
      </c>
      <c r="K2747" s="196">
        <v>1420</v>
      </c>
      <c r="L2747" s="454" t="s">
        <v>1093</v>
      </c>
      <c r="M2747" s="4" t="s">
        <v>780</v>
      </c>
      <c r="N2747" s="133" t="s">
        <v>1407</v>
      </c>
      <c r="O2747" s="4" t="s">
        <v>1254</v>
      </c>
      <c r="P2747" s="4" t="s">
        <v>892</v>
      </c>
      <c r="Q2747" s="4" t="s">
        <v>1255</v>
      </c>
      <c r="R2747" s="4" t="s">
        <v>2647</v>
      </c>
      <c r="S2747" s="4" t="s">
        <v>1257</v>
      </c>
      <c r="T2747" s="4" t="s">
        <v>786</v>
      </c>
      <c r="U2747" s="4"/>
      <c r="V2747" s="4"/>
      <c r="W2747" s="4"/>
    </row>
    <row r="2748" spans="1:23" customFormat="1">
      <c r="A2748" s="10"/>
      <c r="B2748" s="4"/>
      <c r="C2748" s="4"/>
      <c r="D2748" s="4"/>
      <c r="E2748" s="4"/>
      <c r="F2748" s="152" t="s">
        <v>289</v>
      </c>
      <c r="G2748" s="4" t="s">
        <v>290</v>
      </c>
      <c r="H2748" s="4"/>
      <c r="I2748" s="196">
        <v>-14966800</v>
      </c>
      <c r="J2748" s="196">
        <v>-10540</v>
      </c>
      <c r="K2748" s="196">
        <v>1420</v>
      </c>
      <c r="L2748" s="454" t="s">
        <v>1258</v>
      </c>
      <c r="M2748" s="4" t="s">
        <v>780</v>
      </c>
      <c r="N2748" s="133" t="s">
        <v>1407</v>
      </c>
      <c r="O2748" s="4" t="s">
        <v>1259</v>
      </c>
      <c r="P2748" s="4" t="s">
        <v>892</v>
      </c>
      <c r="Q2748" s="4" t="s">
        <v>1260</v>
      </c>
      <c r="R2748" s="4" t="s">
        <v>2648</v>
      </c>
      <c r="S2748" s="4" t="s">
        <v>1262</v>
      </c>
      <c r="T2748" s="4" t="s">
        <v>786</v>
      </c>
      <c r="U2748" s="4"/>
      <c r="V2748" s="4"/>
      <c r="W2748" s="4"/>
    </row>
    <row r="2749" spans="1:23" customFormat="1">
      <c r="A2749" s="10"/>
      <c r="B2749" s="4"/>
      <c r="C2749" s="4"/>
      <c r="D2749" s="4"/>
      <c r="E2749" s="4"/>
      <c r="F2749" s="152" t="s">
        <v>289</v>
      </c>
      <c r="G2749" s="4" t="s">
        <v>290</v>
      </c>
      <c r="H2749" s="4"/>
      <c r="I2749" s="196">
        <v>-976250</v>
      </c>
      <c r="J2749" s="196">
        <v>-687.5</v>
      </c>
      <c r="K2749" s="196">
        <v>1420</v>
      </c>
      <c r="L2749" s="454" t="s">
        <v>1258</v>
      </c>
      <c r="M2749" s="4" t="s">
        <v>780</v>
      </c>
      <c r="N2749" s="133" t="s">
        <v>1407</v>
      </c>
      <c r="O2749" s="4" t="s">
        <v>1259</v>
      </c>
      <c r="P2749" s="4" t="s">
        <v>892</v>
      </c>
      <c r="Q2749" s="4" t="s">
        <v>1260</v>
      </c>
      <c r="R2749" s="4" t="s">
        <v>2649</v>
      </c>
      <c r="S2749" s="4" t="s">
        <v>1262</v>
      </c>
      <c r="T2749" s="4" t="s">
        <v>786</v>
      </c>
      <c r="U2749" s="4"/>
      <c r="V2749" s="4"/>
      <c r="W2749" s="4"/>
    </row>
    <row r="2750" spans="1:23" customFormat="1">
      <c r="A2750" s="10"/>
      <c r="B2750" s="4"/>
      <c r="C2750" s="4"/>
      <c r="D2750" s="4"/>
      <c r="E2750" s="4"/>
      <c r="F2750" s="152" t="s">
        <v>289</v>
      </c>
      <c r="G2750" s="4" t="s">
        <v>290</v>
      </c>
      <c r="H2750" s="4"/>
      <c r="I2750" s="196">
        <v>-12382400</v>
      </c>
      <c r="J2750" s="196">
        <v>-8720</v>
      </c>
      <c r="K2750" s="196">
        <v>1420</v>
      </c>
      <c r="L2750" s="454" t="s">
        <v>1258</v>
      </c>
      <c r="M2750" s="4" t="s">
        <v>780</v>
      </c>
      <c r="N2750" s="133" t="s">
        <v>1407</v>
      </c>
      <c r="O2750" s="4" t="s">
        <v>1259</v>
      </c>
      <c r="P2750" s="4" t="s">
        <v>892</v>
      </c>
      <c r="Q2750" s="4" t="s">
        <v>1260</v>
      </c>
      <c r="R2750" s="4" t="s">
        <v>2650</v>
      </c>
      <c r="S2750" s="4" t="s">
        <v>1262</v>
      </c>
      <c r="T2750" s="4" t="s">
        <v>786</v>
      </c>
      <c r="U2750" s="4"/>
      <c r="V2750" s="4"/>
      <c r="W2750" s="4"/>
    </row>
    <row r="2751" spans="1:23" customFormat="1">
      <c r="A2751" s="10"/>
      <c r="B2751" s="4"/>
      <c r="C2751" s="4"/>
      <c r="D2751" s="4"/>
      <c r="E2751" s="4"/>
      <c r="F2751" s="152" t="s">
        <v>289</v>
      </c>
      <c r="G2751" s="4" t="s">
        <v>290</v>
      </c>
      <c r="H2751" s="4"/>
      <c r="I2751" s="196">
        <v>-9700020</v>
      </c>
      <c r="J2751" s="196">
        <v>-6831</v>
      </c>
      <c r="K2751" s="196">
        <v>1420</v>
      </c>
      <c r="L2751" s="454" t="s">
        <v>1093</v>
      </c>
      <c r="M2751" s="4" t="s">
        <v>780</v>
      </c>
      <c r="N2751" s="133" t="s">
        <v>1407</v>
      </c>
      <c r="O2751" s="4" t="s">
        <v>2651</v>
      </c>
      <c r="P2751" s="4" t="s">
        <v>892</v>
      </c>
      <c r="Q2751" s="4" t="s">
        <v>2652</v>
      </c>
      <c r="R2751" s="4" t="s">
        <v>2653</v>
      </c>
      <c r="S2751" s="4" t="s">
        <v>2654</v>
      </c>
      <c r="T2751" s="4" t="s">
        <v>786</v>
      </c>
      <c r="U2751" s="4"/>
      <c r="V2751" s="4"/>
      <c r="W2751" s="4"/>
    </row>
    <row r="2752" spans="1:23" customFormat="1">
      <c r="A2752" s="10"/>
      <c r="B2752" s="4"/>
      <c r="C2752" s="4"/>
      <c r="D2752" s="4"/>
      <c r="E2752" s="4"/>
      <c r="F2752" s="152" t="s">
        <v>289</v>
      </c>
      <c r="G2752" s="4" t="s">
        <v>290</v>
      </c>
      <c r="H2752" s="4"/>
      <c r="I2752" s="196">
        <v>-3527280</v>
      </c>
      <c r="J2752" s="196">
        <v>-2484</v>
      </c>
      <c r="K2752" s="196">
        <v>1420</v>
      </c>
      <c r="L2752" s="454" t="s">
        <v>1093</v>
      </c>
      <c r="M2752" s="4" t="s">
        <v>780</v>
      </c>
      <c r="N2752" s="133" t="s">
        <v>1407</v>
      </c>
      <c r="O2752" s="4" t="s">
        <v>2651</v>
      </c>
      <c r="P2752" s="4" t="s">
        <v>892</v>
      </c>
      <c r="Q2752" s="4" t="s">
        <v>2652</v>
      </c>
      <c r="R2752" s="4" t="s">
        <v>2656</v>
      </c>
      <c r="S2752" s="4" t="s">
        <v>2654</v>
      </c>
      <c r="T2752" s="4" t="s">
        <v>786</v>
      </c>
      <c r="U2752" s="4"/>
      <c r="V2752" s="4"/>
      <c r="W2752" s="4"/>
    </row>
    <row r="2753" spans="1:23" customFormat="1">
      <c r="A2753" s="10"/>
      <c r="B2753" s="4"/>
      <c r="C2753" s="4"/>
      <c r="D2753" s="4"/>
      <c r="E2753" s="4"/>
      <c r="F2753" s="152" t="s">
        <v>289</v>
      </c>
      <c r="G2753" s="4" t="s">
        <v>290</v>
      </c>
      <c r="H2753" s="4"/>
      <c r="I2753" s="196">
        <v>-3527280</v>
      </c>
      <c r="J2753" s="196">
        <v>-2484</v>
      </c>
      <c r="K2753" s="196">
        <v>1420</v>
      </c>
      <c r="L2753" s="454" t="s">
        <v>1093</v>
      </c>
      <c r="M2753" s="4" t="s">
        <v>780</v>
      </c>
      <c r="N2753" s="133" t="s">
        <v>1407</v>
      </c>
      <c r="O2753" s="4" t="s">
        <v>2651</v>
      </c>
      <c r="P2753" s="4" t="s">
        <v>892</v>
      </c>
      <c r="Q2753" s="4" t="s">
        <v>2652</v>
      </c>
      <c r="R2753" s="4" t="s">
        <v>2657</v>
      </c>
      <c r="S2753" s="4" t="s">
        <v>2654</v>
      </c>
      <c r="T2753" s="4" t="s">
        <v>786</v>
      </c>
      <c r="U2753" s="4"/>
      <c r="V2753" s="4"/>
      <c r="W2753" s="4"/>
    </row>
    <row r="2754" spans="1:23" customFormat="1">
      <c r="A2754" s="10"/>
      <c r="B2754" s="4"/>
      <c r="C2754" s="4"/>
      <c r="D2754" s="4"/>
      <c r="E2754" s="4"/>
      <c r="F2754" s="152" t="s">
        <v>289</v>
      </c>
      <c r="G2754" s="4" t="s">
        <v>290</v>
      </c>
      <c r="H2754" s="4"/>
      <c r="I2754" s="196">
        <v>-2715253</v>
      </c>
      <c r="J2754" s="196">
        <v>-1912.15</v>
      </c>
      <c r="K2754" s="196">
        <v>1420</v>
      </c>
      <c r="L2754" s="454" t="s">
        <v>1093</v>
      </c>
      <c r="M2754" s="4" t="s">
        <v>780</v>
      </c>
      <c r="N2754" s="133" t="s">
        <v>1407</v>
      </c>
      <c r="O2754" s="4" t="s">
        <v>2651</v>
      </c>
      <c r="P2754" s="4" t="s">
        <v>892</v>
      </c>
      <c r="Q2754" s="4" t="s">
        <v>2652</v>
      </c>
      <c r="R2754" s="4" t="s">
        <v>2660</v>
      </c>
      <c r="S2754" s="4" t="s">
        <v>2654</v>
      </c>
      <c r="T2754" s="4" t="s">
        <v>786</v>
      </c>
      <c r="U2754" s="4"/>
      <c r="V2754" s="4"/>
      <c r="W2754" s="4"/>
    </row>
    <row r="2755" spans="1:23" customFormat="1">
      <c r="A2755" s="10"/>
      <c r="B2755" s="4"/>
      <c r="C2755" s="4"/>
      <c r="D2755" s="4"/>
      <c r="E2755" s="4"/>
      <c r="F2755" s="152" t="s">
        <v>289</v>
      </c>
      <c r="G2755" s="4" t="s">
        <v>290</v>
      </c>
      <c r="H2755" s="4"/>
      <c r="I2755" s="196">
        <v>-284000</v>
      </c>
      <c r="J2755" s="196">
        <v>-200</v>
      </c>
      <c r="K2755" s="196">
        <v>1420</v>
      </c>
      <c r="L2755" s="454" t="s">
        <v>1093</v>
      </c>
      <c r="M2755" s="4" t="s">
        <v>780</v>
      </c>
      <c r="N2755" s="133" t="s">
        <v>1407</v>
      </c>
      <c r="O2755" s="4" t="s">
        <v>2651</v>
      </c>
      <c r="P2755" s="4" t="s">
        <v>892</v>
      </c>
      <c r="Q2755" s="4" t="s">
        <v>2652</v>
      </c>
      <c r="R2755" s="4" t="s">
        <v>2662</v>
      </c>
      <c r="S2755" s="4" t="s">
        <v>2654</v>
      </c>
      <c r="T2755" s="4" t="s">
        <v>786</v>
      </c>
      <c r="U2755" s="4"/>
      <c r="V2755" s="4"/>
      <c r="W2755" s="4"/>
    </row>
    <row r="2756" spans="1:23" customFormat="1">
      <c r="A2756" s="10"/>
      <c r="B2756" s="4"/>
      <c r="C2756" s="4"/>
      <c r="D2756" s="4"/>
      <c r="E2756" s="4"/>
      <c r="F2756" s="152" t="s">
        <v>289</v>
      </c>
      <c r="G2756" s="4" t="s">
        <v>290</v>
      </c>
      <c r="H2756" s="4"/>
      <c r="I2756" s="196">
        <v>-8520000</v>
      </c>
      <c r="J2756" s="196">
        <v>-6000</v>
      </c>
      <c r="K2756" s="196">
        <v>1420</v>
      </c>
      <c r="L2756" s="454" t="s">
        <v>1093</v>
      </c>
      <c r="M2756" s="4" t="s">
        <v>780</v>
      </c>
      <c r="N2756" s="133" t="s">
        <v>1407</v>
      </c>
      <c r="O2756" s="4" t="s">
        <v>2651</v>
      </c>
      <c r="P2756" s="4" t="s">
        <v>892</v>
      </c>
      <c r="Q2756" s="4" t="s">
        <v>2652</v>
      </c>
      <c r="R2756" s="4" t="s">
        <v>2664</v>
      </c>
      <c r="S2756" s="4" t="s">
        <v>2654</v>
      </c>
      <c r="T2756" s="4" t="s">
        <v>786</v>
      </c>
      <c r="U2756" s="4"/>
      <c r="V2756" s="4"/>
      <c r="W2756" s="4"/>
    </row>
    <row r="2757" spans="1:23" customFormat="1">
      <c r="A2757" s="10"/>
      <c r="B2757" s="4"/>
      <c r="C2757" s="4"/>
      <c r="D2757" s="4"/>
      <c r="E2757" s="4"/>
      <c r="F2757" s="152" t="s">
        <v>289</v>
      </c>
      <c r="G2757" s="4" t="s">
        <v>290</v>
      </c>
      <c r="H2757" s="4"/>
      <c r="I2757" s="196">
        <v>-1799850</v>
      </c>
      <c r="J2757" s="196">
        <v>-1267.5</v>
      </c>
      <c r="K2757" s="196">
        <v>1420</v>
      </c>
      <c r="L2757" s="454" t="s">
        <v>1093</v>
      </c>
      <c r="M2757" s="4" t="s">
        <v>780</v>
      </c>
      <c r="N2757" s="133" t="s">
        <v>1407</v>
      </c>
      <c r="O2757" s="4" t="s">
        <v>2651</v>
      </c>
      <c r="P2757" s="4" t="s">
        <v>892</v>
      </c>
      <c r="Q2757" s="4" t="s">
        <v>2652</v>
      </c>
      <c r="R2757" s="4" t="s">
        <v>2665</v>
      </c>
      <c r="S2757" s="4" t="s">
        <v>2654</v>
      </c>
      <c r="T2757" s="4" t="s">
        <v>786</v>
      </c>
      <c r="U2757" s="4"/>
      <c r="V2757" s="4"/>
      <c r="W2757" s="4"/>
    </row>
    <row r="2758" spans="1:23" customFormat="1">
      <c r="A2758" s="10"/>
      <c r="B2758" s="4"/>
      <c r="C2758" s="4"/>
      <c r="D2758" s="4"/>
      <c r="E2758" s="4"/>
      <c r="F2758" s="152" t="s">
        <v>289</v>
      </c>
      <c r="G2758" s="4" t="s">
        <v>290</v>
      </c>
      <c r="H2758" s="4"/>
      <c r="I2758" s="196">
        <v>-2439560</v>
      </c>
      <c r="J2758" s="196">
        <v>-1718</v>
      </c>
      <c r="K2758" s="196">
        <v>1420</v>
      </c>
      <c r="L2758" s="454" t="s">
        <v>1093</v>
      </c>
      <c r="M2758" s="4" t="s">
        <v>780</v>
      </c>
      <c r="N2758" s="133" t="s">
        <v>1407</v>
      </c>
      <c r="O2758" s="4" t="s">
        <v>2651</v>
      </c>
      <c r="P2758" s="4" t="s">
        <v>892</v>
      </c>
      <c r="Q2758" s="4" t="s">
        <v>2652</v>
      </c>
      <c r="R2758" s="4" t="s">
        <v>2666</v>
      </c>
      <c r="S2758" s="4" t="s">
        <v>2654</v>
      </c>
      <c r="T2758" s="4" t="s">
        <v>786</v>
      </c>
      <c r="U2758" s="4"/>
      <c r="V2758" s="4"/>
      <c r="W2758" s="4"/>
    </row>
    <row r="2759" spans="1:23" customFormat="1">
      <c r="A2759" s="10"/>
      <c r="B2759" s="4"/>
      <c r="C2759" s="4"/>
      <c r="D2759" s="4"/>
      <c r="E2759" s="4"/>
      <c r="F2759" s="152" t="s">
        <v>289</v>
      </c>
      <c r="G2759" s="4" t="s">
        <v>290</v>
      </c>
      <c r="H2759" s="4"/>
      <c r="I2759" s="196">
        <v>-2357200</v>
      </c>
      <c r="J2759" s="196">
        <v>-1660</v>
      </c>
      <c r="K2759" s="196">
        <v>1420</v>
      </c>
      <c r="L2759" s="454" t="s">
        <v>1093</v>
      </c>
      <c r="M2759" s="4" t="s">
        <v>780</v>
      </c>
      <c r="N2759" s="133" t="s">
        <v>1407</v>
      </c>
      <c r="O2759" s="4" t="s">
        <v>2651</v>
      </c>
      <c r="P2759" s="4" t="s">
        <v>892</v>
      </c>
      <c r="Q2759" s="4" t="s">
        <v>2652</v>
      </c>
      <c r="R2759" s="4" t="s">
        <v>2663</v>
      </c>
      <c r="S2759" s="4" t="s">
        <v>2654</v>
      </c>
      <c r="T2759" s="4" t="s">
        <v>786</v>
      </c>
      <c r="U2759" s="4"/>
      <c r="V2759" s="4"/>
      <c r="W2759" s="4"/>
    </row>
    <row r="2760" spans="1:23" customFormat="1">
      <c r="A2760" s="10"/>
      <c r="B2760" s="4"/>
      <c r="C2760" s="4"/>
      <c r="D2760" s="4"/>
      <c r="E2760" s="4"/>
      <c r="F2760" s="152" t="s">
        <v>289</v>
      </c>
      <c r="G2760" s="4" t="s">
        <v>290</v>
      </c>
      <c r="H2760" s="4"/>
      <c r="I2760" s="196">
        <v>-2357200</v>
      </c>
      <c r="J2760" s="196">
        <v>-1660</v>
      </c>
      <c r="K2760" s="196">
        <v>1420</v>
      </c>
      <c r="L2760" s="454" t="s">
        <v>1093</v>
      </c>
      <c r="M2760" s="4" t="s">
        <v>780</v>
      </c>
      <c r="N2760" s="133" t="s">
        <v>1407</v>
      </c>
      <c r="O2760" s="4" t="s">
        <v>2651</v>
      </c>
      <c r="P2760" s="4" t="s">
        <v>892</v>
      </c>
      <c r="Q2760" s="4" t="s">
        <v>2652</v>
      </c>
      <c r="R2760" s="4" t="s">
        <v>2661</v>
      </c>
      <c r="S2760" s="4" t="s">
        <v>2654</v>
      </c>
      <c r="T2760" s="4" t="s">
        <v>786</v>
      </c>
      <c r="U2760" s="4"/>
      <c r="V2760" s="4"/>
      <c r="W2760" s="4"/>
    </row>
    <row r="2761" spans="1:23" customFormat="1">
      <c r="A2761" s="10"/>
      <c r="B2761" s="4"/>
      <c r="C2761" s="4"/>
      <c r="D2761" s="4"/>
      <c r="E2761" s="4"/>
      <c r="F2761" s="152" t="s">
        <v>289</v>
      </c>
      <c r="G2761" s="4" t="s">
        <v>290</v>
      </c>
      <c r="H2761" s="4"/>
      <c r="I2761" s="196">
        <v>-2357200</v>
      </c>
      <c r="J2761" s="196">
        <v>-1660</v>
      </c>
      <c r="K2761" s="196">
        <v>1420</v>
      </c>
      <c r="L2761" s="454" t="s">
        <v>1093</v>
      </c>
      <c r="M2761" s="4" t="s">
        <v>780</v>
      </c>
      <c r="N2761" s="133" t="s">
        <v>1407</v>
      </c>
      <c r="O2761" s="4" t="s">
        <v>2651</v>
      </c>
      <c r="P2761" s="4" t="s">
        <v>892</v>
      </c>
      <c r="Q2761" s="4" t="s">
        <v>2652</v>
      </c>
      <c r="R2761" s="4" t="s">
        <v>2659</v>
      </c>
      <c r="S2761" s="4" t="s">
        <v>2654</v>
      </c>
      <c r="T2761" s="4" t="s">
        <v>786</v>
      </c>
      <c r="U2761" s="4"/>
      <c r="V2761" s="4"/>
      <c r="W2761" s="4"/>
    </row>
    <row r="2762" spans="1:23" customFormat="1">
      <c r="A2762" s="10"/>
      <c r="B2762" s="4"/>
      <c r="C2762" s="4"/>
      <c r="D2762" s="4"/>
      <c r="E2762" s="4"/>
      <c r="F2762" s="152" t="s">
        <v>289</v>
      </c>
      <c r="G2762" s="4" t="s">
        <v>290</v>
      </c>
      <c r="H2762" s="4"/>
      <c r="I2762" s="196">
        <v>-17989128</v>
      </c>
      <c r="J2762" s="196">
        <v>-12668.4</v>
      </c>
      <c r="K2762" s="196">
        <v>1420</v>
      </c>
      <c r="L2762" s="454" t="s">
        <v>1093</v>
      </c>
      <c r="M2762" s="4" t="s">
        <v>780</v>
      </c>
      <c r="N2762" s="133" t="s">
        <v>1407</v>
      </c>
      <c r="O2762" s="4" t="s">
        <v>2651</v>
      </c>
      <c r="P2762" s="4" t="s">
        <v>892</v>
      </c>
      <c r="Q2762" s="4" t="s">
        <v>2652</v>
      </c>
      <c r="R2762" s="4" t="s">
        <v>2658</v>
      </c>
      <c r="S2762" s="4" t="s">
        <v>2654</v>
      </c>
      <c r="T2762" s="4" t="s">
        <v>786</v>
      </c>
      <c r="U2762" s="4"/>
      <c r="V2762" s="4"/>
      <c r="W2762" s="4"/>
    </row>
    <row r="2763" spans="1:23" customFormat="1">
      <c r="A2763" s="10"/>
      <c r="B2763" s="4"/>
      <c r="C2763" s="4"/>
      <c r="D2763" s="4"/>
      <c r="E2763" s="4"/>
      <c r="F2763" s="152" t="s">
        <v>289</v>
      </c>
      <c r="G2763" s="4" t="s">
        <v>290</v>
      </c>
      <c r="H2763" s="4"/>
      <c r="I2763" s="196">
        <v>-7529550</v>
      </c>
      <c r="J2763" s="196">
        <v>-5302.5</v>
      </c>
      <c r="K2763" s="196">
        <v>1420</v>
      </c>
      <c r="L2763" s="454" t="s">
        <v>1210</v>
      </c>
      <c r="M2763" s="4" t="s">
        <v>780</v>
      </c>
      <c r="N2763" s="133" t="s">
        <v>1407</v>
      </c>
      <c r="O2763" s="4" t="s">
        <v>1397</v>
      </c>
      <c r="P2763" s="4" t="s">
        <v>892</v>
      </c>
      <c r="Q2763" s="4" t="s">
        <v>1398</v>
      </c>
      <c r="R2763" s="4" t="s">
        <v>2667</v>
      </c>
      <c r="S2763" s="4" t="s">
        <v>1400</v>
      </c>
      <c r="T2763" s="4" t="s">
        <v>786</v>
      </c>
      <c r="U2763" s="4"/>
      <c r="V2763" s="4"/>
      <c r="W2763" s="4"/>
    </row>
    <row r="2764" spans="1:23" customFormat="1">
      <c r="A2764" s="10"/>
      <c r="B2764" s="4"/>
      <c r="C2764" s="4"/>
      <c r="D2764" s="4"/>
      <c r="E2764" s="4"/>
      <c r="F2764" s="152" t="s">
        <v>289</v>
      </c>
      <c r="G2764" s="4" t="s">
        <v>290</v>
      </c>
      <c r="H2764" s="4"/>
      <c r="I2764" s="196">
        <v>-3195000</v>
      </c>
      <c r="J2764" s="196">
        <v>-2250</v>
      </c>
      <c r="K2764" s="196">
        <v>1420</v>
      </c>
      <c r="L2764" s="454" t="s">
        <v>1267</v>
      </c>
      <c r="M2764" s="4" t="s">
        <v>780</v>
      </c>
      <c r="N2764" s="133" t="s">
        <v>1407</v>
      </c>
      <c r="O2764" s="4" t="s">
        <v>1268</v>
      </c>
      <c r="P2764" s="4" t="s">
        <v>892</v>
      </c>
      <c r="Q2764" s="4" t="s">
        <v>1269</v>
      </c>
      <c r="R2764" s="4" t="s">
        <v>2673</v>
      </c>
      <c r="S2764" s="4" t="s">
        <v>1271</v>
      </c>
      <c r="T2764" s="4" t="s">
        <v>786</v>
      </c>
      <c r="U2764" s="4"/>
      <c r="V2764" s="4"/>
      <c r="W2764" s="4"/>
    </row>
    <row r="2765" spans="1:23" customFormat="1">
      <c r="A2765" s="10"/>
      <c r="B2765" s="4"/>
      <c r="C2765" s="4"/>
      <c r="D2765" s="4"/>
      <c r="E2765" s="4"/>
      <c r="F2765" s="152" t="s">
        <v>289</v>
      </c>
      <c r="G2765" s="4" t="s">
        <v>290</v>
      </c>
      <c r="H2765" s="4"/>
      <c r="I2765" s="196">
        <v>-16841200</v>
      </c>
      <c r="J2765" s="196">
        <v>-11860</v>
      </c>
      <c r="K2765" s="196">
        <v>1420</v>
      </c>
      <c r="L2765" s="454" t="s">
        <v>1267</v>
      </c>
      <c r="M2765" s="4" t="s">
        <v>780</v>
      </c>
      <c r="N2765" s="133" t="s">
        <v>1407</v>
      </c>
      <c r="O2765" s="4" t="s">
        <v>1268</v>
      </c>
      <c r="P2765" s="4" t="s">
        <v>892</v>
      </c>
      <c r="Q2765" s="4" t="s">
        <v>1269</v>
      </c>
      <c r="R2765" s="4" t="s">
        <v>2674</v>
      </c>
      <c r="S2765" s="4" t="s">
        <v>1271</v>
      </c>
      <c r="T2765" s="4" t="s">
        <v>786</v>
      </c>
      <c r="U2765" s="4"/>
      <c r="V2765" s="4"/>
      <c r="W2765" s="4"/>
    </row>
    <row r="2766" spans="1:23" customFormat="1">
      <c r="A2766" s="10"/>
      <c r="B2766" s="4"/>
      <c r="C2766" s="4"/>
      <c r="D2766" s="4"/>
      <c r="E2766" s="4"/>
      <c r="F2766" s="152" t="s">
        <v>289</v>
      </c>
      <c r="G2766" s="4" t="s">
        <v>290</v>
      </c>
      <c r="H2766" s="4"/>
      <c r="I2766" s="196">
        <v>-2197450</v>
      </c>
      <c r="J2766" s="196">
        <v>-1547.5</v>
      </c>
      <c r="K2766" s="196">
        <v>1420</v>
      </c>
      <c r="L2766" s="454" t="s">
        <v>1267</v>
      </c>
      <c r="M2766" s="4" t="s">
        <v>780</v>
      </c>
      <c r="N2766" s="133" t="s">
        <v>1407</v>
      </c>
      <c r="O2766" s="4" t="s">
        <v>1268</v>
      </c>
      <c r="P2766" s="4" t="s">
        <v>892</v>
      </c>
      <c r="Q2766" s="4" t="s">
        <v>1269</v>
      </c>
      <c r="R2766" s="4" t="s">
        <v>2675</v>
      </c>
      <c r="S2766" s="4" t="s">
        <v>1271</v>
      </c>
      <c r="T2766" s="4" t="s">
        <v>786</v>
      </c>
      <c r="U2766" s="4"/>
      <c r="V2766" s="4"/>
      <c r="W2766" s="4"/>
    </row>
    <row r="2767" spans="1:23" customFormat="1">
      <c r="A2767" s="10"/>
      <c r="B2767" s="4"/>
      <c r="C2767" s="4"/>
      <c r="D2767" s="4"/>
      <c r="E2767" s="4"/>
      <c r="F2767" s="152" t="s">
        <v>289</v>
      </c>
      <c r="G2767" s="4" t="s">
        <v>290</v>
      </c>
      <c r="H2767" s="4"/>
      <c r="I2767" s="196">
        <v>-1739500</v>
      </c>
      <c r="J2767" s="196">
        <v>-1225</v>
      </c>
      <c r="K2767" s="196">
        <v>1420</v>
      </c>
      <c r="L2767" s="454" t="s">
        <v>1267</v>
      </c>
      <c r="M2767" s="4" t="s">
        <v>780</v>
      </c>
      <c r="N2767" s="133" t="s">
        <v>1407</v>
      </c>
      <c r="O2767" s="4" t="s">
        <v>1268</v>
      </c>
      <c r="P2767" s="4" t="s">
        <v>892</v>
      </c>
      <c r="Q2767" s="4" t="s">
        <v>1269</v>
      </c>
      <c r="R2767" s="4" t="s">
        <v>2676</v>
      </c>
      <c r="S2767" s="4" t="s">
        <v>1271</v>
      </c>
      <c r="T2767" s="4" t="s">
        <v>786</v>
      </c>
      <c r="U2767" s="4"/>
      <c r="V2767" s="4"/>
      <c r="W2767" s="4"/>
    </row>
    <row r="2768" spans="1:23" customFormat="1">
      <c r="A2768" s="10"/>
      <c r="B2768" s="4"/>
      <c r="C2768" s="4"/>
      <c r="D2768" s="4"/>
      <c r="E2768" s="4"/>
      <c r="F2768" s="152" t="s">
        <v>289</v>
      </c>
      <c r="G2768" s="4" t="s">
        <v>290</v>
      </c>
      <c r="H2768" s="4"/>
      <c r="I2768" s="196">
        <v>-2197450</v>
      </c>
      <c r="J2768" s="196">
        <v>-1547.5</v>
      </c>
      <c r="K2768" s="196">
        <v>1420</v>
      </c>
      <c r="L2768" s="454" t="s">
        <v>1267</v>
      </c>
      <c r="M2768" s="4" t="s">
        <v>780</v>
      </c>
      <c r="N2768" s="133" t="s">
        <v>1407</v>
      </c>
      <c r="O2768" s="4" t="s">
        <v>1268</v>
      </c>
      <c r="P2768" s="4" t="s">
        <v>892</v>
      </c>
      <c r="Q2768" s="4" t="s">
        <v>1269</v>
      </c>
      <c r="R2768" s="4" t="s">
        <v>2677</v>
      </c>
      <c r="S2768" s="4" t="s">
        <v>1271</v>
      </c>
      <c r="T2768" s="4" t="s">
        <v>786</v>
      </c>
      <c r="U2768" s="4"/>
      <c r="V2768" s="4"/>
      <c r="W2768" s="4"/>
    </row>
    <row r="2769" spans="1:23" customFormat="1">
      <c r="A2769" s="10"/>
      <c r="B2769" s="4"/>
      <c r="C2769" s="4"/>
      <c r="D2769" s="4"/>
      <c r="E2769" s="4"/>
      <c r="F2769" s="152" t="s">
        <v>289</v>
      </c>
      <c r="G2769" s="4" t="s">
        <v>290</v>
      </c>
      <c r="H2769" s="4"/>
      <c r="I2769" s="196">
        <v>-11778900</v>
      </c>
      <c r="J2769" s="196">
        <v>-8295</v>
      </c>
      <c r="K2769" s="196">
        <v>1420</v>
      </c>
      <c r="L2769" s="454" t="s">
        <v>1267</v>
      </c>
      <c r="M2769" s="4" t="s">
        <v>780</v>
      </c>
      <c r="N2769" s="133" t="s">
        <v>1407</v>
      </c>
      <c r="O2769" s="4" t="s">
        <v>1268</v>
      </c>
      <c r="P2769" s="4" t="s">
        <v>892</v>
      </c>
      <c r="Q2769" s="4" t="s">
        <v>1269</v>
      </c>
      <c r="R2769" s="4" t="s">
        <v>2678</v>
      </c>
      <c r="S2769" s="4" t="s">
        <v>1271</v>
      </c>
      <c r="T2769" s="4" t="s">
        <v>786</v>
      </c>
      <c r="U2769" s="4"/>
      <c r="V2769" s="4"/>
      <c r="W2769" s="4"/>
    </row>
    <row r="2770" spans="1:23" customFormat="1">
      <c r="A2770" s="10"/>
      <c r="B2770" s="4"/>
      <c r="C2770" s="4"/>
      <c r="D2770" s="4"/>
      <c r="E2770" s="4"/>
      <c r="F2770" s="152" t="s">
        <v>289</v>
      </c>
      <c r="G2770" s="4" t="s">
        <v>290</v>
      </c>
      <c r="H2770" s="4"/>
      <c r="I2770" s="196">
        <v>-2947350</v>
      </c>
      <c r="J2770" s="196">
        <v>-2005</v>
      </c>
      <c r="K2770" s="196">
        <v>1470</v>
      </c>
      <c r="L2770" s="454" t="s">
        <v>1239</v>
      </c>
      <c r="M2770" s="4" t="s">
        <v>780</v>
      </c>
      <c r="N2770" s="133" t="s">
        <v>1407</v>
      </c>
      <c r="O2770" s="4" t="s">
        <v>2679</v>
      </c>
      <c r="P2770" s="4" t="s">
        <v>892</v>
      </c>
      <c r="Q2770" s="4" t="s">
        <v>2680</v>
      </c>
      <c r="R2770" s="4" t="s">
        <v>2690</v>
      </c>
      <c r="S2770" s="4" t="s">
        <v>2682</v>
      </c>
      <c r="T2770" s="4" t="s">
        <v>786</v>
      </c>
      <c r="U2770" s="4"/>
      <c r="V2770" s="4"/>
      <c r="W2770" s="4"/>
    </row>
    <row r="2771" spans="1:23" customFormat="1">
      <c r="A2771" s="10"/>
      <c r="B2771" s="4"/>
      <c r="C2771" s="4"/>
      <c r="D2771" s="4"/>
      <c r="E2771" s="4"/>
      <c r="F2771" s="152" t="s">
        <v>289</v>
      </c>
      <c r="G2771" s="4" t="s">
        <v>290</v>
      </c>
      <c r="H2771" s="4"/>
      <c r="I2771" s="196">
        <v>-4814250</v>
      </c>
      <c r="J2771" s="196">
        <v>-3275</v>
      </c>
      <c r="K2771" s="196">
        <v>1470</v>
      </c>
      <c r="L2771" s="454" t="s">
        <v>1239</v>
      </c>
      <c r="M2771" s="4" t="s">
        <v>780</v>
      </c>
      <c r="N2771" s="133" t="s">
        <v>1407</v>
      </c>
      <c r="O2771" s="4" t="s">
        <v>2679</v>
      </c>
      <c r="P2771" s="4" t="s">
        <v>892</v>
      </c>
      <c r="Q2771" s="4" t="s">
        <v>2680</v>
      </c>
      <c r="R2771" s="4" t="s">
        <v>2691</v>
      </c>
      <c r="S2771" s="4" t="s">
        <v>2682</v>
      </c>
      <c r="T2771" s="4" t="s">
        <v>786</v>
      </c>
      <c r="U2771" s="4"/>
      <c r="V2771" s="4"/>
      <c r="W2771" s="4"/>
    </row>
    <row r="2772" spans="1:23" customFormat="1">
      <c r="A2772" s="10"/>
      <c r="B2772" s="4"/>
      <c r="C2772" s="4"/>
      <c r="D2772" s="4"/>
      <c r="E2772" s="4"/>
      <c r="F2772" s="152" t="s">
        <v>289</v>
      </c>
      <c r="G2772" s="4" t="s">
        <v>290</v>
      </c>
      <c r="H2772" s="4"/>
      <c r="I2772" s="196">
        <v>-6005979</v>
      </c>
      <c r="J2772" s="196">
        <v>-4085.7</v>
      </c>
      <c r="K2772" s="196">
        <v>1470</v>
      </c>
      <c r="L2772" s="454" t="s">
        <v>1239</v>
      </c>
      <c r="M2772" s="4" t="s">
        <v>780</v>
      </c>
      <c r="N2772" s="133" t="s">
        <v>1407</v>
      </c>
      <c r="O2772" s="4" t="s">
        <v>2679</v>
      </c>
      <c r="P2772" s="4" t="s">
        <v>892</v>
      </c>
      <c r="Q2772" s="4" t="s">
        <v>2680</v>
      </c>
      <c r="R2772" s="4" t="s">
        <v>2687</v>
      </c>
      <c r="S2772" s="4" t="s">
        <v>2682</v>
      </c>
      <c r="T2772" s="4" t="s">
        <v>786</v>
      </c>
      <c r="U2772" s="4"/>
      <c r="V2772" s="4"/>
      <c r="W2772" s="4"/>
    </row>
    <row r="2773" spans="1:23" customFormat="1">
      <c r="A2773" s="10"/>
      <c r="B2773" s="4"/>
      <c r="C2773" s="4"/>
      <c r="D2773" s="4"/>
      <c r="E2773" s="4"/>
      <c r="F2773" s="152" t="s">
        <v>289</v>
      </c>
      <c r="G2773" s="4" t="s">
        <v>290</v>
      </c>
      <c r="H2773" s="4"/>
      <c r="I2773" s="196">
        <v>-981225</v>
      </c>
      <c r="J2773" s="196">
        <v>-667.5</v>
      </c>
      <c r="K2773" s="196">
        <v>1470</v>
      </c>
      <c r="L2773" s="454" t="s">
        <v>1239</v>
      </c>
      <c r="M2773" s="4" t="s">
        <v>780</v>
      </c>
      <c r="N2773" s="133" t="s">
        <v>1407</v>
      </c>
      <c r="O2773" s="4" t="s">
        <v>2679</v>
      </c>
      <c r="P2773" s="4" t="s">
        <v>892</v>
      </c>
      <c r="Q2773" s="4" t="s">
        <v>2680</v>
      </c>
      <c r="R2773" s="4" t="s">
        <v>2693</v>
      </c>
      <c r="S2773" s="4" t="s">
        <v>2682</v>
      </c>
      <c r="T2773" s="4" t="s">
        <v>786</v>
      </c>
      <c r="U2773" s="4"/>
      <c r="V2773" s="4"/>
      <c r="W2773" s="4"/>
    </row>
    <row r="2774" spans="1:23" customFormat="1">
      <c r="A2774" s="10"/>
      <c r="B2774" s="4"/>
      <c r="C2774" s="4"/>
      <c r="D2774" s="4"/>
      <c r="E2774" s="4"/>
      <c r="F2774" s="152" t="s">
        <v>289</v>
      </c>
      <c r="G2774" s="4" t="s">
        <v>290</v>
      </c>
      <c r="H2774" s="4"/>
      <c r="I2774" s="196">
        <v>-4498200</v>
      </c>
      <c r="J2774" s="196">
        <v>-3060</v>
      </c>
      <c r="K2774" s="196">
        <v>1470</v>
      </c>
      <c r="L2774" s="454" t="s">
        <v>1239</v>
      </c>
      <c r="M2774" s="4" t="s">
        <v>780</v>
      </c>
      <c r="N2774" s="133" t="s">
        <v>1407</v>
      </c>
      <c r="O2774" s="4" t="s">
        <v>2679</v>
      </c>
      <c r="P2774" s="4" t="s">
        <v>892</v>
      </c>
      <c r="Q2774" s="4" t="s">
        <v>2680</v>
      </c>
      <c r="R2774" s="4" t="s">
        <v>2684</v>
      </c>
      <c r="S2774" s="4" t="s">
        <v>2682</v>
      </c>
      <c r="T2774" s="4" t="s">
        <v>786</v>
      </c>
      <c r="U2774" s="4"/>
      <c r="V2774" s="4"/>
      <c r="W2774" s="4"/>
    </row>
    <row r="2775" spans="1:23" customFormat="1">
      <c r="A2775" s="10"/>
      <c r="B2775" s="4"/>
      <c r="C2775" s="4"/>
      <c r="D2775" s="4"/>
      <c r="E2775" s="4"/>
      <c r="F2775" s="152" t="s">
        <v>289</v>
      </c>
      <c r="G2775" s="4" t="s">
        <v>290</v>
      </c>
      <c r="H2775" s="4"/>
      <c r="I2775" s="196">
        <v>-2017575</v>
      </c>
      <c r="J2775" s="196">
        <v>-1372.5</v>
      </c>
      <c r="K2775" s="196">
        <v>1470</v>
      </c>
      <c r="L2775" s="454" t="s">
        <v>1239</v>
      </c>
      <c r="M2775" s="4" t="s">
        <v>780</v>
      </c>
      <c r="N2775" s="133" t="s">
        <v>1407</v>
      </c>
      <c r="O2775" s="4" t="s">
        <v>2679</v>
      </c>
      <c r="P2775" s="4" t="s">
        <v>892</v>
      </c>
      <c r="Q2775" s="4" t="s">
        <v>2680</v>
      </c>
      <c r="R2775" s="4" t="s">
        <v>2685</v>
      </c>
      <c r="S2775" s="4" t="s">
        <v>2682</v>
      </c>
      <c r="T2775" s="4" t="s">
        <v>786</v>
      </c>
      <c r="U2775" s="4"/>
      <c r="V2775" s="4"/>
      <c r="W2775" s="4"/>
    </row>
    <row r="2776" spans="1:23" customFormat="1">
      <c r="A2776" s="10"/>
      <c r="B2776" s="4"/>
      <c r="C2776" s="4"/>
      <c r="D2776" s="4"/>
      <c r="E2776" s="4"/>
      <c r="F2776" s="152" t="s">
        <v>289</v>
      </c>
      <c r="G2776" s="4" t="s">
        <v>290</v>
      </c>
      <c r="H2776" s="4"/>
      <c r="I2776" s="196">
        <v>-1863739.5</v>
      </c>
      <c r="J2776" s="196">
        <v>-1267.8499999999999</v>
      </c>
      <c r="K2776" s="196">
        <v>1470</v>
      </c>
      <c r="L2776" s="454" t="s">
        <v>1239</v>
      </c>
      <c r="M2776" s="4" t="s">
        <v>780</v>
      </c>
      <c r="N2776" s="133" t="s">
        <v>1407</v>
      </c>
      <c r="O2776" s="4" t="s">
        <v>2679</v>
      </c>
      <c r="P2776" s="4" t="s">
        <v>892</v>
      </c>
      <c r="Q2776" s="4" t="s">
        <v>2680</v>
      </c>
      <c r="R2776" s="4" t="s">
        <v>2683</v>
      </c>
      <c r="S2776" s="4" t="s">
        <v>2682</v>
      </c>
      <c r="T2776" s="4" t="s">
        <v>786</v>
      </c>
      <c r="U2776" s="4"/>
      <c r="V2776" s="4"/>
      <c r="W2776" s="4"/>
    </row>
    <row r="2777" spans="1:23" customFormat="1">
      <c r="A2777" s="10"/>
      <c r="B2777" s="4"/>
      <c r="C2777" s="4"/>
      <c r="D2777" s="4"/>
      <c r="E2777" s="4"/>
      <c r="F2777" s="152" t="s">
        <v>289</v>
      </c>
      <c r="G2777" s="4" t="s">
        <v>290</v>
      </c>
      <c r="H2777" s="4"/>
      <c r="I2777" s="196">
        <v>-18044250</v>
      </c>
      <c r="J2777" s="196">
        <v>-12275</v>
      </c>
      <c r="K2777" s="196">
        <v>1470</v>
      </c>
      <c r="L2777" s="454" t="s">
        <v>1239</v>
      </c>
      <c r="M2777" s="4" t="s">
        <v>780</v>
      </c>
      <c r="N2777" s="133" t="s">
        <v>1407</v>
      </c>
      <c r="O2777" s="4" t="s">
        <v>2679</v>
      </c>
      <c r="P2777" s="4" t="s">
        <v>892</v>
      </c>
      <c r="Q2777" s="4" t="s">
        <v>2680</v>
      </c>
      <c r="R2777" s="4" t="s">
        <v>2681</v>
      </c>
      <c r="S2777" s="4" t="s">
        <v>2682</v>
      </c>
      <c r="T2777" s="4" t="s">
        <v>786</v>
      </c>
      <c r="U2777" s="4"/>
      <c r="V2777" s="4"/>
      <c r="W2777" s="4"/>
    </row>
    <row r="2778" spans="1:23" customFormat="1">
      <c r="A2778" s="10"/>
      <c r="B2778" s="4"/>
      <c r="C2778" s="4"/>
      <c r="D2778" s="4"/>
      <c r="E2778" s="4"/>
      <c r="F2778" s="152" t="s">
        <v>289</v>
      </c>
      <c r="G2778" s="4" t="s">
        <v>290</v>
      </c>
      <c r="H2778" s="4"/>
      <c r="I2778" s="196">
        <v>-2885610</v>
      </c>
      <c r="J2778" s="196">
        <v>-1963</v>
      </c>
      <c r="K2778" s="196">
        <v>1470</v>
      </c>
      <c r="L2778" s="454" t="s">
        <v>1239</v>
      </c>
      <c r="M2778" s="4" t="s">
        <v>780</v>
      </c>
      <c r="N2778" s="133" t="s">
        <v>1407</v>
      </c>
      <c r="O2778" s="4" t="s">
        <v>2679</v>
      </c>
      <c r="P2778" s="4" t="s">
        <v>892</v>
      </c>
      <c r="Q2778" s="4" t="s">
        <v>2680</v>
      </c>
      <c r="R2778" s="4" t="s">
        <v>2694</v>
      </c>
      <c r="S2778" s="4" t="s">
        <v>2682</v>
      </c>
      <c r="T2778" s="4" t="s">
        <v>786</v>
      </c>
      <c r="U2778" s="4"/>
      <c r="V2778" s="4"/>
      <c r="W2778" s="4"/>
    </row>
    <row r="2779" spans="1:23" customFormat="1">
      <c r="A2779" s="10"/>
      <c r="B2779" s="4"/>
      <c r="C2779" s="4"/>
      <c r="D2779" s="4"/>
      <c r="E2779" s="4"/>
      <c r="F2779" s="152" t="s">
        <v>289</v>
      </c>
      <c r="G2779" s="4" t="s">
        <v>290</v>
      </c>
      <c r="H2779" s="4"/>
      <c r="I2779" s="196">
        <v>-1874250</v>
      </c>
      <c r="J2779" s="196">
        <v>-1275</v>
      </c>
      <c r="K2779" s="196">
        <v>1470</v>
      </c>
      <c r="L2779" s="454" t="s">
        <v>1239</v>
      </c>
      <c r="M2779" s="4" t="s">
        <v>780</v>
      </c>
      <c r="N2779" s="133" t="s">
        <v>1407</v>
      </c>
      <c r="O2779" s="4" t="s">
        <v>1402</v>
      </c>
      <c r="P2779" s="4" t="s">
        <v>892</v>
      </c>
      <c r="Q2779" s="4" t="s">
        <v>1403</v>
      </c>
      <c r="R2779" s="4" t="s">
        <v>2695</v>
      </c>
      <c r="S2779" s="4" t="s">
        <v>1405</v>
      </c>
      <c r="T2779" s="4" t="s">
        <v>786</v>
      </c>
      <c r="U2779" s="4"/>
      <c r="V2779" s="4"/>
      <c r="W2779" s="4"/>
    </row>
    <row r="2780" spans="1:23" customFormat="1">
      <c r="A2780" s="10"/>
      <c r="B2780" s="4"/>
      <c r="C2780" s="4"/>
      <c r="D2780" s="4"/>
      <c r="E2780" s="4"/>
      <c r="F2780" s="152" t="s">
        <v>289</v>
      </c>
      <c r="G2780" s="4" t="s">
        <v>290</v>
      </c>
      <c r="H2780" s="4"/>
      <c r="I2780" s="196">
        <v>-5056800</v>
      </c>
      <c r="J2780" s="196">
        <v>-3440</v>
      </c>
      <c r="K2780" s="196">
        <v>1470</v>
      </c>
      <c r="L2780" s="454" t="s">
        <v>1239</v>
      </c>
      <c r="M2780" s="4" t="s">
        <v>780</v>
      </c>
      <c r="N2780" s="133" t="s">
        <v>1407</v>
      </c>
      <c r="O2780" s="4" t="s">
        <v>1402</v>
      </c>
      <c r="P2780" s="4" t="s">
        <v>892</v>
      </c>
      <c r="Q2780" s="4" t="s">
        <v>1403</v>
      </c>
      <c r="R2780" s="4" t="s">
        <v>2697</v>
      </c>
      <c r="S2780" s="4" t="s">
        <v>1405</v>
      </c>
      <c r="T2780" s="4" t="s">
        <v>786</v>
      </c>
      <c r="U2780" s="4"/>
      <c r="V2780" s="4"/>
      <c r="W2780" s="4"/>
    </row>
    <row r="2781" spans="1:23" customFormat="1">
      <c r="A2781" s="10"/>
      <c r="B2781" s="4"/>
      <c r="C2781" s="4"/>
      <c r="D2781" s="4"/>
      <c r="E2781" s="4"/>
      <c r="F2781" s="152" t="s">
        <v>289</v>
      </c>
      <c r="G2781" s="4" t="s">
        <v>290</v>
      </c>
      <c r="H2781" s="4"/>
      <c r="I2781" s="196">
        <v>-1874250</v>
      </c>
      <c r="J2781" s="196">
        <v>-1275</v>
      </c>
      <c r="K2781" s="196">
        <v>1470</v>
      </c>
      <c r="L2781" s="454" t="s">
        <v>1239</v>
      </c>
      <c r="M2781" s="4" t="s">
        <v>780</v>
      </c>
      <c r="N2781" s="133" t="s">
        <v>1407</v>
      </c>
      <c r="O2781" s="4" t="s">
        <v>1402</v>
      </c>
      <c r="P2781" s="4" t="s">
        <v>892</v>
      </c>
      <c r="Q2781" s="4" t="s">
        <v>1403</v>
      </c>
      <c r="R2781" s="4" t="s">
        <v>2698</v>
      </c>
      <c r="S2781" s="4" t="s">
        <v>1405</v>
      </c>
      <c r="T2781" s="4" t="s">
        <v>786</v>
      </c>
      <c r="U2781" s="4"/>
      <c r="V2781" s="4"/>
      <c r="W2781" s="4"/>
    </row>
    <row r="2782" spans="1:23" customFormat="1">
      <c r="A2782" s="10"/>
      <c r="B2782" s="4"/>
      <c r="C2782" s="4"/>
      <c r="D2782" s="4"/>
      <c r="E2782" s="4"/>
      <c r="F2782" s="152" t="s">
        <v>289</v>
      </c>
      <c r="G2782" s="4" t="s">
        <v>290</v>
      </c>
      <c r="H2782" s="4"/>
      <c r="I2782" s="196">
        <v>-3932250</v>
      </c>
      <c r="J2782" s="196">
        <v>-2675</v>
      </c>
      <c r="K2782" s="196">
        <v>1470</v>
      </c>
      <c r="L2782" s="454" t="s">
        <v>1239</v>
      </c>
      <c r="M2782" s="4" t="s">
        <v>780</v>
      </c>
      <c r="N2782" s="133" t="s">
        <v>1407</v>
      </c>
      <c r="O2782" s="4" t="s">
        <v>1402</v>
      </c>
      <c r="P2782" s="4" t="s">
        <v>892</v>
      </c>
      <c r="Q2782" s="4" t="s">
        <v>1403</v>
      </c>
      <c r="R2782" s="4" t="s">
        <v>2701</v>
      </c>
      <c r="S2782" s="4" t="s">
        <v>1405</v>
      </c>
      <c r="T2782" s="4" t="s">
        <v>786</v>
      </c>
      <c r="U2782" s="4"/>
      <c r="V2782" s="4"/>
      <c r="W2782" s="4"/>
    </row>
    <row r="2783" spans="1:23" customFormat="1">
      <c r="A2783" s="10"/>
      <c r="B2783" s="4"/>
      <c r="C2783" s="4"/>
      <c r="D2783" s="4"/>
      <c r="E2783" s="4"/>
      <c r="F2783" s="152" t="s">
        <v>289</v>
      </c>
      <c r="G2783" s="4" t="s">
        <v>290</v>
      </c>
      <c r="H2783" s="4"/>
      <c r="I2783" s="196">
        <v>-1613325</v>
      </c>
      <c r="J2783" s="196">
        <v>-1097.5</v>
      </c>
      <c r="K2783" s="196">
        <v>1470</v>
      </c>
      <c r="L2783" s="454" t="s">
        <v>1239</v>
      </c>
      <c r="M2783" s="4" t="s">
        <v>780</v>
      </c>
      <c r="N2783" s="133" t="s">
        <v>1407</v>
      </c>
      <c r="O2783" s="4" t="s">
        <v>1402</v>
      </c>
      <c r="P2783" s="4" t="s">
        <v>892</v>
      </c>
      <c r="Q2783" s="4" t="s">
        <v>1403</v>
      </c>
      <c r="R2783" s="4" t="s">
        <v>2702</v>
      </c>
      <c r="S2783" s="4" t="s">
        <v>1405</v>
      </c>
      <c r="T2783" s="4" t="s">
        <v>786</v>
      </c>
      <c r="U2783" s="4"/>
      <c r="V2783" s="4"/>
      <c r="W2783" s="4"/>
    </row>
    <row r="2784" spans="1:23" customFormat="1">
      <c r="A2784" s="10"/>
      <c r="B2784" s="4"/>
      <c r="C2784" s="4"/>
      <c r="D2784" s="4"/>
      <c r="E2784" s="4"/>
      <c r="F2784" s="152" t="s">
        <v>289</v>
      </c>
      <c r="G2784" s="4" t="s">
        <v>290</v>
      </c>
      <c r="H2784" s="4"/>
      <c r="I2784" s="196">
        <v>-1903650</v>
      </c>
      <c r="J2784" s="196">
        <v>-1295</v>
      </c>
      <c r="K2784" s="196">
        <v>1470</v>
      </c>
      <c r="L2784" s="454" t="s">
        <v>1239</v>
      </c>
      <c r="M2784" s="4" t="s">
        <v>780</v>
      </c>
      <c r="N2784" s="133" t="s">
        <v>1407</v>
      </c>
      <c r="O2784" s="4" t="s">
        <v>1402</v>
      </c>
      <c r="P2784" s="4" t="s">
        <v>892</v>
      </c>
      <c r="Q2784" s="4" t="s">
        <v>1403</v>
      </c>
      <c r="R2784" s="4" t="s">
        <v>2703</v>
      </c>
      <c r="S2784" s="4" t="s">
        <v>1405</v>
      </c>
      <c r="T2784" s="4" t="s">
        <v>786</v>
      </c>
      <c r="U2784" s="4"/>
      <c r="V2784" s="4"/>
      <c r="W2784" s="4"/>
    </row>
    <row r="2785" spans="1:23" customFormat="1">
      <c r="A2785" s="10"/>
      <c r="B2785" s="4"/>
      <c r="C2785" s="4"/>
      <c r="D2785" s="4"/>
      <c r="E2785" s="4"/>
      <c r="F2785" s="152" t="s">
        <v>289</v>
      </c>
      <c r="G2785" s="4" t="s">
        <v>290</v>
      </c>
      <c r="H2785" s="4"/>
      <c r="I2785" s="196">
        <v>-1739500</v>
      </c>
      <c r="J2785" s="196">
        <v>-1225</v>
      </c>
      <c r="K2785" s="196">
        <v>1420</v>
      </c>
      <c r="L2785" s="454" t="s">
        <v>1239</v>
      </c>
      <c r="M2785" s="4" t="s">
        <v>780</v>
      </c>
      <c r="N2785" s="133" t="s">
        <v>1407</v>
      </c>
      <c r="O2785" s="4" t="s">
        <v>1402</v>
      </c>
      <c r="P2785" s="4" t="s">
        <v>892</v>
      </c>
      <c r="Q2785" s="4" t="s">
        <v>1403</v>
      </c>
      <c r="R2785" s="4" t="s">
        <v>2704</v>
      </c>
      <c r="S2785" s="4" t="s">
        <v>1405</v>
      </c>
      <c r="T2785" s="4" t="s">
        <v>786</v>
      </c>
      <c r="U2785" s="4"/>
      <c r="V2785" s="4"/>
      <c r="W2785" s="4"/>
    </row>
    <row r="2786" spans="1:23" customFormat="1">
      <c r="A2786" s="10"/>
      <c r="B2786" s="4"/>
      <c r="C2786" s="4"/>
      <c r="D2786" s="4"/>
      <c r="E2786" s="4"/>
      <c r="F2786" s="152" t="s">
        <v>289</v>
      </c>
      <c r="G2786" s="4" t="s">
        <v>290</v>
      </c>
      <c r="H2786" s="4"/>
      <c r="I2786" s="196">
        <v>-9922500</v>
      </c>
      <c r="J2786" s="196">
        <v>-6750</v>
      </c>
      <c r="K2786" s="196">
        <v>1470</v>
      </c>
      <c r="L2786" s="454" t="s">
        <v>1239</v>
      </c>
      <c r="M2786" s="4" t="s">
        <v>780</v>
      </c>
      <c r="N2786" s="133" t="s">
        <v>1407</v>
      </c>
      <c r="O2786" s="4" t="s">
        <v>1402</v>
      </c>
      <c r="P2786" s="4" t="s">
        <v>892</v>
      </c>
      <c r="Q2786" s="4" t="s">
        <v>1403</v>
      </c>
      <c r="R2786" s="4" t="s">
        <v>2700</v>
      </c>
      <c r="S2786" s="4" t="s">
        <v>1405</v>
      </c>
      <c r="T2786" s="4" t="s">
        <v>786</v>
      </c>
      <c r="U2786" s="4"/>
      <c r="V2786" s="4"/>
      <c r="W2786" s="4"/>
    </row>
    <row r="2787" spans="1:23" customFormat="1">
      <c r="A2787" s="10"/>
      <c r="B2787" s="4"/>
      <c r="C2787" s="4"/>
      <c r="D2787" s="4"/>
      <c r="E2787" s="4"/>
      <c r="F2787" s="152" t="s">
        <v>289</v>
      </c>
      <c r="G2787" s="4" t="s">
        <v>290</v>
      </c>
      <c r="H2787" s="4"/>
      <c r="I2787" s="196">
        <v>-5541900</v>
      </c>
      <c r="J2787" s="196">
        <v>-3770</v>
      </c>
      <c r="K2787" s="196">
        <v>1470</v>
      </c>
      <c r="L2787" s="454" t="s">
        <v>1239</v>
      </c>
      <c r="M2787" s="4" t="s">
        <v>780</v>
      </c>
      <c r="N2787" s="133" t="s">
        <v>1407</v>
      </c>
      <c r="O2787" s="4" t="s">
        <v>1402</v>
      </c>
      <c r="P2787" s="4" t="s">
        <v>892</v>
      </c>
      <c r="Q2787" s="4" t="s">
        <v>1403</v>
      </c>
      <c r="R2787" s="4" t="s">
        <v>2701</v>
      </c>
      <c r="S2787" s="4" t="s">
        <v>1405</v>
      </c>
      <c r="T2787" s="4" t="s">
        <v>786</v>
      </c>
      <c r="U2787" s="4"/>
      <c r="V2787" s="4"/>
      <c r="W2787" s="4"/>
    </row>
    <row r="2788" spans="1:23" customFormat="1">
      <c r="A2788" s="10"/>
      <c r="B2788" s="4"/>
      <c r="C2788" s="4"/>
      <c r="D2788" s="4"/>
      <c r="E2788" s="4"/>
      <c r="F2788" s="152" t="s">
        <v>289</v>
      </c>
      <c r="G2788" s="4" t="s">
        <v>290</v>
      </c>
      <c r="H2788" s="4"/>
      <c r="I2788" s="196">
        <v>-617400</v>
      </c>
      <c r="J2788" s="196">
        <v>-420</v>
      </c>
      <c r="K2788" s="196">
        <v>1470</v>
      </c>
      <c r="L2788" s="454" t="s">
        <v>1239</v>
      </c>
      <c r="M2788" s="4" t="s">
        <v>780</v>
      </c>
      <c r="N2788" s="133" t="s">
        <v>1407</v>
      </c>
      <c r="O2788" s="4" t="s">
        <v>1402</v>
      </c>
      <c r="P2788" s="4" t="s">
        <v>892</v>
      </c>
      <c r="Q2788" s="4" t="s">
        <v>1403</v>
      </c>
      <c r="R2788" s="4" t="s">
        <v>2699</v>
      </c>
      <c r="S2788" s="4" t="s">
        <v>1405</v>
      </c>
      <c r="T2788" s="4" t="s">
        <v>786</v>
      </c>
      <c r="U2788" s="4"/>
      <c r="V2788" s="4"/>
      <c r="W2788" s="4"/>
    </row>
    <row r="2789" spans="1:23" customFormat="1">
      <c r="A2789" s="10"/>
      <c r="B2789" s="4"/>
      <c r="C2789" s="4"/>
      <c r="D2789" s="4"/>
      <c r="E2789" s="4"/>
      <c r="F2789" s="152" t="s">
        <v>289</v>
      </c>
      <c r="G2789" s="4" t="s">
        <v>290</v>
      </c>
      <c r="H2789" s="4"/>
      <c r="I2789" s="196">
        <v>-3142125</v>
      </c>
      <c r="J2789" s="196">
        <v>-2137.5</v>
      </c>
      <c r="K2789" s="196">
        <v>1470</v>
      </c>
      <c r="L2789" s="454" t="s">
        <v>1239</v>
      </c>
      <c r="M2789" s="4" t="s">
        <v>780</v>
      </c>
      <c r="N2789" s="133" t="s">
        <v>1407</v>
      </c>
      <c r="O2789" s="4" t="s">
        <v>1402</v>
      </c>
      <c r="P2789" s="4" t="s">
        <v>892</v>
      </c>
      <c r="Q2789" s="4" t="s">
        <v>1403</v>
      </c>
      <c r="R2789" s="4" t="s">
        <v>2696</v>
      </c>
      <c r="S2789" s="4" t="s">
        <v>1405</v>
      </c>
      <c r="T2789" s="4" t="s">
        <v>786</v>
      </c>
      <c r="U2789" s="4"/>
      <c r="V2789" s="4"/>
      <c r="W2789" s="4"/>
    </row>
    <row r="2790" spans="1:23" customFormat="1">
      <c r="A2790" s="10"/>
      <c r="B2790" s="4"/>
      <c r="C2790" s="4"/>
      <c r="D2790" s="4"/>
      <c r="E2790" s="4"/>
      <c r="F2790" s="152" t="s">
        <v>295</v>
      </c>
      <c r="G2790" s="4" t="s">
        <v>296</v>
      </c>
      <c r="H2790" s="4"/>
      <c r="I2790" s="196">
        <v>-3160920</v>
      </c>
      <c r="J2790" s="196">
        <v>-2226</v>
      </c>
      <c r="K2790" s="196">
        <v>1420</v>
      </c>
      <c r="L2790" s="454" t="s">
        <v>787</v>
      </c>
      <c r="M2790" s="4" t="s">
        <v>1566</v>
      </c>
      <c r="N2790" s="133" t="s">
        <v>1407</v>
      </c>
      <c r="O2790" s="4" t="s">
        <v>1567</v>
      </c>
      <c r="P2790" s="4" t="s">
        <v>1568</v>
      </c>
      <c r="Q2790" s="4" t="s">
        <v>1569</v>
      </c>
      <c r="R2790" s="4" t="s">
        <v>1570</v>
      </c>
      <c r="S2790" s="4" t="s">
        <v>1571</v>
      </c>
      <c r="T2790" s="4" t="s">
        <v>786</v>
      </c>
      <c r="U2790" s="4"/>
      <c r="V2790" s="4"/>
      <c r="W2790" s="4"/>
    </row>
    <row r="2791" spans="1:23" customFormat="1">
      <c r="A2791" s="10"/>
      <c r="B2791" s="4"/>
      <c r="C2791" s="4"/>
      <c r="D2791" s="4"/>
      <c r="E2791" s="4"/>
      <c r="F2791" s="152" t="s">
        <v>295</v>
      </c>
      <c r="G2791" s="4" t="s">
        <v>296</v>
      </c>
      <c r="H2791" s="4"/>
      <c r="I2791" s="196">
        <v>-3198550</v>
      </c>
      <c r="J2791" s="196">
        <v>-2252.5</v>
      </c>
      <c r="K2791" s="196">
        <v>1420</v>
      </c>
      <c r="L2791" s="454" t="s">
        <v>787</v>
      </c>
      <c r="M2791" s="4" t="s">
        <v>1566</v>
      </c>
      <c r="N2791" s="133" t="s">
        <v>1407</v>
      </c>
      <c r="O2791" s="4" t="s">
        <v>1572</v>
      </c>
      <c r="P2791" s="4" t="s">
        <v>1568</v>
      </c>
      <c r="Q2791" s="4" t="s">
        <v>1573</v>
      </c>
      <c r="R2791" s="4" t="s">
        <v>1570</v>
      </c>
      <c r="S2791" s="4" t="s">
        <v>1574</v>
      </c>
      <c r="T2791" s="4" t="s">
        <v>786</v>
      </c>
      <c r="U2791" s="4"/>
      <c r="V2791" s="4"/>
      <c r="W2791" s="4"/>
    </row>
    <row r="2792" spans="1:23" customFormat="1">
      <c r="A2792" s="10"/>
      <c r="B2792" s="4"/>
      <c r="C2792" s="4"/>
      <c r="D2792" s="4"/>
      <c r="E2792" s="4"/>
      <c r="F2792" s="152" t="s">
        <v>295</v>
      </c>
      <c r="G2792" s="4" t="s">
        <v>296</v>
      </c>
      <c r="H2792" s="4"/>
      <c r="I2792" s="196">
        <v>-1994390</v>
      </c>
      <c r="J2792" s="196">
        <v>-1404.5</v>
      </c>
      <c r="K2792" s="196">
        <v>1420</v>
      </c>
      <c r="L2792" s="454" t="s">
        <v>787</v>
      </c>
      <c r="M2792" s="4" t="s">
        <v>1566</v>
      </c>
      <c r="N2792" s="133" t="s">
        <v>1407</v>
      </c>
      <c r="O2792" s="4" t="s">
        <v>1575</v>
      </c>
      <c r="P2792" s="4" t="s">
        <v>1568</v>
      </c>
      <c r="Q2792" s="4" t="s">
        <v>1576</v>
      </c>
      <c r="R2792" s="4" t="s">
        <v>1570</v>
      </c>
      <c r="S2792" s="4" t="s">
        <v>1577</v>
      </c>
      <c r="T2792" s="4" t="s">
        <v>786</v>
      </c>
      <c r="U2792" s="4"/>
      <c r="V2792" s="4"/>
      <c r="W2792" s="4"/>
    </row>
    <row r="2793" spans="1:23" customFormat="1">
      <c r="A2793" s="10"/>
      <c r="B2793" s="4"/>
      <c r="C2793" s="4"/>
      <c r="D2793" s="4"/>
      <c r="E2793" s="4"/>
      <c r="F2793" s="152" t="s">
        <v>295</v>
      </c>
      <c r="G2793" s="4" t="s">
        <v>296</v>
      </c>
      <c r="H2793" s="4"/>
      <c r="I2793" s="196">
        <v>-2032020</v>
      </c>
      <c r="J2793" s="196">
        <v>-1431</v>
      </c>
      <c r="K2793" s="196">
        <v>1420</v>
      </c>
      <c r="L2793" s="454" t="s">
        <v>787</v>
      </c>
      <c r="M2793" s="4" t="s">
        <v>1566</v>
      </c>
      <c r="N2793" s="133" t="s">
        <v>1407</v>
      </c>
      <c r="O2793" s="4" t="s">
        <v>1578</v>
      </c>
      <c r="P2793" s="4" t="s">
        <v>1568</v>
      </c>
      <c r="Q2793" s="4" t="s">
        <v>1579</v>
      </c>
      <c r="R2793" s="4" t="s">
        <v>1570</v>
      </c>
      <c r="S2793" s="4" t="s">
        <v>1580</v>
      </c>
      <c r="T2793" s="4" t="s">
        <v>786</v>
      </c>
      <c r="U2793" s="4"/>
      <c r="V2793" s="4"/>
      <c r="W2793" s="4"/>
    </row>
    <row r="2794" spans="1:23" customFormat="1">
      <c r="A2794" s="10"/>
      <c r="B2794" s="4"/>
      <c r="C2794" s="4"/>
      <c r="D2794" s="4"/>
      <c r="E2794" s="4"/>
      <c r="F2794" s="152" t="s">
        <v>295</v>
      </c>
      <c r="G2794" s="4" t="s">
        <v>296</v>
      </c>
      <c r="H2794" s="4"/>
      <c r="I2794" s="196">
        <v>-2408320</v>
      </c>
      <c r="J2794" s="196">
        <v>-1696</v>
      </c>
      <c r="K2794" s="196">
        <v>1420</v>
      </c>
      <c r="L2794" s="454" t="s">
        <v>787</v>
      </c>
      <c r="M2794" s="4" t="s">
        <v>1566</v>
      </c>
      <c r="N2794" s="133" t="s">
        <v>1407</v>
      </c>
      <c r="O2794" s="4" t="s">
        <v>1581</v>
      </c>
      <c r="P2794" s="4" t="s">
        <v>1568</v>
      </c>
      <c r="Q2794" s="4" t="s">
        <v>1582</v>
      </c>
      <c r="R2794" s="4" t="s">
        <v>1570</v>
      </c>
      <c r="S2794" s="4" t="s">
        <v>1583</v>
      </c>
      <c r="T2794" s="4" t="s">
        <v>786</v>
      </c>
      <c r="U2794" s="4"/>
      <c r="V2794" s="4"/>
      <c r="W2794" s="4"/>
    </row>
    <row r="2795" spans="1:23" customFormat="1">
      <c r="A2795" s="10"/>
      <c r="B2795" s="4"/>
      <c r="C2795" s="4"/>
      <c r="D2795" s="4"/>
      <c r="E2795" s="4"/>
      <c r="F2795" s="152" t="s">
        <v>295</v>
      </c>
      <c r="G2795" s="4" t="s">
        <v>296</v>
      </c>
      <c r="H2795" s="4"/>
      <c r="I2795" s="196">
        <v>-3499590</v>
      </c>
      <c r="J2795" s="196">
        <v>-2464.5</v>
      </c>
      <c r="K2795" s="196">
        <v>1420</v>
      </c>
      <c r="L2795" s="454" t="s">
        <v>787</v>
      </c>
      <c r="M2795" s="4" t="s">
        <v>1566</v>
      </c>
      <c r="N2795" s="133" t="s">
        <v>1407</v>
      </c>
      <c r="O2795" s="4" t="s">
        <v>1584</v>
      </c>
      <c r="P2795" s="4" t="s">
        <v>1568</v>
      </c>
      <c r="Q2795" s="4" t="s">
        <v>1585</v>
      </c>
      <c r="R2795" s="4" t="s">
        <v>1570</v>
      </c>
      <c r="S2795" s="4" t="s">
        <v>1586</v>
      </c>
      <c r="T2795" s="4" t="s">
        <v>786</v>
      </c>
      <c r="U2795" s="4"/>
      <c r="V2795" s="4"/>
      <c r="W2795" s="4"/>
    </row>
    <row r="2796" spans="1:23" customFormat="1">
      <c r="A2796" s="10"/>
      <c r="B2796" s="4"/>
      <c r="C2796" s="4"/>
      <c r="D2796" s="4"/>
      <c r="E2796" s="4"/>
      <c r="F2796" s="152" t="s">
        <v>295</v>
      </c>
      <c r="G2796" s="4" t="s">
        <v>296</v>
      </c>
      <c r="H2796" s="4"/>
      <c r="I2796" s="196">
        <v>-2483580</v>
      </c>
      <c r="J2796" s="196">
        <v>-1749</v>
      </c>
      <c r="K2796" s="196">
        <v>1420</v>
      </c>
      <c r="L2796" s="454" t="s">
        <v>787</v>
      </c>
      <c r="M2796" s="4" t="s">
        <v>1566</v>
      </c>
      <c r="N2796" s="133" t="s">
        <v>1407</v>
      </c>
      <c r="O2796" s="4" t="s">
        <v>1587</v>
      </c>
      <c r="P2796" s="4" t="s">
        <v>1568</v>
      </c>
      <c r="Q2796" s="4" t="s">
        <v>1588</v>
      </c>
      <c r="R2796" s="4" t="s">
        <v>1570</v>
      </c>
      <c r="S2796" s="4" t="s">
        <v>1589</v>
      </c>
      <c r="T2796" s="4" t="s">
        <v>786</v>
      </c>
      <c r="U2796" s="4"/>
      <c r="V2796" s="4"/>
      <c r="W2796" s="4"/>
    </row>
    <row r="2797" spans="1:23" customFormat="1">
      <c r="A2797" s="10"/>
      <c r="B2797" s="4"/>
      <c r="C2797" s="4"/>
      <c r="D2797" s="4"/>
      <c r="E2797" s="4"/>
      <c r="F2797" s="152" t="s">
        <v>295</v>
      </c>
      <c r="G2797" s="4" t="s">
        <v>296</v>
      </c>
      <c r="H2797" s="4"/>
      <c r="I2797" s="196">
        <v>-3048030</v>
      </c>
      <c r="J2797" s="196">
        <v>-2146.5</v>
      </c>
      <c r="K2797" s="196">
        <v>1420</v>
      </c>
      <c r="L2797" s="454" t="s">
        <v>787</v>
      </c>
      <c r="M2797" s="4" t="s">
        <v>1566</v>
      </c>
      <c r="N2797" s="133" t="s">
        <v>1407</v>
      </c>
      <c r="O2797" s="4" t="s">
        <v>1590</v>
      </c>
      <c r="P2797" s="4" t="s">
        <v>1568</v>
      </c>
      <c r="Q2797" s="4" t="s">
        <v>1591</v>
      </c>
      <c r="R2797" s="4" t="s">
        <v>1570</v>
      </c>
      <c r="S2797" s="4" t="s">
        <v>1592</v>
      </c>
      <c r="T2797" s="4" t="s">
        <v>786</v>
      </c>
      <c r="U2797" s="4"/>
      <c r="V2797" s="4"/>
      <c r="W2797" s="4"/>
    </row>
    <row r="2798" spans="1:23" customFormat="1">
      <c r="A2798" s="10"/>
      <c r="B2798" s="4"/>
      <c r="C2798" s="4"/>
      <c r="D2798" s="4"/>
      <c r="E2798" s="4"/>
      <c r="F2798" s="152" t="s">
        <v>295</v>
      </c>
      <c r="G2798" s="4" t="s">
        <v>296</v>
      </c>
      <c r="H2798" s="4"/>
      <c r="I2798" s="196">
        <v>-2182540</v>
      </c>
      <c r="J2798" s="196">
        <v>-1537</v>
      </c>
      <c r="K2798" s="196">
        <v>1420</v>
      </c>
      <c r="L2798" s="454" t="s">
        <v>787</v>
      </c>
      <c r="M2798" s="4" t="s">
        <v>1566</v>
      </c>
      <c r="N2798" s="133" t="s">
        <v>1407</v>
      </c>
      <c r="O2798" s="4" t="s">
        <v>1593</v>
      </c>
      <c r="P2798" s="4" t="s">
        <v>1568</v>
      </c>
      <c r="Q2798" s="4" t="s">
        <v>1594</v>
      </c>
      <c r="R2798" s="4" t="s">
        <v>1570</v>
      </c>
      <c r="S2798" s="4" t="s">
        <v>1595</v>
      </c>
      <c r="T2798" s="4" t="s">
        <v>786</v>
      </c>
      <c r="U2798" s="4"/>
      <c r="V2798" s="4"/>
      <c r="W2798" s="4"/>
    </row>
    <row r="2799" spans="1:23" customFormat="1">
      <c r="A2799" s="10"/>
      <c r="B2799" s="4"/>
      <c r="C2799" s="4"/>
      <c r="D2799" s="4"/>
      <c r="E2799" s="4"/>
      <c r="F2799" s="152" t="s">
        <v>295</v>
      </c>
      <c r="G2799" s="4" t="s">
        <v>296</v>
      </c>
      <c r="H2799" s="4"/>
      <c r="I2799" s="196">
        <v>-3236180</v>
      </c>
      <c r="J2799" s="196">
        <v>-2279</v>
      </c>
      <c r="K2799" s="196">
        <v>1420</v>
      </c>
      <c r="L2799" s="454" t="s">
        <v>787</v>
      </c>
      <c r="M2799" s="4" t="s">
        <v>1566</v>
      </c>
      <c r="N2799" s="133" t="s">
        <v>1407</v>
      </c>
      <c r="O2799" s="4" t="s">
        <v>1596</v>
      </c>
      <c r="P2799" s="4" t="s">
        <v>1568</v>
      </c>
      <c r="Q2799" s="4" t="s">
        <v>1597</v>
      </c>
      <c r="R2799" s="4" t="s">
        <v>1570</v>
      </c>
      <c r="S2799" s="4" t="s">
        <v>1598</v>
      </c>
      <c r="T2799" s="4" t="s">
        <v>786</v>
      </c>
      <c r="U2799" s="4"/>
      <c r="V2799" s="4"/>
      <c r="W2799" s="4"/>
    </row>
    <row r="2800" spans="1:23" customFormat="1">
      <c r="A2800" s="10"/>
      <c r="B2800" s="4"/>
      <c r="C2800" s="4"/>
      <c r="D2800" s="4"/>
      <c r="E2800" s="4"/>
      <c r="F2800" s="152" t="s">
        <v>295</v>
      </c>
      <c r="G2800" s="4" t="s">
        <v>296</v>
      </c>
      <c r="H2800" s="4"/>
      <c r="I2800" s="196">
        <v>-2107280</v>
      </c>
      <c r="J2800" s="196">
        <v>-1484</v>
      </c>
      <c r="K2800" s="196">
        <v>1420</v>
      </c>
      <c r="L2800" s="454" t="s">
        <v>787</v>
      </c>
      <c r="M2800" s="4" t="s">
        <v>1566</v>
      </c>
      <c r="N2800" s="133" t="s">
        <v>1407</v>
      </c>
      <c r="O2800" s="4" t="s">
        <v>1599</v>
      </c>
      <c r="P2800" s="4" t="s">
        <v>1568</v>
      </c>
      <c r="Q2800" s="4" t="s">
        <v>1600</v>
      </c>
      <c r="R2800" s="4" t="s">
        <v>1570</v>
      </c>
      <c r="S2800" s="4" t="s">
        <v>1601</v>
      </c>
      <c r="T2800" s="4" t="s">
        <v>786</v>
      </c>
      <c r="U2800" s="4"/>
      <c r="V2800" s="4"/>
      <c r="W2800" s="4"/>
    </row>
    <row r="2801" spans="1:23" customFormat="1">
      <c r="A2801" s="10"/>
      <c r="B2801" s="4"/>
      <c r="C2801" s="4"/>
      <c r="D2801" s="4"/>
      <c r="E2801" s="4"/>
      <c r="F2801" s="152" t="s">
        <v>295</v>
      </c>
      <c r="G2801" s="4" t="s">
        <v>296</v>
      </c>
      <c r="H2801" s="4"/>
      <c r="I2801" s="196">
        <v>-2032020</v>
      </c>
      <c r="J2801" s="196">
        <v>-1431</v>
      </c>
      <c r="K2801" s="196">
        <v>1420</v>
      </c>
      <c r="L2801" s="454" t="s">
        <v>787</v>
      </c>
      <c r="M2801" s="4" t="s">
        <v>1566</v>
      </c>
      <c r="N2801" s="133" t="s">
        <v>1407</v>
      </c>
      <c r="O2801" s="4" t="s">
        <v>1602</v>
      </c>
      <c r="P2801" s="4" t="s">
        <v>1568</v>
      </c>
      <c r="Q2801" s="4" t="s">
        <v>1603</v>
      </c>
      <c r="R2801" s="4" t="s">
        <v>1570</v>
      </c>
      <c r="S2801" s="4" t="s">
        <v>1604</v>
      </c>
      <c r="T2801" s="4" t="s">
        <v>786</v>
      </c>
      <c r="U2801" s="4"/>
      <c r="V2801" s="4"/>
      <c r="W2801" s="4"/>
    </row>
    <row r="2802" spans="1:23" customFormat="1">
      <c r="A2802" s="10"/>
      <c r="B2802" s="4"/>
      <c r="C2802" s="4"/>
      <c r="D2802" s="4"/>
      <c r="E2802" s="4"/>
      <c r="F2802" s="152" t="s">
        <v>295</v>
      </c>
      <c r="G2802" s="4" t="s">
        <v>296</v>
      </c>
      <c r="H2802" s="4"/>
      <c r="I2802" s="196">
        <v>-2765010</v>
      </c>
      <c r="J2802" s="196">
        <v>-1961</v>
      </c>
      <c r="K2802" s="196">
        <v>1410</v>
      </c>
      <c r="L2802" s="454" t="s">
        <v>899</v>
      </c>
      <c r="M2802" s="4" t="s">
        <v>1566</v>
      </c>
      <c r="N2802" s="133" t="s">
        <v>1407</v>
      </c>
      <c r="O2802" s="4" t="s">
        <v>1880</v>
      </c>
      <c r="P2802" s="4" t="s">
        <v>1881</v>
      </c>
      <c r="Q2802" s="4" t="s">
        <v>1882</v>
      </c>
      <c r="R2802" s="4" t="s">
        <v>1883</v>
      </c>
      <c r="S2802" s="4" t="s">
        <v>1884</v>
      </c>
      <c r="T2802" s="4" t="s">
        <v>786</v>
      </c>
      <c r="U2802" s="4"/>
      <c r="V2802" s="4"/>
      <c r="W2802" s="4"/>
    </row>
    <row r="2803" spans="1:23" customFormat="1">
      <c r="A2803" s="10"/>
      <c r="B2803" s="4"/>
      <c r="C2803" s="4"/>
      <c r="D2803" s="4"/>
      <c r="E2803" s="4"/>
      <c r="F2803" s="152" t="s">
        <v>295</v>
      </c>
      <c r="G2803" s="4" t="s">
        <v>296</v>
      </c>
      <c r="H2803" s="4"/>
      <c r="I2803" s="196">
        <v>-635205</v>
      </c>
      <c r="J2803" s="196">
        <v>-450.5</v>
      </c>
      <c r="K2803" s="196">
        <v>1410</v>
      </c>
      <c r="L2803" s="454" t="s">
        <v>899</v>
      </c>
      <c r="M2803" s="4" t="s">
        <v>1566</v>
      </c>
      <c r="N2803" s="133" t="s">
        <v>1407</v>
      </c>
      <c r="O2803" s="4" t="s">
        <v>1885</v>
      </c>
      <c r="P2803" s="4" t="s">
        <v>1881</v>
      </c>
      <c r="Q2803" s="4" t="s">
        <v>1886</v>
      </c>
      <c r="R2803" s="4" t="s">
        <v>1883</v>
      </c>
      <c r="S2803" s="4" t="s">
        <v>1887</v>
      </c>
      <c r="T2803" s="4" t="s">
        <v>786</v>
      </c>
      <c r="U2803" s="4"/>
      <c r="V2803" s="4"/>
      <c r="W2803" s="4"/>
    </row>
    <row r="2804" spans="1:23" customFormat="1">
      <c r="A2804" s="10"/>
      <c r="B2804" s="4"/>
      <c r="C2804" s="4"/>
      <c r="D2804" s="4"/>
      <c r="E2804" s="4"/>
      <c r="F2804" s="152" t="s">
        <v>295</v>
      </c>
      <c r="G2804" s="4" t="s">
        <v>296</v>
      </c>
      <c r="H2804" s="4"/>
      <c r="I2804" s="196">
        <v>-5231100</v>
      </c>
      <c r="J2804" s="196">
        <v>-3710</v>
      </c>
      <c r="K2804" s="196">
        <v>1410</v>
      </c>
      <c r="L2804" s="454" t="s">
        <v>899</v>
      </c>
      <c r="M2804" s="4" t="s">
        <v>1566</v>
      </c>
      <c r="N2804" s="133" t="s">
        <v>1407</v>
      </c>
      <c r="O2804" s="4" t="s">
        <v>1888</v>
      </c>
      <c r="P2804" s="4" t="s">
        <v>1881</v>
      </c>
      <c r="Q2804" s="4" t="s">
        <v>1889</v>
      </c>
      <c r="R2804" s="4" t="s">
        <v>1883</v>
      </c>
      <c r="S2804" s="4" t="s">
        <v>1890</v>
      </c>
      <c r="T2804" s="4" t="s">
        <v>786</v>
      </c>
      <c r="U2804" s="4"/>
      <c r="V2804" s="4"/>
      <c r="W2804" s="4"/>
    </row>
    <row r="2805" spans="1:23" customFormat="1">
      <c r="A2805" s="10"/>
      <c r="B2805" s="4"/>
      <c r="C2805" s="4"/>
      <c r="D2805" s="4"/>
      <c r="E2805" s="4"/>
      <c r="F2805" s="152" t="s">
        <v>295</v>
      </c>
      <c r="G2805" s="4" t="s">
        <v>296</v>
      </c>
      <c r="H2805" s="4"/>
      <c r="I2805" s="196">
        <v>-1756155</v>
      </c>
      <c r="J2805" s="196">
        <v>-1245.5</v>
      </c>
      <c r="K2805" s="196">
        <v>1410</v>
      </c>
      <c r="L2805" s="454" t="s">
        <v>899</v>
      </c>
      <c r="M2805" s="4" t="s">
        <v>1566</v>
      </c>
      <c r="N2805" s="133" t="s">
        <v>1407</v>
      </c>
      <c r="O2805" s="4" t="s">
        <v>1891</v>
      </c>
      <c r="P2805" s="4" t="s">
        <v>1881</v>
      </c>
      <c r="Q2805" s="4" t="s">
        <v>1892</v>
      </c>
      <c r="R2805" s="4" t="s">
        <v>1883</v>
      </c>
      <c r="S2805" s="4" t="s">
        <v>1893</v>
      </c>
      <c r="T2805" s="4" t="s">
        <v>786</v>
      </c>
      <c r="U2805" s="4"/>
      <c r="V2805" s="4"/>
      <c r="W2805" s="4"/>
    </row>
    <row r="2806" spans="1:23" customFormat="1">
      <c r="A2806" s="10"/>
      <c r="B2806" s="4"/>
      <c r="C2806" s="4"/>
      <c r="D2806" s="4"/>
      <c r="E2806" s="4"/>
      <c r="F2806" s="152" t="s">
        <v>295</v>
      </c>
      <c r="G2806" s="4" t="s">
        <v>296</v>
      </c>
      <c r="H2806" s="4"/>
      <c r="I2806" s="196">
        <v>-2241900</v>
      </c>
      <c r="J2806" s="196">
        <v>-1590</v>
      </c>
      <c r="K2806" s="196">
        <v>1410</v>
      </c>
      <c r="L2806" s="454" t="s">
        <v>899</v>
      </c>
      <c r="M2806" s="4" t="s">
        <v>1566</v>
      </c>
      <c r="N2806" s="133" t="s">
        <v>1407</v>
      </c>
      <c r="O2806" s="4" t="s">
        <v>1894</v>
      </c>
      <c r="P2806" s="4" t="s">
        <v>1881</v>
      </c>
      <c r="Q2806" s="4" t="s">
        <v>1895</v>
      </c>
      <c r="R2806" s="4" t="s">
        <v>1896</v>
      </c>
      <c r="S2806" s="4" t="s">
        <v>1897</v>
      </c>
      <c r="T2806" s="4" t="s">
        <v>786</v>
      </c>
      <c r="U2806" s="4"/>
      <c r="V2806" s="4"/>
      <c r="W2806" s="4"/>
    </row>
    <row r="2807" spans="1:23" customFormat="1">
      <c r="A2807" s="10"/>
      <c r="B2807" s="4"/>
      <c r="C2807" s="4"/>
      <c r="D2807" s="4"/>
      <c r="E2807" s="4"/>
      <c r="F2807" s="152" t="s">
        <v>295</v>
      </c>
      <c r="G2807" s="4" t="s">
        <v>296</v>
      </c>
      <c r="H2807" s="4"/>
      <c r="I2807" s="196">
        <v>-2652915</v>
      </c>
      <c r="J2807" s="196">
        <v>-1881.5</v>
      </c>
      <c r="K2807" s="196">
        <v>1410</v>
      </c>
      <c r="L2807" s="454" t="s">
        <v>899</v>
      </c>
      <c r="M2807" s="4" t="s">
        <v>1566</v>
      </c>
      <c r="N2807" s="133" t="s">
        <v>1407</v>
      </c>
      <c r="O2807" s="4" t="s">
        <v>1898</v>
      </c>
      <c r="P2807" s="4" t="s">
        <v>1881</v>
      </c>
      <c r="Q2807" s="4" t="s">
        <v>1899</v>
      </c>
      <c r="R2807" s="4" t="s">
        <v>1896</v>
      </c>
      <c r="S2807" s="4" t="s">
        <v>1900</v>
      </c>
      <c r="T2807" s="4" t="s">
        <v>786</v>
      </c>
      <c r="U2807" s="4"/>
      <c r="V2807" s="4"/>
      <c r="W2807" s="4"/>
    </row>
    <row r="2808" spans="1:23" customFormat="1">
      <c r="A2808" s="10"/>
      <c r="B2808" s="4"/>
      <c r="C2808" s="4"/>
      <c r="D2808" s="4"/>
      <c r="E2808" s="4"/>
      <c r="F2808" s="152" t="s">
        <v>295</v>
      </c>
      <c r="G2808" s="4" t="s">
        <v>296</v>
      </c>
      <c r="H2808" s="4"/>
      <c r="I2808" s="196">
        <v>-186825</v>
      </c>
      <c r="J2808" s="196">
        <v>-132.5</v>
      </c>
      <c r="K2808" s="196">
        <v>1410</v>
      </c>
      <c r="L2808" s="454" t="s">
        <v>899</v>
      </c>
      <c r="M2808" s="4" t="s">
        <v>1566</v>
      </c>
      <c r="N2808" s="133" t="s">
        <v>1407</v>
      </c>
      <c r="O2808" s="4" t="s">
        <v>1901</v>
      </c>
      <c r="P2808" s="4" t="s">
        <v>1881</v>
      </c>
      <c r="Q2808" s="4" t="s">
        <v>1902</v>
      </c>
      <c r="R2808" s="4" t="s">
        <v>1896</v>
      </c>
      <c r="S2808" s="4" t="s">
        <v>1903</v>
      </c>
      <c r="T2808" s="4" t="s">
        <v>786</v>
      </c>
      <c r="U2808" s="4"/>
      <c r="V2808" s="4"/>
      <c r="W2808" s="4"/>
    </row>
    <row r="2809" spans="1:23" customFormat="1">
      <c r="A2809" s="10"/>
      <c r="B2809" s="4"/>
      <c r="C2809" s="4"/>
      <c r="D2809" s="4"/>
      <c r="E2809" s="4"/>
      <c r="F2809" s="152" t="s">
        <v>295</v>
      </c>
      <c r="G2809" s="4" t="s">
        <v>296</v>
      </c>
      <c r="H2809" s="4"/>
      <c r="I2809" s="196">
        <v>-3325485</v>
      </c>
      <c r="J2809" s="196">
        <v>-2358.5</v>
      </c>
      <c r="K2809" s="196">
        <v>1410</v>
      </c>
      <c r="L2809" s="454" t="s">
        <v>899</v>
      </c>
      <c r="M2809" s="4" t="s">
        <v>1566</v>
      </c>
      <c r="N2809" s="133" t="s">
        <v>1407</v>
      </c>
      <c r="O2809" s="4" t="s">
        <v>1904</v>
      </c>
      <c r="P2809" s="4" t="s">
        <v>1881</v>
      </c>
      <c r="Q2809" s="4" t="s">
        <v>1905</v>
      </c>
      <c r="R2809" s="4" t="s">
        <v>1906</v>
      </c>
      <c r="S2809" s="4" t="s">
        <v>1907</v>
      </c>
      <c r="T2809" s="4" t="s">
        <v>786</v>
      </c>
      <c r="U2809" s="4"/>
      <c r="V2809" s="4"/>
      <c r="W2809" s="4"/>
    </row>
    <row r="2810" spans="1:23" customFormat="1">
      <c r="A2810" s="10"/>
      <c r="B2810" s="4"/>
      <c r="C2810" s="4"/>
      <c r="D2810" s="4"/>
      <c r="E2810" s="4"/>
      <c r="F2810" s="152" t="s">
        <v>295</v>
      </c>
      <c r="G2810" s="4" t="s">
        <v>296</v>
      </c>
      <c r="H2810" s="4"/>
      <c r="I2810" s="196">
        <v>1579750</v>
      </c>
      <c r="J2810" s="196">
        <v>1112.5</v>
      </c>
      <c r="K2810" s="196">
        <v>1420</v>
      </c>
      <c r="L2810" s="454" t="s">
        <v>1012</v>
      </c>
      <c r="M2810" s="4" t="s">
        <v>780</v>
      </c>
      <c r="N2810" s="133" t="s">
        <v>1407</v>
      </c>
      <c r="O2810" s="4" t="s">
        <v>1013</v>
      </c>
      <c r="P2810" s="4" t="s">
        <v>892</v>
      </c>
      <c r="Q2810" s="4" t="s">
        <v>1014</v>
      </c>
      <c r="R2810" s="4" t="s">
        <v>1944</v>
      </c>
      <c r="S2810" s="4" t="s">
        <v>1016</v>
      </c>
      <c r="T2810" s="4" t="s">
        <v>786</v>
      </c>
      <c r="U2810" s="4"/>
      <c r="V2810" s="4"/>
      <c r="W2810" s="4"/>
    </row>
    <row r="2811" spans="1:23" customFormat="1">
      <c r="A2811" s="10"/>
      <c r="B2811" s="4"/>
      <c r="C2811" s="4"/>
      <c r="D2811" s="4"/>
      <c r="E2811" s="4"/>
      <c r="F2811" s="152" t="s">
        <v>295</v>
      </c>
      <c r="G2811" s="4" t="s">
        <v>296</v>
      </c>
      <c r="H2811" s="4"/>
      <c r="I2811" s="196">
        <v>-2782500</v>
      </c>
      <c r="J2811" s="196">
        <v>-1855</v>
      </c>
      <c r="K2811" s="196">
        <v>1500</v>
      </c>
      <c r="L2811" s="454" t="s">
        <v>1017</v>
      </c>
      <c r="M2811" s="4" t="s">
        <v>1566</v>
      </c>
      <c r="N2811" s="133" t="s">
        <v>1407</v>
      </c>
      <c r="O2811" s="4" t="s">
        <v>2052</v>
      </c>
      <c r="P2811" s="4" t="s">
        <v>1881</v>
      </c>
      <c r="Q2811" s="4" t="s">
        <v>2053</v>
      </c>
      <c r="R2811" s="4" t="s">
        <v>2054</v>
      </c>
      <c r="S2811" s="4" t="s">
        <v>2055</v>
      </c>
      <c r="T2811" s="4" t="s">
        <v>786</v>
      </c>
      <c r="U2811" s="4"/>
      <c r="V2811" s="4"/>
      <c r="W2811" s="4"/>
    </row>
    <row r="2812" spans="1:23" customFormat="1">
      <c r="A2812" s="10"/>
      <c r="B2812" s="4"/>
      <c r="C2812" s="4"/>
      <c r="D2812" s="4"/>
      <c r="E2812" s="4"/>
      <c r="F2812" s="152" t="s">
        <v>295</v>
      </c>
      <c r="G2812" s="4" t="s">
        <v>296</v>
      </c>
      <c r="H2812" s="4"/>
      <c r="I2812" s="196">
        <v>-3975000</v>
      </c>
      <c r="J2812" s="196">
        <v>-2650</v>
      </c>
      <c r="K2812" s="196">
        <v>1500</v>
      </c>
      <c r="L2812" s="454" t="s">
        <v>1017</v>
      </c>
      <c r="M2812" s="4" t="s">
        <v>1566</v>
      </c>
      <c r="N2812" s="133" t="s">
        <v>1407</v>
      </c>
      <c r="O2812" s="4" t="s">
        <v>2058</v>
      </c>
      <c r="P2812" s="4" t="s">
        <v>1881</v>
      </c>
      <c r="Q2812" s="4" t="s">
        <v>2059</v>
      </c>
      <c r="R2812" s="4" t="s">
        <v>2054</v>
      </c>
      <c r="S2812" s="4" t="s">
        <v>2060</v>
      </c>
      <c r="T2812" s="4" t="s">
        <v>786</v>
      </c>
      <c r="U2812" s="4"/>
      <c r="V2812" s="4"/>
      <c r="W2812" s="4"/>
    </row>
    <row r="2813" spans="1:23" customFormat="1">
      <c r="A2813" s="10"/>
      <c r="B2813" s="4"/>
      <c r="C2813" s="4"/>
      <c r="D2813" s="4"/>
      <c r="E2813" s="4"/>
      <c r="F2813" s="152" t="s">
        <v>295</v>
      </c>
      <c r="G2813" s="4" t="s">
        <v>296</v>
      </c>
      <c r="H2813" s="4"/>
      <c r="I2813" s="196">
        <v>-1590000</v>
      </c>
      <c r="J2813" s="196">
        <v>-1060</v>
      </c>
      <c r="K2813" s="196">
        <v>1500</v>
      </c>
      <c r="L2813" s="454" t="s">
        <v>1017</v>
      </c>
      <c r="M2813" s="4" t="s">
        <v>1566</v>
      </c>
      <c r="N2813" s="133" t="s">
        <v>1407</v>
      </c>
      <c r="O2813" s="4" t="s">
        <v>2061</v>
      </c>
      <c r="P2813" s="4" t="s">
        <v>1881</v>
      </c>
      <c r="Q2813" s="4" t="s">
        <v>2062</v>
      </c>
      <c r="R2813" s="4" t="s">
        <v>2054</v>
      </c>
      <c r="S2813" s="4" t="s">
        <v>2063</v>
      </c>
      <c r="T2813" s="4" t="s">
        <v>786</v>
      </c>
      <c r="U2813" s="4"/>
      <c r="V2813" s="4"/>
      <c r="W2813" s="4"/>
    </row>
    <row r="2814" spans="1:23" customFormat="1">
      <c r="A2814" s="10"/>
      <c r="B2814" s="4"/>
      <c r="C2814" s="4"/>
      <c r="D2814" s="4"/>
      <c r="E2814" s="4"/>
      <c r="F2814" s="152" t="s">
        <v>295</v>
      </c>
      <c r="G2814" s="4" t="s">
        <v>296</v>
      </c>
      <c r="H2814" s="4"/>
      <c r="I2814" s="196">
        <v>-4014750</v>
      </c>
      <c r="J2814" s="196">
        <v>-2676.5</v>
      </c>
      <c r="K2814" s="196">
        <v>1500</v>
      </c>
      <c r="L2814" s="454" t="s">
        <v>1017</v>
      </c>
      <c r="M2814" s="4" t="s">
        <v>1566</v>
      </c>
      <c r="N2814" s="133" t="s">
        <v>1407</v>
      </c>
      <c r="O2814" s="4" t="s">
        <v>2064</v>
      </c>
      <c r="P2814" s="4" t="s">
        <v>1881</v>
      </c>
      <c r="Q2814" s="4" t="s">
        <v>2065</v>
      </c>
      <c r="R2814" s="4" t="s">
        <v>2054</v>
      </c>
      <c r="S2814" s="4" t="s">
        <v>2066</v>
      </c>
      <c r="T2814" s="4" t="s">
        <v>786</v>
      </c>
      <c r="U2814" s="4"/>
      <c r="V2814" s="4"/>
      <c r="W2814" s="4"/>
    </row>
    <row r="2815" spans="1:23" customFormat="1">
      <c r="A2815" s="10"/>
      <c r="B2815" s="4"/>
      <c r="C2815" s="4"/>
      <c r="D2815" s="4"/>
      <c r="E2815" s="4"/>
      <c r="F2815" s="152" t="s">
        <v>295</v>
      </c>
      <c r="G2815" s="4" t="s">
        <v>296</v>
      </c>
      <c r="H2815" s="4"/>
      <c r="I2815" s="196">
        <v>-795000</v>
      </c>
      <c r="J2815" s="196">
        <v>-530</v>
      </c>
      <c r="K2815" s="196">
        <v>1500</v>
      </c>
      <c r="L2815" s="454" t="s">
        <v>1017</v>
      </c>
      <c r="M2815" s="4" t="s">
        <v>1566</v>
      </c>
      <c r="N2815" s="133" t="s">
        <v>1407</v>
      </c>
      <c r="O2815" s="4" t="s">
        <v>2067</v>
      </c>
      <c r="P2815" s="4" t="s">
        <v>1881</v>
      </c>
      <c r="Q2815" s="4" t="s">
        <v>2068</v>
      </c>
      <c r="R2815" s="4" t="s">
        <v>2069</v>
      </c>
      <c r="S2815" s="4" t="s">
        <v>2070</v>
      </c>
      <c r="T2815" s="4" t="s">
        <v>786</v>
      </c>
      <c r="U2815" s="4"/>
      <c r="V2815" s="4"/>
      <c r="W2815" s="4"/>
    </row>
    <row r="2816" spans="1:23" customFormat="1">
      <c r="A2816" s="10"/>
      <c r="B2816" s="4"/>
      <c r="C2816" s="4"/>
      <c r="D2816" s="4"/>
      <c r="E2816" s="4"/>
      <c r="F2816" s="152" t="s">
        <v>295</v>
      </c>
      <c r="G2816" s="4" t="s">
        <v>296</v>
      </c>
      <c r="H2816" s="4"/>
      <c r="I2816" s="196">
        <v>-1192500</v>
      </c>
      <c r="J2816" s="196">
        <v>-795</v>
      </c>
      <c r="K2816" s="196">
        <v>1500</v>
      </c>
      <c r="L2816" s="454" t="s">
        <v>1017</v>
      </c>
      <c r="M2816" s="4" t="s">
        <v>1566</v>
      </c>
      <c r="N2816" s="133" t="s">
        <v>1407</v>
      </c>
      <c r="O2816" s="4" t="s">
        <v>2071</v>
      </c>
      <c r="P2816" s="4" t="s">
        <v>1881</v>
      </c>
      <c r="Q2816" s="4" t="s">
        <v>2072</v>
      </c>
      <c r="R2816" s="4" t="s">
        <v>2069</v>
      </c>
      <c r="S2816" s="4" t="s">
        <v>2073</v>
      </c>
      <c r="T2816" s="4" t="s">
        <v>786</v>
      </c>
      <c r="U2816" s="4"/>
      <c r="V2816" s="4"/>
      <c r="W2816" s="4"/>
    </row>
    <row r="2817" spans="1:23" customFormat="1">
      <c r="A2817" s="10"/>
      <c r="B2817" s="4"/>
      <c r="C2817" s="4"/>
      <c r="D2817" s="4"/>
      <c r="E2817" s="4"/>
      <c r="F2817" s="152" t="s">
        <v>295</v>
      </c>
      <c r="G2817" s="4" t="s">
        <v>296</v>
      </c>
      <c r="H2817" s="4"/>
      <c r="I2817" s="196">
        <v>-4770000</v>
      </c>
      <c r="J2817" s="196">
        <v>-3180</v>
      </c>
      <c r="K2817" s="196">
        <v>1500</v>
      </c>
      <c r="L2817" s="454" t="s">
        <v>1017</v>
      </c>
      <c r="M2817" s="4" t="s">
        <v>1566</v>
      </c>
      <c r="N2817" s="133" t="s">
        <v>1407</v>
      </c>
      <c r="O2817" s="4" t="s">
        <v>2074</v>
      </c>
      <c r="P2817" s="4" t="s">
        <v>1881</v>
      </c>
      <c r="Q2817" s="4" t="s">
        <v>2075</v>
      </c>
      <c r="R2817" s="4" t="s">
        <v>2069</v>
      </c>
      <c r="S2817" s="4" t="s">
        <v>2076</v>
      </c>
      <c r="T2817" s="4" t="s">
        <v>786</v>
      </c>
      <c r="U2817" s="4"/>
      <c r="V2817" s="4"/>
      <c r="W2817" s="4"/>
    </row>
    <row r="2818" spans="1:23" customFormat="1">
      <c r="A2818" s="10"/>
      <c r="B2818" s="4"/>
      <c r="C2818" s="4"/>
      <c r="D2818" s="4"/>
      <c r="E2818" s="4"/>
      <c r="F2818" s="152" t="s">
        <v>295</v>
      </c>
      <c r="G2818" s="4" t="s">
        <v>296</v>
      </c>
      <c r="H2818" s="4"/>
      <c r="I2818" s="196">
        <v>-14588250</v>
      </c>
      <c r="J2818" s="196">
        <v>-9725.5</v>
      </c>
      <c r="K2818" s="196">
        <v>1500</v>
      </c>
      <c r="L2818" s="454" t="s">
        <v>1017</v>
      </c>
      <c r="M2818" s="4" t="s">
        <v>1566</v>
      </c>
      <c r="N2818" s="133" t="s">
        <v>1407</v>
      </c>
      <c r="O2818" s="4" t="s">
        <v>2077</v>
      </c>
      <c r="P2818" s="4" t="s">
        <v>1881</v>
      </c>
      <c r="Q2818" s="4" t="s">
        <v>2078</v>
      </c>
      <c r="R2818" s="4" t="s">
        <v>2079</v>
      </c>
      <c r="S2818" s="4" t="s">
        <v>2080</v>
      </c>
      <c r="T2818" s="4" t="s">
        <v>786</v>
      </c>
      <c r="U2818" s="4"/>
      <c r="V2818" s="4"/>
      <c r="W2818" s="4"/>
    </row>
    <row r="2819" spans="1:23" customFormat="1">
      <c r="A2819" s="10"/>
      <c r="B2819" s="4"/>
      <c r="C2819" s="4"/>
      <c r="D2819" s="4"/>
      <c r="E2819" s="4"/>
      <c r="F2819" s="152" t="s">
        <v>295</v>
      </c>
      <c r="G2819" s="4" t="s">
        <v>296</v>
      </c>
      <c r="H2819" s="4"/>
      <c r="I2819" s="196">
        <v>-9261750</v>
      </c>
      <c r="J2819" s="196">
        <v>-6174.5</v>
      </c>
      <c r="K2819" s="196">
        <v>1500</v>
      </c>
      <c r="L2819" s="454" t="s">
        <v>1017</v>
      </c>
      <c r="M2819" s="4" t="s">
        <v>1566</v>
      </c>
      <c r="N2819" s="133" t="s">
        <v>1407</v>
      </c>
      <c r="O2819" s="4" t="s">
        <v>2081</v>
      </c>
      <c r="P2819" s="4" t="s">
        <v>1881</v>
      </c>
      <c r="Q2819" s="4" t="s">
        <v>2082</v>
      </c>
      <c r="R2819" s="4" t="s">
        <v>2083</v>
      </c>
      <c r="S2819" s="4" t="s">
        <v>2084</v>
      </c>
      <c r="T2819" s="4" t="s">
        <v>786</v>
      </c>
      <c r="U2819" s="4"/>
      <c r="V2819" s="4"/>
      <c r="W2819" s="4"/>
    </row>
    <row r="2820" spans="1:23" customFormat="1">
      <c r="A2820" s="10"/>
      <c r="B2820" s="4"/>
      <c r="C2820" s="4"/>
      <c r="D2820" s="4"/>
      <c r="E2820" s="4"/>
      <c r="F2820" s="152" t="s">
        <v>295</v>
      </c>
      <c r="G2820" s="4" t="s">
        <v>296</v>
      </c>
      <c r="H2820" s="4"/>
      <c r="I2820" s="196">
        <v>-1192500</v>
      </c>
      <c r="J2820" s="196">
        <v>-795</v>
      </c>
      <c r="K2820" s="196">
        <v>1500</v>
      </c>
      <c r="L2820" s="454" t="s">
        <v>1017</v>
      </c>
      <c r="M2820" s="4" t="s">
        <v>1566</v>
      </c>
      <c r="N2820" s="133" t="s">
        <v>1407</v>
      </c>
      <c r="O2820" s="4" t="s">
        <v>2085</v>
      </c>
      <c r="P2820" s="4" t="s">
        <v>1881</v>
      </c>
      <c r="Q2820" s="4" t="s">
        <v>2086</v>
      </c>
      <c r="R2820" s="4" t="s">
        <v>2083</v>
      </c>
      <c r="S2820" s="4" t="s">
        <v>2087</v>
      </c>
      <c r="T2820" s="4" t="s">
        <v>786</v>
      </c>
      <c r="U2820" s="4"/>
      <c r="V2820" s="4"/>
      <c r="W2820" s="4"/>
    </row>
    <row r="2821" spans="1:23" customFormat="1">
      <c r="A2821" s="10"/>
      <c r="B2821" s="4"/>
      <c r="C2821" s="4"/>
      <c r="D2821" s="4"/>
      <c r="E2821" s="4"/>
      <c r="F2821" s="152" t="s">
        <v>295</v>
      </c>
      <c r="G2821" s="4" t="s">
        <v>296</v>
      </c>
      <c r="H2821" s="4"/>
      <c r="I2821" s="196">
        <v>-3657000</v>
      </c>
      <c r="J2821" s="196">
        <v>-2438</v>
      </c>
      <c r="K2821" s="196">
        <v>1500</v>
      </c>
      <c r="L2821" s="454" t="s">
        <v>1017</v>
      </c>
      <c r="M2821" s="4" t="s">
        <v>1566</v>
      </c>
      <c r="N2821" s="133" t="s">
        <v>1407</v>
      </c>
      <c r="O2821" s="4" t="s">
        <v>2088</v>
      </c>
      <c r="P2821" s="4" t="s">
        <v>1881</v>
      </c>
      <c r="Q2821" s="4" t="s">
        <v>2089</v>
      </c>
      <c r="R2821" s="4" t="s">
        <v>2083</v>
      </c>
      <c r="S2821" s="4" t="s">
        <v>2090</v>
      </c>
      <c r="T2821" s="4" t="s">
        <v>786</v>
      </c>
      <c r="U2821" s="4"/>
      <c r="V2821" s="4"/>
      <c r="W2821" s="4"/>
    </row>
    <row r="2822" spans="1:23" customFormat="1">
      <c r="A2822" s="10"/>
      <c r="B2822" s="4"/>
      <c r="C2822" s="4"/>
      <c r="D2822" s="4"/>
      <c r="E2822" s="4"/>
      <c r="F2822" s="152" t="s">
        <v>1941</v>
      </c>
      <c r="G2822" s="4" t="s">
        <v>1942</v>
      </c>
      <c r="H2822" s="4"/>
      <c r="I2822" s="196">
        <v>533920</v>
      </c>
      <c r="J2822" s="196">
        <v>376</v>
      </c>
      <c r="K2822" s="196">
        <v>1420</v>
      </c>
      <c r="L2822" s="454" t="s">
        <v>1012</v>
      </c>
      <c r="M2822" s="4" t="s">
        <v>780</v>
      </c>
      <c r="N2822" s="133" t="s">
        <v>1407</v>
      </c>
      <c r="O2822" s="4" t="s">
        <v>1013</v>
      </c>
      <c r="P2822" s="4" t="s">
        <v>892</v>
      </c>
      <c r="Q2822" s="4" t="s">
        <v>1014</v>
      </c>
      <c r="R2822" s="4" t="s">
        <v>1943</v>
      </c>
      <c r="S2822" s="4" t="s">
        <v>1016</v>
      </c>
      <c r="T2822" s="4" t="s">
        <v>786</v>
      </c>
      <c r="U2822" s="4"/>
      <c r="V2822" s="4"/>
      <c r="W2822" s="4"/>
    </row>
    <row r="2823" spans="1:23" customFormat="1">
      <c r="A2823" s="10"/>
      <c r="B2823" s="4"/>
      <c r="C2823" s="4"/>
      <c r="D2823" s="4"/>
      <c r="E2823" s="4"/>
      <c r="F2823" s="152" t="s">
        <v>2056</v>
      </c>
      <c r="G2823" s="4" t="s">
        <v>2057</v>
      </c>
      <c r="H2823" s="4"/>
      <c r="I2823" s="196">
        <v>-225000</v>
      </c>
      <c r="J2823" s="196">
        <v>-150</v>
      </c>
      <c r="K2823" s="196">
        <v>1500</v>
      </c>
      <c r="L2823" s="454" t="s">
        <v>1017</v>
      </c>
      <c r="M2823" s="4" t="s">
        <v>1566</v>
      </c>
      <c r="N2823" s="133" t="s">
        <v>1407</v>
      </c>
      <c r="O2823" s="4" t="s">
        <v>2052</v>
      </c>
      <c r="P2823" s="4" t="s">
        <v>1881</v>
      </c>
      <c r="Q2823" s="4" t="s">
        <v>2053</v>
      </c>
      <c r="R2823" s="4" t="s">
        <v>2054</v>
      </c>
      <c r="S2823" s="4" t="s">
        <v>2055</v>
      </c>
      <c r="T2823" s="4" t="s">
        <v>786</v>
      </c>
      <c r="U2823" s="4"/>
      <c r="V2823" s="4"/>
      <c r="W2823" s="4"/>
    </row>
    <row r="2824" spans="1:23" customFormat="1">
      <c r="A2824" s="10"/>
      <c r="B2824" s="4"/>
      <c r="C2824" s="4"/>
      <c r="D2824" s="4"/>
      <c r="E2824" s="4"/>
      <c r="F2824" s="152" t="s">
        <v>2056</v>
      </c>
      <c r="G2824" s="4" t="s">
        <v>2057</v>
      </c>
      <c r="H2824" s="4"/>
      <c r="I2824" s="196">
        <v>-225000</v>
      </c>
      <c r="J2824" s="196">
        <v>-150</v>
      </c>
      <c r="K2824" s="196">
        <v>1500</v>
      </c>
      <c r="L2824" s="454" t="s">
        <v>1017</v>
      </c>
      <c r="M2824" s="4" t="s">
        <v>1566</v>
      </c>
      <c r="N2824" s="133" t="s">
        <v>1407</v>
      </c>
      <c r="O2824" s="4" t="s">
        <v>2064</v>
      </c>
      <c r="P2824" s="4" t="s">
        <v>1881</v>
      </c>
      <c r="Q2824" s="4" t="s">
        <v>2065</v>
      </c>
      <c r="R2824" s="4" t="s">
        <v>2054</v>
      </c>
      <c r="S2824" s="4" t="s">
        <v>2066</v>
      </c>
      <c r="T2824" s="4" t="s">
        <v>786</v>
      </c>
      <c r="U2824" s="4"/>
      <c r="V2824" s="4"/>
      <c r="W2824" s="4"/>
    </row>
    <row r="2825" spans="1:23" customFormat="1">
      <c r="A2825" s="10"/>
      <c r="B2825" s="4"/>
      <c r="C2825" s="4"/>
      <c r="D2825" s="4"/>
      <c r="E2825" s="4"/>
      <c r="F2825" s="152" t="s">
        <v>305</v>
      </c>
      <c r="G2825" s="4" t="s">
        <v>306</v>
      </c>
      <c r="H2825" s="4"/>
      <c r="I2825" s="196">
        <v>470695.7</v>
      </c>
      <c r="J2825" s="196">
        <v>338.63</v>
      </c>
      <c r="K2825" s="196">
        <v>1390</v>
      </c>
      <c r="L2825" s="454" t="s">
        <v>899</v>
      </c>
      <c r="M2825" s="4" t="s">
        <v>780</v>
      </c>
      <c r="N2825" s="133" t="s">
        <v>781</v>
      </c>
      <c r="O2825" s="4" t="s">
        <v>933</v>
      </c>
      <c r="P2825" s="4" t="s">
        <v>892</v>
      </c>
      <c r="Q2825" s="4" t="s">
        <v>934</v>
      </c>
      <c r="R2825" s="4" t="s">
        <v>937</v>
      </c>
      <c r="S2825" s="4" t="s">
        <v>935</v>
      </c>
      <c r="T2825" s="4" t="s">
        <v>786</v>
      </c>
      <c r="U2825" s="4"/>
      <c r="V2825" s="4"/>
      <c r="W2825" s="4"/>
    </row>
    <row r="2826" spans="1:23" customFormat="1">
      <c r="A2826" s="10"/>
      <c r="B2826" s="4"/>
      <c r="C2826" s="4"/>
      <c r="D2826" s="4"/>
      <c r="E2826" s="4"/>
      <c r="F2826" s="152" t="s">
        <v>305</v>
      </c>
      <c r="G2826" s="4" t="s">
        <v>306</v>
      </c>
      <c r="H2826" s="4"/>
      <c r="I2826" s="196">
        <v>1384565.1</v>
      </c>
      <c r="J2826" s="196">
        <v>996.09</v>
      </c>
      <c r="K2826" s="196">
        <v>1390</v>
      </c>
      <c r="L2826" s="454" t="s">
        <v>899</v>
      </c>
      <c r="M2826" s="4" t="s">
        <v>780</v>
      </c>
      <c r="N2826" s="133" t="s">
        <v>781</v>
      </c>
      <c r="O2826" s="4" t="s">
        <v>933</v>
      </c>
      <c r="P2826" s="4" t="s">
        <v>892</v>
      </c>
      <c r="Q2826" s="4" t="s">
        <v>934</v>
      </c>
      <c r="R2826" s="4" t="s">
        <v>941</v>
      </c>
      <c r="S2826" s="4" t="s">
        <v>935</v>
      </c>
      <c r="T2826" s="4" t="s">
        <v>786</v>
      </c>
      <c r="U2826" s="4"/>
      <c r="V2826" s="4"/>
      <c r="W2826" s="4"/>
    </row>
    <row r="2827" spans="1:23" customFormat="1">
      <c r="A2827" s="10"/>
      <c r="B2827" s="4"/>
      <c r="C2827" s="4"/>
      <c r="D2827" s="4"/>
      <c r="E2827" s="4"/>
      <c r="F2827" s="152" t="s">
        <v>305</v>
      </c>
      <c r="G2827" s="4" t="s">
        <v>306</v>
      </c>
      <c r="H2827" s="4"/>
      <c r="I2827" s="196">
        <v>-862918.4</v>
      </c>
      <c r="J2827" s="196">
        <v>-591.04</v>
      </c>
      <c r="K2827" s="196">
        <v>1460</v>
      </c>
      <c r="L2827" s="454" t="s">
        <v>1049</v>
      </c>
      <c r="M2827" s="4" t="s">
        <v>780</v>
      </c>
      <c r="N2827" s="133" t="s">
        <v>781</v>
      </c>
      <c r="O2827" s="4" t="s">
        <v>1050</v>
      </c>
      <c r="P2827" s="4" t="s">
        <v>892</v>
      </c>
      <c r="Q2827" s="4" t="s">
        <v>1051</v>
      </c>
      <c r="R2827" s="4" t="s">
        <v>941</v>
      </c>
      <c r="S2827" s="4" t="s">
        <v>1052</v>
      </c>
      <c r="T2827" s="4" t="s">
        <v>786</v>
      </c>
      <c r="U2827" s="4"/>
      <c r="V2827" s="4"/>
      <c r="W2827" s="4"/>
    </row>
    <row r="2828" spans="1:23" customFormat="1">
      <c r="A2828" s="10"/>
      <c r="B2828" s="4"/>
      <c r="C2828" s="4"/>
      <c r="D2828" s="4"/>
      <c r="E2828" s="4"/>
      <c r="F2828" s="152" t="s">
        <v>305</v>
      </c>
      <c r="G2828" s="4" t="s">
        <v>306</v>
      </c>
      <c r="H2828" s="4"/>
      <c r="I2828" s="196">
        <v>509085</v>
      </c>
      <c r="J2828" s="196">
        <v>339.39</v>
      </c>
      <c r="K2828" s="196">
        <v>1500</v>
      </c>
      <c r="L2828" s="454" t="s">
        <v>1045</v>
      </c>
      <c r="M2828" s="4" t="s">
        <v>780</v>
      </c>
      <c r="N2828" s="133" t="s">
        <v>781</v>
      </c>
      <c r="O2828" s="4" t="s">
        <v>1062</v>
      </c>
      <c r="P2828" s="4" t="s">
        <v>892</v>
      </c>
      <c r="Q2828" s="4" t="s">
        <v>1063</v>
      </c>
      <c r="R2828" s="4" t="s">
        <v>941</v>
      </c>
      <c r="S2828" s="4" t="s">
        <v>1064</v>
      </c>
      <c r="T2828" s="4" t="s">
        <v>786</v>
      </c>
      <c r="U2828" s="4"/>
      <c r="V2828" s="4"/>
      <c r="W2828" s="4"/>
    </row>
    <row r="2829" spans="1:23" customFormat="1">
      <c r="A2829" s="10"/>
      <c r="B2829" s="4"/>
      <c r="C2829" s="4"/>
      <c r="D2829" s="4"/>
      <c r="E2829" s="4"/>
      <c r="F2829" s="152" t="s">
        <v>305</v>
      </c>
      <c r="G2829" s="4" t="s">
        <v>306</v>
      </c>
      <c r="H2829" s="4"/>
      <c r="I2829" s="196">
        <v>862918.4</v>
      </c>
      <c r="J2829" s="196">
        <v>591.04</v>
      </c>
      <c r="K2829" s="196">
        <v>1460</v>
      </c>
      <c r="L2829" s="454" t="s">
        <v>1049</v>
      </c>
      <c r="M2829" s="4" t="s">
        <v>780</v>
      </c>
      <c r="N2829" s="133" t="s">
        <v>781</v>
      </c>
      <c r="O2829" s="4" t="s">
        <v>1075</v>
      </c>
      <c r="P2829" s="4" t="s">
        <v>892</v>
      </c>
      <c r="Q2829" s="4" t="s">
        <v>1076</v>
      </c>
      <c r="R2829" s="4" t="s">
        <v>941</v>
      </c>
      <c r="S2829" s="4" t="s">
        <v>1077</v>
      </c>
      <c r="T2829" s="4" t="s">
        <v>786</v>
      </c>
      <c r="U2829" s="4"/>
      <c r="V2829" s="4"/>
      <c r="W2829" s="4"/>
    </row>
    <row r="2830" spans="1:23" customFormat="1">
      <c r="A2830" s="10"/>
      <c r="B2830" s="4"/>
      <c r="C2830" s="4"/>
      <c r="D2830" s="4"/>
      <c r="E2830" s="4"/>
      <c r="F2830" s="152" t="s">
        <v>305</v>
      </c>
      <c r="G2830" s="4" t="s">
        <v>306</v>
      </c>
      <c r="H2830" s="4"/>
      <c r="I2830" s="196">
        <v>862918.4</v>
      </c>
      <c r="J2830" s="196">
        <v>591.04</v>
      </c>
      <c r="K2830" s="196">
        <v>1460</v>
      </c>
      <c r="L2830" s="454" t="s">
        <v>1049</v>
      </c>
      <c r="M2830" s="4" t="s">
        <v>780</v>
      </c>
      <c r="N2830" s="133" t="s">
        <v>781</v>
      </c>
      <c r="O2830" s="4" t="s">
        <v>1078</v>
      </c>
      <c r="P2830" s="4" t="s">
        <v>892</v>
      </c>
      <c r="Q2830" s="4" t="s">
        <v>1079</v>
      </c>
      <c r="R2830" s="4" t="s">
        <v>941</v>
      </c>
      <c r="S2830" s="4" t="s">
        <v>1080</v>
      </c>
      <c r="T2830" s="4" t="s">
        <v>786</v>
      </c>
      <c r="U2830" s="4"/>
      <c r="V2830" s="4"/>
      <c r="W2830" s="4"/>
    </row>
    <row r="2831" spans="1:23" customFormat="1">
      <c r="A2831" s="10"/>
      <c r="B2831" s="4"/>
      <c r="C2831" s="4"/>
      <c r="D2831" s="4"/>
      <c r="E2831" s="4"/>
      <c r="F2831" s="152" t="s">
        <v>305</v>
      </c>
      <c r="G2831" s="4" t="s">
        <v>306</v>
      </c>
      <c r="H2831" s="4"/>
      <c r="I2831" s="196">
        <v>4909976.5999999996</v>
      </c>
      <c r="J2831" s="196">
        <v>3457.73</v>
      </c>
      <c r="K2831" s="196">
        <v>1420</v>
      </c>
      <c r="L2831" s="454" t="s">
        <v>1113</v>
      </c>
      <c r="M2831" s="4" t="s">
        <v>780</v>
      </c>
      <c r="N2831" s="133" t="s">
        <v>781</v>
      </c>
      <c r="O2831" s="4" t="s">
        <v>1114</v>
      </c>
      <c r="P2831" s="4" t="s">
        <v>892</v>
      </c>
      <c r="Q2831" s="4" t="s">
        <v>1115</v>
      </c>
      <c r="R2831" s="4" t="s">
        <v>1116</v>
      </c>
      <c r="S2831" s="4" t="s">
        <v>1117</v>
      </c>
      <c r="T2831" s="4" t="s">
        <v>786</v>
      </c>
      <c r="U2831" s="4"/>
      <c r="V2831" s="4"/>
      <c r="W2831" s="4"/>
    </row>
    <row r="2832" spans="1:23" customFormat="1">
      <c r="A2832" s="10"/>
      <c r="B2832" s="4"/>
      <c r="C2832" s="4"/>
      <c r="D2832" s="4"/>
      <c r="E2832" s="4"/>
      <c r="F2832" s="152" t="s">
        <v>305</v>
      </c>
      <c r="G2832" s="4" t="s">
        <v>306</v>
      </c>
      <c r="H2832" s="4"/>
      <c r="I2832" s="196">
        <v>541886.19999999995</v>
      </c>
      <c r="J2832" s="196">
        <v>381.61</v>
      </c>
      <c r="K2832" s="196">
        <v>1420</v>
      </c>
      <c r="L2832" s="454" t="s">
        <v>1113</v>
      </c>
      <c r="M2832" s="4" t="s">
        <v>780</v>
      </c>
      <c r="N2832" s="133" t="s">
        <v>781</v>
      </c>
      <c r="O2832" s="4" t="s">
        <v>1153</v>
      </c>
      <c r="P2832" s="4" t="s">
        <v>892</v>
      </c>
      <c r="Q2832" s="4" t="s">
        <v>1154</v>
      </c>
      <c r="R2832" s="4" t="s">
        <v>937</v>
      </c>
      <c r="S2832" s="4" t="s">
        <v>1155</v>
      </c>
      <c r="T2832" s="4" t="s">
        <v>786</v>
      </c>
      <c r="U2832" s="4"/>
      <c r="V2832" s="4"/>
      <c r="W2832" s="4"/>
    </row>
    <row r="2833" spans="1:23" customFormat="1">
      <c r="A2833" s="10"/>
      <c r="B2833" s="4"/>
      <c r="C2833" s="4"/>
      <c r="D2833" s="4"/>
      <c r="E2833" s="4"/>
      <c r="F2833" s="152" t="s">
        <v>305</v>
      </c>
      <c r="G2833" s="4" t="s">
        <v>306</v>
      </c>
      <c r="H2833" s="4"/>
      <c r="I2833" s="196">
        <v>449288</v>
      </c>
      <c r="J2833" s="196">
        <v>316.39999999999998</v>
      </c>
      <c r="K2833" s="196">
        <v>1420</v>
      </c>
      <c r="L2833" s="454" t="s">
        <v>1239</v>
      </c>
      <c r="M2833" s="4" t="s">
        <v>780</v>
      </c>
      <c r="N2833" s="133" t="s">
        <v>781</v>
      </c>
      <c r="O2833" s="4" t="s">
        <v>1245</v>
      </c>
      <c r="P2833" s="4" t="s">
        <v>892</v>
      </c>
      <c r="Q2833" s="4" t="s">
        <v>1246</v>
      </c>
      <c r="R2833" s="4" t="s">
        <v>937</v>
      </c>
      <c r="S2833" s="4" t="s">
        <v>1248</v>
      </c>
      <c r="T2833" s="4" t="s">
        <v>786</v>
      </c>
      <c r="U2833" s="4"/>
      <c r="V2833" s="4"/>
      <c r="W2833" s="4"/>
    </row>
    <row r="2834" spans="1:23" customFormat="1">
      <c r="A2834" s="10"/>
      <c r="B2834" s="4"/>
      <c r="C2834" s="4"/>
      <c r="D2834" s="4"/>
      <c r="E2834" s="4"/>
      <c r="F2834" s="152" t="s">
        <v>305</v>
      </c>
      <c r="G2834" s="4" t="s">
        <v>306</v>
      </c>
      <c r="H2834" s="4"/>
      <c r="I2834" s="196">
        <v>403748.6</v>
      </c>
      <c r="J2834" s="196">
        <v>284.33</v>
      </c>
      <c r="K2834" s="196">
        <v>1420</v>
      </c>
      <c r="L2834" s="454" t="s">
        <v>1239</v>
      </c>
      <c r="M2834" s="4" t="s">
        <v>780</v>
      </c>
      <c r="N2834" s="133" t="s">
        <v>781</v>
      </c>
      <c r="O2834" s="4" t="s">
        <v>1245</v>
      </c>
      <c r="P2834" s="4" t="s">
        <v>892</v>
      </c>
      <c r="Q2834" s="4" t="s">
        <v>1246</v>
      </c>
      <c r="R2834" s="4" t="s">
        <v>941</v>
      </c>
      <c r="S2834" s="4" t="s">
        <v>1248</v>
      </c>
      <c r="T2834" s="4" t="s">
        <v>786</v>
      </c>
      <c r="U2834" s="4"/>
      <c r="V2834" s="4"/>
      <c r="W2834" s="4"/>
    </row>
    <row r="2835" spans="1:23" customFormat="1">
      <c r="A2835" s="10"/>
      <c r="B2835" s="4"/>
      <c r="C2835" s="4"/>
      <c r="D2835" s="4"/>
      <c r="E2835" s="4"/>
      <c r="F2835" s="152" t="s">
        <v>305</v>
      </c>
      <c r="G2835" s="4" t="s">
        <v>306</v>
      </c>
      <c r="H2835" s="4"/>
      <c r="I2835" s="196">
        <v>1384537.3</v>
      </c>
      <c r="J2835" s="196">
        <v>996.07</v>
      </c>
      <c r="K2835" s="196">
        <v>1390</v>
      </c>
      <c r="L2835" s="454" t="s">
        <v>899</v>
      </c>
      <c r="M2835" s="4" t="s">
        <v>780</v>
      </c>
      <c r="N2835" s="133" t="s">
        <v>1407</v>
      </c>
      <c r="O2835" s="4" t="s">
        <v>1749</v>
      </c>
      <c r="P2835" s="4" t="s">
        <v>892</v>
      </c>
      <c r="Q2835" s="4" t="s">
        <v>1750</v>
      </c>
      <c r="R2835" s="4" t="s">
        <v>1757</v>
      </c>
      <c r="S2835" s="4" t="s">
        <v>1752</v>
      </c>
      <c r="T2835" s="4" t="s">
        <v>786</v>
      </c>
      <c r="U2835" s="4"/>
      <c r="V2835" s="4"/>
      <c r="W2835" s="4"/>
    </row>
    <row r="2836" spans="1:23" customFormat="1">
      <c r="A2836" s="10"/>
      <c r="B2836" s="4"/>
      <c r="C2836" s="4"/>
      <c r="D2836" s="4"/>
      <c r="E2836" s="4"/>
      <c r="F2836" s="152" t="s">
        <v>305</v>
      </c>
      <c r="G2836" s="4" t="s">
        <v>306</v>
      </c>
      <c r="H2836" s="4"/>
      <c r="I2836" s="196">
        <v>300685</v>
      </c>
      <c r="J2836" s="196">
        <v>211.75</v>
      </c>
      <c r="K2836" s="196">
        <v>1420</v>
      </c>
      <c r="L2836" s="454" t="s">
        <v>1239</v>
      </c>
      <c r="M2836" s="4" t="s">
        <v>780</v>
      </c>
      <c r="N2836" s="133" t="s">
        <v>1407</v>
      </c>
      <c r="O2836" s="4" t="s">
        <v>2630</v>
      </c>
      <c r="P2836" s="4" t="s">
        <v>892</v>
      </c>
      <c r="Q2836" s="4" t="s">
        <v>2631</v>
      </c>
      <c r="R2836" s="4" t="s">
        <v>2641</v>
      </c>
      <c r="S2836" s="4" t="s">
        <v>2632</v>
      </c>
      <c r="T2836" s="4" t="s">
        <v>786</v>
      </c>
      <c r="U2836" s="4"/>
      <c r="V2836" s="4"/>
      <c r="W2836" s="4"/>
    </row>
    <row r="2837" spans="1:23" customFormat="1">
      <c r="A2837" s="10"/>
      <c r="B2837" s="4"/>
      <c r="C2837" s="4"/>
      <c r="D2837" s="4"/>
      <c r="E2837" s="4"/>
      <c r="F2837" s="152" t="s">
        <v>47</v>
      </c>
      <c r="G2837" s="4" t="s">
        <v>46</v>
      </c>
      <c r="H2837" s="4"/>
      <c r="I2837" s="196">
        <v>-1287</v>
      </c>
      <c r="J2837" s="196">
        <v>-0.9</v>
      </c>
      <c r="K2837" s="196">
        <v>1430</v>
      </c>
      <c r="L2837" s="454" t="s">
        <v>890</v>
      </c>
      <c r="M2837" s="4" t="s">
        <v>780</v>
      </c>
      <c r="N2837" s="133" t="s">
        <v>781</v>
      </c>
      <c r="O2837" s="4" t="s">
        <v>904</v>
      </c>
      <c r="P2837" s="4" t="s">
        <v>892</v>
      </c>
      <c r="Q2837" s="4" t="s">
        <v>905</v>
      </c>
      <c r="R2837" s="4" t="s">
        <v>906</v>
      </c>
      <c r="S2837" s="4" t="s">
        <v>907</v>
      </c>
      <c r="T2837" s="4" t="s">
        <v>786</v>
      </c>
      <c r="U2837" s="4"/>
      <c r="V2837" s="4"/>
      <c r="W2837" s="4"/>
    </row>
    <row r="2838" spans="1:23" customFormat="1">
      <c r="A2838" s="10"/>
      <c r="B2838" s="4"/>
      <c r="C2838" s="4"/>
      <c r="D2838" s="4"/>
      <c r="E2838" s="4"/>
      <c r="F2838" s="152" t="s">
        <v>47</v>
      </c>
      <c r="G2838" s="4" t="s">
        <v>46</v>
      </c>
      <c r="H2838" s="4"/>
      <c r="I2838" s="196">
        <v>2717</v>
      </c>
      <c r="J2838" s="196">
        <v>1.9</v>
      </c>
      <c r="K2838" s="196">
        <v>1430</v>
      </c>
      <c r="L2838" s="454" t="s">
        <v>890</v>
      </c>
      <c r="M2838" s="4" t="s">
        <v>780</v>
      </c>
      <c r="N2838" s="133" t="s">
        <v>781</v>
      </c>
      <c r="O2838" s="4" t="s">
        <v>967</v>
      </c>
      <c r="P2838" s="4" t="s">
        <v>892</v>
      </c>
      <c r="Q2838" s="4" t="s">
        <v>968</v>
      </c>
      <c r="R2838" s="4" t="s">
        <v>953</v>
      </c>
      <c r="S2838" s="4" t="s">
        <v>970</v>
      </c>
      <c r="T2838" s="4" t="s">
        <v>786</v>
      </c>
      <c r="U2838" s="4"/>
      <c r="V2838" s="4"/>
      <c r="W2838" s="4"/>
    </row>
    <row r="2839" spans="1:23" customFormat="1">
      <c r="A2839" s="10"/>
      <c r="B2839" s="4"/>
      <c r="C2839" s="4"/>
      <c r="D2839" s="4"/>
      <c r="E2839" s="4"/>
      <c r="F2839" s="152" t="s">
        <v>47</v>
      </c>
      <c r="G2839" s="4" t="s">
        <v>46</v>
      </c>
      <c r="H2839" s="4"/>
      <c r="I2839" s="196">
        <v>3103100</v>
      </c>
      <c r="J2839" s="196">
        <v>2170</v>
      </c>
      <c r="K2839" s="196">
        <v>1430</v>
      </c>
      <c r="L2839" s="454" t="s">
        <v>890</v>
      </c>
      <c r="M2839" s="4" t="s">
        <v>780</v>
      </c>
      <c r="N2839" s="133" t="s">
        <v>781</v>
      </c>
      <c r="O2839" s="4" t="s">
        <v>967</v>
      </c>
      <c r="P2839" s="4" t="s">
        <v>892</v>
      </c>
      <c r="Q2839" s="4" t="s">
        <v>968</v>
      </c>
      <c r="R2839" s="4" t="s">
        <v>969</v>
      </c>
      <c r="S2839" s="4" t="s">
        <v>970</v>
      </c>
      <c r="T2839" s="4" t="s">
        <v>786</v>
      </c>
      <c r="U2839" s="4"/>
      <c r="V2839" s="4"/>
      <c r="W2839" s="4"/>
    </row>
    <row r="2840" spans="1:23" customFormat="1">
      <c r="A2840" s="10"/>
      <c r="B2840" s="4"/>
      <c r="C2840" s="4"/>
      <c r="D2840" s="4"/>
      <c r="E2840" s="4"/>
      <c r="F2840" s="152" t="s">
        <v>47</v>
      </c>
      <c r="G2840" s="4" t="s">
        <v>46</v>
      </c>
      <c r="H2840" s="4"/>
      <c r="I2840" s="196">
        <v>-602</v>
      </c>
      <c r="J2840" s="196">
        <v>-0.43</v>
      </c>
      <c r="K2840" s="196">
        <v>1400</v>
      </c>
      <c r="L2840" s="454" t="s">
        <v>989</v>
      </c>
      <c r="M2840" s="4" t="s">
        <v>780</v>
      </c>
      <c r="N2840" s="133" t="s">
        <v>781</v>
      </c>
      <c r="O2840" s="4" t="s">
        <v>990</v>
      </c>
      <c r="P2840" s="4" t="s">
        <v>892</v>
      </c>
      <c r="Q2840" s="4" t="s">
        <v>991</v>
      </c>
      <c r="R2840" s="4" t="s">
        <v>992</v>
      </c>
      <c r="S2840" s="4" t="s">
        <v>993</v>
      </c>
      <c r="T2840" s="4" t="s">
        <v>786</v>
      </c>
      <c r="U2840" s="4"/>
      <c r="V2840" s="4"/>
      <c r="W2840" s="4"/>
    </row>
    <row r="2841" spans="1:23" customFormat="1">
      <c r="A2841" s="10"/>
      <c r="B2841" s="4"/>
      <c r="C2841" s="4"/>
      <c r="D2841" s="4"/>
      <c r="E2841" s="4"/>
      <c r="F2841" s="152" t="s">
        <v>47</v>
      </c>
      <c r="G2841" s="4" t="s">
        <v>46</v>
      </c>
      <c r="H2841" s="4"/>
      <c r="I2841" s="196">
        <v>-602</v>
      </c>
      <c r="J2841" s="196">
        <v>-0.43</v>
      </c>
      <c r="K2841" s="196">
        <v>1400</v>
      </c>
      <c r="L2841" s="454" t="s">
        <v>994</v>
      </c>
      <c r="M2841" s="4" t="s">
        <v>780</v>
      </c>
      <c r="N2841" s="133" t="s">
        <v>781</v>
      </c>
      <c r="O2841" s="4" t="s">
        <v>995</v>
      </c>
      <c r="P2841" s="4" t="s">
        <v>892</v>
      </c>
      <c r="Q2841" s="4" t="s">
        <v>996</v>
      </c>
      <c r="R2841" s="4" t="s">
        <v>992</v>
      </c>
      <c r="S2841" s="4" t="s">
        <v>997</v>
      </c>
      <c r="T2841" s="4" t="s">
        <v>786</v>
      </c>
      <c r="U2841" s="4"/>
      <c r="V2841" s="4"/>
      <c r="W2841" s="4"/>
    </row>
    <row r="2842" spans="1:23" customFormat="1">
      <c r="A2842" s="10"/>
      <c r="B2842" s="4"/>
      <c r="C2842" s="4"/>
      <c r="D2842" s="4"/>
      <c r="E2842" s="4"/>
      <c r="F2842" s="152" t="s">
        <v>47</v>
      </c>
      <c r="G2842" s="4" t="s">
        <v>46</v>
      </c>
      <c r="H2842" s="4"/>
      <c r="I2842" s="196">
        <v>602</v>
      </c>
      <c r="J2842" s="196">
        <v>0.43</v>
      </c>
      <c r="K2842" s="196">
        <v>1400</v>
      </c>
      <c r="L2842" s="454" t="s">
        <v>994</v>
      </c>
      <c r="M2842" s="4" t="s">
        <v>780</v>
      </c>
      <c r="N2842" s="133" t="s">
        <v>781</v>
      </c>
      <c r="O2842" s="4" t="s">
        <v>998</v>
      </c>
      <c r="P2842" s="4" t="s">
        <v>892</v>
      </c>
      <c r="Q2842" s="4" t="s">
        <v>999</v>
      </c>
      <c r="R2842" s="4" t="s">
        <v>992</v>
      </c>
      <c r="S2842" s="4" t="s">
        <v>1000</v>
      </c>
      <c r="T2842" s="4" t="s">
        <v>786</v>
      </c>
      <c r="U2842" s="4"/>
      <c r="V2842" s="4"/>
      <c r="W2842" s="4"/>
    </row>
    <row r="2843" spans="1:23" customFormat="1">
      <c r="A2843" s="10"/>
      <c r="B2843" s="4"/>
      <c r="C2843" s="4"/>
      <c r="D2843" s="4"/>
      <c r="E2843" s="4"/>
      <c r="F2843" s="152" t="s">
        <v>47</v>
      </c>
      <c r="G2843" s="4" t="s">
        <v>46</v>
      </c>
      <c r="H2843" s="4"/>
      <c r="I2843" s="196">
        <v>1971000</v>
      </c>
      <c r="J2843" s="196">
        <v>1350</v>
      </c>
      <c r="K2843" s="196">
        <v>1460</v>
      </c>
      <c r="L2843" s="454" t="s">
        <v>1049</v>
      </c>
      <c r="M2843" s="4" t="s">
        <v>780</v>
      </c>
      <c r="N2843" s="133" t="s">
        <v>781</v>
      </c>
      <c r="O2843" s="4" t="s">
        <v>1066</v>
      </c>
      <c r="P2843" s="4" t="s">
        <v>892</v>
      </c>
      <c r="Q2843" s="4" t="s">
        <v>1067</v>
      </c>
      <c r="R2843" s="4" t="s">
        <v>1072</v>
      </c>
      <c r="S2843" s="4" t="s">
        <v>1069</v>
      </c>
      <c r="T2843" s="4" t="s">
        <v>786</v>
      </c>
      <c r="U2843" s="4"/>
      <c r="V2843" s="4"/>
      <c r="W2843" s="4"/>
    </row>
    <row r="2844" spans="1:23" customFormat="1">
      <c r="A2844" s="10"/>
      <c r="B2844" s="4"/>
      <c r="C2844" s="4"/>
      <c r="D2844" s="4"/>
      <c r="E2844" s="4"/>
      <c r="F2844" s="152" t="s">
        <v>47</v>
      </c>
      <c r="G2844" s="4" t="s">
        <v>46</v>
      </c>
      <c r="H2844" s="4"/>
      <c r="I2844" s="196">
        <v>2774</v>
      </c>
      <c r="J2844" s="196">
        <v>1.9</v>
      </c>
      <c r="K2844" s="196">
        <v>1460</v>
      </c>
      <c r="L2844" s="454" t="s">
        <v>1049</v>
      </c>
      <c r="M2844" s="4" t="s">
        <v>780</v>
      </c>
      <c r="N2844" s="133" t="s">
        <v>781</v>
      </c>
      <c r="O2844" s="4" t="s">
        <v>1066</v>
      </c>
      <c r="P2844" s="4" t="s">
        <v>892</v>
      </c>
      <c r="Q2844" s="4" t="s">
        <v>1067</v>
      </c>
      <c r="R2844" s="4" t="s">
        <v>953</v>
      </c>
      <c r="S2844" s="4" t="s">
        <v>1069</v>
      </c>
      <c r="T2844" s="4" t="s">
        <v>786</v>
      </c>
      <c r="U2844" s="4"/>
      <c r="V2844" s="4"/>
      <c r="W2844" s="4"/>
    </row>
    <row r="2845" spans="1:23" customFormat="1">
      <c r="A2845" s="10"/>
      <c r="B2845" s="4"/>
      <c r="C2845" s="4"/>
      <c r="D2845" s="4"/>
      <c r="E2845" s="4"/>
      <c r="F2845" s="152" t="s">
        <v>47</v>
      </c>
      <c r="G2845" s="4" t="s">
        <v>46</v>
      </c>
      <c r="H2845" s="4"/>
      <c r="I2845" s="196">
        <v>-426</v>
      </c>
      <c r="J2845" s="196">
        <v>-0.3</v>
      </c>
      <c r="K2845" s="196">
        <v>1420</v>
      </c>
      <c r="L2845" s="454" t="s">
        <v>1098</v>
      </c>
      <c r="M2845" s="4" t="s">
        <v>780</v>
      </c>
      <c r="N2845" s="133" t="s">
        <v>781</v>
      </c>
      <c r="O2845" s="4" t="s">
        <v>1102</v>
      </c>
      <c r="P2845" s="4" t="s">
        <v>892</v>
      </c>
      <c r="Q2845" s="4" t="s">
        <v>1103</v>
      </c>
      <c r="R2845" s="4" t="s">
        <v>1108</v>
      </c>
      <c r="S2845" s="4" t="s">
        <v>1105</v>
      </c>
      <c r="T2845" s="4" t="s">
        <v>786</v>
      </c>
      <c r="U2845" s="4"/>
      <c r="V2845" s="4"/>
      <c r="W2845" s="4"/>
    </row>
    <row r="2846" spans="1:23" customFormat="1">
      <c r="A2846" s="10"/>
      <c r="B2846" s="4"/>
      <c r="C2846" s="4"/>
      <c r="D2846" s="4"/>
      <c r="E2846" s="4"/>
      <c r="F2846" s="152" t="s">
        <v>47</v>
      </c>
      <c r="G2846" s="4" t="s">
        <v>46</v>
      </c>
      <c r="H2846" s="4"/>
      <c r="I2846" s="196">
        <v>2698</v>
      </c>
      <c r="J2846" s="196">
        <v>1.9</v>
      </c>
      <c r="K2846" s="196">
        <v>1420</v>
      </c>
      <c r="L2846" s="454" t="s">
        <v>1098</v>
      </c>
      <c r="M2846" s="4" t="s">
        <v>780</v>
      </c>
      <c r="N2846" s="133" t="s">
        <v>781</v>
      </c>
      <c r="O2846" s="4" t="s">
        <v>1175</v>
      </c>
      <c r="P2846" s="4" t="s">
        <v>892</v>
      </c>
      <c r="Q2846" s="4" t="s">
        <v>1176</v>
      </c>
      <c r="R2846" s="4" t="s">
        <v>953</v>
      </c>
      <c r="S2846" s="4" t="s">
        <v>1178</v>
      </c>
      <c r="T2846" s="4" t="s">
        <v>786</v>
      </c>
      <c r="U2846" s="4"/>
      <c r="V2846" s="4"/>
      <c r="W2846" s="4"/>
    </row>
    <row r="2847" spans="1:23" customFormat="1">
      <c r="A2847" s="10"/>
      <c r="B2847" s="4"/>
      <c r="C2847" s="4"/>
      <c r="D2847" s="4"/>
      <c r="E2847" s="4"/>
      <c r="F2847" s="152" t="s">
        <v>47</v>
      </c>
      <c r="G2847" s="4" t="s">
        <v>46</v>
      </c>
      <c r="H2847" s="4"/>
      <c r="I2847" s="196">
        <v>2186800</v>
      </c>
      <c r="J2847" s="196">
        <v>1540</v>
      </c>
      <c r="K2847" s="196">
        <v>1420</v>
      </c>
      <c r="L2847" s="454" t="s">
        <v>1098</v>
      </c>
      <c r="M2847" s="4" t="s">
        <v>780</v>
      </c>
      <c r="N2847" s="133" t="s">
        <v>781</v>
      </c>
      <c r="O2847" s="4" t="s">
        <v>1175</v>
      </c>
      <c r="P2847" s="4" t="s">
        <v>892</v>
      </c>
      <c r="Q2847" s="4" t="s">
        <v>1176</v>
      </c>
      <c r="R2847" s="4" t="s">
        <v>1187</v>
      </c>
      <c r="S2847" s="4" t="s">
        <v>1178</v>
      </c>
      <c r="T2847" s="4" t="s">
        <v>786</v>
      </c>
      <c r="U2847" s="4"/>
      <c r="V2847" s="4"/>
      <c r="W2847" s="4"/>
    </row>
    <row r="2848" spans="1:23" customFormat="1">
      <c r="A2848" s="10"/>
      <c r="B2848" s="4"/>
      <c r="C2848" s="4"/>
      <c r="D2848" s="4"/>
      <c r="E2848" s="4"/>
      <c r="F2848" s="152" t="s">
        <v>47</v>
      </c>
      <c r="G2848" s="4" t="s">
        <v>46</v>
      </c>
      <c r="H2848" s="4"/>
      <c r="I2848" s="196">
        <v>1093400</v>
      </c>
      <c r="J2848" s="196">
        <v>770</v>
      </c>
      <c r="K2848" s="196">
        <v>1420</v>
      </c>
      <c r="L2848" s="454" t="s">
        <v>1205</v>
      </c>
      <c r="M2848" s="4" t="s">
        <v>780</v>
      </c>
      <c r="N2848" s="133" t="s">
        <v>781</v>
      </c>
      <c r="O2848" s="4" t="s">
        <v>1233</v>
      </c>
      <c r="P2848" s="4" t="s">
        <v>892</v>
      </c>
      <c r="Q2848" s="4" t="s">
        <v>1234</v>
      </c>
      <c r="R2848" s="4" t="s">
        <v>1235</v>
      </c>
      <c r="S2848" s="4" t="s">
        <v>1236</v>
      </c>
      <c r="T2848" s="4" t="s">
        <v>786</v>
      </c>
      <c r="U2848" s="4"/>
      <c r="V2848" s="4"/>
      <c r="W2848" s="4"/>
    </row>
    <row r="2849" spans="1:23" customFormat="1">
      <c r="A2849" s="10"/>
      <c r="B2849" s="4"/>
      <c r="C2849" s="4"/>
      <c r="D2849" s="4"/>
      <c r="E2849" s="4"/>
      <c r="F2849" s="152" t="s">
        <v>47</v>
      </c>
      <c r="G2849" s="4" t="s">
        <v>46</v>
      </c>
      <c r="H2849" s="4"/>
      <c r="I2849" s="196">
        <v>2698</v>
      </c>
      <c r="J2849" s="196">
        <v>1.9</v>
      </c>
      <c r="K2849" s="196">
        <v>1420</v>
      </c>
      <c r="L2849" s="454" t="s">
        <v>1205</v>
      </c>
      <c r="M2849" s="4" t="s">
        <v>780</v>
      </c>
      <c r="N2849" s="133" t="s">
        <v>781</v>
      </c>
      <c r="O2849" s="4" t="s">
        <v>1233</v>
      </c>
      <c r="P2849" s="4" t="s">
        <v>892</v>
      </c>
      <c r="Q2849" s="4" t="s">
        <v>1234</v>
      </c>
      <c r="R2849" s="4" t="s">
        <v>953</v>
      </c>
      <c r="S2849" s="4" t="s">
        <v>1236</v>
      </c>
      <c r="T2849" s="4" t="s">
        <v>786</v>
      </c>
      <c r="U2849" s="4"/>
      <c r="V2849" s="4"/>
      <c r="W2849" s="4"/>
    </row>
    <row r="2850" spans="1:23" customFormat="1">
      <c r="A2850" s="10"/>
      <c r="B2850" s="4"/>
      <c r="C2850" s="4"/>
      <c r="D2850" s="4"/>
      <c r="E2850" s="4"/>
      <c r="F2850" s="152" t="s">
        <v>47</v>
      </c>
      <c r="G2850" s="4" t="s">
        <v>46</v>
      </c>
      <c r="H2850" s="4"/>
      <c r="I2850" s="196">
        <v>2603</v>
      </c>
      <c r="J2850" s="196">
        <v>1.9</v>
      </c>
      <c r="K2850" s="196">
        <v>1370</v>
      </c>
      <c r="L2850" s="454" t="s">
        <v>787</v>
      </c>
      <c r="M2850" s="4" t="s">
        <v>780</v>
      </c>
      <c r="N2850" s="133" t="s">
        <v>1407</v>
      </c>
      <c r="O2850" s="4" t="s">
        <v>1446</v>
      </c>
      <c r="P2850" s="4" t="s">
        <v>783</v>
      </c>
      <c r="Q2850" s="4" t="s">
        <v>1447</v>
      </c>
      <c r="R2850" s="4" t="s">
        <v>1487</v>
      </c>
      <c r="S2850" s="4" t="s">
        <v>1449</v>
      </c>
      <c r="T2850" s="4" t="s">
        <v>786</v>
      </c>
      <c r="U2850" s="4"/>
      <c r="V2850" s="4"/>
      <c r="W2850" s="4"/>
    </row>
    <row r="2851" spans="1:23" customFormat="1">
      <c r="A2851" s="10"/>
      <c r="B2851" s="4"/>
      <c r="C2851" s="4"/>
      <c r="D2851" s="4"/>
      <c r="E2851" s="4"/>
      <c r="F2851" s="152" t="s">
        <v>47</v>
      </c>
      <c r="G2851" s="4" t="s">
        <v>46</v>
      </c>
      <c r="H2851" s="4"/>
      <c r="I2851" s="196">
        <v>2603</v>
      </c>
      <c r="J2851" s="196">
        <v>1.9</v>
      </c>
      <c r="K2851" s="196">
        <v>1370</v>
      </c>
      <c r="L2851" s="454" t="s">
        <v>787</v>
      </c>
      <c r="M2851" s="4" t="s">
        <v>780</v>
      </c>
      <c r="N2851" s="133" t="s">
        <v>1407</v>
      </c>
      <c r="O2851" s="4" t="s">
        <v>1446</v>
      </c>
      <c r="P2851" s="4" t="s">
        <v>783</v>
      </c>
      <c r="Q2851" s="4" t="s">
        <v>1447</v>
      </c>
      <c r="R2851" s="4" t="s">
        <v>1456</v>
      </c>
      <c r="S2851" s="4" t="s">
        <v>1449</v>
      </c>
      <c r="T2851" s="4" t="s">
        <v>786</v>
      </c>
      <c r="U2851" s="4"/>
      <c r="V2851" s="4"/>
      <c r="W2851" s="4"/>
    </row>
    <row r="2852" spans="1:23" customFormat="1">
      <c r="A2852" s="10"/>
      <c r="B2852" s="4"/>
      <c r="C2852" s="4"/>
      <c r="D2852" s="4"/>
      <c r="E2852" s="4"/>
      <c r="F2852" s="152" t="s">
        <v>47</v>
      </c>
      <c r="G2852" s="4" t="s">
        <v>46</v>
      </c>
      <c r="H2852" s="4"/>
      <c r="I2852" s="196">
        <v>2342700</v>
      </c>
      <c r="J2852" s="196">
        <v>1710</v>
      </c>
      <c r="K2852" s="196">
        <v>1370</v>
      </c>
      <c r="L2852" s="454" t="s">
        <v>787</v>
      </c>
      <c r="M2852" s="4" t="s">
        <v>780</v>
      </c>
      <c r="N2852" s="133" t="s">
        <v>1407</v>
      </c>
      <c r="O2852" s="4" t="s">
        <v>1446</v>
      </c>
      <c r="P2852" s="4" t="s">
        <v>783</v>
      </c>
      <c r="Q2852" s="4" t="s">
        <v>1447</v>
      </c>
      <c r="R2852" s="4" t="s">
        <v>1489</v>
      </c>
      <c r="S2852" s="4" t="s">
        <v>1449</v>
      </c>
      <c r="T2852" s="4" t="s">
        <v>786</v>
      </c>
      <c r="U2852" s="4"/>
      <c r="V2852" s="4"/>
      <c r="W2852" s="4"/>
    </row>
    <row r="2853" spans="1:23" customFormat="1">
      <c r="A2853" s="10"/>
      <c r="B2853" s="4"/>
      <c r="C2853" s="4"/>
      <c r="D2853" s="4"/>
      <c r="E2853" s="4"/>
      <c r="F2853" s="152" t="s">
        <v>47</v>
      </c>
      <c r="G2853" s="4" t="s">
        <v>46</v>
      </c>
      <c r="H2853" s="4"/>
      <c r="I2853" s="196">
        <v>1545360</v>
      </c>
      <c r="J2853" s="196">
        <v>1128</v>
      </c>
      <c r="K2853" s="196">
        <v>1370</v>
      </c>
      <c r="L2853" s="454" t="s">
        <v>787</v>
      </c>
      <c r="M2853" s="4" t="s">
        <v>780</v>
      </c>
      <c r="N2853" s="133" t="s">
        <v>1407</v>
      </c>
      <c r="O2853" s="4" t="s">
        <v>1446</v>
      </c>
      <c r="P2853" s="4" t="s">
        <v>783</v>
      </c>
      <c r="Q2853" s="4" t="s">
        <v>1447</v>
      </c>
      <c r="R2853" s="4" t="s">
        <v>1488</v>
      </c>
      <c r="S2853" s="4" t="s">
        <v>1449</v>
      </c>
      <c r="T2853" s="4" t="s">
        <v>786</v>
      </c>
      <c r="U2853" s="4"/>
      <c r="V2853" s="4"/>
      <c r="W2853" s="4"/>
    </row>
    <row r="2854" spans="1:23" customFormat="1">
      <c r="A2854" s="10"/>
      <c r="B2854" s="4"/>
      <c r="C2854" s="4"/>
      <c r="D2854" s="4"/>
      <c r="E2854" s="4"/>
      <c r="F2854" s="152" t="s">
        <v>47</v>
      </c>
      <c r="G2854" s="4" t="s">
        <v>46</v>
      </c>
      <c r="H2854" s="4"/>
      <c r="I2854" s="196">
        <v>400400</v>
      </c>
      <c r="J2854" s="196">
        <v>280</v>
      </c>
      <c r="K2854" s="196">
        <v>1430</v>
      </c>
      <c r="L2854" s="454" t="s">
        <v>890</v>
      </c>
      <c r="M2854" s="4" t="s">
        <v>780</v>
      </c>
      <c r="N2854" s="133" t="s">
        <v>1407</v>
      </c>
      <c r="O2854" s="4" t="s">
        <v>1789</v>
      </c>
      <c r="P2854" s="4" t="s">
        <v>892</v>
      </c>
      <c r="Q2854" s="4" t="s">
        <v>1790</v>
      </c>
      <c r="R2854" s="4" t="s">
        <v>1797</v>
      </c>
      <c r="S2854" s="4" t="s">
        <v>1792</v>
      </c>
      <c r="T2854" s="4" t="s">
        <v>786</v>
      </c>
      <c r="U2854" s="4"/>
      <c r="V2854" s="4"/>
      <c r="W2854" s="4"/>
    </row>
    <row r="2855" spans="1:23" customFormat="1">
      <c r="A2855" s="10"/>
      <c r="B2855" s="4"/>
      <c r="C2855" s="4"/>
      <c r="D2855" s="4"/>
      <c r="E2855" s="4"/>
      <c r="F2855" s="152" t="s">
        <v>47</v>
      </c>
      <c r="G2855" s="4" t="s">
        <v>46</v>
      </c>
      <c r="H2855" s="4"/>
      <c r="I2855" s="196">
        <v>2717</v>
      </c>
      <c r="J2855" s="196">
        <v>1.9</v>
      </c>
      <c r="K2855" s="196">
        <v>1430</v>
      </c>
      <c r="L2855" s="454" t="s">
        <v>890</v>
      </c>
      <c r="M2855" s="4" t="s">
        <v>780</v>
      </c>
      <c r="N2855" s="133" t="s">
        <v>1407</v>
      </c>
      <c r="O2855" s="4" t="s">
        <v>1789</v>
      </c>
      <c r="P2855" s="4" t="s">
        <v>892</v>
      </c>
      <c r="Q2855" s="4" t="s">
        <v>1790</v>
      </c>
      <c r="R2855" s="4" t="s">
        <v>1456</v>
      </c>
      <c r="S2855" s="4" t="s">
        <v>1792</v>
      </c>
      <c r="T2855" s="4" t="s">
        <v>786</v>
      </c>
      <c r="U2855" s="4"/>
      <c r="V2855" s="4"/>
      <c r="W2855" s="4"/>
    </row>
    <row r="2856" spans="1:23" customFormat="1">
      <c r="A2856" s="10"/>
      <c r="B2856" s="4"/>
      <c r="C2856" s="4"/>
      <c r="D2856" s="4"/>
      <c r="E2856" s="4"/>
      <c r="F2856" s="152" t="s">
        <v>491</v>
      </c>
      <c r="G2856" s="4" t="s">
        <v>2179</v>
      </c>
      <c r="H2856" s="4"/>
      <c r="I2856" s="196">
        <v>204400</v>
      </c>
      <c r="J2856" s="196">
        <v>140</v>
      </c>
      <c r="K2856" s="196">
        <v>1460</v>
      </c>
      <c r="L2856" s="454" t="s">
        <v>1045</v>
      </c>
      <c r="M2856" s="4" t="s">
        <v>780</v>
      </c>
      <c r="N2856" s="133" t="s">
        <v>1407</v>
      </c>
      <c r="O2856" s="4" t="s">
        <v>2174</v>
      </c>
      <c r="P2856" s="4" t="s">
        <v>892</v>
      </c>
      <c r="Q2856" s="4" t="s">
        <v>2175</v>
      </c>
      <c r="R2856" s="4" t="s">
        <v>2180</v>
      </c>
      <c r="S2856" s="4" t="s">
        <v>2177</v>
      </c>
      <c r="T2856" s="4" t="s">
        <v>786</v>
      </c>
      <c r="U2856" s="4"/>
      <c r="V2856" s="4"/>
      <c r="W2856" s="4"/>
    </row>
    <row r="2857" spans="1:23" customFormat="1">
      <c r="A2857" s="10"/>
      <c r="B2857" s="4"/>
      <c r="C2857" s="4"/>
      <c r="D2857" s="4"/>
      <c r="E2857" s="4"/>
      <c r="F2857" s="152" t="s">
        <v>491</v>
      </c>
      <c r="G2857" s="4" t="s">
        <v>2179</v>
      </c>
      <c r="H2857" s="4"/>
      <c r="I2857" s="196">
        <v>58785</v>
      </c>
      <c r="J2857" s="196">
        <v>39.19</v>
      </c>
      <c r="K2857" s="196">
        <v>1500</v>
      </c>
      <c r="L2857" s="454" t="s">
        <v>1045</v>
      </c>
      <c r="M2857" s="4" t="s">
        <v>780</v>
      </c>
      <c r="N2857" s="133" t="s">
        <v>1407</v>
      </c>
      <c r="O2857" s="4" t="s">
        <v>2174</v>
      </c>
      <c r="P2857" s="4" t="s">
        <v>892</v>
      </c>
      <c r="Q2857" s="4" t="s">
        <v>2175</v>
      </c>
      <c r="R2857" s="4" t="s">
        <v>2181</v>
      </c>
      <c r="S2857" s="4" t="s">
        <v>2177</v>
      </c>
      <c r="T2857" s="4" t="s">
        <v>786</v>
      </c>
      <c r="U2857" s="4"/>
      <c r="V2857" s="4"/>
      <c r="W2857" s="4"/>
    </row>
    <row r="2858" spans="1:23" customFormat="1">
      <c r="A2858" s="10"/>
      <c r="B2858" s="4"/>
      <c r="C2858" s="4"/>
      <c r="D2858" s="4"/>
      <c r="E2858" s="4"/>
      <c r="F2858" s="152" t="s">
        <v>491</v>
      </c>
      <c r="G2858" s="4" t="s">
        <v>2179</v>
      </c>
      <c r="H2858" s="4"/>
      <c r="I2858" s="196">
        <v>175200</v>
      </c>
      <c r="J2858" s="196">
        <v>120</v>
      </c>
      <c r="K2858" s="196">
        <v>1460</v>
      </c>
      <c r="L2858" s="454" t="s">
        <v>1045</v>
      </c>
      <c r="M2858" s="4" t="s">
        <v>780</v>
      </c>
      <c r="N2858" s="133" t="s">
        <v>1407</v>
      </c>
      <c r="O2858" s="4" t="s">
        <v>2174</v>
      </c>
      <c r="P2858" s="4" t="s">
        <v>892</v>
      </c>
      <c r="Q2858" s="4" t="s">
        <v>2175</v>
      </c>
      <c r="R2858" s="4" t="s">
        <v>2183</v>
      </c>
      <c r="S2858" s="4" t="s">
        <v>2177</v>
      </c>
      <c r="T2858" s="4" t="s">
        <v>786</v>
      </c>
      <c r="U2858" s="4"/>
      <c r="V2858" s="4"/>
      <c r="W2858" s="4"/>
    </row>
    <row r="2859" spans="1:23" customFormat="1">
      <c r="A2859" s="10"/>
      <c r="B2859" s="4"/>
      <c r="C2859" s="4"/>
      <c r="D2859" s="4"/>
      <c r="E2859" s="4"/>
      <c r="F2859" s="152" t="s">
        <v>29</v>
      </c>
      <c r="G2859" s="4" t="s">
        <v>975</v>
      </c>
      <c r="H2859" s="4"/>
      <c r="I2859" s="196">
        <v>7343632.5</v>
      </c>
      <c r="J2859" s="196">
        <v>5208.25</v>
      </c>
      <c r="K2859" s="196">
        <v>1410</v>
      </c>
      <c r="L2859" s="454" t="s">
        <v>890</v>
      </c>
      <c r="M2859" s="4" t="s">
        <v>780</v>
      </c>
      <c r="N2859" s="133" t="s">
        <v>781</v>
      </c>
      <c r="O2859" s="4" t="s">
        <v>967</v>
      </c>
      <c r="P2859" s="4" t="s">
        <v>892</v>
      </c>
      <c r="Q2859" s="4" t="s">
        <v>968</v>
      </c>
      <c r="R2859" s="4" t="s">
        <v>973</v>
      </c>
      <c r="S2859" s="4" t="s">
        <v>970</v>
      </c>
      <c r="T2859" s="4" t="s">
        <v>786</v>
      </c>
      <c r="U2859" s="4"/>
      <c r="V2859" s="4"/>
      <c r="W2859" s="4"/>
    </row>
    <row r="2860" spans="1:23" customFormat="1">
      <c r="A2860" s="10"/>
      <c r="B2860" s="4"/>
      <c r="C2860" s="4"/>
      <c r="D2860" s="4"/>
      <c r="E2860" s="4"/>
      <c r="F2860" s="152" t="s">
        <v>29</v>
      </c>
      <c r="G2860" s="4" t="s">
        <v>975</v>
      </c>
      <c r="H2860" s="4"/>
      <c r="I2860" s="196">
        <v>-7603680</v>
      </c>
      <c r="J2860" s="196">
        <v>-5208</v>
      </c>
      <c r="K2860" s="196">
        <v>1460</v>
      </c>
      <c r="L2860" s="454" t="s">
        <v>1041</v>
      </c>
      <c r="M2860" s="4" t="s">
        <v>780</v>
      </c>
      <c r="N2860" s="133" t="s">
        <v>781</v>
      </c>
      <c r="O2860" s="4" t="s">
        <v>1057</v>
      </c>
      <c r="P2860" s="4" t="s">
        <v>892</v>
      </c>
      <c r="Q2860" s="4" t="s">
        <v>1058</v>
      </c>
      <c r="R2860" s="4" t="s">
        <v>1059</v>
      </c>
      <c r="S2860" s="4" t="s">
        <v>1060</v>
      </c>
      <c r="T2860" s="4" t="s">
        <v>786</v>
      </c>
      <c r="U2860" s="4"/>
      <c r="V2860" s="4"/>
      <c r="W2860" s="4"/>
    </row>
    <row r="2861" spans="1:23" customFormat="1">
      <c r="A2861" s="10"/>
      <c r="B2861" s="4"/>
      <c r="C2861" s="4"/>
      <c r="D2861" s="4"/>
      <c r="E2861" s="4"/>
      <c r="F2861" s="152" t="s">
        <v>489</v>
      </c>
      <c r="G2861" s="4" t="s">
        <v>465</v>
      </c>
      <c r="H2861" s="4"/>
      <c r="I2861" s="196">
        <v>339380</v>
      </c>
      <c r="J2861" s="196">
        <v>239</v>
      </c>
      <c r="K2861" s="196">
        <v>1420</v>
      </c>
      <c r="L2861" s="454" t="s">
        <v>1210</v>
      </c>
      <c r="M2861" s="4" t="s">
        <v>780</v>
      </c>
      <c r="N2861" s="133" t="s">
        <v>2705</v>
      </c>
      <c r="O2861" s="4" t="s">
        <v>1221</v>
      </c>
      <c r="P2861" s="4" t="s">
        <v>892</v>
      </c>
      <c r="Q2861" s="4" t="s">
        <v>1222</v>
      </c>
      <c r="R2861" s="4" t="s">
        <v>2742</v>
      </c>
      <c r="S2861" s="4" t="s">
        <v>1224</v>
      </c>
      <c r="T2861" s="4" t="s">
        <v>786</v>
      </c>
      <c r="U2861" s="4"/>
      <c r="V2861" s="4"/>
      <c r="W2861" s="4"/>
    </row>
    <row r="2862" spans="1:23" customFormat="1">
      <c r="A2862" s="10"/>
      <c r="B2862" s="4"/>
      <c r="C2862" s="4"/>
      <c r="D2862" s="4"/>
      <c r="E2862" s="4"/>
      <c r="F2862" s="152" t="s">
        <v>341</v>
      </c>
      <c r="G2862" s="4" t="s">
        <v>342</v>
      </c>
      <c r="H2862" s="4"/>
      <c r="I2862" s="196">
        <v>444176</v>
      </c>
      <c r="J2862" s="196">
        <v>312.8</v>
      </c>
      <c r="K2862" s="196">
        <v>1420</v>
      </c>
      <c r="L2862" s="454" t="s">
        <v>825</v>
      </c>
      <c r="M2862" s="4" t="s">
        <v>780</v>
      </c>
      <c r="N2862" s="133" t="s">
        <v>2705</v>
      </c>
      <c r="O2862" s="4" t="s">
        <v>826</v>
      </c>
      <c r="P2862" s="4" t="s">
        <v>783</v>
      </c>
      <c r="Q2862" s="4" t="s">
        <v>827</v>
      </c>
      <c r="R2862" s="4" t="s">
        <v>2706</v>
      </c>
      <c r="S2862" s="4" t="s">
        <v>829</v>
      </c>
      <c r="T2862" s="4" t="s">
        <v>786</v>
      </c>
      <c r="U2862" s="4"/>
      <c r="V2862" s="4"/>
      <c r="W2862" s="4"/>
    </row>
    <row r="2863" spans="1:23" customFormat="1">
      <c r="A2863" s="10"/>
      <c r="B2863" s="4"/>
      <c r="C2863" s="4"/>
      <c r="D2863" s="4"/>
      <c r="E2863" s="4"/>
      <c r="F2863" s="152" t="s">
        <v>341</v>
      </c>
      <c r="G2863" s="4" t="s">
        <v>342</v>
      </c>
      <c r="H2863" s="4"/>
      <c r="I2863" s="196">
        <v>490000</v>
      </c>
      <c r="J2863" s="196">
        <v>350</v>
      </c>
      <c r="K2863" s="196">
        <v>1400</v>
      </c>
      <c r="L2863" s="454" t="s">
        <v>1007</v>
      </c>
      <c r="M2863" s="4" t="s">
        <v>780</v>
      </c>
      <c r="N2863" s="133" t="s">
        <v>2705</v>
      </c>
      <c r="O2863" s="4" t="s">
        <v>2712</v>
      </c>
      <c r="P2863" s="4" t="s">
        <v>892</v>
      </c>
      <c r="Q2863" s="4" t="s">
        <v>2713</v>
      </c>
      <c r="R2863" s="4" t="s">
        <v>2714</v>
      </c>
      <c r="S2863" s="4" t="s">
        <v>2715</v>
      </c>
      <c r="T2863" s="4" t="s">
        <v>786</v>
      </c>
      <c r="U2863" s="4"/>
      <c r="V2863" s="4"/>
      <c r="W2863" s="4"/>
    </row>
    <row r="2864" spans="1:23" customFormat="1">
      <c r="A2864" s="10"/>
      <c r="B2864" s="4"/>
      <c r="C2864" s="4"/>
      <c r="D2864" s="4"/>
      <c r="E2864" s="4"/>
      <c r="F2864" s="152" t="s">
        <v>341</v>
      </c>
      <c r="G2864" s="4" t="s">
        <v>342</v>
      </c>
      <c r="H2864" s="4"/>
      <c r="I2864" s="196">
        <v>374880</v>
      </c>
      <c r="J2864" s="196">
        <v>264</v>
      </c>
      <c r="K2864" s="196">
        <v>1420</v>
      </c>
      <c r="L2864" s="454" t="s">
        <v>1123</v>
      </c>
      <c r="M2864" s="4" t="s">
        <v>780</v>
      </c>
      <c r="N2864" s="133" t="s">
        <v>2705</v>
      </c>
      <c r="O2864" s="4" t="s">
        <v>1124</v>
      </c>
      <c r="P2864" s="4" t="s">
        <v>892</v>
      </c>
      <c r="Q2864" s="4" t="s">
        <v>1125</v>
      </c>
      <c r="R2864" s="4" t="s">
        <v>2728</v>
      </c>
      <c r="S2864" s="4" t="s">
        <v>1127</v>
      </c>
      <c r="T2864" s="4" t="s">
        <v>786</v>
      </c>
      <c r="U2864" s="4"/>
      <c r="V2864" s="4"/>
      <c r="W2864" s="4"/>
    </row>
    <row r="2865" spans="1:23" customFormat="1">
      <c r="A2865" s="10"/>
      <c r="B2865" s="4"/>
      <c r="C2865" s="4"/>
      <c r="D2865" s="4"/>
      <c r="E2865" s="4"/>
      <c r="F2865" s="152" t="s">
        <v>341</v>
      </c>
      <c r="G2865" s="4" t="s">
        <v>342</v>
      </c>
      <c r="H2865" s="4"/>
      <c r="I2865" s="196">
        <v>365224</v>
      </c>
      <c r="J2865" s="196">
        <v>257.2</v>
      </c>
      <c r="K2865" s="196">
        <v>1420</v>
      </c>
      <c r="L2865" s="454" t="s">
        <v>1210</v>
      </c>
      <c r="M2865" s="4" t="s">
        <v>780</v>
      </c>
      <c r="N2865" s="133" t="s">
        <v>2705</v>
      </c>
      <c r="O2865" s="4" t="s">
        <v>1221</v>
      </c>
      <c r="P2865" s="4" t="s">
        <v>892</v>
      </c>
      <c r="Q2865" s="4" t="s">
        <v>1222</v>
      </c>
      <c r="R2865" s="4" t="s">
        <v>2706</v>
      </c>
      <c r="S2865" s="4" t="s">
        <v>1224</v>
      </c>
      <c r="T2865" s="4" t="s">
        <v>786</v>
      </c>
      <c r="U2865" s="4"/>
      <c r="V2865" s="4"/>
      <c r="W2865" s="4"/>
    </row>
    <row r="2866" spans="1:23" customFormat="1">
      <c r="A2866" s="10"/>
      <c r="B2866" s="4"/>
      <c r="C2866" s="4"/>
      <c r="D2866" s="4"/>
      <c r="E2866" s="4"/>
      <c r="F2866" s="152" t="s">
        <v>341</v>
      </c>
      <c r="G2866" s="4" t="s">
        <v>342</v>
      </c>
      <c r="H2866" s="4"/>
      <c r="I2866" s="196">
        <v>45440</v>
      </c>
      <c r="J2866" s="196">
        <v>32</v>
      </c>
      <c r="K2866" s="196">
        <v>1420</v>
      </c>
      <c r="L2866" s="454" t="s">
        <v>787</v>
      </c>
      <c r="M2866" s="4" t="s">
        <v>780</v>
      </c>
      <c r="N2866" s="133" t="s">
        <v>781</v>
      </c>
      <c r="O2866" s="4" t="s">
        <v>830</v>
      </c>
      <c r="P2866" s="4" t="s">
        <v>783</v>
      </c>
      <c r="Q2866" s="4" t="s">
        <v>831</v>
      </c>
      <c r="R2866" s="4" t="s">
        <v>851</v>
      </c>
      <c r="S2866" s="4" t="s">
        <v>833</v>
      </c>
      <c r="T2866" s="4" t="s">
        <v>786</v>
      </c>
      <c r="U2866" s="4"/>
      <c r="V2866" s="4"/>
      <c r="W2866" s="4"/>
    </row>
    <row r="2867" spans="1:23" customFormat="1">
      <c r="A2867" s="10"/>
      <c r="B2867" s="4"/>
      <c r="C2867" s="4"/>
      <c r="D2867" s="4"/>
      <c r="E2867" s="4"/>
      <c r="F2867" s="152" t="s">
        <v>341</v>
      </c>
      <c r="G2867" s="4" t="s">
        <v>342</v>
      </c>
      <c r="H2867" s="4"/>
      <c r="I2867" s="196">
        <v>35500</v>
      </c>
      <c r="J2867" s="196">
        <v>25</v>
      </c>
      <c r="K2867" s="196">
        <v>1420</v>
      </c>
      <c r="L2867" s="454" t="s">
        <v>787</v>
      </c>
      <c r="M2867" s="4" t="s">
        <v>780</v>
      </c>
      <c r="N2867" s="133" t="s">
        <v>781</v>
      </c>
      <c r="O2867" s="4" t="s">
        <v>830</v>
      </c>
      <c r="P2867" s="4" t="s">
        <v>783</v>
      </c>
      <c r="Q2867" s="4" t="s">
        <v>831</v>
      </c>
      <c r="R2867" s="4" t="s">
        <v>852</v>
      </c>
      <c r="S2867" s="4" t="s">
        <v>833</v>
      </c>
      <c r="T2867" s="4" t="s">
        <v>786</v>
      </c>
      <c r="U2867" s="4"/>
      <c r="V2867" s="4"/>
      <c r="W2867" s="4"/>
    </row>
    <row r="2868" spans="1:23" customFormat="1">
      <c r="A2868" s="10"/>
      <c r="B2868" s="4"/>
      <c r="C2868" s="4"/>
      <c r="D2868" s="4"/>
      <c r="E2868" s="4"/>
      <c r="F2868" s="152" t="s">
        <v>341</v>
      </c>
      <c r="G2868" s="4" t="s">
        <v>342</v>
      </c>
      <c r="H2868" s="4"/>
      <c r="I2868" s="196">
        <v>28200</v>
      </c>
      <c r="J2868" s="196">
        <v>20</v>
      </c>
      <c r="K2868" s="196">
        <v>1410</v>
      </c>
      <c r="L2868" s="454" t="s">
        <v>890</v>
      </c>
      <c r="M2868" s="4" t="s">
        <v>780</v>
      </c>
      <c r="N2868" s="133" t="s">
        <v>781</v>
      </c>
      <c r="O2868" s="4" t="s">
        <v>967</v>
      </c>
      <c r="P2868" s="4" t="s">
        <v>892</v>
      </c>
      <c r="Q2868" s="4" t="s">
        <v>968</v>
      </c>
      <c r="R2868" s="4" t="s">
        <v>851</v>
      </c>
      <c r="S2868" s="4" t="s">
        <v>970</v>
      </c>
      <c r="T2868" s="4" t="s">
        <v>786</v>
      </c>
      <c r="U2868" s="4"/>
      <c r="V2868" s="4"/>
      <c r="W2868" s="4"/>
    </row>
    <row r="2869" spans="1:23" customFormat="1">
      <c r="A2869" s="10"/>
      <c r="B2869" s="4"/>
      <c r="C2869" s="4"/>
      <c r="D2869" s="4"/>
      <c r="E2869" s="4"/>
      <c r="F2869" s="152" t="s">
        <v>341</v>
      </c>
      <c r="G2869" s="4" t="s">
        <v>342</v>
      </c>
      <c r="H2869" s="4"/>
      <c r="I2869" s="196">
        <v>44800</v>
      </c>
      <c r="J2869" s="196">
        <v>32</v>
      </c>
      <c r="K2869" s="196">
        <v>1400</v>
      </c>
      <c r="L2869" s="454" t="s">
        <v>1017</v>
      </c>
      <c r="M2869" s="4" t="s">
        <v>780</v>
      </c>
      <c r="N2869" s="133" t="s">
        <v>781</v>
      </c>
      <c r="O2869" s="4" t="s">
        <v>1018</v>
      </c>
      <c r="P2869" s="4" t="s">
        <v>892</v>
      </c>
      <c r="Q2869" s="4" t="s">
        <v>1019</v>
      </c>
      <c r="R2869" s="4" t="s">
        <v>851</v>
      </c>
      <c r="S2869" s="4" t="s">
        <v>1021</v>
      </c>
      <c r="T2869" s="4" t="s">
        <v>786</v>
      </c>
      <c r="U2869" s="4"/>
      <c r="V2869" s="4"/>
      <c r="W2869" s="4"/>
    </row>
    <row r="2870" spans="1:23" customFormat="1">
      <c r="A2870" s="10"/>
      <c r="B2870" s="4"/>
      <c r="C2870" s="4"/>
      <c r="D2870" s="4"/>
      <c r="E2870" s="4"/>
      <c r="F2870" s="152" t="s">
        <v>341</v>
      </c>
      <c r="G2870" s="4" t="s">
        <v>342</v>
      </c>
      <c r="H2870" s="4"/>
      <c r="I2870" s="196">
        <v>29200</v>
      </c>
      <c r="J2870" s="196">
        <v>20</v>
      </c>
      <c r="K2870" s="196">
        <v>1460</v>
      </c>
      <c r="L2870" s="454" t="s">
        <v>1049</v>
      </c>
      <c r="M2870" s="4" t="s">
        <v>780</v>
      </c>
      <c r="N2870" s="133" t="s">
        <v>781</v>
      </c>
      <c r="O2870" s="4" t="s">
        <v>1066</v>
      </c>
      <c r="P2870" s="4" t="s">
        <v>892</v>
      </c>
      <c r="Q2870" s="4" t="s">
        <v>1067</v>
      </c>
      <c r="R2870" s="4" t="s">
        <v>851</v>
      </c>
      <c r="S2870" s="4" t="s">
        <v>1069</v>
      </c>
      <c r="T2870" s="4" t="s">
        <v>786</v>
      </c>
      <c r="U2870" s="4"/>
      <c r="V2870" s="4"/>
      <c r="W2870" s="4"/>
    </row>
    <row r="2871" spans="1:23" customFormat="1">
      <c r="A2871" s="10"/>
      <c r="B2871" s="4"/>
      <c r="C2871" s="4"/>
      <c r="D2871" s="4"/>
      <c r="E2871" s="4"/>
      <c r="F2871" s="152" t="s">
        <v>341</v>
      </c>
      <c r="G2871" s="4" t="s">
        <v>342</v>
      </c>
      <c r="H2871" s="4"/>
      <c r="I2871" s="196">
        <v>45440</v>
      </c>
      <c r="J2871" s="196">
        <v>32</v>
      </c>
      <c r="K2871" s="196">
        <v>1420</v>
      </c>
      <c r="L2871" s="454" t="s">
        <v>1081</v>
      </c>
      <c r="M2871" s="4" t="s">
        <v>780</v>
      </c>
      <c r="N2871" s="133" t="s">
        <v>781</v>
      </c>
      <c r="O2871" s="4" t="s">
        <v>1141</v>
      </c>
      <c r="P2871" s="4" t="s">
        <v>892</v>
      </c>
      <c r="Q2871" s="4" t="s">
        <v>1142</v>
      </c>
      <c r="R2871" s="4" t="s">
        <v>851</v>
      </c>
      <c r="S2871" s="4" t="s">
        <v>1144</v>
      </c>
      <c r="T2871" s="4" t="s">
        <v>786</v>
      </c>
      <c r="U2871" s="4"/>
      <c r="V2871" s="4"/>
      <c r="W2871" s="4"/>
    </row>
    <row r="2872" spans="1:23" customFormat="1">
      <c r="A2872" s="10"/>
      <c r="B2872" s="4"/>
      <c r="C2872" s="4"/>
      <c r="D2872" s="4"/>
      <c r="E2872" s="4"/>
      <c r="F2872" s="152" t="s">
        <v>341</v>
      </c>
      <c r="G2872" s="4" t="s">
        <v>342</v>
      </c>
      <c r="H2872" s="4"/>
      <c r="I2872" s="196">
        <v>28400</v>
      </c>
      <c r="J2872" s="196">
        <v>20</v>
      </c>
      <c r="K2872" s="196">
        <v>1420</v>
      </c>
      <c r="L2872" s="454" t="s">
        <v>1093</v>
      </c>
      <c r="M2872" s="4" t="s">
        <v>780</v>
      </c>
      <c r="N2872" s="133" t="s">
        <v>781</v>
      </c>
      <c r="O2872" s="4" t="s">
        <v>1161</v>
      </c>
      <c r="P2872" s="4" t="s">
        <v>892</v>
      </c>
      <c r="Q2872" s="4" t="s">
        <v>1162</v>
      </c>
      <c r="R2872" s="4" t="s">
        <v>1163</v>
      </c>
      <c r="S2872" s="4" t="s">
        <v>1164</v>
      </c>
      <c r="T2872" s="4" t="s">
        <v>786</v>
      </c>
      <c r="U2872" s="4"/>
      <c r="V2872" s="4"/>
      <c r="W2872" s="4"/>
    </row>
    <row r="2873" spans="1:23" customFormat="1">
      <c r="A2873" s="10"/>
      <c r="B2873" s="4"/>
      <c r="C2873" s="4"/>
      <c r="D2873" s="4"/>
      <c r="E2873" s="4"/>
      <c r="F2873" s="152" t="s">
        <v>341</v>
      </c>
      <c r="G2873" s="4" t="s">
        <v>342</v>
      </c>
      <c r="H2873" s="4"/>
      <c r="I2873" s="196">
        <v>42543.199999999997</v>
      </c>
      <c r="J2873" s="196">
        <v>29.96</v>
      </c>
      <c r="K2873" s="196">
        <v>1420</v>
      </c>
      <c r="L2873" s="454" t="s">
        <v>1098</v>
      </c>
      <c r="M2873" s="4" t="s">
        <v>780</v>
      </c>
      <c r="N2873" s="133" t="s">
        <v>781</v>
      </c>
      <c r="O2873" s="4" t="s">
        <v>1175</v>
      </c>
      <c r="P2873" s="4" t="s">
        <v>892</v>
      </c>
      <c r="Q2873" s="4" t="s">
        <v>1176</v>
      </c>
      <c r="R2873" s="4" t="s">
        <v>1188</v>
      </c>
      <c r="S2873" s="4" t="s">
        <v>1178</v>
      </c>
      <c r="T2873" s="4" t="s">
        <v>786</v>
      </c>
      <c r="U2873" s="4"/>
      <c r="V2873" s="4"/>
      <c r="W2873" s="4"/>
    </row>
    <row r="2874" spans="1:23" customFormat="1">
      <c r="A2874" s="10"/>
      <c r="B2874" s="4"/>
      <c r="C2874" s="4"/>
      <c r="D2874" s="4"/>
      <c r="E2874" s="4"/>
      <c r="F2874" s="152" t="s">
        <v>341</v>
      </c>
      <c r="G2874" s="4" t="s">
        <v>342</v>
      </c>
      <c r="H2874" s="4"/>
      <c r="I2874" s="196">
        <v>35500</v>
      </c>
      <c r="J2874" s="196">
        <v>25</v>
      </c>
      <c r="K2874" s="196">
        <v>1420</v>
      </c>
      <c r="L2874" s="454" t="s">
        <v>1239</v>
      </c>
      <c r="M2874" s="4" t="s">
        <v>780</v>
      </c>
      <c r="N2874" s="133" t="s">
        <v>781</v>
      </c>
      <c r="O2874" s="4" t="s">
        <v>1240</v>
      </c>
      <c r="P2874" s="4" t="s">
        <v>892</v>
      </c>
      <c r="Q2874" s="4" t="s">
        <v>1241</v>
      </c>
      <c r="R2874" s="4" t="s">
        <v>1242</v>
      </c>
      <c r="S2874" s="4" t="s">
        <v>1243</v>
      </c>
      <c r="T2874" s="4" t="s">
        <v>786</v>
      </c>
      <c r="U2874" s="4"/>
      <c r="V2874" s="4"/>
      <c r="W2874" s="4"/>
    </row>
    <row r="2875" spans="1:23" customFormat="1">
      <c r="A2875" s="10"/>
      <c r="B2875" s="4"/>
      <c r="C2875" s="4"/>
      <c r="D2875" s="4"/>
      <c r="E2875" s="4"/>
      <c r="F2875" s="152" t="s">
        <v>341</v>
      </c>
      <c r="G2875" s="4" t="s">
        <v>342</v>
      </c>
      <c r="H2875" s="4"/>
      <c r="I2875" s="196">
        <v>35500</v>
      </c>
      <c r="J2875" s="196">
        <v>25</v>
      </c>
      <c r="K2875" s="196">
        <v>1420</v>
      </c>
      <c r="L2875" s="454" t="s">
        <v>1239</v>
      </c>
      <c r="M2875" s="4" t="s">
        <v>780</v>
      </c>
      <c r="N2875" s="133" t="s">
        <v>781</v>
      </c>
      <c r="O2875" s="4" t="s">
        <v>1240</v>
      </c>
      <c r="P2875" s="4" t="s">
        <v>892</v>
      </c>
      <c r="Q2875" s="4" t="s">
        <v>1241</v>
      </c>
      <c r="R2875" s="4" t="s">
        <v>806</v>
      </c>
      <c r="S2875" s="4" t="s">
        <v>1243</v>
      </c>
      <c r="T2875" s="4" t="s">
        <v>786</v>
      </c>
      <c r="U2875" s="4"/>
      <c r="V2875" s="4"/>
      <c r="W2875" s="4"/>
    </row>
    <row r="2876" spans="1:23" customFormat="1">
      <c r="A2876" s="10"/>
      <c r="B2876" s="4"/>
      <c r="C2876" s="4"/>
      <c r="D2876" s="4"/>
      <c r="E2876" s="4"/>
      <c r="F2876" s="152" t="s">
        <v>341</v>
      </c>
      <c r="G2876" s="4" t="s">
        <v>342</v>
      </c>
      <c r="H2876" s="4"/>
      <c r="I2876" s="196">
        <v>45440</v>
      </c>
      <c r="J2876" s="196">
        <v>32</v>
      </c>
      <c r="K2876" s="196">
        <v>1420</v>
      </c>
      <c r="L2876" s="454" t="s">
        <v>1239</v>
      </c>
      <c r="M2876" s="4" t="s">
        <v>780</v>
      </c>
      <c r="N2876" s="133" t="s">
        <v>781</v>
      </c>
      <c r="O2876" s="4" t="s">
        <v>1240</v>
      </c>
      <c r="P2876" s="4" t="s">
        <v>892</v>
      </c>
      <c r="Q2876" s="4" t="s">
        <v>1241</v>
      </c>
      <c r="R2876" s="4" t="s">
        <v>851</v>
      </c>
      <c r="S2876" s="4" t="s">
        <v>1243</v>
      </c>
      <c r="T2876" s="4" t="s">
        <v>786</v>
      </c>
      <c r="U2876" s="4"/>
      <c r="V2876" s="4"/>
      <c r="W2876" s="4"/>
    </row>
    <row r="2877" spans="1:23" customFormat="1">
      <c r="A2877" s="10"/>
      <c r="B2877" s="4"/>
      <c r="C2877" s="4"/>
      <c r="D2877" s="4"/>
      <c r="E2877" s="4"/>
      <c r="F2877" s="152" t="s">
        <v>341</v>
      </c>
      <c r="G2877" s="4" t="s">
        <v>342</v>
      </c>
      <c r="H2877" s="4"/>
      <c r="I2877" s="196">
        <v>29351.4</v>
      </c>
      <c r="J2877" s="196">
        <v>20.67</v>
      </c>
      <c r="K2877" s="196">
        <v>1420</v>
      </c>
      <c r="L2877" s="454" t="s">
        <v>787</v>
      </c>
      <c r="M2877" s="4" t="s">
        <v>780</v>
      </c>
      <c r="N2877" s="133" t="s">
        <v>1272</v>
      </c>
      <c r="O2877" s="4" t="s">
        <v>1287</v>
      </c>
      <c r="P2877" s="4" t="s">
        <v>783</v>
      </c>
      <c r="Q2877" s="4" t="s">
        <v>1288</v>
      </c>
      <c r="R2877" s="4" t="s">
        <v>1292</v>
      </c>
      <c r="S2877" s="4" t="s">
        <v>1290</v>
      </c>
      <c r="T2877" s="4" t="s">
        <v>786</v>
      </c>
      <c r="U2877" s="4"/>
      <c r="V2877" s="4"/>
      <c r="W2877" s="4"/>
    </row>
    <row r="2878" spans="1:23" customFormat="1">
      <c r="A2878" s="10"/>
      <c r="B2878" s="4"/>
      <c r="C2878" s="4"/>
      <c r="D2878" s="4"/>
      <c r="E2878" s="4"/>
      <c r="F2878" s="152" t="s">
        <v>341</v>
      </c>
      <c r="G2878" s="4" t="s">
        <v>342</v>
      </c>
      <c r="H2878" s="4"/>
      <c r="I2878" s="196">
        <v>28400</v>
      </c>
      <c r="J2878" s="196">
        <v>20</v>
      </c>
      <c r="K2878" s="196">
        <v>1420</v>
      </c>
      <c r="L2878" s="454" t="s">
        <v>787</v>
      </c>
      <c r="M2878" s="4" t="s">
        <v>780</v>
      </c>
      <c r="N2878" s="133" t="s">
        <v>1272</v>
      </c>
      <c r="O2878" s="4" t="s">
        <v>1294</v>
      </c>
      <c r="P2878" s="4" t="s">
        <v>783</v>
      </c>
      <c r="Q2878" s="4" t="s">
        <v>1295</v>
      </c>
      <c r="R2878" s="4" t="s">
        <v>1296</v>
      </c>
      <c r="S2878" s="4" t="s">
        <v>1297</v>
      </c>
      <c r="T2878" s="4" t="s">
        <v>786</v>
      </c>
      <c r="U2878" s="4"/>
      <c r="V2878" s="4"/>
      <c r="W2878" s="4"/>
    </row>
    <row r="2879" spans="1:23" customFormat="1">
      <c r="A2879" s="10"/>
      <c r="B2879" s="4"/>
      <c r="C2879" s="4"/>
      <c r="D2879" s="4"/>
      <c r="E2879" s="4"/>
      <c r="F2879" s="152" t="s">
        <v>341</v>
      </c>
      <c r="G2879" s="4" t="s">
        <v>342</v>
      </c>
      <c r="H2879" s="4"/>
      <c r="I2879" s="196">
        <v>28000</v>
      </c>
      <c r="J2879" s="196">
        <v>20</v>
      </c>
      <c r="K2879" s="196">
        <v>1400</v>
      </c>
      <c r="L2879" s="454" t="s">
        <v>1017</v>
      </c>
      <c r="M2879" s="4" t="s">
        <v>780</v>
      </c>
      <c r="N2879" s="133" t="s">
        <v>1272</v>
      </c>
      <c r="O2879" s="4" t="s">
        <v>1314</v>
      </c>
      <c r="P2879" s="4" t="s">
        <v>892</v>
      </c>
      <c r="Q2879" s="4" t="s">
        <v>1315</v>
      </c>
      <c r="R2879" s="4" t="s">
        <v>1316</v>
      </c>
      <c r="S2879" s="4" t="s">
        <v>1317</v>
      </c>
      <c r="T2879" s="4" t="s">
        <v>786</v>
      </c>
      <c r="U2879" s="4"/>
      <c r="V2879" s="4"/>
      <c r="W2879" s="4"/>
    </row>
    <row r="2880" spans="1:23" customFormat="1">
      <c r="A2880" s="10"/>
      <c r="B2880" s="4"/>
      <c r="C2880" s="4"/>
      <c r="D2880" s="4"/>
      <c r="E2880" s="4"/>
      <c r="F2880" s="152" t="s">
        <v>341</v>
      </c>
      <c r="G2880" s="4" t="s">
        <v>342</v>
      </c>
      <c r="H2880" s="4"/>
      <c r="I2880" s="196">
        <v>30408</v>
      </c>
      <c r="J2880" s="196">
        <v>21.72</v>
      </c>
      <c r="K2880" s="196">
        <v>1400</v>
      </c>
      <c r="L2880" s="454" t="s">
        <v>1017</v>
      </c>
      <c r="M2880" s="4" t="s">
        <v>780</v>
      </c>
      <c r="N2880" s="133" t="s">
        <v>1272</v>
      </c>
      <c r="O2880" s="4" t="s">
        <v>1318</v>
      </c>
      <c r="P2880" s="4" t="s">
        <v>892</v>
      </c>
      <c r="Q2880" s="4" t="s">
        <v>1319</v>
      </c>
      <c r="R2880" s="4" t="s">
        <v>1296</v>
      </c>
      <c r="S2880" s="4" t="s">
        <v>1320</v>
      </c>
      <c r="T2880" s="4" t="s">
        <v>786</v>
      </c>
      <c r="U2880" s="4"/>
      <c r="V2880" s="4"/>
      <c r="W2880" s="4"/>
    </row>
    <row r="2881" spans="1:23" customFormat="1">
      <c r="A2881" s="10"/>
      <c r="B2881" s="4"/>
      <c r="C2881" s="4"/>
      <c r="D2881" s="4"/>
      <c r="E2881" s="4"/>
      <c r="F2881" s="152" t="s">
        <v>341</v>
      </c>
      <c r="G2881" s="4" t="s">
        <v>342</v>
      </c>
      <c r="H2881" s="4"/>
      <c r="I2881" s="196">
        <v>31353.599999999999</v>
      </c>
      <c r="J2881" s="196">
        <v>22.08</v>
      </c>
      <c r="K2881" s="196">
        <v>1420</v>
      </c>
      <c r="L2881" s="454" t="s">
        <v>1081</v>
      </c>
      <c r="M2881" s="4" t="s">
        <v>780</v>
      </c>
      <c r="N2881" s="133" t="s">
        <v>1272</v>
      </c>
      <c r="O2881" s="4" t="s">
        <v>1361</v>
      </c>
      <c r="P2881" s="4" t="s">
        <v>892</v>
      </c>
      <c r="Q2881" s="4" t="s">
        <v>1362</v>
      </c>
      <c r="R2881" s="4" t="s">
        <v>1365</v>
      </c>
      <c r="S2881" s="4" t="s">
        <v>1364</v>
      </c>
      <c r="T2881" s="4" t="s">
        <v>786</v>
      </c>
      <c r="U2881" s="4"/>
      <c r="V2881" s="4"/>
      <c r="W2881" s="4"/>
    </row>
    <row r="2882" spans="1:23" customFormat="1">
      <c r="A2882" s="10"/>
      <c r="B2882" s="4"/>
      <c r="C2882" s="4"/>
      <c r="D2882" s="4"/>
      <c r="E2882" s="4"/>
      <c r="F2882" s="152" t="s">
        <v>341</v>
      </c>
      <c r="G2882" s="4" t="s">
        <v>342</v>
      </c>
      <c r="H2882" s="4"/>
      <c r="I2882" s="196">
        <v>28400</v>
      </c>
      <c r="J2882" s="196">
        <v>20</v>
      </c>
      <c r="K2882" s="196">
        <v>1420</v>
      </c>
      <c r="L2882" s="454" t="s">
        <v>1088</v>
      </c>
      <c r="M2882" s="4" t="s">
        <v>780</v>
      </c>
      <c r="N2882" s="133" t="s">
        <v>1272</v>
      </c>
      <c r="O2882" s="4" t="s">
        <v>1366</v>
      </c>
      <c r="P2882" s="4" t="s">
        <v>892</v>
      </c>
      <c r="Q2882" s="4" t="s">
        <v>1367</v>
      </c>
      <c r="R2882" s="4" t="s">
        <v>1296</v>
      </c>
      <c r="S2882" s="4" t="s">
        <v>1368</v>
      </c>
      <c r="T2882" s="4" t="s">
        <v>786</v>
      </c>
      <c r="U2882" s="4"/>
      <c r="V2882" s="4"/>
      <c r="W2882" s="4"/>
    </row>
    <row r="2883" spans="1:23" customFormat="1">
      <c r="A2883" s="10"/>
      <c r="B2883" s="4"/>
      <c r="C2883" s="4"/>
      <c r="D2883" s="4"/>
      <c r="E2883" s="4"/>
      <c r="F2883" s="152" t="s">
        <v>341</v>
      </c>
      <c r="G2883" s="4" t="s">
        <v>342</v>
      </c>
      <c r="H2883" s="4"/>
      <c r="I2883" s="196">
        <v>28400</v>
      </c>
      <c r="J2883" s="196">
        <v>20</v>
      </c>
      <c r="K2883" s="196">
        <v>1420</v>
      </c>
      <c r="L2883" s="454" t="s">
        <v>1198</v>
      </c>
      <c r="M2883" s="4" t="s">
        <v>780</v>
      </c>
      <c r="N2883" s="133" t="s">
        <v>1272</v>
      </c>
      <c r="O2883" s="4" t="s">
        <v>1391</v>
      </c>
      <c r="P2883" s="4" t="s">
        <v>892</v>
      </c>
      <c r="Q2883" s="4" t="s">
        <v>1392</v>
      </c>
      <c r="R2883" s="4" t="s">
        <v>1296</v>
      </c>
      <c r="S2883" s="4" t="s">
        <v>1393</v>
      </c>
      <c r="T2883" s="4" t="s">
        <v>786</v>
      </c>
      <c r="U2883" s="4"/>
      <c r="V2883" s="4"/>
      <c r="W2883" s="4"/>
    </row>
    <row r="2884" spans="1:23" customFormat="1">
      <c r="A2884" s="10"/>
      <c r="B2884" s="4"/>
      <c r="C2884" s="4"/>
      <c r="D2884" s="4"/>
      <c r="E2884" s="4"/>
      <c r="F2884" s="152" t="s">
        <v>341</v>
      </c>
      <c r="G2884" s="4" t="s">
        <v>342</v>
      </c>
      <c r="H2884" s="4"/>
      <c r="I2884" s="196">
        <v>31879</v>
      </c>
      <c r="J2884" s="196">
        <v>22.45</v>
      </c>
      <c r="K2884" s="196">
        <v>1420</v>
      </c>
      <c r="L2884" s="454" t="s">
        <v>1198</v>
      </c>
      <c r="M2884" s="4" t="s">
        <v>780</v>
      </c>
      <c r="N2884" s="133" t="s">
        <v>1272</v>
      </c>
      <c r="O2884" s="4" t="s">
        <v>1394</v>
      </c>
      <c r="P2884" s="4" t="s">
        <v>892</v>
      </c>
      <c r="Q2884" s="4" t="s">
        <v>1395</v>
      </c>
      <c r="R2884" s="4" t="s">
        <v>1296</v>
      </c>
      <c r="S2884" s="4" t="s">
        <v>1396</v>
      </c>
      <c r="T2884" s="4" t="s">
        <v>786</v>
      </c>
      <c r="U2884" s="4"/>
      <c r="V2884" s="4"/>
      <c r="W2884" s="4"/>
    </row>
    <row r="2885" spans="1:23" customFormat="1">
      <c r="A2885" s="10"/>
      <c r="B2885" s="4"/>
      <c r="C2885" s="4"/>
      <c r="D2885" s="4"/>
      <c r="E2885" s="4"/>
      <c r="F2885" s="152" t="s">
        <v>341</v>
      </c>
      <c r="G2885" s="4" t="s">
        <v>342</v>
      </c>
      <c r="H2885" s="4"/>
      <c r="I2885" s="196">
        <v>45440</v>
      </c>
      <c r="J2885" s="196">
        <v>32</v>
      </c>
      <c r="K2885" s="196">
        <v>1420</v>
      </c>
      <c r="L2885" s="454" t="s">
        <v>787</v>
      </c>
      <c r="M2885" s="4" t="s">
        <v>780</v>
      </c>
      <c r="N2885" s="133" t="s">
        <v>1407</v>
      </c>
      <c r="O2885" s="4" t="s">
        <v>1446</v>
      </c>
      <c r="P2885" s="4" t="s">
        <v>783</v>
      </c>
      <c r="Q2885" s="4" t="s">
        <v>1447</v>
      </c>
      <c r="R2885" s="4" t="s">
        <v>1474</v>
      </c>
      <c r="S2885" s="4" t="s">
        <v>1449</v>
      </c>
      <c r="T2885" s="4" t="s">
        <v>786</v>
      </c>
      <c r="U2885" s="4"/>
      <c r="V2885" s="4"/>
      <c r="W2885" s="4"/>
    </row>
    <row r="2886" spans="1:23" customFormat="1">
      <c r="A2886" s="10"/>
      <c r="B2886" s="4"/>
      <c r="C2886" s="4"/>
      <c r="D2886" s="4"/>
      <c r="E2886" s="4"/>
      <c r="F2886" s="152" t="s">
        <v>341</v>
      </c>
      <c r="G2886" s="4" t="s">
        <v>342</v>
      </c>
      <c r="H2886" s="4"/>
      <c r="I2886" s="196">
        <v>-9438</v>
      </c>
      <c r="J2886" s="196">
        <v>-6.6</v>
      </c>
      <c r="K2886" s="196">
        <v>1430</v>
      </c>
      <c r="L2886" s="454" t="s">
        <v>890</v>
      </c>
      <c r="M2886" s="4" t="s">
        <v>780</v>
      </c>
      <c r="N2886" s="133" t="s">
        <v>1407</v>
      </c>
      <c r="O2886" s="4" t="s">
        <v>1612</v>
      </c>
      <c r="P2886" s="4" t="s">
        <v>892</v>
      </c>
      <c r="Q2886" s="4" t="s">
        <v>1613</v>
      </c>
      <c r="R2886" s="4" t="s">
        <v>1614</v>
      </c>
      <c r="S2886" s="4" t="s">
        <v>1615</v>
      </c>
      <c r="T2886" s="4" t="s">
        <v>786</v>
      </c>
      <c r="U2886" s="4"/>
      <c r="V2886" s="4"/>
      <c r="W2886" s="4"/>
    </row>
    <row r="2887" spans="1:23" customFormat="1">
      <c r="A2887" s="10"/>
      <c r="B2887" s="4"/>
      <c r="C2887" s="4"/>
      <c r="D2887" s="4"/>
      <c r="E2887" s="4"/>
      <c r="F2887" s="152" t="s">
        <v>341</v>
      </c>
      <c r="G2887" s="4" t="s">
        <v>342</v>
      </c>
      <c r="H2887" s="4"/>
      <c r="I2887" s="196">
        <v>-7021.3</v>
      </c>
      <c r="J2887" s="196">
        <v>-4.91</v>
      </c>
      <c r="K2887" s="196">
        <v>1430</v>
      </c>
      <c r="L2887" s="454" t="s">
        <v>890</v>
      </c>
      <c r="M2887" s="4" t="s">
        <v>780</v>
      </c>
      <c r="N2887" s="133" t="s">
        <v>1407</v>
      </c>
      <c r="O2887" s="4" t="s">
        <v>1612</v>
      </c>
      <c r="P2887" s="4" t="s">
        <v>892</v>
      </c>
      <c r="Q2887" s="4" t="s">
        <v>1613</v>
      </c>
      <c r="R2887" s="4" t="s">
        <v>1616</v>
      </c>
      <c r="S2887" s="4" t="s">
        <v>1615</v>
      </c>
      <c r="T2887" s="4" t="s">
        <v>786</v>
      </c>
      <c r="U2887" s="4"/>
      <c r="V2887" s="4"/>
      <c r="W2887" s="4"/>
    </row>
    <row r="2888" spans="1:23" customFormat="1">
      <c r="A2888" s="10"/>
      <c r="B2888" s="4"/>
      <c r="C2888" s="4"/>
      <c r="D2888" s="4"/>
      <c r="E2888" s="4"/>
      <c r="F2888" s="152" t="s">
        <v>341</v>
      </c>
      <c r="G2888" s="4" t="s">
        <v>342</v>
      </c>
      <c r="H2888" s="4"/>
      <c r="I2888" s="196">
        <v>44800</v>
      </c>
      <c r="J2888" s="196">
        <v>32</v>
      </c>
      <c r="K2888" s="196">
        <v>1400</v>
      </c>
      <c r="L2888" s="454" t="s">
        <v>1017</v>
      </c>
      <c r="M2888" s="4" t="s">
        <v>780</v>
      </c>
      <c r="N2888" s="133" t="s">
        <v>1407</v>
      </c>
      <c r="O2888" s="4" t="s">
        <v>1992</v>
      </c>
      <c r="P2888" s="4" t="s">
        <v>892</v>
      </c>
      <c r="Q2888" s="4" t="s">
        <v>1993</v>
      </c>
      <c r="R2888" s="4" t="s">
        <v>1474</v>
      </c>
      <c r="S2888" s="4" t="s">
        <v>1994</v>
      </c>
      <c r="T2888" s="4" t="s">
        <v>786</v>
      </c>
      <c r="U2888" s="4"/>
      <c r="V2888" s="4"/>
      <c r="W2888" s="4"/>
    </row>
    <row r="2889" spans="1:23" customFormat="1">
      <c r="A2889" s="10"/>
      <c r="B2889" s="4"/>
      <c r="C2889" s="4"/>
      <c r="D2889" s="4"/>
      <c r="E2889" s="4"/>
      <c r="F2889" s="152" t="s">
        <v>341</v>
      </c>
      <c r="G2889" s="4" t="s">
        <v>342</v>
      </c>
      <c r="H2889" s="4"/>
      <c r="I2889" s="196">
        <v>43741.599999999999</v>
      </c>
      <c r="J2889" s="196">
        <v>29.96</v>
      </c>
      <c r="K2889" s="196">
        <v>1460</v>
      </c>
      <c r="L2889" s="454" t="s">
        <v>1049</v>
      </c>
      <c r="M2889" s="4" t="s">
        <v>780</v>
      </c>
      <c r="N2889" s="133" t="s">
        <v>1407</v>
      </c>
      <c r="O2889" s="4" t="s">
        <v>2220</v>
      </c>
      <c r="P2889" s="4" t="s">
        <v>892</v>
      </c>
      <c r="Q2889" s="4" t="s">
        <v>2221</v>
      </c>
      <c r="R2889" s="4" t="s">
        <v>2228</v>
      </c>
      <c r="S2889" s="4" t="s">
        <v>2223</v>
      </c>
      <c r="T2889" s="4" t="s">
        <v>786</v>
      </c>
      <c r="U2889" s="4"/>
      <c r="V2889" s="4"/>
      <c r="W2889" s="4"/>
    </row>
    <row r="2890" spans="1:23" customFormat="1">
      <c r="A2890" s="10"/>
      <c r="B2890" s="4"/>
      <c r="C2890" s="4"/>
      <c r="D2890" s="4"/>
      <c r="E2890" s="4"/>
      <c r="F2890" s="152" t="s">
        <v>341</v>
      </c>
      <c r="G2890" s="4" t="s">
        <v>342</v>
      </c>
      <c r="H2890" s="4"/>
      <c r="I2890" s="196">
        <v>-62181.8</v>
      </c>
      <c r="J2890" s="196">
        <v>-43.79</v>
      </c>
      <c r="K2890" s="196">
        <v>1420</v>
      </c>
      <c r="L2890" s="454" t="s">
        <v>1088</v>
      </c>
      <c r="M2890" s="4" t="s">
        <v>780</v>
      </c>
      <c r="N2890" s="133" t="s">
        <v>1407</v>
      </c>
      <c r="O2890" s="4" t="s">
        <v>2320</v>
      </c>
      <c r="P2890" s="4" t="s">
        <v>892</v>
      </c>
      <c r="Q2890" s="4" t="s">
        <v>2321</v>
      </c>
      <c r="R2890" s="4" t="s">
        <v>2322</v>
      </c>
      <c r="S2890" s="4" t="s">
        <v>2323</v>
      </c>
      <c r="T2890" s="4" t="s">
        <v>786</v>
      </c>
      <c r="U2890" s="4"/>
      <c r="V2890" s="4"/>
      <c r="W2890" s="4"/>
    </row>
    <row r="2891" spans="1:23" customFormat="1">
      <c r="A2891" s="10"/>
      <c r="B2891" s="4"/>
      <c r="C2891" s="4"/>
      <c r="D2891" s="4"/>
      <c r="E2891" s="4"/>
      <c r="F2891" s="152" t="s">
        <v>341</v>
      </c>
      <c r="G2891" s="4" t="s">
        <v>342</v>
      </c>
      <c r="H2891" s="4"/>
      <c r="I2891" s="196">
        <v>-4586.6000000000004</v>
      </c>
      <c r="J2891" s="196">
        <v>-3.23</v>
      </c>
      <c r="K2891" s="196">
        <v>1420</v>
      </c>
      <c r="L2891" s="454" t="s">
        <v>1093</v>
      </c>
      <c r="M2891" s="4" t="s">
        <v>780</v>
      </c>
      <c r="N2891" s="133" t="s">
        <v>1407</v>
      </c>
      <c r="O2891" s="4" t="s">
        <v>2328</v>
      </c>
      <c r="P2891" s="4" t="s">
        <v>892</v>
      </c>
      <c r="Q2891" s="4" t="s">
        <v>2329</v>
      </c>
      <c r="R2891" s="4" t="s">
        <v>2330</v>
      </c>
      <c r="S2891" s="4" t="s">
        <v>2331</v>
      </c>
      <c r="T2891" s="4" t="s">
        <v>786</v>
      </c>
      <c r="U2891" s="4"/>
      <c r="V2891" s="4"/>
      <c r="W2891" s="4"/>
    </row>
    <row r="2892" spans="1:23" customFormat="1">
      <c r="A2892" s="10"/>
      <c r="B2892" s="4"/>
      <c r="C2892" s="4"/>
      <c r="D2892" s="4"/>
      <c r="E2892" s="4"/>
      <c r="F2892" s="152" t="s">
        <v>341</v>
      </c>
      <c r="G2892" s="4" t="s">
        <v>342</v>
      </c>
      <c r="H2892" s="4"/>
      <c r="I2892" s="196">
        <v>45440</v>
      </c>
      <c r="J2892" s="196">
        <v>32</v>
      </c>
      <c r="K2892" s="196">
        <v>1420</v>
      </c>
      <c r="L2892" s="454" t="s">
        <v>1081</v>
      </c>
      <c r="M2892" s="4" t="s">
        <v>780</v>
      </c>
      <c r="N2892" s="133" t="s">
        <v>1407</v>
      </c>
      <c r="O2892" s="4" t="s">
        <v>2407</v>
      </c>
      <c r="P2892" s="4" t="s">
        <v>892</v>
      </c>
      <c r="Q2892" s="4" t="s">
        <v>2408</v>
      </c>
      <c r="R2892" s="4" t="s">
        <v>1474</v>
      </c>
      <c r="S2892" s="4" t="s">
        <v>2409</v>
      </c>
      <c r="T2892" s="4" t="s">
        <v>786</v>
      </c>
      <c r="U2892" s="4"/>
      <c r="V2892" s="4"/>
      <c r="W2892" s="4"/>
    </row>
    <row r="2893" spans="1:23" customFormat="1">
      <c r="A2893" s="10"/>
      <c r="B2893" s="4"/>
      <c r="C2893" s="4"/>
      <c r="D2893" s="4"/>
      <c r="E2893" s="4"/>
      <c r="F2893" s="152" t="s">
        <v>341</v>
      </c>
      <c r="G2893" s="4" t="s">
        <v>342</v>
      </c>
      <c r="H2893" s="4"/>
      <c r="I2893" s="196">
        <v>45440</v>
      </c>
      <c r="J2893" s="196">
        <v>32</v>
      </c>
      <c r="K2893" s="196">
        <v>1420</v>
      </c>
      <c r="L2893" s="454" t="s">
        <v>1239</v>
      </c>
      <c r="M2893" s="4" t="s">
        <v>780</v>
      </c>
      <c r="N2893" s="133" t="s">
        <v>1407</v>
      </c>
      <c r="O2893" s="4" t="s">
        <v>2642</v>
      </c>
      <c r="P2893" s="4" t="s">
        <v>892</v>
      </c>
      <c r="Q2893" s="4" t="s">
        <v>2643</v>
      </c>
      <c r="R2893" s="4" t="s">
        <v>1474</v>
      </c>
      <c r="S2893" s="4" t="s">
        <v>2644</v>
      </c>
      <c r="T2893" s="4" t="s">
        <v>786</v>
      </c>
      <c r="U2893" s="4"/>
      <c r="V2893" s="4"/>
      <c r="W2893" s="4"/>
    </row>
    <row r="2894" spans="1:23" customFormat="1">
      <c r="A2894" s="10"/>
      <c r="B2894" s="4"/>
      <c r="C2894" s="4"/>
      <c r="D2894" s="4"/>
      <c r="E2894" s="4"/>
      <c r="F2894" s="152" t="s">
        <v>341</v>
      </c>
      <c r="G2894" s="4" t="s">
        <v>342</v>
      </c>
      <c r="H2894" s="4"/>
      <c r="I2894" s="196">
        <v>35500</v>
      </c>
      <c r="J2894" s="196">
        <v>25</v>
      </c>
      <c r="K2894" s="196">
        <v>1420</v>
      </c>
      <c r="L2894" s="454" t="s">
        <v>1239</v>
      </c>
      <c r="M2894" s="4" t="s">
        <v>780</v>
      </c>
      <c r="N2894" s="133" t="s">
        <v>1407</v>
      </c>
      <c r="O2894" s="4" t="s">
        <v>2642</v>
      </c>
      <c r="P2894" s="4" t="s">
        <v>892</v>
      </c>
      <c r="Q2894" s="4" t="s">
        <v>2643</v>
      </c>
      <c r="R2894" s="4" t="s">
        <v>1432</v>
      </c>
      <c r="S2894" s="4" t="s">
        <v>2644</v>
      </c>
      <c r="T2894" s="4" t="s">
        <v>786</v>
      </c>
      <c r="U2894" s="4"/>
      <c r="V2894" s="4"/>
      <c r="W2894" s="4"/>
    </row>
    <row r="2895" spans="1:23" customFormat="1">
      <c r="A2895" s="10"/>
      <c r="B2895" s="4"/>
      <c r="C2895" s="4"/>
      <c r="D2895" s="4"/>
      <c r="E2895" s="4"/>
      <c r="F2895" s="152" t="s">
        <v>343</v>
      </c>
      <c r="G2895" s="4" t="s">
        <v>344</v>
      </c>
      <c r="H2895" s="4"/>
      <c r="I2895" s="196">
        <v>439731.4</v>
      </c>
      <c r="J2895" s="196">
        <v>309.67</v>
      </c>
      <c r="K2895" s="196">
        <v>1420</v>
      </c>
      <c r="L2895" s="454" t="s">
        <v>787</v>
      </c>
      <c r="M2895" s="4" t="s">
        <v>780</v>
      </c>
      <c r="N2895" s="133" t="s">
        <v>781</v>
      </c>
      <c r="O2895" s="4" t="s">
        <v>855</v>
      </c>
      <c r="P2895" s="4" t="s">
        <v>783</v>
      </c>
      <c r="Q2895" s="4" t="s">
        <v>856</v>
      </c>
      <c r="R2895" s="4" t="s">
        <v>858</v>
      </c>
      <c r="S2895" s="4" t="s">
        <v>857</v>
      </c>
      <c r="T2895" s="4" t="s">
        <v>786</v>
      </c>
      <c r="U2895" s="4"/>
      <c r="V2895" s="4"/>
      <c r="W2895" s="4"/>
    </row>
    <row r="2896" spans="1:23" customFormat="1">
      <c r="A2896" s="10"/>
      <c r="B2896" s="4"/>
      <c r="C2896" s="4"/>
      <c r="D2896" s="4"/>
      <c r="E2896" s="4"/>
      <c r="F2896" s="152" t="s">
        <v>343</v>
      </c>
      <c r="G2896" s="4" t="s">
        <v>344</v>
      </c>
      <c r="H2896" s="4"/>
      <c r="I2896" s="196">
        <v>-501539.2</v>
      </c>
      <c r="J2896" s="196">
        <v>-343.52</v>
      </c>
      <c r="K2896" s="196">
        <v>1460</v>
      </c>
      <c r="L2896" s="454" t="s">
        <v>1049</v>
      </c>
      <c r="M2896" s="4" t="s">
        <v>780</v>
      </c>
      <c r="N2896" s="133" t="s">
        <v>781</v>
      </c>
      <c r="O2896" s="4" t="s">
        <v>1050</v>
      </c>
      <c r="P2896" s="4" t="s">
        <v>892</v>
      </c>
      <c r="Q2896" s="4" t="s">
        <v>1051</v>
      </c>
      <c r="R2896" s="4" t="s">
        <v>1054</v>
      </c>
      <c r="S2896" s="4" t="s">
        <v>1052</v>
      </c>
      <c r="T2896" s="4" t="s">
        <v>786</v>
      </c>
      <c r="U2896" s="4"/>
      <c r="V2896" s="4"/>
      <c r="W2896" s="4"/>
    </row>
    <row r="2897" spans="1:23" customFormat="1">
      <c r="A2897" s="10"/>
      <c r="B2897" s="4"/>
      <c r="C2897" s="4"/>
      <c r="D2897" s="4"/>
      <c r="E2897" s="4"/>
      <c r="F2897" s="152" t="s">
        <v>343</v>
      </c>
      <c r="G2897" s="4" t="s">
        <v>344</v>
      </c>
      <c r="H2897" s="4"/>
      <c r="I2897" s="196">
        <v>501539.2</v>
      </c>
      <c r="J2897" s="196">
        <v>343.52</v>
      </c>
      <c r="K2897" s="196">
        <v>1460</v>
      </c>
      <c r="L2897" s="454" t="s">
        <v>1049</v>
      </c>
      <c r="M2897" s="4" t="s">
        <v>780</v>
      </c>
      <c r="N2897" s="133" t="s">
        <v>781</v>
      </c>
      <c r="O2897" s="4" t="s">
        <v>1075</v>
      </c>
      <c r="P2897" s="4" t="s">
        <v>892</v>
      </c>
      <c r="Q2897" s="4" t="s">
        <v>1076</v>
      </c>
      <c r="R2897" s="4" t="s">
        <v>1054</v>
      </c>
      <c r="S2897" s="4" t="s">
        <v>1077</v>
      </c>
      <c r="T2897" s="4" t="s">
        <v>786</v>
      </c>
      <c r="U2897" s="4"/>
      <c r="V2897" s="4"/>
      <c r="W2897" s="4"/>
    </row>
    <row r="2898" spans="1:23" customFormat="1">
      <c r="A2898" s="10"/>
      <c r="B2898" s="4"/>
      <c r="C2898" s="4"/>
      <c r="D2898" s="4"/>
      <c r="E2898" s="4"/>
      <c r="F2898" s="152" t="s">
        <v>343</v>
      </c>
      <c r="G2898" s="4" t="s">
        <v>344</v>
      </c>
      <c r="H2898" s="4"/>
      <c r="I2898" s="196">
        <v>501539.2</v>
      </c>
      <c r="J2898" s="196">
        <v>343.52</v>
      </c>
      <c r="K2898" s="196">
        <v>1460</v>
      </c>
      <c r="L2898" s="454" t="s">
        <v>1049</v>
      </c>
      <c r="M2898" s="4" t="s">
        <v>780</v>
      </c>
      <c r="N2898" s="133" t="s">
        <v>781</v>
      </c>
      <c r="O2898" s="4" t="s">
        <v>1078</v>
      </c>
      <c r="P2898" s="4" t="s">
        <v>892</v>
      </c>
      <c r="Q2898" s="4" t="s">
        <v>1079</v>
      </c>
      <c r="R2898" s="4" t="s">
        <v>1054</v>
      </c>
      <c r="S2898" s="4" t="s">
        <v>1080</v>
      </c>
      <c r="T2898" s="4" t="s">
        <v>786</v>
      </c>
      <c r="U2898" s="4"/>
      <c r="V2898" s="4"/>
      <c r="W2898" s="4"/>
    </row>
    <row r="2899" spans="1:23" customFormat="1">
      <c r="A2899" s="10"/>
      <c r="B2899" s="4"/>
      <c r="C2899" s="4"/>
      <c r="D2899" s="4"/>
      <c r="E2899" s="4"/>
      <c r="F2899" s="152" t="s">
        <v>343</v>
      </c>
      <c r="G2899" s="4" t="s">
        <v>344</v>
      </c>
      <c r="H2899" s="4"/>
      <c r="I2899" s="196">
        <v>505378</v>
      </c>
      <c r="J2899" s="196">
        <v>355.9</v>
      </c>
      <c r="K2899" s="196">
        <v>1420</v>
      </c>
      <c r="L2899" s="454" t="s">
        <v>1239</v>
      </c>
      <c r="M2899" s="4" t="s">
        <v>780</v>
      </c>
      <c r="N2899" s="133" t="s">
        <v>781</v>
      </c>
      <c r="O2899" s="4" t="s">
        <v>1245</v>
      </c>
      <c r="P2899" s="4" t="s">
        <v>892</v>
      </c>
      <c r="Q2899" s="4" t="s">
        <v>1246</v>
      </c>
      <c r="R2899" s="4" t="s">
        <v>1251</v>
      </c>
      <c r="S2899" s="4" t="s">
        <v>1248</v>
      </c>
      <c r="T2899" s="4" t="s">
        <v>786</v>
      </c>
      <c r="U2899" s="4"/>
      <c r="V2899" s="4"/>
      <c r="W2899" s="4"/>
    </row>
    <row r="2900" spans="1:23" customFormat="1">
      <c r="A2900" s="10"/>
      <c r="B2900" s="4"/>
      <c r="C2900" s="4"/>
      <c r="D2900" s="4"/>
      <c r="E2900" s="4"/>
      <c r="F2900" s="152" t="s">
        <v>343</v>
      </c>
      <c r="G2900" s="4" t="s">
        <v>344</v>
      </c>
      <c r="H2900" s="4"/>
      <c r="I2900" s="196">
        <v>384479.2</v>
      </c>
      <c r="J2900" s="196">
        <v>270.76</v>
      </c>
      <c r="K2900" s="196">
        <v>1420</v>
      </c>
      <c r="L2900" s="454" t="s">
        <v>1239</v>
      </c>
      <c r="M2900" s="4" t="s">
        <v>780</v>
      </c>
      <c r="N2900" s="133" t="s">
        <v>781</v>
      </c>
      <c r="O2900" s="4" t="s">
        <v>1245</v>
      </c>
      <c r="P2900" s="4" t="s">
        <v>892</v>
      </c>
      <c r="Q2900" s="4" t="s">
        <v>1246</v>
      </c>
      <c r="R2900" s="4" t="s">
        <v>1250</v>
      </c>
      <c r="S2900" s="4" t="s">
        <v>1248</v>
      </c>
      <c r="T2900" s="4" t="s">
        <v>786</v>
      </c>
      <c r="U2900" s="4"/>
      <c r="V2900" s="4"/>
      <c r="W2900" s="4"/>
    </row>
    <row r="2901" spans="1:23" customFormat="1">
      <c r="A2901" s="10"/>
      <c r="B2901" s="4"/>
      <c r="C2901" s="4"/>
      <c r="D2901" s="4"/>
      <c r="E2901" s="4"/>
      <c r="F2901" s="152" t="s">
        <v>343</v>
      </c>
      <c r="G2901" s="4" t="s">
        <v>344</v>
      </c>
      <c r="H2901" s="4"/>
      <c r="I2901" s="196">
        <v>362885.6</v>
      </c>
      <c r="J2901" s="196">
        <v>264.88</v>
      </c>
      <c r="K2901" s="196">
        <v>1370</v>
      </c>
      <c r="L2901" s="454" t="s">
        <v>787</v>
      </c>
      <c r="M2901" s="4" t="s">
        <v>780</v>
      </c>
      <c r="N2901" s="133" t="s">
        <v>1407</v>
      </c>
      <c r="O2901" s="4" t="s">
        <v>1490</v>
      </c>
      <c r="P2901" s="4" t="s">
        <v>783</v>
      </c>
      <c r="Q2901" s="4" t="s">
        <v>1491</v>
      </c>
      <c r="R2901" s="4" t="s">
        <v>1497</v>
      </c>
      <c r="S2901" s="4" t="s">
        <v>1493</v>
      </c>
      <c r="T2901" s="4" t="s">
        <v>786</v>
      </c>
      <c r="U2901" s="4"/>
      <c r="V2901" s="4"/>
      <c r="W2901" s="4"/>
    </row>
    <row r="2902" spans="1:23" customFormat="1">
      <c r="A2902" s="10"/>
      <c r="B2902" s="4"/>
      <c r="C2902" s="4"/>
      <c r="D2902" s="4"/>
      <c r="E2902" s="4"/>
      <c r="F2902" s="152" t="s">
        <v>343</v>
      </c>
      <c r="G2902" s="4" t="s">
        <v>344</v>
      </c>
      <c r="H2902" s="4"/>
      <c r="I2902" s="196">
        <v>-381556.4</v>
      </c>
      <c r="J2902" s="196">
        <v>-261.33999999999997</v>
      </c>
      <c r="K2902" s="196">
        <v>1460</v>
      </c>
      <c r="L2902" s="454" t="s">
        <v>1049</v>
      </c>
      <c r="M2902" s="4" t="s">
        <v>780</v>
      </c>
      <c r="N2902" s="133" t="s">
        <v>1407</v>
      </c>
      <c r="O2902" s="4" t="s">
        <v>2127</v>
      </c>
      <c r="P2902" s="4" t="s">
        <v>892</v>
      </c>
      <c r="Q2902" s="4" t="s">
        <v>2128</v>
      </c>
      <c r="R2902" s="4" t="s">
        <v>2160</v>
      </c>
      <c r="S2902" s="4" t="s">
        <v>2129</v>
      </c>
      <c r="T2902" s="4" t="s">
        <v>786</v>
      </c>
      <c r="U2902" s="4"/>
      <c r="V2902" s="4"/>
      <c r="W2902" s="4"/>
    </row>
    <row r="2903" spans="1:23" customFormat="1">
      <c r="A2903" s="10"/>
      <c r="B2903" s="4"/>
      <c r="C2903" s="4"/>
      <c r="D2903" s="4"/>
      <c r="E2903" s="4"/>
      <c r="F2903" s="152" t="s">
        <v>343</v>
      </c>
      <c r="G2903" s="4" t="s">
        <v>344</v>
      </c>
      <c r="H2903" s="4"/>
      <c r="I2903" s="196">
        <v>381556.4</v>
      </c>
      <c r="J2903" s="196">
        <v>261.33999999999997</v>
      </c>
      <c r="K2903" s="196">
        <v>1460</v>
      </c>
      <c r="L2903" s="454" t="s">
        <v>1049</v>
      </c>
      <c r="M2903" s="4" t="s">
        <v>780</v>
      </c>
      <c r="N2903" s="133" t="s">
        <v>1407</v>
      </c>
      <c r="O2903" s="4" t="s">
        <v>2233</v>
      </c>
      <c r="P2903" s="4" t="s">
        <v>892</v>
      </c>
      <c r="Q2903" s="4" t="s">
        <v>2234</v>
      </c>
      <c r="R2903" s="4" t="s">
        <v>2160</v>
      </c>
      <c r="S2903" s="4" t="s">
        <v>2235</v>
      </c>
      <c r="T2903" s="4" t="s">
        <v>786</v>
      </c>
      <c r="U2903" s="4"/>
      <c r="V2903" s="4"/>
      <c r="W2903" s="4"/>
    </row>
    <row r="2904" spans="1:23" customFormat="1">
      <c r="A2904" s="10"/>
      <c r="B2904" s="4"/>
      <c r="C2904" s="4"/>
      <c r="D2904" s="4"/>
      <c r="E2904" s="4"/>
      <c r="F2904" s="152" t="s">
        <v>343</v>
      </c>
      <c r="G2904" s="4" t="s">
        <v>344</v>
      </c>
      <c r="H2904" s="4"/>
      <c r="I2904" s="196">
        <v>381556.4</v>
      </c>
      <c r="J2904" s="196">
        <v>261.33999999999997</v>
      </c>
      <c r="K2904" s="196">
        <v>1460</v>
      </c>
      <c r="L2904" s="454" t="s">
        <v>1049</v>
      </c>
      <c r="M2904" s="4" t="s">
        <v>780</v>
      </c>
      <c r="N2904" s="133" t="s">
        <v>1407</v>
      </c>
      <c r="O2904" s="4" t="s">
        <v>2236</v>
      </c>
      <c r="P2904" s="4" t="s">
        <v>892</v>
      </c>
      <c r="Q2904" s="4" t="s">
        <v>2237</v>
      </c>
      <c r="R2904" s="4" t="s">
        <v>2160</v>
      </c>
      <c r="S2904" s="4" t="s">
        <v>2238</v>
      </c>
      <c r="T2904" s="4" t="s">
        <v>786</v>
      </c>
      <c r="U2904" s="4"/>
      <c r="V2904" s="4"/>
      <c r="W2904" s="4"/>
    </row>
    <row r="2905" spans="1:23" customFormat="1">
      <c r="A2905" s="10"/>
      <c r="B2905" s="4"/>
      <c r="C2905" s="4"/>
      <c r="D2905" s="4"/>
      <c r="E2905" s="4"/>
      <c r="F2905" s="152" t="s">
        <v>347</v>
      </c>
      <c r="G2905" s="4" t="s">
        <v>348</v>
      </c>
      <c r="H2905" s="4"/>
      <c r="I2905" s="196">
        <v>91340</v>
      </c>
      <c r="J2905" s="196">
        <v>64.323943661971796</v>
      </c>
      <c r="K2905" s="196">
        <v>1420</v>
      </c>
      <c r="L2905" s="454" t="s">
        <v>1093</v>
      </c>
      <c r="M2905" s="4" t="s">
        <v>780</v>
      </c>
      <c r="N2905" s="133" t="s">
        <v>1407</v>
      </c>
      <c r="O2905" s="4" t="s">
        <v>2403</v>
      </c>
      <c r="P2905" s="4" t="s">
        <v>892</v>
      </c>
      <c r="Q2905" s="4" t="s">
        <v>2404</v>
      </c>
      <c r="R2905" s="4" t="s">
        <v>2405</v>
      </c>
      <c r="S2905" s="4" t="s">
        <v>2406</v>
      </c>
      <c r="T2905" s="4" t="s">
        <v>786</v>
      </c>
      <c r="U2905" s="4"/>
      <c r="V2905" s="4"/>
      <c r="W2905" s="4"/>
    </row>
    <row r="2906" spans="1:23" customFormat="1">
      <c r="A2906" s="10"/>
      <c r="B2906" s="4"/>
      <c r="C2906" s="4"/>
      <c r="D2906" s="4"/>
      <c r="E2906" s="4"/>
      <c r="F2906" s="152" t="s">
        <v>349</v>
      </c>
      <c r="G2906" s="4" t="s">
        <v>350</v>
      </c>
      <c r="H2906" s="4"/>
      <c r="I2906" s="196">
        <v>216237.6</v>
      </c>
      <c r="J2906" s="196">
        <v>152.28</v>
      </c>
      <c r="K2906" s="196">
        <v>1420</v>
      </c>
      <c r="L2906" s="454" t="s">
        <v>787</v>
      </c>
      <c r="M2906" s="4" t="s">
        <v>780</v>
      </c>
      <c r="N2906" s="133" t="s">
        <v>781</v>
      </c>
      <c r="O2906" s="4" t="s">
        <v>830</v>
      </c>
      <c r="P2906" s="4" t="s">
        <v>783</v>
      </c>
      <c r="Q2906" s="4" t="s">
        <v>831</v>
      </c>
      <c r="R2906" s="4" t="s">
        <v>836</v>
      </c>
      <c r="S2906" s="4" t="s">
        <v>833</v>
      </c>
      <c r="T2906" s="4" t="s">
        <v>786</v>
      </c>
      <c r="U2906" s="4"/>
      <c r="V2906" s="4"/>
      <c r="W2906" s="4"/>
    </row>
    <row r="2907" spans="1:23" customFormat="1">
      <c r="A2907" s="10"/>
      <c r="B2907" s="4"/>
      <c r="C2907" s="4"/>
      <c r="D2907" s="4"/>
      <c r="E2907" s="4"/>
      <c r="F2907" s="152" t="s">
        <v>349</v>
      </c>
      <c r="G2907" s="4" t="s">
        <v>350</v>
      </c>
      <c r="H2907" s="4"/>
      <c r="I2907" s="196">
        <v>130640</v>
      </c>
      <c r="J2907" s="196">
        <v>92</v>
      </c>
      <c r="K2907" s="196">
        <v>1420</v>
      </c>
      <c r="L2907" s="454" t="s">
        <v>787</v>
      </c>
      <c r="M2907" s="4" t="s">
        <v>780</v>
      </c>
      <c r="N2907" s="133" t="s">
        <v>781</v>
      </c>
      <c r="O2907" s="4" t="s">
        <v>830</v>
      </c>
      <c r="P2907" s="4" t="s">
        <v>783</v>
      </c>
      <c r="Q2907" s="4" t="s">
        <v>831</v>
      </c>
      <c r="R2907" s="4" t="s">
        <v>835</v>
      </c>
      <c r="S2907" s="4" t="s">
        <v>833</v>
      </c>
      <c r="T2907" s="4" t="s">
        <v>786</v>
      </c>
      <c r="U2907" s="4"/>
      <c r="V2907" s="4"/>
      <c r="W2907" s="4"/>
    </row>
    <row r="2908" spans="1:23" customFormat="1">
      <c r="A2908" s="10"/>
      <c r="B2908" s="4"/>
      <c r="C2908" s="4"/>
      <c r="D2908" s="4"/>
      <c r="E2908" s="4"/>
      <c r="F2908" s="152" t="s">
        <v>349</v>
      </c>
      <c r="G2908" s="4" t="s">
        <v>350</v>
      </c>
      <c r="H2908" s="4"/>
      <c r="I2908" s="196">
        <v>702530.8</v>
      </c>
      <c r="J2908" s="196">
        <v>494.74</v>
      </c>
      <c r="K2908" s="196">
        <v>1420</v>
      </c>
      <c r="L2908" s="454" t="s">
        <v>787</v>
      </c>
      <c r="M2908" s="4" t="s">
        <v>780</v>
      </c>
      <c r="N2908" s="133" t="s">
        <v>1407</v>
      </c>
      <c r="O2908" s="4" t="s">
        <v>1490</v>
      </c>
      <c r="P2908" s="4" t="s">
        <v>783</v>
      </c>
      <c r="Q2908" s="4" t="s">
        <v>1491</v>
      </c>
      <c r="R2908" s="4" t="s">
        <v>1494</v>
      </c>
      <c r="S2908" s="4" t="s">
        <v>1493</v>
      </c>
      <c r="T2908" s="4" t="s">
        <v>786</v>
      </c>
      <c r="U2908" s="4"/>
      <c r="V2908" s="4"/>
      <c r="W2908" s="4"/>
    </row>
    <row r="2909" spans="1:23" customFormat="1">
      <c r="A2909" s="10"/>
      <c r="B2909" s="4"/>
      <c r="C2909" s="4"/>
      <c r="D2909" s="4"/>
      <c r="E2909" s="4"/>
      <c r="F2909" s="152" t="s">
        <v>349</v>
      </c>
      <c r="G2909" s="4" t="s">
        <v>350</v>
      </c>
      <c r="H2909" s="4"/>
      <c r="I2909" s="196">
        <v>2740.6</v>
      </c>
      <c r="J2909" s="196">
        <v>1.93</v>
      </c>
      <c r="K2909" s="196">
        <v>1420</v>
      </c>
      <c r="L2909" s="454" t="s">
        <v>787</v>
      </c>
      <c r="M2909" s="4" t="s">
        <v>780</v>
      </c>
      <c r="N2909" s="133" t="s">
        <v>1407</v>
      </c>
      <c r="O2909" s="4" t="s">
        <v>1490</v>
      </c>
      <c r="P2909" s="4" t="s">
        <v>783</v>
      </c>
      <c r="Q2909" s="4" t="s">
        <v>1491</v>
      </c>
      <c r="R2909" s="4" t="s">
        <v>1495</v>
      </c>
      <c r="S2909" s="4" t="s">
        <v>1493</v>
      </c>
      <c r="T2909" s="4" t="s">
        <v>786</v>
      </c>
      <c r="U2909" s="4"/>
      <c r="V2909" s="4"/>
      <c r="W2909" s="4"/>
    </row>
    <row r="2910" spans="1:23" customFormat="1">
      <c r="A2910" s="10"/>
      <c r="B2910" s="4"/>
      <c r="C2910" s="4"/>
      <c r="D2910" s="4"/>
      <c r="E2910" s="4"/>
      <c r="F2910" s="152" t="s">
        <v>349</v>
      </c>
      <c r="G2910" s="4" t="s">
        <v>350</v>
      </c>
      <c r="H2910" s="4"/>
      <c r="I2910" s="196">
        <v>181121</v>
      </c>
      <c r="J2910" s="196">
        <v>127.55</v>
      </c>
      <c r="K2910" s="196">
        <v>1420</v>
      </c>
      <c r="L2910" s="454" t="s">
        <v>787</v>
      </c>
      <c r="M2910" s="4" t="s">
        <v>780</v>
      </c>
      <c r="N2910" s="133" t="s">
        <v>1407</v>
      </c>
      <c r="O2910" s="4" t="s">
        <v>1490</v>
      </c>
      <c r="P2910" s="4" t="s">
        <v>783</v>
      </c>
      <c r="Q2910" s="4" t="s">
        <v>1491</v>
      </c>
      <c r="R2910" s="4" t="s">
        <v>1496</v>
      </c>
      <c r="S2910" s="4" t="s">
        <v>1493</v>
      </c>
      <c r="T2910" s="4" t="s">
        <v>786</v>
      </c>
      <c r="U2910" s="4"/>
      <c r="V2910" s="4"/>
      <c r="W2910" s="4"/>
    </row>
    <row r="2911" spans="1:23" customFormat="1">
      <c r="A2911" s="10"/>
      <c r="B2911" s="4"/>
      <c r="C2911" s="4"/>
      <c r="D2911" s="4"/>
      <c r="E2911" s="4"/>
      <c r="F2911" s="152" t="s">
        <v>349</v>
      </c>
      <c r="G2911" s="4" t="s">
        <v>350</v>
      </c>
      <c r="H2911" s="4"/>
      <c r="I2911" s="196">
        <v>2740.6</v>
      </c>
      <c r="J2911" s="196">
        <v>1.93</v>
      </c>
      <c r="K2911" s="196">
        <v>1420</v>
      </c>
      <c r="L2911" s="454" t="s">
        <v>787</v>
      </c>
      <c r="M2911" s="4" t="s">
        <v>780</v>
      </c>
      <c r="N2911" s="133" t="s">
        <v>1407</v>
      </c>
      <c r="O2911" s="4" t="s">
        <v>1490</v>
      </c>
      <c r="P2911" s="4" t="s">
        <v>783</v>
      </c>
      <c r="Q2911" s="4" t="s">
        <v>1491</v>
      </c>
      <c r="R2911" s="4" t="s">
        <v>1456</v>
      </c>
      <c r="S2911" s="4" t="s">
        <v>1493</v>
      </c>
      <c r="T2911" s="4" t="s">
        <v>786</v>
      </c>
      <c r="U2911" s="4"/>
      <c r="V2911" s="4"/>
      <c r="W2911" s="4"/>
    </row>
    <row r="2912" spans="1:23" customFormat="1">
      <c r="A2912" s="10"/>
      <c r="B2912" s="4"/>
      <c r="C2912" s="4"/>
      <c r="D2912" s="4"/>
      <c r="E2912" s="4"/>
      <c r="F2912" s="152" t="s">
        <v>349</v>
      </c>
      <c r="G2912" s="4" t="s">
        <v>350</v>
      </c>
      <c r="H2912" s="4"/>
      <c r="I2912" s="196">
        <v>160646.20000000001</v>
      </c>
      <c r="J2912" s="196">
        <v>112.34</v>
      </c>
      <c r="K2912" s="196">
        <v>1430</v>
      </c>
      <c r="L2912" s="454" t="s">
        <v>890</v>
      </c>
      <c r="M2912" s="4" t="s">
        <v>780</v>
      </c>
      <c r="N2912" s="133" t="s">
        <v>1407</v>
      </c>
      <c r="O2912" s="4" t="s">
        <v>1763</v>
      </c>
      <c r="P2912" s="4" t="s">
        <v>892</v>
      </c>
      <c r="Q2912" s="4" t="s">
        <v>1764</v>
      </c>
      <c r="R2912" s="4" t="s">
        <v>1776</v>
      </c>
      <c r="S2912" s="4" t="s">
        <v>1765</v>
      </c>
      <c r="T2912" s="4" t="s">
        <v>786</v>
      </c>
      <c r="U2912" s="4"/>
      <c r="V2912" s="4"/>
      <c r="W2912" s="4"/>
    </row>
    <row r="2913" spans="1:23" customFormat="1">
      <c r="A2913" s="10"/>
      <c r="B2913" s="4"/>
      <c r="C2913" s="4"/>
      <c r="D2913" s="4"/>
      <c r="E2913" s="4"/>
      <c r="F2913" s="152" t="s">
        <v>349</v>
      </c>
      <c r="G2913" s="4" t="s">
        <v>350</v>
      </c>
      <c r="H2913" s="4"/>
      <c r="I2913" s="196">
        <v>2717</v>
      </c>
      <c r="J2913" s="196">
        <v>1.9</v>
      </c>
      <c r="K2913" s="196">
        <v>1430</v>
      </c>
      <c r="L2913" s="454" t="s">
        <v>890</v>
      </c>
      <c r="M2913" s="4" t="s">
        <v>780</v>
      </c>
      <c r="N2913" s="133" t="s">
        <v>1407</v>
      </c>
      <c r="O2913" s="4" t="s">
        <v>1789</v>
      </c>
      <c r="P2913" s="4" t="s">
        <v>892</v>
      </c>
      <c r="Q2913" s="4" t="s">
        <v>1790</v>
      </c>
      <c r="R2913" s="4" t="s">
        <v>1456</v>
      </c>
      <c r="S2913" s="4" t="s">
        <v>1792</v>
      </c>
      <c r="T2913" s="4" t="s">
        <v>786</v>
      </c>
      <c r="U2913" s="4"/>
      <c r="V2913" s="4"/>
      <c r="W2913" s="4"/>
    </row>
    <row r="2914" spans="1:23" customFormat="1">
      <c r="A2914" s="10"/>
      <c r="B2914" s="4"/>
      <c r="C2914" s="4"/>
      <c r="D2914" s="4"/>
      <c r="E2914" s="4"/>
      <c r="F2914" s="152" t="s">
        <v>349</v>
      </c>
      <c r="G2914" s="4" t="s">
        <v>350</v>
      </c>
      <c r="H2914" s="4"/>
      <c r="I2914" s="196">
        <v>1308450</v>
      </c>
      <c r="J2914" s="196">
        <v>915</v>
      </c>
      <c r="K2914" s="196">
        <v>1430</v>
      </c>
      <c r="L2914" s="454" t="s">
        <v>890</v>
      </c>
      <c r="M2914" s="4" t="s">
        <v>780</v>
      </c>
      <c r="N2914" s="133" t="s">
        <v>1407</v>
      </c>
      <c r="O2914" s="4" t="s">
        <v>1789</v>
      </c>
      <c r="P2914" s="4" t="s">
        <v>892</v>
      </c>
      <c r="Q2914" s="4" t="s">
        <v>1790</v>
      </c>
      <c r="R2914" s="4" t="s">
        <v>1791</v>
      </c>
      <c r="S2914" s="4" t="s">
        <v>1792</v>
      </c>
      <c r="T2914" s="4" t="s">
        <v>786</v>
      </c>
      <c r="U2914" s="4"/>
      <c r="V2914" s="4"/>
      <c r="W2914" s="4"/>
    </row>
    <row r="2915" spans="1:23" customFormat="1">
      <c r="A2915" s="10"/>
      <c r="B2915" s="4"/>
      <c r="C2915" s="4"/>
      <c r="D2915" s="4"/>
      <c r="E2915" s="4"/>
      <c r="F2915" s="152" t="s">
        <v>349</v>
      </c>
      <c r="G2915" s="4" t="s">
        <v>350</v>
      </c>
      <c r="H2915" s="4"/>
      <c r="I2915" s="196">
        <v>1372500</v>
      </c>
      <c r="J2915" s="196">
        <v>915</v>
      </c>
      <c r="K2915" s="196">
        <v>1500</v>
      </c>
      <c r="L2915" s="454" t="s">
        <v>1045</v>
      </c>
      <c r="M2915" s="4" t="s">
        <v>780</v>
      </c>
      <c r="N2915" s="133" t="s">
        <v>1407</v>
      </c>
      <c r="O2915" s="4" t="s">
        <v>2214</v>
      </c>
      <c r="P2915" s="4" t="s">
        <v>892</v>
      </c>
      <c r="Q2915" s="4" t="s">
        <v>2215</v>
      </c>
      <c r="R2915" s="4" t="s">
        <v>2219</v>
      </c>
      <c r="S2915" s="4" t="s">
        <v>2217</v>
      </c>
      <c r="T2915" s="4" t="s">
        <v>786</v>
      </c>
      <c r="U2915" s="4"/>
      <c r="V2915" s="4"/>
      <c r="W2915" s="4"/>
    </row>
    <row r="2916" spans="1:23" customFormat="1">
      <c r="A2916" s="10"/>
      <c r="B2916" s="4"/>
      <c r="C2916" s="4"/>
      <c r="D2916" s="4"/>
      <c r="E2916" s="4"/>
      <c r="F2916" s="152" t="s">
        <v>2747</v>
      </c>
      <c r="G2916" s="4" t="s">
        <v>2748</v>
      </c>
      <c r="H2916" s="4"/>
      <c r="I2916" s="196">
        <v>2.0000000000000001E-4</v>
      </c>
      <c r="J2916" s="196">
        <v>0</v>
      </c>
      <c r="K2916" s="196">
        <v>1</v>
      </c>
      <c r="L2916" s="454" t="s">
        <v>919</v>
      </c>
      <c r="M2916" s="4" t="s">
        <v>780</v>
      </c>
      <c r="N2916" s="133" t="s">
        <v>2705</v>
      </c>
      <c r="O2916" s="4" t="s">
        <v>2708</v>
      </c>
      <c r="P2916" s="4" t="s">
        <v>892</v>
      </c>
      <c r="Q2916" s="4" t="s">
        <v>2709</v>
      </c>
      <c r="R2916" s="4"/>
      <c r="S2916" s="4" t="s">
        <v>2710</v>
      </c>
      <c r="T2916" s="4" t="s">
        <v>786</v>
      </c>
      <c r="U2916" s="4"/>
      <c r="V2916" s="4"/>
      <c r="W2916" s="4"/>
    </row>
    <row r="2917" spans="1:23" customFormat="1">
      <c r="A2917" s="10"/>
      <c r="B2917" s="4"/>
      <c r="C2917" s="4"/>
      <c r="D2917" s="4"/>
      <c r="E2917" s="4"/>
      <c r="F2917" s="152" t="s">
        <v>2747</v>
      </c>
      <c r="G2917" s="4" t="s">
        <v>2748</v>
      </c>
      <c r="H2917" s="4"/>
      <c r="I2917" s="196">
        <v>0</v>
      </c>
      <c r="J2917" s="196">
        <v>5.0000000000000001E-4</v>
      </c>
      <c r="K2917" s="196">
        <v>1</v>
      </c>
      <c r="L2917" s="454" t="s">
        <v>1045</v>
      </c>
      <c r="M2917" s="4" t="s">
        <v>780</v>
      </c>
      <c r="N2917" s="133" t="s">
        <v>2705</v>
      </c>
      <c r="O2917" s="4" t="s">
        <v>2716</v>
      </c>
      <c r="P2917" s="4" t="s">
        <v>892</v>
      </c>
      <c r="Q2917" s="4" t="s">
        <v>2717</v>
      </c>
      <c r="R2917" s="4"/>
      <c r="S2917" s="4" t="s">
        <v>2718</v>
      </c>
      <c r="T2917" s="4" t="s">
        <v>786</v>
      </c>
      <c r="U2917" s="4"/>
      <c r="V2917" s="4"/>
      <c r="W2917" s="4"/>
    </row>
    <row r="2918" spans="1:23" customFormat="1">
      <c r="A2918" s="10"/>
      <c r="B2918" s="4"/>
      <c r="C2918" s="4"/>
      <c r="D2918" s="4"/>
      <c r="E2918" s="4"/>
      <c r="F2918" s="152" t="s">
        <v>2747</v>
      </c>
      <c r="G2918" s="4" t="s">
        <v>2748</v>
      </c>
      <c r="H2918" s="4"/>
      <c r="I2918" s="196">
        <v>0.8</v>
      </c>
      <c r="J2918" s="196">
        <v>0</v>
      </c>
      <c r="K2918" s="196">
        <v>1</v>
      </c>
      <c r="L2918" s="454" t="s">
        <v>1045</v>
      </c>
      <c r="M2918" s="4" t="s">
        <v>780</v>
      </c>
      <c r="N2918" s="133" t="s">
        <v>2705</v>
      </c>
      <c r="O2918" s="4" t="s">
        <v>2716</v>
      </c>
      <c r="P2918" s="4" t="s">
        <v>892</v>
      </c>
      <c r="Q2918" s="4" t="s">
        <v>2717</v>
      </c>
      <c r="R2918" s="4"/>
      <c r="S2918" s="4" t="s">
        <v>2718</v>
      </c>
      <c r="T2918" s="4" t="s">
        <v>786</v>
      </c>
      <c r="U2918" s="4"/>
      <c r="V2918" s="4"/>
      <c r="W2918" s="4"/>
    </row>
    <row r="2919" spans="1:23" customFormat="1">
      <c r="A2919" s="10"/>
      <c r="B2919" s="4"/>
      <c r="C2919" s="4"/>
      <c r="D2919" s="4"/>
      <c r="E2919" s="4"/>
      <c r="F2919" s="152" t="s">
        <v>2747</v>
      </c>
      <c r="G2919" s="4" t="s">
        <v>2748</v>
      </c>
      <c r="H2919" s="4"/>
      <c r="I2919" s="196">
        <v>0</v>
      </c>
      <c r="J2919" s="196">
        <v>-2.5000000000000001E-3</v>
      </c>
      <c r="K2919" s="196">
        <v>1</v>
      </c>
      <c r="L2919" s="454" t="s">
        <v>1109</v>
      </c>
      <c r="M2919" s="4" t="s">
        <v>780</v>
      </c>
      <c r="N2919" s="133" t="s">
        <v>2705</v>
      </c>
      <c r="O2919" s="4" t="s">
        <v>2720</v>
      </c>
      <c r="P2919" s="4" t="s">
        <v>892</v>
      </c>
      <c r="Q2919" s="4" t="s">
        <v>2721</v>
      </c>
      <c r="R2919" s="4"/>
      <c r="S2919" s="4" t="s">
        <v>2722</v>
      </c>
      <c r="T2919" s="4" t="s">
        <v>786</v>
      </c>
      <c r="U2919" s="4"/>
      <c r="V2919" s="4"/>
      <c r="W2919" s="4"/>
    </row>
    <row r="2920" spans="1:23" customFormat="1">
      <c r="A2920" s="10"/>
      <c r="B2920" s="4"/>
      <c r="C2920" s="4"/>
      <c r="D2920" s="4"/>
      <c r="E2920" s="4"/>
      <c r="F2920" s="152" t="s">
        <v>2747</v>
      </c>
      <c r="G2920" s="4" t="s">
        <v>2748</v>
      </c>
      <c r="H2920" s="4"/>
      <c r="I2920" s="196">
        <v>-3.6</v>
      </c>
      <c r="J2920" s="196">
        <v>0</v>
      </c>
      <c r="K2920" s="196">
        <v>1</v>
      </c>
      <c r="L2920" s="454" t="s">
        <v>1109</v>
      </c>
      <c r="M2920" s="4" t="s">
        <v>780</v>
      </c>
      <c r="N2920" s="133" t="s">
        <v>2705</v>
      </c>
      <c r="O2920" s="4" t="s">
        <v>2720</v>
      </c>
      <c r="P2920" s="4" t="s">
        <v>892</v>
      </c>
      <c r="Q2920" s="4" t="s">
        <v>2721</v>
      </c>
      <c r="R2920" s="4"/>
      <c r="S2920" s="4" t="s">
        <v>2722</v>
      </c>
      <c r="T2920" s="4" t="s">
        <v>786</v>
      </c>
      <c r="U2920" s="4"/>
      <c r="V2920" s="4"/>
      <c r="W2920" s="4"/>
    </row>
    <row r="2921" spans="1:23" customFormat="1">
      <c r="A2921" s="10"/>
      <c r="B2921" s="4"/>
      <c r="C2921" s="4"/>
      <c r="D2921" s="4"/>
      <c r="E2921" s="4"/>
      <c r="F2921" s="152" t="s">
        <v>2747</v>
      </c>
      <c r="G2921" s="4" t="s">
        <v>2748</v>
      </c>
      <c r="H2921" s="4"/>
      <c r="I2921" s="196">
        <v>0</v>
      </c>
      <c r="J2921" s="196">
        <v>-2.5000000000000001E-3</v>
      </c>
      <c r="K2921" s="196">
        <v>1</v>
      </c>
      <c r="L2921" s="454" t="s">
        <v>1135</v>
      </c>
      <c r="M2921" s="4" t="s">
        <v>780</v>
      </c>
      <c r="N2921" s="133" t="s">
        <v>2705</v>
      </c>
      <c r="O2921" s="4" t="s">
        <v>2723</v>
      </c>
      <c r="P2921" s="4" t="s">
        <v>892</v>
      </c>
      <c r="Q2921" s="4" t="s">
        <v>2724</v>
      </c>
      <c r="R2921" s="4"/>
      <c r="S2921" s="4" t="s">
        <v>2725</v>
      </c>
      <c r="T2921" s="4" t="s">
        <v>786</v>
      </c>
      <c r="U2921" s="4"/>
      <c r="V2921" s="4"/>
      <c r="W2921" s="4"/>
    </row>
    <row r="2922" spans="1:23" customFormat="1">
      <c r="A2922" s="10"/>
      <c r="B2922" s="4"/>
      <c r="C2922" s="4"/>
      <c r="D2922" s="4"/>
      <c r="E2922" s="4"/>
      <c r="F2922" s="152" t="s">
        <v>2747</v>
      </c>
      <c r="G2922" s="4" t="s">
        <v>2748</v>
      </c>
      <c r="H2922" s="4"/>
      <c r="I2922" s="196">
        <v>-3.6</v>
      </c>
      <c r="J2922" s="196">
        <v>0</v>
      </c>
      <c r="K2922" s="196">
        <v>1</v>
      </c>
      <c r="L2922" s="454" t="s">
        <v>1135</v>
      </c>
      <c r="M2922" s="4" t="s">
        <v>780</v>
      </c>
      <c r="N2922" s="133" t="s">
        <v>2705</v>
      </c>
      <c r="O2922" s="4" t="s">
        <v>2723</v>
      </c>
      <c r="P2922" s="4" t="s">
        <v>892</v>
      </c>
      <c r="Q2922" s="4" t="s">
        <v>2724</v>
      </c>
      <c r="R2922" s="4"/>
      <c r="S2922" s="4" t="s">
        <v>2725</v>
      </c>
      <c r="T2922" s="4" t="s">
        <v>786</v>
      </c>
      <c r="U2922" s="4"/>
      <c r="V2922" s="4"/>
      <c r="W2922" s="4"/>
    </row>
    <row r="2923" spans="1:23" customFormat="1">
      <c r="A2923" s="10"/>
      <c r="B2923" s="4"/>
      <c r="C2923" s="4"/>
      <c r="D2923" s="4"/>
      <c r="E2923" s="4"/>
      <c r="F2923" s="152" t="s">
        <v>2747</v>
      </c>
      <c r="G2923" s="4" t="s">
        <v>2748</v>
      </c>
      <c r="H2923" s="4"/>
      <c r="I2923" s="196">
        <v>-3.6</v>
      </c>
      <c r="J2923" s="196">
        <v>0</v>
      </c>
      <c r="K2923" s="196">
        <v>1</v>
      </c>
      <c r="L2923" s="454" t="s">
        <v>1258</v>
      </c>
      <c r="M2923" s="4" t="s">
        <v>780</v>
      </c>
      <c r="N2923" s="133" t="s">
        <v>2705</v>
      </c>
      <c r="O2923" s="4" t="s">
        <v>2730</v>
      </c>
      <c r="P2923" s="4" t="s">
        <v>892</v>
      </c>
      <c r="Q2923" s="4" t="s">
        <v>2731</v>
      </c>
      <c r="R2923" s="4"/>
      <c r="S2923" s="4" t="s">
        <v>2732</v>
      </c>
      <c r="T2923" s="4" t="s">
        <v>786</v>
      </c>
      <c r="U2923" s="4"/>
      <c r="V2923" s="4"/>
      <c r="W2923" s="4"/>
    </row>
    <row r="2924" spans="1:23" customFormat="1">
      <c r="A2924" s="10"/>
      <c r="B2924" s="4"/>
      <c r="C2924" s="4"/>
      <c r="D2924" s="4"/>
      <c r="E2924" s="4"/>
      <c r="F2924" s="152" t="s">
        <v>2747</v>
      </c>
      <c r="G2924" s="4" t="s">
        <v>2748</v>
      </c>
      <c r="H2924" s="4"/>
      <c r="I2924" s="196">
        <v>0</v>
      </c>
      <c r="J2924" s="196">
        <v>-2.5000000000000001E-3</v>
      </c>
      <c r="K2924" s="196">
        <v>1</v>
      </c>
      <c r="L2924" s="454" t="s">
        <v>1258</v>
      </c>
      <c r="M2924" s="4" t="s">
        <v>780</v>
      </c>
      <c r="N2924" s="133" t="s">
        <v>2705</v>
      </c>
      <c r="O2924" s="4" t="s">
        <v>2730</v>
      </c>
      <c r="P2924" s="4" t="s">
        <v>892</v>
      </c>
      <c r="Q2924" s="4" t="s">
        <v>2731</v>
      </c>
      <c r="R2924" s="4"/>
      <c r="S2924" s="4" t="s">
        <v>2732</v>
      </c>
      <c r="T2924" s="4" t="s">
        <v>786</v>
      </c>
      <c r="U2924" s="4"/>
      <c r="V2924" s="4"/>
      <c r="W2924" s="4"/>
    </row>
    <row r="2925" spans="1:23" customFormat="1">
      <c r="A2925" s="10"/>
      <c r="B2925" s="4"/>
      <c r="C2925" s="4"/>
      <c r="D2925" s="4"/>
      <c r="E2925" s="4"/>
      <c r="F2925" s="152" t="s">
        <v>2747</v>
      </c>
      <c r="G2925" s="4" t="s">
        <v>2748</v>
      </c>
      <c r="H2925" s="4"/>
      <c r="I2925" s="196">
        <v>-380</v>
      </c>
      <c r="J2925" s="196">
        <v>0</v>
      </c>
      <c r="K2925" s="196">
        <v>1</v>
      </c>
      <c r="L2925" s="454" t="s">
        <v>1210</v>
      </c>
      <c r="M2925" s="4" t="s">
        <v>780</v>
      </c>
      <c r="N2925" s="133" t="s">
        <v>2705</v>
      </c>
      <c r="O2925" s="4" t="s">
        <v>2733</v>
      </c>
      <c r="P2925" s="4" t="s">
        <v>892</v>
      </c>
      <c r="Q2925" s="4" t="s">
        <v>2734</v>
      </c>
      <c r="R2925" s="4"/>
      <c r="S2925" s="4" t="s">
        <v>2735</v>
      </c>
      <c r="T2925" s="4" t="s">
        <v>786</v>
      </c>
      <c r="U2925" s="4"/>
      <c r="V2925" s="4"/>
      <c r="W2925" s="4"/>
    </row>
    <row r="2926" spans="1:23" customFormat="1">
      <c r="A2926" s="10"/>
      <c r="B2926" s="4"/>
      <c r="C2926" s="4"/>
      <c r="D2926" s="4"/>
      <c r="E2926" s="4"/>
      <c r="F2926" s="152" t="s">
        <v>2747</v>
      </c>
      <c r="G2926" s="4" t="s">
        <v>2748</v>
      </c>
      <c r="H2926" s="4"/>
      <c r="I2926" s="196">
        <v>0</v>
      </c>
      <c r="J2926" s="196">
        <v>-0.2676</v>
      </c>
      <c r="K2926" s="196">
        <v>1</v>
      </c>
      <c r="L2926" s="454" t="s">
        <v>1210</v>
      </c>
      <c r="M2926" s="4" t="s">
        <v>780</v>
      </c>
      <c r="N2926" s="133" t="s">
        <v>2705</v>
      </c>
      <c r="O2926" s="4" t="s">
        <v>2733</v>
      </c>
      <c r="P2926" s="4" t="s">
        <v>892</v>
      </c>
      <c r="Q2926" s="4" t="s">
        <v>2734</v>
      </c>
      <c r="R2926" s="4"/>
      <c r="S2926" s="4" t="s">
        <v>2735</v>
      </c>
      <c r="T2926" s="4" t="s">
        <v>786</v>
      </c>
      <c r="U2926" s="4"/>
      <c r="V2926" s="4"/>
      <c r="W2926" s="4"/>
    </row>
    <row r="2927" spans="1:23" customFormat="1">
      <c r="A2927" s="10"/>
      <c r="B2927" s="4"/>
      <c r="C2927" s="4"/>
      <c r="D2927" s="4"/>
      <c r="E2927" s="4"/>
      <c r="F2927" s="152" t="s">
        <v>2747</v>
      </c>
      <c r="G2927" s="4" t="s">
        <v>2748</v>
      </c>
      <c r="H2927" s="4"/>
      <c r="I2927" s="196">
        <v>0</v>
      </c>
      <c r="J2927" s="196">
        <v>0.2676</v>
      </c>
      <c r="K2927" s="196">
        <v>1</v>
      </c>
      <c r="L2927" s="454" t="s">
        <v>1210</v>
      </c>
      <c r="M2927" s="4" t="s">
        <v>780</v>
      </c>
      <c r="N2927" s="133" t="s">
        <v>2705</v>
      </c>
      <c r="O2927" s="4" t="s">
        <v>2736</v>
      </c>
      <c r="P2927" s="4" t="s">
        <v>892</v>
      </c>
      <c r="Q2927" s="4" t="s">
        <v>2737</v>
      </c>
      <c r="R2927" s="4"/>
      <c r="S2927" s="4" t="s">
        <v>2738</v>
      </c>
      <c r="T2927" s="4" t="s">
        <v>786</v>
      </c>
      <c r="U2927" s="4"/>
      <c r="V2927" s="4"/>
      <c r="W2927" s="4"/>
    </row>
    <row r="2928" spans="1:23" customFormat="1">
      <c r="A2928" s="10"/>
      <c r="B2928" s="4"/>
      <c r="C2928" s="4"/>
      <c r="D2928" s="4"/>
      <c r="E2928" s="4"/>
      <c r="F2928" s="152" t="s">
        <v>2747</v>
      </c>
      <c r="G2928" s="4" t="s">
        <v>2748</v>
      </c>
      <c r="H2928" s="4"/>
      <c r="I2928" s="196">
        <v>380</v>
      </c>
      <c r="J2928" s="196">
        <v>0</v>
      </c>
      <c r="K2928" s="196">
        <v>1</v>
      </c>
      <c r="L2928" s="454" t="s">
        <v>1210</v>
      </c>
      <c r="M2928" s="4" t="s">
        <v>780</v>
      </c>
      <c r="N2928" s="133" t="s">
        <v>2705</v>
      </c>
      <c r="O2928" s="4" t="s">
        <v>2736</v>
      </c>
      <c r="P2928" s="4" t="s">
        <v>892</v>
      </c>
      <c r="Q2928" s="4" t="s">
        <v>2737</v>
      </c>
      <c r="R2928" s="4"/>
      <c r="S2928" s="4" t="s">
        <v>2738</v>
      </c>
      <c r="T2928" s="4" t="s">
        <v>786</v>
      </c>
      <c r="U2928" s="4"/>
      <c r="V2928" s="4"/>
      <c r="W2928" s="4"/>
    </row>
    <row r="2929" spans="1:23" customFormat="1">
      <c r="A2929" s="10"/>
      <c r="B2929" s="4"/>
      <c r="C2929" s="4"/>
      <c r="D2929" s="4"/>
      <c r="E2929" s="4"/>
      <c r="F2929" s="152" t="s">
        <v>2747</v>
      </c>
      <c r="G2929" s="4" t="s">
        <v>2748</v>
      </c>
      <c r="H2929" s="4"/>
      <c r="I2929" s="196">
        <v>0</v>
      </c>
      <c r="J2929" s="196">
        <v>-2.7000000000000001E-3</v>
      </c>
      <c r="K2929" s="196">
        <v>1</v>
      </c>
      <c r="L2929" s="454" t="s">
        <v>1210</v>
      </c>
      <c r="M2929" s="4" t="s">
        <v>780</v>
      </c>
      <c r="N2929" s="133" t="s">
        <v>2705</v>
      </c>
      <c r="O2929" s="4" t="s">
        <v>2739</v>
      </c>
      <c r="P2929" s="4" t="s">
        <v>892</v>
      </c>
      <c r="Q2929" s="4" t="s">
        <v>2740</v>
      </c>
      <c r="R2929" s="4"/>
      <c r="S2929" s="4" t="s">
        <v>2741</v>
      </c>
      <c r="T2929" s="4" t="s">
        <v>786</v>
      </c>
      <c r="U2929" s="4"/>
      <c r="V2929" s="4"/>
      <c r="W2929" s="4"/>
    </row>
    <row r="2930" spans="1:23" customFormat="1">
      <c r="A2930" s="10"/>
      <c r="B2930" s="4"/>
      <c r="C2930" s="4"/>
      <c r="D2930" s="4"/>
      <c r="E2930" s="4"/>
      <c r="F2930" s="152" t="s">
        <v>2747</v>
      </c>
      <c r="G2930" s="4" t="s">
        <v>2748</v>
      </c>
      <c r="H2930" s="4"/>
      <c r="I2930" s="196">
        <v>-3.8</v>
      </c>
      <c r="J2930" s="196">
        <v>0</v>
      </c>
      <c r="K2930" s="196">
        <v>1</v>
      </c>
      <c r="L2930" s="454" t="s">
        <v>1210</v>
      </c>
      <c r="M2930" s="4" t="s">
        <v>780</v>
      </c>
      <c r="N2930" s="133" t="s">
        <v>2705</v>
      </c>
      <c r="O2930" s="4" t="s">
        <v>2739</v>
      </c>
      <c r="P2930" s="4" t="s">
        <v>892</v>
      </c>
      <c r="Q2930" s="4" t="s">
        <v>2740</v>
      </c>
      <c r="R2930" s="4"/>
      <c r="S2930" s="4" t="s">
        <v>2741</v>
      </c>
      <c r="T2930" s="4" t="s">
        <v>786</v>
      </c>
      <c r="U2930" s="4"/>
      <c r="V2930" s="4"/>
      <c r="W2930" s="4"/>
    </row>
    <row r="2931" spans="1:23" customFormat="1">
      <c r="A2931" s="10"/>
      <c r="B2931" s="4"/>
      <c r="C2931" s="4"/>
      <c r="D2931" s="4"/>
      <c r="E2931" s="4"/>
      <c r="F2931" s="152" t="s">
        <v>351</v>
      </c>
      <c r="G2931" s="4" t="s">
        <v>352</v>
      </c>
      <c r="H2931" s="4"/>
      <c r="I2931" s="196">
        <v>780000</v>
      </c>
      <c r="J2931" s="196">
        <v>600</v>
      </c>
      <c r="K2931" s="196">
        <v>1300</v>
      </c>
      <c r="L2931" s="454" t="s">
        <v>811</v>
      </c>
      <c r="M2931" s="4" t="s">
        <v>780</v>
      </c>
      <c r="N2931" s="133" t="s">
        <v>1407</v>
      </c>
      <c r="O2931" s="4" t="s">
        <v>812</v>
      </c>
      <c r="P2931" s="4" t="s">
        <v>783</v>
      </c>
      <c r="Q2931" s="4" t="s">
        <v>813</v>
      </c>
      <c r="R2931" s="4" t="s">
        <v>1435</v>
      </c>
      <c r="S2931" s="4" t="s">
        <v>815</v>
      </c>
      <c r="T2931" s="4" t="s">
        <v>786</v>
      </c>
      <c r="U2931" s="4"/>
      <c r="V2931" s="4"/>
      <c r="W2931" s="4"/>
    </row>
    <row r="2932" spans="1:23" customFormat="1">
      <c r="A2932" s="10"/>
      <c r="B2932" s="4"/>
      <c r="C2932" s="4"/>
      <c r="D2932" s="4"/>
      <c r="E2932" s="4"/>
      <c r="F2932" s="152" t="s">
        <v>351</v>
      </c>
      <c r="G2932" s="4" t="s">
        <v>352</v>
      </c>
      <c r="H2932" s="4"/>
      <c r="I2932" s="196">
        <v>337960</v>
      </c>
      <c r="J2932" s="196">
        <v>238</v>
      </c>
      <c r="K2932" s="196">
        <v>1420</v>
      </c>
      <c r="L2932" s="454" t="s">
        <v>1210</v>
      </c>
      <c r="M2932" s="4" t="s">
        <v>780</v>
      </c>
      <c r="N2932" s="133" t="s">
        <v>1407</v>
      </c>
      <c r="O2932" s="4" t="s">
        <v>1221</v>
      </c>
      <c r="P2932" s="4" t="s">
        <v>892</v>
      </c>
      <c r="Q2932" s="4" t="s">
        <v>1222</v>
      </c>
      <c r="R2932" s="4" t="s">
        <v>2585</v>
      </c>
      <c r="S2932" s="4" t="s">
        <v>1224</v>
      </c>
      <c r="T2932" s="4" t="s">
        <v>786</v>
      </c>
      <c r="U2932" s="4"/>
      <c r="V2932" s="4"/>
      <c r="W2932" s="4"/>
    </row>
    <row r="2933" spans="1:23" customFormat="1">
      <c r="A2933" s="10"/>
      <c r="B2933" s="4"/>
      <c r="C2933" s="4"/>
      <c r="D2933" s="4"/>
      <c r="E2933" s="4"/>
      <c r="F2933" s="152" t="s">
        <v>351</v>
      </c>
      <c r="G2933" s="4" t="s">
        <v>352</v>
      </c>
      <c r="H2933" s="4"/>
      <c r="I2933" s="196">
        <v>2027760</v>
      </c>
      <c r="J2933" s="196">
        <v>1428</v>
      </c>
      <c r="K2933" s="196">
        <v>1420</v>
      </c>
      <c r="L2933" s="454" t="s">
        <v>1210</v>
      </c>
      <c r="M2933" s="4" t="s">
        <v>780</v>
      </c>
      <c r="N2933" s="133" t="s">
        <v>1407</v>
      </c>
      <c r="O2933" s="4" t="s">
        <v>1221</v>
      </c>
      <c r="P2933" s="4" t="s">
        <v>892</v>
      </c>
      <c r="Q2933" s="4" t="s">
        <v>1222</v>
      </c>
      <c r="R2933" s="4" t="s">
        <v>2592</v>
      </c>
      <c r="S2933" s="4" t="s">
        <v>1224</v>
      </c>
      <c r="T2933" s="4" t="s">
        <v>786</v>
      </c>
      <c r="U2933" s="4"/>
      <c r="V2933" s="4"/>
      <c r="W2933" s="4"/>
    </row>
    <row r="2934" spans="1:23" customFormat="1">
      <c r="A2934" s="10"/>
      <c r="B2934" s="4"/>
      <c r="C2934" s="4"/>
      <c r="D2934" s="4"/>
      <c r="E2934" s="4"/>
      <c r="F2934" s="152" t="s">
        <v>351</v>
      </c>
      <c r="G2934" s="4" t="s">
        <v>352</v>
      </c>
      <c r="H2934" s="4"/>
      <c r="I2934" s="196">
        <v>3985230</v>
      </c>
      <c r="J2934" s="196">
        <v>2806.5</v>
      </c>
      <c r="K2934" s="196">
        <v>1420</v>
      </c>
      <c r="L2934" s="454" t="s">
        <v>1210</v>
      </c>
      <c r="M2934" s="4" t="s">
        <v>780</v>
      </c>
      <c r="N2934" s="133" t="s">
        <v>1407</v>
      </c>
      <c r="O2934" s="4" t="s">
        <v>1221</v>
      </c>
      <c r="P2934" s="4" t="s">
        <v>892</v>
      </c>
      <c r="Q2934" s="4" t="s">
        <v>1222</v>
      </c>
      <c r="R2934" s="4" t="s">
        <v>2585</v>
      </c>
      <c r="S2934" s="4" t="s">
        <v>1224</v>
      </c>
      <c r="T2934" s="4" t="s">
        <v>786</v>
      </c>
      <c r="U2934" s="4"/>
      <c r="V2934" s="4"/>
      <c r="W2934" s="4"/>
    </row>
    <row r="2935" spans="1:23" customFormat="1">
      <c r="A2935" s="10"/>
      <c r="B2935" s="4"/>
      <c r="C2935" s="4"/>
      <c r="D2935" s="4"/>
      <c r="E2935" s="4"/>
      <c r="F2935" s="152" t="s">
        <v>351</v>
      </c>
      <c r="G2935" s="4" t="s">
        <v>352</v>
      </c>
      <c r="H2935" s="4"/>
      <c r="I2935" s="196">
        <v>510135</v>
      </c>
      <c r="J2935" s="196">
        <v>359.25</v>
      </c>
      <c r="K2935" s="196">
        <v>1420</v>
      </c>
      <c r="L2935" s="454" t="s">
        <v>1210</v>
      </c>
      <c r="M2935" s="4" t="s">
        <v>780</v>
      </c>
      <c r="N2935" s="133" t="s">
        <v>1407</v>
      </c>
      <c r="O2935" s="4" t="s">
        <v>1221</v>
      </c>
      <c r="P2935" s="4" t="s">
        <v>892</v>
      </c>
      <c r="Q2935" s="4" t="s">
        <v>1222</v>
      </c>
      <c r="R2935" s="4" t="s">
        <v>2587</v>
      </c>
      <c r="S2935" s="4" t="s">
        <v>1224</v>
      </c>
      <c r="T2935" s="4" t="s">
        <v>786</v>
      </c>
      <c r="U2935" s="4"/>
      <c r="V2935" s="4"/>
      <c r="W2935" s="4"/>
    </row>
    <row r="2936" spans="1:23" customFormat="1">
      <c r="A2936" s="10"/>
      <c r="B2936" s="4"/>
      <c r="C2936" s="4"/>
      <c r="D2936" s="4"/>
      <c r="E2936" s="4"/>
      <c r="F2936" s="152" t="s">
        <v>351</v>
      </c>
      <c r="G2936" s="4" t="s">
        <v>352</v>
      </c>
      <c r="H2936" s="4"/>
      <c r="I2936" s="196">
        <v>1863750</v>
      </c>
      <c r="J2936" s="196">
        <v>1312.5</v>
      </c>
      <c r="K2936" s="196">
        <v>1420</v>
      </c>
      <c r="L2936" s="454" t="s">
        <v>1210</v>
      </c>
      <c r="M2936" s="4" t="s">
        <v>780</v>
      </c>
      <c r="N2936" s="133" t="s">
        <v>1407</v>
      </c>
      <c r="O2936" s="4" t="s">
        <v>1221</v>
      </c>
      <c r="P2936" s="4" t="s">
        <v>892</v>
      </c>
      <c r="Q2936" s="4" t="s">
        <v>1222</v>
      </c>
      <c r="R2936" s="4" t="s">
        <v>2586</v>
      </c>
      <c r="S2936" s="4" t="s">
        <v>1224</v>
      </c>
      <c r="T2936" s="4" t="s">
        <v>786</v>
      </c>
      <c r="U2936" s="4"/>
      <c r="V2936" s="4"/>
      <c r="W2936" s="4"/>
    </row>
    <row r="2937" spans="1:23" customFormat="1">
      <c r="A2937" s="10"/>
      <c r="B2937" s="4"/>
      <c r="C2937" s="4"/>
      <c r="D2937" s="4"/>
      <c r="E2937" s="4"/>
      <c r="F2937" s="152" t="s">
        <v>2225</v>
      </c>
      <c r="G2937" s="4" t="s">
        <v>2226</v>
      </c>
      <c r="H2937" s="4"/>
      <c r="I2937" s="196">
        <v>1483316.2</v>
      </c>
      <c r="J2937" s="196">
        <v>1015.97</v>
      </c>
      <c r="K2937" s="196">
        <v>1460</v>
      </c>
      <c r="L2937" s="454" t="s">
        <v>1049</v>
      </c>
      <c r="M2937" s="4" t="s">
        <v>780</v>
      </c>
      <c r="N2937" s="133" t="s">
        <v>1407</v>
      </c>
      <c r="O2937" s="4" t="s">
        <v>2220</v>
      </c>
      <c r="P2937" s="4" t="s">
        <v>892</v>
      </c>
      <c r="Q2937" s="4" t="s">
        <v>2221</v>
      </c>
      <c r="R2937" s="4" t="s">
        <v>2227</v>
      </c>
      <c r="S2937" s="4" t="s">
        <v>2223</v>
      </c>
      <c r="T2937" s="4" t="s">
        <v>786</v>
      </c>
      <c r="U2937" s="4"/>
      <c r="V2937" s="4"/>
      <c r="W2937" s="4"/>
    </row>
    <row r="2938" spans="1:23" customFormat="1">
      <c r="A2938" s="10"/>
      <c r="B2938" s="4"/>
      <c r="C2938" s="4"/>
      <c r="D2938" s="4"/>
      <c r="E2938" s="4"/>
      <c r="F2938" s="152" t="s">
        <v>354</v>
      </c>
      <c r="G2938" s="4" t="s">
        <v>355</v>
      </c>
      <c r="H2938" s="4"/>
      <c r="I2938" s="196">
        <v>1269000</v>
      </c>
      <c r="J2938" s="196">
        <v>900</v>
      </c>
      <c r="K2938" s="196">
        <v>1410</v>
      </c>
      <c r="L2938" s="454" t="s">
        <v>919</v>
      </c>
      <c r="M2938" s="4" t="s">
        <v>780</v>
      </c>
      <c r="N2938" s="133" t="s">
        <v>2705</v>
      </c>
      <c r="O2938" s="4" t="s">
        <v>920</v>
      </c>
      <c r="P2938" s="4" t="s">
        <v>892</v>
      </c>
      <c r="Q2938" s="4" t="s">
        <v>921</v>
      </c>
      <c r="R2938" s="4" t="s">
        <v>2711</v>
      </c>
      <c r="S2938" s="4" t="s">
        <v>923</v>
      </c>
      <c r="T2938" s="4" t="s">
        <v>786</v>
      </c>
      <c r="U2938" s="4"/>
      <c r="V2938" s="4"/>
      <c r="W2938" s="4"/>
    </row>
    <row r="2939" spans="1:23" customFormat="1">
      <c r="A2939" s="10"/>
      <c r="B2939" s="4"/>
      <c r="C2939" s="4"/>
      <c r="D2939" s="4"/>
      <c r="E2939" s="4"/>
      <c r="F2939" s="152" t="s">
        <v>354</v>
      </c>
      <c r="G2939" s="4" t="s">
        <v>355</v>
      </c>
      <c r="H2939" s="4"/>
      <c r="I2939" s="196">
        <v>1314000</v>
      </c>
      <c r="J2939" s="196">
        <v>900</v>
      </c>
      <c r="K2939" s="196">
        <v>1460</v>
      </c>
      <c r="L2939" s="454" t="s">
        <v>1045</v>
      </c>
      <c r="M2939" s="4" t="s">
        <v>780</v>
      </c>
      <c r="N2939" s="133" t="s">
        <v>2705</v>
      </c>
      <c r="O2939" s="4" t="s">
        <v>2164</v>
      </c>
      <c r="P2939" s="4" t="s">
        <v>892</v>
      </c>
      <c r="Q2939" s="4" t="s">
        <v>2165</v>
      </c>
      <c r="R2939" s="4" t="s">
        <v>2719</v>
      </c>
      <c r="S2939" s="4" t="s">
        <v>2167</v>
      </c>
      <c r="T2939" s="4" t="s">
        <v>786</v>
      </c>
      <c r="U2939" s="4"/>
      <c r="V2939" s="4"/>
      <c r="W2939" s="4"/>
    </row>
    <row r="2940" spans="1:23" customFormat="1">
      <c r="A2940" s="10"/>
      <c r="B2940" s="4"/>
      <c r="C2940" s="4"/>
      <c r="D2940" s="4"/>
      <c r="E2940" s="4"/>
      <c r="F2940" s="152" t="s">
        <v>354</v>
      </c>
      <c r="G2940" s="4" t="s">
        <v>355</v>
      </c>
      <c r="H2940" s="4"/>
      <c r="I2940" s="196">
        <v>639000</v>
      </c>
      <c r="J2940" s="196">
        <v>450</v>
      </c>
      <c r="K2940" s="196">
        <v>1420</v>
      </c>
      <c r="L2940" s="454" t="s">
        <v>1123</v>
      </c>
      <c r="M2940" s="4" t="s">
        <v>780</v>
      </c>
      <c r="N2940" s="133" t="s">
        <v>2705</v>
      </c>
      <c r="O2940" s="4" t="s">
        <v>1124</v>
      </c>
      <c r="P2940" s="4" t="s">
        <v>892</v>
      </c>
      <c r="Q2940" s="4" t="s">
        <v>1125</v>
      </c>
      <c r="R2940" s="4" t="s">
        <v>2729</v>
      </c>
      <c r="S2940" s="4" t="s">
        <v>1127</v>
      </c>
      <c r="T2940" s="4" t="s">
        <v>786</v>
      </c>
      <c r="U2940" s="4"/>
      <c r="V2940" s="4"/>
      <c r="W2940" s="4"/>
    </row>
    <row r="2941" spans="1:23" customFormat="1">
      <c r="A2941" s="10"/>
      <c r="B2941" s="4"/>
      <c r="C2941" s="4"/>
      <c r="D2941" s="4"/>
      <c r="E2941" s="4"/>
      <c r="F2941" s="152" t="s">
        <v>354</v>
      </c>
      <c r="G2941" s="4" t="s">
        <v>355</v>
      </c>
      <c r="H2941" s="4"/>
      <c r="I2941" s="196">
        <v>661500</v>
      </c>
      <c r="J2941" s="196">
        <v>450</v>
      </c>
      <c r="K2941" s="196">
        <v>1470</v>
      </c>
      <c r="L2941" s="454" t="s">
        <v>1267</v>
      </c>
      <c r="M2941" s="4" t="s">
        <v>780</v>
      </c>
      <c r="N2941" s="133" t="s">
        <v>2705</v>
      </c>
      <c r="O2941" s="4" t="s">
        <v>2743</v>
      </c>
      <c r="P2941" s="4" t="s">
        <v>892</v>
      </c>
      <c r="Q2941" s="4" t="s">
        <v>2744</v>
      </c>
      <c r="R2941" s="4" t="s">
        <v>2745</v>
      </c>
      <c r="S2941" s="4" t="s">
        <v>2746</v>
      </c>
      <c r="T2941" s="4" t="s">
        <v>786</v>
      </c>
      <c r="U2941" s="4"/>
      <c r="V2941" s="4"/>
      <c r="W2941" s="4"/>
    </row>
    <row r="2942" spans="1:23" customFormat="1">
      <c r="A2942" s="10"/>
      <c r="B2942" s="4"/>
      <c r="C2942" s="4"/>
      <c r="D2942" s="4"/>
      <c r="E2942" s="4"/>
      <c r="F2942" s="152" t="s">
        <v>354</v>
      </c>
      <c r="G2942" s="4" t="s">
        <v>355</v>
      </c>
      <c r="H2942" s="4"/>
      <c r="I2942" s="196">
        <v>55455.3</v>
      </c>
      <c r="J2942" s="196">
        <v>39.33</v>
      </c>
      <c r="K2942" s="196">
        <v>1410</v>
      </c>
      <c r="L2942" s="454" t="s">
        <v>919</v>
      </c>
      <c r="M2942" s="4" t="s">
        <v>780</v>
      </c>
      <c r="N2942" s="133" t="s">
        <v>781</v>
      </c>
      <c r="O2942" s="4" t="s">
        <v>920</v>
      </c>
      <c r="P2942" s="4" t="s">
        <v>892</v>
      </c>
      <c r="Q2942" s="4" t="s">
        <v>921</v>
      </c>
      <c r="R2942" s="4" t="s">
        <v>924</v>
      </c>
      <c r="S2942" s="4" t="s">
        <v>923</v>
      </c>
      <c r="T2942" s="4" t="s">
        <v>786</v>
      </c>
      <c r="U2942" s="4"/>
      <c r="V2942" s="4"/>
      <c r="W2942" s="4"/>
    </row>
    <row r="2943" spans="1:23" customFormat="1">
      <c r="A2943" s="10"/>
      <c r="B2943" s="4"/>
      <c r="C2943" s="4"/>
      <c r="D2943" s="4"/>
      <c r="E2943" s="4"/>
      <c r="F2943" s="152" t="s">
        <v>354</v>
      </c>
      <c r="G2943" s="4" t="s">
        <v>355</v>
      </c>
      <c r="H2943" s="4"/>
      <c r="I2943" s="196">
        <v>30780.3</v>
      </c>
      <c r="J2943" s="196">
        <v>21.83</v>
      </c>
      <c r="K2943" s="196">
        <v>1410</v>
      </c>
      <c r="L2943" s="454" t="s">
        <v>919</v>
      </c>
      <c r="M2943" s="4" t="s">
        <v>780</v>
      </c>
      <c r="N2943" s="133" t="s">
        <v>781</v>
      </c>
      <c r="O2943" s="4" t="s">
        <v>920</v>
      </c>
      <c r="P2943" s="4" t="s">
        <v>892</v>
      </c>
      <c r="Q2943" s="4" t="s">
        <v>921</v>
      </c>
      <c r="R2943" s="4" t="s">
        <v>926</v>
      </c>
      <c r="S2943" s="4" t="s">
        <v>923</v>
      </c>
      <c r="T2943" s="4" t="s">
        <v>786</v>
      </c>
      <c r="U2943" s="4"/>
      <c r="V2943" s="4"/>
      <c r="W2943" s="4"/>
    </row>
    <row r="2944" spans="1:23" customFormat="1">
      <c r="A2944" s="10"/>
      <c r="B2944" s="4"/>
      <c r="C2944" s="4"/>
      <c r="D2944" s="4"/>
      <c r="E2944" s="4"/>
      <c r="F2944" s="152" t="s">
        <v>354</v>
      </c>
      <c r="G2944" s="4" t="s">
        <v>355</v>
      </c>
      <c r="H2944" s="4"/>
      <c r="I2944" s="196">
        <v>73122.600000000006</v>
      </c>
      <c r="J2944" s="196">
        <v>51.86</v>
      </c>
      <c r="K2944" s="196">
        <v>1410</v>
      </c>
      <c r="L2944" s="454" t="s">
        <v>919</v>
      </c>
      <c r="M2944" s="4" t="s">
        <v>780</v>
      </c>
      <c r="N2944" s="133" t="s">
        <v>1407</v>
      </c>
      <c r="O2944" s="4" t="s">
        <v>920</v>
      </c>
      <c r="P2944" s="4" t="s">
        <v>892</v>
      </c>
      <c r="Q2944" s="4" t="s">
        <v>921</v>
      </c>
      <c r="R2944" s="4" t="s">
        <v>1720</v>
      </c>
      <c r="S2944" s="4" t="s">
        <v>923</v>
      </c>
      <c r="T2944" s="4" t="s">
        <v>786</v>
      </c>
      <c r="U2944" s="4"/>
      <c r="V2944" s="4"/>
      <c r="W2944" s="4"/>
    </row>
    <row r="2945" spans="1:23" customFormat="1">
      <c r="A2945" s="10"/>
      <c r="B2945" s="4"/>
      <c r="C2945" s="4"/>
      <c r="D2945" s="4"/>
      <c r="E2945" s="4"/>
      <c r="F2945" s="152" t="s">
        <v>354</v>
      </c>
      <c r="G2945" s="4" t="s">
        <v>355</v>
      </c>
      <c r="H2945" s="4"/>
      <c r="I2945" s="196">
        <v>67792.800000000003</v>
      </c>
      <c r="J2945" s="196">
        <v>48.08</v>
      </c>
      <c r="K2945" s="196">
        <v>1410</v>
      </c>
      <c r="L2945" s="454" t="s">
        <v>919</v>
      </c>
      <c r="M2945" s="4" t="s">
        <v>780</v>
      </c>
      <c r="N2945" s="133" t="s">
        <v>1407</v>
      </c>
      <c r="O2945" s="4" t="s">
        <v>920</v>
      </c>
      <c r="P2945" s="4" t="s">
        <v>892</v>
      </c>
      <c r="Q2945" s="4" t="s">
        <v>921</v>
      </c>
      <c r="R2945" s="4" t="s">
        <v>1722</v>
      </c>
      <c r="S2945" s="4" t="s">
        <v>923</v>
      </c>
      <c r="T2945" s="4" t="s">
        <v>786</v>
      </c>
      <c r="U2945" s="4"/>
      <c r="V2945" s="4"/>
      <c r="W2945" s="4"/>
    </row>
    <row r="2946" spans="1:23" customFormat="1">
      <c r="A2946" s="10"/>
      <c r="B2946" s="4"/>
      <c r="C2946" s="4"/>
      <c r="D2946" s="4"/>
      <c r="E2946" s="4"/>
      <c r="F2946" s="152" t="s">
        <v>354</v>
      </c>
      <c r="G2946" s="4" t="s">
        <v>355</v>
      </c>
      <c r="H2946" s="4"/>
      <c r="I2946" s="196">
        <v>52000.800000000003</v>
      </c>
      <c r="J2946" s="196">
        <v>36.880000000000003</v>
      </c>
      <c r="K2946" s="196">
        <v>1410</v>
      </c>
      <c r="L2946" s="454" t="s">
        <v>919</v>
      </c>
      <c r="M2946" s="4" t="s">
        <v>780</v>
      </c>
      <c r="N2946" s="133" t="s">
        <v>1407</v>
      </c>
      <c r="O2946" s="4" t="s">
        <v>920</v>
      </c>
      <c r="P2946" s="4" t="s">
        <v>892</v>
      </c>
      <c r="Q2946" s="4" t="s">
        <v>921</v>
      </c>
      <c r="R2946" s="4" t="s">
        <v>1720</v>
      </c>
      <c r="S2946" s="4" t="s">
        <v>923</v>
      </c>
      <c r="T2946" s="4" t="s">
        <v>786</v>
      </c>
      <c r="U2946" s="4"/>
      <c r="V2946" s="4"/>
      <c r="W2946" s="4"/>
    </row>
    <row r="2947" spans="1:23" customFormat="1">
      <c r="A2947" s="10"/>
      <c r="B2947" s="4"/>
      <c r="C2947" s="4"/>
      <c r="D2947" s="4"/>
      <c r="E2947" s="4"/>
      <c r="F2947" s="152" t="s">
        <v>354</v>
      </c>
      <c r="G2947" s="4" t="s">
        <v>355</v>
      </c>
      <c r="H2947" s="4"/>
      <c r="I2947" s="196">
        <v>161727</v>
      </c>
      <c r="J2947" s="196">
        <v>114.7</v>
      </c>
      <c r="K2947" s="196">
        <v>1410</v>
      </c>
      <c r="L2947" s="454" t="s">
        <v>919</v>
      </c>
      <c r="M2947" s="4" t="s">
        <v>780</v>
      </c>
      <c r="N2947" s="133" t="s">
        <v>1407</v>
      </c>
      <c r="O2947" s="4" t="s">
        <v>920</v>
      </c>
      <c r="P2947" s="4" t="s">
        <v>892</v>
      </c>
      <c r="Q2947" s="4" t="s">
        <v>921</v>
      </c>
      <c r="R2947" s="4" t="s">
        <v>1721</v>
      </c>
      <c r="S2947" s="4" t="s">
        <v>923</v>
      </c>
      <c r="T2947" s="4" t="s">
        <v>786</v>
      </c>
      <c r="U2947" s="4"/>
      <c r="V2947" s="4"/>
      <c r="W2947" s="4"/>
    </row>
    <row r="2948" spans="1:23" customFormat="1">
      <c r="A2948" s="10"/>
      <c r="B2948" s="4"/>
      <c r="C2948" s="4"/>
      <c r="D2948" s="4"/>
      <c r="E2948" s="4"/>
      <c r="F2948" s="152" t="s">
        <v>354</v>
      </c>
      <c r="G2948" s="4" t="s">
        <v>355</v>
      </c>
      <c r="H2948" s="4"/>
      <c r="I2948" s="196">
        <v>155988.29999999999</v>
      </c>
      <c r="J2948" s="196">
        <v>110.63</v>
      </c>
      <c r="K2948" s="196">
        <v>1410</v>
      </c>
      <c r="L2948" s="454" t="s">
        <v>919</v>
      </c>
      <c r="M2948" s="4" t="s">
        <v>780</v>
      </c>
      <c r="N2948" s="133" t="s">
        <v>1407</v>
      </c>
      <c r="O2948" s="4" t="s">
        <v>920</v>
      </c>
      <c r="P2948" s="4" t="s">
        <v>892</v>
      </c>
      <c r="Q2948" s="4" t="s">
        <v>921</v>
      </c>
      <c r="R2948" s="4" t="s">
        <v>1730</v>
      </c>
      <c r="S2948" s="4" t="s">
        <v>923</v>
      </c>
      <c r="T2948" s="4" t="s">
        <v>786</v>
      </c>
      <c r="U2948" s="4"/>
      <c r="V2948" s="4"/>
      <c r="W2948" s="4"/>
    </row>
    <row r="2949" spans="1:23" customFormat="1">
      <c r="A2949" s="10"/>
      <c r="B2949" s="4"/>
      <c r="C2949" s="4"/>
      <c r="D2949" s="4"/>
      <c r="E2949" s="4"/>
      <c r="F2949" s="152" t="s">
        <v>354</v>
      </c>
      <c r="G2949" s="4" t="s">
        <v>355</v>
      </c>
      <c r="H2949" s="4"/>
      <c r="I2949" s="196">
        <v>99517.8</v>
      </c>
      <c r="J2949" s="196">
        <v>70.58</v>
      </c>
      <c r="K2949" s="196">
        <v>1410</v>
      </c>
      <c r="L2949" s="454" t="s">
        <v>919</v>
      </c>
      <c r="M2949" s="4" t="s">
        <v>780</v>
      </c>
      <c r="N2949" s="133" t="s">
        <v>1407</v>
      </c>
      <c r="O2949" s="4" t="s">
        <v>920</v>
      </c>
      <c r="P2949" s="4" t="s">
        <v>892</v>
      </c>
      <c r="Q2949" s="4" t="s">
        <v>921</v>
      </c>
      <c r="R2949" s="4" t="s">
        <v>1731</v>
      </c>
      <c r="S2949" s="4" t="s">
        <v>923</v>
      </c>
      <c r="T2949" s="4" t="s">
        <v>786</v>
      </c>
      <c r="U2949" s="4"/>
      <c r="V2949" s="4"/>
      <c r="W2949" s="4"/>
    </row>
    <row r="2950" spans="1:23" customFormat="1">
      <c r="A2950" s="10"/>
      <c r="B2950" s="4"/>
      <c r="C2950" s="4"/>
      <c r="D2950" s="4"/>
      <c r="E2950" s="4"/>
      <c r="F2950" s="152" t="s">
        <v>354</v>
      </c>
      <c r="G2950" s="4" t="s">
        <v>355</v>
      </c>
      <c r="H2950" s="4"/>
      <c r="I2950" s="196">
        <v>91057.8</v>
      </c>
      <c r="J2950" s="196">
        <v>64.58</v>
      </c>
      <c r="K2950" s="196">
        <v>1410</v>
      </c>
      <c r="L2950" s="454" t="s">
        <v>919</v>
      </c>
      <c r="M2950" s="4" t="s">
        <v>780</v>
      </c>
      <c r="N2950" s="133" t="s">
        <v>1407</v>
      </c>
      <c r="O2950" s="4" t="s">
        <v>920</v>
      </c>
      <c r="P2950" s="4" t="s">
        <v>892</v>
      </c>
      <c r="Q2950" s="4" t="s">
        <v>921</v>
      </c>
      <c r="R2950" s="4" t="s">
        <v>1732</v>
      </c>
      <c r="S2950" s="4" t="s">
        <v>923</v>
      </c>
      <c r="T2950" s="4" t="s">
        <v>786</v>
      </c>
      <c r="U2950" s="4"/>
      <c r="V2950" s="4"/>
      <c r="W2950" s="4"/>
    </row>
    <row r="2951" spans="1:23" customFormat="1">
      <c r="A2951" s="10"/>
      <c r="B2951" s="4"/>
      <c r="C2951" s="4"/>
      <c r="D2951" s="4"/>
      <c r="E2951" s="4"/>
      <c r="F2951" s="152" t="s">
        <v>354</v>
      </c>
      <c r="G2951" s="4" t="s">
        <v>355</v>
      </c>
      <c r="H2951" s="4"/>
      <c r="I2951" s="196">
        <v>132850.20000000001</v>
      </c>
      <c r="J2951" s="196">
        <v>94.22</v>
      </c>
      <c r="K2951" s="196">
        <v>1410</v>
      </c>
      <c r="L2951" s="454" t="s">
        <v>919</v>
      </c>
      <c r="M2951" s="4" t="s">
        <v>780</v>
      </c>
      <c r="N2951" s="133" t="s">
        <v>1407</v>
      </c>
      <c r="O2951" s="4" t="s">
        <v>920</v>
      </c>
      <c r="P2951" s="4" t="s">
        <v>892</v>
      </c>
      <c r="Q2951" s="4" t="s">
        <v>921</v>
      </c>
      <c r="R2951" s="4" t="s">
        <v>1726</v>
      </c>
      <c r="S2951" s="4" t="s">
        <v>923</v>
      </c>
      <c r="T2951" s="4" t="s">
        <v>786</v>
      </c>
      <c r="U2951" s="4"/>
      <c r="V2951" s="4"/>
      <c r="W2951" s="4"/>
    </row>
    <row r="2952" spans="1:23" customFormat="1">
      <c r="A2952" s="10"/>
      <c r="B2952" s="4"/>
      <c r="C2952" s="4"/>
      <c r="D2952" s="4"/>
      <c r="E2952" s="4"/>
      <c r="F2952" s="152" t="s">
        <v>354</v>
      </c>
      <c r="G2952" s="4" t="s">
        <v>355</v>
      </c>
      <c r="H2952" s="4"/>
      <c r="I2952" s="196">
        <v>23786.7</v>
      </c>
      <c r="J2952" s="196">
        <v>16.87</v>
      </c>
      <c r="K2952" s="196">
        <v>1410</v>
      </c>
      <c r="L2952" s="454" t="s">
        <v>919</v>
      </c>
      <c r="M2952" s="4" t="s">
        <v>780</v>
      </c>
      <c r="N2952" s="133" t="s">
        <v>1407</v>
      </c>
      <c r="O2952" s="4" t="s">
        <v>920</v>
      </c>
      <c r="P2952" s="4" t="s">
        <v>892</v>
      </c>
      <c r="Q2952" s="4" t="s">
        <v>921</v>
      </c>
      <c r="R2952" s="4" t="s">
        <v>1735</v>
      </c>
      <c r="S2952" s="4" t="s">
        <v>923</v>
      </c>
      <c r="T2952" s="4" t="s">
        <v>786</v>
      </c>
      <c r="U2952" s="4"/>
      <c r="V2952" s="4"/>
      <c r="W2952" s="4"/>
    </row>
    <row r="2953" spans="1:23" customFormat="1">
      <c r="A2953" s="10"/>
      <c r="B2953" s="4"/>
      <c r="C2953" s="4"/>
      <c r="D2953" s="4"/>
      <c r="E2953" s="4"/>
      <c r="F2953" s="152" t="s">
        <v>354</v>
      </c>
      <c r="G2953" s="4" t="s">
        <v>355</v>
      </c>
      <c r="H2953" s="4"/>
      <c r="I2953" s="196">
        <v>23081.7</v>
      </c>
      <c r="J2953" s="196">
        <v>16.37</v>
      </c>
      <c r="K2953" s="196">
        <v>1410</v>
      </c>
      <c r="L2953" s="454" t="s">
        <v>919</v>
      </c>
      <c r="M2953" s="4" t="s">
        <v>780</v>
      </c>
      <c r="N2953" s="133" t="s">
        <v>1407</v>
      </c>
      <c r="O2953" s="4" t="s">
        <v>920</v>
      </c>
      <c r="P2953" s="4" t="s">
        <v>892</v>
      </c>
      <c r="Q2953" s="4" t="s">
        <v>921</v>
      </c>
      <c r="R2953" s="4" t="s">
        <v>1733</v>
      </c>
      <c r="S2953" s="4" t="s">
        <v>923</v>
      </c>
      <c r="T2953" s="4" t="s">
        <v>786</v>
      </c>
      <c r="U2953" s="4"/>
      <c r="V2953" s="4"/>
      <c r="W2953" s="4"/>
    </row>
    <row r="2954" spans="1:23" customFormat="1">
      <c r="A2954" s="10"/>
      <c r="B2954" s="4"/>
      <c r="C2954" s="4"/>
      <c r="D2954" s="4"/>
      <c r="E2954" s="4"/>
      <c r="F2954" s="152" t="s">
        <v>354</v>
      </c>
      <c r="G2954" s="4" t="s">
        <v>355</v>
      </c>
      <c r="H2954" s="4"/>
      <c r="I2954" s="196">
        <v>586672.80000000005</v>
      </c>
      <c r="J2954" s="196">
        <v>416.08</v>
      </c>
      <c r="K2954" s="196">
        <v>1410</v>
      </c>
      <c r="L2954" s="454" t="s">
        <v>919</v>
      </c>
      <c r="M2954" s="4" t="s">
        <v>780</v>
      </c>
      <c r="N2954" s="133" t="s">
        <v>1407</v>
      </c>
      <c r="O2954" s="4" t="s">
        <v>920</v>
      </c>
      <c r="P2954" s="4" t="s">
        <v>892</v>
      </c>
      <c r="Q2954" s="4" t="s">
        <v>921</v>
      </c>
      <c r="R2954" s="4" t="s">
        <v>1734</v>
      </c>
      <c r="S2954" s="4" t="s">
        <v>923</v>
      </c>
      <c r="T2954" s="4" t="s">
        <v>786</v>
      </c>
      <c r="U2954" s="4"/>
      <c r="V2954" s="4"/>
      <c r="W2954" s="4"/>
    </row>
    <row r="2955" spans="1:23" customFormat="1">
      <c r="A2955" s="10"/>
      <c r="B2955" s="4"/>
      <c r="C2955" s="4"/>
      <c r="D2955" s="4"/>
      <c r="E2955" s="4"/>
      <c r="F2955" s="152" t="s">
        <v>354</v>
      </c>
      <c r="G2955" s="4" t="s">
        <v>355</v>
      </c>
      <c r="H2955" s="4"/>
      <c r="I2955" s="196">
        <v>23081.7</v>
      </c>
      <c r="J2955" s="196">
        <v>16.37</v>
      </c>
      <c r="K2955" s="196">
        <v>1410</v>
      </c>
      <c r="L2955" s="454" t="s">
        <v>919</v>
      </c>
      <c r="M2955" s="4" t="s">
        <v>780</v>
      </c>
      <c r="N2955" s="133" t="s">
        <v>1407</v>
      </c>
      <c r="O2955" s="4" t="s">
        <v>920</v>
      </c>
      <c r="P2955" s="4" t="s">
        <v>892</v>
      </c>
      <c r="Q2955" s="4" t="s">
        <v>921</v>
      </c>
      <c r="R2955" s="4" t="s">
        <v>1729</v>
      </c>
      <c r="S2955" s="4" t="s">
        <v>923</v>
      </c>
      <c r="T2955" s="4" t="s">
        <v>786</v>
      </c>
      <c r="U2955" s="4"/>
      <c r="V2955" s="4"/>
      <c r="W2955" s="4"/>
    </row>
    <row r="2956" spans="1:23" customFormat="1">
      <c r="A2956" s="10"/>
      <c r="B2956" s="4"/>
      <c r="C2956" s="4"/>
      <c r="D2956" s="4"/>
      <c r="E2956" s="4"/>
      <c r="F2956" s="152" t="s">
        <v>354</v>
      </c>
      <c r="G2956" s="4" t="s">
        <v>355</v>
      </c>
      <c r="H2956" s="4"/>
      <c r="I2956" s="196">
        <v>109585.2</v>
      </c>
      <c r="J2956" s="196">
        <v>77.72</v>
      </c>
      <c r="K2956" s="196">
        <v>1410</v>
      </c>
      <c r="L2956" s="454" t="s">
        <v>919</v>
      </c>
      <c r="M2956" s="4" t="s">
        <v>780</v>
      </c>
      <c r="N2956" s="133" t="s">
        <v>1407</v>
      </c>
      <c r="O2956" s="4" t="s">
        <v>920</v>
      </c>
      <c r="P2956" s="4" t="s">
        <v>892</v>
      </c>
      <c r="Q2956" s="4" t="s">
        <v>921</v>
      </c>
      <c r="R2956" s="4" t="s">
        <v>1727</v>
      </c>
      <c r="S2956" s="4" t="s">
        <v>923</v>
      </c>
      <c r="T2956" s="4" t="s">
        <v>786</v>
      </c>
      <c r="U2956" s="4"/>
      <c r="V2956" s="4"/>
      <c r="W2956" s="4"/>
    </row>
    <row r="2957" spans="1:23" customFormat="1">
      <c r="A2957" s="10"/>
      <c r="B2957" s="4"/>
      <c r="C2957" s="4"/>
      <c r="D2957" s="4"/>
      <c r="E2957" s="4"/>
      <c r="F2957" s="152" t="s">
        <v>354</v>
      </c>
      <c r="G2957" s="4" t="s">
        <v>355</v>
      </c>
      <c r="H2957" s="4"/>
      <c r="I2957" s="196">
        <v>73122.600000000006</v>
      </c>
      <c r="J2957" s="196">
        <v>51.86</v>
      </c>
      <c r="K2957" s="196">
        <v>1410</v>
      </c>
      <c r="L2957" s="454" t="s">
        <v>919</v>
      </c>
      <c r="M2957" s="4" t="s">
        <v>780</v>
      </c>
      <c r="N2957" s="133" t="s">
        <v>1407</v>
      </c>
      <c r="O2957" s="4" t="s">
        <v>920</v>
      </c>
      <c r="P2957" s="4" t="s">
        <v>892</v>
      </c>
      <c r="Q2957" s="4" t="s">
        <v>921</v>
      </c>
      <c r="R2957" s="4" t="s">
        <v>1723</v>
      </c>
      <c r="S2957" s="4" t="s">
        <v>923</v>
      </c>
      <c r="T2957" s="4" t="s">
        <v>786</v>
      </c>
      <c r="U2957" s="4"/>
      <c r="V2957" s="4"/>
      <c r="W2957" s="4"/>
    </row>
    <row r="2958" spans="1:23" customFormat="1">
      <c r="A2958" s="10"/>
      <c r="B2958" s="4"/>
      <c r="C2958" s="4"/>
      <c r="D2958" s="4"/>
      <c r="E2958" s="4"/>
      <c r="F2958" s="152" t="s">
        <v>354</v>
      </c>
      <c r="G2958" s="4" t="s">
        <v>355</v>
      </c>
      <c r="H2958" s="4"/>
      <c r="I2958" s="196">
        <v>109627.5</v>
      </c>
      <c r="J2958" s="196">
        <v>77.75</v>
      </c>
      <c r="K2958" s="196">
        <v>1410</v>
      </c>
      <c r="L2958" s="454" t="s">
        <v>919</v>
      </c>
      <c r="M2958" s="4" t="s">
        <v>780</v>
      </c>
      <c r="N2958" s="133" t="s">
        <v>1407</v>
      </c>
      <c r="O2958" s="4" t="s">
        <v>920</v>
      </c>
      <c r="P2958" s="4" t="s">
        <v>892</v>
      </c>
      <c r="Q2958" s="4" t="s">
        <v>921</v>
      </c>
      <c r="R2958" s="4" t="s">
        <v>1728</v>
      </c>
      <c r="S2958" s="4" t="s">
        <v>923</v>
      </c>
      <c r="T2958" s="4" t="s">
        <v>786</v>
      </c>
      <c r="U2958" s="4"/>
      <c r="V2958" s="4"/>
      <c r="W2958" s="4"/>
    </row>
    <row r="2959" spans="1:23" customFormat="1">
      <c r="A2959" s="10"/>
      <c r="B2959" s="4"/>
      <c r="C2959" s="4"/>
      <c r="D2959" s="4"/>
      <c r="E2959" s="4"/>
      <c r="F2959" s="152" t="s">
        <v>354</v>
      </c>
      <c r="G2959" s="4" t="s">
        <v>355</v>
      </c>
      <c r="H2959" s="4"/>
      <c r="I2959" s="196">
        <v>9658.5</v>
      </c>
      <c r="J2959" s="196">
        <v>6.85</v>
      </c>
      <c r="K2959" s="196">
        <v>1410</v>
      </c>
      <c r="L2959" s="454" t="s">
        <v>919</v>
      </c>
      <c r="M2959" s="4" t="s">
        <v>780</v>
      </c>
      <c r="N2959" s="133" t="s">
        <v>1407</v>
      </c>
      <c r="O2959" s="4" t="s">
        <v>920</v>
      </c>
      <c r="P2959" s="4" t="s">
        <v>892</v>
      </c>
      <c r="Q2959" s="4" t="s">
        <v>921</v>
      </c>
      <c r="R2959" s="4" t="s">
        <v>1736</v>
      </c>
      <c r="S2959" s="4" t="s">
        <v>923</v>
      </c>
      <c r="T2959" s="4" t="s">
        <v>786</v>
      </c>
      <c r="U2959" s="4"/>
      <c r="V2959" s="4"/>
      <c r="W2959" s="4"/>
    </row>
    <row r="2960" spans="1:23" customFormat="1">
      <c r="A2960" s="10"/>
      <c r="B2960" s="4"/>
      <c r="C2960" s="4"/>
      <c r="D2960" s="4"/>
      <c r="E2960" s="4"/>
      <c r="F2960" s="152" t="s">
        <v>354</v>
      </c>
      <c r="G2960" s="4" t="s">
        <v>355</v>
      </c>
      <c r="H2960" s="4"/>
      <c r="I2960" s="196">
        <v>150461.1</v>
      </c>
      <c r="J2960" s="196">
        <v>106.71</v>
      </c>
      <c r="K2960" s="196">
        <v>1410</v>
      </c>
      <c r="L2960" s="454" t="s">
        <v>919</v>
      </c>
      <c r="M2960" s="4" t="s">
        <v>780</v>
      </c>
      <c r="N2960" s="133" t="s">
        <v>1407</v>
      </c>
      <c r="O2960" s="4" t="s">
        <v>920</v>
      </c>
      <c r="P2960" s="4" t="s">
        <v>892</v>
      </c>
      <c r="Q2960" s="4" t="s">
        <v>921</v>
      </c>
      <c r="R2960" s="4" t="s">
        <v>1737</v>
      </c>
      <c r="S2960" s="4" t="s">
        <v>923</v>
      </c>
      <c r="T2960" s="4" t="s">
        <v>786</v>
      </c>
      <c r="U2960" s="4"/>
      <c r="V2960" s="4"/>
      <c r="W2960" s="4"/>
    </row>
    <row r="2961" spans="1:23" customFormat="1">
      <c r="A2961" s="10"/>
      <c r="B2961" s="4"/>
      <c r="C2961" s="4"/>
      <c r="D2961" s="4"/>
      <c r="E2961" s="4"/>
      <c r="F2961" s="152" t="s">
        <v>354</v>
      </c>
      <c r="G2961" s="4" t="s">
        <v>355</v>
      </c>
      <c r="H2961" s="4"/>
      <c r="I2961" s="196">
        <v>282366.59999999998</v>
      </c>
      <c r="J2961" s="196">
        <v>200.26</v>
      </c>
      <c r="K2961" s="196">
        <v>1410</v>
      </c>
      <c r="L2961" s="454" t="s">
        <v>919</v>
      </c>
      <c r="M2961" s="4" t="s">
        <v>780</v>
      </c>
      <c r="N2961" s="133" t="s">
        <v>1407</v>
      </c>
      <c r="O2961" s="4" t="s">
        <v>920</v>
      </c>
      <c r="P2961" s="4" t="s">
        <v>892</v>
      </c>
      <c r="Q2961" s="4" t="s">
        <v>921</v>
      </c>
      <c r="R2961" s="4" t="s">
        <v>1736</v>
      </c>
      <c r="S2961" s="4" t="s">
        <v>923</v>
      </c>
      <c r="T2961" s="4" t="s">
        <v>786</v>
      </c>
      <c r="U2961" s="4"/>
      <c r="V2961" s="4"/>
      <c r="W2961" s="4"/>
    </row>
    <row r="2962" spans="1:23" customFormat="1">
      <c r="A2962" s="10"/>
      <c r="B2962" s="4"/>
      <c r="C2962" s="4"/>
      <c r="D2962" s="4"/>
      <c r="E2962" s="4"/>
      <c r="F2962" s="152" t="s">
        <v>354</v>
      </c>
      <c r="G2962" s="4" t="s">
        <v>355</v>
      </c>
      <c r="H2962" s="4"/>
      <c r="I2962" s="196">
        <v>96599.1</v>
      </c>
      <c r="J2962" s="196">
        <v>68.510000000000005</v>
      </c>
      <c r="K2962" s="196">
        <v>1410</v>
      </c>
      <c r="L2962" s="454" t="s">
        <v>919</v>
      </c>
      <c r="M2962" s="4" t="s">
        <v>780</v>
      </c>
      <c r="N2962" s="133" t="s">
        <v>1407</v>
      </c>
      <c r="O2962" s="4" t="s">
        <v>920</v>
      </c>
      <c r="P2962" s="4" t="s">
        <v>892</v>
      </c>
      <c r="Q2962" s="4" t="s">
        <v>921</v>
      </c>
      <c r="R2962" s="4" t="s">
        <v>1738</v>
      </c>
      <c r="S2962" s="4" t="s">
        <v>923</v>
      </c>
      <c r="T2962" s="4" t="s">
        <v>786</v>
      </c>
      <c r="U2962" s="4"/>
      <c r="V2962" s="4"/>
      <c r="W2962" s="4"/>
    </row>
    <row r="2963" spans="1:23" customFormat="1">
      <c r="A2963" s="10"/>
      <c r="B2963" s="4"/>
      <c r="C2963" s="4"/>
      <c r="D2963" s="4"/>
      <c r="E2963" s="4"/>
      <c r="F2963" s="152" t="s">
        <v>354</v>
      </c>
      <c r="G2963" s="4" t="s">
        <v>355</v>
      </c>
      <c r="H2963" s="4"/>
      <c r="I2963" s="196">
        <v>169961.4</v>
      </c>
      <c r="J2963" s="196">
        <v>120.54</v>
      </c>
      <c r="K2963" s="196">
        <v>1410</v>
      </c>
      <c r="L2963" s="454" t="s">
        <v>919</v>
      </c>
      <c r="M2963" s="4" t="s">
        <v>780</v>
      </c>
      <c r="N2963" s="133" t="s">
        <v>1407</v>
      </c>
      <c r="O2963" s="4" t="s">
        <v>920</v>
      </c>
      <c r="P2963" s="4" t="s">
        <v>892</v>
      </c>
      <c r="Q2963" s="4" t="s">
        <v>921</v>
      </c>
      <c r="R2963" s="4" t="s">
        <v>1739</v>
      </c>
      <c r="S2963" s="4" t="s">
        <v>923</v>
      </c>
      <c r="T2963" s="4" t="s">
        <v>786</v>
      </c>
      <c r="U2963" s="4"/>
      <c r="V2963" s="4"/>
      <c r="W2963" s="4"/>
    </row>
    <row r="2964" spans="1:23" customFormat="1">
      <c r="A2964" s="10"/>
      <c r="B2964" s="4"/>
      <c r="C2964" s="4"/>
      <c r="D2964" s="4"/>
      <c r="E2964" s="4"/>
      <c r="F2964" s="152" t="s">
        <v>354</v>
      </c>
      <c r="G2964" s="4" t="s">
        <v>355</v>
      </c>
      <c r="H2964" s="4"/>
      <c r="I2964" s="196">
        <v>-288725.7</v>
      </c>
      <c r="J2964" s="196">
        <v>-204.77</v>
      </c>
      <c r="K2964" s="196">
        <v>1410</v>
      </c>
      <c r="L2964" s="454" t="s">
        <v>919</v>
      </c>
      <c r="M2964" s="4" t="s">
        <v>780</v>
      </c>
      <c r="N2964" s="133" t="s">
        <v>1407</v>
      </c>
      <c r="O2964" s="4" t="s">
        <v>1818</v>
      </c>
      <c r="P2964" s="4" t="s">
        <v>892</v>
      </c>
      <c r="Q2964" s="4" t="s">
        <v>1819</v>
      </c>
      <c r="R2964" s="4" t="s">
        <v>1736</v>
      </c>
      <c r="S2964" s="4" t="s">
        <v>1820</v>
      </c>
      <c r="T2964" s="4" t="s">
        <v>786</v>
      </c>
      <c r="U2964" s="4"/>
      <c r="V2964" s="4"/>
      <c r="W2964" s="4"/>
    </row>
    <row r="2965" spans="1:23" customFormat="1">
      <c r="A2965" s="10"/>
      <c r="B2965" s="4"/>
      <c r="C2965" s="4"/>
      <c r="D2965" s="4"/>
      <c r="E2965" s="4"/>
      <c r="F2965" s="152" t="s">
        <v>354</v>
      </c>
      <c r="G2965" s="4" t="s">
        <v>355</v>
      </c>
      <c r="H2965" s="4"/>
      <c r="I2965" s="196">
        <v>-9870</v>
      </c>
      <c r="J2965" s="196">
        <v>-7</v>
      </c>
      <c r="K2965" s="196">
        <v>1410</v>
      </c>
      <c r="L2965" s="454" t="s">
        <v>919</v>
      </c>
      <c r="M2965" s="4" t="s">
        <v>780</v>
      </c>
      <c r="N2965" s="133" t="s">
        <v>1407</v>
      </c>
      <c r="O2965" s="4" t="s">
        <v>1818</v>
      </c>
      <c r="P2965" s="4" t="s">
        <v>892</v>
      </c>
      <c r="Q2965" s="4" t="s">
        <v>1819</v>
      </c>
      <c r="R2965" s="4" t="s">
        <v>1736</v>
      </c>
      <c r="S2965" s="4" t="s">
        <v>1820</v>
      </c>
      <c r="T2965" s="4" t="s">
        <v>786</v>
      </c>
      <c r="U2965" s="4"/>
      <c r="V2965" s="4"/>
      <c r="W2965" s="4"/>
    </row>
    <row r="2966" spans="1:23" customFormat="1">
      <c r="A2966" s="10"/>
      <c r="B2966" s="4"/>
      <c r="C2966" s="4"/>
      <c r="D2966" s="4"/>
      <c r="E2966" s="4"/>
      <c r="F2966" s="152" t="s">
        <v>354</v>
      </c>
      <c r="G2966" s="4" t="s">
        <v>355</v>
      </c>
      <c r="H2966" s="4"/>
      <c r="I2966" s="196">
        <v>-153845.1</v>
      </c>
      <c r="J2966" s="196">
        <v>-109.11</v>
      </c>
      <c r="K2966" s="196">
        <v>1410</v>
      </c>
      <c r="L2966" s="454" t="s">
        <v>919</v>
      </c>
      <c r="M2966" s="4" t="s">
        <v>780</v>
      </c>
      <c r="N2966" s="133" t="s">
        <v>1407</v>
      </c>
      <c r="O2966" s="4" t="s">
        <v>1818</v>
      </c>
      <c r="P2966" s="4" t="s">
        <v>892</v>
      </c>
      <c r="Q2966" s="4" t="s">
        <v>1819</v>
      </c>
      <c r="R2966" s="4" t="s">
        <v>1737</v>
      </c>
      <c r="S2966" s="4" t="s">
        <v>1820</v>
      </c>
      <c r="T2966" s="4" t="s">
        <v>786</v>
      </c>
      <c r="U2966" s="4"/>
      <c r="V2966" s="4"/>
      <c r="W2966" s="4"/>
    </row>
    <row r="2967" spans="1:23" customFormat="1">
      <c r="A2967" s="10"/>
      <c r="B2967" s="4"/>
      <c r="C2967" s="4"/>
      <c r="D2967" s="4"/>
      <c r="E2967" s="4"/>
      <c r="F2967" s="152" t="s">
        <v>354</v>
      </c>
      <c r="G2967" s="4" t="s">
        <v>355</v>
      </c>
      <c r="H2967" s="4"/>
      <c r="I2967" s="196">
        <v>-98770.5</v>
      </c>
      <c r="J2967" s="196">
        <v>-70.05</v>
      </c>
      <c r="K2967" s="196">
        <v>1410</v>
      </c>
      <c r="L2967" s="454" t="s">
        <v>919</v>
      </c>
      <c r="M2967" s="4" t="s">
        <v>780</v>
      </c>
      <c r="N2967" s="133" t="s">
        <v>1407</v>
      </c>
      <c r="O2967" s="4" t="s">
        <v>1818</v>
      </c>
      <c r="P2967" s="4" t="s">
        <v>892</v>
      </c>
      <c r="Q2967" s="4" t="s">
        <v>1819</v>
      </c>
      <c r="R2967" s="4" t="s">
        <v>1824</v>
      </c>
      <c r="S2967" s="4" t="s">
        <v>1820</v>
      </c>
      <c r="T2967" s="4" t="s">
        <v>786</v>
      </c>
      <c r="U2967" s="4"/>
      <c r="V2967" s="4"/>
      <c r="W2967" s="4"/>
    </row>
    <row r="2968" spans="1:23" customFormat="1">
      <c r="A2968" s="10"/>
      <c r="B2968" s="4"/>
      <c r="C2968" s="4"/>
      <c r="D2968" s="4"/>
      <c r="E2968" s="4"/>
      <c r="F2968" s="152" t="s">
        <v>354</v>
      </c>
      <c r="G2968" s="4" t="s">
        <v>355</v>
      </c>
      <c r="H2968" s="4"/>
      <c r="I2968" s="196">
        <v>-173782.5</v>
      </c>
      <c r="J2968" s="196">
        <v>-123.25</v>
      </c>
      <c r="K2968" s="196">
        <v>1410</v>
      </c>
      <c r="L2968" s="454" t="s">
        <v>919</v>
      </c>
      <c r="M2968" s="4" t="s">
        <v>780</v>
      </c>
      <c r="N2968" s="133" t="s">
        <v>1407</v>
      </c>
      <c r="O2968" s="4" t="s">
        <v>1818</v>
      </c>
      <c r="P2968" s="4" t="s">
        <v>892</v>
      </c>
      <c r="Q2968" s="4" t="s">
        <v>1819</v>
      </c>
      <c r="R2968" s="4" t="s">
        <v>1739</v>
      </c>
      <c r="S2968" s="4" t="s">
        <v>1820</v>
      </c>
      <c r="T2968" s="4" t="s">
        <v>786</v>
      </c>
      <c r="U2968" s="4"/>
      <c r="V2968" s="4"/>
      <c r="W2968" s="4"/>
    </row>
    <row r="2969" spans="1:23" customFormat="1">
      <c r="A2969" s="10"/>
      <c r="B2969" s="4"/>
      <c r="C2969" s="4"/>
      <c r="D2969" s="4"/>
      <c r="E2969" s="4"/>
      <c r="F2969" s="152" t="s">
        <v>354</v>
      </c>
      <c r="G2969" s="4" t="s">
        <v>355</v>
      </c>
      <c r="H2969" s="4"/>
      <c r="I2969" s="196">
        <v>-101759.7</v>
      </c>
      <c r="J2969" s="196">
        <v>-72.17</v>
      </c>
      <c r="K2969" s="196">
        <v>1410</v>
      </c>
      <c r="L2969" s="454" t="s">
        <v>919</v>
      </c>
      <c r="M2969" s="4" t="s">
        <v>780</v>
      </c>
      <c r="N2969" s="133" t="s">
        <v>1407</v>
      </c>
      <c r="O2969" s="4" t="s">
        <v>1818</v>
      </c>
      <c r="P2969" s="4" t="s">
        <v>892</v>
      </c>
      <c r="Q2969" s="4" t="s">
        <v>1819</v>
      </c>
      <c r="R2969" s="4" t="s">
        <v>1821</v>
      </c>
      <c r="S2969" s="4" t="s">
        <v>1820</v>
      </c>
      <c r="T2969" s="4" t="s">
        <v>786</v>
      </c>
      <c r="U2969" s="4"/>
      <c r="V2969" s="4"/>
      <c r="W2969" s="4"/>
    </row>
    <row r="2970" spans="1:23" customFormat="1">
      <c r="A2970" s="10"/>
      <c r="B2970" s="4"/>
      <c r="C2970" s="4"/>
      <c r="D2970" s="4"/>
      <c r="E2970" s="4"/>
      <c r="F2970" s="152" t="s">
        <v>354</v>
      </c>
      <c r="G2970" s="4" t="s">
        <v>355</v>
      </c>
      <c r="H2970" s="4"/>
      <c r="I2970" s="196">
        <v>-165378.9</v>
      </c>
      <c r="J2970" s="196">
        <v>-117.29</v>
      </c>
      <c r="K2970" s="196">
        <v>1410</v>
      </c>
      <c r="L2970" s="454" t="s">
        <v>919</v>
      </c>
      <c r="M2970" s="4" t="s">
        <v>780</v>
      </c>
      <c r="N2970" s="133" t="s">
        <v>1407</v>
      </c>
      <c r="O2970" s="4" t="s">
        <v>1818</v>
      </c>
      <c r="P2970" s="4" t="s">
        <v>892</v>
      </c>
      <c r="Q2970" s="4" t="s">
        <v>1819</v>
      </c>
      <c r="R2970" s="4" t="s">
        <v>1825</v>
      </c>
      <c r="S2970" s="4" t="s">
        <v>1820</v>
      </c>
      <c r="T2970" s="4" t="s">
        <v>786</v>
      </c>
      <c r="U2970" s="4"/>
      <c r="V2970" s="4"/>
      <c r="W2970" s="4"/>
    </row>
    <row r="2971" spans="1:23" customFormat="1">
      <c r="A2971" s="10"/>
      <c r="B2971" s="4"/>
      <c r="C2971" s="4"/>
      <c r="D2971" s="4"/>
      <c r="E2971" s="4"/>
      <c r="F2971" s="152" t="s">
        <v>354</v>
      </c>
      <c r="G2971" s="4" t="s">
        <v>355</v>
      </c>
      <c r="H2971" s="4"/>
      <c r="I2971" s="196">
        <v>-69315.600000000006</v>
      </c>
      <c r="J2971" s="196">
        <v>-49.16</v>
      </c>
      <c r="K2971" s="196">
        <v>1410</v>
      </c>
      <c r="L2971" s="454" t="s">
        <v>919</v>
      </c>
      <c r="M2971" s="4" t="s">
        <v>780</v>
      </c>
      <c r="N2971" s="133" t="s">
        <v>1407</v>
      </c>
      <c r="O2971" s="4" t="s">
        <v>1818</v>
      </c>
      <c r="P2971" s="4" t="s">
        <v>892</v>
      </c>
      <c r="Q2971" s="4" t="s">
        <v>1819</v>
      </c>
      <c r="R2971" s="4" t="s">
        <v>1826</v>
      </c>
      <c r="S2971" s="4" t="s">
        <v>1820</v>
      </c>
      <c r="T2971" s="4" t="s">
        <v>786</v>
      </c>
      <c r="U2971" s="4"/>
      <c r="V2971" s="4"/>
      <c r="W2971" s="4"/>
    </row>
    <row r="2972" spans="1:23" customFormat="1">
      <c r="A2972" s="10"/>
      <c r="B2972" s="4"/>
      <c r="C2972" s="4"/>
      <c r="D2972" s="4"/>
      <c r="E2972" s="4"/>
      <c r="F2972" s="152" t="s">
        <v>354</v>
      </c>
      <c r="G2972" s="4" t="s">
        <v>355</v>
      </c>
      <c r="H2972" s="4"/>
      <c r="I2972" s="196">
        <v>-135839.4</v>
      </c>
      <c r="J2972" s="196">
        <v>-96.34</v>
      </c>
      <c r="K2972" s="196">
        <v>1410</v>
      </c>
      <c r="L2972" s="454" t="s">
        <v>919</v>
      </c>
      <c r="M2972" s="4" t="s">
        <v>780</v>
      </c>
      <c r="N2972" s="133" t="s">
        <v>1407</v>
      </c>
      <c r="O2972" s="4" t="s">
        <v>1818</v>
      </c>
      <c r="P2972" s="4" t="s">
        <v>892</v>
      </c>
      <c r="Q2972" s="4" t="s">
        <v>1819</v>
      </c>
      <c r="R2972" s="4" t="s">
        <v>1823</v>
      </c>
      <c r="S2972" s="4" t="s">
        <v>1820</v>
      </c>
      <c r="T2972" s="4" t="s">
        <v>786</v>
      </c>
      <c r="U2972" s="4"/>
      <c r="V2972" s="4"/>
      <c r="W2972" s="4"/>
    </row>
    <row r="2973" spans="1:23" customFormat="1">
      <c r="A2973" s="10"/>
      <c r="B2973" s="4"/>
      <c r="C2973" s="4"/>
      <c r="D2973" s="4"/>
      <c r="E2973" s="4"/>
      <c r="F2973" s="152" t="s">
        <v>354</v>
      </c>
      <c r="G2973" s="4" t="s">
        <v>355</v>
      </c>
      <c r="H2973" s="4"/>
      <c r="I2973" s="196">
        <v>-112095</v>
      </c>
      <c r="J2973" s="196">
        <v>-79.5</v>
      </c>
      <c r="K2973" s="196">
        <v>1410</v>
      </c>
      <c r="L2973" s="454" t="s">
        <v>919</v>
      </c>
      <c r="M2973" s="4" t="s">
        <v>780</v>
      </c>
      <c r="N2973" s="133" t="s">
        <v>1407</v>
      </c>
      <c r="O2973" s="4" t="s">
        <v>1818</v>
      </c>
      <c r="P2973" s="4" t="s">
        <v>892</v>
      </c>
      <c r="Q2973" s="4" t="s">
        <v>1819</v>
      </c>
      <c r="R2973" s="4" t="s">
        <v>1822</v>
      </c>
      <c r="S2973" s="4" t="s">
        <v>1820</v>
      </c>
      <c r="T2973" s="4" t="s">
        <v>786</v>
      </c>
      <c r="U2973" s="4"/>
      <c r="V2973" s="4"/>
      <c r="W2973" s="4"/>
    </row>
    <row r="2974" spans="1:23" customFormat="1">
      <c r="A2974" s="10"/>
      <c r="B2974" s="4"/>
      <c r="C2974" s="4"/>
      <c r="D2974" s="4"/>
      <c r="E2974" s="4"/>
      <c r="F2974" s="152" t="s">
        <v>354</v>
      </c>
      <c r="G2974" s="4" t="s">
        <v>355</v>
      </c>
      <c r="H2974" s="4"/>
      <c r="I2974" s="196">
        <v>733299.6</v>
      </c>
      <c r="J2974" s="196">
        <v>502.26</v>
      </c>
      <c r="K2974" s="196">
        <v>1460</v>
      </c>
      <c r="L2974" s="454" t="s">
        <v>1045</v>
      </c>
      <c r="M2974" s="4" t="s">
        <v>780</v>
      </c>
      <c r="N2974" s="133" t="s">
        <v>1407</v>
      </c>
      <c r="O2974" s="4" t="s">
        <v>2185</v>
      </c>
      <c r="P2974" s="4" t="s">
        <v>892</v>
      </c>
      <c r="Q2974" s="4" t="s">
        <v>2186</v>
      </c>
      <c r="R2974" s="4" t="s">
        <v>2192</v>
      </c>
      <c r="S2974" s="4" t="s">
        <v>2188</v>
      </c>
      <c r="T2974" s="4" t="s">
        <v>786</v>
      </c>
      <c r="U2974" s="4"/>
      <c r="V2974" s="4"/>
      <c r="W2974" s="4"/>
    </row>
    <row r="2975" spans="1:23" customFormat="1">
      <c r="A2975" s="10"/>
      <c r="B2975" s="4"/>
      <c r="C2975" s="4"/>
      <c r="D2975" s="4"/>
      <c r="E2975" s="4"/>
      <c r="F2975" s="152" t="s">
        <v>354</v>
      </c>
      <c r="G2975" s="4" t="s">
        <v>355</v>
      </c>
      <c r="H2975" s="4"/>
      <c r="I2975" s="196">
        <v>108419.6</v>
      </c>
      <c r="J2975" s="196">
        <v>74.260000000000005</v>
      </c>
      <c r="K2975" s="196">
        <v>1460</v>
      </c>
      <c r="L2975" s="454" t="s">
        <v>1045</v>
      </c>
      <c r="M2975" s="4" t="s">
        <v>780</v>
      </c>
      <c r="N2975" s="133" t="s">
        <v>1407</v>
      </c>
      <c r="O2975" s="4" t="s">
        <v>2185</v>
      </c>
      <c r="P2975" s="4" t="s">
        <v>892</v>
      </c>
      <c r="Q2975" s="4" t="s">
        <v>2186</v>
      </c>
      <c r="R2975" s="4" t="s">
        <v>2194</v>
      </c>
      <c r="S2975" s="4" t="s">
        <v>2188</v>
      </c>
      <c r="T2975" s="4" t="s">
        <v>786</v>
      </c>
      <c r="U2975" s="4"/>
      <c r="V2975" s="4"/>
      <c r="W2975" s="4"/>
    </row>
    <row r="2976" spans="1:23" customFormat="1">
      <c r="A2976" s="10"/>
      <c r="B2976" s="4"/>
      <c r="C2976" s="4"/>
      <c r="D2976" s="4"/>
      <c r="E2976" s="4"/>
      <c r="F2976" s="152" t="s">
        <v>354</v>
      </c>
      <c r="G2976" s="4" t="s">
        <v>355</v>
      </c>
      <c r="H2976" s="4"/>
      <c r="I2976" s="196">
        <v>425663</v>
      </c>
      <c r="J2976" s="196">
        <v>291.55</v>
      </c>
      <c r="K2976" s="196">
        <v>1460</v>
      </c>
      <c r="L2976" s="454" t="s">
        <v>1045</v>
      </c>
      <c r="M2976" s="4" t="s">
        <v>780</v>
      </c>
      <c r="N2976" s="133" t="s">
        <v>1407</v>
      </c>
      <c r="O2976" s="4" t="s">
        <v>2185</v>
      </c>
      <c r="P2976" s="4" t="s">
        <v>892</v>
      </c>
      <c r="Q2976" s="4" t="s">
        <v>2186</v>
      </c>
      <c r="R2976" s="4" t="s">
        <v>2189</v>
      </c>
      <c r="S2976" s="4" t="s">
        <v>2188</v>
      </c>
      <c r="T2976" s="4" t="s">
        <v>786</v>
      </c>
      <c r="U2976" s="4"/>
      <c r="V2976" s="4"/>
      <c r="W2976" s="4"/>
    </row>
    <row r="2977" spans="1:23" customFormat="1">
      <c r="A2977" s="10"/>
      <c r="B2977" s="4"/>
      <c r="C2977" s="4"/>
      <c r="D2977" s="4"/>
      <c r="E2977" s="4"/>
      <c r="F2977" s="152" t="s">
        <v>354</v>
      </c>
      <c r="G2977" s="4" t="s">
        <v>355</v>
      </c>
      <c r="H2977" s="4"/>
      <c r="I2977" s="196">
        <v>25550</v>
      </c>
      <c r="J2977" s="196">
        <v>17.5</v>
      </c>
      <c r="K2977" s="196">
        <v>1460</v>
      </c>
      <c r="L2977" s="454" t="s">
        <v>1045</v>
      </c>
      <c r="M2977" s="4" t="s">
        <v>780</v>
      </c>
      <c r="N2977" s="133" t="s">
        <v>1407</v>
      </c>
      <c r="O2977" s="4" t="s">
        <v>2185</v>
      </c>
      <c r="P2977" s="4" t="s">
        <v>892</v>
      </c>
      <c r="Q2977" s="4" t="s">
        <v>2186</v>
      </c>
      <c r="R2977" s="4" t="s">
        <v>2189</v>
      </c>
      <c r="S2977" s="4" t="s">
        <v>2188</v>
      </c>
      <c r="T2977" s="4" t="s">
        <v>786</v>
      </c>
      <c r="U2977" s="4"/>
      <c r="V2977" s="4"/>
      <c r="W2977" s="4"/>
    </row>
    <row r="2978" spans="1:23" customFormat="1">
      <c r="A2978" s="10"/>
      <c r="B2978" s="4"/>
      <c r="C2978" s="4"/>
      <c r="D2978" s="4"/>
      <c r="E2978" s="4"/>
      <c r="F2978" s="152" t="s">
        <v>354</v>
      </c>
      <c r="G2978" s="4" t="s">
        <v>355</v>
      </c>
      <c r="H2978" s="4"/>
      <c r="I2978" s="196">
        <v>169243.2</v>
      </c>
      <c r="J2978" s="196">
        <v>115.92</v>
      </c>
      <c r="K2978" s="196">
        <v>1460</v>
      </c>
      <c r="L2978" s="454" t="s">
        <v>1045</v>
      </c>
      <c r="M2978" s="4" t="s">
        <v>780</v>
      </c>
      <c r="N2978" s="133" t="s">
        <v>1407</v>
      </c>
      <c r="O2978" s="4" t="s">
        <v>2185</v>
      </c>
      <c r="P2978" s="4" t="s">
        <v>892</v>
      </c>
      <c r="Q2978" s="4" t="s">
        <v>2186</v>
      </c>
      <c r="R2978" s="4" t="s">
        <v>2196</v>
      </c>
      <c r="S2978" s="4" t="s">
        <v>2188</v>
      </c>
      <c r="T2978" s="4" t="s">
        <v>786</v>
      </c>
      <c r="U2978" s="4"/>
      <c r="V2978" s="4"/>
      <c r="W2978" s="4"/>
    </row>
    <row r="2979" spans="1:23" customFormat="1">
      <c r="A2979" s="10"/>
      <c r="B2979" s="4"/>
      <c r="C2979" s="4"/>
      <c r="D2979" s="4"/>
      <c r="E2979" s="4"/>
      <c r="F2979" s="152" t="s">
        <v>354</v>
      </c>
      <c r="G2979" s="4" t="s">
        <v>355</v>
      </c>
      <c r="H2979" s="4"/>
      <c r="I2979" s="196">
        <v>291941.59999999998</v>
      </c>
      <c r="J2979" s="196">
        <v>199.96</v>
      </c>
      <c r="K2979" s="196">
        <v>1460</v>
      </c>
      <c r="L2979" s="454" t="s">
        <v>1045</v>
      </c>
      <c r="M2979" s="4" t="s">
        <v>780</v>
      </c>
      <c r="N2979" s="133" t="s">
        <v>1407</v>
      </c>
      <c r="O2979" s="4" t="s">
        <v>2185</v>
      </c>
      <c r="P2979" s="4" t="s">
        <v>892</v>
      </c>
      <c r="Q2979" s="4" t="s">
        <v>2186</v>
      </c>
      <c r="R2979" s="4" t="s">
        <v>2190</v>
      </c>
      <c r="S2979" s="4" t="s">
        <v>2188</v>
      </c>
      <c r="T2979" s="4" t="s">
        <v>786</v>
      </c>
      <c r="U2979" s="4"/>
      <c r="V2979" s="4"/>
      <c r="W2979" s="4"/>
    </row>
    <row r="2980" spans="1:23" customFormat="1">
      <c r="A2980" s="10"/>
      <c r="B2980" s="4"/>
      <c r="C2980" s="4"/>
      <c r="D2980" s="4"/>
      <c r="E2980" s="4"/>
      <c r="F2980" s="152" t="s">
        <v>354</v>
      </c>
      <c r="G2980" s="4" t="s">
        <v>355</v>
      </c>
      <c r="H2980" s="4"/>
      <c r="I2980" s="196">
        <v>51100</v>
      </c>
      <c r="J2980" s="196">
        <v>35</v>
      </c>
      <c r="K2980" s="196">
        <v>1460</v>
      </c>
      <c r="L2980" s="454" t="s">
        <v>1045</v>
      </c>
      <c r="M2980" s="4" t="s">
        <v>780</v>
      </c>
      <c r="N2980" s="133" t="s">
        <v>1407</v>
      </c>
      <c r="O2980" s="4" t="s">
        <v>2185</v>
      </c>
      <c r="P2980" s="4" t="s">
        <v>892</v>
      </c>
      <c r="Q2980" s="4" t="s">
        <v>2186</v>
      </c>
      <c r="R2980" s="4" t="s">
        <v>2191</v>
      </c>
      <c r="S2980" s="4" t="s">
        <v>2188</v>
      </c>
      <c r="T2980" s="4" t="s">
        <v>786</v>
      </c>
      <c r="U2980" s="4"/>
      <c r="V2980" s="4"/>
      <c r="W2980" s="4"/>
    </row>
    <row r="2981" spans="1:23" customFormat="1">
      <c r="A2981" s="10"/>
      <c r="B2981" s="4"/>
      <c r="C2981" s="4"/>
      <c r="D2981" s="4"/>
      <c r="E2981" s="4"/>
      <c r="F2981" s="152" t="s">
        <v>354</v>
      </c>
      <c r="G2981" s="4" t="s">
        <v>355</v>
      </c>
      <c r="H2981" s="4"/>
      <c r="I2981" s="196">
        <v>140160</v>
      </c>
      <c r="J2981" s="196">
        <v>96</v>
      </c>
      <c r="K2981" s="196">
        <v>1460</v>
      </c>
      <c r="L2981" s="454" t="s">
        <v>1045</v>
      </c>
      <c r="M2981" s="4" t="s">
        <v>780</v>
      </c>
      <c r="N2981" s="133" t="s">
        <v>1407</v>
      </c>
      <c r="O2981" s="4" t="s">
        <v>2185</v>
      </c>
      <c r="P2981" s="4" t="s">
        <v>892</v>
      </c>
      <c r="Q2981" s="4" t="s">
        <v>2186</v>
      </c>
      <c r="R2981" s="4" t="s">
        <v>2195</v>
      </c>
      <c r="S2981" s="4" t="s">
        <v>2188</v>
      </c>
      <c r="T2981" s="4" t="s">
        <v>786</v>
      </c>
      <c r="U2981" s="4"/>
      <c r="V2981" s="4"/>
      <c r="W2981" s="4"/>
    </row>
    <row r="2982" spans="1:23" customFormat="1">
      <c r="A2982" s="10"/>
      <c r="B2982" s="4"/>
      <c r="C2982" s="4"/>
      <c r="D2982" s="4"/>
      <c r="E2982" s="4"/>
      <c r="F2982" s="152" t="s">
        <v>354</v>
      </c>
      <c r="G2982" s="4" t="s">
        <v>355</v>
      </c>
      <c r="H2982" s="4"/>
      <c r="I2982" s="196">
        <v>79336.399999999994</v>
      </c>
      <c r="J2982" s="196">
        <v>54.34</v>
      </c>
      <c r="K2982" s="196">
        <v>1460</v>
      </c>
      <c r="L2982" s="454" t="s">
        <v>1045</v>
      </c>
      <c r="M2982" s="4" t="s">
        <v>780</v>
      </c>
      <c r="N2982" s="133" t="s">
        <v>1407</v>
      </c>
      <c r="O2982" s="4" t="s">
        <v>2185</v>
      </c>
      <c r="P2982" s="4" t="s">
        <v>892</v>
      </c>
      <c r="Q2982" s="4" t="s">
        <v>2186</v>
      </c>
      <c r="R2982" s="4" t="s">
        <v>2193</v>
      </c>
      <c r="S2982" s="4" t="s">
        <v>2188</v>
      </c>
      <c r="T2982" s="4" t="s">
        <v>786</v>
      </c>
      <c r="U2982" s="4"/>
      <c r="V2982" s="4"/>
      <c r="W2982" s="4"/>
    </row>
    <row r="2983" spans="1:23" customFormat="1">
      <c r="A2983" s="10"/>
      <c r="B2983" s="4"/>
      <c r="C2983" s="4"/>
      <c r="D2983" s="4"/>
      <c r="E2983" s="4"/>
      <c r="F2983" s="152" t="s">
        <v>354</v>
      </c>
      <c r="G2983" s="4" t="s">
        <v>355</v>
      </c>
      <c r="H2983" s="4"/>
      <c r="I2983" s="196">
        <v>337157.8</v>
      </c>
      <c r="J2983" s="196">
        <v>230.93</v>
      </c>
      <c r="K2983" s="196">
        <v>1460</v>
      </c>
      <c r="L2983" s="454" t="s">
        <v>1045</v>
      </c>
      <c r="M2983" s="4" t="s">
        <v>780</v>
      </c>
      <c r="N2983" s="133" t="s">
        <v>1407</v>
      </c>
      <c r="O2983" s="4" t="s">
        <v>2185</v>
      </c>
      <c r="P2983" s="4" t="s">
        <v>892</v>
      </c>
      <c r="Q2983" s="4" t="s">
        <v>2186</v>
      </c>
      <c r="R2983" s="4" t="s">
        <v>2200</v>
      </c>
      <c r="S2983" s="4" t="s">
        <v>2188</v>
      </c>
      <c r="T2983" s="4" t="s">
        <v>786</v>
      </c>
      <c r="U2983" s="4"/>
      <c r="V2983" s="4"/>
      <c r="W2983" s="4"/>
    </row>
    <row r="2984" spans="1:23" customFormat="1">
      <c r="A2984" s="10"/>
      <c r="B2984" s="4"/>
      <c r="C2984" s="4"/>
      <c r="D2984" s="4"/>
      <c r="E2984" s="4"/>
      <c r="F2984" s="152" t="s">
        <v>354</v>
      </c>
      <c r="G2984" s="4" t="s">
        <v>355</v>
      </c>
      <c r="H2984" s="4"/>
      <c r="I2984" s="196">
        <v>243294.4</v>
      </c>
      <c r="J2984" s="196">
        <v>166.64</v>
      </c>
      <c r="K2984" s="196">
        <v>1460</v>
      </c>
      <c r="L2984" s="454" t="s">
        <v>1045</v>
      </c>
      <c r="M2984" s="4" t="s">
        <v>780</v>
      </c>
      <c r="N2984" s="133" t="s">
        <v>1407</v>
      </c>
      <c r="O2984" s="4" t="s">
        <v>2185</v>
      </c>
      <c r="P2984" s="4" t="s">
        <v>892</v>
      </c>
      <c r="Q2984" s="4" t="s">
        <v>2186</v>
      </c>
      <c r="R2984" s="4" t="s">
        <v>2197</v>
      </c>
      <c r="S2984" s="4" t="s">
        <v>2188</v>
      </c>
      <c r="T2984" s="4" t="s">
        <v>786</v>
      </c>
      <c r="U2984" s="4"/>
      <c r="V2984" s="4"/>
      <c r="W2984" s="4"/>
    </row>
    <row r="2985" spans="1:23" customFormat="1">
      <c r="A2985" s="10"/>
      <c r="B2985" s="4"/>
      <c r="C2985" s="4"/>
      <c r="D2985" s="4"/>
      <c r="E2985" s="4"/>
      <c r="F2985" s="152" t="s">
        <v>354</v>
      </c>
      <c r="G2985" s="4" t="s">
        <v>355</v>
      </c>
      <c r="H2985" s="4"/>
      <c r="I2985" s="196">
        <v>102462.8</v>
      </c>
      <c r="J2985" s="196">
        <v>70.180000000000007</v>
      </c>
      <c r="K2985" s="196">
        <v>1460</v>
      </c>
      <c r="L2985" s="454" t="s">
        <v>1045</v>
      </c>
      <c r="M2985" s="4" t="s">
        <v>780</v>
      </c>
      <c r="N2985" s="133" t="s">
        <v>1407</v>
      </c>
      <c r="O2985" s="4" t="s">
        <v>2185</v>
      </c>
      <c r="P2985" s="4" t="s">
        <v>892</v>
      </c>
      <c r="Q2985" s="4" t="s">
        <v>2186</v>
      </c>
      <c r="R2985" s="4" t="s">
        <v>2203</v>
      </c>
      <c r="S2985" s="4" t="s">
        <v>2188</v>
      </c>
      <c r="T2985" s="4" t="s">
        <v>786</v>
      </c>
      <c r="U2985" s="4"/>
      <c r="V2985" s="4"/>
      <c r="W2985" s="4"/>
    </row>
    <row r="2986" spans="1:23" customFormat="1">
      <c r="A2986" s="10"/>
      <c r="B2986" s="4"/>
      <c r="C2986" s="4"/>
      <c r="D2986" s="4"/>
      <c r="E2986" s="4"/>
      <c r="F2986" s="152" t="s">
        <v>354</v>
      </c>
      <c r="G2986" s="4" t="s">
        <v>355</v>
      </c>
      <c r="H2986" s="4"/>
      <c r="I2986" s="196">
        <v>294482</v>
      </c>
      <c r="J2986" s="196">
        <v>201.7</v>
      </c>
      <c r="K2986" s="196">
        <v>1460</v>
      </c>
      <c r="L2986" s="454" t="s">
        <v>1045</v>
      </c>
      <c r="M2986" s="4" t="s">
        <v>780</v>
      </c>
      <c r="N2986" s="133" t="s">
        <v>1407</v>
      </c>
      <c r="O2986" s="4" t="s">
        <v>2185</v>
      </c>
      <c r="P2986" s="4" t="s">
        <v>892</v>
      </c>
      <c r="Q2986" s="4" t="s">
        <v>2186</v>
      </c>
      <c r="R2986" s="4" t="s">
        <v>2201</v>
      </c>
      <c r="S2986" s="4" t="s">
        <v>2188</v>
      </c>
      <c r="T2986" s="4" t="s">
        <v>786</v>
      </c>
      <c r="U2986" s="4"/>
      <c r="V2986" s="4"/>
      <c r="W2986" s="4"/>
    </row>
    <row r="2987" spans="1:23" customFormat="1">
      <c r="A2987" s="10"/>
      <c r="B2987" s="4"/>
      <c r="C2987" s="4"/>
      <c r="D2987" s="4"/>
      <c r="E2987" s="4"/>
      <c r="F2987" s="152" t="s">
        <v>354</v>
      </c>
      <c r="G2987" s="4" t="s">
        <v>355</v>
      </c>
      <c r="H2987" s="4"/>
      <c r="I2987" s="196">
        <v>138568.6</v>
      </c>
      <c r="J2987" s="196">
        <v>94.91</v>
      </c>
      <c r="K2987" s="196">
        <v>1460</v>
      </c>
      <c r="L2987" s="454" t="s">
        <v>1045</v>
      </c>
      <c r="M2987" s="4" t="s">
        <v>780</v>
      </c>
      <c r="N2987" s="133" t="s">
        <v>1407</v>
      </c>
      <c r="O2987" s="4" t="s">
        <v>2185</v>
      </c>
      <c r="P2987" s="4" t="s">
        <v>892</v>
      </c>
      <c r="Q2987" s="4" t="s">
        <v>2186</v>
      </c>
      <c r="R2987" s="4" t="s">
        <v>2204</v>
      </c>
      <c r="S2987" s="4" t="s">
        <v>2188</v>
      </c>
      <c r="T2987" s="4" t="s">
        <v>786</v>
      </c>
      <c r="U2987" s="4"/>
      <c r="V2987" s="4"/>
      <c r="W2987" s="4"/>
    </row>
    <row r="2988" spans="1:23" customFormat="1">
      <c r="A2988" s="10"/>
      <c r="B2988" s="4"/>
      <c r="C2988" s="4"/>
      <c r="D2988" s="4"/>
      <c r="E2988" s="4"/>
      <c r="F2988" s="152" t="s">
        <v>354</v>
      </c>
      <c r="G2988" s="4" t="s">
        <v>355</v>
      </c>
      <c r="H2988" s="4"/>
      <c r="I2988" s="196">
        <v>100754.6</v>
      </c>
      <c r="J2988" s="196">
        <v>69.010000000000005</v>
      </c>
      <c r="K2988" s="196">
        <v>1460</v>
      </c>
      <c r="L2988" s="454" t="s">
        <v>1045</v>
      </c>
      <c r="M2988" s="4" t="s">
        <v>780</v>
      </c>
      <c r="N2988" s="133" t="s">
        <v>1407</v>
      </c>
      <c r="O2988" s="4" t="s">
        <v>2185</v>
      </c>
      <c r="P2988" s="4" t="s">
        <v>892</v>
      </c>
      <c r="Q2988" s="4" t="s">
        <v>2186</v>
      </c>
      <c r="R2988" s="4" t="s">
        <v>2198</v>
      </c>
      <c r="S2988" s="4" t="s">
        <v>2188</v>
      </c>
      <c r="T2988" s="4" t="s">
        <v>786</v>
      </c>
      <c r="U2988" s="4"/>
      <c r="V2988" s="4"/>
      <c r="W2988" s="4"/>
    </row>
    <row r="2989" spans="1:23" customFormat="1">
      <c r="A2989" s="10"/>
      <c r="B2989" s="4"/>
      <c r="C2989" s="4"/>
      <c r="D2989" s="4"/>
      <c r="E2989" s="4"/>
      <c r="F2989" s="152" t="s">
        <v>354</v>
      </c>
      <c r="G2989" s="4" t="s">
        <v>355</v>
      </c>
      <c r="H2989" s="4"/>
      <c r="I2989" s="196">
        <v>150891</v>
      </c>
      <c r="J2989" s="196">
        <v>103.35</v>
      </c>
      <c r="K2989" s="196">
        <v>1460</v>
      </c>
      <c r="L2989" s="454" t="s">
        <v>1045</v>
      </c>
      <c r="M2989" s="4" t="s">
        <v>780</v>
      </c>
      <c r="N2989" s="133" t="s">
        <v>1407</v>
      </c>
      <c r="O2989" s="4" t="s">
        <v>2185</v>
      </c>
      <c r="P2989" s="4" t="s">
        <v>892</v>
      </c>
      <c r="Q2989" s="4" t="s">
        <v>2186</v>
      </c>
      <c r="R2989" s="4" t="s">
        <v>2202</v>
      </c>
      <c r="S2989" s="4" t="s">
        <v>2188</v>
      </c>
      <c r="T2989" s="4" t="s">
        <v>786</v>
      </c>
      <c r="U2989" s="4"/>
      <c r="V2989" s="4"/>
      <c r="W2989" s="4"/>
    </row>
    <row r="2990" spans="1:23" customFormat="1">
      <c r="A2990" s="10"/>
      <c r="B2990" s="4"/>
      <c r="C2990" s="4"/>
      <c r="D2990" s="4"/>
      <c r="E2990" s="4"/>
      <c r="F2990" s="152" t="s">
        <v>354</v>
      </c>
      <c r="G2990" s="4" t="s">
        <v>355</v>
      </c>
      <c r="H2990" s="4"/>
      <c r="I2990" s="196">
        <v>167359.79999999999</v>
      </c>
      <c r="J2990" s="196">
        <v>114.63</v>
      </c>
      <c r="K2990" s="196">
        <v>1460</v>
      </c>
      <c r="L2990" s="454" t="s">
        <v>1045</v>
      </c>
      <c r="M2990" s="4" t="s">
        <v>780</v>
      </c>
      <c r="N2990" s="133" t="s">
        <v>1407</v>
      </c>
      <c r="O2990" s="4" t="s">
        <v>2185</v>
      </c>
      <c r="P2990" s="4" t="s">
        <v>892</v>
      </c>
      <c r="Q2990" s="4" t="s">
        <v>2186</v>
      </c>
      <c r="R2990" s="4" t="s">
        <v>2205</v>
      </c>
      <c r="S2990" s="4" t="s">
        <v>2188</v>
      </c>
      <c r="T2990" s="4" t="s">
        <v>786</v>
      </c>
      <c r="U2990" s="4"/>
      <c r="V2990" s="4"/>
      <c r="W2990" s="4"/>
    </row>
    <row r="2991" spans="1:23" customFormat="1">
      <c r="A2991" s="10"/>
      <c r="B2991" s="4"/>
      <c r="C2991" s="4"/>
      <c r="D2991" s="4"/>
      <c r="E2991" s="4"/>
      <c r="F2991" s="152" t="s">
        <v>354</v>
      </c>
      <c r="G2991" s="4" t="s">
        <v>355</v>
      </c>
      <c r="H2991" s="4"/>
      <c r="I2991" s="196">
        <v>80650.399999999994</v>
      </c>
      <c r="J2991" s="196">
        <v>55.24</v>
      </c>
      <c r="K2991" s="196">
        <v>1460</v>
      </c>
      <c r="L2991" s="454" t="s">
        <v>1045</v>
      </c>
      <c r="M2991" s="4" t="s">
        <v>780</v>
      </c>
      <c r="N2991" s="133" t="s">
        <v>1407</v>
      </c>
      <c r="O2991" s="4" t="s">
        <v>2185</v>
      </c>
      <c r="P2991" s="4" t="s">
        <v>892</v>
      </c>
      <c r="Q2991" s="4" t="s">
        <v>2186</v>
      </c>
      <c r="R2991" s="4" t="s">
        <v>2199</v>
      </c>
      <c r="S2991" s="4" t="s">
        <v>2188</v>
      </c>
      <c r="T2991" s="4" t="s">
        <v>786</v>
      </c>
      <c r="U2991" s="4"/>
      <c r="V2991" s="4"/>
      <c r="W2991" s="4"/>
    </row>
    <row r="2992" spans="1:23" customFormat="1">
      <c r="A2992" s="10"/>
      <c r="B2992" s="4"/>
      <c r="C2992" s="4"/>
      <c r="D2992" s="4"/>
      <c r="E2992" s="4"/>
      <c r="F2992" s="152" t="s">
        <v>354</v>
      </c>
      <c r="G2992" s="4" t="s">
        <v>355</v>
      </c>
      <c r="H2992" s="4"/>
      <c r="I2992" s="196">
        <v>91571.199999999997</v>
      </c>
      <c r="J2992" s="196">
        <v>62.72</v>
      </c>
      <c r="K2992" s="196">
        <v>1460</v>
      </c>
      <c r="L2992" s="454" t="s">
        <v>1045</v>
      </c>
      <c r="M2992" s="4" t="s">
        <v>780</v>
      </c>
      <c r="N2992" s="133" t="s">
        <v>1407</v>
      </c>
      <c r="O2992" s="4" t="s">
        <v>2185</v>
      </c>
      <c r="P2992" s="4" t="s">
        <v>892</v>
      </c>
      <c r="Q2992" s="4" t="s">
        <v>2186</v>
      </c>
      <c r="R2992" s="4" t="s">
        <v>2187</v>
      </c>
      <c r="S2992" s="4" t="s">
        <v>2188</v>
      </c>
      <c r="T2992" s="4" t="s">
        <v>786</v>
      </c>
      <c r="U2992" s="4"/>
      <c r="V2992" s="4"/>
      <c r="W2992" s="4"/>
    </row>
    <row r="2993" spans="1:23" customFormat="1">
      <c r="A2993" s="10"/>
      <c r="B2993" s="4"/>
      <c r="C2993" s="4"/>
      <c r="D2993" s="4"/>
      <c r="E2993" s="4"/>
      <c r="F2993" s="152" t="s">
        <v>354</v>
      </c>
      <c r="G2993" s="4" t="s">
        <v>355</v>
      </c>
      <c r="H2993" s="4"/>
      <c r="I2993" s="196">
        <v>-135415</v>
      </c>
      <c r="J2993" s="196">
        <v>-92.75</v>
      </c>
      <c r="K2993" s="196">
        <v>1460</v>
      </c>
      <c r="L2993" s="454" t="s">
        <v>1045</v>
      </c>
      <c r="M2993" s="4" t="s">
        <v>780</v>
      </c>
      <c r="N2993" s="133" t="s">
        <v>1407</v>
      </c>
      <c r="O2993" s="4" t="s">
        <v>2268</v>
      </c>
      <c r="P2993" s="4" t="s">
        <v>892</v>
      </c>
      <c r="Q2993" s="4" t="s">
        <v>2269</v>
      </c>
      <c r="R2993" s="4" t="s">
        <v>2270</v>
      </c>
      <c r="S2993" s="4" t="s">
        <v>2271</v>
      </c>
      <c r="T2993" s="4" t="s">
        <v>786</v>
      </c>
      <c r="U2993" s="4"/>
      <c r="V2993" s="4"/>
      <c r="W2993" s="4"/>
    </row>
    <row r="2994" spans="1:23" customFormat="1">
      <c r="A2994" s="10"/>
      <c r="B2994" s="4"/>
      <c r="C2994" s="4"/>
      <c r="D2994" s="4"/>
      <c r="E2994" s="4"/>
      <c r="F2994" s="152" t="s">
        <v>354</v>
      </c>
      <c r="G2994" s="4" t="s">
        <v>355</v>
      </c>
      <c r="H2994" s="4"/>
      <c r="I2994" s="196">
        <v>-708508.8</v>
      </c>
      <c r="J2994" s="196">
        <v>-485.28</v>
      </c>
      <c r="K2994" s="196">
        <v>1460</v>
      </c>
      <c r="L2994" s="454" t="s">
        <v>1045</v>
      </c>
      <c r="M2994" s="4" t="s">
        <v>780</v>
      </c>
      <c r="N2994" s="133" t="s">
        <v>1407</v>
      </c>
      <c r="O2994" s="4" t="s">
        <v>2268</v>
      </c>
      <c r="P2994" s="4" t="s">
        <v>892</v>
      </c>
      <c r="Q2994" s="4" t="s">
        <v>2269</v>
      </c>
      <c r="R2994" s="4" t="s">
        <v>2272</v>
      </c>
      <c r="S2994" s="4" t="s">
        <v>2271</v>
      </c>
      <c r="T2994" s="4" t="s">
        <v>786</v>
      </c>
      <c r="U2994" s="4"/>
      <c r="V2994" s="4"/>
      <c r="W2994" s="4"/>
    </row>
    <row r="2995" spans="1:23" customFormat="1">
      <c r="A2995" s="10"/>
      <c r="B2995" s="4"/>
      <c r="C2995" s="4"/>
      <c r="D2995" s="4"/>
      <c r="E2995" s="4"/>
      <c r="F2995" s="152" t="s">
        <v>354</v>
      </c>
      <c r="G2995" s="4" t="s">
        <v>355</v>
      </c>
      <c r="H2995" s="4"/>
      <c r="I2995" s="196">
        <v>-163520</v>
      </c>
      <c r="J2995" s="196">
        <v>-112</v>
      </c>
      <c r="K2995" s="196">
        <v>1460</v>
      </c>
      <c r="L2995" s="454" t="s">
        <v>1045</v>
      </c>
      <c r="M2995" s="4" t="s">
        <v>780</v>
      </c>
      <c r="N2995" s="133" t="s">
        <v>1407</v>
      </c>
      <c r="O2995" s="4" t="s">
        <v>2268</v>
      </c>
      <c r="P2995" s="4" t="s">
        <v>892</v>
      </c>
      <c r="Q2995" s="4" t="s">
        <v>2269</v>
      </c>
      <c r="R2995" s="4" t="s">
        <v>2274</v>
      </c>
      <c r="S2995" s="4" t="s">
        <v>2271</v>
      </c>
      <c r="T2995" s="4" t="s">
        <v>786</v>
      </c>
      <c r="U2995" s="4"/>
      <c r="V2995" s="4"/>
      <c r="W2995" s="4"/>
    </row>
    <row r="2996" spans="1:23" customFormat="1">
      <c r="A2996" s="10"/>
      <c r="B2996" s="4"/>
      <c r="C2996" s="4"/>
      <c r="D2996" s="4"/>
      <c r="E2996" s="4"/>
      <c r="F2996" s="152" t="s">
        <v>354</v>
      </c>
      <c r="G2996" s="4" t="s">
        <v>355</v>
      </c>
      <c r="H2996" s="4"/>
      <c r="I2996" s="196">
        <v>-325769.8</v>
      </c>
      <c r="J2996" s="196">
        <v>-223.13</v>
      </c>
      <c r="K2996" s="196">
        <v>1460</v>
      </c>
      <c r="L2996" s="454" t="s">
        <v>1045</v>
      </c>
      <c r="M2996" s="4" t="s">
        <v>780</v>
      </c>
      <c r="N2996" s="133" t="s">
        <v>1407</v>
      </c>
      <c r="O2996" s="4" t="s">
        <v>2268</v>
      </c>
      <c r="P2996" s="4" t="s">
        <v>892</v>
      </c>
      <c r="Q2996" s="4" t="s">
        <v>2269</v>
      </c>
      <c r="R2996" s="4" t="s">
        <v>2275</v>
      </c>
      <c r="S2996" s="4" t="s">
        <v>2271</v>
      </c>
      <c r="T2996" s="4" t="s">
        <v>786</v>
      </c>
      <c r="U2996" s="4"/>
      <c r="V2996" s="4"/>
      <c r="W2996" s="4"/>
    </row>
    <row r="2997" spans="1:23" customFormat="1">
      <c r="A2997" s="10"/>
      <c r="B2997" s="4"/>
      <c r="C2997" s="4"/>
      <c r="D2997" s="4"/>
      <c r="E2997" s="4"/>
      <c r="F2997" s="152" t="s">
        <v>354</v>
      </c>
      <c r="G2997" s="4" t="s">
        <v>355</v>
      </c>
      <c r="H2997" s="4"/>
      <c r="I2997" s="196">
        <v>-145795.6</v>
      </c>
      <c r="J2997" s="196">
        <v>-99.86</v>
      </c>
      <c r="K2997" s="196">
        <v>1460</v>
      </c>
      <c r="L2997" s="454" t="s">
        <v>1045</v>
      </c>
      <c r="M2997" s="4" t="s">
        <v>780</v>
      </c>
      <c r="N2997" s="133" t="s">
        <v>1407</v>
      </c>
      <c r="O2997" s="4" t="s">
        <v>2268</v>
      </c>
      <c r="P2997" s="4" t="s">
        <v>892</v>
      </c>
      <c r="Q2997" s="4" t="s">
        <v>2269</v>
      </c>
      <c r="R2997" s="4" t="s">
        <v>2277</v>
      </c>
      <c r="S2997" s="4" t="s">
        <v>2271</v>
      </c>
      <c r="T2997" s="4" t="s">
        <v>786</v>
      </c>
      <c r="U2997" s="4"/>
      <c r="V2997" s="4"/>
      <c r="W2997" s="4"/>
    </row>
    <row r="2998" spans="1:23" customFormat="1">
      <c r="A2998" s="10"/>
      <c r="B2998" s="4"/>
      <c r="C2998" s="4"/>
      <c r="D2998" s="4"/>
      <c r="E2998" s="4"/>
      <c r="F2998" s="152" t="s">
        <v>354</v>
      </c>
      <c r="G2998" s="4" t="s">
        <v>355</v>
      </c>
      <c r="H2998" s="4"/>
      <c r="I2998" s="196">
        <v>-284524.79999999999</v>
      </c>
      <c r="J2998" s="196">
        <v>-194.88</v>
      </c>
      <c r="K2998" s="196">
        <v>1460</v>
      </c>
      <c r="L2998" s="454" t="s">
        <v>1045</v>
      </c>
      <c r="M2998" s="4" t="s">
        <v>780</v>
      </c>
      <c r="N2998" s="133" t="s">
        <v>1407</v>
      </c>
      <c r="O2998" s="4" t="s">
        <v>2268</v>
      </c>
      <c r="P2998" s="4" t="s">
        <v>892</v>
      </c>
      <c r="Q2998" s="4" t="s">
        <v>2269</v>
      </c>
      <c r="R2998" s="4" t="s">
        <v>2279</v>
      </c>
      <c r="S2998" s="4" t="s">
        <v>2271</v>
      </c>
      <c r="T2998" s="4" t="s">
        <v>786</v>
      </c>
      <c r="U2998" s="4"/>
      <c r="V2998" s="4"/>
      <c r="W2998" s="4"/>
    </row>
    <row r="2999" spans="1:23" customFormat="1">
      <c r="A2999" s="10"/>
      <c r="B2999" s="4"/>
      <c r="C2999" s="4"/>
      <c r="D2999" s="4"/>
      <c r="E2999" s="4"/>
      <c r="F2999" s="152" t="s">
        <v>354</v>
      </c>
      <c r="G2999" s="4" t="s">
        <v>355</v>
      </c>
      <c r="H2999" s="4"/>
      <c r="I2999" s="196">
        <v>-235060</v>
      </c>
      <c r="J2999" s="196">
        <v>-161</v>
      </c>
      <c r="K2999" s="196">
        <v>1460</v>
      </c>
      <c r="L2999" s="454" t="s">
        <v>1045</v>
      </c>
      <c r="M2999" s="4" t="s">
        <v>780</v>
      </c>
      <c r="N2999" s="133" t="s">
        <v>1407</v>
      </c>
      <c r="O2999" s="4" t="s">
        <v>2268</v>
      </c>
      <c r="P2999" s="4" t="s">
        <v>892</v>
      </c>
      <c r="Q2999" s="4" t="s">
        <v>2269</v>
      </c>
      <c r="R2999" s="4" t="s">
        <v>2273</v>
      </c>
      <c r="S2999" s="4" t="s">
        <v>2271</v>
      </c>
      <c r="T2999" s="4" t="s">
        <v>786</v>
      </c>
      <c r="U2999" s="4"/>
      <c r="V2999" s="4"/>
      <c r="W2999" s="4"/>
    </row>
    <row r="3000" spans="1:23" customFormat="1">
      <c r="A3000" s="10"/>
      <c r="B3000" s="4"/>
      <c r="C3000" s="4"/>
      <c r="D3000" s="4"/>
      <c r="E3000" s="4"/>
      <c r="F3000" s="152" t="s">
        <v>354</v>
      </c>
      <c r="G3000" s="4" t="s">
        <v>355</v>
      </c>
      <c r="H3000" s="4"/>
      <c r="I3000" s="196">
        <v>-104755</v>
      </c>
      <c r="J3000" s="196">
        <v>-71.75</v>
      </c>
      <c r="K3000" s="196">
        <v>1460</v>
      </c>
      <c r="L3000" s="454" t="s">
        <v>1045</v>
      </c>
      <c r="M3000" s="4" t="s">
        <v>780</v>
      </c>
      <c r="N3000" s="133" t="s">
        <v>1407</v>
      </c>
      <c r="O3000" s="4" t="s">
        <v>2268</v>
      </c>
      <c r="P3000" s="4" t="s">
        <v>892</v>
      </c>
      <c r="Q3000" s="4" t="s">
        <v>2269</v>
      </c>
      <c r="R3000" s="4" t="s">
        <v>2280</v>
      </c>
      <c r="S3000" s="4" t="s">
        <v>2271</v>
      </c>
      <c r="T3000" s="4" t="s">
        <v>786</v>
      </c>
      <c r="U3000" s="4"/>
      <c r="V3000" s="4"/>
      <c r="W3000" s="4"/>
    </row>
    <row r="3001" spans="1:23" customFormat="1">
      <c r="A3001" s="10"/>
      <c r="B3001" s="4"/>
      <c r="C3001" s="4"/>
      <c r="D3001" s="4"/>
      <c r="E3001" s="4"/>
      <c r="F3001" s="152" t="s">
        <v>354</v>
      </c>
      <c r="G3001" s="4" t="s">
        <v>355</v>
      </c>
      <c r="H3001" s="4"/>
      <c r="I3001" s="196">
        <v>-77934.8</v>
      </c>
      <c r="J3001" s="196">
        <v>-53.38</v>
      </c>
      <c r="K3001" s="196">
        <v>1460</v>
      </c>
      <c r="L3001" s="454" t="s">
        <v>1045</v>
      </c>
      <c r="M3001" s="4" t="s">
        <v>780</v>
      </c>
      <c r="N3001" s="133" t="s">
        <v>1407</v>
      </c>
      <c r="O3001" s="4" t="s">
        <v>2268</v>
      </c>
      <c r="P3001" s="4" t="s">
        <v>892</v>
      </c>
      <c r="Q3001" s="4" t="s">
        <v>2269</v>
      </c>
      <c r="R3001" s="4" t="s">
        <v>2276</v>
      </c>
      <c r="S3001" s="4" t="s">
        <v>2271</v>
      </c>
      <c r="T3001" s="4" t="s">
        <v>786</v>
      </c>
      <c r="U3001" s="4"/>
      <c r="V3001" s="4"/>
      <c r="W3001" s="4"/>
    </row>
    <row r="3002" spans="1:23" customFormat="1">
      <c r="A3002" s="10"/>
      <c r="B3002" s="4"/>
      <c r="C3002" s="4"/>
      <c r="D3002" s="4"/>
      <c r="E3002" s="4"/>
      <c r="F3002" s="152" t="s">
        <v>354</v>
      </c>
      <c r="G3002" s="4" t="s">
        <v>355</v>
      </c>
      <c r="H3002" s="4"/>
      <c r="I3002" s="196">
        <v>-97352.8</v>
      </c>
      <c r="J3002" s="196">
        <v>-66.680000000000007</v>
      </c>
      <c r="K3002" s="196">
        <v>1460</v>
      </c>
      <c r="L3002" s="454" t="s">
        <v>1045</v>
      </c>
      <c r="M3002" s="4" t="s">
        <v>780</v>
      </c>
      <c r="N3002" s="133" t="s">
        <v>1407</v>
      </c>
      <c r="O3002" s="4" t="s">
        <v>2268</v>
      </c>
      <c r="P3002" s="4" t="s">
        <v>892</v>
      </c>
      <c r="Q3002" s="4" t="s">
        <v>2269</v>
      </c>
      <c r="R3002" s="4" t="s">
        <v>2278</v>
      </c>
      <c r="S3002" s="4" t="s">
        <v>2271</v>
      </c>
      <c r="T3002" s="4" t="s">
        <v>786</v>
      </c>
      <c r="U3002" s="4"/>
      <c r="V3002" s="4"/>
      <c r="W3002" s="4"/>
    </row>
    <row r="3003" spans="1:23" customFormat="1">
      <c r="A3003" s="10"/>
      <c r="B3003" s="4"/>
      <c r="C3003" s="4"/>
      <c r="D3003" s="4"/>
      <c r="E3003" s="4"/>
      <c r="F3003" s="152" t="s">
        <v>354</v>
      </c>
      <c r="G3003" s="4" t="s">
        <v>355</v>
      </c>
      <c r="H3003" s="4"/>
      <c r="I3003" s="196">
        <v>575225.4</v>
      </c>
      <c r="J3003" s="196">
        <v>393.99</v>
      </c>
      <c r="K3003" s="196">
        <v>1460</v>
      </c>
      <c r="L3003" s="454" t="s">
        <v>1045</v>
      </c>
      <c r="M3003" s="4" t="s">
        <v>780</v>
      </c>
      <c r="N3003" s="133" t="s">
        <v>1407</v>
      </c>
      <c r="O3003" s="4" t="s">
        <v>2343</v>
      </c>
      <c r="P3003" s="4" t="s">
        <v>892</v>
      </c>
      <c r="Q3003" s="4" t="s">
        <v>2344</v>
      </c>
      <c r="R3003" s="4" t="s">
        <v>2345</v>
      </c>
      <c r="S3003" s="4" t="s">
        <v>2346</v>
      </c>
      <c r="T3003" s="4" t="s">
        <v>786</v>
      </c>
      <c r="U3003" s="4"/>
      <c r="V3003" s="4"/>
      <c r="W3003" s="4"/>
    </row>
    <row r="3004" spans="1:23" customFormat="1">
      <c r="A3004" s="10"/>
      <c r="B3004" s="4"/>
      <c r="C3004" s="4"/>
      <c r="D3004" s="4"/>
      <c r="E3004" s="4"/>
      <c r="F3004" s="152" t="s">
        <v>354</v>
      </c>
      <c r="G3004" s="4" t="s">
        <v>355</v>
      </c>
      <c r="H3004" s="4"/>
      <c r="I3004" s="196">
        <v>9940</v>
      </c>
      <c r="J3004" s="196">
        <v>7</v>
      </c>
      <c r="K3004" s="196">
        <v>1420</v>
      </c>
      <c r="L3004" s="454" t="s">
        <v>1093</v>
      </c>
      <c r="M3004" s="4" t="s">
        <v>780</v>
      </c>
      <c r="N3004" s="133" t="s">
        <v>1407</v>
      </c>
      <c r="O3004" s="4" t="s">
        <v>2568</v>
      </c>
      <c r="P3004" s="4" t="s">
        <v>892</v>
      </c>
      <c r="Q3004" s="4" t="s">
        <v>2569</v>
      </c>
      <c r="R3004" s="4" t="s">
        <v>2570</v>
      </c>
      <c r="S3004" s="4" t="s">
        <v>2571</v>
      </c>
      <c r="T3004" s="4" t="s">
        <v>786</v>
      </c>
      <c r="U3004" s="4"/>
      <c r="V3004" s="4"/>
      <c r="W3004" s="4"/>
    </row>
    <row r="3005" spans="1:23" customFormat="1">
      <c r="A3005" s="10"/>
      <c r="B3005" s="4"/>
      <c r="C3005" s="4"/>
      <c r="D3005" s="4"/>
      <c r="E3005" s="4"/>
      <c r="F3005" s="152" t="s">
        <v>354</v>
      </c>
      <c r="G3005" s="4" t="s">
        <v>355</v>
      </c>
      <c r="H3005" s="4"/>
      <c r="I3005" s="196">
        <v>62991.199999999997</v>
      </c>
      <c r="J3005" s="196">
        <v>44.36</v>
      </c>
      <c r="K3005" s="196">
        <v>1420</v>
      </c>
      <c r="L3005" s="454" t="s">
        <v>1093</v>
      </c>
      <c r="M3005" s="4" t="s">
        <v>780</v>
      </c>
      <c r="N3005" s="133" t="s">
        <v>1407</v>
      </c>
      <c r="O3005" s="4" t="s">
        <v>2568</v>
      </c>
      <c r="P3005" s="4" t="s">
        <v>892</v>
      </c>
      <c r="Q3005" s="4" t="s">
        <v>2569</v>
      </c>
      <c r="R3005" s="4" t="s">
        <v>2573</v>
      </c>
      <c r="S3005" s="4" t="s">
        <v>2571</v>
      </c>
      <c r="T3005" s="4" t="s">
        <v>786</v>
      </c>
      <c r="U3005" s="4"/>
      <c r="V3005" s="4"/>
      <c r="W3005" s="4"/>
    </row>
    <row r="3006" spans="1:23" customFormat="1">
      <c r="A3006" s="10"/>
      <c r="B3006" s="4"/>
      <c r="C3006" s="4"/>
      <c r="D3006" s="4"/>
      <c r="E3006" s="4"/>
      <c r="F3006" s="152" t="s">
        <v>354</v>
      </c>
      <c r="G3006" s="4" t="s">
        <v>355</v>
      </c>
      <c r="H3006" s="4"/>
      <c r="I3006" s="196">
        <v>95040.6</v>
      </c>
      <c r="J3006" s="196">
        <v>66.930000000000007</v>
      </c>
      <c r="K3006" s="196">
        <v>1420</v>
      </c>
      <c r="L3006" s="454" t="s">
        <v>1093</v>
      </c>
      <c r="M3006" s="4" t="s">
        <v>780</v>
      </c>
      <c r="N3006" s="133" t="s">
        <v>1407</v>
      </c>
      <c r="O3006" s="4" t="s">
        <v>2568</v>
      </c>
      <c r="P3006" s="4" t="s">
        <v>892</v>
      </c>
      <c r="Q3006" s="4" t="s">
        <v>2569</v>
      </c>
      <c r="R3006" s="4" t="s">
        <v>2575</v>
      </c>
      <c r="S3006" s="4" t="s">
        <v>2571</v>
      </c>
      <c r="T3006" s="4" t="s">
        <v>786</v>
      </c>
      <c r="U3006" s="4"/>
      <c r="V3006" s="4"/>
      <c r="W3006" s="4"/>
    </row>
    <row r="3007" spans="1:23" customFormat="1">
      <c r="A3007" s="10"/>
      <c r="B3007" s="4"/>
      <c r="C3007" s="4"/>
      <c r="D3007" s="4"/>
      <c r="E3007" s="4"/>
      <c r="F3007" s="152" t="s">
        <v>354</v>
      </c>
      <c r="G3007" s="4" t="s">
        <v>355</v>
      </c>
      <c r="H3007" s="4"/>
      <c r="I3007" s="196">
        <v>52440.6</v>
      </c>
      <c r="J3007" s="196">
        <v>36.93</v>
      </c>
      <c r="K3007" s="196">
        <v>1420</v>
      </c>
      <c r="L3007" s="454" t="s">
        <v>1093</v>
      </c>
      <c r="M3007" s="4" t="s">
        <v>780</v>
      </c>
      <c r="N3007" s="133" t="s">
        <v>1407</v>
      </c>
      <c r="O3007" s="4" t="s">
        <v>2568</v>
      </c>
      <c r="P3007" s="4" t="s">
        <v>892</v>
      </c>
      <c r="Q3007" s="4" t="s">
        <v>2569</v>
      </c>
      <c r="R3007" s="4" t="s">
        <v>2577</v>
      </c>
      <c r="S3007" s="4" t="s">
        <v>2571</v>
      </c>
      <c r="T3007" s="4" t="s">
        <v>786</v>
      </c>
      <c r="U3007" s="4"/>
      <c r="V3007" s="4"/>
      <c r="W3007" s="4"/>
    </row>
    <row r="3008" spans="1:23" customFormat="1">
      <c r="A3008" s="10"/>
      <c r="B3008" s="4"/>
      <c r="C3008" s="4"/>
      <c r="D3008" s="4"/>
      <c r="E3008" s="4"/>
      <c r="F3008" s="152" t="s">
        <v>354</v>
      </c>
      <c r="G3008" s="4" t="s">
        <v>355</v>
      </c>
      <c r="H3008" s="4"/>
      <c r="I3008" s="196">
        <v>85384.6</v>
      </c>
      <c r="J3008" s="196">
        <v>60.13</v>
      </c>
      <c r="K3008" s="196">
        <v>1420</v>
      </c>
      <c r="L3008" s="454" t="s">
        <v>1093</v>
      </c>
      <c r="M3008" s="4" t="s">
        <v>780</v>
      </c>
      <c r="N3008" s="133" t="s">
        <v>1407</v>
      </c>
      <c r="O3008" s="4" t="s">
        <v>2568</v>
      </c>
      <c r="P3008" s="4" t="s">
        <v>892</v>
      </c>
      <c r="Q3008" s="4" t="s">
        <v>2569</v>
      </c>
      <c r="R3008" s="4" t="s">
        <v>2572</v>
      </c>
      <c r="S3008" s="4" t="s">
        <v>2571</v>
      </c>
      <c r="T3008" s="4" t="s">
        <v>786</v>
      </c>
      <c r="U3008" s="4"/>
      <c r="V3008" s="4"/>
      <c r="W3008" s="4"/>
    </row>
    <row r="3009" spans="1:23" customFormat="1">
      <c r="A3009" s="10"/>
      <c r="B3009" s="4"/>
      <c r="C3009" s="4"/>
      <c r="D3009" s="4"/>
      <c r="E3009" s="4"/>
      <c r="F3009" s="152" t="s">
        <v>354</v>
      </c>
      <c r="G3009" s="4" t="s">
        <v>355</v>
      </c>
      <c r="H3009" s="4"/>
      <c r="I3009" s="196">
        <v>123454.8</v>
      </c>
      <c r="J3009" s="196">
        <v>86.94</v>
      </c>
      <c r="K3009" s="196">
        <v>1420</v>
      </c>
      <c r="L3009" s="454" t="s">
        <v>1093</v>
      </c>
      <c r="M3009" s="4" t="s">
        <v>780</v>
      </c>
      <c r="N3009" s="133" t="s">
        <v>1407</v>
      </c>
      <c r="O3009" s="4" t="s">
        <v>2568</v>
      </c>
      <c r="P3009" s="4" t="s">
        <v>892</v>
      </c>
      <c r="Q3009" s="4" t="s">
        <v>2569</v>
      </c>
      <c r="R3009" s="4" t="s">
        <v>2578</v>
      </c>
      <c r="S3009" s="4" t="s">
        <v>2571</v>
      </c>
      <c r="T3009" s="4" t="s">
        <v>786</v>
      </c>
      <c r="U3009" s="4"/>
      <c r="V3009" s="4"/>
      <c r="W3009" s="4"/>
    </row>
    <row r="3010" spans="1:23" customFormat="1">
      <c r="A3010" s="10"/>
      <c r="B3010" s="4"/>
      <c r="C3010" s="4"/>
      <c r="D3010" s="4"/>
      <c r="E3010" s="4"/>
      <c r="F3010" s="152" t="s">
        <v>354</v>
      </c>
      <c r="G3010" s="4" t="s">
        <v>355</v>
      </c>
      <c r="H3010" s="4"/>
      <c r="I3010" s="196">
        <v>298200</v>
      </c>
      <c r="J3010" s="196">
        <v>210</v>
      </c>
      <c r="K3010" s="196">
        <v>1420</v>
      </c>
      <c r="L3010" s="454" t="s">
        <v>1093</v>
      </c>
      <c r="M3010" s="4" t="s">
        <v>780</v>
      </c>
      <c r="N3010" s="133" t="s">
        <v>1407</v>
      </c>
      <c r="O3010" s="4" t="s">
        <v>2568</v>
      </c>
      <c r="P3010" s="4" t="s">
        <v>892</v>
      </c>
      <c r="Q3010" s="4" t="s">
        <v>2569</v>
      </c>
      <c r="R3010" s="4" t="s">
        <v>2574</v>
      </c>
      <c r="S3010" s="4" t="s">
        <v>2571</v>
      </c>
      <c r="T3010" s="4" t="s">
        <v>786</v>
      </c>
      <c r="U3010" s="4"/>
      <c r="V3010" s="4"/>
      <c r="W3010" s="4"/>
    </row>
    <row r="3011" spans="1:23" customFormat="1">
      <c r="A3011" s="10"/>
      <c r="B3011" s="4"/>
      <c r="C3011" s="4"/>
      <c r="D3011" s="4"/>
      <c r="E3011" s="4"/>
      <c r="F3011" s="152" t="s">
        <v>354</v>
      </c>
      <c r="G3011" s="4" t="s">
        <v>355</v>
      </c>
      <c r="H3011" s="4"/>
      <c r="I3011" s="196">
        <v>339507.8</v>
      </c>
      <c r="J3011" s="196">
        <v>239.09</v>
      </c>
      <c r="K3011" s="196">
        <v>1420</v>
      </c>
      <c r="L3011" s="454" t="s">
        <v>1093</v>
      </c>
      <c r="M3011" s="4" t="s">
        <v>780</v>
      </c>
      <c r="N3011" s="133" t="s">
        <v>1407</v>
      </c>
      <c r="O3011" s="4" t="s">
        <v>2568</v>
      </c>
      <c r="P3011" s="4" t="s">
        <v>892</v>
      </c>
      <c r="Q3011" s="4" t="s">
        <v>2569</v>
      </c>
      <c r="R3011" s="4" t="s">
        <v>2579</v>
      </c>
      <c r="S3011" s="4" t="s">
        <v>2571</v>
      </c>
      <c r="T3011" s="4" t="s">
        <v>786</v>
      </c>
      <c r="U3011" s="4"/>
      <c r="V3011" s="4"/>
      <c r="W3011" s="4"/>
    </row>
    <row r="3012" spans="1:23" customFormat="1">
      <c r="A3012" s="10"/>
      <c r="B3012" s="4"/>
      <c r="C3012" s="4"/>
      <c r="D3012" s="4"/>
      <c r="E3012" s="4"/>
      <c r="F3012" s="152" t="s">
        <v>354</v>
      </c>
      <c r="G3012" s="4" t="s">
        <v>355</v>
      </c>
      <c r="H3012" s="4"/>
      <c r="I3012" s="196">
        <v>1111164.2</v>
      </c>
      <c r="J3012" s="196">
        <v>782.51</v>
      </c>
      <c r="K3012" s="196">
        <v>1420</v>
      </c>
      <c r="L3012" s="454" t="s">
        <v>1093</v>
      </c>
      <c r="M3012" s="4" t="s">
        <v>780</v>
      </c>
      <c r="N3012" s="133" t="s">
        <v>1407</v>
      </c>
      <c r="O3012" s="4" t="s">
        <v>2568</v>
      </c>
      <c r="P3012" s="4" t="s">
        <v>892</v>
      </c>
      <c r="Q3012" s="4" t="s">
        <v>2569</v>
      </c>
      <c r="R3012" s="4" t="s">
        <v>2576</v>
      </c>
      <c r="S3012" s="4" t="s">
        <v>2571</v>
      </c>
      <c r="T3012" s="4" t="s">
        <v>786</v>
      </c>
      <c r="U3012" s="4"/>
      <c r="V3012" s="4"/>
      <c r="W3012" s="4"/>
    </row>
    <row r="3013" spans="1:23" customFormat="1">
      <c r="A3013" s="10"/>
      <c r="B3013" s="4"/>
      <c r="C3013" s="4"/>
      <c r="D3013" s="4"/>
      <c r="E3013" s="4"/>
      <c r="F3013" s="152" t="s">
        <v>354</v>
      </c>
      <c r="G3013" s="4" t="s">
        <v>355</v>
      </c>
      <c r="H3013" s="4"/>
      <c r="I3013" s="196">
        <v>629613.80000000005</v>
      </c>
      <c r="J3013" s="196">
        <v>443.39</v>
      </c>
      <c r="K3013" s="196">
        <v>1420</v>
      </c>
      <c r="L3013" s="454" t="s">
        <v>1093</v>
      </c>
      <c r="M3013" s="4" t="s">
        <v>780</v>
      </c>
      <c r="N3013" s="133" t="s">
        <v>1407</v>
      </c>
      <c r="O3013" s="4" t="s">
        <v>2568</v>
      </c>
      <c r="P3013" s="4" t="s">
        <v>892</v>
      </c>
      <c r="Q3013" s="4" t="s">
        <v>2569</v>
      </c>
      <c r="R3013" s="4" t="s">
        <v>2580</v>
      </c>
      <c r="S3013" s="4" t="s">
        <v>2571</v>
      </c>
      <c r="T3013" s="4" t="s">
        <v>786</v>
      </c>
      <c r="U3013" s="4"/>
      <c r="V3013" s="4"/>
      <c r="W3013" s="4"/>
    </row>
    <row r="3014" spans="1:23" customFormat="1">
      <c r="A3014" s="10"/>
      <c r="B3014" s="4"/>
      <c r="C3014" s="4"/>
      <c r="D3014" s="4"/>
      <c r="E3014" s="4"/>
      <c r="F3014" s="152" t="s">
        <v>354</v>
      </c>
      <c r="G3014" s="4" t="s">
        <v>355</v>
      </c>
      <c r="H3014" s="4"/>
      <c r="I3014" s="196">
        <v>82502</v>
      </c>
      <c r="J3014" s="196">
        <v>58.1</v>
      </c>
      <c r="K3014" s="196">
        <v>1420</v>
      </c>
      <c r="L3014" s="454" t="s">
        <v>1093</v>
      </c>
      <c r="M3014" s="4" t="s">
        <v>780</v>
      </c>
      <c r="N3014" s="133" t="s">
        <v>1407</v>
      </c>
      <c r="O3014" s="4" t="s">
        <v>2568</v>
      </c>
      <c r="P3014" s="4" t="s">
        <v>892</v>
      </c>
      <c r="Q3014" s="4" t="s">
        <v>2569</v>
      </c>
      <c r="R3014" s="4" t="s">
        <v>2581</v>
      </c>
      <c r="S3014" s="4" t="s">
        <v>2571</v>
      </c>
      <c r="T3014" s="4" t="s">
        <v>786</v>
      </c>
      <c r="U3014" s="4"/>
      <c r="V3014" s="4"/>
      <c r="W3014" s="4"/>
    </row>
    <row r="3015" spans="1:23" customFormat="1">
      <c r="A3015" s="10"/>
      <c r="B3015" s="4"/>
      <c r="C3015" s="4"/>
      <c r="D3015" s="4"/>
      <c r="E3015" s="4"/>
      <c r="F3015" s="152" t="s">
        <v>354</v>
      </c>
      <c r="G3015" s="4" t="s">
        <v>355</v>
      </c>
      <c r="H3015" s="4"/>
      <c r="I3015" s="196">
        <v>82502</v>
      </c>
      <c r="J3015" s="196">
        <v>58.1</v>
      </c>
      <c r="K3015" s="196">
        <v>1420</v>
      </c>
      <c r="L3015" s="454" t="s">
        <v>1093</v>
      </c>
      <c r="M3015" s="4" t="s">
        <v>780</v>
      </c>
      <c r="N3015" s="133" t="s">
        <v>1407</v>
      </c>
      <c r="O3015" s="4" t="s">
        <v>2568</v>
      </c>
      <c r="P3015" s="4" t="s">
        <v>892</v>
      </c>
      <c r="Q3015" s="4" t="s">
        <v>2569</v>
      </c>
      <c r="R3015" s="4" t="s">
        <v>2582</v>
      </c>
      <c r="S3015" s="4" t="s">
        <v>2571</v>
      </c>
      <c r="T3015" s="4" t="s">
        <v>786</v>
      </c>
      <c r="U3015" s="4"/>
      <c r="V3015" s="4"/>
      <c r="W3015" s="4"/>
    </row>
    <row r="3016" spans="1:23" customFormat="1">
      <c r="A3016" s="10"/>
      <c r="B3016" s="4"/>
      <c r="C3016" s="4"/>
      <c r="D3016" s="4"/>
      <c r="E3016" s="4"/>
      <c r="F3016" s="152" t="s">
        <v>354</v>
      </c>
      <c r="G3016" s="4" t="s">
        <v>355</v>
      </c>
      <c r="H3016" s="4"/>
      <c r="I3016" s="196">
        <v>82502</v>
      </c>
      <c r="J3016" s="196">
        <v>58.1</v>
      </c>
      <c r="K3016" s="196">
        <v>1420</v>
      </c>
      <c r="L3016" s="454" t="s">
        <v>1093</v>
      </c>
      <c r="M3016" s="4" t="s">
        <v>780</v>
      </c>
      <c r="N3016" s="133" t="s">
        <v>1407</v>
      </c>
      <c r="O3016" s="4" t="s">
        <v>2568</v>
      </c>
      <c r="P3016" s="4" t="s">
        <v>892</v>
      </c>
      <c r="Q3016" s="4" t="s">
        <v>2569</v>
      </c>
      <c r="R3016" s="4" t="s">
        <v>2583</v>
      </c>
      <c r="S3016" s="4" t="s">
        <v>2571</v>
      </c>
      <c r="T3016" s="4" t="s">
        <v>786</v>
      </c>
      <c r="U3016" s="4"/>
      <c r="V3016" s="4"/>
      <c r="W3016" s="4"/>
    </row>
    <row r="3017" spans="1:23" customFormat="1">
      <c r="A3017" s="10"/>
      <c r="B3017" s="4"/>
      <c r="C3017" s="4"/>
      <c r="D3017" s="4"/>
      <c r="E3017" s="4"/>
      <c r="F3017" s="152" t="s">
        <v>354</v>
      </c>
      <c r="G3017" s="4" t="s">
        <v>355</v>
      </c>
      <c r="H3017" s="4"/>
      <c r="I3017" s="196">
        <v>123454.8</v>
      </c>
      <c r="J3017" s="196">
        <v>86.94</v>
      </c>
      <c r="K3017" s="196">
        <v>1420</v>
      </c>
      <c r="L3017" s="454" t="s">
        <v>1093</v>
      </c>
      <c r="M3017" s="4" t="s">
        <v>780</v>
      </c>
      <c r="N3017" s="133" t="s">
        <v>1407</v>
      </c>
      <c r="O3017" s="4" t="s">
        <v>2568</v>
      </c>
      <c r="P3017" s="4" t="s">
        <v>892</v>
      </c>
      <c r="Q3017" s="4" t="s">
        <v>2569</v>
      </c>
      <c r="R3017" s="4" t="s">
        <v>2584</v>
      </c>
      <c r="S3017" s="4" t="s">
        <v>2571</v>
      </c>
      <c r="T3017" s="4" t="s">
        <v>786</v>
      </c>
      <c r="U3017" s="4"/>
      <c r="V3017" s="4"/>
      <c r="W3017" s="4"/>
    </row>
    <row r="3018" spans="1:23" customFormat="1">
      <c r="A3018" s="10"/>
      <c r="B3018" s="4"/>
      <c r="C3018" s="4"/>
      <c r="D3018" s="4"/>
      <c r="E3018" s="4"/>
      <c r="F3018" s="152" t="s">
        <v>354</v>
      </c>
      <c r="G3018" s="4" t="s">
        <v>355</v>
      </c>
      <c r="H3018" s="4"/>
      <c r="I3018" s="196">
        <v>631570.80000000005</v>
      </c>
      <c r="J3018" s="196">
        <v>429.64</v>
      </c>
      <c r="K3018" s="196">
        <v>1470</v>
      </c>
      <c r="L3018" s="454" t="s">
        <v>1239</v>
      </c>
      <c r="M3018" s="4" t="s">
        <v>780</v>
      </c>
      <c r="N3018" s="133" t="s">
        <v>1407</v>
      </c>
      <c r="O3018" s="4" t="s">
        <v>2611</v>
      </c>
      <c r="P3018" s="4" t="s">
        <v>892</v>
      </c>
      <c r="Q3018" s="4" t="s">
        <v>2612</v>
      </c>
      <c r="R3018" s="4" t="s">
        <v>2613</v>
      </c>
      <c r="S3018" s="4" t="s">
        <v>2614</v>
      </c>
      <c r="T3018" s="4" t="s">
        <v>786</v>
      </c>
      <c r="U3018" s="4"/>
      <c r="V3018" s="4"/>
      <c r="W3018" s="4"/>
    </row>
    <row r="3019" spans="1:23" customFormat="1">
      <c r="A3019" s="10"/>
      <c r="B3019" s="4"/>
      <c r="C3019" s="4"/>
      <c r="D3019" s="4"/>
      <c r="E3019" s="4"/>
      <c r="F3019" s="152" t="s">
        <v>354</v>
      </c>
      <c r="G3019" s="4" t="s">
        <v>355</v>
      </c>
      <c r="H3019" s="4"/>
      <c r="I3019" s="196">
        <v>34339.199999999997</v>
      </c>
      <c r="J3019" s="196">
        <v>23.36</v>
      </c>
      <c r="K3019" s="196">
        <v>1470</v>
      </c>
      <c r="L3019" s="454" t="s">
        <v>1239</v>
      </c>
      <c r="M3019" s="4" t="s">
        <v>780</v>
      </c>
      <c r="N3019" s="133" t="s">
        <v>1407</v>
      </c>
      <c r="O3019" s="4" t="s">
        <v>2611</v>
      </c>
      <c r="P3019" s="4" t="s">
        <v>892</v>
      </c>
      <c r="Q3019" s="4" t="s">
        <v>2612</v>
      </c>
      <c r="R3019" s="4" t="s">
        <v>2617</v>
      </c>
      <c r="S3019" s="4" t="s">
        <v>2614</v>
      </c>
      <c r="T3019" s="4" t="s">
        <v>786</v>
      </c>
      <c r="U3019" s="4"/>
      <c r="V3019" s="4"/>
      <c r="W3019" s="4"/>
    </row>
    <row r="3020" spans="1:23" customFormat="1">
      <c r="A3020" s="10"/>
      <c r="B3020" s="4"/>
      <c r="C3020" s="4"/>
      <c r="D3020" s="4"/>
      <c r="E3020" s="4"/>
      <c r="F3020" s="152" t="s">
        <v>354</v>
      </c>
      <c r="G3020" s="4" t="s">
        <v>355</v>
      </c>
      <c r="H3020" s="4"/>
      <c r="I3020" s="196">
        <v>101003.7</v>
      </c>
      <c r="J3020" s="196">
        <v>68.709999999999994</v>
      </c>
      <c r="K3020" s="196">
        <v>1470</v>
      </c>
      <c r="L3020" s="454" t="s">
        <v>1239</v>
      </c>
      <c r="M3020" s="4" t="s">
        <v>780</v>
      </c>
      <c r="N3020" s="133" t="s">
        <v>1407</v>
      </c>
      <c r="O3020" s="4" t="s">
        <v>2611</v>
      </c>
      <c r="P3020" s="4" t="s">
        <v>892</v>
      </c>
      <c r="Q3020" s="4" t="s">
        <v>2612</v>
      </c>
      <c r="R3020" s="4" t="s">
        <v>2618</v>
      </c>
      <c r="S3020" s="4" t="s">
        <v>2614</v>
      </c>
      <c r="T3020" s="4" t="s">
        <v>786</v>
      </c>
      <c r="U3020" s="4"/>
      <c r="V3020" s="4"/>
      <c r="W3020" s="4"/>
    </row>
    <row r="3021" spans="1:23" customFormat="1">
      <c r="A3021" s="10"/>
      <c r="B3021" s="4"/>
      <c r="C3021" s="4"/>
      <c r="D3021" s="4"/>
      <c r="E3021" s="4"/>
      <c r="F3021" s="152" t="s">
        <v>354</v>
      </c>
      <c r="G3021" s="4" t="s">
        <v>355</v>
      </c>
      <c r="H3021" s="4"/>
      <c r="I3021" s="196">
        <v>311037.3</v>
      </c>
      <c r="J3021" s="196">
        <v>211.59</v>
      </c>
      <c r="K3021" s="196">
        <v>1470</v>
      </c>
      <c r="L3021" s="454" t="s">
        <v>1239</v>
      </c>
      <c r="M3021" s="4" t="s">
        <v>780</v>
      </c>
      <c r="N3021" s="133" t="s">
        <v>1407</v>
      </c>
      <c r="O3021" s="4" t="s">
        <v>2611</v>
      </c>
      <c r="P3021" s="4" t="s">
        <v>892</v>
      </c>
      <c r="Q3021" s="4" t="s">
        <v>2612</v>
      </c>
      <c r="R3021" s="4" t="s">
        <v>2619</v>
      </c>
      <c r="S3021" s="4" t="s">
        <v>2614</v>
      </c>
      <c r="T3021" s="4" t="s">
        <v>786</v>
      </c>
      <c r="U3021" s="4"/>
      <c r="V3021" s="4"/>
      <c r="W3021" s="4"/>
    </row>
    <row r="3022" spans="1:23" customFormat="1">
      <c r="A3022" s="10"/>
      <c r="B3022" s="4"/>
      <c r="C3022" s="4"/>
      <c r="D3022" s="4"/>
      <c r="E3022" s="4"/>
      <c r="F3022" s="152" t="s">
        <v>354</v>
      </c>
      <c r="G3022" s="4" t="s">
        <v>355</v>
      </c>
      <c r="H3022" s="4"/>
      <c r="I3022" s="196">
        <v>65238.6</v>
      </c>
      <c r="J3022" s="196">
        <v>44.38</v>
      </c>
      <c r="K3022" s="196">
        <v>1470</v>
      </c>
      <c r="L3022" s="454" t="s">
        <v>1239</v>
      </c>
      <c r="M3022" s="4" t="s">
        <v>780</v>
      </c>
      <c r="N3022" s="133" t="s">
        <v>1407</v>
      </c>
      <c r="O3022" s="4" t="s">
        <v>2611</v>
      </c>
      <c r="P3022" s="4" t="s">
        <v>892</v>
      </c>
      <c r="Q3022" s="4" t="s">
        <v>2612</v>
      </c>
      <c r="R3022" s="4" t="s">
        <v>2620</v>
      </c>
      <c r="S3022" s="4" t="s">
        <v>2614</v>
      </c>
      <c r="T3022" s="4" t="s">
        <v>786</v>
      </c>
      <c r="U3022" s="4"/>
      <c r="V3022" s="4"/>
      <c r="W3022" s="4"/>
    </row>
    <row r="3023" spans="1:23" customFormat="1">
      <c r="A3023" s="10"/>
      <c r="B3023" s="4"/>
      <c r="C3023" s="4"/>
      <c r="D3023" s="4"/>
      <c r="E3023" s="4"/>
      <c r="F3023" s="152" t="s">
        <v>354</v>
      </c>
      <c r="G3023" s="4" t="s">
        <v>355</v>
      </c>
      <c r="H3023" s="4"/>
      <c r="I3023" s="196">
        <v>157437</v>
      </c>
      <c r="J3023" s="196">
        <v>107.1</v>
      </c>
      <c r="K3023" s="196">
        <v>1470</v>
      </c>
      <c r="L3023" s="454" t="s">
        <v>1239</v>
      </c>
      <c r="M3023" s="4" t="s">
        <v>780</v>
      </c>
      <c r="N3023" s="133" t="s">
        <v>1407</v>
      </c>
      <c r="O3023" s="4" t="s">
        <v>2611</v>
      </c>
      <c r="P3023" s="4" t="s">
        <v>892</v>
      </c>
      <c r="Q3023" s="4" t="s">
        <v>2612</v>
      </c>
      <c r="R3023" s="4" t="s">
        <v>2615</v>
      </c>
      <c r="S3023" s="4" t="s">
        <v>2614</v>
      </c>
      <c r="T3023" s="4" t="s">
        <v>786</v>
      </c>
      <c r="U3023" s="4"/>
      <c r="V3023" s="4"/>
      <c r="W3023" s="4"/>
    </row>
    <row r="3024" spans="1:23" customFormat="1">
      <c r="A3024" s="10"/>
      <c r="B3024" s="4"/>
      <c r="C3024" s="4"/>
      <c r="D3024" s="4"/>
      <c r="E3024" s="4"/>
      <c r="F3024" s="152" t="s">
        <v>354</v>
      </c>
      <c r="G3024" s="4" t="s">
        <v>355</v>
      </c>
      <c r="H3024" s="4"/>
      <c r="I3024" s="196">
        <v>210210</v>
      </c>
      <c r="J3024" s="196">
        <v>143</v>
      </c>
      <c r="K3024" s="196">
        <v>1470</v>
      </c>
      <c r="L3024" s="454" t="s">
        <v>1239</v>
      </c>
      <c r="M3024" s="4" t="s">
        <v>780</v>
      </c>
      <c r="N3024" s="133" t="s">
        <v>1407</v>
      </c>
      <c r="O3024" s="4" t="s">
        <v>2611</v>
      </c>
      <c r="P3024" s="4" t="s">
        <v>892</v>
      </c>
      <c r="Q3024" s="4" t="s">
        <v>2612</v>
      </c>
      <c r="R3024" s="4" t="s">
        <v>2624</v>
      </c>
      <c r="S3024" s="4" t="s">
        <v>2614</v>
      </c>
      <c r="T3024" s="4" t="s">
        <v>786</v>
      </c>
      <c r="U3024" s="4"/>
      <c r="V3024" s="4"/>
      <c r="W3024" s="4"/>
    </row>
    <row r="3025" spans="1:23" customFormat="1">
      <c r="A3025" s="10"/>
      <c r="B3025" s="4"/>
      <c r="C3025" s="4"/>
      <c r="D3025" s="4"/>
      <c r="E3025" s="4"/>
      <c r="F3025" s="152" t="s">
        <v>354</v>
      </c>
      <c r="G3025" s="4" t="s">
        <v>355</v>
      </c>
      <c r="H3025" s="4"/>
      <c r="I3025" s="196">
        <v>168506.1</v>
      </c>
      <c r="J3025" s="196">
        <v>114.63</v>
      </c>
      <c r="K3025" s="196">
        <v>1470</v>
      </c>
      <c r="L3025" s="454" t="s">
        <v>1239</v>
      </c>
      <c r="M3025" s="4" t="s">
        <v>780</v>
      </c>
      <c r="N3025" s="133" t="s">
        <v>1407</v>
      </c>
      <c r="O3025" s="4" t="s">
        <v>2611</v>
      </c>
      <c r="P3025" s="4" t="s">
        <v>892</v>
      </c>
      <c r="Q3025" s="4" t="s">
        <v>2612</v>
      </c>
      <c r="R3025" s="4" t="s">
        <v>2622</v>
      </c>
      <c r="S3025" s="4" t="s">
        <v>2614</v>
      </c>
      <c r="T3025" s="4" t="s">
        <v>786</v>
      </c>
      <c r="U3025" s="4"/>
      <c r="V3025" s="4"/>
      <c r="W3025" s="4"/>
    </row>
    <row r="3026" spans="1:23" customFormat="1">
      <c r="A3026" s="10"/>
      <c r="B3026" s="4"/>
      <c r="C3026" s="4"/>
      <c r="D3026" s="4"/>
      <c r="E3026" s="4"/>
      <c r="F3026" s="152" t="s">
        <v>354</v>
      </c>
      <c r="G3026" s="4" t="s">
        <v>355</v>
      </c>
      <c r="H3026" s="4"/>
      <c r="I3026" s="196">
        <v>492391.2</v>
      </c>
      <c r="J3026" s="196">
        <v>334.96</v>
      </c>
      <c r="K3026" s="196">
        <v>1470</v>
      </c>
      <c r="L3026" s="454" t="s">
        <v>1239</v>
      </c>
      <c r="M3026" s="4" t="s">
        <v>780</v>
      </c>
      <c r="N3026" s="133" t="s">
        <v>1407</v>
      </c>
      <c r="O3026" s="4" t="s">
        <v>2611</v>
      </c>
      <c r="P3026" s="4" t="s">
        <v>892</v>
      </c>
      <c r="Q3026" s="4" t="s">
        <v>2612</v>
      </c>
      <c r="R3026" s="4" t="s">
        <v>2616</v>
      </c>
      <c r="S3026" s="4" t="s">
        <v>2614</v>
      </c>
      <c r="T3026" s="4" t="s">
        <v>786</v>
      </c>
      <c r="U3026" s="4"/>
      <c r="V3026" s="4"/>
      <c r="W3026" s="4"/>
    </row>
    <row r="3027" spans="1:23" customFormat="1">
      <c r="A3027" s="10"/>
      <c r="B3027" s="4"/>
      <c r="C3027" s="4"/>
      <c r="D3027" s="4"/>
      <c r="E3027" s="4"/>
      <c r="F3027" s="152" t="s">
        <v>354</v>
      </c>
      <c r="G3027" s="4" t="s">
        <v>355</v>
      </c>
      <c r="H3027" s="4"/>
      <c r="I3027" s="196">
        <v>103164.6</v>
      </c>
      <c r="J3027" s="196">
        <v>70.180000000000007</v>
      </c>
      <c r="K3027" s="196">
        <v>1470</v>
      </c>
      <c r="L3027" s="454" t="s">
        <v>1239</v>
      </c>
      <c r="M3027" s="4" t="s">
        <v>780</v>
      </c>
      <c r="N3027" s="133" t="s">
        <v>1407</v>
      </c>
      <c r="O3027" s="4" t="s">
        <v>2611</v>
      </c>
      <c r="P3027" s="4" t="s">
        <v>892</v>
      </c>
      <c r="Q3027" s="4" t="s">
        <v>2612</v>
      </c>
      <c r="R3027" s="4" t="s">
        <v>2623</v>
      </c>
      <c r="S3027" s="4" t="s">
        <v>2614</v>
      </c>
      <c r="T3027" s="4" t="s">
        <v>786</v>
      </c>
      <c r="U3027" s="4"/>
      <c r="V3027" s="4"/>
      <c r="W3027" s="4"/>
    </row>
    <row r="3028" spans="1:23" customFormat="1">
      <c r="A3028" s="10"/>
      <c r="B3028" s="4"/>
      <c r="C3028" s="4"/>
      <c r="D3028" s="4"/>
      <c r="E3028" s="4"/>
      <c r="F3028" s="152" t="s">
        <v>354</v>
      </c>
      <c r="G3028" s="4" t="s">
        <v>355</v>
      </c>
      <c r="H3028" s="4"/>
      <c r="I3028" s="196">
        <v>175959</v>
      </c>
      <c r="J3028" s="196">
        <v>119.7</v>
      </c>
      <c r="K3028" s="196">
        <v>1470</v>
      </c>
      <c r="L3028" s="454" t="s">
        <v>1239</v>
      </c>
      <c r="M3028" s="4" t="s">
        <v>780</v>
      </c>
      <c r="N3028" s="133" t="s">
        <v>1407</v>
      </c>
      <c r="O3028" s="4" t="s">
        <v>2611</v>
      </c>
      <c r="P3028" s="4" t="s">
        <v>892</v>
      </c>
      <c r="Q3028" s="4" t="s">
        <v>2612</v>
      </c>
      <c r="R3028" s="4" t="s">
        <v>2621</v>
      </c>
      <c r="S3028" s="4" t="s">
        <v>2614</v>
      </c>
      <c r="T3028" s="4" t="s">
        <v>786</v>
      </c>
      <c r="U3028" s="4"/>
      <c r="V3028" s="4"/>
      <c r="W3028" s="4"/>
    </row>
    <row r="3029" spans="1:23" customFormat="1">
      <c r="A3029" s="10"/>
      <c r="B3029" s="4"/>
      <c r="C3029" s="4"/>
      <c r="D3029" s="4"/>
      <c r="E3029" s="4"/>
      <c r="F3029" s="152" t="s">
        <v>354</v>
      </c>
      <c r="G3029" s="4" t="s">
        <v>355</v>
      </c>
      <c r="H3029" s="4"/>
      <c r="I3029" s="196">
        <v>88214.7</v>
      </c>
      <c r="J3029" s="196">
        <v>60.01</v>
      </c>
      <c r="K3029" s="196">
        <v>1470</v>
      </c>
      <c r="L3029" s="454" t="s">
        <v>1239</v>
      </c>
      <c r="M3029" s="4" t="s">
        <v>780</v>
      </c>
      <c r="N3029" s="133" t="s">
        <v>1407</v>
      </c>
      <c r="O3029" s="4" t="s">
        <v>2611</v>
      </c>
      <c r="P3029" s="4" t="s">
        <v>892</v>
      </c>
      <c r="Q3029" s="4" t="s">
        <v>2612</v>
      </c>
      <c r="R3029" s="4" t="s">
        <v>2625</v>
      </c>
      <c r="S3029" s="4" t="s">
        <v>2614</v>
      </c>
      <c r="T3029" s="4" t="s">
        <v>786</v>
      </c>
      <c r="U3029" s="4"/>
      <c r="V3029" s="4"/>
      <c r="W3029" s="4"/>
    </row>
    <row r="3030" spans="1:23" customFormat="1">
      <c r="A3030" s="10"/>
      <c r="B3030" s="4"/>
      <c r="C3030" s="4"/>
      <c r="D3030" s="4"/>
      <c r="E3030" s="4"/>
      <c r="F3030" s="152" t="s">
        <v>356</v>
      </c>
      <c r="G3030" s="4" t="s">
        <v>357</v>
      </c>
      <c r="H3030" s="4"/>
      <c r="I3030" s="196">
        <v>-23214</v>
      </c>
      <c r="J3030" s="196">
        <v>-15.9</v>
      </c>
      <c r="K3030" s="196">
        <v>1460</v>
      </c>
      <c r="L3030" s="454" t="s">
        <v>1049</v>
      </c>
      <c r="M3030" s="4" t="s">
        <v>780</v>
      </c>
      <c r="N3030" s="133" t="s">
        <v>1407</v>
      </c>
      <c r="O3030" s="4" t="s">
        <v>2252</v>
      </c>
      <c r="P3030" s="4" t="s">
        <v>892</v>
      </c>
      <c r="Q3030" s="4" t="s">
        <v>2253</v>
      </c>
      <c r="R3030" s="4" t="s">
        <v>2254</v>
      </c>
      <c r="S3030" s="4" t="s">
        <v>2255</v>
      </c>
      <c r="T3030" s="4" t="s">
        <v>786</v>
      </c>
      <c r="U3030" s="4"/>
      <c r="V3030" s="4"/>
      <c r="W3030" s="4"/>
    </row>
    <row r="3031" spans="1:23" customFormat="1">
      <c r="A3031" s="10"/>
      <c r="B3031" s="4"/>
      <c r="C3031" s="4"/>
      <c r="D3031" s="4"/>
      <c r="E3031" s="4"/>
      <c r="F3031" s="152" t="s">
        <v>2366</v>
      </c>
      <c r="G3031" s="4" t="s">
        <v>2367</v>
      </c>
      <c r="H3031" s="4"/>
      <c r="I3031" s="196">
        <v>355000</v>
      </c>
      <c r="J3031" s="196">
        <v>250</v>
      </c>
      <c r="K3031" s="196">
        <v>1420</v>
      </c>
      <c r="L3031" s="454" t="s">
        <v>825</v>
      </c>
      <c r="M3031" s="4" t="s">
        <v>780</v>
      </c>
      <c r="N3031" s="133" t="s">
        <v>2705</v>
      </c>
      <c r="O3031" s="4" t="s">
        <v>826</v>
      </c>
      <c r="P3031" s="4" t="s">
        <v>783</v>
      </c>
      <c r="Q3031" s="4" t="s">
        <v>827</v>
      </c>
      <c r="R3031" s="4" t="s">
        <v>2707</v>
      </c>
      <c r="S3031" s="4" t="s">
        <v>829</v>
      </c>
      <c r="T3031" s="4" t="s">
        <v>786</v>
      </c>
      <c r="U3031" s="4"/>
      <c r="V3031" s="4"/>
      <c r="W3031" s="4"/>
    </row>
    <row r="3032" spans="1:23" customFormat="1">
      <c r="A3032" s="10"/>
      <c r="B3032" s="4"/>
      <c r="C3032" s="4"/>
      <c r="D3032" s="4"/>
      <c r="E3032" s="4"/>
      <c r="F3032" s="152" t="s">
        <v>2366</v>
      </c>
      <c r="G3032" s="4" t="s">
        <v>2367</v>
      </c>
      <c r="H3032" s="4"/>
      <c r="I3032" s="196">
        <v>426000</v>
      </c>
      <c r="J3032" s="196">
        <v>300</v>
      </c>
      <c r="K3032" s="196">
        <v>1420</v>
      </c>
      <c r="L3032" s="454" t="s">
        <v>1088</v>
      </c>
      <c r="M3032" s="4" t="s">
        <v>780</v>
      </c>
      <c r="N3032" s="133" t="s">
        <v>1407</v>
      </c>
      <c r="O3032" s="4" t="s">
        <v>2368</v>
      </c>
      <c r="P3032" s="4" t="s">
        <v>892</v>
      </c>
      <c r="Q3032" s="4" t="s">
        <v>2369</v>
      </c>
      <c r="R3032" s="4" t="s">
        <v>2370</v>
      </c>
      <c r="S3032" s="4" t="s">
        <v>2371</v>
      </c>
      <c r="T3032" s="4" t="s">
        <v>786</v>
      </c>
      <c r="U3032" s="4"/>
      <c r="V3032" s="4"/>
      <c r="W3032" s="4"/>
    </row>
    <row r="3033" spans="1:23" customFormat="1">
      <c r="A3033" s="10"/>
      <c r="B3033" s="4"/>
      <c r="C3033" s="4"/>
      <c r="D3033" s="4"/>
      <c r="E3033" s="4"/>
      <c r="F3033" s="152"/>
      <c r="G3033" s="4"/>
      <c r="H3033" s="4"/>
      <c r="I3033" s="196"/>
      <c r="J3033" s="196"/>
      <c r="K3033" s="196"/>
      <c r="L3033" s="454"/>
      <c r="M3033" s="4"/>
      <c r="N3033" s="133"/>
      <c r="O3033" s="4"/>
      <c r="P3033" s="4"/>
      <c r="Q3033" s="4"/>
      <c r="R3033" s="4"/>
      <c r="S3033" s="4"/>
      <c r="T3033" s="4"/>
      <c r="U3033" s="4"/>
      <c r="V3033" s="4"/>
      <c r="W3033" s="4"/>
    </row>
    <row r="3034" spans="1:23" customFormat="1" ht="13">
      <c r="A3034" s="811" t="s">
        <v>382</v>
      </c>
      <c r="B3034" s="801"/>
      <c r="C3034" s="801"/>
      <c r="D3034" s="801"/>
      <c r="E3034" s="801"/>
      <c r="F3034" s="801" t="s">
        <v>358</v>
      </c>
      <c r="G3034" s="801" t="s">
        <v>359</v>
      </c>
      <c r="H3034" s="803"/>
      <c r="I3034" s="812">
        <v>-25560</v>
      </c>
      <c r="J3034" s="812">
        <v>-18</v>
      </c>
      <c r="K3034" s="812">
        <v>1420</v>
      </c>
      <c r="L3034" s="805" t="s">
        <v>1088</v>
      </c>
      <c r="M3034" s="801" t="s">
        <v>780</v>
      </c>
      <c r="N3034" s="802" t="s">
        <v>1272</v>
      </c>
      <c r="O3034" s="801" t="s">
        <v>1350</v>
      </c>
      <c r="P3034" s="801" t="s">
        <v>892</v>
      </c>
      <c r="Q3034" s="801" t="s">
        <v>1351</v>
      </c>
      <c r="R3034" s="801" t="s">
        <v>1348</v>
      </c>
      <c r="S3034" s="801" t="s">
        <v>1352</v>
      </c>
      <c r="T3034" s="801" t="s">
        <v>786</v>
      </c>
      <c r="U3034" s="4"/>
      <c r="V3034" s="4"/>
      <c r="W3034" s="4"/>
    </row>
    <row r="3035" spans="1:23" customFormat="1" ht="13">
      <c r="A3035" s="811" t="s">
        <v>382</v>
      </c>
      <c r="B3035" s="801"/>
      <c r="C3035" s="801"/>
      <c r="D3035" s="801"/>
      <c r="E3035" s="801"/>
      <c r="F3035" s="801" t="s">
        <v>358</v>
      </c>
      <c r="G3035" s="801" t="s">
        <v>359</v>
      </c>
      <c r="H3035" s="803"/>
      <c r="I3035" s="812">
        <v>25560</v>
      </c>
      <c r="J3035" s="812">
        <v>18</v>
      </c>
      <c r="K3035" s="812">
        <v>1420</v>
      </c>
      <c r="L3035" s="805" t="s">
        <v>1113</v>
      </c>
      <c r="M3035" s="801" t="s">
        <v>780</v>
      </c>
      <c r="N3035" s="802" t="s">
        <v>781</v>
      </c>
      <c r="O3035" s="801" t="s">
        <v>1153</v>
      </c>
      <c r="P3035" s="801" t="s">
        <v>892</v>
      </c>
      <c r="Q3035" s="801" t="s">
        <v>1154</v>
      </c>
      <c r="R3035" s="801" t="s">
        <v>1146</v>
      </c>
      <c r="S3035" s="801" t="s">
        <v>1155</v>
      </c>
      <c r="T3035" s="801" t="s">
        <v>786</v>
      </c>
      <c r="U3035" s="4"/>
      <c r="V3035" s="4"/>
      <c r="W3035" s="4"/>
    </row>
    <row r="3036" spans="1:23" customFormat="1" ht="13">
      <c r="A3036" s="811" t="s">
        <v>382</v>
      </c>
      <c r="B3036" s="801"/>
      <c r="C3036" s="801"/>
      <c r="D3036" s="801"/>
      <c r="E3036" s="801"/>
      <c r="F3036" s="801" t="s">
        <v>358</v>
      </c>
      <c r="G3036" s="801" t="s">
        <v>359</v>
      </c>
      <c r="H3036" s="803"/>
      <c r="I3036" s="812">
        <v>-28000</v>
      </c>
      <c r="J3036" s="812">
        <v>-20</v>
      </c>
      <c r="K3036" s="812">
        <v>1400</v>
      </c>
      <c r="L3036" s="805" t="s">
        <v>1305</v>
      </c>
      <c r="M3036" s="801" t="s">
        <v>780</v>
      </c>
      <c r="N3036" s="802" t="s">
        <v>1272</v>
      </c>
      <c r="O3036" s="801" t="s">
        <v>1306</v>
      </c>
      <c r="P3036" s="801" t="s">
        <v>892</v>
      </c>
      <c r="Q3036" s="801" t="s">
        <v>1307</v>
      </c>
      <c r="R3036" s="801" t="s">
        <v>1308</v>
      </c>
      <c r="S3036" s="801" t="s">
        <v>1309</v>
      </c>
      <c r="T3036" s="801" t="s">
        <v>786</v>
      </c>
      <c r="U3036" s="4"/>
      <c r="V3036" s="4"/>
      <c r="W3036" s="4"/>
    </row>
    <row r="3037" spans="1:23" customFormat="1" ht="13">
      <c r="A3037" s="811" t="s">
        <v>382</v>
      </c>
      <c r="B3037" s="801"/>
      <c r="C3037" s="801"/>
      <c r="D3037" s="801"/>
      <c r="E3037" s="801"/>
      <c r="F3037" s="801" t="s">
        <v>358</v>
      </c>
      <c r="G3037" s="801" t="s">
        <v>359</v>
      </c>
      <c r="H3037" s="803"/>
      <c r="I3037" s="812">
        <v>28000</v>
      </c>
      <c r="J3037" s="812">
        <v>20</v>
      </c>
      <c r="K3037" s="812">
        <v>1400</v>
      </c>
      <c r="L3037" s="805" t="s">
        <v>1017</v>
      </c>
      <c r="M3037" s="801" t="s">
        <v>780</v>
      </c>
      <c r="N3037" s="802" t="s">
        <v>781</v>
      </c>
      <c r="O3037" s="801" t="s">
        <v>1018</v>
      </c>
      <c r="P3037" s="801" t="s">
        <v>892</v>
      </c>
      <c r="Q3037" s="801" t="s">
        <v>1019</v>
      </c>
      <c r="R3037" s="801" t="s">
        <v>1020</v>
      </c>
      <c r="S3037" s="801" t="s">
        <v>1021</v>
      </c>
      <c r="T3037" s="801" t="s">
        <v>786</v>
      </c>
      <c r="U3037" s="4"/>
      <c r="V3037" s="4"/>
      <c r="W3037" s="4"/>
    </row>
    <row r="3038" spans="1:23" customFormat="1" ht="13">
      <c r="A3038" s="811" t="s">
        <v>382</v>
      </c>
      <c r="B3038" s="801"/>
      <c r="C3038" s="801"/>
      <c r="D3038" s="801"/>
      <c r="E3038" s="801"/>
      <c r="F3038" s="801" t="s">
        <v>358</v>
      </c>
      <c r="G3038" s="801" t="s">
        <v>359</v>
      </c>
      <c r="H3038" s="803"/>
      <c r="I3038" s="812">
        <v>-28400</v>
      </c>
      <c r="J3038" s="812">
        <v>-20</v>
      </c>
      <c r="K3038" s="812">
        <v>1420</v>
      </c>
      <c r="L3038" s="805" t="s">
        <v>1198</v>
      </c>
      <c r="M3038" s="801" t="s">
        <v>780</v>
      </c>
      <c r="N3038" s="802" t="s">
        <v>1272</v>
      </c>
      <c r="O3038" s="801" t="s">
        <v>1384</v>
      </c>
      <c r="P3038" s="801" t="s">
        <v>892</v>
      </c>
      <c r="Q3038" s="801" t="s">
        <v>1385</v>
      </c>
      <c r="R3038" s="801" t="s">
        <v>1348</v>
      </c>
      <c r="S3038" s="801" t="s">
        <v>1386</v>
      </c>
      <c r="T3038" s="801" t="s">
        <v>786</v>
      </c>
      <c r="U3038" s="4"/>
      <c r="V3038" s="4"/>
      <c r="W3038" s="4"/>
    </row>
    <row r="3039" spans="1:23" customFormat="1" ht="13">
      <c r="A3039" s="811" t="s">
        <v>382</v>
      </c>
      <c r="B3039" s="801"/>
      <c r="C3039" s="801"/>
      <c r="D3039" s="801"/>
      <c r="E3039" s="801"/>
      <c r="F3039" s="801" t="s">
        <v>358</v>
      </c>
      <c r="G3039" s="801" t="s">
        <v>359</v>
      </c>
      <c r="H3039" s="803"/>
      <c r="I3039" s="812">
        <v>28400</v>
      </c>
      <c r="J3039" s="812">
        <v>20</v>
      </c>
      <c r="K3039" s="812">
        <v>1420</v>
      </c>
      <c r="L3039" s="805" t="s">
        <v>1239</v>
      </c>
      <c r="M3039" s="801" t="s">
        <v>780</v>
      </c>
      <c r="N3039" s="802" t="s">
        <v>781</v>
      </c>
      <c r="O3039" s="801" t="s">
        <v>1240</v>
      </c>
      <c r="P3039" s="801" t="s">
        <v>892</v>
      </c>
      <c r="Q3039" s="801" t="s">
        <v>1241</v>
      </c>
      <c r="R3039" s="801" t="s">
        <v>1146</v>
      </c>
      <c r="S3039" s="801" t="s">
        <v>1243</v>
      </c>
      <c r="T3039" s="801" t="s">
        <v>786</v>
      </c>
      <c r="U3039" s="4"/>
      <c r="V3039" s="4"/>
      <c r="W3039" s="4"/>
    </row>
    <row r="3040" spans="1:23" customFormat="1" ht="13">
      <c r="A3040" s="811" t="s">
        <v>382</v>
      </c>
      <c r="B3040" s="801"/>
      <c r="C3040" s="801"/>
      <c r="D3040" s="801"/>
      <c r="E3040" s="801"/>
      <c r="F3040" s="801" t="s">
        <v>358</v>
      </c>
      <c r="G3040" s="801" t="s">
        <v>359</v>
      </c>
      <c r="H3040" s="803"/>
      <c r="I3040" s="812">
        <v>-182058.2</v>
      </c>
      <c r="J3040" s="812">
        <v>-128.21</v>
      </c>
      <c r="K3040" s="812">
        <v>1420</v>
      </c>
      <c r="L3040" s="805" t="s">
        <v>1205</v>
      </c>
      <c r="M3040" s="801" t="s">
        <v>780</v>
      </c>
      <c r="N3040" s="802" t="s">
        <v>1272</v>
      </c>
      <c r="O3040" s="801" t="s">
        <v>1379</v>
      </c>
      <c r="P3040" s="801" t="s">
        <v>892</v>
      </c>
      <c r="Q3040" s="801" t="s">
        <v>1380</v>
      </c>
      <c r="R3040" s="801" t="s">
        <v>1381</v>
      </c>
      <c r="S3040" s="801" t="s">
        <v>1382</v>
      </c>
      <c r="T3040" s="801" t="s">
        <v>786</v>
      </c>
      <c r="U3040" s="4"/>
      <c r="V3040" s="4"/>
      <c r="W3040" s="4"/>
    </row>
    <row r="3041" spans="1:23" customFormat="1" ht="13">
      <c r="A3041" s="811" t="s">
        <v>382</v>
      </c>
      <c r="B3041" s="801"/>
      <c r="C3041" s="801"/>
      <c r="D3041" s="801"/>
      <c r="E3041" s="801"/>
      <c r="F3041" s="801" t="s">
        <v>358</v>
      </c>
      <c r="G3041" s="801" t="s">
        <v>359</v>
      </c>
      <c r="H3041" s="803"/>
      <c r="I3041" s="812">
        <v>182058.2</v>
      </c>
      <c r="J3041" s="812">
        <v>128.21</v>
      </c>
      <c r="K3041" s="812">
        <v>1420</v>
      </c>
      <c r="L3041" s="805" t="s">
        <v>1205</v>
      </c>
      <c r="M3041" s="801" t="s">
        <v>780</v>
      </c>
      <c r="N3041" s="802" t="s">
        <v>781</v>
      </c>
      <c r="O3041" s="801" t="s">
        <v>1226</v>
      </c>
      <c r="P3041" s="801" t="s">
        <v>892</v>
      </c>
      <c r="Q3041" s="801" t="s">
        <v>1227</v>
      </c>
      <c r="R3041" s="801" t="s">
        <v>1231</v>
      </c>
      <c r="S3041" s="801" t="s">
        <v>1228</v>
      </c>
      <c r="T3041" s="801" t="s">
        <v>786</v>
      </c>
      <c r="U3041" s="4"/>
      <c r="V3041" s="4"/>
      <c r="W3041" s="4"/>
    </row>
    <row r="3042" spans="1:23" customFormat="1" ht="13">
      <c r="A3042" s="811" t="s">
        <v>382</v>
      </c>
      <c r="B3042" s="801"/>
      <c r="C3042" s="801"/>
      <c r="D3042" s="801"/>
      <c r="E3042" s="801"/>
      <c r="F3042" s="801" t="s">
        <v>358</v>
      </c>
      <c r="G3042" s="801" t="s">
        <v>359</v>
      </c>
      <c r="H3042" s="803"/>
      <c r="I3042" s="812">
        <v>-211669.2</v>
      </c>
      <c r="J3042" s="812">
        <v>-152.28</v>
      </c>
      <c r="K3042" s="812">
        <v>1390</v>
      </c>
      <c r="L3042" s="805" t="s">
        <v>899</v>
      </c>
      <c r="M3042" s="801" t="s">
        <v>780</v>
      </c>
      <c r="N3042" s="802" t="s">
        <v>1272</v>
      </c>
      <c r="O3042" s="801" t="s">
        <v>1298</v>
      </c>
      <c r="P3042" s="801" t="s">
        <v>892</v>
      </c>
      <c r="Q3042" s="801" t="s">
        <v>1299</v>
      </c>
      <c r="R3042" s="801" t="s">
        <v>1300</v>
      </c>
      <c r="S3042" s="801" t="s">
        <v>1301</v>
      </c>
      <c r="T3042" s="801" t="s">
        <v>786</v>
      </c>
      <c r="U3042" s="4"/>
      <c r="V3042" s="4"/>
      <c r="W3042" s="4"/>
    </row>
    <row r="3043" spans="1:23" customFormat="1" ht="13">
      <c r="A3043" s="811" t="s">
        <v>382</v>
      </c>
      <c r="B3043" s="801"/>
      <c r="C3043" s="801"/>
      <c r="D3043" s="801"/>
      <c r="E3043" s="801"/>
      <c r="F3043" s="801" t="s">
        <v>358</v>
      </c>
      <c r="G3043" s="801" t="s">
        <v>359</v>
      </c>
      <c r="H3043" s="803"/>
      <c r="I3043" s="812">
        <v>211669.2</v>
      </c>
      <c r="J3043" s="812">
        <v>152.28</v>
      </c>
      <c r="K3043" s="812">
        <v>1390</v>
      </c>
      <c r="L3043" s="805" t="s">
        <v>899</v>
      </c>
      <c r="M3043" s="801" t="s">
        <v>780</v>
      </c>
      <c r="N3043" s="802" t="s">
        <v>781</v>
      </c>
      <c r="O3043" s="801" t="s">
        <v>933</v>
      </c>
      <c r="P3043" s="801" t="s">
        <v>892</v>
      </c>
      <c r="Q3043" s="801" t="s">
        <v>934</v>
      </c>
      <c r="R3043" s="801" t="s">
        <v>936</v>
      </c>
      <c r="S3043" s="801" t="s">
        <v>935</v>
      </c>
      <c r="T3043" s="801" t="s">
        <v>786</v>
      </c>
      <c r="U3043" s="4"/>
      <c r="V3043" s="4"/>
      <c r="W3043" s="4"/>
    </row>
    <row r="3044" spans="1:23" customFormat="1" ht="13">
      <c r="A3044" s="811" t="s">
        <v>382</v>
      </c>
      <c r="B3044" s="801"/>
      <c r="C3044" s="801"/>
      <c r="D3044" s="801"/>
      <c r="E3044" s="801"/>
      <c r="F3044" s="801" t="s">
        <v>358</v>
      </c>
      <c r="G3044" s="801" t="s">
        <v>359</v>
      </c>
      <c r="H3044" s="803"/>
      <c r="I3044" s="812">
        <v>-1420000</v>
      </c>
      <c r="J3044" s="812">
        <v>-1000</v>
      </c>
      <c r="K3044" s="812">
        <v>1420</v>
      </c>
      <c r="L3044" s="805" t="s">
        <v>1081</v>
      </c>
      <c r="M3044" s="801" t="s">
        <v>780</v>
      </c>
      <c r="N3044" s="802" t="s">
        <v>1272</v>
      </c>
      <c r="O3044" s="801" t="s">
        <v>1346</v>
      </c>
      <c r="P3044" s="801" t="s">
        <v>892</v>
      </c>
      <c r="Q3044" s="801" t="s">
        <v>1347</v>
      </c>
      <c r="R3044" s="801" t="s">
        <v>1348</v>
      </c>
      <c r="S3044" s="801" t="s">
        <v>1349</v>
      </c>
      <c r="T3044" s="801" t="s">
        <v>786</v>
      </c>
      <c r="U3044" s="4"/>
      <c r="V3044" s="4"/>
      <c r="W3044" s="4"/>
    </row>
    <row r="3045" spans="1:23" customFormat="1" ht="13">
      <c r="A3045" s="811" t="s">
        <v>382</v>
      </c>
      <c r="B3045" s="801"/>
      <c r="C3045" s="801"/>
      <c r="D3045" s="801"/>
      <c r="E3045" s="801"/>
      <c r="F3045" s="801" t="s">
        <v>358</v>
      </c>
      <c r="G3045" s="801" t="s">
        <v>359</v>
      </c>
      <c r="H3045" s="803"/>
      <c r="I3045" s="812">
        <v>1420000</v>
      </c>
      <c r="J3045" s="812">
        <v>1000</v>
      </c>
      <c r="K3045" s="812">
        <v>1420</v>
      </c>
      <c r="L3045" s="805" t="s">
        <v>1081</v>
      </c>
      <c r="M3045" s="801" t="s">
        <v>780</v>
      </c>
      <c r="N3045" s="802" t="s">
        <v>781</v>
      </c>
      <c r="O3045" s="801" t="s">
        <v>1141</v>
      </c>
      <c r="P3045" s="801" t="s">
        <v>892</v>
      </c>
      <c r="Q3045" s="801" t="s">
        <v>1142</v>
      </c>
      <c r="R3045" s="801" t="s">
        <v>1146</v>
      </c>
      <c r="S3045" s="801" t="s">
        <v>1144</v>
      </c>
      <c r="T3045" s="801" t="s">
        <v>786</v>
      </c>
      <c r="U3045" s="4"/>
      <c r="V3045" s="4"/>
      <c r="W3045" s="4"/>
    </row>
    <row r="3046" spans="1:23" customFormat="1" ht="13">
      <c r="A3046" s="811" t="s">
        <v>382</v>
      </c>
      <c r="B3046" s="801"/>
      <c r="C3046" s="801"/>
      <c r="D3046" s="801"/>
      <c r="E3046" s="801"/>
      <c r="F3046" s="801" t="s">
        <v>358</v>
      </c>
      <c r="G3046" s="801" t="s">
        <v>359</v>
      </c>
      <c r="H3046" s="803"/>
      <c r="I3046" s="812">
        <v>-1846000</v>
      </c>
      <c r="J3046" s="812">
        <v>-1300</v>
      </c>
      <c r="K3046" s="812">
        <v>1420</v>
      </c>
      <c r="L3046" s="805" t="s">
        <v>1081</v>
      </c>
      <c r="M3046" s="801" t="s">
        <v>780</v>
      </c>
      <c r="N3046" s="802" t="s">
        <v>1272</v>
      </c>
      <c r="O3046" s="801" t="s">
        <v>1346</v>
      </c>
      <c r="P3046" s="801" t="s">
        <v>892</v>
      </c>
      <c r="Q3046" s="801" t="s">
        <v>1347</v>
      </c>
      <c r="R3046" s="801" t="s">
        <v>1348</v>
      </c>
      <c r="S3046" s="801" t="s">
        <v>1349</v>
      </c>
      <c r="T3046" s="801" t="s">
        <v>786</v>
      </c>
      <c r="U3046" s="4"/>
      <c r="V3046" s="4"/>
      <c r="W3046" s="4"/>
    </row>
    <row r="3047" spans="1:23" customFormat="1" ht="13">
      <c r="A3047" s="811" t="s">
        <v>382</v>
      </c>
      <c r="B3047" s="801"/>
      <c r="C3047" s="801"/>
      <c r="D3047" s="801"/>
      <c r="E3047" s="801"/>
      <c r="F3047" s="801" t="s">
        <v>358</v>
      </c>
      <c r="G3047" s="801" t="s">
        <v>359</v>
      </c>
      <c r="H3047" s="803"/>
      <c r="I3047" s="812">
        <v>1846000</v>
      </c>
      <c r="J3047" s="812">
        <v>1300</v>
      </c>
      <c r="K3047" s="812">
        <v>1420</v>
      </c>
      <c r="L3047" s="805" t="s">
        <v>1081</v>
      </c>
      <c r="M3047" s="801" t="s">
        <v>780</v>
      </c>
      <c r="N3047" s="802" t="s">
        <v>781</v>
      </c>
      <c r="O3047" s="801" t="s">
        <v>1141</v>
      </c>
      <c r="P3047" s="801" t="s">
        <v>892</v>
      </c>
      <c r="Q3047" s="801" t="s">
        <v>1142</v>
      </c>
      <c r="R3047" s="801" t="s">
        <v>1146</v>
      </c>
      <c r="S3047" s="801" t="s">
        <v>1144</v>
      </c>
      <c r="T3047" s="801" t="s">
        <v>786</v>
      </c>
      <c r="U3047" s="4"/>
      <c r="V3047" s="4"/>
      <c r="W3047" s="4"/>
    </row>
    <row r="3048" spans="1:23" customFormat="1" ht="13">
      <c r="A3048" s="811" t="s">
        <v>382</v>
      </c>
      <c r="B3048" s="801"/>
      <c r="C3048" s="801"/>
      <c r="D3048" s="801"/>
      <c r="E3048" s="801"/>
      <c r="F3048" s="801" t="s">
        <v>358</v>
      </c>
      <c r="G3048" s="801" t="s">
        <v>359</v>
      </c>
      <c r="H3048" s="803"/>
      <c r="I3048" s="812">
        <v>-3550000</v>
      </c>
      <c r="J3048" s="812">
        <v>-2500</v>
      </c>
      <c r="K3048" s="812">
        <v>1420</v>
      </c>
      <c r="L3048" s="805" t="s">
        <v>1088</v>
      </c>
      <c r="M3048" s="801" t="s">
        <v>780</v>
      </c>
      <c r="N3048" s="802" t="s">
        <v>1407</v>
      </c>
      <c r="O3048" s="801" t="s">
        <v>2324</v>
      </c>
      <c r="P3048" s="801" t="s">
        <v>892</v>
      </c>
      <c r="Q3048" s="801" t="s">
        <v>2325</v>
      </c>
      <c r="R3048" s="801" t="s">
        <v>2326</v>
      </c>
      <c r="S3048" s="801" t="s">
        <v>2327</v>
      </c>
      <c r="T3048" s="801" t="s">
        <v>786</v>
      </c>
      <c r="U3048" s="4"/>
      <c r="V3048" s="4"/>
      <c r="W3048" s="4"/>
    </row>
    <row r="3049" spans="1:23" customFormat="1" ht="13">
      <c r="A3049" s="811" t="s">
        <v>382</v>
      </c>
      <c r="B3049" s="801"/>
      <c r="C3049" s="801"/>
      <c r="D3049" s="801"/>
      <c r="E3049" s="801"/>
      <c r="F3049" s="801" t="s">
        <v>358</v>
      </c>
      <c r="G3049" s="801" t="s">
        <v>359</v>
      </c>
      <c r="H3049" s="803"/>
      <c r="I3049" s="812">
        <v>3550000</v>
      </c>
      <c r="J3049" s="812">
        <v>2500</v>
      </c>
      <c r="K3049" s="812">
        <v>1420</v>
      </c>
      <c r="L3049" s="805" t="s">
        <v>1113</v>
      </c>
      <c r="M3049" s="801" t="s">
        <v>780</v>
      </c>
      <c r="N3049" s="802" t="s">
        <v>781</v>
      </c>
      <c r="O3049" s="801" t="s">
        <v>1153</v>
      </c>
      <c r="P3049" s="801" t="s">
        <v>892</v>
      </c>
      <c r="Q3049" s="801" t="s">
        <v>1154</v>
      </c>
      <c r="R3049" s="801" t="s">
        <v>1143</v>
      </c>
      <c r="S3049" s="801" t="s">
        <v>1155</v>
      </c>
      <c r="T3049" s="801" t="s">
        <v>786</v>
      </c>
      <c r="U3049" s="4"/>
      <c r="V3049" s="4"/>
      <c r="W3049" s="4"/>
    </row>
    <row r="3050" spans="1:23" customFormat="1" ht="13">
      <c r="A3050" s="811" t="s">
        <v>382</v>
      </c>
      <c r="B3050" s="801"/>
      <c r="C3050" s="801"/>
      <c r="D3050" s="801"/>
      <c r="E3050" s="801"/>
      <c r="F3050" s="801" t="s">
        <v>358</v>
      </c>
      <c r="G3050" s="801" t="s">
        <v>359</v>
      </c>
      <c r="H3050" s="803"/>
      <c r="I3050" s="812">
        <v>-4260000</v>
      </c>
      <c r="J3050" s="812">
        <v>-3000</v>
      </c>
      <c r="K3050" s="812">
        <v>1420</v>
      </c>
      <c r="L3050" s="805" t="s">
        <v>1098</v>
      </c>
      <c r="M3050" s="801" t="s">
        <v>780</v>
      </c>
      <c r="N3050" s="802" t="s">
        <v>781</v>
      </c>
      <c r="O3050" s="801" t="s">
        <v>1102</v>
      </c>
      <c r="P3050" s="801" t="s">
        <v>892</v>
      </c>
      <c r="Q3050" s="801" t="s">
        <v>1103</v>
      </c>
      <c r="R3050" s="801" t="s">
        <v>1107</v>
      </c>
      <c r="S3050" s="801" t="s">
        <v>1105</v>
      </c>
      <c r="T3050" s="801" t="s">
        <v>786</v>
      </c>
      <c r="U3050" s="4"/>
      <c r="V3050" s="4"/>
      <c r="W3050" s="4"/>
    </row>
    <row r="3051" spans="1:23" customFormat="1" ht="13">
      <c r="A3051" s="811" t="s">
        <v>382</v>
      </c>
      <c r="B3051" s="801"/>
      <c r="C3051" s="801"/>
      <c r="D3051" s="801"/>
      <c r="E3051" s="801"/>
      <c r="F3051" s="801" t="s">
        <v>358</v>
      </c>
      <c r="G3051" s="801" t="s">
        <v>359</v>
      </c>
      <c r="H3051" s="803"/>
      <c r="I3051" s="812">
        <v>4260000</v>
      </c>
      <c r="J3051" s="812">
        <v>3000</v>
      </c>
      <c r="K3051" s="812">
        <v>1420</v>
      </c>
      <c r="L3051" s="805" t="s">
        <v>1098</v>
      </c>
      <c r="M3051" s="801" t="s">
        <v>780</v>
      </c>
      <c r="N3051" s="802" t="s">
        <v>781</v>
      </c>
      <c r="O3051" s="801" t="s">
        <v>1175</v>
      </c>
      <c r="P3051" s="801" t="s">
        <v>892</v>
      </c>
      <c r="Q3051" s="801" t="s">
        <v>1176</v>
      </c>
      <c r="R3051" s="801" t="s">
        <v>1107</v>
      </c>
      <c r="S3051" s="801" t="s">
        <v>1178</v>
      </c>
      <c r="T3051" s="801" t="s">
        <v>786</v>
      </c>
      <c r="U3051" s="4"/>
      <c r="V3051" s="4"/>
      <c r="W3051" s="4"/>
    </row>
    <row r="3052" spans="1:23" customFormat="1" ht="13">
      <c r="A3052" s="811" t="s">
        <v>382</v>
      </c>
      <c r="B3052" s="801"/>
      <c r="C3052" s="801"/>
      <c r="D3052" s="801"/>
      <c r="E3052" s="801"/>
      <c r="F3052" s="801" t="s">
        <v>358</v>
      </c>
      <c r="G3052" s="801" t="s">
        <v>359</v>
      </c>
      <c r="H3052" s="803"/>
      <c r="I3052" s="812">
        <v>-4828000</v>
      </c>
      <c r="J3052" s="812">
        <v>-3400</v>
      </c>
      <c r="K3052" s="812">
        <v>1420</v>
      </c>
      <c r="L3052" s="805" t="s">
        <v>1135</v>
      </c>
      <c r="M3052" s="801" t="s">
        <v>780</v>
      </c>
      <c r="N3052" s="802" t="s">
        <v>1407</v>
      </c>
      <c r="O3052" s="801" t="s">
        <v>2486</v>
      </c>
      <c r="P3052" s="801" t="s">
        <v>892</v>
      </c>
      <c r="Q3052" s="801" t="s">
        <v>2487</v>
      </c>
      <c r="R3052" s="801" t="s">
        <v>2488</v>
      </c>
      <c r="S3052" s="801" t="s">
        <v>2489</v>
      </c>
      <c r="T3052" s="801" t="s">
        <v>786</v>
      </c>
      <c r="U3052" s="4"/>
      <c r="V3052" s="4"/>
      <c r="W3052" s="4"/>
    </row>
    <row r="3053" spans="1:23" customFormat="1" ht="13">
      <c r="A3053" s="811" t="s">
        <v>382</v>
      </c>
      <c r="B3053" s="801"/>
      <c r="C3053" s="801"/>
      <c r="D3053" s="801"/>
      <c r="E3053" s="801"/>
      <c r="F3053" s="801" t="s">
        <v>358</v>
      </c>
      <c r="G3053" s="801" t="s">
        <v>359</v>
      </c>
      <c r="H3053" s="803"/>
      <c r="I3053" s="812">
        <v>4828000</v>
      </c>
      <c r="J3053" s="812">
        <v>3400</v>
      </c>
      <c r="K3053" s="812">
        <v>1420</v>
      </c>
      <c r="L3053" s="805" t="s">
        <v>1109</v>
      </c>
      <c r="M3053" s="801" t="s">
        <v>780</v>
      </c>
      <c r="N3053" s="802" t="s">
        <v>1407</v>
      </c>
      <c r="O3053" s="801" t="s">
        <v>2347</v>
      </c>
      <c r="P3053" s="801" t="s">
        <v>892</v>
      </c>
      <c r="Q3053" s="801" t="s">
        <v>2348</v>
      </c>
      <c r="R3053" s="801" t="s">
        <v>2353</v>
      </c>
      <c r="S3053" s="801" t="s">
        <v>2350</v>
      </c>
      <c r="T3053" s="801" t="s">
        <v>786</v>
      </c>
      <c r="U3053" s="4"/>
      <c r="V3053" s="4"/>
      <c r="W3053" s="4"/>
    </row>
    <row r="3054" spans="1:23" customFormat="1" ht="13">
      <c r="A3054" s="811" t="s">
        <v>382</v>
      </c>
      <c r="B3054" s="801"/>
      <c r="C3054" s="801"/>
      <c r="D3054" s="801"/>
      <c r="E3054" s="801"/>
      <c r="F3054" s="801" t="s">
        <v>358</v>
      </c>
      <c r="G3054" s="801" t="s">
        <v>359</v>
      </c>
      <c r="H3054" s="803"/>
      <c r="I3054" s="812">
        <v>-6390000</v>
      </c>
      <c r="J3054" s="812">
        <v>-4500</v>
      </c>
      <c r="K3054" s="812">
        <v>1420</v>
      </c>
      <c r="L3054" s="805" t="s">
        <v>1198</v>
      </c>
      <c r="M3054" s="801" t="s">
        <v>780</v>
      </c>
      <c r="N3054" s="802" t="s">
        <v>1407</v>
      </c>
      <c r="O3054" s="801" t="s">
        <v>2542</v>
      </c>
      <c r="P3054" s="801" t="s">
        <v>892</v>
      </c>
      <c r="Q3054" s="801" t="s">
        <v>2543</v>
      </c>
      <c r="R3054" s="801" t="s">
        <v>2318</v>
      </c>
      <c r="S3054" s="801" t="s">
        <v>2544</v>
      </c>
      <c r="T3054" s="801" t="s">
        <v>786</v>
      </c>
      <c r="U3054" s="4"/>
      <c r="V3054" s="4"/>
      <c r="W3054" s="4"/>
    </row>
    <row r="3055" spans="1:23" customFormat="1" ht="13">
      <c r="A3055" s="811" t="s">
        <v>382</v>
      </c>
      <c r="B3055" s="801"/>
      <c r="C3055" s="801"/>
      <c r="D3055" s="801"/>
      <c r="E3055" s="801"/>
      <c r="F3055" s="801" t="s">
        <v>358</v>
      </c>
      <c r="G3055" s="801" t="s">
        <v>359</v>
      </c>
      <c r="H3055" s="803"/>
      <c r="I3055" s="812">
        <v>6390000</v>
      </c>
      <c r="J3055" s="812">
        <v>4500</v>
      </c>
      <c r="K3055" s="812">
        <v>1420</v>
      </c>
      <c r="L3055" s="805" t="s">
        <v>1239</v>
      </c>
      <c r="M3055" s="801" t="s">
        <v>780</v>
      </c>
      <c r="N3055" s="802" t="s">
        <v>781</v>
      </c>
      <c r="O3055" s="801" t="s">
        <v>1240</v>
      </c>
      <c r="P3055" s="801" t="s">
        <v>892</v>
      </c>
      <c r="Q3055" s="801" t="s">
        <v>1241</v>
      </c>
      <c r="R3055" s="801" t="s">
        <v>1244</v>
      </c>
      <c r="S3055" s="801" t="s">
        <v>1243</v>
      </c>
      <c r="T3055" s="801" t="s">
        <v>786</v>
      </c>
      <c r="U3055" s="4"/>
      <c r="V3055" s="4"/>
      <c r="W3055" s="4"/>
    </row>
    <row r="3056" spans="1:23" customFormat="1" ht="13">
      <c r="A3056" s="811" t="s">
        <v>382</v>
      </c>
      <c r="B3056" s="801"/>
      <c r="C3056" s="801"/>
      <c r="D3056" s="801"/>
      <c r="E3056" s="801"/>
      <c r="F3056" s="801" t="s">
        <v>358</v>
      </c>
      <c r="G3056" s="801" t="s">
        <v>359</v>
      </c>
      <c r="H3056" s="803"/>
      <c r="I3056" s="812">
        <v>-7100000</v>
      </c>
      <c r="J3056" s="812">
        <v>-5000</v>
      </c>
      <c r="K3056" s="812">
        <v>1420</v>
      </c>
      <c r="L3056" s="805" t="s">
        <v>1081</v>
      </c>
      <c r="M3056" s="801" t="s">
        <v>780</v>
      </c>
      <c r="N3056" s="802" t="s">
        <v>1407</v>
      </c>
      <c r="O3056" s="801" t="s">
        <v>2316</v>
      </c>
      <c r="P3056" s="801" t="s">
        <v>892</v>
      </c>
      <c r="Q3056" s="801" t="s">
        <v>2317</v>
      </c>
      <c r="R3056" s="801" t="s">
        <v>2318</v>
      </c>
      <c r="S3056" s="801" t="s">
        <v>2319</v>
      </c>
      <c r="T3056" s="801" t="s">
        <v>786</v>
      </c>
      <c r="U3056" s="4"/>
      <c r="V3056" s="4"/>
      <c r="W3056" s="4"/>
    </row>
    <row r="3057" spans="1:23" customFormat="1" ht="13">
      <c r="A3057" s="811" t="s">
        <v>382</v>
      </c>
      <c r="B3057" s="801"/>
      <c r="C3057" s="801"/>
      <c r="D3057" s="801"/>
      <c r="E3057" s="801"/>
      <c r="F3057" s="801" t="s">
        <v>358</v>
      </c>
      <c r="G3057" s="801" t="s">
        <v>359</v>
      </c>
      <c r="H3057" s="803"/>
      <c r="I3057" s="812">
        <v>7100000</v>
      </c>
      <c r="J3057" s="812">
        <v>5000</v>
      </c>
      <c r="K3057" s="812">
        <v>1420</v>
      </c>
      <c r="L3057" s="805" t="s">
        <v>1081</v>
      </c>
      <c r="M3057" s="801" t="s">
        <v>780</v>
      </c>
      <c r="N3057" s="802" t="s">
        <v>781</v>
      </c>
      <c r="O3057" s="801" t="s">
        <v>1141</v>
      </c>
      <c r="P3057" s="801" t="s">
        <v>892</v>
      </c>
      <c r="Q3057" s="801" t="s">
        <v>1142</v>
      </c>
      <c r="R3057" s="801" t="s">
        <v>1143</v>
      </c>
      <c r="S3057" s="801" t="s">
        <v>1144</v>
      </c>
      <c r="T3057" s="801" t="s">
        <v>786</v>
      </c>
      <c r="U3057" s="4"/>
      <c r="V3057" s="4"/>
      <c r="W3057" s="4"/>
    </row>
    <row r="3058" spans="1:23" customFormat="1">
      <c r="A3058" s="10"/>
      <c r="B3058" s="4"/>
      <c r="C3058" s="4"/>
      <c r="D3058" s="4"/>
      <c r="E3058" s="4"/>
      <c r="F3058" s="152"/>
      <c r="G3058" s="4"/>
      <c r="H3058" s="651"/>
      <c r="I3058" s="196"/>
      <c r="J3058" s="196"/>
      <c r="K3058" s="196"/>
      <c r="L3058" s="454"/>
      <c r="M3058" s="4"/>
      <c r="N3058" s="133"/>
      <c r="O3058" s="4"/>
      <c r="P3058" s="4"/>
      <c r="Q3058" s="4"/>
      <c r="R3058" s="4"/>
      <c r="S3058" s="4"/>
      <c r="T3058" s="4"/>
      <c r="U3058" s="4"/>
      <c r="V3058" s="4"/>
      <c r="W3058" s="4"/>
    </row>
    <row r="3059" spans="1:23" customFormat="1">
      <c r="A3059" s="10"/>
      <c r="B3059" s="4"/>
      <c r="C3059" s="4"/>
      <c r="D3059" s="4"/>
      <c r="E3059" s="4"/>
      <c r="F3059" s="152"/>
      <c r="G3059" s="4"/>
      <c r="H3059" s="651"/>
      <c r="I3059" s="196"/>
      <c r="J3059" s="196"/>
      <c r="K3059" s="196"/>
      <c r="L3059" s="454"/>
      <c r="M3059" s="4"/>
      <c r="N3059" s="133"/>
      <c r="O3059" s="4"/>
      <c r="P3059" s="4"/>
      <c r="Q3059" s="4"/>
      <c r="R3059" s="4"/>
      <c r="S3059" s="4"/>
      <c r="T3059" s="4"/>
      <c r="U3059" s="4"/>
      <c r="V3059" s="4"/>
      <c r="W3059" s="4"/>
    </row>
    <row r="3060" spans="1:23" customFormat="1" ht="13">
      <c r="A3060" s="794" t="s">
        <v>5843</v>
      </c>
      <c r="B3060" s="795"/>
      <c r="C3060" s="795"/>
      <c r="D3060" s="795"/>
      <c r="E3060" s="795"/>
      <c r="F3060" s="795" t="s">
        <v>358</v>
      </c>
      <c r="G3060" s="795" t="s">
        <v>359</v>
      </c>
      <c r="H3060" s="797"/>
      <c r="I3060" s="810">
        <v>35250</v>
      </c>
      <c r="J3060" s="810">
        <v>25</v>
      </c>
      <c r="K3060" s="810">
        <v>1410</v>
      </c>
      <c r="L3060" s="798" t="s">
        <v>890</v>
      </c>
      <c r="M3060" s="795" t="s">
        <v>780</v>
      </c>
      <c r="N3060" s="796" t="s">
        <v>781</v>
      </c>
      <c r="O3060" s="795" t="s">
        <v>967</v>
      </c>
      <c r="P3060" s="795" t="s">
        <v>892</v>
      </c>
      <c r="Q3060" s="795" t="s">
        <v>968</v>
      </c>
      <c r="R3060" s="795" t="s">
        <v>974</v>
      </c>
      <c r="S3060" s="795" t="s">
        <v>970</v>
      </c>
      <c r="T3060" s="795" t="s">
        <v>786</v>
      </c>
      <c r="U3060" s="4"/>
      <c r="V3060" s="4"/>
      <c r="W3060" s="4"/>
    </row>
    <row r="3061" spans="1:23" customFormat="1" ht="13">
      <c r="A3061" s="794" t="s">
        <v>5843</v>
      </c>
      <c r="B3061" s="795"/>
      <c r="C3061" s="795"/>
      <c r="D3061" s="795"/>
      <c r="E3061" s="795"/>
      <c r="F3061" s="795" t="s">
        <v>358</v>
      </c>
      <c r="G3061" s="795" t="s">
        <v>359</v>
      </c>
      <c r="H3061" s="797"/>
      <c r="I3061" s="810">
        <v>35500</v>
      </c>
      <c r="J3061" s="810">
        <v>25</v>
      </c>
      <c r="K3061" s="810">
        <v>1420</v>
      </c>
      <c r="L3061" s="798" t="s">
        <v>1081</v>
      </c>
      <c r="M3061" s="795" t="s">
        <v>780</v>
      </c>
      <c r="N3061" s="796" t="s">
        <v>781</v>
      </c>
      <c r="O3061" s="795" t="s">
        <v>1141</v>
      </c>
      <c r="P3061" s="795" t="s">
        <v>892</v>
      </c>
      <c r="Q3061" s="795" t="s">
        <v>1142</v>
      </c>
      <c r="R3061" s="795" t="s">
        <v>1147</v>
      </c>
      <c r="S3061" s="795" t="s">
        <v>1144</v>
      </c>
      <c r="T3061" s="795" t="s">
        <v>786</v>
      </c>
      <c r="U3061" s="4"/>
      <c r="V3061" s="4"/>
      <c r="W3061" s="4"/>
    </row>
    <row r="3062" spans="1:23" customFormat="1" ht="13">
      <c r="A3062" s="794" t="s">
        <v>5843</v>
      </c>
      <c r="B3062" s="795"/>
      <c r="C3062" s="795"/>
      <c r="D3062" s="795"/>
      <c r="E3062" s="795"/>
      <c r="F3062" s="795" t="s">
        <v>358</v>
      </c>
      <c r="G3062" s="795" t="s">
        <v>359</v>
      </c>
      <c r="H3062" s="797"/>
      <c r="I3062" s="810">
        <v>-71000</v>
      </c>
      <c r="J3062" s="810">
        <v>-50</v>
      </c>
      <c r="K3062" s="810">
        <v>1420</v>
      </c>
      <c r="L3062" s="798" t="s">
        <v>787</v>
      </c>
      <c r="M3062" s="795" t="s">
        <v>780</v>
      </c>
      <c r="N3062" s="796" t="s">
        <v>781</v>
      </c>
      <c r="O3062" s="795" t="s">
        <v>804</v>
      </c>
      <c r="P3062" s="795" t="s">
        <v>783</v>
      </c>
      <c r="Q3062" s="795" t="s">
        <v>805</v>
      </c>
      <c r="R3062" s="795" t="s">
        <v>809</v>
      </c>
      <c r="S3062" s="795" t="s">
        <v>807</v>
      </c>
      <c r="T3062" s="795" t="s">
        <v>786</v>
      </c>
      <c r="U3062" s="4"/>
      <c r="V3062" s="4"/>
      <c r="W3062" s="4"/>
    </row>
    <row r="3063" spans="1:23" customFormat="1" ht="13">
      <c r="A3063" s="794" t="s">
        <v>5843</v>
      </c>
      <c r="B3063" s="795"/>
      <c r="C3063" s="795"/>
      <c r="D3063" s="795"/>
      <c r="E3063" s="795"/>
      <c r="F3063" s="795" t="s">
        <v>358</v>
      </c>
      <c r="G3063" s="795" t="s">
        <v>359</v>
      </c>
      <c r="H3063" s="797"/>
      <c r="I3063" s="810">
        <v>-355000</v>
      </c>
      <c r="J3063" s="810">
        <v>-250</v>
      </c>
      <c r="K3063" s="810">
        <v>1420</v>
      </c>
      <c r="L3063" s="798" t="s">
        <v>787</v>
      </c>
      <c r="M3063" s="795" t="s">
        <v>780</v>
      </c>
      <c r="N3063" s="796" t="s">
        <v>781</v>
      </c>
      <c r="O3063" s="795" t="s">
        <v>804</v>
      </c>
      <c r="P3063" s="795" t="s">
        <v>783</v>
      </c>
      <c r="Q3063" s="795" t="s">
        <v>805</v>
      </c>
      <c r="R3063" s="795" t="s">
        <v>810</v>
      </c>
      <c r="S3063" s="795" t="s">
        <v>807</v>
      </c>
      <c r="T3063" s="795" t="s">
        <v>786</v>
      </c>
      <c r="U3063" s="4"/>
      <c r="V3063" s="4"/>
      <c r="W3063" s="4"/>
    </row>
    <row r="3064" spans="1:23" customFormat="1" ht="13">
      <c r="A3064" s="794" t="s">
        <v>5843</v>
      </c>
      <c r="B3064" s="795"/>
      <c r="C3064" s="795"/>
      <c r="D3064" s="795"/>
      <c r="E3064" s="795"/>
      <c r="F3064" s="795" t="s">
        <v>358</v>
      </c>
      <c r="G3064" s="795" t="s">
        <v>359</v>
      </c>
      <c r="H3064" s="797"/>
      <c r="I3064" s="810">
        <v>-355710</v>
      </c>
      <c r="J3064" s="810">
        <v>-250.5</v>
      </c>
      <c r="K3064" s="810">
        <v>1420</v>
      </c>
      <c r="L3064" s="798" t="s">
        <v>787</v>
      </c>
      <c r="M3064" s="795" t="s">
        <v>780</v>
      </c>
      <c r="N3064" s="796" t="s">
        <v>1272</v>
      </c>
      <c r="O3064" s="795" t="s">
        <v>1282</v>
      </c>
      <c r="P3064" s="795" t="s">
        <v>783</v>
      </c>
      <c r="Q3064" s="795" t="s">
        <v>1283</v>
      </c>
      <c r="R3064" s="795" t="s">
        <v>1284</v>
      </c>
      <c r="S3064" s="795" t="s">
        <v>1285</v>
      </c>
      <c r="T3064" s="795" t="s">
        <v>786</v>
      </c>
      <c r="U3064" s="4"/>
      <c r="V3064" s="4"/>
      <c r="W3064" s="4"/>
    </row>
    <row r="3065" spans="1:23" customFormat="1" ht="13">
      <c r="A3065" s="794" t="s">
        <v>5843</v>
      </c>
      <c r="B3065" s="795"/>
      <c r="C3065" s="795"/>
      <c r="D3065" s="795"/>
      <c r="E3065" s="795"/>
      <c r="F3065" s="795" t="s">
        <v>358</v>
      </c>
      <c r="G3065" s="795" t="s">
        <v>359</v>
      </c>
      <c r="H3065" s="797"/>
      <c r="I3065" s="810">
        <v>361773.4</v>
      </c>
      <c r="J3065" s="810">
        <v>254.77</v>
      </c>
      <c r="K3065" s="810">
        <v>1420</v>
      </c>
      <c r="L3065" s="798" t="s">
        <v>787</v>
      </c>
      <c r="M3065" s="795" t="s">
        <v>780</v>
      </c>
      <c r="N3065" s="796" t="s">
        <v>781</v>
      </c>
      <c r="O3065" s="795" t="s">
        <v>830</v>
      </c>
      <c r="P3065" s="795" t="s">
        <v>783</v>
      </c>
      <c r="Q3065" s="795" t="s">
        <v>831</v>
      </c>
      <c r="R3065" s="795" t="s">
        <v>840</v>
      </c>
      <c r="S3065" s="795" t="s">
        <v>833</v>
      </c>
      <c r="T3065" s="795" t="s">
        <v>786</v>
      </c>
      <c r="U3065" s="4"/>
      <c r="V3065" s="4"/>
      <c r="W3065" s="4"/>
    </row>
    <row r="3066" spans="1:23" customFormat="1" ht="13">
      <c r="A3066" s="794" t="s">
        <v>5843</v>
      </c>
      <c r="B3066" s="795"/>
      <c r="C3066" s="795"/>
      <c r="D3066" s="795"/>
      <c r="E3066" s="795"/>
      <c r="F3066" s="795" t="s">
        <v>358</v>
      </c>
      <c r="G3066" s="795" t="s">
        <v>359</v>
      </c>
      <c r="H3066" s="797"/>
      <c r="I3066" s="810">
        <v>-374840.4</v>
      </c>
      <c r="J3066" s="810">
        <v>-256.74</v>
      </c>
      <c r="K3066" s="810">
        <v>1460</v>
      </c>
      <c r="L3066" s="798" t="s">
        <v>1049</v>
      </c>
      <c r="M3066" s="795" t="s">
        <v>780</v>
      </c>
      <c r="N3066" s="796" t="s">
        <v>1272</v>
      </c>
      <c r="O3066" s="795" t="s">
        <v>1326</v>
      </c>
      <c r="P3066" s="795" t="s">
        <v>892</v>
      </c>
      <c r="Q3066" s="795" t="s">
        <v>1327</v>
      </c>
      <c r="R3066" s="795"/>
      <c r="S3066" s="795" t="s">
        <v>1328</v>
      </c>
      <c r="T3066" s="795" t="s">
        <v>786</v>
      </c>
      <c r="U3066" s="4"/>
      <c r="V3066" s="4"/>
      <c r="W3066" s="4"/>
    </row>
    <row r="3067" spans="1:23" customFormat="1" ht="13">
      <c r="A3067" s="794" t="s">
        <v>5843</v>
      </c>
      <c r="B3067" s="795"/>
      <c r="C3067" s="795"/>
      <c r="D3067" s="795"/>
      <c r="E3067" s="795"/>
      <c r="F3067" s="795" t="s">
        <v>358</v>
      </c>
      <c r="G3067" s="795" t="s">
        <v>359</v>
      </c>
      <c r="H3067" s="797"/>
      <c r="I3067" s="810">
        <v>375307.6</v>
      </c>
      <c r="J3067" s="810">
        <v>257.06</v>
      </c>
      <c r="K3067" s="810">
        <v>1460</v>
      </c>
      <c r="L3067" s="798" t="s">
        <v>1049</v>
      </c>
      <c r="M3067" s="795" t="s">
        <v>780</v>
      </c>
      <c r="N3067" s="796" t="s">
        <v>781</v>
      </c>
      <c r="O3067" s="795" t="s">
        <v>1066</v>
      </c>
      <c r="P3067" s="795" t="s">
        <v>892</v>
      </c>
      <c r="Q3067" s="795" t="s">
        <v>1067</v>
      </c>
      <c r="R3067" s="795" t="s">
        <v>1070</v>
      </c>
      <c r="S3067" s="795" t="s">
        <v>1069</v>
      </c>
      <c r="T3067" s="795" t="s">
        <v>786</v>
      </c>
      <c r="U3067" s="4"/>
      <c r="V3067" s="4"/>
      <c r="W3067" s="4"/>
    </row>
    <row r="3068" spans="1:23" customFormat="1" ht="13">
      <c r="A3068" s="794" t="s">
        <v>5843</v>
      </c>
      <c r="B3068" s="795"/>
      <c r="C3068" s="795"/>
      <c r="D3068" s="795"/>
      <c r="E3068" s="795"/>
      <c r="F3068" s="795" t="s">
        <v>358</v>
      </c>
      <c r="G3068" s="795" t="s">
        <v>359</v>
      </c>
      <c r="H3068" s="797"/>
      <c r="I3068" s="810">
        <v>-2792600.4</v>
      </c>
      <c r="J3068" s="810">
        <v>-1966.62</v>
      </c>
      <c r="K3068" s="810">
        <v>1420</v>
      </c>
      <c r="L3068" s="798" t="s">
        <v>1098</v>
      </c>
      <c r="M3068" s="795" t="s">
        <v>780</v>
      </c>
      <c r="N3068" s="796" t="s">
        <v>1407</v>
      </c>
      <c r="O3068" s="795" t="s">
        <v>2338</v>
      </c>
      <c r="P3068" s="795" t="s">
        <v>892</v>
      </c>
      <c r="Q3068" s="795" t="s">
        <v>2339</v>
      </c>
      <c r="R3068" s="795" t="s">
        <v>2342</v>
      </c>
      <c r="S3068" s="795" t="s">
        <v>2341</v>
      </c>
      <c r="T3068" s="795" t="s">
        <v>786</v>
      </c>
      <c r="U3068" s="4"/>
      <c r="V3068" s="4"/>
      <c r="W3068" s="4"/>
    </row>
    <row r="3069" spans="1:23" customFormat="1" ht="13">
      <c r="A3069" s="794" t="s">
        <v>5843</v>
      </c>
      <c r="B3069" s="795"/>
      <c r="C3069" s="795"/>
      <c r="D3069" s="795"/>
      <c r="E3069" s="795"/>
      <c r="F3069" s="795" t="s">
        <v>358</v>
      </c>
      <c r="G3069" s="795" t="s">
        <v>359</v>
      </c>
      <c r="H3069" s="797"/>
      <c r="I3069" s="810">
        <v>2840000</v>
      </c>
      <c r="J3069" s="810">
        <v>2000</v>
      </c>
      <c r="K3069" s="810">
        <v>1420</v>
      </c>
      <c r="L3069" s="798" t="s">
        <v>1098</v>
      </c>
      <c r="M3069" s="795" t="s">
        <v>780</v>
      </c>
      <c r="N3069" s="796" t="s">
        <v>781</v>
      </c>
      <c r="O3069" s="795" t="s">
        <v>1175</v>
      </c>
      <c r="P3069" s="795" t="s">
        <v>892</v>
      </c>
      <c r="Q3069" s="795" t="s">
        <v>1176</v>
      </c>
      <c r="R3069" s="795" t="s">
        <v>1181</v>
      </c>
      <c r="S3069" s="795" t="s">
        <v>1178</v>
      </c>
      <c r="T3069" s="795" t="s">
        <v>786</v>
      </c>
      <c r="U3069" s="4"/>
      <c r="V3069" s="4"/>
      <c r="W3069" s="4"/>
    </row>
    <row r="3070" spans="1:23" customFormat="1" ht="13">
      <c r="A3070" s="794" t="s">
        <v>5843</v>
      </c>
      <c r="B3070" s="795"/>
      <c r="C3070" s="795"/>
      <c r="D3070" s="795"/>
      <c r="E3070" s="795"/>
      <c r="F3070" s="795" t="s">
        <v>358</v>
      </c>
      <c r="G3070" s="795" t="s">
        <v>359</v>
      </c>
      <c r="H3070" s="797"/>
      <c r="I3070" s="810">
        <v>-6981515.2000000002</v>
      </c>
      <c r="J3070" s="810">
        <v>-4916.5600000000004</v>
      </c>
      <c r="K3070" s="810">
        <v>1420</v>
      </c>
      <c r="L3070" s="798" t="s">
        <v>1098</v>
      </c>
      <c r="M3070" s="795" t="s">
        <v>780</v>
      </c>
      <c r="N3070" s="796" t="s">
        <v>1407</v>
      </c>
      <c r="O3070" s="795" t="s">
        <v>2338</v>
      </c>
      <c r="P3070" s="795" t="s">
        <v>892</v>
      </c>
      <c r="Q3070" s="795" t="s">
        <v>2339</v>
      </c>
      <c r="R3070" s="795" t="s">
        <v>2318</v>
      </c>
      <c r="S3070" s="795" t="s">
        <v>2341</v>
      </c>
      <c r="T3070" s="795" t="s">
        <v>786</v>
      </c>
      <c r="U3070" s="4"/>
      <c r="V3070" s="4"/>
      <c r="W3070" s="4"/>
    </row>
    <row r="3071" spans="1:23" customFormat="1" ht="13">
      <c r="A3071" s="794" t="s">
        <v>5843</v>
      </c>
      <c r="B3071" s="795"/>
      <c r="C3071" s="795"/>
      <c r="D3071" s="795"/>
      <c r="E3071" s="795"/>
      <c r="F3071" s="795" t="s">
        <v>358</v>
      </c>
      <c r="G3071" s="795" t="s">
        <v>359</v>
      </c>
      <c r="H3071" s="797"/>
      <c r="I3071" s="810">
        <v>7100000</v>
      </c>
      <c r="J3071" s="810">
        <v>5000</v>
      </c>
      <c r="K3071" s="810">
        <v>1420</v>
      </c>
      <c r="L3071" s="798" t="s">
        <v>1098</v>
      </c>
      <c r="M3071" s="795" t="s">
        <v>780</v>
      </c>
      <c r="N3071" s="796" t="s">
        <v>781</v>
      </c>
      <c r="O3071" s="795" t="s">
        <v>1175</v>
      </c>
      <c r="P3071" s="795" t="s">
        <v>892</v>
      </c>
      <c r="Q3071" s="795" t="s">
        <v>1176</v>
      </c>
      <c r="R3071" s="795" t="s">
        <v>1181</v>
      </c>
      <c r="S3071" s="795" t="s">
        <v>1178</v>
      </c>
      <c r="T3071" s="795" t="s">
        <v>786</v>
      </c>
      <c r="U3071" s="4"/>
      <c r="V3071" s="4"/>
      <c r="W3071" s="4"/>
    </row>
    <row r="3072" spans="1:23" customFormat="1" ht="13">
      <c r="A3072" s="794" t="s">
        <v>5843</v>
      </c>
      <c r="B3072" s="795"/>
      <c r="C3072" s="795"/>
      <c r="D3072" s="795"/>
      <c r="E3072" s="795"/>
      <c r="F3072" s="795" t="s">
        <v>358</v>
      </c>
      <c r="G3072" s="795" t="s">
        <v>359</v>
      </c>
      <c r="H3072" s="797"/>
      <c r="I3072" s="810">
        <v>-7300000</v>
      </c>
      <c r="J3072" s="810">
        <v>-5000</v>
      </c>
      <c r="K3072" s="810">
        <v>1460</v>
      </c>
      <c r="L3072" s="798" t="s">
        <v>1049</v>
      </c>
      <c r="M3072" s="795" t="s">
        <v>780</v>
      </c>
      <c r="N3072" s="796" t="s">
        <v>1272</v>
      </c>
      <c r="O3072" s="795" t="s">
        <v>1322</v>
      </c>
      <c r="P3072" s="795" t="s">
        <v>892</v>
      </c>
      <c r="Q3072" s="795" t="s">
        <v>1323</v>
      </c>
      <c r="R3072" s="795" t="s">
        <v>1324</v>
      </c>
      <c r="S3072" s="795" t="s">
        <v>1325</v>
      </c>
      <c r="T3072" s="795" t="s">
        <v>786</v>
      </c>
      <c r="U3072" s="4"/>
      <c r="V3072" s="4"/>
      <c r="W3072" s="4"/>
    </row>
    <row r="3073" spans="1:23" customFormat="1" ht="13">
      <c r="A3073" s="794" t="s">
        <v>5843</v>
      </c>
      <c r="B3073" s="795"/>
      <c r="C3073" s="795"/>
      <c r="D3073" s="795"/>
      <c r="E3073" s="795"/>
      <c r="F3073" s="795" t="s">
        <v>358</v>
      </c>
      <c r="G3073" s="795" t="s">
        <v>359</v>
      </c>
      <c r="H3073" s="797"/>
      <c r="I3073" s="810">
        <v>7300000</v>
      </c>
      <c r="J3073" s="810">
        <v>5000</v>
      </c>
      <c r="K3073" s="810">
        <v>1460</v>
      </c>
      <c r="L3073" s="798" t="s">
        <v>1049</v>
      </c>
      <c r="M3073" s="795" t="s">
        <v>780</v>
      </c>
      <c r="N3073" s="796" t="s">
        <v>781</v>
      </c>
      <c r="O3073" s="795" t="s">
        <v>1066</v>
      </c>
      <c r="P3073" s="795" t="s">
        <v>892</v>
      </c>
      <c r="Q3073" s="795" t="s">
        <v>1067</v>
      </c>
      <c r="R3073" s="795" t="s">
        <v>1073</v>
      </c>
      <c r="S3073" s="795" t="s">
        <v>1069</v>
      </c>
      <c r="T3073" s="795" t="s">
        <v>786</v>
      </c>
      <c r="U3073" s="4"/>
      <c r="V3073" s="4"/>
      <c r="W3073" s="4"/>
    </row>
    <row r="3074" spans="1:23" customFormat="1" ht="13">
      <c r="A3074" s="794" t="s">
        <v>5843</v>
      </c>
      <c r="B3074" s="795"/>
      <c r="C3074" s="795"/>
      <c r="D3074" s="795"/>
      <c r="E3074" s="795"/>
      <c r="F3074" s="795" t="s">
        <v>358</v>
      </c>
      <c r="G3074" s="795" t="s">
        <v>359</v>
      </c>
      <c r="H3074" s="797"/>
      <c r="I3074" s="810">
        <v>-10756500</v>
      </c>
      <c r="J3074" s="810">
        <v>-7575</v>
      </c>
      <c r="K3074" s="810">
        <v>1420</v>
      </c>
      <c r="L3074" s="798" t="s">
        <v>1210</v>
      </c>
      <c r="M3074" s="795" t="s">
        <v>780</v>
      </c>
      <c r="N3074" s="796" t="s">
        <v>781</v>
      </c>
      <c r="O3074" s="795" t="s">
        <v>1211</v>
      </c>
      <c r="P3074" s="795" t="s">
        <v>892</v>
      </c>
      <c r="Q3074" s="795" t="s">
        <v>1212</v>
      </c>
      <c r="R3074" s="795" t="s">
        <v>806</v>
      </c>
      <c r="S3074" s="795" t="s">
        <v>1213</v>
      </c>
      <c r="T3074" s="795" t="s">
        <v>786</v>
      </c>
      <c r="U3074" s="4"/>
      <c r="V3074" s="4"/>
      <c r="W3074" s="4"/>
    </row>
    <row r="3075" spans="1:23" customFormat="1" ht="13">
      <c r="A3075" s="794" t="s">
        <v>5843</v>
      </c>
      <c r="B3075" s="795"/>
      <c r="C3075" s="795"/>
      <c r="D3075" s="795"/>
      <c r="E3075" s="795"/>
      <c r="F3075" s="795" t="s">
        <v>358</v>
      </c>
      <c r="G3075" s="795" t="s">
        <v>359</v>
      </c>
      <c r="H3075" s="797"/>
      <c r="I3075" s="810">
        <v>10792000</v>
      </c>
      <c r="J3075" s="810">
        <v>7600</v>
      </c>
      <c r="K3075" s="810">
        <v>1420</v>
      </c>
      <c r="L3075" s="798" t="s">
        <v>1210</v>
      </c>
      <c r="M3075" s="795" t="s">
        <v>780</v>
      </c>
      <c r="N3075" s="796" t="s">
        <v>781</v>
      </c>
      <c r="O3075" s="795" t="s">
        <v>1221</v>
      </c>
      <c r="P3075" s="795" t="s">
        <v>892</v>
      </c>
      <c r="Q3075" s="795" t="s">
        <v>1222</v>
      </c>
      <c r="R3075" s="795" t="s">
        <v>1223</v>
      </c>
      <c r="S3075" s="795" t="s">
        <v>1224</v>
      </c>
      <c r="T3075" s="795" t="s">
        <v>786</v>
      </c>
      <c r="U3075" s="4"/>
      <c r="V3075" s="4"/>
      <c r="W3075" s="4"/>
    </row>
    <row r="3076" spans="1:23" customFormat="1" ht="13">
      <c r="A3076" s="794" t="s">
        <v>5843</v>
      </c>
      <c r="B3076" s="795"/>
      <c r="C3076" s="795"/>
      <c r="D3076" s="795"/>
      <c r="E3076" s="795"/>
      <c r="F3076" s="795" t="s">
        <v>358</v>
      </c>
      <c r="G3076" s="795" t="s">
        <v>359</v>
      </c>
      <c r="H3076" s="797"/>
      <c r="I3076" s="810">
        <v>-12034500</v>
      </c>
      <c r="J3076" s="810">
        <v>-8475</v>
      </c>
      <c r="K3076" s="810">
        <v>1420</v>
      </c>
      <c r="L3076" s="798" t="s">
        <v>1210</v>
      </c>
      <c r="M3076" s="795" t="s">
        <v>780</v>
      </c>
      <c r="N3076" s="796" t="s">
        <v>1407</v>
      </c>
      <c r="O3076" s="795" t="s">
        <v>2539</v>
      </c>
      <c r="P3076" s="795" t="s">
        <v>892</v>
      </c>
      <c r="Q3076" s="795" t="s">
        <v>2540</v>
      </c>
      <c r="R3076" s="795" t="s">
        <v>1432</v>
      </c>
      <c r="S3076" s="795" t="s">
        <v>2541</v>
      </c>
      <c r="T3076" s="795" t="s">
        <v>786</v>
      </c>
      <c r="U3076" s="4"/>
      <c r="V3076" s="4"/>
      <c r="W3076" s="4"/>
    </row>
    <row r="3077" spans="1:23" customFormat="1" ht="13">
      <c r="A3077" s="794" t="s">
        <v>5843</v>
      </c>
      <c r="B3077" s="795"/>
      <c r="C3077" s="795"/>
      <c r="D3077" s="795"/>
      <c r="E3077" s="795"/>
      <c r="F3077" s="795" t="s">
        <v>358</v>
      </c>
      <c r="G3077" s="795" t="s">
        <v>359</v>
      </c>
      <c r="H3077" s="797"/>
      <c r="I3077" s="810">
        <v>12070000</v>
      </c>
      <c r="J3077" s="810">
        <v>8500</v>
      </c>
      <c r="K3077" s="810">
        <v>1420</v>
      </c>
      <c r="L3077" s="798" t="s">
        <v>1210</v>
      </c>
      <c r="M3077" s="795" t="s">
        <v>780</v>
      </c>
      <c r="N3077" s="796" t="s">
        <v>1407</v>
      </c>
      <c r="O3077" s="795" t="s">
        <v>1221</v>
      </c>
      <c r="P3077" s="795" t="s">
        <v>892</v>
      </c>
      <c r="Q3077" s="795" t="s">
        <v>1222</v>
      </c>
      <c r="R3077" s="795" t="s">
        <v>2588</v>
      </c>
      <c r="S3077" s="795" t="s">
        <v>1224</v>
      </c>
      <c r="T3077" s="795" t="s">
        <v>786</v>
      </c>
      <c r="U3077" s="4"/>
      <c r="V3077" s="4"/>
      <c r="W3077" s="4"/>
    </row>
    <row r="3078" spans="1:23" customFormat="1" ht="13">
      <c r="A3078" s="794" t="s">
        <v>5843</v>
      </c>
      <c r="B3078" s="795"/>
      <c r="C3078" s="795"/>
      <c r="D3078" s="795"/>
      <c r="E3078" s="795"/>
      <c r="F3078" s="795" t="s">
        <v>358</v>
      </c>
      <c r="G3078" s="795" t="s">
        <v>359</v>
      </c>
      <c r="H3078" s="797"/>
      <c r="I3078" s="810">
        <v>-14064750</v>
      </c>
      <c r="J3078" s="810">
        <v>-9975</v>
      </c>
      <c r="K3078" s="810">
        <v>1410</v>
      </c>
      <c r="L3078" s="798" t="s">
        <v>890</v>
      </c>
      <c r="M3078" s="795" t="s">
        <v>780</v>
      </c>
      <c r="N3078" s="796" t="s">
        <v>781</v>
      </c>
      <c r="O3078" s="795" t="s">
        <v>909</v>
      </c>
      <c r="P3078" s="795" t="s">
        <v>892</v>
      </c>
      <c r="Q3078" s="795" t="s">
        <v>910</v>
      </c>
      <c r="R3078" s="795" t="s">
        <v>806</v>
      </c>
      <c r="S3078" s="795" t="s">
        <v>912</v>
      </c>
      <c r="T3078" s="795" t="s">
        <v>786</v>
      </c>
      <c r="U3078" s="4"/>
      <c r="V3078" s="4"/>
      <c r="W3078" s="4"/>
    </row>
    <row r="3079" spans="1:23" customFormat="1" ht="13">
      <c r="A3079" s="794" t="s">
        <v>5843</v>
      </c>
      <c r="B3079" s="795"/>
      <c r="C3079" s="795"/>
      <c r="D3079" s="795"/>
      <c r="E3079" s="795"/>
      <c r="F3079" s="795" t="s">
        <v>358</v>
      </c>
      <c r="G3079" s="795" t="s">
        <v>359</v>
      </c>
      <c r="H3079" s="797"/>
      <c r="I3079" s="810">
        <v>14100000</v>
      </c>
      <c r="J3079" s="810">
        <v>10000</v>
      </c>
      <c r="K3079" s="810">
        <v>1410</v>
      </c>
      <c r="L3079" s="798" t="s">
        <v>919</v>
      </c>
      <c r="M3079" s="795" t="s">
        <v>780</v>
      </c>
      <c r="N3079" s="796" t="s">
        <v>781</v>
      </c>
      <c r="O3079" s="795" t="s">
        <v>920</v>
      </c>
      <c r="P3079" s="795" t="s">
        <v>892</v>
      </c>
      <c r="Q3079" s="795" t="s">
        <v>921</v>
      </c>
      <c r="R3079" s="795" t="s">
        <v>925</v>
      </c>
      <c r="S3079" s="795" t="s">
        <v>923</v>
      </c>
      <c r="T3079" s="795" t="s">
        <v>786</v>
      </c>
      <c r="U3079" s="4"/>
      <c r="V3079" s="4"/>
      <c r="W3079" s="4"/>
    </row>
    <row r="3080" spans="1:23" customFormat="1" ht="13">
      <c r="A3080" s="794" t="s">
        <v>5843</v>
      </c>
      <c r="B3080" s="795"/>
      <c r="C3080" s="795"/>
      <c r="D3080" s="795"/>
      <c r="E3080" s="795"/>
      <c r="F3080" s="795" t="s">
        <v>358</v>
      </c>
      <c r="G3080" s="795" t="s">
        <v>359</v>
      </c>
      <c r="H3080" s="797"/>
      <c r="I3080" s="810">
        <v>-14164500</v>
      </c>
      <c r="J3080" s="810">
        <v>-9975</v>
      </c>
      <c r="K3080" s="810">
        <v>1420</v>
      </c>
      <c r="L3080" s="798" t="s">
        <v>1081</v>
      </c>
      <c r="M3080" s="795" t="s">
        <v>780</v>
      </c>
      <c r="N3080" s="796" t="s">
        <v>781</v>
      </c>
      <c r="O3080" s="795" t="s">
        <v>1085</v>
      </c>
      <c r="P3080" s="795" t="s">
        <v>892</v>
      </c>
      <c r="Q3080" s="795" t="s">
        <v>1086</v>
      </c>
      <c r="R3080" s="795" t="s">
        <v>806</v>
      </c>
      <c r="S3080" s="795" t="s">
        <v>1087</v>
      </c>
      <c r="T3080" s="795" t="s">
        <v>786</v>
      </c>
      <c r="U3080" s="4"/>
      <c r="V3080" s="4"/>
      <c r="W3080" s="4"/>
    </row>
    <row r="3081" spans="1:23" customFormat="1" ht="13">
      <c r="A3081" s="794" t="s">
        <v>5843</v>
      </c>
      <c r="B3081" s="795"/>
      <c r="C3081" s="795"/>
      <c r="D3081" s="795"/>
      <c r="E3081" s="795"/>
      <c r="F3081" s="795" t="s">
        <v>358</v>
      </c>
      <c r="G3081" s="795" t="s">
        <v>359</v>
      </c>
      <c r="H3081" s="797"/>
      <c r="I3081" s="810">
        <v>14300000</v>
      </c>
      <c r="J3081" s="810">
        <v>10000</v>
      </c>
      <c r="K3081" s="810">
        <v>1430</v>
      </c>
      <c r="L3081" s="798" t="s">
        <v>927</v>
      </c>
      <c r="M3081" s="795" t="s">
        <v>780</v>
      </c>
      <c r="N3081" s="796" t="s">
        <v>1407</v>
      </c>
      <c r="O3081" s="795" t="s">
        <v>928</v>
      </c>
      <c r="P3081" s="795" t="s">
        <v>892</v>
      </c>
      <c r="Q3081" s="795" t="s">
        <v>929</v>
      </c>
      <c r="R3081" s="795" t="s">
        <v>1746</v>
      </c>
      <c r="S3081" s="795" t="s">
        <v>931</v>
      </c>
      <c r="T3081" s="795" t="s">
        <v>786</v>
      </c>
      <c r="U3081" s="4"/>
      <c r="V3081" s="4"/>
      <c r="W3081" s="4"/>
    </row>
    <row r="3082" spans="1:23" customFormat="1" ht="13">
      <c r="A3082" s="794" t="s">
        <v>5843</v>
      </c>
      <c r="B3082" s="795"/>
      <c r="C3082" s="795"/>
      <c r="D3082" s="795"/>
      <c r="E3082" s="795"/>
      <c r="F3082" s="795" t="s">
        <v>358</v>
      </c>
      <c r="G3082" s="795" t="s">
        <v>359</v>
      </c>
      <c r="H3082" s="797"/>
      <c r="I3082" s="810">
        <v>-14200000</v>
      </c>
      <c r="J3082" s="810">
        <v>-10000</v>
      </c>
      <c r="K3082" s="810">
        <v>1420</v>
      </c>
      <c r="L3082" s="798" t="s">
        <v>2668</v>
      </c>
      <c r="M3082" s="795" t="s">
        <v>780</v>
      </c>
      <c r="N3082" s="796" t="s">
        <v>1407</v>
      </c>
      <c r="O3082" s="795" t="s">
        <v>2669</v>
      </c>
      <c r="P3082" s="795" t="s">
        <v>892</v>
      </c>
      <c r="Q3082" s="795" t="s">
        <v>2670</v>
      </c>
      <c r="R3082" s="795" t="s">
        <v>2671</v>
      </c>
      <c r="S3082" s="795" t="s">
        <v>2672</v>
      </c>
      <c r="T3082" s="795" t="s">
        <v>786</v>
      </c>
      <c r="U3082" s="4"/>
      <c r="V3082" s="4"/>
      <c r="W3082" s="4"/>
    </row>
    <row r="3083" spans="1:23" customFormat="1" ht="13">
      <c r="A3083" s="794" t="s">
        <v>5843</v>
      </c>
      <c r="B3083" s="795"/>
      <c r="C3083" s="795"/>
      <c r="D3083" s="795"/>
      <c r="E3083" s="795"/>
      <c r="F3083" s="795" t="s">
        <v>358</v>
      </c>
      <c r="G3083" s="795" t="s">
        <v>359</v>
      </c>
      <c r="H3083" s="797"/>
      <c r="I3083" s="810">
        <v>14200000</v>
      </c>
      <c r="J3083" s="810">
        <v>10000</v>
      </c>
      <c r="K3083" s="810">
        <v>1420</v>
      </c>
      <c r="L3083" s="798" t="s">
        <v>1258</v>
      </c>
      <c r="M3083" s="795" t="s">
        <v>780</v>
      </c>
      <c r="N3083" s="796" t="s">
        <v>1407</v>
      </c>
      <c r="O3083" s="795" t="s">
        <v>2554</v>
      </c>
      <c r="P3083" s="795" t="s">
        <v>892</v>
      </c>
      <c r="Q3083" s="795" t="s">
        <v>2555</v>
      </c>
      <c r="R3083" s="795" t="s">
        <v>2556</v>
      </c>
      <c r="S3083" s="795" t="s">
        <v>2557</v>
      </c>
      <c r="T3083" s="795" t="s">
        <v>786</v>
      </c>
      <c r="U3083" s="4"/>
      <c r="V3083" s="4"/>
      <c r="W3083" s="4"/>
    </row>
    <row r="3084" spans="1:23" customFormat="1" ht="13">
      <c r="A3084" s="794" t="s">
        <v>5843</v>
      </c>
      <c r="B3084" s="795"/>
      <c r="C3084" s="795"/>
      <c r="D3084" s="795"/>
      <c r="E3084" s="795"/>
      <c r="F3084" s="795" t="s">
        <v>358</v>
      </c>
      <c r="G3084" s="795" t="s">
        <v>359</v>
      </c>
      <c r="H3084" s="797"/>
      <c r="I3084" s="810">
        <v>-14200000</v>
      </c>
      <c r="J3084" s="810">
        <v>-10000</v>
      </c>
      <c r="K3084" s="810">
        <v>1420</v>
      </c>
      <c r="L3084" s="798" t="s">
        <v>1109</v>
      </c>
      <c r="M3084" s="795" t="s">
        <v>780</v>
      </c>
      <c r="N3084" s="796" t="s">
        <v>1407</v>
      </c>
      <c r="O3084" s="795" t="s">
        <v>1190</v>
      </c>
      <c r="P3084" s="795" t="s">
        <v>892</v>
      </c>
      <c r="Q3084" s="795" t="s">
        <v>1191</v>
      </c>
      <c r="R3084" s="795" t="s">
        <v>2452</v>
      </c>
      <c r="S3084" s="795" t="s">
        <v>1193</v>
      </c>
      <c r="T3084" s="795" t="s">
        <v>786</v>
      </c>
      <c r="U3084" s="4"/>
      <c r="V3084" s="4"/>
      <c r="W3084" s="4"/>
    </row>
    <row r="3085" spans="1:23" customFormat="1" ht="13">
      <c r="A3085" s="794" t="s">
        <v>5843</v>
      </c>
      <c r="B3085" s="795"/>
      <c r="C3085" s="795"/>
      <c r="D3085" s="795"/>
      <c r="E3085" s="795"/>
      <c r="F3085" s="795" t="s">
        <v>358</v>
      </c>
      <c r="G3085" s="795" t="s">
        <v>359</v>
      </c>
      <c r="H3085" s="797"/>
      <c r="I3085" s="810">
        <v>14200000</v>
      </c>
      <c r="J3085" s="810">
        <v>10000</v>
      </c>
      <c r="K3085" s="810">
        <v>1420</v>
      </c>
      <c r="L3085" s="798" t="s">
        <v>1109</v>
      </c>
      <c r="M3085" s="795" t="s">
        <v>780</v>
      </c>
      <c r="N3085" s="796" t="s">
        <v>781</v>
      </c>
      <c r="O3085" s="795" t="s">
        <v>1110</v>
      </c>
      <c r="P3085" s="795" t="s">
        <v>892</v>
      </c>
      <c r="Q3085" s="795" t="s">
        <v>1111</v>
      </c>
      <c r="R3085" s="795"/>
      <c r="S3085" s="795" t="s">
        <v>1112</v>
      </c>
      <c r="T3085" s="795" t="s">
        <v>786</v>
      </c>
      <c r="U3085" s="4"/>
      <c r="V3085" s="4"/>
      <c r="W3085" s="4"/>
    </row>
    <row r="3086" spans="1:23" customFormat="1" ht="13">
      <c r="A3086" s="794" t="s">
        <v>5843</v>
      </c>
      <c r="B3086" s="795"/>
      <c r="C3086" s="795"/>
      <c r="D3086" s="795"/>
      <c r="E3086" s="795"/>
      <c r="F3086" s="795" t="s">
        <v>358</v>
      </c>
      <c r="G3086" s="795" t="s">
        <v>359</v>
      </c>
      <c r="H3086" s="797"/>
      <c r="I3086" s="810">
        <v>-14200000</v>
      </c>
      <c r="J3086" s="810">
        <v>-10000</v>
      </c>
      <c r="K3086" s="810">
        <v>1420</v>
      </c>
      <c r="L3086" s="798" t="s">
        <v>2466</v>
      </c>
      <c r="M3086" s="795" t="s">
        <v>780</v>
      </c>
      <c r="N3086" s="796" t="s">
        <v>1407</v>
      </c>
      <c r="O3086" s="795" t="s">
        <v>2467</v>
      </c>
      <c r="P3086" s="795" t="s">
        <v>892</v>
      </c>
      <c r="Q3086" s="795" t="s">
        <v>2468</v>
      </c>
      <c r="R3086" s="795" t="s">
        <v>2469</v>
      </c>
      <c r="S3086" s="795" t="s">
        <v>2470</v>
      </c>
      <c r="T3086" s="795" t="s">
        <v>786</v>
      </c>
      <c r="U3086" s="4"/>
      <c r="V3086" s="4"/>
      <c r="W3086" s="4"/>
    </row>
    <row r="3087" spans="1:23" customFormat="1" ht="13">
      <c r="A3087" s="794" t="s">
        <v>5843</v>
      </c>
      <c r="B3087" s="795"/>
      <c r="C3087" s="795"/>
      <c r="D3087" s="795"/>
      <c r="E3087" s="795"/>
      <c r="F3087" s="795" t="s">
        <v>358</v>
      </c>
      <c r="G3087" s="795" t="s">
        <v>359</v>
      </c>
      <c r="H3087" s="797"/>
      <c r="I3087" s="810">
        <v>15000000</v>
      </c>
      <c r="J3087" s="810">
        <v>10000</v>
      </c>
      <c r="K3087" s="810">
        <v>1500</v>
      </c>
      <c r="L3087" s="798" t="s">
        <v>1045</v>
      </c>
      <c r="M3087" s="795" t="s">
        <v>780</v>
      </c>
      <c r="N3087" s="796" t="s">
        <v>1407</v>
      </c>
      <c r="O3087" s="795" t="s">
        <v>2164</v>
      </c>
      <c r="P3087" s="795" t="s">
        <v>892</v>
      </c>
      <c r="Q3087" s="795" t="s">
        <v>2165</v>
      </c>
      <c r="R3087" s="795" t="s">
        <v>2166</v>
      </c>
      <c r="S3087" s="795" t="s">
        <v>2167</v>
      </c>
      <c r="T3087" s="795" t="s">
        <v>786</v>
      </c>
      <c r="U3087" s="4"/>
      <c r="V3087" s="4"/>
      <c r="W3087" s="4"/>
    </row>
    <row r="3088" spans="1:23" customFormat="1" ht="13">
      <c r="A3088" s="794" t="s">
        <v>5843</v>
      </c>
      <c r="B3088" s="795"/>
      <c r="C3088" s="795"/>
      <c r="D3088" s="795"/>
      <c r="E3088" s="795"/>
      <c r="F3088" s="795" t="s">
        <v>358</v>
      </c>
      <c r="G3088" s="795" t="s">
        <v>359</v>
      </c>
      <c r="H3088" s="797"/>
      <c r="I3088" s="810">
        <v>-15584500</v>
      </c>
      <c r="J3088" s="810">
        <v>-10975</v>
      </c>
      <c r="K3088" s="810">
        <v>1420</v>
      </c>
      <c r="L3088" s="798" t="s">
        <v>1210</v>
      </c>
      <c r="M3088" s="795" t="s">
        <v>780</v>
      </c>
      <c r="N3088" s="796" t="s">
        <v>781</v>
      </c>
      <c r="O3088" s="795" t="s">
        <v>1211</v>
      </c>
      <c r="P3088" s="795" t="s">
        <v>892</v>
      </c>
      <c r="Q3088" s="795" t="s">
        <v>1212</v>
      </c>
      <c r="R3088" s="795" t="s">
        <v>806</v>
      </c>
      <c r="S3088" s="795" t="s">
        <v>1213</v>
      </c>
      <c r="T3088" s="795" t="s">
        <v>786</v>
      </c>
      <c r="U3088" s="4"/>
      <c r="V3088" s="4"/>
      <c r="W3088" s="4"/>
    </row>
    <row r="3089" spans="1:23" customFormat="1" ht="13">
      <c r="A3089" s="794" t="s">
        <v>5843</v>
      </c>
      <c r="B3089" s="795"/>
      <c r="C3089" s="795"/>
      <c r="D3089" s="795"/>
      <c r="E3089" s="795"/>
      <c r="F3089" s="795" t="s">
        <v>358</v>
      </c>
      <c r="G3089" s="795" t="s">
        <v>359</v>
      </c>
      <c r="H3089" s="797"/>
      <c r="I3089" s="810">
        <v>15620000</v>
      </c>
      <c r="J3089" s="810">
        <v>11000</v>
      </c>
      <c r="K3089" s="810">
        <v>1420</v>
      </c>
      <c r="L3089" s="798" t="s">
        <v>1210</v>
      </c>
      <c r="M3089" s="795" t="s">
        <v>780</v>
      </c>
      <c r="N3089" s="796" t="s">
        <v>781</v>
      </c>
      <c r="O3089" s="795" t="s">
        <v>1221</v>
      </c>
      <c r="P3089" s="795" t="s">
        <v>892</v>
      </c>
      <c r="Q3089" s="795" t="s">
        <v>1222</v>
      </c>
      <c r="R3089" s="795" t="s">
        <v>1225</v>
      </c>
      <c r="S3089" s="795" t="s">
        <v>1224</v>
      </c>
      <c r="T3089" s="795" t="s">
        <v>786</v>
      </c>
      <c r="U3089" s="4"/>
      <c r="V3089" s="4"/>
      <c r="W3089" s="4"/>
    </row>
    <row r="3090" spans="1:23" customFormat="1" ht="13">
      <c r="A3090" s="794" t="s">
        <v>5843</v>
      </c>
      <c r="B3090" s="795"/>
      <c r="C3090" s="795"/>
      <c r="D3090" s="795"/>
      <c r="E3090" s="795"/>
      <c r="F3090" s="795" t="s">
        <v>358</v>
      </c>
      <c r="G3090" s="795" t="s">
        <v>359</v>
      </c>
      <c r="H3090" s="797"/>
      <c r="I3090" s="810">
        <v>16900000</v>
      </c>
      <c r="J3090" s="810">
        <v>13000</v>
      </c>
      <c r="K3090" s="810">
        <v>1300</v>
      </c>
      <c r="L3090" s="798" t="s">
        <v>1406</v>
      </c>
      <c r="M3090" s="795" t="s">
        <v>780</v>
      </c>
      <c r="N3090" s="796" t="s">
        <v>1407</v>
      </c>
      <c r="O3090" s="795" t="s">
        <v>1441</v>
      </c>
      <c r="P3090" s="795" t="s">
        <v>783</v>
      </c>
      <c r="Q3090" s="795" t="s">
        <v>1442</v>
      </c>
      <c r="R3090" s="795" t="s">
        <v>1443</v>
      </c>
      <c r="S3090" s="795" t="s">
        <v>1444</v>
      </c>
      <c r="T3090" s="795" t="s">
        <v>786</v>
      </c>
      <c r="U3090" s="4"/>
      <c r="V3090" s="4"/>
      <c r="W3090" s="4"/>
    </row>
    <row r="3091" spans="1:23" customFormat="1" ht="13">
      <c r="A3091" s="794" t="s">
        <v>5843</v>
      </c>
      <c r="B3091" s="795"/>
      <c r="C3091" s="795"/>
      <c r="D3091" s="795"/>
      <c r="E3091" s="795"/>
      <c r="F3091" s="795" t="s">
        <v>358</v>
      </c>
      <c r="G3091" s="795" t="s">
        <v>359</v>
      </c>
      <c r="H3091" s="797"/>
      <c r="I3091" s="810">
        <v>-18070000</v>
      </c>
      <c r="J3091" s="810">
        <v>-13000</v>
      </c>
      <c r="K3091" s="810">
        <v>1390</v>
      </c>
      <c r="L3091" s="798" t="s">
        <v>899</v>
      </c>
      <c r="M3091" s="795" t="s">
        <v>780</v>
      </c>
      <c r="N3091" s="796" t="s">
        <v>1407</v>
      </c>
      <c r="O3091" s="795" t="s">
        <v>1802</v>
      </c>
      <c r="P3091" s="795" t="s">
        <v>892</v>
      </c>
      <c r="Q3091" s="795" t="s">
        <v>1803</v>
      </c>
      <c r="R3091" s="795" t="s">
        <v>1804</v>
      </c>
      <c r="S3091" s="795" t="s">
        <v>1805</v>
      </c>
      <c r="T3091" s="795" t="s">
        <v>786</v>
      </c>
      <c r="U3091" s="4"/>
      <c r="V3091" s="4"/>
      <c r="W3091" s="4"/>
    </row>
    <row r="3092" spans="1:23" customFormat="1" ht="13">
      <c r="A3092" s="794" t="s">
        <v>5843</v>
      </c>
      <c r="B3092" s="795"/>
      <c r="C3092" s="795"/>
      <c r="D3092" s="795"/>
      <c r="E3092" s="795"/>
      <c r="F3092" s="795" t="s">
        <v>358</v>
      </c>
      <c r="G3092" s="795" t="s">
        <v>359</v>
      </c>
      <c r="H3092" s="797"/>
      <c r="I3092" s="810">
        <v>-19844500</v>
      </c>
      <c r="J3092" s="810">
        <v>-13975</v>
      </c>
      <c r="K3092" s="810">
        <v>1420</v>
      </c>
      <c r="L3092" s="798" t="s">
        <v>787</v>
      </c>
      <c r="M3092" s="795" t="s">
        <v>780</v>
      </c>
      <c r="N3092" s="796" t="s">
        <v>781</v>
      </c>
      <c r="O3092" s="795" t="s">
        <v>804</v>
      </c>
      <c r="P3092" s="795" t="s">
        <v>783</v>
      </c>
      <c r="Q3092" s="795" t="s">
        <v>805</v>
      </c>
      <c r="R3092" s="795" t="s">
        <v>806</v>
      </c>
      <c r="S3092" s="795" t="s">
        <v>807</v>
      </c>
      <c r="T3092" s="795" t="s">
        <v>786</v>
      </c>
      <c r="U3092" s="4"/>
      <c r="V3092" s="4"/>
      <c r="W3092" s="4"/>
    </row>
    <row r="3093" spans="1:23" customFormat="1" ht="13">
      <c r="A3093" s="794" t="s">
        <v>5843</v>
      </c>
      <c r="B3093" s="795"/>
      <c r="C3093" s="795"/>
      <c r="D3093" s="795"/>
      <c r="E3093" s="795"/>
      <c r="F3093" s="795" t="s">
        <v>358</v>
      </c>
      <c r="G3093" s="795" t="s">
        <v>359</v>
      </c>
      <c r="H3093" s="797"/>
      <c r="I3093" s="810">
        <v>19880000</v>
      </c>
      <c r="J3093" s="810">
        <v>14000</v>
      </c>
      <c r="K3093" s="810">
        <v>1420</v>
      </c>
      <c r="L3093" s="798" t="s">
        <v>825</v>
      </c>
      <c r="M3093" s="795" t="s">
        <v>780</v>
      </c>
      <c r="N3093" s="796" t="s">
        <v>781</v>
      </c>
      <c r="O3093" s="795" t="s">
        <v>826</v>
      </c>
      <c r="P3093" s="795" t="s">
        <v>783</v>
      </c>
      <c r="Q3093" s="795" t="s">
        <v>827</v>
      </c>
      <c r="R3093" s="795" t="s">
        <v>828</v>
      </c>
      <c r="S3093" s="795" t="s">
        <v>829</v>
      </c>
      <c r="T3093" s="795" t="s">
        <v>786</v>
      </c>
      <c r="U3093" s="4"/>
      <c r="V3093" s="4"/>
      <c r="W3093" s="4"/>
    </row>
    <row r="3094" spans="1:23" customFormat="1" ht="13">
      <c r="A3094" s="794" t="s">
        <v>5843</v>
      </c>
      <c r="B3094" s="795"/>
      <c r="C3094" s="795"/>
      <c r="D3094" s="795"/>
      <c r="E3094" s="795"/>
      <c r="F3094" s="795" t="s">
        <v>358</v>
      </c>
      <c r="G3094" s="795" t="s">
        <v>359</v>
      </c>
      <c r="H3094" s="797"/>
      <c r="I3094" s="810">
        <v>27400000</v>
      </c>
      <c r="J3094" s="810">
        <v>20000</v>
      </c>
      <c r="K3094" s="810">
        <v>1370</v>
      </c>
      <c r="L3094" s="798" t="s">
        <v>817</v>
      </c>
      <c r="M3094" s="795" t="s">
        <v>780</v>
      </c>
      <c r="N3094" s="796" t="s">
        <v>781</v>
      </c>
      <c r="O3094" s="795" t="s">
        <v>818</v>
      </c>
      <c r="P3094" s="795" t="s">
        <v>783</v>
      </c>
      <c r="Q3094" s="795" t="s">
        <v>819</v>
      </c>
      <c r="R3094" s="795" t="s">
        <v>820</v>
      </c>
      <c r="S3094" s="795" t="s">
        <v>821</v>
      </c>
      <c r="T3094" s="795" t="s">
        <v>786</v>
      </c>
      <c r="U3094" s="4"/>
      <c r="V3094" s="4"/>
      <c r="W3094" s="4"/>
    </row>
    <row r="3095" spans="1:23" customFormat="1" ht="13">
      <c r="A3095" s="794" t="s">
        <v>5843</v>
      </c>
      <c r="B3095" s="795"/>
      <c r="C3095" s="795"/>
      <c r="D3095" s="795"/>
      <c r="E3095" s="795"/>
      <c r="F3095" s="795" t="s">
        <v>358</v>
      </c>
      <c r="G3095" s="795" t="s">
        <v>359</v>
      </c>
      <c r="H3095" s="797"/>
      <c r="I3095" s="810">
        <v>28400000</v>
      </c>
      <c r="J3095" s="810">
        <v>20000</v>
      </c>
      <c r="K3095" s="810">
        <v>1420</v>
      </c>
      <c r="L3095" s="798" t="s">
        <v>1135</v>
      </c>
      <c r="M3095" s="795" t="s">
        <v>780</v>
      </c>
      <c r="N3095" s="796" t="s">
        <v>781</v>
      </c>
      <c r="O3095" s="795" t="s">
        <v>1136</v>
      </c>
      <c r="P3095" s="795" t="s">
        <v>892</v>
      </c>
      <c r="Q3095" s="795" t="s">
        <v>1137</v>
      </c>
      <c r="R3095" s="795" t="s">
        <v>1140</v>
      </c>
      <c r="S3095" s="795" t="s">
        <v>1139</v>
      </c>
      <c r="T3095" s="795" t="s">
        <v>786</v>
      </c>
      <c r="U3095" s="4"/>
      <c r="V3095" s="4"/>
      <c r="W3095" s="4"/>
    </row>
    <row r="3096" spans="1:23" customFormat="1" ht="13">
      <c r="A3096" s="794" t="s">
        <v>5843</v>
      </c>
      <c r="B3096" s="795"/>
      <c r="C3096" s="795"/>
      <c r="D3096" s="795"/>
      <c r="E3096" s="795"/>
      <c r="F3096" s="795" t="s">
        <v>358</v>
      </c>
      <c r="G3096" s="795" t="s">
        <v>359</v>
      </c>
      <c r="H3096" s="797"/>
      <c r="I3096" s="810">
        <v>-28364500</v>
      </c>
      <c r="J3096" s="810">
        <v>-19975</v>
      </c>
      <c r="K3096" s="810">
        <v>1420</v>
      </c>
      <c r="L3096" s="798" t="s">
        <v>787</v>
      </c>
      <c r="M3096" s="795" t="s">
        <v>780</v>
      </c>
      <c r="N3096" s="796" t="s">
        <v>781</v>
      </c>
      <c r="O3096" s="795" t="s">
        <v>804</v>
      </c>
      <c r="P3096" s="795" t="s">
        <v>783</v>
      </c>
      <c r="Q3096" s="795" t="s">
        <v>805</v>
      </c>
      <c r="R3096" s="795" t="s">
        <v>808</v>
      </c>
      <c r="S3096" s="795" t="s">
        <v>807</v>
      </c>
      <c r="T3096" s="795" t="s">
        <v>786</v>
      </c>
      <c r="U3096" s="4"/>
      <c r="V3096" s="4"/>
      <c r="W3096" s="4"/>
    </row>
    <row r="3097" spans="1:23" customFormat="1" ht="13">
      <c r="A3097" s="794" t="s">
        <v>5843</v>
      </c>
      <c r="B3097" s="795"/>
      <c r="C3097" s="795"/>
      <c r="D3097" s="795"/>
      <c r="E3097" s="795"/>
      <c r="F3097" s="795" t="s">
        <v>358</v>
      </c>
      <c r="G3097" s="795" t="s">
        <v>359</v>
      </c>
      <c r="H3097" s="797"/>
      <c r="I3097" s="810">
        <v>-28364500</v>
      </c>
      <c r="J3097" s="810">
        <v>-19975</v>
      </c>
      <c r="K3097" s="810">
        <v>1420</v>
      </c>
      <c r="L3097" s="798" t="s">
        <v>1098</v>
      </c>
      <c r="M3097" s="795" t="s">
        <v>780</v>
      </c>
      <c r="N3097" s="796" t="s">
        <v>781</v>
      </c>
      <c r="O3097" s="795" t="s">
        <v>1099</v>
      </c>
      <c r="P3097" s="795" t="s">
        <v>892</v>
      </c>
      <c r="Q3097" s="795" t="s">
        <v>1100</v>
      </c>
      <c r="R3097" s="795" t="s">
        <v>806</v>
      </c>
      <c r="S3097" s="795" t="s">
        <v>1101</v>
      </c>
      <c r="T3097" s="795" t="s">
        <v>786</v>
      </c>
      <c r="U3097" s="4"/>
      <c r="V3097" s="4"/>
      <c r="W3097" s="4"/>
    </row>
    <row r="3098" spans="1:23" customFormat="1" ht="13">
      <c r="A3098" s="794" t="s">
        <v>5843</v>
      </c>
      <c r="B3098" s="795"/>
      <c r="C3098" s="795"/>
      <c r="D3098" s="795"/>
      <c r="E3098" s="795"/>
      <c r="F3098" s="795" t="s">
        <v>358</v>
      </c>
      <c r="G3098" s="795" t="s">
        <v>359</v>
      </c>
      <c r="H3098" s="797"/>
      <c r="I3098" s="810">
        <v>-29163500</v>
      </c>
      <c r="J3098" s="810">
        <v>-19975</v>
      </c>
      <c r="K3098" s="810">
        <v>1460</v>
      </c>
      <c r="L3098" s="798" t="s">
        <v>1049</v>
      </c>
      <c r="M3098" s="795" t="s">
        <v>780</v>
      </c>
      <c r="N3098" s="796" t="s">
        <v>1407</v>
      </c>
      <c r="O3098" s="795" t="s">
        <v>2124</v>
      </c>
      <c r="P3098" s="795" t="s">
        <v>892</v>
      </c>
      <c r="Q3098" s="795" t="s">
        <v>2125</v>
      </c>
      <c r="R3098" s="795" t="s">
        <v>1434</v>
      </c>
      <c r="S3098" s="795" t="s">
        <v>2126</v>
      </c>
      <c r="T3098" s="795" t="s">
        <v>786</v>
      </c>
      <c r="U3098" s="4"/>
      <c r="V3098" s="4"/>
      <c r="W3098" s="4"/>
    </row>
    <row r="3099" spans="1:23" customFormat="1" ht="13">
      <c r="A3099" s="794" t="s">
        <v>5843</v>
      </c>
      <c r="B3099" s="795"/>
      <c r="C3099" s="795"/>
      <c r="D3099" s="795"/>
      <c r="E3099" s="795"/>
      <c r="F3099" s="795" t="s">
        <v>358</v>
      </c>
      <c r="G3099" s="795" t="s">
        <v>359</v>
      </c>
      <c r="H3099" s="797"/>
      <c r="I3099" s="810">
        <v>29200000</v>
      </c>
      <c r="J3099" s="810">
        <v>20000</v>
      </c>
      <c r="K3099" s="810">
        <v>1460</v>
      </c>
      <c r="L3099" s="798" t="s">
        <v>1045</v>
      </c>
      <c r="M3099" s="795" t="s">
        <v>780</v>
      </c>
      <c r="N3099" s="796" t="s">
        <v>1407</v>
      </c>
      <c r="O3099" s="795" t="s">
        <v>2164</v>
      </c>
      <c r="P3099" s="795" t="s">
        <v>892</v>
      </c>
      <c r="Q3099" s="795" t="s">
        <v>2165</v>
      </c>
      <c r="R3099" s="795" t="s">
        <v>2168</v>
      </c>
      <c r="S3099" s="795" t="s">
        <v>2167</v>
      </c>
      <c r="T3099" s="795" t="s">
        <v>786</v>
      </c>
      <c r="U3099" s="4"/>
      <c r="V3099" s="4"/>
      <c r="W3099" s="4"/>
    </row>
    <row r="3100" spans="1:23" customFormat="1" ht="13">
      <c r="A3100" s="794" t="s">
        <v>5843</v>
      </c>
      <c r="B3100" s="795"/>
      <c r="C3100" s="795"/>
      <c r="D3100" s="795"/>
      <c r="E3100" s="795"/>
      <c r="F3100" s="795" t="s">
        <v>358</v>
      </c>
      <c r="G3100" s="795" t="s">
        <v>359</v>
      </c>
      <c r="H3100" s="797"/>
      <c r="I3100" s="810">
        <v>-35200650</v>
      </c>
      <c r="J3100" s="810">
        <v>-24965</v>
      </c>
      <c r="K3100" s="810">
        <v>1410</v>
      </c>
      <c r="L3100" s="798" t="s">
        <v>890</v>
      </c>
      <c r="M3100" s="795" t="s">
        <v>780</v>
      </c>
      <c r="N3100" s="796" t="s">
        <v>1407</v>
      </c>
      <c r="O3100" s="795" t="s">
        <v>1617</v>
      </c>
      <c r="P3100" s="795" t="s">
        <v>892</v>
      </c>
      <c r="Q3100" s="795" t="s">
        <v>1618</v>
      </c>
      <c r="R3100" s="795" t="s">
        <v>1432</v>
      </c>
      <c r="S3100" s="795" t="s">
        <v>1619</v>
      </c>
      <c r="T3100" s="795" t="s">
        <v>786</v>
      </c>
      <c r="U3100" s="4"/>
      <c r="V3100" s="4"/>
      <c r="W3100" s="4"/>
    </row>
    <row r="3101" spans="1:23" customFormat="1" ht="13">
      <c r="A3101" s="794" t="s">
        <v>5843</v>
      </c>
      <c r="B3101" s="795"/>
      <c r="C3101" s="795"/>
      <c r="D3101" s="795"/>
      <c r="E3101" s="795"/>
      <c r="F3101" s="795" t="s">
        <v>358</v>
      </c>
      <c r="G3101" s="795" t="s">
        <v>359</v>
      </c>
      <c r="H3101" s="797"/>
      <c r="I3101" s="810">
        <v>35250000</v>
      </c>
      <c r="J3101" s="810">
        <v>25000</v>
      </c>
      <c r="K3101" s="810">
        <v>1410</v>
      </c>
      <c r="L3101" s="798" t="s">
        <v>919</v>
      </c>
      <c r="M3101" s="795" t="s">
        <v>780</v>
      </c>
      <c r="N3101" s="796" t="s">
        <v>1407</v>
      </c>
      <c r="O3101" s="795" t="s">
        <v>920</v>
      </c>
      <c r="P3101" s="795" t="s">
        <v>892</v>
      </c>
      <c r="Q3101" s="795" t="s">
        <v>921</v>
      </c>
      <c r="R3101" s="795" t="s">
        <v>1725</v>
      </c>
      <c r="S3101" s="795" t="s">
        <v>923</v>
      </c>
      <c r="T3101" s="795" t="s">
        <v>786</v>
      </c>
      <c r="U3101" s="4"/>
      <c r="V3101" s="4"/>
      <c r="W3101" s="4"/>
    </row>
    <row r="3102" spans="1:23" customFormat="1" ht="13">
      <c r="A3102" s="794" t="s">
        <v>5843</v>
      </c>
      <c r="B3102" s="795"/>
      <c r="C3102" s="795"/>
      <c r="D3102" s="795"/>
      <c r="E3102" s="795"/>
      <c r="F3102" s="795" t="s">
        <v>358</v>
      </c>
      <c r="G3102" s="795" t="s">
        <v>359</v>
      </c>
      <c r="H3102" s="797"/>
      <c r="I3102" s="810">
        <v>-36942050</v>
      </c>
      <c r="J3102" s="810">
        <v>-26965</v>
      </c>
      <c r="K3102" s="810">
        <v>1370</v>
      </c>
      <c r="L3102" s="798" t="s">
        <v>787</v>
      </c>
      <c r="M3102" s="795" t="s">
        <v>780</v>
      </c>
      <c r="N3102" s="796" t="s">
        <v>1407</v>
      </c>
      <c r="O3102" s="795" t="s">
        <v>1430</v>
      </c>
      <c r="P3102" s="795" t="s">
        <v>783</v>
      </c>
      <c r="Q3102" s="795" t="s">
        <v>1431</v>
      </c>
      <c r="R3102" s="795" t="s">
        <v>1434</v>
      </c>
      <c r="S3102" s="795" t="s">
        <v>1433</v>
      </c>
      <c r="T3102" s="795" t="s">
        <v>786</v>
      </c>
      <c r="U3102" s="4"/>
      <c r="V3102" s="4"/>
      <c r="W3102" s="4"/>
    </row>
    <row r="3103" spans="1:23" customFormat="1" ht="13">
      <c r="A3103" s="794" t="s">
        <v>5843</v>
      </c>
      <c r="B3103" s="795"/>
      <c r="C3103" s="795"/>
      <c r="D3103" s="795"/>
      <c r="E3103" s="795"/>
      <c r="F3103" s="795" t="s">
        <v>358</v>
      </c>
      <c r="G3103" s="795" t="s">
        <v>359</v>
      </c>
      <c r="H3103" s="797"/>
      <c r="I3103" s="810">
        <v>36990000</v>
      </c>
      <c r="J3103" s="810">
        <v>27000</v>
      </c>
      <c r="K3103" s="810">
        <v>1370</v>
      </c>
      <c r="L3103" s="798" t="s">
        <v>817</v>
      </c>
      <c r="M3103" s="795" t="s">
        <v>780</v>
      </c>
      <c r="N3103" s="796" t="s">
        <v>1407</v>
      </c>
      <c r="O3103" s="795" t="s">
        <v>818</v>
      </c>
      <c r="P3103" s="795" t="s">
        <v>783</v>
      </c>
      <c r="Q3103" s="795" t="s">
        <v>819</v>
      </c>
      <c r="R3103" s="795" t="s">
        <v>1439</v>
      </c>
      <c r="S3103" s="795" t="s">
        <v>821</v>
      </c>
      <c r="T3103" s="795" t="s">
        <v>786</v>
      </c>
      <c r="U3103" s="4"/>
      <c r="V3103" s="4"/>
      <c r="W3103" s="4"/>
    </row>
    <row r="3104" spans="1:23" customFormat="1" ht="13">
      <c r="A3104" s="794" t="s">
        <v>5843</v>
      </c>
      <c r="B3104" s="795"/>
      <c r="C3104" s="795"/>
      <c r="D3104" s="795"/>
      <c r="E3104" s="795"/>
      <c r="F3104" s="795" t="s">
        <v>358</v>
      </c>
      <c r="G3104" s="795" t="s">
        <v>359</v>
      </c>
      <c r="H3104" s="797"/>
      <c r="I3104" s="810">
        <v>-45390300</v>
      </c>
      <c r="J3104" s="810">
        <v>-31965</v>
      </c>
      <c r="K3104" s="810">
        <v>1420</v>
      </c>
      <c r="L3104" s="798" t="s">
        <v>787</v>
      </c>
      <c r="M3104" s="795" t="s">
        <v>780</v>
      </c>
      <c r="N3104" s="796" t="s">
        <v>1407</v>
      </c>
      <c r="O3104" s="795" t="s">
        <v>1430</v>
      </c>
      <c r="P3104" s="795" t="s">
        <v>783</v>
      </c>
      <c r="Q3104" s="795" t="s">
        <v>1431</v>
      </c>
      <c r="R3104" s="795" t="s">
        <v>1432</v>
      </c>
      <c r="S3104" s="795" t="s">
        <v>1433</v>
      </c>
      <c r="T3104" s="795" t="s">
        <v>786</v>
      </c>
      <c r="U3104" s="4"/>
      <c r="V3104" s="4"/>
      <c r="W3104" s="4"/>
    </row>
    <row r="3105" spans="1:40" customFormat="1" ht="13">
      <c r="A3105" s="794" t="s">
        <v>5843</v>
      </c>
      <c r="B3105" s="795"/>
      <c r="C3105" s="795"/>
      <c r="D3105" s="795"/>
      <c r="E3105" s="795"/>
      <c r="F3105" s="795" t="s">
        <v>358</v>
      </c>
      <c r="G3105" s="795" t="s">
        <v>359</v>
      </c>
      <c r="H3105" s="797"/>
      <c r="I3105" s="810">
        <v>45440000</v>
      </c>
      <c r="J3105" s="810">
        <v>32000</v>
      </c>
      <c r="K3105" s="810">
        <v>1420</v>
      </c>
      <c r="L3105" s="798" t="s">
        <v>825</v>
      </c>
      <c r="M3105" s="795" t="s">
        <v>780</v>
      </c>
      <c r="N3105" s="796" t="s">
        <v>1407</v>
      </c>
      <c r="O3105" s="795" t="s">
        <v>826</v>
      </c>
      <c r="P3105" s="795" t="s">
        <v>783</v>
      </c>
      <c r="Q3105" s="795" t="s">
        <v>827</v>
      </c>
      <c r="R3105" s="795" t="s">
        <v>1445</v>
      </c>
      <c r="S3105" s="795" t="s">
        <v>829</v>
      </c>
      <c r="T3105" s="795" t="s">
        <v>786</v>
      </c>
      <c r="U3105" s="4"/>
      <c r="V3105" s="4"/>
      <c r="W3105" s="4"/>
    </row>
    <row r="3106" spans="1:40" ht="14.5">
      <c r="D3106" s="4"/>
      <c r="E3106" s="4"/>
      <c r="X3106" s="5"/>
      <c r="Y3106" s="508"/>
      <c r="Z3106" s="508"/>
      <c r="AA3106" s="508"/>
      <c r="AB3106" s="508"/>
      <c r="AC3106" s="508"/>
      <c r="AD3106" s="508"/>
      <c r="AE3106" s="508"/>
      <c r="AF3106" s="508"/>
      <c r="AG3106" s="508"/>
      <c r="AH3106" s="508"/>
      <c r="AI3106" s="508"/>
      <c r="AJ3106" s="508"/>
      <c r="AK3106" s="508"/>
      <c r="AL3106" s="508"/>
      <c r="AM3106" s="508"/>
      <c r="AN3106" s="508"/>
    </row>
    <row r="3107" spans="1:40">
      <c r="D3107" s="4"/>
      <c r="E3107" s="4"/>
    </row>
    <row r="3108" spans="1:40" ht="37.5">
      <c r="A3108" s="11" t="s">
        <v>84</v>
      </c>
      <c r="B3108" s="11" t="s">
        <v>84</v>
      </c>
      <c r="C3108" s="11" t="s">
        <v>84</v>
      </c>
      <c r="D3108" s="11" t="s">
        <v>84</v>
      </c>
      <c r="E3108" s="11" t="s">
        <v>84</v>
      </c>
      <c r="F3108" s="12" t="s">
        <v>84</v>
      </c>
      <c r="G3108" s="12" t="s">
        <v>84</v>
      </c>
      <c r="H3108" s="12" t="s">
        <v>84</v>
      </c>
      <c r="I3108" s="150" t="s">
        <v>84</v>
      </c>
      <c r="J3108" s="150" t="s">
        <v>84</v>
      </c>
      <c r="K3108" s="150" t="s">
        <v>84</v>
      </c>
      <c r="L3108" s="457" t="s">
        <v>84</v>
      </c>
      <c r="M3108" s="12" t="s">
        <v>84</v>
      </c>
      <c r="N3108" s="12" t="s">
        <v>84</v>
      </c>
      <c r="O3108" s="12" t="s">
        <v>84</v>
      </c>
      <c r="P3108" s="12" t="s">
        <v>84</v>
      </c>
      <c r="Q3108" s="12" t="s">
        <v>84</v>
      </c>
      <c r="R3108" s="12" t="s">
        <v>84</v>
      </c>
      <c r="S3108" s="12" t="s">
        <v>84</v>
      </c>
      <c r="T3108" s="12" t="s">
        <v>84</v>
      </c>
      <c r="U3108" s="12" t="s">
        <v>84</v>
      </c>
      <c r="V3108" s="12" t="s">
        <v>84</v>
      </c>
      <c r="W3108" s="12" t="s">
        <v>84</v>
      </c>
    </row>
  </sheetData>
  <autoFilter ref="A10:AA3108"/>
  <sortState ref="A3081:IV3086">
    <sortCondition ref="L3081"/>
  </sortState>
  <mergeCells count="4">
    <mergeCell ref="A310:A325"/>
    <mergeCell ref="A676:A677"/>
    <mergeCell ref="A905:A943"/>
    <mergeCell ref="A13:A28"/>
  </mergeCells>
  <conditionalFormatting sqref="G7:G8">
    <cfRule type="cellIs" dxfId="199" priority="1" stopIfTrue="1" operator="equal">
      <formula>"Check"</formula>
    </cfRule>
  </conditionalFormatting>
  <pageMargins left="0.75" right="0.75" top="1" bottom="1" header="0.3" footer="0.3"/>
  <pageSetup paperSize="9" orientation="portrait" r:id="rId1"/>
</worksheet>
</file>

<file path=xl/worksheets/sheet3.xml><?xml version="1.0" encoding="utf-8"?>
<worksheet xmlns="http://schemas.openxmlformats.org/spreadsheetml/2006/main" xmlns:r="http://schemas.openxmlformats.org/officeDocument/2006/relationships">
  <sheetPr codeName="Sheet4"/>
  <dimension ref="A1:AN20"/>
  <sheetViews>
    <sheetView zoomScale="70" zoomScaleNormal="70" workbookViewId="0">
      <pane xSplit="8" ySplit="10" topLeftCell="I11" activePane="bottomRight" state="frozen"/>
      <selection activeCell="G16" sqref="G16"/>
      <selection pane="topRight" activeCell="G16" sqref="G16"/>
      <selection pane="bottomLeft" activeCell="G16" sqref="G16"/>
      <selection pane="bottomRight" activeCell="G15" sqref="A15:XFD1143"/>
    </sheetView>
  </sheetViews>
  <sheetFormatPr baseColWidth="10" defaultColWidth="11.453125" defaultRowHeight="12.5"/>
  <cols>
    <col min="1" max="1" width="15.453125" style="10" bestFit="1" customWidth="1"/>
    <col min="2" max="2" width="30.81640625" style="4" bestFit="1" customWidth="1"/>
    <col min="3" max="3" width="8.1796875" style="4" bestFit="1" customWidth="1"/>
    <col min="4" max="4" width="13.1796875" style="133" customWidth="1"/>
    <col min="5" max="5" width="33.453125" style="4" bestFit="1" customWidth="1"/>
    <col min="6" max="6" width="10.81640625" style="152" bestFit="1" customWidth="1"/>
    <col min="7" max="7" width="39.453125" style="4" bestFit="1" customWidth="1"/>
    <col min="8" max="8" width="13" style="4" bestFit="1" customWidth="1"/>
    <col min="9" max="9" width="18.453125" style="5" bestFit="1" customWidth="1"/>
    <col min="10" max="10" width="19.1796875" style="5" bestFit="1" customWidth="1"/>
    <col min="11" max="11" width="12.81640625" style="5" bestFit="1" customWidth="1"/>
    <col min="12" max="12" width="11.81640625" style="133" bestFit="1" customWidth="1"/>
    <col min="13" max="13" width="18.81640625" style="4" customWidth="1"/>
    <col min="14" max="14" width="12.453125" style="4" bestFit="1" customWidth="1"/>
    <col min="15" max="15" width="21.453125" style="4" bestFit="1" customWidth="1"/>
    <col min="16" max="16" width="41.453125" style="4" bestFit="1" customWidth="1"/>
    <col min="17" max="17" width="13.81640625" style="4" hidden="1" customWidth="1"/>
    <col min="18" max="18" width="31" style="4" hidden="1" customWidth="1"/>
    <col min="19" max="19" width="15.81640625" style="4" hidden="1" customWidth="1"/>
    <col min="20" max="20" width="21.81640625" style="4" hidden="1" customWidth="1"/>
    <col min="21" max="21" width="38.81640625" style="4" bestFit="1" customWidth="1"/>
    <col min="22" max="22" width="35.81640625" style="4" bestFit="1" customWidth="1"/>
    <col min="23" max="23" width="14.453125" style="4" bestFit="1" customWidth="1"/>
    <col min="24" max="24" width="9.1796875" style="4" bestFit="1" customWidth="1"/>
    <col min="25" max="25" width="11.453125" style="4"/>
    <col min="26" max="26" width="11.453125" style="4" bestFit="1" customWidth="1"/>
    <col min="27" max="27" width="3" style="4" bestFit="1" customWidth="1"/>
    <col min="28" max="28" width="11.453125" style="4"/>
    <col min="29" max="29" width="11.453125" style="4" bestFit="1" customWidth="1"/>
    <col min="30" max="30" width="20" style="4" bestFit="1" customWidth="1"/>
    <col min="31" max="31" width="4.1796875" style="4" bestFit="1" customWidth="1"/>
    <col min="32" max="32" width="23.453125" style="4" bestFit="1" customWidth="1"/>
    <col min="33" max="33" width="42.81640625" style="4" bestFit="1" customWidth="1"/>
    <col min="34" max="34" width="17.1796875" style="4" bestFit="1" customWidth="1"/>
    <col min="35" max="35" width="35.1796875" style="4" bestFit="1" customWidth="1"/>
    <col min="36" max="36" width="17.1796875" style="4" bestFit="1" customWidth="1"/>
    <col min="37" max="37" width="24.453125" style="4" bestFit="1" customWidth="1"/>
    <col min="38" max="39" width="42.453125" style="4" bestFit="1" customWidth="1"/>
    <col min="40" max="40" width="8.453125" style="4" bestFit="1" customWidth="1"/>
    <col min="41" max="16384" width="11.453125" style="4"/>
  </cols>
  <sheetData>
    <row r="1" spans="1:40">
      <c r="G1" s="152"/>
    </row>
    <row r="2" spans="1:40" ht="13">
      <c r="G2" s="305" t="s">
        <v>140</v>
      </c>
    </row>
    <row r="3" spans="1:40" ht="13">
      <c r="G3" s="305" t="s">
        <v>152</v>
      </c>
    </row>
    <row r="4" spans="1:40" ht="13">
      <c r="G4" s="305" t="s">
        <v>155</v>
      </c>
    </row>
    <row r="5" spans="1:40" ht="13">
      <c r="G5" s="305" t="s">
        <v>162</v>
      </c>
    </row>
    <row r="6" spans="1:40" ht="13" thickBot="1"/>
    <row r="7" spans="1:40" ht="13.5" thickBot="1">
      <c r="C7" s="10"/>
      <c r="D7" s="10"/>
      <c r="G7" s="110" t="str">
        <f>+IF(I7+J7=0,"Ok","Check")</f>
        <v>Ok</v>
      </c>
      <c r="I7" s="6">
        <f>ROUND(SUM(I10:I166),0)</f>
        <v>0</v>
      </c>
      <c r="J7" s="6">
        <f>ROUND(SUM(J10:J166),0)</f>
        <v>0</v>
      </c>
    </row>
    <row r="8" spans="1:40" ht="13.5" thickBot="1">
      <c r="C8" s="10"/>
      <c r="D8" s="9" t="s">
        <v>77</v>
      </c>
      <c r="E8" s="4" t="s">
        <v>142</v>
      </c>
      <c r="G8" s="110" t="str">
        <f ca="1">+Resumen_Base!D1</f>
        <v>Ok</v>
      </c>
    </row>
    <row r="9" spans="1:40" ht="13.5" thickBot="1">
      <c r="B9" s="4" t="str">
        <f>+F9&amp;$C$9&amp;G9</f>
        <v xml:space="preserve"> </v>
      </c>
      <c r="C9" s="9" t="s">
        <v>87</v>
      </c>
      <c r="D9" s="133" t="e">
        <f>+VLOOKUP(F9,Resumen_Base!$C$8:$F$26,4,0)</f>
        <v>#N/A</v>
      </c>
      <c r="E9" s="4" t="e">
        <f>+VLOOKUP(F9,Resumen_Base!$C$8:$G$156,5,0)</f>
        <v>#N/A</v>
      </c>
      <c r="H9" s="4" t="e">
        <f>+D9&amp;F9</f>
        <v>#N/A</v>
      </c>
      <c r="I9" s="6">
        <f>SUM(I10:I14)</f>
        <v>0</v>
      </c>
      <c r="J9" s="6">
        <f>SUM(J10:J14)</f>
        <v>0</v>
      </c>
    </row>
    <row r="10" spans="1:40" ht="29">
      <c r="B10" s="13" t="s">
        <v>126</v>
      </c>
      <c r="C10" s="10"/>
      <c r="D10" s="13" t="s">
        <v>75</v>
      </c>
      <c r="E10" s="7" t="s">
        <v>76</v>
      </c>
      <c r="F10" s="153" t="s">
        <v>24</v>
      </c>
      <c r="G10" s="7" t="s">
        <v>23</v>
      </c>
      <c r="H10" s="7"/>
      <c r="I10" s="8" t="s">
        <v>22</v>
      </c>
      <c r="J10" s="8" t="s">
        <v>20</v>
      </c>
      <c r="K10" s="331" t="s">
        <v>74</v>
      </c>
      <c r="L10" s="7" t="s">
        <v>18</v>
      </c>
      <c r="M10" s="7" t="s">
        <v>17</v>
      </c>
      <c r="N10" s="7" t="s">
        <v>16</v>
      </c>
      <c r="O10" s="7" t="s">
        <v>15</v>
      </c>
      <c r="P10" s="7" t="s">
        <v>14</v>
      </c>
      <c r="Q10" s="7" t="s">
        <v>13</v>
      </c>
      <c r="R10" s="7" t="s">
        <v>12</v>
      </c>
      <c r="S10" s="7" t="s">
        <v>11</v>
      </c>
      <c r="T10" s="7" t="s">
        <v>10</v>
      </c>
      <c r="U10" s="7" t="s">
        <v>9</v>
      </c>
      <c r="V10" s="7" t="s">
        <v>8</v>
      </c>
      <c r="W10" s="7" t="s">
        <v>7</v>
      </c>
      <c r="X10" s="8" t="s">
        <v>21</v>
      </c>
      <c r="Y10" s="7"/>
      <c r="Z10" s="7" t="s">
        <v>20</v>
      </c>
      <c r="AA10" s="7" t="s">
        <v>19</v>
      </c>
      <c r="AC10" s="212" t="s">
        <v>18</v>
      </c>
      <c r="AD10" s="212" t="s">
        <v>17</v>
      </c>
      <c r="AE10" s="212" t="s">
        <v>16</v>
      </c>
      <c r="AF10" s="212" t="s">
        <v>15</v>
      </c>
      <c r="AG10" s="212" t="s">
        <v>14</v>
      </c>
      <c r="AH10" s="212" t="s">
        <v>13</v>
      </c>
      <c r="AI10" s="212" t="s">
        <v>12</v>
      </c>
      <c r="AJ10" s="212" t="s">
        <v>11</v>
      </c>
      <c r="AK10" s="212" t="s">
        <v>10</v>
      </c>
      <c r="AL10" s="306" t="s">
        <v>9</v>
      </c>
      <c r="AM10" s="212" t="s">
        <v>8</v>
      </c>
      <c r="AN10" s="212" t="s">
        <v>7</v>
      </c>
    </row>
    <row r="11" spans="1:40" ht="14.5">
      <c r="A11" s="361"/>
      <c r="F11" s="211"/>
      <c r="G11" s="212"/>
      <c r="H11" s="212"/>
      <c r="I11" s="213"/>
      <c r="J11" s="213"/>
      <c r="K11" s="213"/>
      <c r="L11" s="209"/>
      <c r="M11" s="209"/>
      <c r="X11" s="5"/>
      <c r="AC11" s="212"/>
      <c r="AD11" s="212"/>
      <c r="AE11" s="212"/>
      <c r="AF11" s="212"/>
      <c r="AG11" s="212"/>
      <c r="AH11" s="212"/>
      <c r="AI11" s="212"/>
      <c r="AJ11" s="212"/>
      <c r="AK11" s="212"/>
      <c r="AL11" s="212"/>
      <c r="AM11" s="212"/>
      <c r="AN11" s="212"/>
    </row>
    <row r="12" spans="1:40" ht="14.5">
      <c r="A12" s="361"/>
      <c r="F12" s="211"/>
      <c r="G12" s="212"/>
      <c r="H12" s="212"/>
      <c r="I12" s="213"/>
      <c r="J12" s="213"/>
      <c r="K12" s="213"/>
      <c r="L12" s="209"/>
      <c r="M12" s="209"/>
      <c r="X12" s="5"/>
      <c r="AC12" s="212"/>
      <c r="AD12" s="212"/>
      <c r="AE12" s="212"/>
      <c r="AF12" s="212"/>
      <c r="AG12" s="212"/>
      <c r="AH12" s="212"/>
      <c r="AI12" s="212"/>
      <c r="AJ12" s="212"/>
      <c r="AK12" s="212"/>
      <c r="AL12" s="212"/>
      <c r="AM12" s="212"/>
      <c r="AN12" s="212"/>
    </row>
    <row r="14" spans="1:40">
      <c r="A14" s="11" t="s">
        <v>84</v>
      </c>
      <c r="B14" s="11" t="s">
        <v>84</v>
      </c>
      <c r="C14" s="11" t="s">
        <v>84</v>
      </c>
      <c r="D14" s="11" t="s">
        <v>84</v>
      </c>
      <c r="E14" s="12" t="s">
        <v>84</v>
      </c>
      <c r="F14" s="12" t="s">
        <v>84</v>
      </c>
      <c r="G14" s="12" t="s">
        <v>84</v>
      </c>
      <c r="H14" s="12" t="s">
        <v>84</v>
      </c>
      <c r="I14" s="150" t="s">
        <v>84</v>
      </c>
      <c r="J14" s="150" t="s">
        <v>84</v>
      </c>
      <c r="K14" s="150" t="s">
        <v>84</v>
      </c>
      <c r="L14" s="12" t="s">
        <v>84</v>
      </c>
      <c r="M14" s="12" t="s">
        <v>84</v>
      </c>
      <c r="N14" s="12" t="s">
        <v>84</v>
      </c>
      <c r="O14" s="12" t="s">
        <v>84</v>
      </c>
      <c r="P14" s="12" t="s">
        <v>84</v>
      </c>
      <c r="Q14" s="12" t="s">
        <v>84</v>
      </c>
      <c r="R14" s="12" t="s">
        <v>84</v>
      </c>
      <c r="S14" s="12" t="s">
        <v>84</v>
      </c>
      <c r="T14" s="12" t="s">
        <v>84</v>
      </c>
      <c r="U14" s="12" t="s">
        <v>84</v>
      </c>
      <c r="V14" s="12" t="s">
        <v>84</v>
      </c>
      <c r="W14" s="12" t="s">
        <v>84</v>
      </c>
    </row>
    <row r="15" spans="1:40">
      <c r="A15"/>
      <c r="B15"/>
      <c r="C15"/>
      <c r="D15" s="475"/>
      <c r="F15" s="3"/>
      <c r="G15"/>
      <c r="H15"/>
      <c r="I15" s="1"/>
      <c r="J15" s="1"/>
      <c r="K15" s="1"/>
      <c r="L15" s="2"/>
      <c r="M15" s="2"/>
      <c r="N15"/>
      <c r="O15"/>
      <c r="P15"/>
      <c r="Q15"/>
      <c r="R15"/>
      <c r="S15"/>
      <c r="T15"/>
      <c r="U15"/>
      <c r="V15"/>
      <c r="W15"/>
      <c r="X15" s="1"/>
      <c r="Y15"/>
      <c r="Z15"/>
      <c r="AA15"/>
      <c r="AB15"/>
      <c r="AC15"/>
      <c r="AD15"/>
      <c r="AE15"/>
      <c r="AF15"/>
      <c r="AG15"/>
      <c r="AH15"/>
      <c r="AI15"/>
      <c r="AJ15"/>
      <c r="AK15"/>
      <c r="AL15"/>
      <c r="AM15"/>
      <c r="AN15"/>
    </row>
    <row r="16" spans="1:40">
      <c r="A16" s="361"/>
      <c r="F16" s="308"/>
      <c r="L16" s="209"/>
      <c r="M16" s="209"/>
      <c r="X16" s="5"/>
    </row>
    <row r="20" spans="1:23">
      <c r="A20" s="11" t="s">
        <v>84</v>
      </c>
      <c r="B20" s="11" t="s">
        <v>84</v>
      </c>
      <c r="C20" s="11" t="s">
        <v>84</v>
      </c>
      <c r="D20" s="11" t="s">
        <v>84</v>
      </c>
      <c r="E20" s="12" t="s">
        <v>84</v>
      </c>
      <c r="F20" s="12" t="s">
        <v>84</v>
      </c>
      <c r="G20" s="12" t="s">
        <v>84</v>
      </c>
      <c r="H20" s="12" t="s">
        <v>84</v>
      </c>
      <c r="I20" s="150" t="s">
        <v>84</v>
      </c>
      <c r="J20" s="150" t="s">
        <v>84</v>
      </c>
      <c r="K20" s="150" t="s">
        <v>84</v>
      </c>
      <c r="L20" s="12" t="s">
        <v>84</v>
      </c>
      <c r="M20" s="12" t="s">
        <v>84</v>
      </c>
      <c r="N20" s="12" t="s">
        <v>84</v>
      </c>
      <c r="O20" s="12" t="s">
        <v>84</v>
      </c>
      <c r="P20" s="12" t="s">
        <v>84</v>
      </c>
      <c r="Q20" s="12" t="s">
        <v>84</v>
      </c>
      <c r="R20" s="12" t="s">
        <v>84</v>
      </c>
      <c r="S20" s="12" t="s">
        <v>84</v>
      </c>
      <c r="T20" s="12" t="s">
        <v>84</v>
      </c>
      <c r="U20" s="12" t="s">
        <v>84</v>
      </c>
      <c r="V20" s="12" t="s">
        <v>84</v>
      </c>
      <c r="W20" s="12" t="s">
        <v>84</v>
      </c>
    </row>
  </sheetData>
  <autoFilter ref="A10:AA20"/>
  <conditionalFormatting sqref="G7:G8">
    <cfRule type="cellIs" dxfId="198" priority="1" stopIfTrue="1" operator="equal">
      <formula>"Check"</formula>
    </cfRule>
  </conditionalFormatting>
  <pageMargins left="0.75" right="0.75" top="1" bottom="1" header="0.3" footer="0.3"/>
  <pageSetup paperSize="9" orientation="portrait" r:id="rId1"/>
</worksheet>
</file>

<file path=xl/worksheets/sheet4.xml><?xml version="1.0" encoding="utf-8"?>
<worksheet xmlns="http://schemas.openxmlformats.org/spreadsheetml/2006/main" xmlns:r="http://schemas.openxmlformats.org/officeDocument/2006/relationships">
  <sheetPr codeName="Sheet5"/>
  <dimension ref="A1:AN22"/>
  <sheetViews>
    <sheetView zoomScale="70" zoomScaleNormal="70" workbookViewId="0">
      <pane xSplit="8" ySplit="10" topLeftCell="I11" activePane="bottomRight" state="frozen"/>
      <selection activeCell="G16" sqref="G16"/>
      <selection pane="topRight" activeCell="G16" sqref="G16"/>
      <selection pane="bottomLeft" activeCell="G16" sqref="G16"/>
      <selection pane="bottomRight" activeCell="F15" sqref="A15:XFD1417"/>
    </sheetView>
  </sheetViews>
  <sheetFormatPr baseColWidth="10" defaultColWidth="10.81640625" defaultRowHeight="12.5"/>
  <cols>
    <col min="1" max="1" width="18.1796875" style="10" customWidth="1"/>
    <col min="2" max="2" width="33.453125" style="4" bestFit="1" customWidth="1"/>
    <col min="3" max="3" width="8.1796875" style="4" bestFit="1" customWidth="1"/>
    <col min="4" max="4" width="10.81640625" style="133"/>
    <col min="5" max="5" width="33.453125" style="4" customWidth="1"/>
    <col min="6" max="6" width="10.81640625" style="152" bestFit="1" customWidth="1"/>
    <col min="7" max="7" width="39.453125" style="4" bestFit="1" customWidth="1"/>
    <col min="8" max="8" width="13" style="4" bestFit="1" customWidth="1"/>
    <col min="9" max="9" width="17.453125" style="5" bestFit="1" customWidth="1"/>
    <col min="10" max="10" width="19.1796875" style="5" bestFit="1" customWidth="1"/>
    <col min="11" max="11" width="11.81640625" style="5" bestFit="1" customWidth="1"/>
    <col min="12" max="12" width="13.1796875" style="454" bestFit="1" customWidth="1"/>
    <col min="13" max="13" width="18.81640625" style="4" customWidth="1"/>
    <col min="14" max="14" width="10.81640625" style="133" bestFit="1" customWidth="1"/>
    <col min="15" max="15" width="21.453125" style="4" bestFit="1" customWidth="1"/>
    <col min="16" max="16" width="41.453125" style="4" bestFit="1" customWidth="1"/>
    <col min="17" max="17" width="13.81640625" style="4" hidden="1" customWidth="1"/>
    <col min="18" max="18" width="31" style="4" hidden="1" customWidth="1"/>
    <col min="19" max="19" width="15.81640625" style="4" hidden="1" customWidth="1"/>
    <col min="20" max="20" width="21.81640625" style="4" hidden="1" customWidth="1"/>
    <col min="21" max="21" width="38.81640625" style="4" bestFit="1" customWidth="1"/>
    <col min="22" max="22" width="35.81640625" style="4" bestFit="1" customWidth="1"/>
    <col min="23" max="23" width="14.453125" style="4" bestFit="1" customWidth="1"/>
    <col min="24" max="24" width="9.1796875" style="4" bestFit="1" customWidth="1"/>
    <col min="25" max="25" width="10.81640625" style="4"/>
    <col min="26" max="26" width="11.453125" style="4" bestFit="1" customWidth="1"/>
    <col min="27" max="27" width="3" style="4" bestFit="1" customWidth="1"/>
    <col min="28" max="28" width="10.81640625" style="4"/>
    <col min="29" max="29" width="11.453125" style="4" bestFit="1" customWidth="1"/>
    <col min="30" max="30" width="20" style="4" bestFit="1" customWidth="1"/>
    <col min="31" max="31" width="4.1796875" style="4" bestFit="1" customWidth="1"/>
    <col min="32" max="32" width="23.453125" style="4" bestFit="1" customWidth="1"/>
    <col min="33" max="33" width="42.81640625" style="4" bestFit="1" customWidth="1"/>
    <col min="34" max="34" width="17.1796875" style="4" bestFit="1" customWidth="1"/>
    <col min="35" max="35" width="35.1796875" style="4" bestFit="1" customWidth="1"/>
    <col min="36" max="36" width="17.1796875" style="4" bestFit="1" customWidth="1"/>
    <col min="37" max="37" width="24.453125" style="4" bestFit="1" customWidth="1"/>
    <col min="38" max="39" width="42.453125" style="4" bestFit="1" customWidth="1"/>
    <col min="40" max="40" width="8.453125" style="4" bestFit="1" customWidth="1"/>
    <col min="41" max="16384" width="10.81640625" style="4"/>
  </cols>
  <sheetData>
    <row r="1" spans="1:40">
      <c r="E1" s="133"/>
      <c r="G1" s="152"/>
    </row>
    <row r="2" spans="1:40" ht="13">
      <c r="E2" s="133"/>
      <c r="G2" s="305" t="s">
        <v>140</v>
      </c>
    </row>
    <row r="3" spans="1:40" ht="13">
      <c r="E3" s="133"/>
      <c r="G3" s="305" t="s">
        <v>152</v>
      </c>
    </row>
    <row r="4" spans="1:40" ht="13">
      <c r="E4" s="133"/>
      <c r="G4" s="305" t="s">
        <v>155</v>
      </c>
    </row>
    <row r="5" spans="1:40" ht="13">
      <c r="E5" s="133"/>
      <c r="G5" s="305" t="s">
        <v>162</v>
      </c>
    </row>
    <row r="6" spans="1:40" ht="13" thickBot="1">
      <c r="E6" s="133"/>
    </row>
    <row r="7" spans="1:40" ht="13.5" thickBot="1">
      <c r="C7" s="10"/>
      <c r="D7" s="10"/>
      <c r="E7" s="133"/>
      <c r="G7" s="110" t="str">
        <f>+IF(I7+J7=0,"Ok","Check")</f>
        <v>Ok</v>
      </c>
      <c r="I7" s="6">
        <f>ROUND(SUM(I10:I22),0)</f>
        <v>0</v>
      </c>
      <c r="J7" s="6">
        <f>ROUND(SUM(J10:J22),0)</f>
        <v>0</v>
      </c>
    </row>
    <row r="8" spans="1:40" ht="13.5" thickBot="1">
      <c r="C8" s="10"/>
      <c r="D8" s="9" t="s">
        <v>77</v>
      </c>
      <c r="E8" s="133" t="s">
        <v>142</v>
      </c>
      <c r="G8" s="110" t="s">
        <v>242</v>
      </c>
    </row>
    <row r="9" spans="1:40" ht="13.5" thickBot="1">
      <c r="B9" s="4" t="str">
        <f>+F9&amp;$C$9&amp;G9</f>
        <v xml:space="preserve"> </v>
      </c>
      <c r="C9" s="9" t="s">
        <v>87</v>
      </c>
      <c r="D9" s="133" t="e">
        <f>+VLOOKUP(F9,Resumen_Base!$C$8:$F$26,4,0)</f>
        <v>#N/A</v>
      </c>
      <c r="E9" s="133" t="e">
        <f>+VLOOKUP(F9,Resumen_Base!$C$8:$G$156,5,0)</f>
        <v>#N/A</v>
      </c>
      <c r="H9" s="4" t="e">
        <f>+D9&amp;F9</f>
        <v>#N/A</v>
      </c>
      <c r="I9" s="6">
        <f>SUM(I10:I13)</f>
        <v>0</v>
      </c>
      <c r="J9" s="6">
        <f>SUM(J10:J13)</f>
        <v>0</v>
      </c>
    </row>
    <row r="10" spans="1:40" ht="29">
      <c r="B10" s="13" t="s">
        <v>126</v>
      </c>
      <c r="C10" s="10"/>
      <c r="D10" s="13" t="s">
        <v>75</v>
      </c>
      <c r="E10" s="7" t="s">
        <v>76</v>
      </c>
      <c r="F10" s="153" t="s">
        <v>24</v>
      </c>
      <c r="G10" s="7" t="s">
        <v>23</v>
      </c>
      <c r="H10" s="7"/>
      <c r="I10" s="8" t="s">
        <v>22</v>
      </c>
      <c r="J10" s="8" t="s">
        <v>20</v>
      </c>
      <c r="K10" s="331" t="s">
        <v>74</v>
      </c>
      <c r="L10" s="455" t="s">
        <v>18</v>
      </c>
      <c r="M10" s="7" t="s">
        <v>17</v>
      </c>
      <c r="N10" s="7" t="s">
        <v>16</v>
      </c>
      <c r="O10" s="7" t="s">
        <v>15</v>
      </c>
      <c r="P10" s="7" t="s">
        <v>14</v>
      </c>
      <c r="Q10" s="7" t="s">
        <v>13</v>
      </c>
      <c r="R10" s="7" t="s">
        <v>12</v>
      </c>
      <c r="S10" s="7" t="s">
        <v>11</v>
      </c>
      <c r="T10" s="7" t="s">
        <v>10</v>
      </c>
      <c r="U10" s="7" t="s">
        <v>9</v>
      </c>
      <c r="V10" s="7" t="s">
        <v>8</v>
      </c>
      <c r="W10" s="7" t="s">
        <v>7</v>
      </c>
      <c r="X10" s="8" t="s">
        <v>21</v>
      </c>
      <c r="Y10" s="7"/>
      <c r="Z10" s="7" t="s">
        <v>20</v>
      </c>
      <c r="AA10" s="7" t="s">
        <v>19</v>
      </c>
      <c r="AC10" s="212" t="s">
        <v>18</v>
      </c>
      <c r="AD10" s="212" t="s">
        <v>17</v>
      </c>
      <c r="AE10" s="212" t="s">
        <v>16</v>
      </c>
      <c r="AF10" s="212" t="s">
        <v>15</v>
      </c>
      <c r="AG10" s="212" t="s">
        <v>14</v>
      </c>
      <c r="AH10" s="212" t="s">
        <v>13</v>
      </c>
      <c r="AI10" s="212" t="s">
        <v>12</v>
      </c>
      <c r="AJ10" s="212" t="s">
        <v>11</v>
      </c>
      <c r="AK10" s="212" t="s">
        <v>10</v>
      </c>
      <c r="AL10" s="306" t="s">
        <v>9</v>
      </c>
      <c r="AM10" s="212" t="s">
        <v>8</v>
      </c>
      <c r="AN10" s="212" t="s">
        <v>7</v>
      </c>
    </row>
    <row r="11" spans="1:40">
      <c r="A11" s="361"/>
      <c r="E11" s="133"/>
      <c r="F11" s="308"/>
      <c r="K11" s="332"/>
      <c r="M11" s="209"/>
      <c r="N11" s="4"/>
      <c r="X11" s="5"/>
      <c r="AC11" s="209"/>
      <c r="AH11" s="308"/>
    </row>
    <row r="12" spans="1:40">
      <c r="E12" s="133"/>
    </row>
    <row r="13" spans="1:40">
      <c r="A13" s="11" t="s">
        <v>84</v>
      </c>
      <c r="B13" s="11" t="s">
        <v>84</v>
      </c>
      <c r="C13" s="11" t="s">
        <v>84</v>
      </c>
      <c r="D13" s="11" t="s">
        <v>84</v>
      </c>
      <c r="E13" s="12" t="s">
        <v>84</v>
      </c>
      <c r="F13" s="12" t="s">
        <v>84</v>
      </c>
      <c r="G13" s="12" t="s">
        <v>84</v>
      </c>
      <c r="H13" s="12" t="s">
        <v>84</v>
      </c>
      <c r="I13" s="150" t="s">
        <v>84</v>
      </c>
      <c r="J13" s="150" t="s">
        <v>84</v>
      </c>
      <c r="K13" s="150" t="s">
        <v>84</v>
      </c>
      <c r="L13" s="457" t="s">
        <v>84</v>
      </c>
      <c r="M13" s="12" t="s">
        <v>84</v>
      </c>
      <c r="N13" s="12" t="s">
        <v>84</v>
      </c>
      <c r="O13" s="12" t="s">
        <v>84</v>
      </c>
      <c r="P13" s="12" t="s">
        <v>84</v>
      </c>
      <c r="Q13" s="12" t="s">
        <v>84</v>
      </c>
      <c r="R13" s="12" t="s">
        <v>84</v>
      </c>
      <c r="S13" s="12" t="s">
        <v>84</v>
      </c>
      <c r="T13" s="12" t="s">
        <v>84</v>
      </c>
      <c r="U13" s="12" t="s">
        <v>84</v>
      </c>
      <c r="V13" s="12" t="s">
        <v>84</v>
      </c>
      <c r="W13" s="12" t="s">
        <v>84</v>
      </c>
    </row>
    <row r="14" spans="1:40">
      <c r="E14" s="133"/>
    </row>
    <row r="15" spans="1:40">
      <c r="A15" s="361"/>
      <c r="E15" s="133"/>
      <c r="F15" s="308"/>
      <c r="M15" s="209"/>
      <c r="N15" s="4"/>
      <c r="X15" s="5"/>
    </row>
    <row r="16" spans="1:40">
      <c r="A16" s="361"/>
      <c r="E16" s="133"/>
      <c r="F16" s="308"/>
      <c r="M16" s="209"/>
      <c r="N16" s="4"/>
      <c r="X16" s="5"/>
      <c r="AC16" s="209"/>
    </row>
    <row r="17" spans="1:40">
      <c r="A17" s="361"/>
      <c r="E17" s="133"/>
      <c r="F17" s="308"/>
      <c r="M17" s="209"/>
      <c r="X17" s="5"/>
    </row>
    <row r="18" spans="1:40" ht="14.5">
      <c r="A18" s="315"/>
      <c r="C18" s="330"/>
      <c r="D18" s="203"/>
      <c r="E18" s="203"/>
      <c r="F18" s="309"/>
      <c r="G18" s="310"/>
      <c r="H18" s="330"/>
      <c r="I18" s="311"/>
      <c r="J18" s="311"/>
      <c r="K18" s="333"/>
      <c r="L18" s="456"/>
      <c r="M18" s="312"/>
      <c r="N18" s="203"/>
      <c r="O18" s="330"/>
      <c r="P18" s="330"/>
      <c r="Q18" s="330"/>
      <c r="R18" s="330"/>
      <c r="S18" s="330"/>
      <c r="T18" s="330"/>
      <c r="U18" s="310"/>
      <c r="V18" s="310"/>
      <c r="W18" s="310"/>
      <c r="X18" s="310"/>
      <c r="Y18" s="310"/>
      <c r="Z18" s="310"/>
      <c r="AA18" s="310"/>
      <c r="AB18" s="310"/>
      <c r="AC18" s="310"/>
      <c r="AD18" s="310"/>
      <c r="AE18" s="310"/>
      <c r="AF18" s="310"/>
      <c r="AG18" s="330"/>
      <c r="AH18" s="330"/>
      <c r="AI18" s="330"/>
      <c r="AJ18" s="330"/>
      <c r="AK18" s="330"/>
      <c r="AL18" s="330"/>
      <c r="AM18" s="330"/>
      <c r="AN18" s="330"/>
    </row>
    <row r="19" spans="1:40">
      <c r="E19" s="133"/>
    </row>
    <row r="20" spans="1:40">
      <c r="E20" s="133"/>
    </row>
    <row r="21" spans="1:40">
      <c r="E21" s="133"/>
    </row>
    <row r="22" spans="1:40">
      <c r="A22" s="11" t="s">
        <v>84</v>
      </c>
      <c r="B22" s="11" t="s">
        <v>84</v>
      </c>
      <c r="C22" s="11" t="s">
        <v>84</v>
      </c>
      <c r="D22" s="11" t="s">
        <v>84</v>
      </c>
      <c r="E22" s="12" t="s">
        <v>84</v>
      </c>
      <c r="F22" s="12" t="s">
        <v>84</v>
      </c>
      <c r="G22" s="12" t="s">
        <v>84</v>
      </c>
      <c r="H22" s="12" t="s">
        <v>84</v>
      </c>
      <c r="I22" s="150" t="s">
        <v>84</v>
      </c>
      <c r="J22" s="150" t="s">
        <v>84</v>
      </c>
      <c r="K22" s="150" t="s">
        <v>84</v>
      </c>
      <c r="L22" s="457" t="s">
        <v>84</v>
      </c>
      <c r="M22" s="12" t="s">
        <v>84</v>
      </c>
      <c r="N22" s="12" t="s">
        <v>84</v>
      </c>
      <c r="O22" s="12" t="s">
        <v>84</v>
      </c>
      <c r="P22" s="12" t="s">
        <v>84</v>
      </c>
      <c r="Q22" s="12" t="s">
        <v>84</v>
      </c>
      <c r="R22" s="12" t="s">
        <v>84</v>
      </c>
      <c r="S22" s="12" t="s">
        <v>84</v>
      </c>
      <c r="T22" s="12" t="s">
        <v>84</v>
      </c>
      <c r="U22" s="12" t="s">
        <v>84</v>
      </c>
      <c r="V22" s="12" t="s">
        <v>84</v>
      </c>
      <c r="W22" s="12" t="s">
        <v>84</v>
      </c>
    </row>
  </sheetData>
  <autoFilter ref="A10:AA22"/>
  <conditionalFormatting sqref="G7:G8">
    <cfRule type="cellIs" dxfId="197" priority="1" stopIfTrue="1" operator="equal">
      <formula>"Check"</formula>
    </cfRule>
  </conditionalFormatting>
  <pageMargins left="0.75" right="0.75" top="1" bottom="1" header="0.3" footer="0.3"/>
  <pageSetup paperSize="9" orientation="portrait" r:id="rId1"/>
</worksheet>
</file>

<file path=xl/worksheets/sheet5.xml><?xml version="1.0" encoding="utf-8"?>
<worksheet xmlns="http://schemas.openxmlformats.org/spreadsheetml/2006/main" xmlns:r="http://schemas.openxmlformats.org/officeDocument/2006/relationships">
  <sheetPr codeName="Sheet6"/>
  <dimension ref="A1:AN20"/>
  <sheetViews>
    <sheetView zoomScale="70" zoomScaleNormal="70" workbookViewId="0">
      <pane xSplit="10" ySplit="10" topLeftCell="K11" activePane="bottomRight" state="frozen"/>
      <selection activeCell="AO7539" sqref="AO7539"/>
      <selection pane="topRight" activeCell="AO7539" sqref="AO7539"/>
      <selection pane="bottomLeft" activeCell="AO7539" sqref="AO7539"/>
      <selection pane="bottomRight" activeCell="G15" sqref="G15"/>
    </sheetView>
  </sheetViews>
  <sheetFormatPr baseColWidth="10" defaultColWidth="10.81640625" defaultRowHeight="12.5"/>
  <cols>
    <col min="1" max="1" width="17.81640625" style="509" customWidth="1"/>
    <col min="2" max="2" width="31.453125" style="361" customWidth="1"/>
    <col min="3" max="3" width="10.81640625" style="4"/>
    <col min="4" max="4" width="10.81640625" style="133"/>
    <col min="5" max="5" width="28.1796875" style="4" bestFit="1" customWidth="1"/>
    <col min="6" max="6" width="10.81640625" style="152" bestFit="1" customWidth="1"/>
    <col min="7" max="7" width="32" style="4" bestFit="1" customWidth="1"/>
    <col min="8" max="8" width="13" style="4" bestFit="1" customWidth="1"/>
    <col min="9" max="9" width="16.453125" style="5" customWidth="1"/>
    <col min="10" max="10" width="18.81640625" style="5" bestFit="1" customWidth="1"/>
    <col min="11" max="11" width="11.453125" style="5" bestFit="1" customWidth="1"/>
    <col min="12" max="12" width="12.81640625" style="454" bestFit="1" customWidth="1"/>
    <col min="13" max="13" width="22" style="4" bestFit="1" customWidth="1"/>
    <col min="14" max="14" width="12.453125" style="133" bestFit="1" customWidth="1"/>
    <col min="15" max="15" width="21.453125" style="4" bestFit="1" customWidth="1"/>
    <col min="16" max="16" width="41.453125" style="4" bestFit="1" customWidth="1"/>
    <col min="17" max="17" width="13.81640625" style="4" hidden="1" customWidth="1"/>
    <col min="18" max="18" width="31" style="4" hidden="1" customWidth="1"/>
    <col min="19" max="19" width="15.81640625" style="4" hidden="1" customWidth="1"/>
    <col min="20" max="20" width="21.81640625" style="4" hidden="1" customWidth="1"/>
    <col min="21" max="21" width="38.81640625" style="4" bestFit="1" customWidth="1"/>
    <col min="22" max="22" width="35.81640625" style="4" bestFit="1" customWidth="1"/>
    <col min="23" max="23" width="8.1796875" style="4" bestFit="1" customWidth="1"/>
    <col min="24" max="24" width="9.1796875" style="4" bestFit="1" customWidth="1"/>
    <col min="25" max="25" width="17.1796875" style="4" bestFit="1" customWidth="1"/>
    <col min="26" max="26" width="17.453125" style="4" bestFit="1" customWidth="1"/>
    <col min="27" max="27" width="8.1796875" style="4" bestFit="1" customWidth="1"/>
    <col min="28" max="28" width="10.81640625" style="4"/>
    <col min="29" max="29" width="11.453125" style="4" bestFit="1" customWidth="1"/>
    <col min="30" max="30" width="20" style="4" bestFit="1" customWidth="1"/>
    <col min="31" max="31" width="4.1796875" style="4" bestFit="1" customWidth="1"/>
    <col min="32" max="32" width="23.453125" style="4" bestFit="1" customWidth="1"/>
    <col min="33" max="33" width="42.81640625" style="4" bestFit="1" customWidth="1"/>
    <col min="34" max="34" width="17.1796875" style="4" bestFit="1" customWidth="1"/>
    <col min="35" max="35" width="35.1796875" style="4" bestFit="1" customWidth="1"/>
    <col min="36" max="36" width="17.1796875" style="4" bestFit="1" customWidth="1"/>
    <col min="37" max="37" width="24.453125" style="4" bestFit="1" customWidth="1"/>
    <col min="38" max="39" width="42.453125" style="4" bestFit="1" customWidth="1"/>
    <col min="40" max="40" width="8.453125" style="4" bestFit="1" customWidth="1"/>
    <col min="41" max="16384" width="10.81640625" style="4"/>
  </cols>
  <sheetData>
    <row r="1" spans="1:40">
      <c r="G1" s="152"/>
    </row>
    <row r="2" spans="1:40" ht="13">
      <c r="G2" s="305" t="s">
        <v>140</v>
      </c>
    </row>
    <row r="3" spans="1:40" ht="13">
      <c r="G3" s="305" t="s">
        <v>152</v>
      </c>
    </row>
    <row r="4" spans="1:40" ht="13">
      <c r="G4" s="305" t="s">
        <v>155</v>
      </c>
    </row>
    <row r="5" spans="1:40" ht="13">
      <c r="G5" s="305" t="s">
        <v>162</v>
      </c>
    </row>
    <row r="6" spans="1:40" ht="13" thickBot="1"/>
    <row r="7" spans="1:40" ht="13.5" thickBot="1">
      <c r="C7" s="10"/>
      <c r="D7" s="10"/>
      <c r="G7" s="110" t="str">
        <f>+IF(I7+J7=0,"Ok","Check")</f>
        <v>Ok</v>
      </c>
      <c r="I7" s="6">
        <f>ROUND(SUM(I10:I86),0)</f>
        <v>0</v>
      </c>
      <c r="J7" s="6">
        <f>ROUND(SUM(J10:J86),0)</f>
        <v>0</v>
      </c>
    </row>
    <row r="8" spans="1:40" ht="13.5" thickBot="1">
      <c r="C8" s="10"/>
      <c r="D8" s="9" t="s">
        <v>77</v>
      </c>
      <c r="E8" s="4" t="s">
        <v>142</v>
      </c>
      <c r="G8" s="110" t="str">
        <f ca="1">+Resumen_Base!D1</f>
        <v>Ok</v>
      </c>
    </row>
    <row r="9" spans="1:40" ht="13.5" thickBot="1">
      <c r="B9" s="361" t="str">
        <f>+F9&amp;$C$9&amp;G9</f>
        <v xml:space="preserve"> </v>
      </c>
      <c r="C9" s="9" t="s">
        <v>87</v>
      </c>
      <c r="D9" s="133" t="e">
        <f>+VLOOKUP(F9,Resumen_Base!$C$8:$F$26,4,0)</f>
        <v>#N/A</v>
      </c>
      <c r="E9" s="4" t="e">
        <f>+VLOOKUP(F9,Resumen_Base!$C$8:$G$156,5,0)</f>
        <v>#N/A</v>
      </c>
      <c r="H9" s="4" t="e">
        <f>+D9&amp;F9</f>
        <v>#N/A</v>
      </c>
      <c r="I9" s="6">
        <f>SUM(I10:I13)</f>
        <v>0</v>
      </c>
      <c r="J9" s="6">
        <f>SUM(J10:J13)</f>
        <v>0</v>
      </c>
    </row>
    <row r="10" spans="1:40" ht="29">
      <c r="B10" s="13" t="s">
        <v>126</v>
      </c>
      <c r="C10" s="10"/>
      <c r="D10" s="13" t="s">
        <v>75</v>
      </c>
      <c r="E10" s="7" t="s">
        <v>76</v>
      </c>
      <c r="F10" s="153" t="s">
        <v>24</v>
      </c>
      <c r="G10" s="7" t="s">
        <v>23</v>
      </c>
      <c r="H10" s="7"/>
      <c r="I10" s="8" t="s">
        <v>22</v>
      </c>
      <c r="J10" s="8" t="s">
        <v>20</v>
      </c>
      <c r="K10" s="331" t="s">
        <v>74</v>
      </c>
      <c r="L10" s="455" t="s">
        <v>18</v>
      </c>
      <c r="M10" s="7" t="s">
        <v>17</v>
      </c>
      <c r="N10" s="7" t="s">
        <v>16</v>
      </c>
      <c r="O10" s="7" t="s">
        <v>15</v>
      </c>
      <c r="P10" s="7" t="s">
        <v>14</v>
      </c>
      <c r="Q10" s="7" t="s">
        <v>13</v>
      </c>
      <c r="R10" s="7" t="s">
        <v>12</v>
      </c>
      <c r="S10" s="7" t="s">
        <v>11</v>
      </c>
      <c r="T10" s="7" t="s">
        <v>10</v>
      </c>
      <c r="U10" s="7" t="s">
        <v>9</v>
      </c>
      <c r="V10" s="7" t="s">
        <v>8</v>
      </c>
      <c r="W10" s="7" t="s">
        <v>7</v>
      </c>
      <c r="X10" s="8" t="s">
        <v>21</v>
      </c>
      <c r="Y10" s="7"/>
      <c r="Z10" s="7" t="s">
        <v>20</v>
      </c>
      <c r="AA10" s="7" t="s">
        <v>19</v>
      </c>
      <c r="AC10" s="212" t="s">
        <v>18</v>
      </c>
      <c r="AD10" s="212" t="s">
        <v>17</v>
      </c>
      <c r="AE10" s="212" t="s">
        <v>16</v>
      </c>
      <c r="AF10" s="212" t="s">
        <v>15</v>
      </c>
      <c r="AG10" s="212" t="s">
        <v>14</v>
      </c>
      <c r="AH10" s="212" t="s">
        <v>13</v>
      </c>
      <c r="AI10" s="212" t="s">
        <v>12</v>
      </c>
      <c r="AJ10" s="212" t="s">
        <v>11</v>
      </c>
      <c r="AK10" s="212" t="s">
        <v>10</v>
      </c>
      <c r="AL10" s="306" t="s">
        <v>9</v>
      </c>
      <c r="AM10" s="212" t="s">
        <v>8</v>
      </c>
      <c r="AN10" s="212" t="s">
        <v>7</v>
      </c>
    </row>
    <row r="11" spans="1:40" ht="14.5">
      <c r="F11" s="211"/>
      <c r="G11" s="212"/>
      <c r="H11" s="212"/>
      <c r="I11" s="213"/>
      <c r="J11" s="213"/>
      <c r="K11" s="213"/>
      <c r="M11" s="209"/>
      <c r="X11" s="5"/>
      <c r="AC11" s="212"/>
      <c r="AD11" s="212"/>
      <c r="AE11" s="212"/>
      <c r="AF11" s="212"/>
      <c r="AG11" s="212"/>
      <c r="AH11" s="212"/>
      <c r="AI11" s="212"/>
      <c r="AJ11" s="212"/>
      <c r="AK11" s="212"/>
      <c r="AL11" s="212"/>
      <c r="AM11" s="212"/>
      <c r="AN11" s="212"/>
    </row>
    <row r="13" spans="1:40">
      <c r="A13" s="528" t="s">
        <v>84</v>
      </c>
      <c r="B13" s="11" t="s">
        <v>84</v>
      </c>
      <c r="C13" s="11" t="s">
        <v>84</v>
      </c>
      <c r="D13" s="11" t="s">
        <v>84</v>
      </c>
      <c r="E13" s="12" t="s">
        <v>84</v>
      </c>
      <c r="F13" s="12" t="s">
        <v>84</v>
      </c>
      <c r="G13" s="12" t="s">
        <v>84</v>
      </c>
      <c r="H13" s="12" t="s">
        <v>84</v>
      </c>
      <c r="I13" s="150" t="s">
        <v>84</v>
      </c>
      <c r="J13" s="150" t="s">
        <v>84</v>
      </c>
      <c r="K13" s="150" t="s">
        <v>84</v>
      </c>
      <c r="L13" s="457" t="s">
        <v>84</v>
      </c>
      <c r="M13" s="12" t="s">
        <v>84</v>
      </c>
      <c r="N13" s="12" t="s">
        <v>84</v>
      </c>
      <c r="O13" s="12" t="s">
        <v>84</v>
      </c>
      <c r="P13" s="12" t="s">
        <v>84</v>
      </c>
      <c r="Q13" s="12" t="s">
        <v>84</v>
      </c>
      <c r="R13" s="12" t="s">
        <v>84</v>
      </c>
      <c r="S13" s="12" t="s">
        <v>84</v>
      </c>
      <c r="T13" s="12" t="s">
        <v>84</v>
      </c>
      <c r="U13" s="12" t="s">
        <v>84</v>
      </c>
      <c r="V13" s="12" t="s">
        <v>84</v>
      </c>
      <c r="W13" s="12" t="s">
        <v>84</v>
      </c>
    </row>
    <row r="15" spans="1:40" s="508" customFormat="1" ht="14.5">
      <c r="A15" s="529"/>
      <c r="E15" s="4"/>
      <c r="F15" s="526"/>
      <c r="I15" s="527"/>
      <c r="J15" s="527"/>
      <c r="K15" s="527"/>
      <c r="L15" s="454"/>
      <c r="M15" s="209"/>
      <c r="N15" s="4"/>
      <c r="O15" s="4"/>
      <c r="P15" s="4"/>
      <c r="Q15" s="4"/>
      <c r="R15" s="4"/>
      <c r="S15" s="4"/>
      <c r="T15" s="4"/>
      <c r="U15" s="4"/>
      <c r="V15" s="4"/>
      <c r="W15" s="4"/>
      <c r="X15" s="5"/>
    </row>
    <row r="16" spans="1:40">
      <c r="F16" s="308"/>
      <c r="M16" s="209"/>
      <c r="X16" s="5"/>
    </row>
    <row r="17" spans="1:29">
      <c r="F17" s="308"/>
      <c r="M17" s="209"/>
      <c r="X17" s="5"/>
      <c r="AC17" s="209"/>
    </row>
    <row r="18" spans="1:29">
      <c r="F18" s="308"/>
      <c r="M18" s="209"/>
      <c r="X18" s="5"/>
    </row>
    <row r="20" spans="1:29">
      <c r="A20" s="528" t="s">
        <v>84</v>
      </c>
      <c r="B20" s="11" t="s">
        <v>84</v>
      </c>
      <c r="C20" s="11" t="s">
        <v>84</v>
      </c>
      <c r="D20" s="11" t="s">
        <v>84</v>
      </c>
      <c r="E20" s="12" t="s">
        <v>84</v>
      </c>
      <c r="F20" s="12" t="s">
        <v>84</v>
      </c>
      <c r="G20" s="12" t="s">
        <v>84</v>
      </c>
      <c r="H20" s="12" t="s">
        <v>84</v>
      </c>
      <c r="I20" s="150" t="s">
        <v>84</v>
      </c>
      <c r="J20" s="150" t="s">
        <v>84</v>
      </c>
      <c r="K20" s="150" t="s">
        <v>84</v>
      </c>
      <c r="L20" s="457" t="s">
        <v>84</v>
      </c>
      <c r="M20" s="12" t="s">
        <v>84</v>
      </c>
      <c r="N20" s="12" t="s">
        <v>84</v>
      </c>
      <c r="O20" s="12" t="s">
        <v>84</v>
      </c>
      <c r="P20" s="12" t="s">
        <v>84</v>
      </c>
      <c r="Q20" s="12" t="s">
        <v>84</v>
      </c>
      <c r="R20" s="12" t="s">
        <v>84</v>
      </c>
      <c r="S20" s="12" t="s">
        <v>84</v>
      </c>
      <c r="T20" s="12" t="s">
        <v>84</v>
      </c>
      <c r="U20" s="12" t="s">
        <v>84</v>
      </c>
      <c r="V20" s="12" t="s">
        <v>84</v>
      </c>
      <c r="W20" s="12" t="s">
        <v>84</v>
      </c>
    </row>
  </sheetData>
  <autoFilter ref="A10:AA20"/>
  <sortState ref="A162:AN559">
    <sortCondition ref="D162:D559"/>
  </sortState>
  <conditionalFormatting sqref="G7:G8">
    <cfRule type="cellIs" dxfId="196" priority="1" stopIfTrue="1" operator="equal">
      <formula>"Check"</formula>
    </cfRule>
  </conditionalFormatting>
  <pageMargins left="0.75" right="0.75" top="1" bottom="1" header="0.3" footer="0.3"/>
  <pageSetup paperSize="9" orientation="portrait" r:id="rId1"/>
</worksheet>
</file>

<file path=xl/worksheets/sheet6.xml><?xml version="1.0" encoding="utf-8"?>
<worksheet xmlns="http://schemas.openxmlformats.org/spreadsheetml/2006/main" xmlns:r="http://schemas.openxmlformats.org/officeDocument/2006/relationships">
  <sheetPr codeName="Sheet7"/>
  <dimension ref="A1:AN19"/>
  <sheetViews>
    <sheetView zoomScale="70" zoomScaleNormal="70" workbookViewId="0">
      <pane xSplit="8" ySplit="10" topLeftCell="I11" activePane="bottomRight" state="frozen"/>
      <selection activeCell="G16" sqref="G16"/>
      <selection pane="topRight" activeCell="G16" sqref="G16"/>
      <selection pane="bottomLeft" activeCell="G16" sqref="G16"/>
      <selection pane="bottomRight" activeCell="F15" sqref="A15:XFD2965"/>
    </sheetView>
  </sheetViews>
  <sheetFormatPr baseColWidth="10" defaultColWidth="12.81640625" defaultRowHeight="12.5"/>
  <cols>
    <col min="1" max="1" width="17.1796875" style="361" customWidth="1"/>
    <col min="2" max="2" width="33.453125" style="4" bestFit="1" customWidth="1"/>
    <col min="3" max="3" width="8.1796875" style="4" bestFit="1" customWidth="1"/>
    <col min="4" max="4" width="11.453125" style="133" customWidth="1"/>
    <col min="5" max="5" width="20.453125" style="4" customWidth="1"/>
    <col min="6" max="6" width="10.81640625" style="152" bestFit="1" customWidth="1"/>
    <col min="7" max="7" width="33.1796875" style="4" customWidth="1"/>
    <col min="8" max="8" width="11.453125" style="4" bestFit="1" customWidth="1"/>
    <col min="9" max="9" width="18.81640625" style="5" bestFit="1" customWidth="1"/>
    <col min="10" max="10" width="19.1796875" style="5" bestFit="1" customWidth="1"/>
    <col min="11" max="11" width="13" style="5" bestFit="1" customWidth="1"/>
    <col min="12" max="12" width="13.1796875" style="454" bestFit="1" customWidth="1"/>
    <col min="13" max="13" width="18.81640625" style="4" customWidth="1"/>
    <col min="14" max="14" width="12.453125" style="4" bestFit="1" customWidth="1"/>
    <col min="15" max="15" width="21.453125" style="4" bestFit="1" customWidth="1"/>
    <col min="16" max="16" width="41.453125" style="4" bestFit="1" customWidth="1"/>
    <col min="17" max="17" width="13.81640625" style="4" customWidth="1"/>
    <col min="18" max="18" width="31" style="4" customWidth="1"/>
    <col min="19" max="19" width="15.81640625" style="4" customWidth="1"/>
    <col min="20" max="20" width="21.81640625" style="4" customWidth="1"/>
    <col min="21" max="21" width="38.81640625" style="4" bestFit="1" customWidth="1"/>
    <col min="22" max="22" width="35.81640625" style="4" bestFit="1" customWidth="1"/>
    <col min="23" max="23" width="8.1796875" style="4" bestFit="1" customWidth="1"/>
    <col min="24" max="24" width="9.1796875" style="4" bestFit="1" customWidth="1"/>
    <col min="25" max="25" width="11.453125" style="4" customWidth="1"/>
    <col min="26" max="26" width="11.453125" style="4" bestFit="1" customWidth="1"/>
    <col min="27" max="27" width="3" style="4" bestFit="1" customWidth="1"/>
    <col min="28" max="28" width="11.453125" style="4" customWidth="1"/>
    <col min="29" max="29" width="11.453125" style="4" bestFit="1" customWidth="1"/>
    <col min="30" max="30" width="20" style="4" bestFit="1" customWidth="1"/>
    <col min="31" max="31" width="4.453125" style="4" bestFit="1" customWidth="1"/>
    <col min="32" max="32" width="23.453125" style="4" bestFit="1" customWidth="1"/>
    <col min="33" max="33" width="42.81640625" style="4" bestFit="1" customWidth="1"/>
    <col min="34" max="34" width="17.1796875" style="4" bestFit="1" customWidth="1"/>
    <col min="35" max="35" width="35.1796875" style="4" bestFit="1" customWidth="1"/>
    <col min="36" max="36" width="17.1796875" style="4" bestFit="1" customWidth="1"/>
    <col min="37" max="37" width="24.453125" style="4" bestFit="1" customWidth="1"/>
    <col min="38" max="39" width="42.453125" style="4" bestFit="1" customWidth="1"/>
    <col min="40" max="40" width="8.81640625" style="4" bestFit="1" customWidth="1"/>
    <col min="41" max="41" width="11.453125" style="4" customWidth="1"/>
    <col min="42" max="16384" width="12.81640625" style="4"/>
  </cols>
  <sheetData>
    <row r="1" spans="1:40">
      <c r="G1" s="152"/>
    </row>
    <row r="2" spans="1:40" ht="13">
      <c r="G2" s="305" t="s">
        <v>140</v>
      </c>
    </row>
    <row r="3" spans="1:40" ht="13">
      <c r="G3" s="305" t="s">
        <v>152</v>
      </c>
    </row>
    <row r="4" spans="1:40" ht="13">
      <c r="G4" s="305" t="s">
        <v>155</v>
      </c>
    </row>
    <row r="5" spans="1:40" ht="13">
      <c r="G5" s="305" t="s">
        <v>162</v>
      </c>
    </row>
    <row r="6" spans="1:40" ht="13" thickBot="1"/>
    <row r="7" spans="1:40" ht="13.5" thickBot="1">
      <c r="C7" s="361"/>
      <c r="D7" s="10"/>
      <c r="G7" s="110" t="str">
        <f>+IF(I7+J7=0,"Ok","Check")</f>
        <v>Ok</v>
      </c>
      <c r="I7" s="6">
        <f>ROUND(SUM(I10:I47),0)</f>
        <v>0</v>
      </c>
      <c r="J7" s="6">
        <f>ROUND(SUM(J10:J47),0)</f>
        <v>0</v>
      </c>
    </row>
    <row r="8" spans="1:40" ht="13.5" thickBot="1">
      <c r="C8" s="361"/>
      <c r="D8" s="9" t="s">
        <v>77</v>
      </c>
      <c r="E8" s="4" t="s">
        <v>142</v>
      </c>
      <c r="G8" s="110" t="str">
        <f ca="1">+Resumen_Base!D1</f>
        <v>Ok</v>
      </c>
    </row>
    <row r="9" spans="1:40" ht="13.5" thickBot="1">
      <c r="B9" s="4" t="str">
        <f>+F9&amp;$C$9&amp;G9</f>
        <v xml:space="preserve"> </v>
      </c>
      <c r="C9" s="210" t="s">
        <v>87</v>
      </c>
      <c r="D9" s="133" t="e">
        <f>+VLOOKUP(F9,Resumen_Base!$C$8:$F$26,4,0)</f>
        <v>#N/A</v>
      </c>
      <c r="E9" s="4" t="e">
        <f>+VLOOKUP(F9,Resumen_Base!$C$8:$G$156,5,0)</f>
        <v>#N/A</v>
      </c>
      <c r="G9" s="133"/>
      <c r="H9" s="4" t="e">
        <f>+D9&amp;F9</f>
        <v>#N/A</v>
      </c>
      <c r="I9" s="6">
        <f>SUM(I10:I13)</f>
        <v>0</v>
      </c>
      <c r="J9" s="6">
        <f>SUM(J10:J13)</f>
        <v>0</v>
      </c>
      <c r="K9" s="5" t="e">
        <f>+AVERAGE(K10:K13)</f>
        <v>#DIV/0!</v>
      </c>
    </row>
    <row r="10" spans="1:40" s="133" customFormat="1" ht="29">
      <c r="A10" s="10"/>
      <c r="B10" s="13" t="s">
        <v>126</v>
      </c>
      <c r="C10" s="10"/>
      <c r="D10" s="13" t="s">
        <v>75</v>
      </c>
      <c r="E10" s="7" t="s">
        <v>76</v>
      </c>
      <c r="F10" s="153" t="s">
        <v>24</v>
      </c>
      <c r="G10" s="7" t="s">
        <v>23</v>
      </c>
      <c r="H10" s="7"/>
      <c r="I10" s="8" t="s">
        <v>22</v>
      </c>
      <c r="J10" s="8" t="s">
        <v>20</v>
      </c>
      <c r="K10" s="331" t="s">
        <v>74</v>
      </c>
      <c r="L10" s="455" t="s">
        <v>18</v>
      </c>
      <c r="M10" s="7" t="s">
        <v>17</v>
      </c>
      <c r="N10" s="7" t="s">
        <v>16</v>
      </c>
      <c r="O10" s="7" t="s">
        <v>15</v>
      </c>
      <c r="P10" s="7" t="s">
        <v>14</v>
      </c>
      <c r="Q10" s="7" t="s">
        <v>13</v>
      </c>
      <c r="R10" s="7" t="s">
        <v>12</v>
      </c>
      <c r="S10" s="7" t="s">
        <v>11</v>
      </c>
      <c r="T10" s="7" t="s">
        <v>10</v>
      </c>
      <c r="U10" s="7" t="s">
        <v>9</v>
      </c>
      <c r="V10" s="7" t="s">
        <v>8</v>
      </c>
      <c r="W10" s="7" t="s">
        <v>7</v>
      </c>
      <c r="X10" s="8" t="s">
        <v>21</v>
      </c>
      <c r="Y10" s="7"/>
      <c r="Z10" s="7" t="s">
        <v>20</v>
      </c>
      <c r="AA10" s="7" t="s">
        <v>19</v>
      </c>
      <c r="AC10" s="362" t="s">
        <v>18</v>
      </c>
      <c r="AD10" s="362" t="s">
        <v>17</v>
      </c>
      <c r="AE10" s="362" t="s">
        <v>16</v>
      </c>
      <c r="AF10" s="362" t="s">
        <v>15</v>
      </c>
      <c r="AG10" s="362" t="s">
        <v>14</v>
      </c>
      <c r="AH10" s="362" t="s">
        <v>13</v>
      </c>
      <c r="AI10" s="362" t="s">
        <v>12</v>
      </c>
      <c r="AJ10" s="362" t="s">
        <v>11</v>
      </c>
      <c r="AK10" s="362" t="s">
        <v>10</v>
      </c>
      <c r="AL10" s="464" t="s">
        <v>9</v>
      </c>
      <c r="AM10" s="362" t="s">
        <v>8</v>
      </c>
      <c r="AN10" s="362" t="s">
        <v>7</v>
      </c>
    </row>
    <row r="11" spans="1:40" ht="14.5">
      <c r="F11" s="211"/>
      <c r="G11" s="212"/>
      <c r="H11" s="212"/>
      <c r="I11" s="213"/>
      <c r="J11" s="213"/>
      <c r="K11" s="213"/>
      <c r="M11" s="209"/>
      <c r="X11" s="5"/>
      <c r="AC11" s="212"/>
      <c r="AD11" s="212"/>
      <c r="AE11" s="212"/>
      <c r="AF11" s="212"/>
      <c r="AG11" s="212"/>
      <c r="AH11" s="212"/>
      <c r="AI11" s="212"/>
      <c r="AJ11" s="212"/>
      <c r="AK11" s="212"/>
      <c r="AL11" s="212"/>
      <c r="AM11" s="212"/>
      <c r="AN11" s="212"/>
    </row>
    <row r="13" spans="1:40">
      <c r="A13" s="452" t="s">
        <v>84</v>
      </c>
      <c r="B13" s="452" t="s">
        <v>84</v>
      </c>
      <c r="C13" s="452" t="s">
        <v>84</v>
      </c>
      <c r="D13" s="11" t="s">
        <v>84</v>
      </c>
      <c r="E13" s="453" t="s">
        <v>84</v>
      </c>
      <c r="F13" s="453" t="s">
        <v>84</v>
      </c>
      <c r="G13" s="453" t="s">
        <v>84</v>
      </c>
      <c r="H13" s="453" t="s">
        <v>84</v>
      </c>
      <c r="I13" s="187" t="s">
        <v>84</v>
      </c>
      <c r="J13" s="187" t="s">
        <v>84</v>
      </c>
      <c r="K13" s="187" t="s">
        <v>84</v>
      </c>
      <c r="L13" s="457" t="s">
        <v>84</v>
      </c>
      <c r="M13" s="453" t="s">
        <v>84</v>
      </c>
      <c r="N13" s="453" t="s">
        <v>84</v>
      </c>
      <c r="O13" s="453" t="s">
        <v>84</v>
      </c>
      <c r="P13" s="453" t="s">
        <v>84</v>
      </c>
      <c r="Q13" s="453" t="s">
        <v>84</v>
      </c>
      <c r="R13" s="453" t="s">
        <v>84</v>
      </c>
      <c r="S13" s="453" t="s">
        <v>84</v>
      </c>
      <c r="T13" s="453" t="s">
        <v>84</v>
      </c>
      <c r="U13" s="453" t="s">
        <v>84</v>
      </c>
      <c r="V13" s="453" t="s">
        <v>84</v>
      </c>
      <c r="W13" s="453" t="s">
        <v>84</v>
      </c>
    </row>
    <row r="14" spans="1:40" ht="14.5">
      <c r="F14" s="211"/>
      <c r="G14" s="212"/>
      <c r="H14" s="212"/>
      <c r="I14" s="213"/>
      <c r="J14" s="213"/>
      <c r="K14" s="213"/>
      <c r="M14" s="209"/>
      <c r="X14" s="5"/>
      <c r="AC14" s="212"/>
      <c r="AD14" s="212"/>
      <c r="AE14" s="212"/>
      <c r="AF14" s="212"/>
      <c r="AG14" s="212"/>
      <c r="AH14" s="212"/>
      <c r="AI14" s="212"/>
      <c r="AJ14" s="212"/>
      <c r="AK14" s="212"/>
      <c r="AL14" s="212"/>
      <c r="AM14" s="212"/>
      <c r="AN14" s="212"/>
    </row>
    <row r="15" spans="1:40">
      <c r="F15" s="308"/>
      <c r="M15" s="209"/>
      <c r="X15" s="5"/>
    </row>
    <row r="16" spans="1:40">
      <c r="F16" s="308"/>
      <c r="M16" s="209"/>
      <c r="X16" s="5"/>
    </row>
    <row r="17" spans="1:40" ht="14.5">
      <c r="F17" s="211"/>
      <c r="G17" s="212"/>
      <c r="H17" s="212"/>
      <c r="I17" s="213"/>
      <c r="J17" s="213"/>
      <c r="K17" s="213"/>
      <c r="M17" s="209"/>
      <c r="X17" s="5"/>
      <c r="AC17" s="307"/>
      <c r="AD17" s="212"/>
      <c r="AE17" s="212"/>
      <c r="AF17" s="212"/>
      <c r="AG17" s="212"/>
      <c r="AH17" s="212"/>
      <c r="AI17" s="212"/>
      <c r="AJ17" s="212"/>
      <c r="AK17" s="212"/>
      <c r="AL17" s="212"/>
      <c r="AM17" s="212"/>
      <c r="AN17" s="212"/>
    </row>
    <row r="19" spans="1:40">
      <c r="A19" s="452" t="s">
        <v>84</v>
      </c>
      <c r="B19" s="452" t="s">
        <v>84</v>
      </c>
      <c r="C19" s="452" t="s">
        <v>84</v>
      </c>
      <c r="D19" s="11" t="s">
        <v>84</v>
      </c>
      <c r="E19" s="453" t="s">
        <v>84</v>
      </c>
      <c r="F19" s="453" t="s">
        <v>84</v>
      </c>
      <c r="G19" s="453" t="s">
        <v>84</v>
      </c>
      <c r="H19" s="453" t="s">
        <v>84</v>
      </c>
      <c r="I19" s="187" t="s">
        <v>84</v>
      </c>
      <c r="J19" s="187" t="s">
        <v>84</v>
      </c>
      <c r="K19" s="187" t="s">
        <v>84</v>
      </c>
      <c r="L19" s="457" t="s">
        <v>84</v>
      </c>
      <c r="M19" s="453" t="s">
        <v>84</v>
      </c>
      <c r="N19" s="453" t="s">
        <v>84</v>
      </c>
      <c r="O19" s="453" t="s">
        <v>84</v>
      </c>
      <c r="P19" s="453" t="s">
        <v>84</v>
      </c>
      <c r="Q19" s="453" t="s">
        <v>84</v>
      </c>
      <c r="R19" s="453" t="s">
        <v>84</v>
      </c>
      <c r="S19" s="453" t="s">
        <v>84</v>
      </c>
      <c r="T19" s="453" t="s">
        <v>84</v>
      </c>
      <c r="U19" s="453" t="s">
        <v>84</v>
      </c>
      <c r="V19" s="453" t="s">
        <v>84</v>
      </c>
      <c r="W19" s="453" t="s">
        <v>84</v>
      </c>
    </row>
  </sheetData>
  <autoFilter ref="A10:AA19"/>
  <conditionalFormatting sqref="G7:G8">
    <cfRule type="cellIs" dxfId="195" priority="1" stopIfTrue="1" operator="equal">
      <formula>"Check"</formula>
    </cfRule>
  </conditionalFormatting>
  <pageMargins left="0.75" right="0.75" top="1" bottom="1" header="0.3" footer="0.3"/>
  <pageSetup paperSize="9" orientation="portrait" r:id="rId1"/>
</worksheet>
</file>

<file path=xl/worksheets/sheet7.xml><?xml version="1.0" encoding="utf-8"?>
<worksheet xmlns="http://schemas.openxmlformats.org/spreadsheetml/2006/main" xmlns:r="http://schemas.openxmlformats.org/officeDocument/2006/relationships">
  <sheetPr codeName="Sheet8"/>
  <dimension ref="A1:AN20"/>
  <sheetViews>
    <sheetView zoomScale="71" zoomScaleNormal="71" workbookViewId="0">
      <pane xSplit="10" ySplit="10" topLeftCell="K11" activePane="bottomRight" state="frozen"/>
      <selection activeCell="AO7539" sqref="AO7539"/>
      <selection pane="topRight" activeCell="AO7539" sqref="AO7539"/>
      <selection pane="bottomLeft" activeCell="AO7539" sqref="AO7539"/>
      <selection pane="bottomRight" activeCell="F16" sqref="F16"/>
    </sheetView>
  </sheetViews>
  <sheetFormatPr baseColWidth="10" defaultColWidth="10.81640625" defaultRowHeight="12.5"/>
  <cols>
    <col min="1" max="1" width="19.1796875" style="10" bestFit="1" customWidth="1"/>
    <col min="2" max="2" width="33" style="4" bestFit="1" customWidth="1"/>
    <col min="3" max="3" width="28.81640625" style="4" customWidth="1"/>
    <col min="4" max="4" width="11.453125" style="133" customWidth="1"/>
    <col min="5" max="5" width="13.453125" style="4" customWidth="1"/>
    <col min="6" max="6" width="10.81640625" style="152" bestFit="1" customWidth="1"/>
    <col min="7" max="7" width="33.1796875" style="4" customWidth="1"/>
    <col min="8" max="8" width="12" style="133" bestFit="1" customWidth="1"/>
    <col min="9" max="9" width="18.81640625" style="5" bestFit="1" customWidth="1"/>
    <col min="10" max="10" width="19.1796875" style="5" bestFit="1" customWidth="1"/>
    <col min="11" max="11" width="13" style="5" bestFit="1" customWidth="1"/>
    <col min="12" max="12" width="14" style="454" bestFit="1" customWidth="1"/>
    <col min="13" max="13" width="18.81640625" style="4" customWidth="1"/>
    <col min="14" max="14" width="12.453125" style="133" bestFit="1" customWidth="1"/>
    <col min="15" max="15" width="27.81640625" style="4" bestFit="1" customWidth="1"/>
    <col min="16" max="16" width="26" style="4" customWidth="1"/>
    <col min="17" max="17" width="13.81640625" style="4" hidden="1" customWidth="1"/>
    <col min="18" max="18" width="31" style="4" hidden="1" customWidth="1"/>
    <col min="19" max="19" width="15.81640625" style="4" hidden="1" customWidth="1"/>
    <col min="20" max="20" width="21.81640625" style="4" hidden="1" customWidth="1"/>
    <col min="21" max="21" width="43.1796875" style="4" customWidth="1"/>
    <col min="22" max="22" width="35.81640625" style="4" bestFit="1" customWidth="1"/>
    <col min="23" max="23" width="8.1796875" style="4" bestFit="1" customWidth="1"/>
    <col min="24" max="24" width="9.1796875" style="4" bestFit="1" customWidth="1"/>
    <col min="25" max="25" width="11.453125" style="4" customWidth="1"/>
    <col min="26" max="26" width="11.453125" style="4" bestFit="1" customWidth="1"/>
    <col min="27" max="27" width="3" style="4" bestFit="1" customWidth="1"/>
    <col min="28" max="28" width="11.453125" style="4" customWidth="1"/>
    <col min="29" max="29" width="11.453125" style="4" bestFit="1" customWidth="1"/>
    <col min="30" max="30" width="20" style="4" bestFit="1" customWidth="1"/>
    <col min="31" max="31" width="4.453125" style="4" bestFit="1" customWidth="1"/>
    <col min="32" max="32" width="23.453125" style="4" bestFit="1" customWidth="1"/>
    <col min="33" max="33" width="42.81640625" style="4" bestFit="1" customWidth="1"/>
    <col min="34" max="34" width="17.1796875" style="4" bestFit="1" customWidth="1"/>
    <col min="35" max="35" width="35.1796875" style="4" bestFit="1" customWidth="1"/>
    <col min="36" max="36" width="17.1796875" style="4" bestFit="1" customWidth="1"/>
    <col min="37" max="37" width="24.453125" style="4" bestFit="1" customWidth="1"/>
    <col min="38" max="39" width="42.453125" style="4" bestFit="1" customWidth="1"/>
    <col min="40" max="40" width="8.81640625" style="4" bestFit="1" customWidth="1"/>
    <col min="41" max="16384" width="10.81640625" style="4"/>
  </cols>
  <sheetData>
    <row r="1" spans="1:40">
      <c r="A1" s="375" t="s">
        <v>154</v>
      </c>
      <c r="C1" s="375" t="s">
        <v>234</v>
      </c>
      <c r="G1" s="152"/>
    </row>
    <row r="2" spans="1:40" ht="13">
      <c r="A2" s="361" t="s">
        <v>169</v>
      </c>
      <c r="B2" s="4" t="e">
        <f>+#REF!</f>
        <v>#REF!</v>
      </c>
      <c r="C2" s="4" t="s">
        <v>169</v>
      </c>
      <c r="D2" s="133" t="e">
        <f>+#REF!</f>
        <v>#REF!</v>
      </c>
      <c r="G2" s="305" t="s">
        <v>140</v>
      </c>
    </row>
    <row r="3" spans="1:40" ht="13">
      <c r="A3" s="361" t="s">
        <v>77</v>
      </c>
      <c r="B3" s="4" t="e">
        <f>+#REF!</f>
        <v>#REF!</v>
      </c>
      <c r="C3" s="4" t="s">
        <v>77</v>
      </c>
      <c r="D3" s="133" t="e">
        <f>+#REF!</f>
        <v>#REF!</v>
      </c>
      <c r="G3" s="305" t="s">
        <v>152</v>
      </c>
    </row>
    <row r="4" spans="1:40" ht="13">
      <c r="A4" s="375" t="s">
        <v>233</v>
      </c>
      <c r="G4" s="305" t="s">
        <v>155</v>
      </c>
    </row>
    <row r="5" spans="1:40" ht="13">
      <c r="A5" s="361" t="s">
        <v>169</v>
      </c>
      <c r="B5" s="4" t="e">
        <f>+#REF!</f>
        <v>#REF!</v>
      </c>
      <c r="G5" s="305" t="s">
        <v>162</v>
      </c>
    </row>
    <row r="6" spans="1:40" ht="13" thickBot="1">
      <c r="A6" s="361" t="s">
        <v>77</v>
      </c>
      <c r="B6" s="4" t="e">
        <f>+#REF!</f>
        <v>#REF!</v>
      </c>
    </row>
    <row r="7" spans="1:40" ht="13.5" thickBot="1">
      <c r="A7" s="530" t="s">
        <v>63</v>
      </c>
      <c r="C7" s="10"/>
      <c r="D7" s="10"/>
      <c r="G7" s="110" t="str">
        <f>+IF(I7+J7=0,"Ok","Check")</f>
        <v>Ok</v>
      </c>
      <c r="I7" s="6">
        <f>ROUND(SUM(I10:I20),0)</f>
        <v>0</v>
      </c>
      <c r="J7" s="6">
        <f>ROUND(SUM(J10:J20),0)</f>
        <v>0</v>
      </c>
    </row>
    <row r="8" spans="1:40" ht="13.5" thickBot="1">
      <c r="A8" s="361" t="s">
        <v>169</v>
      </c>
      <c r="B8" s="4" t="e">
        <f>+#REF!</f>
        <v>#REF!</v>
      </c>
      <c r="C8" s="10"/>
      <c r="D8" s="9" t="s">
        <v>77</v>
      </c>
      <c r="E8" s="4" t="s">
        <v>142</v>
      </c>
      <c r="G8" s="110" t="str">
        <f ca="1">+Resumen_Base!D1</f>
        <v>Ok</v>
      </c>
    </row>
    <row r="9" spans="1:40" ht="13.5" thickBot="1">
      <c r="A9" s="361" t="s">
        <v>77</v>
      </c>
      <c r="B9" s="4" t="e">
        <f>+#REF!</f>
        <v>#REF!</v>
      </c>
      <c r="C9" s="9" t="s">
        <v>87</v>
      </c>
      <c r="D9" s="133" t="e">
        <f>+VLOOKUP(F9,Resumen_Base!$C$8:$F$26,4,0)</f>
        <v>#N/A</v>
      </c>
      <c r="E9" s="4" t="e">
        <f>+VLOOKUP(F9,Resumen_Base!$C$8:$G$156,5,0)</f>
        <v>#N/A</v>
      </c>
      <c r="H9" s="133" t="e">
        <f>+D9&amp;F9</f>
        <v>#N/A</v>
      </c>
      <c r="I9" s="6">
        <f>SUM(I10:I14)</f>
        <v>0</v>
      </c>
      <c r="J9" s="6">
        <f>SUM(J10:J14)</f>
        <v>0</v>
      </c>
    </row>
    <row r="10" spans="1:40" ht="29">
      <c r="A10" s="361"/>
      <c r="B10" s="13" t="s">
        <v>126</v>
      </c>
      <c r="C10" s="10"/>
      <c r="D10" s="13" t="s">
        <v>75</v>
      </c>
      <c r="E10" s="7" t="s">
        <v>76</v>
      </c>
      <c r="F10" s="153" t="s">
        <v>24</v>
      </c>
      <c r="G10" s="7" t="s">
        <v>23</v>
      </c>
      <c r="H10" s="7"/>
      <c r="I10" s="8" t="s">
        <v>22</v>
      </c>
      <c r="J10" s="8" t="s">
        <v>20</v>
      </c>
      <c r="K10" s="331" t="s">
        <v>74</v>
      </c>
      <c r="L10" s="455" t="s">
        <v>18</v>
      </c>
      <c r="M10" s="7" t="s">
        <v>17</v>
      </c>
      <c r="N10" s="7" t="s">
        <v>16</v>
      </c>
      <c r="O10" s="7" t="s">
        <v>15</v>
      </c>
      <c r="P10" s="7" t="s">
        <v>14</v>
      </c>
      <c r="Q10" s="7" t="s">
        <v>13</v>
      </c>
      <c r="R10" s="7" t="s">
        <v>12</v>
      </c>
      <c r="S10" s="7" t="s">
        <v>11</v>
      </c>
      <c r="T10" s="7" t="s">
        <v>10</v>
      </c>
      <c r="U10" s="7" t="s">
        <v>9</v>
      </c>
      <c r="V10" s="7" t="s">
        <v>8</v>
      </c>
      <c r="W10" s="7" t="s">
        <v>7</v>
      </c>
      <c r="X10" s="8" t="s">
        <v>21</v>
      </c>
      <c r="Y10" s="7"/>
      <c r="Z10" s="7" t="s">
        <v>20</v>
      </c>
      <c r="AA10" s="7" t="s">
        <v>19</v>
      </c>
      <c r="AC10" s="212" t="s">
        <v>18</v>
      </c>
      <c r="AD10" s="212" t="s">
        <v>17</v>
      </c>
      <c r="AE10" s="212" t="s">
        <v>16</v>
      </c>
      <c r="AF10" s="212" t="s">
        <v>15</v>
      </c>
      <c r="AG10" s="212" t="s">
        <v>14</v>
      </c>
      <c r="AH10" s="212" t="s">
        <v>13</v>
      </c>
      <c r="AI10" s="212" t="s">
        <v>12</v>
      </c>
      <c r="AJ10" s="212" t="s">
        <v>11</v>
      </c>
      <c r="AK10" s="212" t="s">
        <v>10</v>
      </c>
      <c r="AL10" s="306" t="s">
        <v>9</v>
      </c>
      <c r="AM10" s="212" t="s">
        <v>8</v>
      </c>
      <c r="AN10" s="212" t="s">
        <v>7</v>
      </c>
    </row>
    <row r="11" spans="1:40">
      <c r="A11" s="361"/>
    </row>
    <row r="12" spans="1:40">
      <c r="A12" s="509"/>
      <c r="B12" s="361"/>
    </row>
    <row r="14" spans="1:40">
      <c r="A14" s="11" t="s">
        <v>84</v>
      </c>
      <c r="B14" s="11" t="s">
        <v>84</v>
      </c>
      <c r="C14" s="11" t="s">
        <v>84</v>
      </c>
      <c r="D14" s="11" t="s">
        <v>84</v>
      </c>
      <c r="E14" s="12" t="s">
        <v>84</v>
      </c>
      <c r="F14" s="12" t="s">
        <v>84</v>
      </c>
      <c r="G14" s="12" t="s">
        <v>84</v>
      </c>
      <c r="H14" s="12" t="s">
        <v>84</v>
      </c>
      <c r="I14" s="150" t="s">
        <v>84</v>
      </c>
      <c r="J14" s="150" t="s">
        <v>84</v>
      </c>
      <c r="K14" s="150" t="s">
        <v>84</v>
      </c>
      <c r="L14" s="457" t="s">
        <v>84</v>
      </c>
      <c r="M14" s="12" t="s">
        <v>84</v>
      </c>
      <c r="N14" s="12" t="s">
        <v>84</v>
      </c>
      <c r="O14" s="12" t="s">
        <v>84</v>
      </c>
      <c r="P14" s="12" t="s">
        <v>84</v>
      </c>
      <c r="Q14" s="12" t="s">
        <v>84</v>
      </c>
      <c r="R14" s="12" t="s">
        <v>84</v>
      </c>
      <c r="S14" s="12" t="s">
        <v>84</v>
      </c>
      <c r="T14" s="12" t="s">
        <v>84</v>
      </c>
      <c r="U14" s="12" t="s">
        <v>84</v>
      </c>
      <c r="V14" s="12" t="s">
        <v>84</v>
      </c>
      <c r="W14" s="12" t="s">
        <v>84</v>
      </c>
    </row>
    <row r="15" spans="1:40">
      <c r="A15" s="361"/>
      <c r="F15" s="308"/>
      <c r="M15" s="209"/>
      <c r="X15" s="5"/>
      <c r="AC15" s="209"/>
    </row>
    <row r="16" spans="1:40">
      <c r="A16" s="361"/>
      <c r="F16" s="308"/>
      <c r="L16" s="209"/>
      <c r="M16" s="209"/>
      <c r="N16" s="4"/>
      <c r="X16" s="5"/>
    </row>
    <row r="17" spans="1:24">
      <c r="A17" s="361"/>
      <c r="F17" s="308"/>
      <c r="M17" s="209"/>
      <c r="N17" s="4"/>
      <c r="X17" s="5"/>
    </row>
    <row r="18" spans="1:24">
      <c r="A18" s="361"/>
      <c r="F18" s="308"/>
      <c r="M18" s="209"/>
      <c r="N18" s="4"/>
      <c r="X18" s="5"/>
    </row>
    <row r="20" spans="1:24">
      <c r="A20" s="11" t="s">
        <v>84</v>
      </c>
      <c r="B20" s="11" t="s">
        <v>84</v>
      </c>
      <c r="C20" s="11" t="s">
        <v>84</v>
      </c>
      <c r="D20" s="11" t="s">
        <v>84</v>
      </c>
      <c r="E20" s="12" t="s">
        <v>84</v>
      </c>
      <c r="F20" s="12" t="s">
        <v>84</v>
      </c>
      <c r="G20" s="12" t="s">
        <v>84</v>
      </c>
      <c r="H20" s="12" t="s">
        <v>84</v>
      </c>
      <c r="I20" s="150" t="s">
        <v>84</v>
      </c>
      <c r="J20" s="150" t="s">
        <v>84</v>
      </c>
      <c r="K20" s="150" t="s">
        <v>84</v>
      </c>
      <c r="L20" s="457" t="s">
        <v>84</v>
      </c>
      <c r="M20" s="12" t="s">
        <v>84</v>
      </c>
      <c r="N20" s="12" t="s">
        <v>84</v>
      </c>
      <c r="O20" s="12" t="s">
        <v>84</v>
      </c>
      <c r="P20" s="12" t="s">
        <v>84</v>
      </c>
      <c r="Q20" s="12" t="s">
        <v>84</v>
      </c>
      <c r="R20" s="12" t="s">
        <v>84</v>
      </c>
      <c r="S20" s="12" t="s">
        <v>84</v>
      </c>
      <c r="T20" s="12" t="s">
        <v>84</v>
      </c>
      <c r="U20" s="12" t="s">
        <v>84</v>
      </c>
      <c r="V20" s="12" t="s">
        <v>84</v>
      </c>
      <c r="W20" s="12" t="s">
        <v>84</v>
      </c>
    </row>
  </sheetData>
  <autoFilter ref="A10:AA20"/>
  <sortState ref="A447:AN3291">
    <sortCondition ref="F447:F3291"/>
  </sortState>
  <conditionalFormatting sqref="G7:G8">
    <cfRule type="cellIs" dxfId="194" priority="1" stopIfTrue="1" operator="equal">
      <formula>"Check"</formula>
    </cfRule>
  </conditionalFormatting>
  <pageMargins left="0.75" right="0.75" top="1" bottom="1" header="0.3" footer="0.3"/>
  <pageSetup paperSize="9" orientation="portrait" r:id="rId1"/>
</worksheet>
</file>

<file path=xl/worksheets/sheet8.xml><?xml version="1.0" encoding="utf-8"?>
<worksheet xmlns="http://schemas.openxmlformats.org/spreadsheetml/2006/main" xmlns:r="http://schemas.openxmlformats.org/officeDocument/2006/relationships">
  <sheetPr codeName="Sheet9"/>
  <dimension ref="A1:AN20"/>
  <sheetViews>
    <sheetView zoomScale="70" zoomScaleNormal="70" workbookViewId="0">
      <pane xSplit="10" ySplit="11" topLeftCell="K12" activePane="bottomRight" state="frozen"/>
      <selection activeCell="AO7539" sqref="AO7539"/>
      <selection pane="topRight" activeCell="AO7539" sqref="AO7539"/>
      <selection pane="bottomLeft" activeCell="AO7539" sqref="AO7539"/>
      <selection pane="bottomRight" activeCell="A7" sqref="A7:B9"/>
    </sheetView>
  </sheetViews>
  <sheetFormatPr baseColWidth="10" defaultColWidth="12.81640625" defaultRowHeight="13"/>
  <cols>
    <col min="1" max="1" width="17.1796875" style="10" customWidth="1"/>
    <col min="2" max="2" width="33.453125" style="4" bestFit="1" customWidth="1"/>
    <col min="3" max="3" width="8.1796875" style="4" bestFit="1" customWidth="1"/>
    <col min="4" max="4" width="11.453125" style="133" customWidth="1"/>
    <col min="5" max="5" width="18.81640625" style="4" customWidth="1"/>
    <col min="6" max="6" width="10.81640625" style="152" customWidth="1"/>
    <col min="7" max="7" width="31.453125" style="4" bestFit="1" customWidth="1"/>
    <col min="8" max="8" width="11.453125" style="133" bestFit="1" customWidth="1"/>
    <col min="9" max="9" width="18.1796875" style="5" bestFit="1" customWidth="1"/>
    <col min="10" max="10" width="19.1796875" style="465" bestFit="1" customWidth="1"/>
    <col min="11" max="11" width="11.81640625" style="5" bestFit="1" customWidth="1"/>
    <col min="12" max="12" width="13.1796875" style="454" bestFit="1" customWidth="1"/>
    <col min="13" max="13" width="18.81640625" style="4" customWidth="1"/>
    <col min="14" max="14" width="12.453125" style="133" bestFit="1" customWidth="1"/>
    <col min="15" max="15" width="21.453125" style="4" bestFit="1" customWidth="1"/>
    <col min="16" max="16" width="41.453125" style="4" bestFit="1" customWidth="1"/>
    <col min="17" max="17" width="13.81640625" style="4" hidden="1" customWidth="1"/>
    <col min="18" max="18" width="31" style="4" hidden="1" customWidth="1"/>
    <col min="19" max="19" width="15.81640625" style="4" hidden="1" customWidth="1"/>
    <col min="20" max="20" width="21.81640625" style="4" hidden="1" customWidth="1"/>
    <col min="21" max="21" width="42.81640625" style="4" customWidth="1"/>
    <col min="22" max="22" width="35.81640625" style="4" bestFit="1" customWidth="1"/>
    <col min="23" max="23" width="8.1796875" style="4" bestFit="1" customWidth="1"/>
    <col min="24" max="24" width="9.1796875" style="4" bestFit="1" customWidth="1"/>
    <col min="25" max="25" width="11.453125" style="4" customWidth="1"/>
    <col min="26" max="26" width="11.453125" style="4" bestFit="1" customWidth="1"/>
    <col min="27" max="27" width="3" style="4" bestFit="1" customWidth="1"/>
    <col min="28" max="28" width="11.453125" style="4" customWidth="1"/>
    <col min="29" max="29" width="11.453125" style="4" bestFit="1" customWidth="1"/>
    <col min="30" max="30" width="20" style="4" bestFit="1" customWidth="1"/>
    <col min="31" max="31" width="4.453125" style="4" bestFit="1" customWidth="1"/>
    <col min="32" max="32" width="23.453125" style="4" bestFit="1" customWidth="1"/>
    <col min="33" max="33" width="42.81640625" style="4" bestFit="1" customWidth="1"/>
    <col min="34" max="34" width="17.1796875" style="4" bestFit="1" customWidth="1"/>
    <col min="35" max="35" width="35.1796875" style="4" bestFit="1" customWidth="1"/>
    <col min="36" max="36" width="17.1796875" style="4" bestFit="1" customWidth="1"/>
    <col min="37" max="37" width="24.453125" style="4" bestFit="1" customWidth="1"/>
    <col min="38" max="39" width="42.453125" style="4" bestFit="1" customWidth="1"/>
    <col min="40" max="40" width="8.81640625" style="4" bestFit="1" customWidth="1"/>
    <col min="41" max="16384" width="12.81640625" style="4"/>
  </cols>
  <sheetData>
    <row r="1" spans="1:40" ht="37.5">
      <c r="A1" s="219" t="s">
        <v>154</v>
      </c>
      <c r="C1" s="375" t="s">
        <v>234</v>
      </c>
      <c r="G1" s="152"/>
    </row>
    <row r="2" spans="1:40">
      <c r="A2" s="4" t="s">
        <v>169</v>
      </c>
      <c r="B2" s="4" t="e">
        <f>+#REF!</f>
        <v>#REF!</v>
      </c>
      <c r="C2" s="4" t="s">
        <v>169</v>
      </c>
      <c r="D2" s="133" t="e">
        <f>+#REF!</f>
        <v>#REF!</v>
      </c>
      <c r="G2" s="305" t="s">
        <v>140</v>
      </c>
    </row>
    <row r="3" spans="1:40">
      <c r="A3" s="4" t="s">
        <v>77</v>
      </c>
      <c r="B3" s="4" t="e">
        <f>+#REF!</f>
        <v>#REF!</v>
      </c>
      <c r="C3" s="4" t="s">
        <v>77</v>
      </c>
      <c r="D3" s="133" t="e">
        <f>+#REF!</f>
        <v>#REF!</v>
      </c>
      <c r="G3" s="305" t="s">
        <v>152</v>
      </c>
    </row>
    <row r="4" spans="1:40">
      <c r="A4" s="219" t="s">
        <v>233</v>
      </c>
      <c r="G4" s="305" t="s">
        <v>155</v>
      </c>
    </row>
    <row r="5" spans="1:40">
      <c r="A5" s="4" t="s">
        <v>169</v>
      </c>
      <c r="B5" s="4" t="e">
        <f>+#REF!</f>
        <v>#REF!</v>
      </c>
      <c r="G5" s="305" t="s">
        <v>162</v>
      </c>
    </row>
    <row r="6" spans="1:40" ht="13.5" thickBot="1">
      <c r="A6" s="4" t="s">
        <v>77</v>
      </c>
      <c r="B6" s="4" t="e">
        <f>+#REF!</f>
        <v>#REF!</v>
      </c>
    </row>
    <row r="7" spans="1:40" ht="13.5" thickBot="1">
      <c r="A7" s="360" t="s">
        <v>63</v>
      </c>
      <c r="C7" s="10"/>
      <c r="D7" s="10"/>
      <c r="G7" s="110" t="str">
        <f>+IF(I7+J7=0,"Ok","Check")</f>
        <v>Ok</v>
      </c>
      <c r="I7" s="6">
        <f>ROUND(SUM(I11:I33),0)</f>
        <v>0</v>
      </c>
      <c r="J7" s="6">
        <f>ROUND(SUM(J11:J33),0)</f>
        <v>0</v>
      </c>
    </row>
    <row r="8" spans="1:40" ht="13.5" thickBot="1">
      <c r="A8" s="4" t="s">
        <v>169</v>
      </c>
      <c r="B8" s="4" t="e">
        <f>+#REF!</f>
        <v>#REF!</v>
      </c>
      <c r="C8" s="10"/>
      <c r="D8" s="9" t="s">
        <v>77</v>
      </c>
      <c r="E8" s="4" t="s">
        <v>142</v>
      </c>
      <c r="G8" s="110" t="str">
        <f ca="1">+Resumen_Base!D1</f>
        <v>Ok</v>
      </c>
    </row>
    <row r="9" spans="1:40" ht="13.5" thickBot="1">
      <c r="A9" s="4" t="s">
        <v>77</v>
      </c>
      <c r="B9" s="4" t="e">
        <f>+#REF!</f>
        <v>#REF!</v>
      </c>
      <c r="C9" s="9" t="s">
        <v>87</v>
      </c>
      <c r="D9" s="133" t="e">
        <f>+VLOOKUP(F9,Resumen_Base!$C$8:$F$26,4,0)</f>
        <v>#N/A</v>
      </c>
      <c r="E9" s="4" t="e">
        <f>+VLOOKUP(F9,Resumen_Base!$C$8:$G$156,5,0)</f>
        <v>#N/A</v>
      </c>
      <c r="H9" s="133" t="e">
        <f>+D9&amp;F9</f>
        <v>#N/A</v>
      </c>
      <c r="I9" s="6">
        <f>SUM(I11:I14)</f>
        <v>0</v>
      </c>
      <c r="J9" s="6">
        <f>SUM(J11:J14)</f>
        <v>0</v>
      </c>
    </row>
    <row r="10" spans="1:40" ht="12.5">
      <c r="A10" s="4"/>
      <c r="B10" s="4" t="str">
        <f>+F10&amp;G10</f>
        <v/>
      </c>
      <c r="C10" s="9"/>
      <c r="J10" s="5"/>
    </row>
    <row r="11" spans="1:40" ht="29">
      <c r="B11" s="13" t="s">
        <v>126</v>
      </c>
      <c r="C11" s="10"/>
      <c r="D11" s="13" t="s">
        <v>75</v>
      </c>
      <c r="E11" s="7" t="s">
        <v>76</v>
      </c>
      <c r="F11" s="153" t="s">
        <v>24</v>
      </c>
      <c r="G11" s="7" t="s">
        <v>23</v>
      </c>
      <c r="H11" s="7"/>
      <c r="I11" s="8" t="s">
        <v>22</v>
      </c>
      <c r="J11" s="469" t="s">
        <v>20</v>
      </c>
      <c r="K11" s="331" t="s">
        <v>74</v>
      </c>
      <c r="L11" s="455" t="s">
        <v>18</v>
      </c>
      <c r="M11" s="7" t="s">
        <v>17</v>
      </c>
      <c r="N11" s="7" t="s">
        <v>16</v>
      </c>
      <c r="O11" s="7" t="s">
        <v>15</v>
      </c>
      <c r="P11" s="7" t="s">
        <v>14</v>
      </c>
      <c r="Q11" s="7" t="s">
        <v>13</v>
      </c>
      <c r="R11" s="7" t="s">
        <v>12</v>
      </c>
      <c r="S11" s="7" t="s">
        <v>11</v>
      </c>
      <c r="T11" s="7" t="s">
        <v>10</v>
      </c>
      <c r="U11" s="7" t="s">
        <v>9</v>
      </c>
      <c r="V11" s="7" t="s">
        <v>8</v>
      </c>
      <c r="W11" s="7" t="s">
        <v>7</v>
      </c>
      <c r="X11" s="8" t="s">
        <v>21</v>
      </c>
      <c r="Y11" s="7"/>
      <c r="Z11" s="7" t="s">
        <v>20</v>
      </c>
      <c r="AA11" s="7" t="s">
        <v>19</v>
      </c>
      <c r="AC11" s="212" t="s">
        <v>18</v>
      </c>
      <c r="AD11" s="212" t="s">
        <v>17</v>
      </c>
      <c r="AE11" s="212" t="s">
        <v>16</v>
      </c>
      <c r="AF11" s="212" t="s">
        <v>15</v>
      </c>
      <c r="AG11" s="212" t="s">
        <v>14</v>
      </c>
      <c r="AH11" s="212" t="s">
        <v>13</v>
      </c>
      <c r="AI11" s="212" t="s">
        <v>12</v>
      </c>
      <c r="AJ11" s="212" t="s">
        <v>11</v>
      </c>
      <c r="AK11" s="212" t="s">
        <v>10</v>
      </c>
      <c r="AL11" s="306" t="s">
        <v>9</v>
      </c>
      <c r="AM11" s="212" t="s">
        <v>8</v>
      </c>
      <c r="AN11" s="212" t="s">
        <v>7</v>
      </c>
    </row>
    <row r="12" spans="1:40" ht="12.5">
      <c r="A12" s="4"/>
      <c r="F12" s="308"/>
      <c r="H12" s="4"/>
      <c r="J12" s="5"/>
      <c r="L12" s="209"/>
      <c r="M12" s="209"/>
      <c r="N12" s="4"/>
      <c r="X12" s="5"/>
      <c r="AC12" s="209"/>
      <c r="AH12" s="308"/>
    </row>
    <row r="13" spans="1:40" ht="14.5">
      <c r="A13" s="361"/>
      <c r="F13" s="211"/>
      <c r="G13" s="212"/>
      <c r="H13" s="212"/>
      <c r="I13" s="213"/>
      <c r="J13" s="471"/>
      <c r="K13" s="213"/>
      <c r="M13" s="209"/>
      <c r="X13" s="5"/>
      <c r="AC13" s="212"/>
      <c r="AD13" s="212"/>
      <c r="AE13" s="212"/>
      <c r="AF13" s="212"/>
      <c r="AG13" s="212"/>
      <c r="AH13" s="212"/>
      <c r="AI13" s="212"/>
      <c r="AJ13" s="212"/>
      <c r="AK13" s="212"/>
      <c r="AL13" s="212"/>
      <c r="AM13" s="212"/>
      <c r="AN13" s="212"/>
    </row>
    <row r="14" spans="1:40">
      <c r="A14" s="11" t="s">
        <v>84</v>
      </c>
      <c r="B14" s="11" t="s">
        <v>84</v>
      </c>
      <c r="C14" s="11" t="s">
        <v>84</v>
      </c>
      <c r="D14" s="11" t="s">
        <v>84</v>
      </c>
      <c r="E14" s="12" t="s">
        <v>84</v>
      </c>
      <c r="F14" s="12" t="s">
        <v>84</v>
      </c>
      <c r="G14" s="12" t="s">
        <v>84</v>
      </c>
      <c r="H14" s="12" t="s">
        <v>84</v>
      </c>
      <c r="I14" s="150" t="s">
        <v>84</v>
      </c>
      <c r="J14" s="472" t="s">
        <v>84</v>
      </c>
      <c r="K14" s="150" t="s">
        <v>84</v>
      </c>
      <c r="L14" s="457" t="s">
        <v>84</v>
      </c>
      <c r="M14" s="12" t="s">
        <v>84</v>
      </c>
      <c r="N14" s="12" t="s">
        <v>84</v>
      </c>
      <c r="O14" s="12" t="s">
        <v>84</v>
      </c>
      <c r="P14" s="12" t="s">
        <v>84</v>
      </c>
      <c r="Q14" s="12" t="s">
        <v>84</v>
      </c>
      <c r="R14" s="12" t="s">
        <v>84</v>
      </c>
      <c r="S14" s="12" t="s">
        <v>84</v>
      </c>
      <c r="T14" s="12" t="s">
        <v>84</v>
      </c>
      <c r="U14" s="12" t="s">
        <v>84</v>
      </c>
      <c r="V14" s="12" t="s">
        <v>84</v>
      </c>
      <c r="W14" s="12" t="s">
        <v>84</v>
      </c>
    </row>
    <row r="15" spans="1:40">
      <c r="A15" s="361"/>
      <c r="F15" s="308"/>
      <c r="H15" s="4"/>
      <c r="I15" s="332"/>
      <c r="J15" s="466"/>
      <c r="K15" s="332"/>
      <c r="M15" s="209"/>
      <c r="N15" s="4"/>
      <c r="X15" s="5"/>
    </row>
    <row r="16" spans="1:40" ht="12.5">
      <c r="A16" s="361"/>
      <c r="F16" s="308"/>
      <c r="H16" s="4"/>
      <c r="J16" s="5"/>
      <c r="L16" s="209"/>
      <c r="M16" s="209"/>
      <c r="N16" s="4"/>
      <c r="X16" s="5"/>
    </row>
    <row r="17" spans="1:29">
      <c r="A17" s="361"/>
      <c r="F17" s="308"/>
      <c r="M17" s="209"/>
      <c r="X17" s="5"/>
      <c r="AC17" s="209"/>
    </row>
    <row r="18" spans="1:29">
      <c r="A18" s="361"/>
      <c r="F18" s="308"/>
      <c r="M18" s="209"/>
      <c r="X18" s="5"/>
      <c r="AC18" s="209"/>
    </row>
    <row r="20" spans="1:29">
      <c r="A20" s="11" t="s">
        <v>84</v>
      </c>
      <c r="B20" s="11" t="s">
        <v>84</v>
      </c>
      <c r="C20" s="11" t="s">
        <v>84</v>
      </c>
      <c r="D20" s="11" t="s">
        <v>84</v>
      </c>
      <c r="E20" s="12" t="s">
        <v>84</v>
      </c>
      <c r="F20" s="12" t="s">
        <v>84</v>
      </c>
      <c r="G20" s="12" t="s">
        <v>84</v>
      </c>
      <c r="H20" s="12" t="s">
        <v>84</v>
      </c>
      <c r="I20" s="150" t="s">
        <v>84</v>
      </c>
      <c r="J20" s="472" t="s">
        <v>84</v>
      </c>
      <c r="K20" s="150" t="s">
        <v>84</v>
      </c>
      <c r="L20" s="457" t="s">
        <v>84</v>
      </c>
      <c r="M20" s="12" t="s">
        <v>84</v>
      </c>
      <c r="N20" s="12" t="s">
        <v>84</v>
      </c>
      <c r="O20" s="12" t="s">
        <v>84</v>
      </c>
      <c r="P20" s="12" t="s">
        <v>84</v>
      </c>
      <c r="Q20" s="12" t="s">
        <v>84</v>
      </c>
      <c r="R20" s="12" t="s">
        <v>84</v>
      </c>
      <c r="S20" s="12" t="s">
        <v>84</v>
      </c>
      <c r="T20" s="12" t="s">
        <v>84</v>
      </c>
      <c r="U20" s="12" t="s">
        <v>84</v>
      </c>
      <c r="V20" s="12" t="s">
        <v>84</v>
      </c>
      <c r="W20" s="12" t="s">
        <v>84</v>
      </c>
    </row>
  </sheetData>
  <autoFilter ref="A11:AA20"/>
  <sortState ref="A441:AN3143">
    <sortCondition ref="F441:F3143"/>
  </sortState>
  <conditionalFormatting sqref="G7:G8">
    <cfRule type="cellIs" dxfId="193" priority="1" stopIfTrue="1" operator="equal">
      <formula>"Check"</formula>
    </cfRule>
  </conditionalFormatting>
  <pageMargins left="0.75" right="0.75" top="1" bottom="1" header="0.3" footer="0.3"/>
  <pageSetup paperSize="9" orientation="portrait" r:id="rId1"/>
</worksheet>
</file>

<file path=xl/worksheets/sheet9.xml><?xml version="1.0" encoding="utf-8"?>
<worksheet xmlns="http://schemas.openxmlformats.org/spreadsheetml/2006/main" xmlns:r="http://schemas.openxmlformats.org/officeDocument/2006/relationships">
  <sheetPr codeName="Sheet10"/>
  <dimension ref="A1:AN18"/>
  <sheetViews>
    <sheetView zoomScale="70" zoomScaleNormal="70" workbookViewId="0">
      <pane xSplit="10" ySplit="11" topLeftCell="K12" activePane="bottomRight" state="frozen"/>
      <selection activeCell="AO7539" sqref="AO7539"/>
      <selection pane="topRight" activeCell="AO7539" sqref="AO7539"/>
      <selection pane="bottomLeft" activeCell="AO7539" sqref="AO7539"/>
      <selection pane="bottomRight" activeCell="G18" sqref="G18"/>
    </sheetView>
  </sheetViews>
  <sheetFormatPr baseColWidth="10" defaultColWidth="11.453125" defaultRowHeight="12.5"/>
  <cols>
    <col min="1" max="1" width="19.1796875" style="10" customWidth="1"/>
    <col min="2" max="2" width="33.453125" style="4" bestFit="1" customWidth="1"/>
    <col min="3" max="3" width="8.1796875" style="4" bestFit="1" customWidth="1"/>
    <col min="4" max="4" width="13.1796875" style="133" bestFit="1" customWidth="1"/>
    <col min="5" max="5" width="17.453125" style="4" customWidth="1"/>
    <col min="6" max="6" width="14" style="152" bestFit="1" customWidth="1"/>
    <col min="7" max="7" width="34.453125" style="4" bestFit="1" customWidth="1"/>
    <col min="8" max="8" width="11.453125" style="133" bestFit="1" customWidth="1"/>
    <col min="9" max="9" width="20.81640625" style="5" bestFit="1" customWidth="1"/>
    <col min="10" max="10" width="19.1796875" style="5" bestFit="1" customWidth="1"/>
    <col min="11" max="11" width="13.1796875" style="196" bestFit="1" customWidth="1"/>
    <col min="12" max="12" width="13.1796875" style="454" customWidth="1"/>
    <col min="13" max="13" width="18.81640625" style="4" customWidth="1"/>
    <col min="14" max="14" width="10.81640625" style="133" bestFit="1" customWidth="1"/>
    <col min="15" max="15" width="28.1796875" style="4" bestFit="1" customWidth="1"/>
    <col min="16" max="16" width="40.1796875" style="4" bestFit="1" customWidth="1"/>
    <col min="17" max="17" width="47.81640625" style="4" bestFit="1" customWidth="1"/>
    <col min="18" max="18" width="31.1796875" style="4" bestFit="1" customWidth="1"/>
    <col min="19" max="19" width="22.453125" style="4" bestFit="1" customWidth="1"/>
    <col min="20" max="20" width="28.1796875" style="4" bestFit="1" customWidth="1"/>
    <col min="21" max="21" width="40.453125" style="4" bestFit="1" customWidth="1"/>
    <col min="22" max="22" width="35.453125" style="4" bestFit="1" customWidth="1"/>
    <col min="23" max="23" width="14.453125" style="4" bestFit="1" customWidth="1"/>
    <col min="24" max="24" width="15.81640625" style="4" bestFit="1" customWidth="1"/>
    <col min="25" max="25" width="11.453125" style="4" customWidth="1"/>
    <col min="26" max="26" width="17.81640625" style="4" bestFit="1" customWidth="1"/>
    <col min="27" max="27" width="9.453125" style="4" bestFit="1" customWidth="1"/>
    <col min="28" max="28" width="11.453125" style="4" customWidth="1"/>
    <col min="29" max="29" width="11.1796875" style="4" bestFit="1" customWidth="1"/>
    <col min="30" max="30" width="20" style="4" bestFit="1" customWidth="1"/>
    <col min="31" max="31" width="4.1796875" style="4" bestFit="1" customWidth="1"/>
    <col min="32" max="32" width="23.81640625" style="4" bestFit="1" customWidth="1"/>
    <col min="33" max="33" width="42.453125" style="4" bestFit="1" customWidth="1"/>
    <col min="34" max="34" width="17.1796875" style="4" bestFit="1" customWidth="1"/>
    <col min="35" max="35" width="34.453125" style="4" bestFit="1" customWidth="1"/>
    <col min="36" max="36" width="17.1796875" style="4" bestFit="1" customWidth="1"/>
    <col min="37" max="37" width="24.453125" style="4" bestFit="1" customWidth="1"/>
    <col min="38" max="38" width="39.81640625" style="4" bestFit="1" customWidth="1"/>
    <col min="39" max="39" width="38.1796875" style="4" bestFit="1" customWidth="1"/>
    <col min="40" max="40" width="8.81640625" style="4" bestFit="1" customWidth="1"/>
    <col min="41" max="16384" width="11.453125" style="4"/>
  </cols>
  <sheetData>
    <row r="1" spans="1:40" ht="37.5">
      <c r="A1" s="219" t="s">
        <v>154</v>
      </c>
      <c r="C1" s="375" t="s">
        <v>234</v>
      </c>
      <c r="G1" s="152"/>
    </row>
    <row r="2" spans="1:40" ht="13">
      <c r="A2" s="4" t="s">
        <v>169</v>
      </c>
      <c r="B2" s="4" t="e">
        <f>+#REF!</f>
        <v>#REF!</v>
      </c>
      <c r="C2" s="4" t="s">
        <v>169</v>
      </c>
      <c r="D2" s="133" t="e">
        <f>+#REF!</f>
        <v>#REF!</v>
      </c>
      <c r="G2" s="305" t="s">
        <v>140</v>
      </c>
    </row>
    <row r="3" spans="1:40" ht="13">
      <c r="A3" s="4" t="s">
        <v>77</v>
      </c>
      <c r="B3" s="4" t="e">
        <f>+#REF!</f>
        <v>#REF!</v>
      </c>
      <c r="C3" s="4" t="s">
        <v>77</v>
      </c>
      <c r="D3" s="133" t="e">
        <f>+#REF!</f>
        <v>#REF!</v>
      </c>
      <c r="G3" s="305" t="s">
        <v>152</v>
      </c>
    </row>
    <row r="4" spans="1:40" ht="13">
      <c r="A4" s="219" t="s">
        <v>233</v>
      </c>
      <c r="G4" s="305" t="s">
        <v>155</v>
      </c>
    </row>
    <row r="5" spans="1:40" ht="13">
      <c r="A5" s="4" t="s">
        <v>169</v>
      </c>
      <c r="B5" s="4" t="e">
        <f>+#REF!</f>
        <v>#REF!</v>
      </c>
      <c r="G5" s="305" t="s">
        <v>162</v>
      </c>
    </row>
    <row r="6" spans="1:40" ht="13" thickBot="1">
      <c r="A6" s="4" t="s">
        <v>77</v>
      </c>
      <c r="B6" s="4" t="e">
        <f>+#REF!</f>
        <v>#REF!</v>
      </c>
    </row>
    <row r="7" spans="1:40" ht="13.5" thickBot="1">
      <c r="A7" s="360" t="s">
        <v>63</v>
      </c>
      <c r="C7" s="10"/>
      <c r="D7" s="10"/>
      <c r="G7" s="110" t="str">
        <f>+IF(I7+J7=0,"Ok","Check")</f>
        <v>Ok</v>
      </c>
      <c r="I7" s="6">
        <f>ROUND(SUM(I11:I18),0)</f>
        <v>0</v>
      </c>
      <c r="J7" s="6">
        <f>ROUND(SUM(J11:J18),0)</f>
        <v>0</v>
      </c>
    </row>
    <row r="8" spans="1:40" ht="13.5" thickBot="1">
      <c r="A8" s="4" t="s">
        <v>169</v>
      </c>
      <c r="B8" s="4" t="e">
        <f>+#REF!</f>
        <v>#REF!</v>
      </c>
      <c r="C8" s="10"/>
      <c r="D8" s="9" t="s">
        <v>77</v>
      </c>
      <c r="E8" s="4" t="s">
        <v>142</v>
      </c>
      <c r="G8" s="110" t="str">
        <f ca="1">+Resumen_Base!D1</f>
        <v>Ok</v>
      </c>
    </row>
    <row r="9" spans="1:40" ht="13.5" thickBot="1">
      <c r="A9" s="4" t="s">
        <v>77</v>
      </c>
      <c r="B9" s="4" t="e">
        <f>+#REF!</f>
        <v>#REF!</v>
      </c>
      <c r="C9" s="9" t="s">
        <v>87</v>
      </c>
      <c r="D9" s="133" t="e">
        <f>+VLOOKUP(F9,Resumen_Base!$C$8:$F$26,4,0)</f>
        <v>#N/A</v>
      </c>
      <c r="E9" s="4" t="e">
        <f>+VLOOKUP(F9,Resumen_Base!$C$8:$G$156,5,0)</f>
        <v>#N/A</v>
      </c>
      <c r="H9" s="133" t="e">
        <f>+D9&amp;F9</f>
        <v>#N/A</v>
      </c>
      <c r="I9" s="6">
        <f>SUM(I11:I14)</f>
        <v>0</v>
      </c>
      <c r="J9" s="6">
        <f>SUM(J11:J14)</f>
        <v>0</v>
      </c>
    </row>
    <row r="10" spans="1:40">
      <c r="A10" s="4"/>
      <c r="C10" s="9"/>
      <c r="I10" s="133"/>
      <c r="J10" s="133"/>
    </row>
    <row r="11" spans="1:40" ht="29">
      <c r="B11" s="13" t="s">
        <v>126</v>
      </c>
      <c r="C11" s="10"/>
      <c r="D11" s="13" t="s">
        <v>75</v>
      </c>
      <c r="E11" s="7" t="s">
        <v>76</v>
      </c>
      <c r="F11" s="153" t="s">
        <v>24</v>
      </c>
      <c r="G11" s="7" t="s">
        <v>23</v>
      </c>
      <c r="H11" s="7"/>
      <c r="I11" s="8" t="s">
        <v>22</v>
      </c>
      <c r="J11" s="8" t="s">
        <v>20</v>
      </c>
      <c r="K11" s="331" t="s">
        <v>74</v>
      </c>
      <c r="L11" s="455" t="s">
        <v>18</v>
      </c>
      <c r="M11" s="7" t="s">
        <v>17</v>
      </c>
      <c r="N11" s="7" t="s">
        <v>16</v>
      </c>
      <c r="O11" s="7" t="s">
        <v>15</v>
      </c>
      <c r="P11" s="7" t="s">
        <v>14</v>
      </c>
      <c r="Q11" s="7" t="s">
        <v>13</v>
      </c>
      <c r="R11" s="7" t="s">
        <v>12</v>
      </c>
      <c r="S11" s="7" t="s">
        <v>11</v>
      </c>
      <c r="T11" s="7" t="s">
        <v>10</v>
      </c>
      <c r="U11" s="7" t="s">
        <v>9</v>
      </c>
      <c r="V11" s="7" t="s">
        <v>8</v>
      </c>
      <c r="W11" s="7" t="s">
        <v>7</v>
      </c>
      <c r="X11" s="8" t="s">
        <v>21</v>
      </c>
      <c r="Y11" s="7"/>
      <c r="Z11" s="7" t="s">
        <v>20</v>
      </c>
      <c r="AA11" s="7" t="s">
        <v>19</v>
      </c>
      <c r="AC11" s="212" t="s">
        <v>18</v>
      </c>
      <c r="AD11" s="212" t="s">
        <v>17</v>
      </c>
      <c r="AE11" s="212" t="s">
        <v>16</v>
      </c>
      <c r="AF11" s="212" t="s">
        <v>15</v>
      </c>
      <c r="AG11" s="212" t="s">
        <v>14</v>
      </c>
      <c r="AH11" s="212" t="s">
        <v>13</v>
      </c>
      <c r="AI11" s="212" t="s">
        <v>12</v>
      </c>
      <c r="AJ11" s="212" t="s">
        <v>11</v>
      </c>
      <c r="AK11" s="212" t="s">
        <v>10</v>
      </c>
      <c r="AL11" s="306" t="s">
        <v>9</v>
      </c>
      <c r="AM11" s="212" t="s">
        <v>8</v>
      </c>
      <c r="AN11" s="212" t="s">
        <v>7</v>
      </c>
    </row>
    <row r="14" spans="1:40">
      <c r="A14" s="11" t="s">
        <v>84</v>
      </c>
      <c r="B14" s="11" t="s">
        <v>84</v>
      </c>
      <c r="C14" s="11" t="s">
        <v>84</v>
      </c>
      <c r="D14" s="11" t="s">
        <v>84</v>
      </c>
      <c r="E14" s="12" t="s">
        <v>84</v>
      </c>
      <c r="F14" s="12" t="s">
        <v>84</v>
      </c>
      <c r="G14" s="12" t="s">
        <v>84</v>
      </c>
      <c r="H14" s="12" t="s">
        <v>84</v>
      </c>
      <c r="I14" s="150" t="s">
        <v>84</v>
      </c>
      <c r="J14" s="150" t="s">
        <v>84</v>
      </c>
      <c r="K14" s="150" t="s">
        <v>84</v>
      </c>
      <c r="L14" s="457" t="s">
        <v>84</v>
      </c>
      <c r="M14" s="12" t="s">
        <v>84</v>
      </c>
      <c r="N14" s="12" t="s">
        <v>84</v>
      </c>
      <c r="O14" s="12" t="s">
        <v>84</v>
      </c>
      <c r="P14" s="12" t="s">
        <v>84</v>
      </c>
      <c r="Q14" s="12" t="s">
        <v>84</v>
      </c>
      <c r="R14" s="12" t="s">
        <v>84</v>
      </c>
      <c r="S14" s="12" t="s">
        <v>84</v>
      </c>
      <c r="T14" s="12" t="s">
        <v>84</v>
      </c>
      <c r="U14" s="12" t="s">
        <v>84</v>
      </c>
      <c r="V14" s="12" t="s">
        <v>84</v>
      </c>
      <c r="W14" s="12" t="s">
        <v>84</v>
      </c>
    </row>
    <row r="15" spans="1:40">
      <c r="F15" s="308"/>
      <c r="M15" s="209"/>
      <c r="X15" s="5"/>
      <c r="AC15" s="209"/>
    </row>
    <row r="16" spans="1:40" ht="13">
      <c r="A16" s="509"/>
      <c r="B16" s="315"/>
      <c r="C16" s="330"/>
      <c r="D16" s="203"/>
      <c r="E16" s="315"/>
      <c r="F16" s="313"/>
      <c r="G16" s="330"/>
      <c r="H16" s="330"/>
      <c r="I16" s="314"/>
      <c r="J16" s="470"/>
      <c r="K16" s="314"/>
      <c r="L16" s="456"/>
      <c r="M16" s="312"/>
      <c r="N16" s="203"/>
      <c r="O16" s="330"/>
      <c r="P16" s="330"/>
    </row>
    <row r="18" spans="1:23">
      <c r="A18" s="11" t="s">
        <v>84</v>
      </c>
      <c r="B18" s="11" t="s">
        <v>84</v>
      </c>
      <c r="C18" s="11" t="s">
        <v>84</v>
      </c>
      <c r="D18" s="11" t="s">
        <v>84</v>
      </c>
      <c r="E18" s="12" t="s">
        <v>84</v>
      </c>
      <c r="F18" s="12" t="s">
        <v>84</v>
      </c>
      <c r="G18" s="12" t="s">
        <v>84</v>
      </c>
      <c r="H18" s="12" t="s">
        <v>84</v>
      </c>
      <c r="I18" s="150" t="s">
        <v>84</v>
      </c>
      <c r="J18" s="150" t="s">
        <v>84</v>
      </c>
      <c r="K18" s="150" t="s">
        <v>84</v>
      </c>
      <c r="L18" s="457" t="s">
        <v>84</v>
      </c>
      <c r="M18" s="12" t="s">
        <v>84</v>
      </c>
      <c r="N18" s="12" t="s">
        <v>84</v>
      </c>
      <c r="O18" s="12" t="s">
        <v>84</v>
      </c>
      <c r="P18" s="12" t="s">
        <v>84</v>
      </c>
      <c r="Q18" s="12" t="s">
        <v>84</v>
      </c>
      <c r="R18" s="12" t="s">
        <v>84</v>
      </c>
      <c r="S18" s="12" t="s">
        <v>84</v>
      </c>
      <c r="T18" s="12" t="s">
        <v>84</v>
      </c>
      <c r="U18" s="12" t="s">
        <v>84</v>
      </c>
      <c r="V18" s="12" t="s">
        <v>84</v>
      </c>
      <c r="W18" s="12" t="s">
        <v>84</v>
      </c>
    </row>
  </sheetData>
  <autoFilter ref="A11:AA18"/>
  <sortState ref="A291:AN316">
    <sortCondition descending="1" ref="J291:J316"/>
  </sortState>
  <conditionalFormatting sqref="G7:G8">
    <cfRule type="cellIs" dxfId="192" priority="1" stopIfTrue="1" operator="equal">
      <formula>"Check"</formula>
    </cfRule>
  </conditionalFormatting>
  <pageMargins left="0.75" right="0.75" top="1" bottom="1" header="0.3" footer="0.3"/>
  <pageSetup paperSize="9" orientation="portrait" r:id="rId1"/>
</worksheet>
</file>

<file path=xl/worksheets/sheet10.xml><?xml version="1.0" encoding="utf-8"?>
<worksheet xmlns="http://schemas.openxmlformats.org/spreadsheetml/2006/main" xmlns:r="http://schemas.openxmlformats.org/officeDocument/2006/relationships">
  <sheetPr codeName="Sheet11"/>
  <dimension ref="A1:AN17"/>
  <sheetViews>
    <sheetView zoomScale="70" zoomScaleNormal="70" workbookViewId="0">
      <pane xSplit="8" ySplit="10" topLeftCell="I11" activePane="bottomRight" state="frozen"/>
      <selection activeCell="G16" sqref="G16"/>
      <selection pane="topRight" activeCell="G16" sqref="G16"/>
      <selection pane="bottomLeft" activeCell="G16" sqref="G16"/>
      <selection pane="bottomRight" activeCell="G16" sqref="G16"/>
    </sheetView>
  </sheetViews>
  <sheetFormatPr baseColWidth="10" defaultColWidth="11.453125" defaultRowHeight="12.5"/>
  <cols>
    <col min="1" max="1" width="17.453125" style="361" customWidth="1"/>
    <col min="2" max="2" width="33.453125" style="4" bestFit="1" customWidth="1"/>
    <col min="3" max="3" width="16.1796875" style="4" bestFit="1" customWidth="1"/>
    <col min="4" max="4" width="11.453125" style="4" customWidth="1"/>
    <col min="5" max="5" width="33.453125" style="4" bestFit="1" customWidth="1"/>
    <col min="6" max="6" width="10.81640625" style="152" bestFit="1" customWidth="1"/>
    <col min="7" max="7" width="44.81640625" style="4" bestFit="1" customWidth="1"/>
    <col min="8" max="8" width="11.453125" style="4" bestFit="1" customWidth="1"/>
    <col min="9" max="9" width="17.453125" style="5" customWidth="1"/>
    <col min="10" max="10" width="19.1796875" style="5" bestFit="1" customWidth="1"/>
    <col min="11" max="11" width="14" style="5" customWidth="1"/>
    <col min="12" max="12" width="13.1796875" style="454" customWidth="1"/>
    <col min="13" max="13" width="18.81640625" style="4" customWidth="1"/>
    <col min="14" max="14" width="12.453125" style="4" bestFit="1" customWidth="1"/>
    <col min="15" max="15" width="21.453125" style="4" bestFit="1" customWidth="1"/>
    <col min="16" max="16" width="41.453125" style="4" bestFit="1" customWidth="1"/>
    <col min="17" max="17" width="13.81640625" style="4" hidden="1" customWidth="1"/>
    <col min="18" max="18" width="31" style="4" hidden="1" customWidth="1"/>
    <col min="19" max="19" width="15.81640625" style="4" hidden="1" customWidth="1"/>
    <col min="20" max="20" width="21.81640625" style="4" hidden="1" customWidth="1"/>
    <col min="21" max="21" width="42.81640625" style="4" customWidth="1"/>
    <col min="22" max="22" width="35.81640625" style="4" bestFit="1" customWidth="1"/>
    <col min="23" max="23" width="8.1796875" style="4" bestFit="1" customWidth="1"/>
    <col min="24" max="24" width="9.1796875" style="4" bestFit="1" customWidth="1"/>
    <col min="25" max="25" width="11.453125" style="4" customWidth="1"/>
    <col min="26" max="26" width="11.453125" style="4" bestFit="1" customWidth="1"/>
    <col min="27" max="27" width="3" style="4" bestFit="1" customWidth="1"/>
    <col min="28" max="28" width="11.453125" style="4" customWidth="1"/>
    <col min="29" max="29" width="11.453125" style="4" bestFit="1" customWidth="1"/>
    <col min="30" max="30" width="20" style="4" bestFit="1" customWidth="1"/>
    <col min="31" max="31" width="4.453125" style="4" bestFit="1" customWidth="1"/>
    <col min="32" max="32" width="23.453125" style="4" bestFit="1" customWidth="1"/>
    <col min="33" max="33" width="42.81640625" style="4" bestFit="1" customWidth="1"/>
    <col min="34" max="34" width="17.1796875" style="4" bestFit="1" customWidth="1"/>
    <col min="35" max="35" width="35.1796875" style="4" bestFit="1" customWidth="1"/>
    <col min="36" max="36" width="17.1796875" style="4" bestFit="1" customWidth="1"/>
    <col min="37" max="37" width="24.453125" style="4" bestFit="1" customWidth="1"/>
    <col min="38" max="39" width="42.453125" style="4" bestFit="1" customWidth="1"/>
    <col min="40" max="40" width="8.81640625" style="4" bestFit="1" customWidth="1"/>
    <col min="41" max="16384" width="11.453125" style="4"/>
  </cols>
  <sheetData>
    <row r="1" spans="1:40">
      <c r="G1" s="152"/>
    </row>
    <row r="2" spans="1:40" ht="13">
      <c r="G2" s="305" t="s">
        <v>140</v>
      </c>
    </row>
    <row r="3" spans="1:40" ht="13">
      <c r="G3" s="305" t="s">
        <v>152</v>
      </c>
    </row>
    <row r="4" spans="1:40" ht="13">
      <c r="G4" s="305" t="s">
        <v>155</v>
      </c>
    </row>
    <row r="5" spans="1:40" ht="13">
      <c r="G5" s="305" t="s">
        <v>162</v>
      </c>
    </row>
    <row r="6" spans="1:40" ht="13" thickBot="1"/>
    <row r="7" spans="1:40" ht="13.5" thickBot="1">
      <c r="C7" s="361"/>
      <c r="D7" s="361"/>
      <c r="G7" s="450" t="str">
        <f>+IF(I7+J7=0,"Ok","Check")</f>
        <v>Ok</v>
      </c>
      <c r="I7" s="6">
        <f>ROUND(SUM(I10:I17),0)</f>
        <v>0</v>
      </c>
      <c r="J7" s="6">
        <f>ROUND(SUM(J10:J17),0)</f>
        <v>0</v>
      </c>
    </row>
    <row r="8" spans="1:40" ht="13.5" thickBot="1">
      <c r="C8" s="361"/>
      <c r="D8" s="210" t="s">
        <v>77</v>
      </c>
      <c r="E8" s="4" t="s">
        <v>142</v>
      </c>
      <c r="G8" s="450" t="str">
        <f ca="1">+Resumen_Base!D1</f>
        <v>Ok</v>
      </c>
      <c r="K8" s="473" t="s">
        <v>254</v>
      </c>
    </row>
    <row r="9" spans="1:40" ht="13.5" thickBot="1">
      <c r="B9" s="4" t="str">
        <f>+F9&amp;$C$9&amp;G9</f>
        <v xml:space="preserve"> </v>
      </c>
      <c r="C9" s="210" t="s">
        <v>87</v>
      </c>
      <c r="D9" s="4" t="e">
        <f>+VLOOKUP(F9,Resumen_Base!$C$8:$F$26,4,0)</f>
        <v>#N/A</v>
      </c>
      <c r="E9" s="4" t="e">
        <f>+VLOOKUP(F9,Resumen_Base!$C$8:$G$156,5,0)</f>
        <v>#N/A</v>
      </c>
      <c r="H9" s="4" t="e">
        <f>+D9&amp;F9</f>
        <v>#N/A</v>
      </c>
      <c r="I9" s="6">
        <f>SUM(I10:I14)</f>
        <v>0</v>
      </c>
      <c r="J9" s="6">
        <f>SUM(J10:J14)</f>
        <v>0</v>
      </c>
      <c r="K9" s="202" t="e">
        <f>+AVERAGE(K10:K17)</f>
        <v>#DIV/0!</v>
      </c>
    </row>
    <row r="10" spans="1:40" s="133" customFormat="1" ht="29">
      <c r="A10" s="10"/>
      <c r="B10" s="13" t="s">
        <v>126</v>
      </c>
      <c r="C10" s="10"/>
      <c r="D10" s="13" t="s">
        <v>75</v>
      </c>
      <c r="E10" s="7" t="s">
        <v>76</v>
      </c>
      <c r="F10" s="153" t="s">
        <v>24</v>
      </c>
      <c r="G10" s="7" t="s">
        <v>23</v>
      </c>
      <c r="H10" s="7"/>
      <c r="I10" s="8" t="s">
        <v>22</v>
      </c>
      <c r="J10" s="8" t="s">
        <v>20</v>
      </c>
      <c r="K10" s="331" t="s">
        <v>74</v>
      </c>
      <c r="L10" s="455" t="s">
        <v>18</v>
      </c>
      <c r="M10" s="7" t="s">
        <v>17</v>
      </c>
      <c r="N10" s="7" t="s">
        <v>16</v>
      </c>
      <c r="O10" s="7" t="s">
        <v>15</v>
      </c>
      <c r="P10" s="7" t="s">
        <v>14</v>
      </c>
      <c r="Q10" s="7" t="s">
        <v>13</v>
      </c>
      <c r="R10" s="7" t="s">
        <v>12</v>
      </c>
      <c r="S10" s="7" t="s">
        <v>11</v>
      </c>
      <c r="T10" s="7" t="s">
        <v>10</v>
      </c>
      <c r="U10" s="7" t="s">
        <v>9</v>
      </c>
      <c r="V10" s="7" t="s">
        <v>8</v>
      </c>
      <c r="W10" s="7" t="s">
        <v>7</v>
      </c>
      <c r="X10" s="8" t="s">
        <v>21</v>
      </c>
      <c r="Y10" s="7"/>
      <c r="Z10" s="7" t="s">
        <v>20</v>
      </c>
      <c r="AA10" s="7" t="s">
        <v>19</v>
      </c>
      <c r="AC10" s="362" t="s">
        <v>18</v>
      </c>
      <c r="AD10" s="362" t="s">
        <v>17</v>
      </c>
      <c r="AE10" s="362" t="s">
        <v>16</v>
      </c>
      <c r="AF10" s="362" t="s">
        <v>15</v>
      </c>
      <c r="AG10" s="362" t="s">
        <v>14</v>
      </c>
      <c r="AH10" s="362" t="s">
        <v>13</v>
      </c>
      <c r="AI10" s="362" t="s">
        <v>12</v>
      </c>
      <c r="AJ10" s="362" t="s">
        <v>11</v>
      </c>
      <c r="AK10" s="362" t="s">
        <v>10</v>
      </c>
      <c r="AL10" s="464" t="s">
        <v>9</v>
      </c>
      <c r="AM10" s="362" t="s">
        <v>8</v>
      </c>
      <c r="AN10" s="362" t="s">
        <v>7</v>
      </c>
    </row>
    <row r="14" spans="1:40">
      <c r="A14" s="452" t="s">
        <v>84</v>
      </c>
      <c r="B14" s="452" t="s">
        <v>84</v>
      </c>
      <c r="C14" s="452" t="s">
        <v>84</v>
      </c>
      <c r="D14" s="452" t="s">
        <v>84</v>
      </c>
      <c r="E14" s="453" t="s">
        <v>84</v>
      </c>
      <c r="F14" s="453" t="s">
        <v>84</v>
      </c>
      <c r="G14" s="453" t="s">
        <v>84</v>
      </c>
      <c r="H14" s="453" t="s">
        <v>84</v>
      </c>
      <c r="I14" s="187" t="s">
        <v>84</v>
      </c>
      <c r="J14" s="187" t="s">
        <v>84</v>
      </c>
      <c r="K14" s="187" t="s">
        <v>84</v>
      </c>
      <c r="L14" s="457" t="s">
        <v>84</v>
      </c>
      <c r="M14" s="453" t="s">
        <v>84</v>
      </c>
      <c r="N14" s="453" t="s">
        <v>84</v>
      </c>
      <c r="O14" s="453" t="s">
        <v>84</v>
      </c>
      <c r="P14" s="453" t="s">
        <v>84</v>
      </c>
      <c r="Q14" s="453" t="s">
        <v>84</v>
      </c>
      <c r="R14" s="453" t="s">
        <v>84</v>
      </c>
      <c r="S14" s="453" t="s">
        <v>84</v>
      </c>
      <c r="T14" s="453" t="s">
        <v>84</v>
      </c>
      <c r="U14" s="453" t="s">
        <v>84</v>
      </c>
      <c r="V14" s="453" t="s">
        <v>84</v>
      </c>
      <c r="W14" s="453" t="s">
        <v>84</v>
      </c>
    </row>
    <row r="15" spans="1:40">
      <c r="F15" s="308"/>
      <c r="M15" s="209"/>
      <c r="X15" s="5"/>
      <c r="AC15" s="209"/>
    </row>
    <row r="17" spans="1:23">
      <c r="A17" s="452" t="s">
        <v>84</v>
      </c>
      <c r="B17" s="452" t="s">
        <v>84</v>
      </c>
      <c r="C17" s="452" t="s">
        <v>84</v>
      </c>
      <c r="D17" s="452" t="s">
        <v>84</v>
      </c>
      <c r="E17" s="453" t="s">
        <v>84</v>
      </c>
      <c r="F17" s="453" t="s">
        <v>84</v>
      </c>
      <c r="G17" s="453" t="s">
        <v>84</v>
      </c>
      <c r="H17" s="453" t="s">
        <v>84</v>
      </c>
      <c r="I17" s="187" t="s">
        <v>84</v>
      </c>
      <c r="J17" s="187" t="s">
        <v>84</v>
      </c>
      <c r="K17" s="187" t="s">
        <v>84</v>
      </c>
      <c r="L17" s="457" t="s">
        <v>84</v>
      </c>
      <c r="M17" s="453" t="s">
        <v>84</v>
      </c>
      <c r="N17" s="453" t="s">
        <v>84</v>
      </c>
      <c r="O17" s="453" t="s">
        <v>84</v>
      </c>
      <c r="P17" s="453" t="s">
        <v>84</v>
      </c>
      <c r="Q17" s="453" t="s">
        <v>84</v>
      </c>
      <c r="R17" s="453" t="s">
        <v>84</v>
      </c>
      <c r="S17" s="453" t="s">
        <v>84</v>
      </c>
      <c r="T17" s="453" t="s">
        <v>84</v>
      </c>
      <c r="U17" s="453" t="s">
        <v>84</v>
      </c>
      <c r="V17" s="453" t="s">
        <v>84</v>
      </c>
      <c r="W17" s="453" t="s">
        <v>84</v>
      </c>
    </row>
  </sheetData>
  <autoFilter ref="A10:AA17">
    <sortState ref="X5956:AY5961">
      <sortCondition ref="AH10:AH8156"/>
    </sortState>
  </autoFilter>
  <sortState ref="A12:AN98">
    <sortCondition ref="F12"/>
  </sortState>
  <conditionalFormatting sqref="G7:G8">
    <cfRule type="cellIs" dxfId="191" priority="1" stopIfTrue="1" operator="equal">
      <formula>"Check"</formula>
    </cfRule>
  </conditionalFormatting>
  <pageMargins left="0.75" right="0.75" top="1" bottom="1" header="0.3" footer="0.3"/>
  <pageSetup paperSize="9" orientation="portrait" r:id="rId1"/>
</worksheet>
</file>

<file path=xl/worksheets/sheet11.xml><?xml version="1.0" encoding="utf-8"?>
<worksheet xmlns="http://schemas.openxmlformats.org/spreadsheetml/2006/main" xmlns:r="http://schemas.openxmlformats.org/officeDocument/2006/relationships">
  <sheetPr codeName="Sheet12"/>
  <dimension ref="A1:AN16"/>
  <sheetViews>
    <sheetView zoomScale="70" zoomScaleNormal="70" workbookViewId="0">
      <pane xSplit="11" ySplit="10" topLeftCell="L11" activePane="bottomRight" state="frozen"/>
      <selection activeCell="G16" sqref="G16"/>
      <selection pane="topRight" activeCell="G16" sqref="G16"/>
      <selection pane="bottomLeft" activeCell="G16" sqref="G16"/>
      <selection pane="bottomRight" activeCell="G16" sqref="G16"/>
    </sheetView>
  </sheetViews>
  <sheetFormatPr baseColWidth="10" defaultColWidth="11.453125" defaultRowHeight="12.5"/>
  <cols>
    <col min="1" max="1" width="17.453125" style="4" customWidth="1"/>
    <col min="2" max="2" width="17.81640625" style="4" customWidth="1"/>
    <col min="3" max="3" width="16.1796875" style="4" bestFit="1" customWidth="1"/>
    <col min="4" max="4" width="11.453125" style="4" customWidth="1"/>
    <col min="5" max="5" width="33.453125" style="4" bestFit="1" customWidth="1"/>
    <col min="6" max="6" width="10.81640625" style="152" bestFit="1" customWidth="1"/>
    <col min="7" max="7" width="35.81640625" style="4" bestFit="1" customWidth="1"/>
    <col min="8" max="8" width="11.453125" style="4" bestFit="1" customWidth="1"/>
    <col min="9" max="9" width="17.1796875" style="5" bestFit="1" customWidth="1"/>
    <col min="10" max="10" width="19.1796875" style="5" bestFit="1" customWidth="1"/>
    <col min="11" max="11" width="11.81640625" style="5" bestFit="1" customWidth="1"/>
    <col min="12" max="12" width="12" style="454" bestFit="1" customWidth="1"/>
    <col min="13" max="13" width="18.81640625" style="4" customWidth="1"/>
    <col min="14" max="14" width="12.453125" style="4" bestFit="1" customWidth="1"/>
    <col min="15" max="15" width="21.453125" style="4" bestFit="1" customWidth="1"/>
    <col min="16" max="16" width="41.453125" style="4" bestFit="1" customWidth="1"/>
    <col min="17" max="17" width="13.81640625" style="4" hidden="1" customWidth="1"/>
    <col min="18" max="18" width="31" style="4" hidden="1" customWidth="1"/>
    <col min="19" max="19" width="15.81640625" style="4" hidden="1" customWidth="1"/>
    <col min="20" max="20" width="21.81640625" style="4" hidden="1" customWidth="1"/>
    <col min="21" max="21" width="42.81640625" style="4" customWidth="1"/>
    <col min="22" max="22" width="35.81640625" style="4" bestFit="1" customWidth="1"/>
    <col min="23" max="23" width="8.1796875" style="4" bestFit="1" customWidth="1"/>
    <col min="24" max="24" width="9.1796875" style="4" bestFit="1" customWidth="1"/>
    <col min="25" max="25" width="11.453125" style="4" customWidth="1"/>
    <col min="26" max="26" width="11.453125" style="4" bestFit="1" customWidth="1"/>
    <col min="27" max="27" width="3" style="4" bestFit="1" customWidth="1"/>
    <col min="28" max="28" width="11.453125" style="4" customWidth="1"/>
    <col min="29" max="29" width="11.453125" style="4" bestFit="1" customWidth="1"/>
    <col min="30" max="30" width="20" style="4" bestFit="1" customWidth="1"/>
    <col min="31" max="31" width="4.453125" style="4" bestFit="1" customWidth="1"/>
    <col min="32" max="32" width="23.453125" style="4" bestFit="1" customWidth="1"/>
    <col min="33" max="33" width="42.81640625" style="4" bestFit="1" customWidth="1"/>
    <col min="34" max="34" width="17.1796875" style="4" bestFit="1" customWidth="1"/>
    <col min="35" max="35" width="35.1796875" style="4" bestFit="1" customWidth="1"/>
    <col min="36" max="36" width="17.1796875" style="4" bestFit="1" customWidth="1"/>
    <col min="37" max="37" width="24.453125" style="4" bestFit="1" customWidth="1"/>
    <col min="38" max="39" width="42.453125" style="4" bestFit="1" customWidth="1"/>
    <col min="40" max="40" width="8.81640625" style="4" bestFit="1" customWidth="1"/>
    <col min="41" max="255" width="11.453125" style="4" customWidth="1"/>
    <col min="256" max="16384" width="11.453125" style="4"/>
  </cols>
  <sheetData>
    <row r="1" spans="1:40">
      <c r="G1" s="152"/>
    </row>
    <row r="2" spans="1:40" ht="13">
      <c r="G2" s="305" t="s">
        <v>140</v>
      </c>
    </row>
    <row r="3" spans="1:40" ht="13">
      <c r="G3" s="305" t="s">
        <v>152</v>
      </c>
    </row>
    <row r="4" spans="1:40" ht="13">
      <c r="G4" s="305" t="s">
        <v>155</v>
      </c>
    </row>
    <row r="5" spans="1:40" ht="13">
      <c r="G5" s="305" t="s">
        <v>162</v>
      </c>
    </row>
    <row r="6" spans="1:40" ht="13" thickBot="1"/>
    <row r="7" spans="1:40" ht="13.5" thickBot="1">
      <c r="C7" s="361"/>
      <c r="D7" s="361"/>
      <c r="G7" s="110" t="str">
        <f>+IF(I7+J7=0,"Ok","Check")</f>
        <v>Ok</v>
      </c>
      <c r="I7" s="6">
        <f>ROUND(SUM(I10:I16),0)</f>
        <v>0</v>
      </c>
      <c r="J7" s="6">
        <f>ROUND(SUM(J10:J16),0)</f>
        <v>0</v>
      </c>
    </row>
    <row r="8" spans="1:40" ht="13.5" thickBot="1">
      <c r="C8" s="361"/>
      <c r="D8" s="210" t="s">
        <v>77</v>
      </c>
      <c r="E8" s="4" t="s">
        <v>142</v>
      </c>
      <c r="G8" s="110" t="str">
        <f ca="1">+Resumen_Base!D1</f>
        <v>Ok</v>
      </c>
    </row>
    <row r="9" spans="1:40" ht="13.5" thickBot="1">
      <c r="B9" s="4" t="str">
        <f>+F9&amp;$C$9&amp;G9</f>
        <v xml:space="preserve"> </v>
      </c>
      <c r="C9" s="210" t="s">
        <v>87</v>
      </c>
      <c r="D9" s="4" t="e">
        <f>+VLOOKUP(F9,Resumen_Base!$C$8:$F$26,4,0)</f>
        <v>#N/A</v>
      </c>
      <c r="E9" s="4" t="e">
        <f>+VLOOKUP(F9,Resumen_Base!$C$8:$G$156,5,0)</f>
        <v>#N/A</v>
      </c>
      <c r="H9" s="4" t="e">
        <f>+D9&amp;F9</f>
        <v>#N/A</v>
      </c>
      <c r="I9" s="6">
        <f>SUM(I10:I13)</f>
        <v>0</v>
      </c>
      <c r="J9" s="6">
        <f>SUM(J10:J13)</f>
        <v>0</v>
      </c>
    </row>
    <row r="10" spans="1:40" s="133" customFormat="1" ht="29">
      <c r="B10" s="13" t="s">
        <v>126</v>
      </c>
      <c r="C10" s="10"/>
      <c r="D10" s="13" t="s">
        <v>75</v>
      </c>
      <c r="E10" s="7" t="s">
        <v>76</v>
      </c>
      <c r="F10" s="153" t="s">
        <v>24</v>
      </c>
      <c r="G10" s="7" t="s">
        <v>23</v>
      </c>
      <c r="H10" s="7"/>
      <c r="I10" s="8" t="s">
        <v>22</v>
      </c>
      <c r="J10" s="8" t="s">
        <v>20</v>
      </c>
      <c r="K10" s="331" t="s">
        <v>74</v>
      </c>
      <c r="L10" s="455" t="s">
        <v>18</v>
      </c>
      <c r="M10" s="7" t="s">
        <v>17</v>
      </c>
      <c r="N10" s="7" t="s">
        <v>16</v>
      </c>
      <c r="O10" s="7" t="s">
        <v>15</v>
      </c>
      <c r="P10" s="7" t="s">
        <v>14</v>
      </c>
      <c r="Q10" s="7" t="s">
        <v>13</v>
      </c>
      <c r="R10" s="7" t="s">
        <v>12</v>
      </c>
      <c r="S10" s="7" t="s">
        <v>11</v>
      </c>
      <c r="T10" s="7" t="s">
        <v>10</v>
      </c>
      <c r="U10" s="7" t="s">
        <v>9</v>
      </c>
      <c r="V10" s="7" t="s">
        <v>8</v>
      </c>
      <c r="W10" s="7" t="s">
        <v>7</v>
      </c>
      <c r="X10" s="8" t="s">
        <v>21</v>
      </c>
      <c r="Y10" s="7"/>
      <c r="Z10" s="7" t="s">
        <v>20</v>
      </c>
      <c r="AA10" s="7" t="s">
        <v>19</v>
      </c>
      <c r="AC10" s="362" t="s">
        <v>18</v>
      </c>
      <c r="AD10" s="362" t="s">
        <v>17</v>
      </c>
      <c r="AE10" s="362" t="s">
        <v>16</v>
      </c>
      <c r="AF10" s="362" t="s">
        <v>15</v>
      </c>
      <c r="AG10" s="362" t="s">
        <v>14</v>
      </c>
      <c r="AH10" s="362" t="s">
        <v>13</v>
      </c>
      <c r="AI10" s="362" t="s">
        <v>12</v>
      </c>
      <c r="AJ10" s="362" t="s">
        <v>11</v>
      </c>
      <c r="AK10" s="362" t="s">
        <v>10</v>
      </c>
      <c r="AL10" s="464" t="s">
        <v>9</v>
      </c>
      <c r="AM10" s="362" t="s">
        <v>8</v>
      </c>
      <c r="AN10" s="362" t="s">
        <v>7</v>
      </c>
    </row>
    <row r="11" spans="1:40">
      <c r="D11" s="133"/>
    </row>
    <row r="13" spans="1:40">
      <c r="A13" s="452" t="s">
        <v>84</v>
      </c>
      <c r="B13" s="452" t="s">
        <v>84</v>
      </c>
      <c r="C13" s="452" t="s">
        <v>84</v>
      </c>
      <c r="D13" s="452" t="s">
        <v>84</v>
      </c>
      <c r="E13" s="453" t="s">
        <v>84</v>
      </c>
      <c r="F13" s="453" t="s">
        <v>84</v>
      </c>
      <c r="G13" s="453" t="s">
        <v>84</v>
      </c>
      <c r="H13" s="453" t="s">
        <v>84</v>
      </c>
      <c r="I13" s="187" t="s">
        <v>84</v>
      </c>
      <c r="J13" s="187" t="s">
        <v>84</v>
      </c>
      <c r="K13" s="187" t="s">
        <v>84</v>
      </c>
      <c r="L13" s="457" t="s">
        <v>84</v>
      </c>
      <c r="M13" s="453" t="s">
        <v>84</v>
      </c>
      <c r="N13" s="453" t="s">
        <v>84</v>
      </c>
      <c r="O13" s="453" t="s">
        <v>84</v>
      </c>
      <c r="P13" s="453" t="s">
        <v>84</v>
      </c>
      <c r="Q13" s="453" t="s">
        <v>84</v>
      </c>
      <c r="R13" s="453" t="s">
        <v>84</v>
      </c>
      <c r="S13" s="453" t="s">
        <v>84</v>
      </c>
      <c r="T13" s="453" t="s">
        <v>84</v>
      </c>
      <c r="U13" s="453" t="s">
        <v>84</v>
      </c>
      <c r="V13" s="453" t="s">
        <v>84</v>
      </c>
      <c r="W13" s="453" t="s">
        <v>84</v>
      </c>
    </row>
    <row r="14" spans="1:40" ht="14.5">
      <c r="F14" s="211"/>
      <c r="G14" s="212"/>
      <c r="H14" s="212"/>
      <c r="I14" s="213"/>
      <c r="J14" s="213"/>
      <c r="K14" s="213"/>
      <c r="M14" s="209"/>
      <c r="X14" s="5"/>
      <c r="AC14" s="212"/>
      <c r="AD14" s="212"/>
      <c r="AE14" s="212"/>
      <c r="AF14" s="212"/>
      <c r="AG14" s="212"/>
      <c r="AH14" s="212"/>
      <c r="AI14" s="212"/>
      <c r="AJ14" s="212"/>
      <c r="AK14" s="212"/>
      <c r="AL14" s="212"/>
      <c r="AM14" s="212"/>
      <c r="AN14" s="212"/>
    </row>
    <row r="16" spans="1:40">
      <c r="A16" s="452" t="s">
        <v>84</v>
      </c>
      <c r="B16" s="452" t="s">
        <v>84</v>
      </c>
      <c r="C16" s="452" t="s">
        <v>84</v>
      </c>
      <c r="D16" s="452" t="s">
        <v>84</v>
      </c>
      <c r="E16" s="453" t="s">
        <v>84</v>
      </c>
      <c r="F16" s="453" t="s">
        <v>84</v>
      </c>
      <c r="G16" s="453" t="s">
        <v>84</v>
      </c>
      <c r="H16" s="453" t="s">
        <v>84</v>
      </c>
      <c r="I16" s="187" t="s">
        <v>84</v>
      </c>
      <c r="J16" s="187" t="s">
        <v>84</v>
      </c>
      <c r="K16" s="187" t="s">
        <v>84</v>
      </c>
      <c r="L16" s="457" t="s">
        <v>84</v>
      </c>
      <c r="M16" s="453" t="s">
        <v>84</v>
      </c>
      <c r="N16" s="453" t="s">
        <v>84</v>
      </c>
      <c r="O16" s="453" t="s">
        <v>84</v>
      </c>
      <c r="P16" s="453" t="s">
        <v>84</v>
      </c>
      <c r="Q16" s="453" t="s">
        <v>84</v>
      </c>
      <c r="R16" s="453" t="s">
        <v>84</v>
      </c>
      <c r="S16" s="453" t="s">
        <v>84</v>
      </c>
      <c r="T16" s="453" t="s">
        <v>84</v>
      </c>
      <c r="U16" s="453" t="s">
        <v>84</v>
      </c>
      <c r="V16" s="453" t="s">
        <v>84</v>
      </c>
      <c r="W16" s="453" t="s">
        <v>84</v>
      </c>
    </row>
  </sheetData>
  <autoFilter ref="A10:AA16">
    <sortState ref="AD2198:BE2203">
      <sortCondition ref="AN10:AN4398"/>
    </sortState>
  </autoFilter>
  <sortState ref="A12:AN58">
    <sortCondition ref="F12"/>
  </sortState>
  <conditionalFormatting sqref="G7:G8">
    <cfRule type="cellIs" dxfId="190" priority="1" stopIfTrue="1" operator="equal">
      <formula>"Check"</formula>
    </cfRule>
  </conditionalFormatting>
  <pageMargins left="0.75" right="0.75" top="1" bottom="1" header="0.3" footer="0.3"/>
  <pageSetup paperSize="9" orientation="portrait" r:id="rId1"/>
</worksheet>
</file>

<file path=xl/worksheets/sheet12.xml><?xml version="1.0" encoding="utf-8"?>
<worksheet xmlns="http://schemas.openxmlformats.org/spreadsheetml/2006/main" xmlns:r="http://schemas.openxmlformats.org/officeDocument/2006/relationships">
  <sheetPr codeName="Sheet13"/>
  <dimension ref="A1:AN16"/>
  <sheetViews>
    <sheetView zoomScale="70" zoomScaleNormal="70" workbookViewId="0">
      <pane xSplit="8" ySplit="10" topLeftCell="I11" activePane="bottomRight" state="frozen"/>
      <selection activeCell="G16" sqref="G16"/>
      <selection pane="topRight" activeCell="G16" sqref="G16"/>
      <selection pane="bottomLeft" activeCell="G16" sqref="G16"/>
      <selection pane="bottomRight" activeCell="G16" sqref="G16"/>
    </sheetView>
  </sheetViews>
  <sheetFormatPr baseColWidth="10" defaultColWidth="11.453125" defaultRowHeight="12.5"/>
  <cols>
    <col min="1" max="1" width="17.453125" style="10" customWidth="1"/>
    <col min="2" max="2" width="17.81640625" style="4" customWidth="1"/>
    <col min="3" max="3" width="16.1796875" style="4" bestFit="1" customWidth="1"/>
    <col min="4" max="4" width="11.453125" style="133" customWidth="1"/>
    <col min="5" max="5" width="33.453125" style="4" bestFit="1" customWidth="1"/>
    <col min="6" max="6" width="10.81640625" style="152" bestFit="1" customWidth="1"/>
    <col min="7" max="7" width="44.81640625" style="4" bestFit="1" customWidth="1"/>
    <col min="8" max="8" width="11.453125" style="133" bestFit="1" customWidth="1"/>
    <col min="9" max="9" width="18.81640625" style="5" bestFit="1" customWidth="1"/>
    <col min="10" max="10" width="19.1796875" style="5" bestFit="1" customWidth="1"/>
    <col min="11" max="11" width="13" style="5" bestFit="1" customWidth="1"/>
    <col min="12" max="12" width="13.1796875" style="454" bestFit="1" customWidth="1"/>
    <col min="13" max="13" width="18.81640625" style="4" customWidth="1"/>
    <col min="14" max="14" width="12.453125" style="133" bestFit="1" customWidth="1"/>
    <col min="15" max="15" width="21.453125" style="4" bestFit="1" customWidth="1"/>
    <col min="16" max="16" width="41.453125" style="4" bestFit="1" customWidth="1"/>
    <col min="17" max="17" width="13.81640625" style="4" hidden="1" customWidth="1"/>
    <col min="18" max="18" width="31" style="4" hidden="1" customWidth="1"/>
    <col min="19" max="19" width="15.81640625" style="4" hidden="1" customWidth="1"/>
    <col min="20" max="20" width="21.81640625" style="4" hidden="1" customWidth="1"/>
    <col min="21" max="21" width="42.81640625" style="4" customWidth="1"/>
    <col min="22" max="22" width="35.81640625" style="4" bestFit="1" customWidth="1"/>
    <col min="23" max="23" width="8.1796875" style="4" bestFit="1" customWidth="1"/>
    <col min="24" max="24" width="9.1796875" style="4" bestFit="1" customWidth="1"/>
    <col min="25" max="25" width="11.453125" style="4" customWidth="1"/>
    <col min="26" max="26" width="11.453125" style="4" bestFit="1" customWidth="1"/>
    <col min="27" max="27" width="3" style="4" bestFit="1" customWidth="1"/>
    <col min="28" max="28" width="11.453125" style="4" customWidth="1"/>
    <col min="29" max="29" width="11.453125" style="4" bestFit="1" customWidth="1"/>
    <col min="30" max="30" width="20" style="4" bestFit="1" customWidth="1"/>
    <col min="31" max="31" width="4.453125" style="4" bestFit="1" customWidth="1"/>
    <col min="32" max="32" width="23.453125" style="4" bestFit="1" customWidth="1"/>
    <col min="33" max="33" width="42.81640625" style="4" bestFit="1" customWidth="1"/>
    <col min="34" max="34" width="17.1796875" style="4" bestFit="1" customWidth="1"/>
    <col min="35" max="35" width="35.1796875" style="4" bestFit="1" customWidth="1"/>
    <col min="36" max="36" width="17.1796875" style="4" bestFit="1" customWidth="1"/>
    <col min="37" max="37" width="24.453125" style="4" bestFit="1" customWidth="1"/>
    <col min="38" max="39" width="42.453125" style="4" bestFit="1" customWidth="1"/>
    <col min="40" max="40" width="8.81640625" style="4" bestFit="1" customWidth="1"/>
    <col min="41" max="255" width="11.453125" style="4" customWidth="1"/>
    <col min="256" max="16384" width="11.453125" style="4"/>
  </cols>
  <sheetData>
    <row r="1" spans="1:40">
      <c r="G1" s="152"/>
    </row>
    <row r="2" spans="1:40" ht="13">
      <c r="G2" s="305" t="s">
        <v>140</v>
      </c>
    </row>
    <row r="3" spans="1:40" ht="13">
      <c r="G3" s="305" t="s">
        <v>152</v>
      </c>
    </row>
    <row r="4" spans="1:40" ht="13">
      <c r="G4" s="305" t="s">
        <v>155</v>
      </c>
    </row>
    <row r="5" spans="1:40" ht="13">
      <c r="G5" s="305" t="s">
        <v>162</v>
      </c>
    </row>
    <row r="6" spans="1:40" ht="13" thickBot="1"/>
    <row r="7" spans="1:40" ht="13.5" thickBot="1">
      <c r="C7" s="10"/>
      <c r="D7" s="10"/>
      <c r="G7" s="110" t="str">
        <f>+IF(I7+J7=0,"Ok","Check")</f>
        <v>Ok</v>
      </c>
      <c r="I7" s="6">
        <f>ROUND(SUM(I10:I16),0)</f>
        <v>0</v>
      </c>
      <c r="J7" s="6">
        <f>ROUND(SUM(J10:J16),0)</f>
        <v>0</v>
      </c>
    </row>
    <row r="8" spans="1:40" ht="13.5" thickBot="1">
      <c r="C8" s="10"/>
      <c r="D8" s="9" t="s">
        <v>77</v>
      </c>
      <c r="E8" s="4" t="s">
        <v>142</v>
      </c>
      <c r="G8" s="110" t="str">
        <f ca="1">+Resumen_Base!D1</f>
        <v>Ok</v>
      </c>
    </row>
    <row r="9" spans="1:40" ht="13.5" thickBot="1">
      <c r="B9" s="4" t="str">
        <f>+F9&amp;$C$9&amp;G9</f>
        <v xml:space="preserve"> </v>
      </c>
      <c r="C9" s="9" t="s">
        <v>87</v>
      </c>
      <c r="D9" s="133" t="e">
        <f>+VLOOKUP(F9,Resumen_Base!$C$8:$F$26,4,0)</f>
        <v>#N/A</v>
      </c>
      <c r="E9" s="4" t="e">
        <f>+VLOOKUP(F9,Resumen_Base!$C$8:$G$156,5,0)</f>
        <v>#N/A</v>
      </c>
      <c r="H9" s="133" t="e">
        <f>+D9&amp;F9</f>
        <v>#N/A</v>
      </c>
      <c r="I9" s="6">
        <f>SUM(I10:I13)</f>
        <v>0</v>
      </c>
      <c r="J9" s="6">
        <f>SUM(J10:J13)</f>
        <v>0</v>
      </c>
    </row>
    <row r="10" spans="1:40" ht="29">
      <c r="B10" s="13" t="s">
        <v>126</v>
      </c>
      <c r="C10" s="10"/>
      <c r="D10" s="13" t="s">
        <v>75</v>
      </c>
      <c r="E10" s="7" t="s">
        <v>76</v>
      </c>
      <c r="F10" s="153" t="s">
        <v>24</v>
      </c>
      <c r="G10" s="7" t="s">
        <v>23</v>
      </c>
      <c r="H10" s="7"/>
      <c r="I10" s="8" t="s">
        <v>22</v>
      </c>
      <c r="J10" s="8" t="s">
        <v>20</v>
      </c>
      <c r="K10" s="331" t="s">
        <v>74</v>
      </c>
      <c r="L10" s="455" t="s">
        <v>18</v>
      </c>
      <c r="M10" s="7" t="s">
        <v>17</v>
      </c>
      <c r="N10" s="7" t="s">
        <v>16</v>
      </c>
      <c r="O10" s="7" t="s">
        <v>15</v>
      </c>
      <c r="P10" s="7" t="s">
        <v>14</v>
      </c>
      <c r="Q10" s="7" t="s">
        <v>13</v>
      </c>
      <c r="R10" s="7" t="s">
        <v>12</v>
      </c>
      <c r="S10" s="7" t="s">
        <v>11</v>
      </c>
      <c r="T10" s="7" t="s">
        <v>10</v>
      </c>
      <c r="U10" s="7" t="s">
        <v>9</v>
      </c>
      <c r="V10" s="7" t="s">
        <v>8</v>
      </c>
      <c r="W10" s="7" t="s">
        <v>7</v>
      </c>
      <c r="X10" s="8" t="s">
        <v>21</v>
      </c>
      <c r="Y10" s="7"/>
      <c r="Z10" s="7" t="s">
        <v>20</v>
      </c>
      <c r="AA10" s="7" t="s">
        <v>19</v>
      </c>
      <c r="AC10" s="212" t="s">
        <v>18</v>
      </c>
      <c r="AD10" s="212" t="s">
        <v>17</v>
      </c>
      <c r="AE10" s="212" t="s">
        <v>16</v>
      </c>
      <c r="AF10" s="212" t="s">
        <v>15</v>
      </c>
      <c r="AG10" s="212" t="s">
        <v>14</v>
      </c>
      <c r="AH10" s="212" t="s">
        <v>13</v>
      </c>
      <c r="AI10" s="212" t="s">
        <v>12</v>
      </c>
      <c r="AJ10" s="212" t="s">
        <v>11</v>
      </c>
      <c r="AK10" s="212" t="s">
        <v>10</v>
      </c>
      <c r="AL10" s="306" t="s">
        <v>9</v>
      </c>
      <c r="AM10" s="212" t="s">
        <v>8</v>
      </c>
      <c r="AN10" s="212" t="s">
        <v>7</v>
      </c>
    </row>
    <row r="11" spans="1:40" ht="13">
      <c r="I11" s="465"/>
    </row>
    <row r="13" spans="1:40">
      <c r="A13" s="11" t="s">
        <v>84</v>
      </c>
      <c r="B13" s="11" t="s">
        <v>84</v>
      </c>
      <c r="C13" s="11" t="s">
        <v>84</v>
      </c>
      <c r="D13" s="11" t="s">
        <v>84</v>
      </c>
      <c r="E13" s="12" t="s">
        <v>84</v>
      </c>
      <c r="F13" s="12" t="s">
        <v>84</v>
      </c>
      <c r="G13" s="12" t="s">
        <v>84</v>
      </c>
      <c r="H13" s="12" t="s">
        <v>84</v>
      </c>
      <c r="I13" s="150" t="s">
        <v>84</v>
      </c>
      <c r="J13" s="150" t="s">
        <v>84</v>
      </c>
      <c r="K13" s="150" t="s">
        <v>84</v>
      </c>
      <c r="L13" s="457" t="s">
        <v>84</v>
      </c>
      <c r="M13" s="12" t="s">
        <v>84</v>
      </c>
      <c r="N13" s="12" t="s">
        <v>84</v>
      </c>
      <c r="O13" s="12" t="s">
        <v>84</v>
      </c>
      <c r="P13" s="12" t="s">
        <v>84</v>
      </c>
      <c r="Q13" s="12" t="s">
        <v>84</v>
      </c>
      <c r="R13" s="12" t="s">
        <v>84</v>
      </c>
      <c r="S13" s="12" t="s">
        <v>84</v>
      </c>
      <c r="T13" s="12" t="s">
        <v>84</v>
      </c>
      <c r="U13" s="12" t="s">
        <v>84</v>
      </c>
      <c r="V13" s="12" t="s">
        <v>84</v>
      </c>
      <c r="W13" s="12" t="s">
        <v>84</v>
      </c>
    </row>
    <row r="14" spans="1:40" s="330" customFormat="1" ht="14.5">
      <c r="A14" s="315"/>
      <c r="D14" s="203"/>
      <c r="F14" s="309"/>
      <c r="G14" s="310"/>
      <c r="H14" s="310"/>
      <c r="I14" s="311"/>
      <c r="J14" s="311"/>
      <c r="K14" s="311"/>
      <c r="L14" s="456"/>
      <c r="M14" s="312"/>
      <c r="X14" s="314"/>
      <c r="AC14" s="310"/>
      <c r="AD14" s="310"/>
      <c r="AE14" s="310"/>
      <c r="AF14" s="310"/>
      <c r="AG14" s="310"/>
      <c r="AH14" s="310"/>
      <c r="AI14" s="310"/>
      <c r="AJ14" s="310"/>
      <c r="AK14" s="310"/>
      <c r="AL14" s="310"/>
      <c r="AM14" s="310"/>
      <c r="AN14" s="310"/>
    </row>
    <row r="16" spans="1:40">
      <c r="A16" s="11" t="s">
        <v>84</v>
      </c>
      <c r="B16" s="11" t="s">
        <v>84</v>
      </c>
      <c r="C16" s="11" t="s">
        <v>84</v>
      </c>
      <c r="D16" s="11" t="s">
        <v>84</v>
      </c>
      <c r="E16" s="12" t="s">
        <v>84</v>
      </c>
      <c r="F16" s="12" t="s">
        <v>84</v>
      </c>
      <c r="G16" s="12" t="s">
        <v>84</v>
      </c>
      <c r="H16" s="12" t="s">
        <v>84</v>
      </c>
      <c r="I16" s="150" t="s">
        <v>84</v>
      </c>
      <c r="J16" s="150" t="s">
        <v>84</v>
      </c>
      <c r="K16" s="150" t="s">
        <v>84</v>
      </c>
      <c r="L16" s="457" t="s">
        <v>84</v>
      </c>
      <c r="M16" s="12" t="s">
        <v>84</v>
      </c>
      <c r="N16" s="12" t="s">
        <v>84</v>
      </c>
      <c r="O16" s="12" t="s">
        <v>84</v>
      </c>
      <c r="P16" s="12" t="s">
        <v>84</v>
      </c>
      <c r="Q16" s="12" t="s">
        <v>84</v>
      </c>
      <c r="R16" s="12" t="s">
        <v>84</v>
      </c>
      <c r="S16" s="12" t="s">
        <v>84</v>
      </c>
      <c r="T16" s="12" t="s">
        <v>84</v>
      </c>
      <c r="U16" s="12" t="s">
        <v>84</v>
      </c>
      <c r="V16" s="12" t="s">
        <v>84</v>
      </c>
      <c r="W16" s="12" t="s">
        <v>84</v>
      </c>
    </row>
  </sheetData>
  <autoFilter ref="A10:AA16"/>
  <sortState ref="A12:AN65">
    <sortCondition ref="F12"/>
  </sortState>
  <conditionalFormatting sqref="G7:G8">
    <cfRule type="cellIs" dxfId="189" priority="1" stopIfTrue="1" operator="equal">
      <formula>"Check"</formula>
    </cfRule>
  </conditionalFormatting>
  <pageMargins left="0.75" right="0.75" top="1" bottom="1" header="0.3" footer="0.3"/>
  <pageSetup paperSize="9" orientation="portrait" r:id="rId1"/>
</worksheet>
</file>

<file path=xl/worksheets/sheet13.xml><?xml version="1.0" encoding="utf-8"?>
<worksheet xmlns="http://schemas.openxmlformats.org/spreadsheetml/2006/main" xmlns:r="http://schemas.openxmlformats.org/officeDocument/2006/relationships">
  <sheetPr codeName="Sheet3"/>
  <dimension ref="A1:AN829"/>
  <sheetViews>
    <sheetView topLeftCell="A206" zoomScale="70" zoomScaleNormal="70" workbookViewId="0">
      <selection activeCell="A206" sqref="A206"/>
    </sheetView>
  </sheetViews>
  <sheetFormatPr baseColWidth="10" defaultColWidth="10.81640625" defaultRowHeight="12.5"/>
  <cols>
    <col min="1" max="1" width="26.81640625" style="210" bestFit="1" customWidth="1"/>
    <col min="2" max="2" width="35.453125" style="210" bestFit="1" customWidth="1"/>
    <col min="3" max="3" width="8.1796875" style="152" bestFit="1" customWidth="1"/>
    <col min="4" max="4" width="12.453125" style="474" bestFit="1" customWidth="1"/>
    <col min="5" max="5" width="22.1796875" style="210" customWidth="1"/>
    <col min="6" max="6" width="13.453125" style="152" bestFit="1" customWidth="1"/>
    <col min="7" max="7" width="29.1796875" style="152" bestFit="1" customWidth="1"/>
    <col min="8" max="8" width="16.453125" style="152" bestFit="1" customWidth="1"/>
    <col min="9" max="9" width="18.81640625" style="513" customWidth="1"/>
    <col min="10" max="10" width="18.1796875" style="513" customWidth="1"/>
    <col min="11" max="11" width="12.1796875" style="513" customWidth="1"/>
    <col min="12" max="12" width="12.453125" style="518" customWidth="1"/>
    <col min="13" max="13" width="18.1796875" style="152" bestFit="1" customWidth="1"/>
    <col min="14" max="14" width="11.81640625" style="152" bestFit="1" customWidth="1"/>
    <col min="15" max="15" width="26.453125" style="152" bestFit="1" customWidth="1"/>
    <col min="16" max="16" width="39.1796875" style="152" bestFit="1" customWidth="1"/>
    <col min="17" max="17" width="13.453125" style="152" bestFit="1" customWidth="1"/>
    <col min="18" max="18" width="111.453125" style="152" bestFit="1" customWidth="1"/>
    <col min="19" max="19" width="21.453125" style="152" customWidth="1"/>
    <col min="20" max="20" width="27.453125" style="152" customWidth="1"/>
    <col min="21" max="21" width="76.1796875" style="152" bestFit="1" customWidth="1"/>
    <col min="22" max="22" width="33.453125" style="152" bestFit="1" customWidth="1"/>
    <col min="23" max="23" width="13.453125" style="152" bestFit="1" customWidth="1"/>
    <col min="24" max="24" width="14.453125" style="152" bestFit="1" customWidth="1"/>
    <col min="25" max="25" width="10.81640625" style="152"/>
    <col min="26" max="26" width="16.453125" style="152" bestFit="1" customWidth="1"/>
    <col min="27" max="27" width="8.81640625" style="152" bestFit="1" customWidth="1"/>
    <col min="28" max="28" width="11.453125" style="152" bestFit="1" customWidth="1"/>
    <col min="29" max="29" width="11.1796875" style="152" bestFit="1" customWidth="1"/>
    <col min="30" max="30" width="16.453125" style="152" bestFit="1" customWidth="1"/>
    <col min="31" max="31" width="3.453125" style="152" bestFit="1" customWidth="1"/>
    <col min="32" max="32" width="20.453125" style="152" bestFit="1" customWidth="1"/>
    <col min="33" max="33" width="39.1796875" style="152" bestFit="1" customWidth="1"/>
    <col min="34" max="34" width="13.453125" style="152" bestFit="1" customWidth="1"/>
    <col min="35" max="35" width="30.453125" style="152" bestFit="1" customWidth="1"/>
    <col min="36" max="36" width="15.1796875" style="152" bestFit="1" customWidth="1"/>
    <col min="37" max="37" width="21.1796875" style="152" bestFit="1" customWidth="1"/>
    <col min="38" max="38" width="33.1796875" style="152" bestFit="1" customWidth="1"/>
    <col min="39" max="39" width="34.453125" style="152" bestFit="1" customWidth="1"/>
    <col min="40" max="40" width="7.81640625" style="152" bestFit="1" customWidth="1"/>
    <col min="41" max="16384" width="10.81640625" style="152"/>
  </cols>
  <sheetData>
    <row r="1" spans="1:40">
      <c r="K1" s="152"/>
      <c r="L1" s="474"/>
    </row>
    <row r="2" spans="1:40" ht="13">
      <c r="G2" s="305" t="s">
        <v>140</v>
      </c>
      <c r="K2" s="152"/>
      <c r="L2" s="474"/>
    </row>
    <row r="3" spans="1:40" ht="13">
      <c r="G3" s="305" t="s">
        <v>152</v>
      </c>
      <c r="K3" s="152"/>
      <c r="L3" s="474"/>
    </row>
    <row r="4" spans="1:40" ht="13">
      <c r="G4" s="305" t="s">
        <v>155</v>
      </c>
      <c r="K4" s="152"/>
      <c r="L4" s="474"/>
    </row>
    <row r="5" spans="1:40" ht="13">
      <c r="G5" s="305" t="s">
        <v>161</v>
      </c>
      <c r="K5" s="152"/>
      <c r="L5" s="474"/>
    </row>
    <row r="6" spans="1:40" ht="13" thickBot="1">
      <c r="K6" s="152"/>
      <c r="L6" s="474"/>
    </row>
    <row r="7" spans="1:40" ht="13.5" thickBot="1">
      <c r="C7" s="210"/>
      <c r="D7" s="9"/>
      <c r="G7" s="110" t="str">
        <f>+IF(I7+J7=0,"Ok","Check")</f>
        <v>Ok</v>
      </c>
      <c r="I7" s="6">
        <f>ROUND(SUM(I10:I829),0)</f>
        <v>0</v>
      </c>
      <c r="J7" s="6">
        <f>ROUND(SUM(J10:J829),0)</f>
        <v>0</v>
      </c>
      <c r="K7" s="152"/>
      <c r="L7" s="474"/>
    </row>
    <row r="8" spans="1:40" ht="13.5" thickBot="1">
      <c r="C8" s="210"/>
      <c r="D8" s="9" t="s">
        <v>77</v>
      </c>
      <c r="E8" s="210" t="s">
        <v>142</v>
      </c>
      <c r="G8" s="110" t="str">
        <f ca="1">+Resumen_Base!D1</f>
        <v>Ok</v>
      </c>
      <c r="K8" s="152"/>
      <c r="L8" s="474"/>
    </row>
    <row r="9" spans="1:40" ht="13.5" thickBot="1">
      <c r="B9" s="210" t="str">
        <f>+F9&amp;$C$9&amp;G9</f>
        <v xml:space="preserve"> </v>
      </c>
      <c r="C9" s="210" t="s">
        <v>87</v>
      </c>
      <c r="D9" s="474" t="e">
        <f>+VLOOKUP(F9,Resumen_Base!$C$8:$F$26,4,0)</f>
        <v>#N/A</v>
      </c>
      <c r="E9" s="684" t="e">
        <f>+VLOOKUP(F9,Resumen_Base!$C$8:$G$156,5,0)</f>
        <v>#N/A</v>
      </c>
      <c r="G9" s="474"/>
      <c r="H9" s="152" t="e">
        <f>+D9&amp;F9</f>
        <v>#N/A</v>
      </c>
      <c r="I9" s="6">
        <f>SUM(I10:I330)</f>
        <v>91745932.39000003</v>
      </c>
      <c r="J9" s="6">
        <f>SUM(J10:J330)</f>
        <v>76869.010231473483</v>
      </c>
      <c r="K9" s="152"/>
      <c r="L9" s="474"/>
    </row>
    <row r="10" spans="1:40" ht="25">
      <c r="B10" s="514" t="s">
        <v>126</v>
      </c>
      <c r="C10" s="210"/>
      <c r="D10" s="515" t="s">
        <v>75</v>
      </c>
      <c r="E10" s="514" t="s">
        <v>76</v>
      </c>
      <c r="F10" s="451" t="s">
        <v>24</v>
      </c>
      <c r="G10" s="153" t="s">
        <v>23</v>
      </c>
      <c r="H10" s="451"/>
      <c r="I10" s="516" t="s">
        <v>22</v>
      </c>
      <c r="J10" s="516" t="s">
        <v>20</v>
      </c>
      <c r="K10" s="516" t="s">
        <v>74</v>
      </c>
      <c r="L10" s="517" t="s">
        <v>18</v>
      </c>
      <c r="M10" s="451" t="s">
        <v>17</v>
      </c>
      <c r="N10" s="451" t="s">
        <v>16</v>
      </c>
      <c r="O10" s="451" t="s">
        <v>15</v>
      </c>
      <c r="P10" s="451" t="s">
        <v>14</v>
      </c>
      <c r="Q10" s="451" t="s">
        <v>13</v>
      </c>
      <c r="R10" s="451" t="s">
        <v>12</v>
      </c>
      <c r="S10" s="451" t="s">
        <v>11</v>
      </c>
      <c r="T10" s="451" t="s">
        <v>10</v>
      </c>
      <c r="U10" s="451" t="s">
        <v>9</v>
      </c>
      <c r="V10" s="451" t="s">
        <v>8</v>
      </c>
      <c r="W10" s="451" t="s">
        <v>7</v>
      </c>
      <c r="X10" s="516" t="s">
        <v>21</v>
      </c>
      <c r="Y10" s="451"/>
      <c r="Z10" s="451" t="s">
        <v>20</v>
      </c>
      <c r="AA10" s="451" t="s">
        <v>19</v>
      </c>
      <c r="AC10" s="520" t="s">
        <v>18</v>
      </c>
      <c r="AD10" s="520" t="s">
        <v>17</v>
      </c>
      <c r="AE10" s="520" t="s">
        <v>16</v>
      </c>
      <c r="AF10" s="520" t="s">
        <v>15</v>
      </c>
      <c r="AG10" s="520" t="s">
        <v>14</v>
      </c>
      <c r="AH10" s="520" t="s">
        <v>13</v>
      </c>
      <c r="AI10" s="520" t="s">
        <v>12</v>
      </c>
      <c r="AJ10" s="520" t="s">
        <v>11</v>
      </c>
      <c r="AK10" s="520" t="s">
        <v>10</v>
      </c>
      <c r="AL10" s="521" t="s">
        <v>9</v>
      </c>
      <c r="AM10" s="520" t="s">
        <v>8</v>
      </c>
      <c r="AN10" s="520" t="s">
        <v>7</v>
      </c>
    </row>
    <row r="11" spans="1:40">
      <c r="F11" s="522"/>
      <c r="G11" s="520"/>
      <c r="H11" s="520"/>
      <c r="I11" s="523"/>
      <c r="J11" s="523"/>
      <c r="K11" s="523"/>
      <c r="M11" s="519"/>
      <c r="X11" s="513"/>
      <c r="AC11" s="524"/>
      <c r="AD11" s="520"/>
      <c r="AE11" s="520"/>
      <c r="AF11" s="520"/>
      <c r="AG11" s="520"/>
      <c r="AH11" s="522"/>
      <c r="AI11" s="520"/>
      <c r="AJ11" s="520"/>
      <c r="AK11" s="520"/>
      <c r="AL11" s="520"/>
      <c r="AM11" s="520"/>
      <c r="AN11" s="520"/>
    </row>
    <row r="12" spans="1:40" ht="50">
      <c r="C12" s="152" t="s">
        <v>2821</v>
      </c>
      <c r="D12" s="474" t="s">
        <v>676</v>
      </c>
      <c r="E12" s="684" t="str">
        <f>+VLOOKUP(F12,Resumen_Base!$C$8:$G$287,5,0)</f>
        <v>Fixed Asset's Payments (Investments) Mejoras/equipamiento Lodge</v>
      </c>
      <c r="F12" s="474" t="s">
        <v>6</v>
      </c>
      <c r="G12" s="210" t="s">
        <v>5</v>
      </c>
      <c r="H12" s="152" t="str">
        <f t="shared" ref="H12:H75" si="0">+D12&amp;F12</f>
        <v>CAR12020301</v>
      </c>
      <c r="I12" s="513">
        <v>1905648</v>
      </c>
      <c r="J12" s="513">
        <v>1287.5999999999999</v>
      </c>
      <c r="K12" s="513">
        <v>1480</v>
      </c>
      <c r="L12" s="513" t="s">
        <v>2859</v>
      </c>
      <c r="M12" s="513" t="s">
        <v>780</v>
      </c>
      <c r="N12" s="513" t="s">
        <v>1407</v>
      </c>
      <c r="O12" s="518" t="s">
        <v>2936</v>
      </c>
      <c r="P12" s="152" t="s">
        <v>892</v>
      </c>
      <c r="Q12" s="152" t="s">
        <v>2937</v>
      </c>
      <c r="R12" s="152" t="s">
        <v>2960</v>
      </c>
      <c r="S12" s="152" t="s">
        <v>2939</v>
      </c>
      <c r="T12" s="152" t="s">
        <v>786</v>
      </c>
    </row>
    <row r="13" spans="1:40" s="360" customFormat="1" ht="50">
      <c r="A13" s="530"/>
      <c r="B13" s="530"/>
      <c r="C13" s="360" t="s">
        <v>2821</v>
      </c>
      <c r="D13" s="731" t="s">
        <v>676</v>
      </c>
      <c r="E13" s="530" t="str">
        <f>+VLOOKUP(F13,Resumen_Base!$C$8:$G$287,5,0)</f>
        <v>Fixed Asset's Payments (Investments) Mejoras/equipamiento Lodge</v>
      </c>
      <c r="F13" s="731" t="s">
        <v>6</v>
      </c>
      <c r="G13" s="530" t="s">
        <v>5</v>
      </c>
      <c r="H13" s="360" t="str">
        <f t="shared" si="0"/>
        <v>CAR12020301</v>
      </c>
      <c r="I13" s="732">
        <v>373404</v>
      </c>
      <c r="J13" s="732">
        <v>252.3</v>
      </c>
      <c r="K13" s="732">
        <v>1480</v>
      </c>
      <c r="L13" s="732" t="s">
        <v>2827</v>
      </c>
      <c r="M13" s="732" t="s">
        <v>780</v>
      </c>
      <c r="N13" s="732" t="s">
        <v>1407</v>
      </c>
      <c r="O13" s="733" t="s">
        <v>2828</v>
      </c>
      <c r="P13" s="360" t="s">
        <v>892</v>
      </c>
      <c r="Q13" s="360" t="s">
        <v>2829</v>
      </c>
      <c r="R13" s="360" t="s">
        <v>3008</v>
      </c>
      <c r="S13" s="360" t="s">
        <v>2831</v>
      </c>
      <c r="T13" s="360" t="s">
        <v>786</v>
      </c>
    </row>
    <row r="14" spans="1:40" ht="50">
      <c r="C14" s="152" t="s">
        <v>2821</v>
      </c>
      <c r="D14" s="474" t="s">
        <v>676</v>
      </c>
      <c r="E14" s="684" t="str">
        <f>+VLOOKUP(F14,Resumen_Base!$C$8:$G$287,5,0)</f>
        <v>Fixed Asset's Payments (Investments) Mejoras/equipamiento Lodge</v>
      </c>
      <c r="F14" s="474" t="s">
        <v>6</v>
      </c>
      <c r="G14" s="210" t="s">
        <v>5</v>
      </c>
      <c r="H14" s="152" t="str">
        <f t="shared" si="0"/>
        <v>CAR12020301</v>
      </c>
      <c r="I14" s="513">
        <v>33735.99</v>
      </c>
      <c r="J14" s="513">
        <v>22.794587837837799</v>
      </c>
      <c r="K14" s="513">
        <v>1480</v>
      </c>
      <c r="L14" s="513" t="s">
        <v>2840</v>
      </c>
      <c r="M14" s="513" t="s">
        <v>780</v>
      </c>
      <c r="N14" s="513" t="s">
        <v>1407</v>
      </c>
      <c r="O14" s="518" t="s">
        <v>3114</v>
      </c>
      <c r="P14" s="152" t="s">
        <v>892</v>
      </c>
      <c r="Q14" s="152" t="s">
        <v>3115</v>
      </c>
      <c r="R14" s="152" t="s">
        <v>3116</v>
      </c>
      <c r="S14" s="152" t="s">
        <v>3117</v>
      </c>
      <c r="T14" s="152" t="s">
        <v>786</v>
      </c>
    </row>
    <row r="15" spans="1:40" ht="50">
      <c r="C15" s="152" t="s">
        <v>2821</v>
      </c>
      <c r="D15" s="474" t="s">
        <v>676</v>
      </c>
      <c r="E15" s="684" t="str">
        <f>+VLOOKUP(F15,Resumen_Base!$C$8:$G$287,5,0)</f>
        <v>Fixed Asset's Payments (Investments) Mejoras/equipamiento Lodge</v>
      </c>
      <c r="F15" s="474" t="s">
        <v>131</v>
      </c>
      <c r="G15" s="210" t="s">
        <v>132</v>
      </c>
      <c r="H15" s="152" t="str">
        <f t="shared" si="0"/>
        <v>CAR12020601</v>
      </c>
      <c r="I15" s="513">
        <v>78543.600000000006</v>
      </c>
      <c r="J15" s="513">
        <v>53.07</v>
      </c>
      <c r="K15" s="513">
        <v>1480</v>
      </c>
      <c r="L15" s="513" t="s">
        <v>2827</v>
      </c>
      <c r="M15" s="513" t="s">
        <v>780</v>
      </c>
      <c r="N15" s="513" t="s">
        <v>1407</v>
      </c>
      <c r="O15" s="518" t="s">
        <v>2828</v>
      </c>
      <c r="P15" s="152" t="s">
        <v>892</v>
      </c>
      <c r="Q15" s="152" t="s">
        <v>2829</v>
      </c>
      <c r="R15" s="152" t="s">
        <v>3005</v>
      </c>
      <c r="S15" s="152" t="s">
        <v>2831</v>
      </c>
      <c r="T15" s="152" t="s">
        <v>786</v>
      </c>
    </row>
    <row r="16" spans="1:40" ht="50">
      <c r="C16" s="152" t="s">
        <v>2821</v>
      </c>
      <c r="D16" s="474" t="s">
        <v>676</v>
      </c>
      <c r="E16" s="684" t="str">
        <f>+VLOOKUP(F16,Resumen_Base!$C$8:$G$287,5,0)</f>
        <v>Fixed Asset's Payments (Investments) Mejoras/equipamiento Lodge</v>
      </c>
      <c r="F16" s="474" t="s">
        <v>129</v>
      </c>
      <c r="G16" s="210" t="s">
        <v>130</v>
      </c>
      <c r="H16" s="152" t="str">
        <f t="shared" si="0"/>
        <v>CAR12020901</v>
      </c>
      <c r="I16" s="513">
        <v>331520</v>
      </c>
      <c r="J16" s="513">
        <v>224</v>
      </c>
      <c r="K16" s="513">
        <v>1480</v>
      </c>
      <c r="L16" s="513" t="s">
        <v>2859</v>
      </c>
      <c r="M16" s="513" t="s">
        <v>780</v>
      </c>
      <c r="N16" s="513" t="s">
        <v>1407</v>
      </c>
      <c r="O16" s="518" t="s">
        <v>2907</v>
      </c>
      <c r="P16" s="152" t="s">
        <v>892</v>
      </c>
      <c r="Q16" s="152" t="s">
        <v>2908</v>
      </c>
      <c r="R16" s="152" t="s">
        <v>2909</v>
      </c>
      <c r="S16" s="152" t="s">
        <v>2910</v>
      </c>
      <c r="T16" s="152" t="s">
        <v>786</v>
      </c>
    </row>
    <row r="17" spans="3:20" ht="25">
      <c r="C17" s="152" t="s">
        <v>2821</v>
      </c>
      <c r="D17" s="474" t="s">
        <v>676</v>
      </c>
      <c r="E17" s="684" t="str">
        <f>+VLOOKUP(F17,Resumen_Base!$C$8:$G$287,5,0)</f>
        <v>Fixed Asset's Payments (Investments) Armas</v>
      </c>
      <c r="F17" s="474" t="s">
        <v>4</v>
      </c>
      <c r="G17" s="210" t="s">
        <v>1532</v>
      </c>
      <c r="H17" s="152" t="str">
        <f t="shared" si="0"/>
        <v>CAR120211</v>
      </c>
      <c r="I17" s="513">
        <v>2812</v>
      </c>
      <c r="J17" s="513">
        <v>1.9</v>
      </c>
      <c r="K17" s="513">
        <v>1480</v>
      </c>
      <c r="L17" s="513" t="s">
        <v>2827</v>
      </c>
      <c r="M17" s="513" t="s">
        <v>780</v>
      </c>
      <c r="N17" s="513" t="s">
        <v>1407</v>
      </c>
      <c r="O17" s="518" t="s">
        <v>2932</v>
      </c>
      <c r="P17" s="152" t="s">
        <v>892</v>
      </c>
      <c r="Q17" s="152" t="s">
        <v>2933</v>
      </c>
      <c r="R17" s="152" t="s">
        <v>1515</v>
      </c>
      <c r="S17" s="152" t="s">
        <v>2935</v>
      </c>
      <c r="T17" s="152" t="s">
        <v>786</v>
      </c>
    </row>
    <row r="18" spans="3:20" ht="25">
      <c r="C18" s="152" t="s">
        <v>2821</v>
      </c>
      <c r="D18" s="474" t="s">
        <v>676</v>
      </c>
      <c r="E18" s="684" t="str">
        <f>+VLOOKUP(F18,Resumen_Base!$C$8:$G$287,5,0)</f>
        <v>Fixed Asset's Payments (Investments) Armas</v>
      </c>
      <c r="F18" s="474" t="s">
        <v>4</v>
      </c>
      <c r="G18" s="210" t="s">
        <v>1532</v>
      </c>
      <c r="H18" s="152" t="str">
        <f t="shared" si="0"/>
        <v>CAR120211</v>
      </c>
      <c r="I18" s="513">
        <v>289813.59999999998</v>
      </c>
      <c r="J18" s="513">
        <v>195.82</v>
      </c>
      <c r="K18" s="513">
        <v>1480</v>
      </c>
      <c r="L18" s="513" t="s">
        <v>2827</v>
      </c>
      <c r="M18" s="513" t="s">
        <v>780</v>
      </c>
      <c r="N18" s="513" t="s">
        <v>1407</v>
      </c>
      <c r="O18" s="518" t="s">
        <v>2932</v>
      </c>
      <c r="P18" s="152" t="s">
        <v>892</v>
      </c>
      <c r="Q18" s="152" t="s">
        <v>2933</v>
      </c>
      <c r="R18" s="152" t="s">
        <v>3012</v>
      </c>
      <c r="S18" s="152" t="s">
        <v>2935</v>
      </c>
      <c r="T18" s="152" t="s">
        <v>786</v>
      </c>
    </row>
    <row r="19" spans="3:20" ht="25">
      <c r="C19" s="152" t="s">
        <v>2821</v>
      </c>
      <c r="D19" s="474" t="s">
        <v>676</v>
      </c>
      <c r="E19" s="684" t="str">
        <f>+VLOOKUP(F19,Resumen_Base!$C$8:$G$287,5,0)</f>
        <v>Fixed Asset's Payments (Investments) Armas</v>
      </c>
      <c r="F19" s="474" t="s">
        <v>4</v>
      </c>
      <c r="G19" s="210" t="s">
        <v>1532</v>
      </c>
      <c r="H19" s="152" t="str">
        <f t="shared" si="0"/>
        <v>CAR120211</v>
      </c>
      <c r="I19" s="513">
        <v>999991.6</v>
      </c>
      <c r="J19" s="513">
        <v>675.67</v>
      </c>
      <c r="K19" s="513">
        <v>1480</v>
      </c>
      <c r="L19" s="513" t="s">
        <v>2859</v>
      </c>
      <c r="M19" s="513" t="s">
        <v>780</v>
      </c>
      <c r="N19" s="513" t="s">
        <v>1407</v>
      </c>
      <c r="O19" s="518" t="s">
        <v>2921</v>
      </c>
      <c r="P19" s="152" t="s">
        <v>892</v>
      </c>
      <c r="Q19" s="152" t="s">
        <v>2922</v>
      </c>
      <c r="R19" s="152" t="s">
        <v>3014</v>
      </c>
      <c r="S19" s="152" t="s">
        <v>2924</v>
      </c>
      <c r="T19" s="152" t="s">
        <v>786</v>
      </c>
    </row>
    <row r="20" spans="3:20">
      <c r="C20" s="152" t="s">
        <v>2821</v>
      </c>
      <c r="D20" s="474" t="s">
        <v>676</v>
      </c>
      <c r="E20" s="684" t="str">
        <f>+VLOOKUP(F20,Resumen_Base!$C$8:$G$287,5,0)</f>
        <v>Tips</v>
      </c>
      <c r="F20" s="474" t="s">
        <v>366</v>
      </c>
      <c r="G20" s="210" t="s">
        <v>367</v>
      </c>
      <c r="H20" s="152" t="str">
        <f t="shared" si="0"/>
        <v>CAR210609</v>
      </c>
      <c r="I20" s="513">
        <v>-740000</v>
      </c>
      <c r="J20" s="513">
        <v>-500</v>
      </c>
      <c r="K20" s="513">
        <v>1480</v>
      </c>
      <c r="L20" s="513" t="s">
        <v>3138</v>
      </c>
      <c r="M20" s="513" t="s">
        <v>1566</v>
      </c>
      <c r="N20" s="513" t="s">
        <v>1407</v>
      </c>
      <c r="O20" s="518" t="s">
        <v>3139</v>
      </c>
      <c r="P20" s="152" t="s">
        <v>1881</v>
      </c>
      <c r="Q20" s="152" t="s">
        <v>3140</v>
      </c>
      <c r="R20" s="152" t="s">
        <v>3141</v>
      </c>
      <c r="S20" s="152" t="s">
        <v>3142</v>
      </c>
      <c r="T20" s="152" t="s">
        <v>786</v>
      </c>
    </row>
    <row r="21" spans="3:20">
      <c r="C21" s="152" t="s">
        <v>2821</v>
      </c>
      <c r="D21" s="474" t="s">
        <v>676</v>
      </c>
      <c r="E21" s="684" t="str">
        <f>+VLOOKUP(F21,Resumen_Base!$C$8:$G$287,5,0)</f>
        <v>Tips</v>
      </c>
      <c r="F21" s="474" t="s">
        <v>366</v>
      </c>
      <c r="G21" s="210" t="s">
        <v>367</v>
      </c>
      <c r="H21" s="152" t="str">
        <f t="shared" si="0"/>
        <v>CAR210609</v>
      </c>
      <c r="I21" s="513">
        <v>-1184000</v>
      </c>
      <c r="J21" s="513">
        <v>-800</v>
      </c>
      <c r="K21" s="513">
        <v>1480</v>
      </c>
      <c r="L21" s="513" t="s">
        <v>3138</v>
      </c>
      <c r="M21" s="513" t="s">
        <v>1566</v>
      </c>
      <c r="N21" s="513" t="s">
        <v>1407</v>
      </c>
      <c r="O21" s="518" t="s">
        <v>3139</v>
      </c>
      <c r="P21" s="152" t="s">
        <v>1881</v>
      </c>
      <c r="Q21" s="152" t="s">
        <v>3140</v>
      </c>
      <c r="R21" s="152" t="s">
        <v>3141</v>
      </c>
      <c r="S21" s="152" t="s">
        <v>3142</v>
      </c>
      <c r="T21" s="152" t="s">
        <v>786</v>
      </c>
    </row>
    <row r="22" spans="3:20">
      <c r="C22" s="152" t="s">
        <v>2821</v>
      </c>
      <c r="D22" s="474" t="s">
        <v>676</v>
      </c>
      <c r="E22" s="684" t="str">
        <f>+VLOOKUP(F22,Resumen_Base!$C$8:$G$287,5,0)</f>
        <v>Tips</v>
      </c>
      <c r="F22" s="474" t="s">
        <v>366</v>
      </c>
      <c r="G22" s="210" t="s">
        <v>367</v>
      </c>
      <c r="H22" s="152" t="str">
        <f t="shared" si="0"/>
        <v>CAR210609</v>
      </c>
      <c r="I22" s="513">
        <v>-532800</v>
      </c>
      <c r="J22" s="513">
        <v>-360</v>
      </c>
      <c r="K22" s="513">
        <v>1480</v>
      </c>
      <c r="L22" s="513" t="s">
        <v>2845</v>
      </c>
      <c r="M22" s="513" t="s">
        <v>1566</v>
      </c>
      <c r="N22" s="513" t="s">
        <v>1407</v>
      </c>
      <c r="O22" s="518" t="s">
        <v>3145</v>
      </c>
      <c r="P22" s="152" t="s">
        <v>1881</v>
      </c>
      <c r="Q22" s="152" t="s">
        <v>3146</v>
      </c>
      <c r="R22" s="152" t="s">
        <v>3141</v>
      </c>
      <c r="S22" s="152" t="s">
        <v>3147</v>
      </c>
      <c r="T22" s="152" t="s">
        <v>786</v>
      </c>
    </row>
    <row r="23" spans="3:20">
      <c r="C23" s="152" t="s">
        <v>2821</v>
      </c>
      <c r="D23" s="474" t="s">
        <v>676</v>
      </c>
      <c r="E23" s="684" t="str">
        <f>+VLOOKUP(F23,Resumen_Base!$C$8:$G$287,5,0)</f>
        <v>Tips</v>
      </c>
      <c r="F23" s="474" t="s">
        <v>366</v>
      </c>
      <c r="G23" s="210" t="s">
        <v>367</v>
      </c>
      <c r="H23" s="152" t="str">
        <f t="shared" si="0"/>
        <v>CAR210609</v>
      </c>
      <c r="I23" s="513">
        <v>-266400</v>
      </c>
      <c r="J23" s="513">
        <v>-180</v>
      </c>
      <c r="K23" s="513">
        <v>1480</v>
      </c>
      <c r="L23" s="513" t="s">
        <v>2845</v>
      </c>
      <c r="M23" s="513" t="s">
        <v>1566</v>
      </c>
      <c r="N23" s="513" t="s">
        <v>1407</v>
      </c>
      <c r="O23" s="518" t="s">
        <v>3145</v>
      </c>
      <c r="P23" s="152" t="s">
        <v>1881</v>
      </c>
      <c r="Q23" s="152" t="s">
        <v>3146</v>
      </c>
      <c r="R23" s="152" t="s">
        <v>3141</v>
      </c>
      <c r="S23" s="152" t="s">
        <v>3147</v>
      </c>
      <c r="T23" s="152" t="s">
        <v>786</v>
      </c>
    </row>
    <row r="24" spans="3:20">
      <c r="C24" s="152" t="s">
        <v>2821</v>
      </c>
      <c r="D24" s="474" t="s">
        <v>676</v>
      </c>
      <c r="E24" s="684" t="str">
        <f>+VLOOKUP(F24,Resumen_Base!$C$8:$G$287,5,0)</f>
        <v>Tips</v>
      </c>
      <c r="F24" s="474" t="s">
        <v>366</v>
      </c>
      <c r="G24" s="210" t="s">
        <v>367</v>
      </c>
      <c r="H24" s="152" t="str">
        <f t="shared" si="0"/>
        <v>CAR210609</v>
      </c>
      <c r="I24" s="513">
        <v>-266400</v>
      </c>
      <c r="J24" s="513">
        <v>-180</v>
      </c>
      <c r="K24" s="513">
        <v>1480</v>
      </c>
      <c r="L24" s="513" t="s">
        <v>2859</v>
      </c>
      <c r="M24" s="513" t="s">
        <v>1566</v>
      </c>
      <c r="N24" s="513" t="s">
        <v>1407</v>
      </c>
      <c r="O24" s="518" t="s">
        <v>3148</v>
      </c>
      <c r="P24" s="152" t="s">
        <v>1881</v>
      </c>
      <c r="Q24" s="152" t="s">
        <v>3149</v>
      </c>
      <c r="R24" s="152" t="s">
        <v>3141</v>
      </c>
      <c r="S24" s="152" t="s">
        <v>3150</v>
      </c>
      <c r="T24" s="152" t="s">
        <v>786</v>
      </c>
    </row>
    <row r="25" spans="3:20">
      <c r="C25" s="152" t="s">
        <v>2821</v>
      </c>
      <c r="D25" s="474" t="s">
        <v>676</v>
      </c>
      <c r="E25" s="684" t="str">
        <f>+VLOOKUP(F25,Resumen_Base!$C$8:$G$287,5,0)</f>
        <v>Tips</v>
      </c>
      <c r="F25" s="474" t="s">
        <v>366</v>
      </c>
      <c r="G25" s="210" t="s">
        <v>367</v>
      </c>
      <c r="H25" s="152" t="str">
        <f t="shared" si="0"/>
        <v>CAR210609</v>
      </c>
      <c r="I25" s="513">
        <v>-532800</v>
      </c>
      <c r="J25" s="513">
        <v>-360</v>
      </c>
      <c r="K25" s="513">
        <v>1480</v>
      </c>
      <c r="L25" s="513" t="s">
        <v>2859</v>
      </c>
      <c r="M25" s="513" t="s">
        <v>1566</v>
      </c>
      <c r="N25" s="513" t="s">
        <v>1407</v>
      </c>
      <c r="O25" s="518" t="s">
        <v>3148</v>
      </c>
      <c r="P25" s="152" t="s">
        <v>1881</v>
      </c>
      <c r="Q25" s="152" t="s">
        <v>3149</v>
      </c>
      <c r="R25" s="152" t="s">
        <v>3141</v>
      </c>
      <c r="S25" s="152" t="s">
        <v>3150</v>
      </c>
      <c r="T25" s="152" t="s">
        <v>786</v>
      </c>
    </row>
    <row r="26" spans="3:20">
      <c r="C26" s="152" t="s">
        <v>2821</v>
      </c>
      <c r="D26" s="474" t="s">
        <v>676</v>
      </c>
      <c r="E26" s="684" t="str">
        <f>+VLOOKUP(F26,Resumen_Base!$C$8:$G$287,5,0)</f>
        <v>Tips</v>
      </c>
      <c r="F26" s="474" t="s">
        <v>366</v>
      </c>
      <c r="G26" s="210" t="s">
        <v>367</v>
      </c>
      <c r="H26" s="152" t="str">
        <f t="shared" si="0"/>
        <v>CAR210609</v>
      </c>
      <c r="I26" s="513">
        <v>-592000</v>
      </c>
      <c r="J26" s="513">
        <v>-400</v>
      </c>
      <c r="K26" s="513">
        <v>1480</v>
      </c>
      <c r="L26" s="513" t="s">
        <v>2827</v>
      </c>
      <c r="M26" s="513" t="s">
        <v>1566</v>
      </c>
      <c r="N26" s="513" t="s">
        <v>1407</v>
      </c>
      <c r="O26" s="518" t="s">
        <v>3167</v>
      </c>
      <c r="P26" s="152" t="s">
        <v>1881</v>
      </c>
      <c r="Q26" s="152" t="s">
        <v>3168</v>
      </c>
      <c r="R26" s="152" t="s">
        <v>3169</v>
      </c>
      <c r="S26" s="152" t="s">
        <v>3170</v>
      </c>
      <c r="T26" s="152" t="s">
        <v>786</v>
      </c>
    </row>
    <row r="27" spans="3:20">
      <c r="C27" s="152" t="s">
        <v>2821</v>
      </c>
      <c r="D27" s="474" t="s">
        <v>676</v>
      </c>
      <c r="E27" s="684" t="str">
        <f>+VLOOKUP(F27,Resumen_Base!$C$8:$G$287,5,0)</f>
        <v>Tips</v>
      </c>
      <c r="F27" s="474" t="s">
        <v>366</v>
      </c>
      <c r="G27" s="210" t="s">
        <v>367</v>
      </c>
      <c r="H27" s="152" t="str">
        <f t="shared" si="0"/>
        <v>CAR210609</v>
      </c>
      <c r="I27" s="513">
        <v>-518000</v>
      </c>
      <c r="J27" s="513">
        <v>-350</v>
      </c>
      <c r="K27" s="513">
        <v>1480</v>
      </c>
      <c r="L27" s="513" t="s">
        <v>2827</v>
      </c>
      <c r="M27" s="513" t="s">
        <v>1566</v>
      </c>
      <c r="N27" s="513" t="s">
        <v>1407</v>
      </c>
      <c r="O27" s="518" t="s">
        <v>3167</v>
      </c>
      <c r="P27" s="152" t="s">
        <v>1881</v>
      </c>
      <c r="Q27" s="152" t="s">
        <v>3168</v>
      </c>
      <c r="R27" s="152" t="s">
        <v>3169</v>
      </c>
      <c r="S27" s="152" t="s">
        <v>3170</v>
      </c>
      <c r="T27" s="152" t="s">
        <v>786</v>
      </c>
    </row>
    <row r="28" spans="3:20">
      <c r="C28" s="152" t="s">
        <v>2821</v>
      </c>
      <c r="D28" s="474" t="s">
        <v>676</v>
      </c>
      <c r="E28" s="684" t="str">
        <f>+VLOOKUP(F28,Resumen_Base!$C$8:$G$287,5,0)</f>
        <v>Tips</v>
      </c>
      <c r="F28" s="474" t="s">
        <v>366</v>
      </c>
      <c r="G28" s="210" t="s">
        <v>367</v>
      </c>
      <c r="H28" s="152" t="str">
        <f t="shared" si="0"/>
        <v>CAR210609</v>
      </c>
      <c r="I28" s="513">
        <v>-384800</v>
      </c>
      <c r="J28" s="513">
        <v>-260</v>
      </c>
      <c r="K28" s="513">
        <v>1480</v>
      </c>
      <c r="L28" s="513" t="s">
        <v>2827</v>
      </c>
      <c r="M28" s="513" t="s">
        <v>1566</v>
      </c>
      <c r="N28" s="513" t="s">
        <v>1407</v>
      </c>
      <c r="O28" s="518" t="s">
        <v>3171</v>
      </c>
      <c r="P28" s="152" t="s">
        <v>1881</v>
      </c>
      <c r="Q28" s="152" t="s">
        <v>3172</v>
      </c>
      <c r="R28" s="152" t="s">
        <v>3169</v>
      </c>
      <c r="S28" s="152" t="s">
        <v>3173</v>
      </c>
      <c r="T28" s="152" t="s">
        <v>786</v>
      </c>
    </row>
    <row r="29" spans="3:20">
      <c r="C29" s="152" t="s">
        <v>2821</v>
      </c>
      <c r="D29" s="474" t="s">
        <v>676</v>
      </c>
      <c r="E29" s="684" t="str">
        <f>+VLOOKUP(F29,Resumen_Base!$C$8:$G$287,5,0)</f>
        <v>Tips</v>
      </c>
      <c r="F29" s="474" t="s">
        <v>366</v>
      </c>
      <c r="G29" s="210" t="s">
        <v>367</v>
      </c>
      <c r="H29" s="152" t="str">
        <f t="shared" si="0"/>
        <v>CAR210609</v>
      </c>
      <c r="I29" s="513">
        <v>-355200</v>
      </c>
      <c r="J29" s="513">
        <v>-240</v>
      </c>
      <c r="K29" s="513">
        <v>1480</v>
      </c>
      <c r="L29" s="513" t="s">
        <v>2827</v>
      </c>
      <c r="M29" s="513" t="s">
        <v>1566</v>
      </c>
      <c r="N29" s="513" t="s">
        <v>1407</v>
      </c>
      <c r="O29" s="518" t="s">
        <v>3171</v>
      </c>
      <c r="P29" s="152" t="s">
        <v>1881</v>
      </c>
      <c r="Q29" s="152" t="s">
        <v>3172</v>
      </c>
      <c r="R29" s="152" t="s">
        <v>3169</v>
      </c>
      <c r="S29" s="152" t="s">
        <v>3173</v>
      </c>
      <c r="T29" s="152" t="s">
        <v>786</v>
      </c>
    </row>
    <row r="30" spans="3:20">
      <c r="C30" s="152" t="s">
        <v>2821</v>
      </c>
      <c r="D30" s="474" t="s">
        <v>676</v>
      </c>
      <c r="E30" s="684" t="str">
        <f>+VLOOKUP(F30,Resumen_Base!$C$8:$G$287,5,0)</f>
        <v>Tips</v>
      </c>
      <c r="F30" s="474" t="s">
        <v>366</v>
      </c>
      <c r="G30" s="210" t="s">
        <v>367</v>
      </c>
      <c r="H30" s="152" t="str">
        <f t="shared" si="0"/>
        <v>CAR210609</v>
      </c>
      <c r="I30" s="513">
        <v>-444000</v>
      </c>
      <c r="J30" s="513">
        <v>-300</v>
      </c>
      <c r="K30" s="513">
        <v>1480</v>
      </c>
      <c r="L30" s="513" t="s">
        <v>2827</v>
      </c>
      <c r="M30" s="513" t="s">
        <v>1566</v>
      </c>
      <c r="N30" s="513" t="s">
        <v>1407</v>
      </c>
      <c r="O30" s="518" t="s">
        <v>3174</v>
      </c>
      <c r="P30" s="152" t="s">
        <v>1881</v>
      </c>
      <c r="Q30" s="152" t="s">
        <v>3175</v>
      </c>
      <c r="R30" s="152" t="s">
        <v>3169</v>
      </c>
      <c r="S30" s="152" t="s">
        <v>3176</v>
      </c>
      <c r="T30" s="152" t="s">
        <v>786</v>
      </c>
    </row>
    <row r="31" spans="3:20">
      <c r="C31" s="152" t="s">
        <v>2821</v>
      </c>
      <c r="D31" s="474" t="s">
        <v>676</v>
      </c>
      <c r="E31" s="684" t="str">
        <f>+VLOOKUP(F31,Resumen_Base!$C$8:$G$287,5,0)</f>
        <v>Tips</v>
      </c>
      <c r="F31" s="474" t="s">
        <v>366</v>
      </c>
      <c r="G31" s="210" t="s">
        <v>367</v>
      </c>
      <c r="H31" s="152" t="str">
        <f t="shared" si="0"/>
        <v>CAR210609</v>
      </c>
      <c r="I31" s="513">
        <v>-355200</v>
      </c>
      <c r="J31" s="513">
        <v>-240</v>
      </c>
      <c r="K31" s="513">
        <v>1480</v>
      </c>
      <c r="L31" s="513" t="s">
        <v>2827</v>
      </c>
      <c r="M31" s="513" t="s">
        <v>1566</v>
      </c>
      <c r="N31" s="513" t="s">
        <v>1407</v>
      </c>
      <c r="O31" s="518" t="s">
        <v>3174</v>
      </c>
      <c r="P31" s="152" t="s">
        <v>1881</v>
      </c>
      <c r="Q31" s="152" t="s">
        <v>3175</v>
      </c>
      <c r="R31" s="152" t="s">
        <v>3169</v>
      </c>
      <c r="S31" s="152" t="s">
        <v>3176</v>
      </c>
      <c r="T31" s="152" t="s">
        <v>786</v>
      </c>
    </row>
    <row r="32" spans="3:20">
      <c r="C32" s="152" t="s">
        <v>2821</v>
      </c>
      <c r="D32" s="474" t="s">
        <v>676</v>
      </c>
      <c r="E32" s="684" t="str">
        <f>+VLOOKUP(F32,Resumen_Base!$C$8:$G$287,5,0)</f>
        <v>Tips</v>
      </c>
      <c r="F32" s="474" t="s">
        <v>366</v>
      </c>
      <c r="G32" s="210" t="s">
        <v>367</v>
      </c>
      <c r="H32" s="152" t="str">
        <f t="shared" si="0"/>
        <v>CAR210609</v>
      </c>
      <c r="I32" s="513">
        <v>-177600</v>
      </c>
      <c r="J32" s="513">
        <v>-120</v>
      </c>
      <c r="K32" s="513">
        <v>1480</v>
      </c>
      <c r="L32" s="513" t="s">
        <v>3177</v>
      </c>
      <c r="M32" s="513" t="s">
        <v>1566</v>
      </c>
      <c r="N32" s="513" t="s">
        <v>1407</v>
      </c>
      <c r="O32" s="518" t="s">
        <v>3178</v>
      </c>
      <c r="P32" s="152" t="s">
        <v>1881</v>
      </c>
      <c r="Q32" s="152" t="s">
        <v>3179</v>
      </c>
      <c r="R32" s="152" t="s">
        <v>3180</v>
      </c>
      <c r="S32" s="152" t="s">
        <v>3181</v>
      </c>
      <c r="T32" s="152" t="s">
        <v>786</v>
      </c>
    </row>
    <row r="33" spans="3:20">
      <c r="C33" s="152" t="s">
        <v>2821</v>
      </c>
      <c r="D33" s="474" t="s">
        <v>676</v>
      </c>
      <c r="E33" s="684" t="str">
        <f>+VLOOKUP(F33,Resumen_Base!$C$8:$G$287,5,0)</f>
        <v>Tips</v>
      </c>
      <c r="F33" s="474" t="s">
        <v>366</v>
      </c>
      <c r="G33" s="210" t="s">
        <v>367</v>
      </c>
      <c r="H33" s="152" t="str">
        <f t="shared" si="0"/>
        <v>CAR210609</v>
      </c>
      <c r="I33" s="513">
        <v>-340400</v>
      </c>
      <c r="J33" s="513">
        <v>-230</v>
      </c>
      <c r="K33" s="513">
        <v>1480</v>
      </c>
      <c r="L33" s="513" t="s">
        <v>3177</v>
      </c>
      <c r="M33" s="513" t="s">
        <v>1566</v>
      </c>
      <c r="N33" s="513" t="s">
        <v>1407</v>
      </c>
      <c r="O33" s="518" t="s">
        <v>3178</v>
      </c>
      <c r="P33" s="152" t="s">
        <v>1881</v>
      </c>
      <c r="Q33" s="152" t="s">
        <v>3179</v>
      </c>
      <c r="R33" s="152" t="s">
        <v>3180</v>
      </c>
      <c r="S33" s="152" t="s">
        <v>3181</v>
      </c>
      <c r="T33" s="152" t="s">
        <v>786</v>
      </c>
    </row>
    <row r="34" spans="3:20">
      <c r="C34" s="152" t="s">
        <v>2821</v>
      </c>
      <c r="D34" s="474" t="s">
        <v>676</v>
      </c>
      <c r="E34" s="684" t="str">
        <f>+VLOOKUP(F34,Resumen_Base!$C$8:$G$287,5,0)</f>
        <v>Tips</v>
      </c>
      <c r="F34" s="474" t="s">
        <v>366</v>
      </c>
      <c r="G34" s="210" t="s">
        <v>367</v>
      </c>
      <c r="H34" s="152" t="str">
        <f t="shared" si="0"/>
        <v>CAR210609</v>
      </c>
      <c r="I34" s="513">
        <v>-296000</v>
      </c>
      <c r="J34" s="513">
        <v>-200</v>
      </c>
      <c r="K34" s="513">
        <v>1480</v>
      </c>
      <c r="L34" s="513" t="s">
        <v>3182</v>
      </c>
      <c r="M34" s="513" t="s">
        <v>1566</v>
      </c>
      <c r="N34" s="513" t="s">
        <v>1407</v>
      </c>
      <c r="O34" s="518" t="s">
        <v>3183</v>
      </c>
      <c r="P34" s="152" t="s">
        <v>1881</v>
      </c>
      <c r="Q34" s="152" t="s">
        <v>3184</v>
      </c>
      <c r="R34" s="152" t="s">
        <v>3185</v>
      </c>
      <c r="S34" s="152" t="s">
        <v>3186</v>
      </c>
      <c r="T34" s="152" t="s">
        <v>786</v>
      </c>
    </row>
    <row r="35" spans="3:20">
      <c r="C35" s="152" t="s">
        <v>2821</v>
      </c>
      <c r="D35" s="474" t="s">
        <v>676</v>
      </c>
      <c r="E35" s="684" t="str">
        <f>+VLOOKUP(F35,Resumen_Base!$C$8:$G$287,5,0)</f>
        <v>Tips</v>
      </c>
      <c r="F35" s="474" t="s">
        <v>366</v>
      </c>
      <c r="G35" s="210" t="s">
        <v>367</v>
      </c>
      <c r="H35" s="152" t="str">
        <f t="shared" si="0"/>
        <v>CAR210609</v>
      </c>
      <c r="I35" s="513">
        <v>-592000</v>
      </c>
      <c r="J35" s="513">
        <v>-400</v>
      </c>
      <c r="K35" s="513">
        <v>1480</v>
      </c>
      <c r="L35" s="513" t="s">
        <v>3182</v>
      </c>
      <c r="M35" s="513" t="s">
        <v>1566</v>
      </c>
      <c r="N35" s="513" t="s">
        <v>1407</v>
      </c>
      <c r="O35" s="518" t="s">
        <v>3183</v>
      </c>
      <c r="P35" s="152" t="s">
        <v>1881</v>
      </c>
      <c r="Q35" s="152" t="s">
        <v>3184</v>
      </c>
      <c r="R35" s="152" t="s">
        <v>3185</v>
      </c>
      <c r="S35" s="152" t="s">
        <v>3186</v>
      </c>
      <c r="T35" s="152" t="s">
        <v>786</v>
      </c>
    </row>
    <row r="36" spans="3:20">
      <c r="C36" s="152" t="s">
        <v>2821</v>
      </c>
      <c r="D36" s="474" t="s">
        <v>676</v>
      </c>
      <c r="E36" s="684" t="str">
        <f>+VLOOKUP(F36,Resumen_Base!$C$8:$G$287,5,0)</f>
        <v>Tips</v>
      </c>
      <c r="F36" s="474" t="s">
        <v>366</v>
      </c>
      <c r="G36" s="210" t="s">
        <v>367</v>
      </c>
      <c r="H36" s="152" t="str">
        <f t="shared" si="0"/>
        <v>CAR210609</v>
      </c>
      <c r="I36" s="513">
        <v>-592000</v>
      </c>
      <c r="J36" s="513">
        <v>-400</v>
      </c>
      <c r="K36" s="513">
        <v>1480</v>
      </c>
      <c r="L36" s="513" t="s">
        <v>3182</v>
      </c>
      <c r="M36" s="513" t="s">
        <v>1566</v>
      </c>
      <c r="N36" s="513" t="s">
        <v>1407</v>
      </c>
      <c r="O36" s="518" t="s">
        <v>3191</v>
      </c>
      <c r="P36" s="152" t="s">
        <v>1881</v>
      </c>
      <c r="Q36" s="152" t="s">
        <v>3192</v>
      </c>
      <c r="R36" s="152" t="s">
        <v>3193</v>
      </c>
      <c r="S36" s="152" t="s">
        <v>3194</v>
      </c>
      <c r="T36" s="152" t="s">
        <v>786</v>
      </c>
    </row>
    <row r="37" spans="3:20">
      <c r="C37" s="152" t="s">
        <v>2821</v>
      </c>
      <c r="D37" s="474" t="s">
        <v>676</v>
      </c>
      <c r="E37" s="684" t="str">
        <f>+VLOOKUP(F37,Resumen_Base!$C$8:$G$287,5,0)</f>
        <v>Tips</v>
      </c>
      <c r="F37" s="474" t="s">
        <v>366</v>
      </c>
      <c r="G37" s="210" t="s">
        <v>367</v>
      </c>
      <c r="H37" s="152" t="str">
        <f t="shared" si="0"/>
        <v>CAR210609</v>
      </c>
      <c r="I37" s="513">
        <v>-444000</v>
      </c>
      <c r="J37" s="513">
        <v>-300</v>
      </c>
      <c r="K37" s="513">
        <v>1480</v>
      </c>
      <c r="L37" s="513" t="s">
        <v>3182</v>
      </c>
      <c r="M37" s="513" t="s">
        <v>1566</v>
      </c>
      <c r="N37" s="513" t="s">
        <v>1407</v>
      </c>
      <c r="O37" s="518" t="s">
        <v>3191</v>
      </c>
      <c r="P37" s="152" t="s">
        <v>1881</v>
      </c>
      <c r="Q37" s="152" t="s">
        <v>3192</v>
      </c>
      <c r="R37" s="152" t="s">
        <v>3193</v>
      </c>
      <c r="S37" s="152" t="s">
        <v>3194</v>
      </c>
      <c r="T37" s="152" t="s">
        <v>786</v>
      </c>
    </row>
    <row r="38" spans="3:20">
      <c r="C38" s="152" t="s">
        <v>2821</v>
      </c>
      <c r="D38" s="474" t="s">
        <v>676</v>
      </c>
      <c r="E38" s="684" t="str">
        <f>+VLOOKUP(F38,Resumen_Base!$C$8:$G$287,5,0)</f>
        <v>Shop</v>
      </c>
      <c r="F38" s="474" t="s">
        <v>293</v>
      </c>
      <c r="G38" s="210" t="s">
        <v>294</v>
      </c>
      <c r="H38" s="152" t="str">
        <f t="shared" si="0"/>
        <v>CAR4104</v>
      </c>
      <c r="I38" s="513">
        <v>-66600</v>
      </c>
      <c r="J38" s="513">
        <v>-45</v>
      </c>
      <c r="K38" s="513">
        <v>1480</v>
      </c>
      <c r="L38" s="513" t="s">
        <v>2845</v>
      </c>
      <c r="M38" s="513" t="s">
        <v>1566</v>
      </c>
      <c r="N38" s="513" t="s">
        <v>1407</v>
      </c>
      <c r="O38" s="518" t="s">
        <v>3145</v>
      </c>
      <c r="P38" s="152" t="s">
        <v>1881</v>
      </c>
      <c r="Q38" s="152" t="s">
        <v>3146</v>
      </c>
      <c r="R38" s="152" t="s">
        <v>3141</v>
      </c>
      <c r="S38" s="152" t="s">
        <v>3147</v>
      </c>
      <c r="T38" s="152" t="s">
        <v>786</v>
      </c>
    </row>
    <row r="39" spans="3:20">
      <c r="C39" s="152" t="s">
        <v>2821</v>
      </c>
      <c r="D39" s="474" t="s">
        <v>676</v>
      </c>
      <c r="E39" s="684" t="str">
        <f>+VLOOKUP(F39,Resumen_Base!$C$8:$G$287,5,0)</f>
        <v>Shop</v>
      </c>
      <c r="F39" s="474" t="s">
        <v>293</v>
      </c>
      <c r="G39" s="210" t="s">
        <v>294</v>
      </c>
      <c r="H39" s="152" t="str">
        <f t="shared" si="0"/>
        <v>CAR4104</v>
      </c>
      <c r="I39" s="513">
        <v>-59200</v>
      </c>
      <c r="J39" s="513">
        <v>-40</v>
      </c>
      <c r="K39" s="513">
        <v>1480</v>
      </c>
      <c r="L39" s="513" t="s">
        <v>2827</v>
      </c>
      <c r="M39" s="513" t="s">
        <v>1566</v>
      </c>
      <c r="N39" s="513" t="s">
        <v>1407</v>
      </c>
      <c r="O39" s="518" t="s">
        <v>3167</v>
      </c>
      <c r="P39" s="152" t="s">
        <v>1881</v>
      </c>
      <c r="Q39" s="152" t="s">
        <v>3168</v>
      </c>
      <c r="R39" s="152" t="s">
        <v>3169</v>
      </c>
      <c r="S39" s="152" t="s">
        <v>3170</v>
      </c>
      <c r="T39" s="152" t="s">
        <v>786</v>
      </c>
    </row>
    <row r="40" spans="3:20">
      <c r="C40" s="152" t="s">
        <v>2821</v>
      </c>
      <c r="D40" s="474" t="s">
        <v>676</v>
      </c>
      <c r="E40" s="684" t="str">
        <f>+VLOOKUP(F40,Resumen_Base!$C$8:$G$287,5,0)</f>
        <v>Shop</v>
      </c>
      <c r="F40" s="474" t="s">
        <v>293</v>
      </c>
      <c r="G40" s="210" t="s">
        <v>294</v>
      </c>
      <c r="H40" s="152" t="str">
        <f t="shared" si="0"/>
        <v>CAR4104</v>
      </c>
      <c r="I40" s="513">
        <v>-59200</v>
      </c>
      <c r="J40" s="513">
        <v>-40</v>
      </c>
      <c r="K40" s="513">
        <v>1480</v>
      </c>
      <c r="L40" s="513" t="s">
        <v>2827</v>
      </c>
      <c r="M40" s="513" t="s">
        <v>1566</v>
      </c>
      <c r="N40" s="513" t="s">
        <v>1407</v>
      </c>
      <c r="O40" s="518" t="s">
        <v>3171</v>
      </c>
      <c r="P40" s="152" t="s">
        <v>1881</v>
      </c>
      <c r="Q40" s="152" t="s">
        <v>3172</v>
      </c>
      <c r="R40" s="152" t="s">
        <v>3169</v>
      </c>
      <c r="S40" s="152" t="s">
        <v>3173</v>
      </c>
      <c r="T40" s="152" t="s">
        <v>786</v>
      </c>
    </row>
    <row r="41" spans="3:20">
      <c r="C41" s="152" t="s">
        <v>2821</v>
      </c>
      <c r="D41" s="474" t="s">
        <v>676</v>
      </c>
      <c r="E41" s="684" t="str">
        <f>+VLOOKUP(F41,Resumen_Base!$C$8:$G$287,5,0)</f>
        <v>Shop</v>
      </c>
      <c r="F41" s="474" t="s">
        <v>293</v>
      </c>
      <c r="G41" s="210" t="s">
        <v>294</v>
      </c>
      <c r="H41" s="152" t="str">
        <f t="shared" si="0"/>
        <v>CAR4104</v>
      </c>
      <c r="I41" s="513">
        <v>-59200</v>
      </c>
      <c r="J41" s="513">
        <v>-40</v>
      </c>
      <c r="K41" s="513">
        <v>1480</v>
      </c>
      <c r="L41" s="513" t="s">
        <v>2827</v>
      </c>
      <c r="M41" s="513" t="s">
        <v>1566</v>
      </c>
      <c r="N41" s="513" t="s">
        <v>1407</v>
      </c>
      <c r="O41" s="518" t="s">
        <v>3174</v>
      </c>
      <c r="P41" s="152" t="s">
        <v>1881</v>
      </c>
      <c r="Q41" s="152" t="s">
        <v>3175</v>
      </c>
      <c r="R41" s="152" t="s">
        <v>3169</v>
      </c>
      <c r="S41" s="152" t="s">
        <v>3176</v>
      </c>
      <c r="T41" s="152" t="s">
        <v>786</v>
      </c>
    </row>
    <row r="42" spans="3:20">
      <c r="C42" s="152" t="s">
        <v>2821</v>
      </c>
      <c r="D42" s="474" t="s">
        <v>676</v>
      </c>
      <c r="E42" s="684" t="str">
        <f>+VLOOKUP(F42,Resumen_Base!$C$8:$G$287,5,0)</f>
        <v>Shop</v>
      </c>
      <c r="F42" s="474" t="s">
        <v>293</v>
      </c>
      <c r="G42" s="210" t="s">
        <v>294</v>
      </c>
      <c r="H42" s="152" t="str">
        <f t="shared" si="0"/>
        <v>CAR4104</v>
      </c>
      <c r="I42" s="513">
        <v>-41440</v>
      </c>
      <c r="J42" s="513">
        <v>-28</v>
      </c>
      <c r="K42" s="513">
        <v>1480</v>
      </c>
      <c r="L42" s="513" t="s">
        <v>3182</v>
      </c>
      <c r="M42" s="513" t="s">
        <v>1566</v>
      </c>
      <c r="N42" s="513" t="s">
        <v>1407</v>
      </c>
      <c r="O42" s="518" t="s">
        <v>3183</v>
      </c>
      <c r="P42" s="152" t="s">
        <v>1881</v>
      </c>
      <c r="Q42" s="152" t="s">
        <v>3184</v>
      </c>
      <c r="R42" s="152" t="s">
        <v>3185</v>
      </c>
      <c r="S42" s="152" t="s">
        <v>3186</v>
      </c>
      <c r="T42" s="152" t="s">
        <v>786</v>
      </c>
    </row>
    <row r="43" spans="3:20">
      <c r="C43" s="152" t="s">
        <v>2821</v>
      </c>
      <c r="D43" s="474" t="s">
        <v>676</v>
      </c>
      <c r="E43" s="684" t="str">
        <f>+VLOOKUP(F43,Resumen_Base!$C$8:$G$287,5,0)</f>
        <v>Extras</v>
      </c>
      <c r="F43" s="474" t="s">
        <v>297</v>
      </c>
      <c r="G43" s="210" t="s">
        <v>298</v>
      </c>
      <c r="H43" s="152" t="str">
        <f t="shared" si="0"/>
        <v>CAR4110</v>
      </c>
      <c r="I43" s="513">
        <v>-222000</v>
      </c>
      <c r="J43" s="513">
        <v>-150</v>
      </c>
      <c r="K43" s="513">
        <v>1480</v>
      </c>
      <c r="L43" s="513" t="s">
        <v>3138</v>
      </c>
      <c r="M43" s="513" t="s">
        <v>1566</v>
      </c>
      <c r="N43" s="513" t="s">
        <v>1407</v>
      </c>
      <c r="O43" s="518" t="s">
        <v>3139</v>
      </c>
      <c r="P43" s="152" t="s">
        <v>1881</v>
      </c>
      <c r="Q43" s="152" t="s">
        <v>3140</v>
      </c>
      <c r="R43" s="152" t="s">
        <v>3141</v>
      </c>
      <c r="S43" s="152" t="s">
        <v>3142</v>
      </c>
      <c r="T43" s="152" t="s">
        <v>786</v>
      </c>
    </row>
    <row r="44" spans="3:20">
      <c r="C44" s="152" t="s">
        <v>2821</v>
      </c>
      <c r="D44" s="474" t="s">
        <v>676</v>
      </c>
      <c r="E44" s="684" t="str">
        <f>+VLOOKUP(F44,Resumen_Base!$C$8:$G$287,5,0)</f>
        <v>Extras</v>
      </c>
      <c r="F44" s="474" t="s">
        <v>297</v>
      </c>
      <c r="G44" s="210" t="s">
        <v>298</v>
      </c>
      <c r="H44" s="152" t="str">
        <f t="shared" si="0"/>
        <v>CAR4110</v>
      </c>
      <c r="I44" s="513">
        <v>-162800</v>
      </c>
      <c r="J44" s="513">
        <v>-110</v>
      </c>
      <c r="K44" s="513">
        <v>1480</v>
      </c>
      <c r="L44" s="513" t="s">
        <v>2827</v>
      </c>
      <c r="M44" s="513" t="s">
        <v>1566</v>
      </c>
      <c r="N44" s="513" t="s">
        <v>1407</v>
      </c>
      <c r="O44" s="518" t="s">
        <v>3174</v>
      </c>
      <c r="P44" s="152" t="s">
        <v>1881</v>
      </c>
      <c r="Q44" s="152" t="s">
        <v>3175</v>
      </c>
      <c r="R44" s="152" t="s">
        <v>3169</v>
      </c>
      <c r="S44" s="152" t="s">
        <v>3176</v>
      </c>
      <c r="T44" s="152" t="s">
        <v>786</v>
      </c>
    </row>
    <row r="45" spans="3:20">
      <c r="C45" s="152" t="s">
        <v>2821</v>
      </c>
      <c r="D45" s="474" t="s">
        <v>676</v>
      </c>
      <c r="E45" s="684" t="str">
        <f>+VLOOKUP(F45,Resumen_Base!$C$8:$G$287,5,0)</f>
        <v>Extras</v>
      </c>
      <c r="F45" s="474" t="s">
        <v>299</v>
      </c>
      <c r="G45" s="210" t="s">
        <v>300</v>
      </c>
      <c r="H45" s="152" t="str">
        <f t="shared" si="0"/>
        <v>CAR4112</v>
      </c>
      <c r="I45" s="513">
        <v>-370000</v>
      </c>
      <c r="J45" s="513">
        <v>-250</v>
      </c>
      <c r="K45" s="513">
        <v>1480</v>
      </c>
      <c r="L45" s="513" t="s">
        <v>3138</v>
      </c>
      <c r="M45" s="513" t="s">
        <v>1566</v>
      </c>
      <c r="N45" s="513" t="s">
        <v>1407</v>
      </c>
      <c r="O45" s="518" t="s">
        <v>3139</v>
      </c>
      <c r="P45" s="152" t="s">
        <v>1881</v>
      </c>
      <c r="Q45" s="152" t="s">
        <v>3140</v>
      </c>
      <c r="R45" s="152" t="s">
        <v>3141</v>
      </c>
      <c r="S45" s="152" t="s">
        <v>3142</v>
      </c>
      <c r="T45" s="152" t="s">
        <v>786</v>
      </c>
    </row>
    <row r="46" spans="3:20">
      <c r="C46" s="152" t="s">
        <v>2821</v>
      </c>
      <c r="D46" s="474" t="s">
        <v>676</v>
      </c>
      <c r="E46" s="684" t="str">
        <f>+VLOOKUP(F46,Resumen_Base!$C$8:$G$287,5,0)</f>
        <v>Extras</v>
      </c>
      <c r="F46" s="474" t="s">
        <v>299</v>
      </c>
      <c r="G46" s="210" t="s">
        <v>300</v>
      </c>
      <c r="H46" s="152" t="str">
        <f t="shared" si="0"/>
        <v>CAR4112</v>
      </c>
      <c r="I46" s="513">
        <v>-185000</v>
      </c>
      <c r="J46" s="513">
        <v>-125</v>
      </c>
      <c r="K46" s="513">
        <v>1480</v>
      </c>
      <c r="L46" s="513" t="s">
        <v>2845</v>
      </c>
      <c r="M46" s="513" t="s">
        <v>1566</v>
      </c>
      <c r="N46" s="513" t="s">
        <v>1407</v>
      </c>
      <c r="O46" s="518" t="s">
        <v>3151</v>
      </c>
      <c r="P46" s="152" t="s">
        <v>1881</v>
      </c>
      <c r="Q46" s="152" t="s">
        <v>3152</v>
      </c>
      <c r="R46" s="152" t="s">
        <v>3153</v>
      </c>
      <c r="S46" s="152" t="s">
        <v>3154</v>
      </c>
      <c r="T46" s="152" t="s">
        <v>786</v>
      </c>
    </row>
    <row r="47" spans="3:20">
      <c r="C47" s="152" t="s">
        <v>2821</v>
      </c>
      <c r="D47" s="474" t="s">
        <v>676</v>
      </c>
      <c r="E47" s="684" t="str">
        <f>+VLOOKUP(F47,Resumen_Base!$C$8:$G$287,5,0)</f>
        <v>Extras</v>
      </c>
      <c r="F47" s="474" t="s">
        <v>299</v>
      </c>
      <c r="G47" s="210" t="s">
        <v>300</v>
      </c>
      <c r="H47" s="152" t="str">
        <f t="shared" si="0"/>
        <v>CAR4112</v>
      </c>
      <c r="I47" s="513">
        <v>-185000</v>
      </c>
      <c r="J47" s="513">
        <v>-125</v>
      </c>
      <c r="K47" s="513">
        <v>1480</v>
      </c>
      <c r="L47" s="513" t="s">
        <v>3155</v>
      </c>
      <c r="M47" s="513" t="s">
        <v>1566</v>
      </c>
      <c r="N47" s="513" t="s">
        <v>1407</v>
      </c>
      <c r="O47" s="518" t="s">
        <v>3156</v>
      </c>
      <c r="P47" s="152" t="s">
        <v>1881</v>
      </c>
      <c r="Q47" s="152" t="s">
        <v>3157</v>
      </c>
      <c r="R47" s="152" t="s">
        <v>3158</v>
      </c>
      <c r="S47" s="152" t="s">
        <v>3159</v>
      </c>
      <c r="T47" s="152" t="s">
        <v>786</v>
      </c>
    </row>
    <row r="48" spans="3:20">
      <c r="C48" s="152" t="s">
        <v>2821</v>
      </c>
      <c r="D48" s="474" t="s">
        <v>676</v>
      </c>
      <c r="E48" s="684" t="str">
        <f>+VLOOKUP(F48,Resumen_Base!$C$8:$G$287,5,0)</f>
        <v>Extras</v>
      </c>
      <c r="F48" s="474" t="s">
        <v>299</v>
      </c>
      <c r="G48" s="210" t="s">
        <v>300</v>
      </c>
      <c r="H48" s="152" t="str">
        <f t="shared" si="0"/>
        <v>CAR4112</v>
      </c>
      <c r="I48" s="513">
        <v>-185000</v>
      </c>
      <c r="J48" s="513">
        <v>-125</v>
      </c>
      <c r="K48" s="513">
        <v>1480</v>
      </c>
      <c r="L48" s="513" t="s">
        <v>3160</v>
      </c>
      <c r="M48" s="513" t="s">
        <v>1566</v>
      </c>
      <c r="N48" s="513" t="s">
        <v>1407</v>
      </c>
      <c r="O48" s="518" t="s">
        <v>3161</v>
      </c>
      <c r="P48" s="152" t="s">
        <v>1881</v>
      </c>
      <c r="Q48" s="152" t="s">
        <v>3162</v>
      </c>
      <c r="R48" s="152" t="s">
        <v>3158</v>
      </c>
      <c r="S48" s="152" t="s">
        <v>3163</v>
      </c>
      <c r="T48" s="152" t="s">
        <v>786</v>
      </c>
    </row>
    <row r="49" spans="3:20">
      <c r="C49" s="152" t="s">
        <v>2821</v>
      </c>
      <c r="D49" s="474" t="s">
        <v>676</v>
      </c>
      <c r="E49" s="684" t="str">
        <f>+VLOOKUP(F49,Resumen_Base!$C$8:$G$287,5,0)</f>
        <v>Extras</v>
      </c>
      <c r="F49" s="474" t="s">
        <v>299</v>
      </c>
      <c r="G49" s="210" t="s">
        <v>300</v>
      </c>
      <c r="H49" s="152" t="str">
        <f t="shared" si="0"/>
        <v>CAR4112</v>
      </c>
      <c r="I49" s="513">
        <v>-370000</v>
      </c>
      <c r="J49" s="513">
        <v>-250</v>
      </c>
      <c r="K49" s="513">
        <v>1480</v>
      </c>
      <c r="L49" s="513" t="s">
        <v>3160</v>
      </c>
      <c r="M49" s="513" t="s">
        <v>1566</v>
      </c>
      <c r="N49" s="513" t="s">
        <v>1407</v>
      </c>
      <c r="O49" s="518" t="s">
        <v>3164</v>
      </c>
      <c r="P49" s="152" t="s">
        <v>1881</v>
      </c>
      <c r="Q49" s="152" t="s">
        <v>3165</v>
      </c>
      <c r="R49" s="152" t="s">
        <v>3158</v>
      </c>
      <c r="S49" s="152" t="s">
        <v>3166</v>
      </c>
      <c r="T49" s="152" t="s">
        <v>786</v>
      </c>
    </row>
    <row r="50" spans="3:20">
      <c r="C50" s="152" t="s">
        <v>2821</v>
      </c>
      <c r="D50" s="474" t="s">
        <v>676</v>
      </c>
      <c r="E50" s="684" t="str">
        <f>+VLOOKUP(F50,Resumen_Base!$C$8:$G$287,5,0)</f>
        <v>Extras</v>
      </c>
      <c r="F50" s="474" t="s">
        <v>299</v>
      </c>
      <c r="G50" s="210" t="s">
        <v>300</v>
      </c>
      <c r="H50" s="152" t="str">
        <f t="shared" si="0"/>
        <v>CAR4112</v>
      </c>
      <c r="I50" s="513">
        <v>-370000</v>
      </c>
      <c r="J50" s="513">
        <v>-250</v>
      </c>
      <c r="K50" s="513">
        <v>1480</v>
      </c>
      <c r="L50" s="513" t="s">
        <v>3177</v>
      </c>
      <c r="M50" s="513" t="s">
        <v>1566</v>
      </c>
      <c r="N50" s="513" t="s">
        <v>1407</v>
      </c>
      <c r="O50" s="518" t="s">
        <v>3178</v>
      </c>
      <c r="P50" s="152" t="s">
        <v>1881</v>
      </c>
      <c r="Q50" s="152" t="s">
        <v>3179</v>
      </c>
      <c r="R50" s="152" t="s">
        <v>3180</v>
      </c>
      <c r="S50" s="152" t="s">
        <v>3181</v>
      </c>
      <c r="T50" s="152" t="s">
        <v>786</v>
      </c>
    </row>
    <row r="51" spans="3:20">
      <c r="C51" s="152" t="s">
        <v>2821</v>
      </c>
      <c r="D51" s="474" t="s">
        <v>676</v>
      </c>
      <c r="E51" s="684" t="str">
        <f>+VLOOKUP(F51,Resumen_Base!$C$8:$G$287,5,0)</f>
        <v>Extras</v>
      </c>
      <c r="F51" s="474" t="s">
        <v>299</v>
      </c>
      <c r="G51" s="210" t="s">
        <v>300</v>
      </c>
      <c r="H51" s="152" t="str">
        <f t="shared" si="0"/>
        <v>CAR4112</v>
      </c>
      <c r="I51" s="513">
        <v>-185000</v>
      </c>
      <c r="J51" s="513">
        <v>-125</v>
      </c>
      <c r="K51" s="513">
        <v>1480</v>
      </c>
      <c r="L51" s="513" t="s">
        <v>3138</v>
      </c>
      <c r="M51" s="513" t="s">
        <v>1566</v>
      </c>
      <c r="N51" s="513" t="s">
        <v>1407</v>
      </c>
      <c r="O51" s="518" t="s">
        <v>3187</v>
      </c>
      <c r="P51" s="152" t="s">
        <v>1881</v>
      </c>
      <c r="Q51" s="152" t="s">
        <v>3188</v>
      </c>
      <c r="R51" s="152" t="s">
        <v>3189</v>
      </c>
      <c r="S51" s="152" t="s">
        <v>3190</v>
      </c>
      <c r="T51" s="152" t="s">
        <v>786</v>
      </c>
    </row>
    <row r="52" spans="3:20">
      <c r="C52" s="152" t="s">
        <v>2821</v>
      </c>
      <c r="D52" s="474" t="s">
        <v>676</v>
      </c>
      <c r="E52" s="684" t="str">
        <f>+VLOOKUP(F52,Resumen_Base!$C$8:$G$287,5,0)</f>
        <v>Gun Rental</v>
      </c>
      <c r="F52" s="474" t="s">
        <v>303</v>
      </c>
      <c r="G52" s="210" t="s">
        <v>304</v>
      </c>
      <c r="H52" s="152" t="str">
        <f t="shared" si="0"/>
        <v>CAR4120</v>
      </c>
      <c r="I52" s="513">
        <v>-769600</v>
      </c>
      <c r="J52" s="513">
        <v>-520</v>
      </c>
      <c r="K52" s="513">
        <v>1480</v>
      </c>
      <c r="L52" s="513" t="s">
        <v>3138</v>
      </c>
      <c r="M52" s="513" t="s">
        <v>1566</v>
      </c>
      <c r="N52" s="513" t="s">
        <v>1407</v>
      </c>
      <c r="O52" s="518" t="s">
        <v>3139</v>
      </c>
      <c r="P52" s="152" t="s">
        <v>1881</v>
      </c>
      <c r="Q52" s="152" t="s">
        <v>3140</v>
      </c>
      <c r="R52" s="152" t="s">
        <v>3141</v>
      </c>
      <c r="S52" s="152" t="s">
        <v>3142</v>
      </c>
      <c r="T52" s="152" t="s">
        <v>786</v>
      </c>
    </row>
    <row r="53" spans="3:20">
      <c r="C53" s="152" t="s">
        <v>2821</v>
      </c>
      <c r="D53" s="474" t="s">
        <v>676</v>
      </c>
      <c r="E53" s="684" t="str">
        <f>+VLOOKUP(F53,Resumen_Base!$C$8:$G$287,5,0)</f>
        <v>Gun Rental</v>
      </c>
      <c r="F53" s="474" t="s">
        <v>303</v>
      </c>
      <c r="G53" s="210" t="s">
        <v>304</v>
      </c>
      <c r="H53" s="152" t="str">
        <f t="shared" si="0"/>
        <v>CAR4120</v>
      </c>
      <c r="I53" s="513">
        <v>-577200</v>
      </c>
      <c r="J53" s="513">
        <v>-390</v>
      </c>
      <c r="K53" s="513">
        <v>1480</v>
      </c>
      <c r="L53" s="513" t="s">
        <v>2845</v>
      </c>
      <c r="M53" s="513" t="s">
        <v>1566</v>
      </c>
      <c r="N53" s="513" t="s">
        <v>1407</v>
      </c>
      <c r="O53" s="518" t="s">
        <v>3145</v>
      </c>
      <c r="P53" s="152" t="s">
        <v>1881</v>
      </c>
      <c r="Q53" s="152" t="s">
        <v>3146</v>
      </c>
      <c r="R53" s="152" t="s">
        <v>3141</v>
      </c>
      <c r="S53" s="152" t="s">
        <v>3147</v>
      </c>
      <c r="T53" s="152" t="s">
        <v>786</v>
      </c>
    </row>
    <row r="54" spans="3:20">
      <c r="C54" s="152" t="s">
        <v>2821</v>
      </c>
      <c r="D54" s="474" t="s">
        <v>676</v>
      </c>
      <c r="E54" s="684" t="str">
        <f>+VLOOKUP(F54,Resumen_Base!$C$8:$G$287,5,0)</f>
        <v>Gun Rental</v>
      </c>
      <c r="F54" s="474" t="s">
        <v>303</v>
      </c>
      <c r="G54" s="210" t="s">
        <v>304</v>
      </c>
      <c r="H54" s="152" t="str">
        <f t="shared" si="0"/>
        <v>CAR4120</v>
      </c>
      <c r="I54" s="513">
        <v>-577200</v>
      </c>
      <c r="J54" s="513">
        <v>-390</v>
      </c>
      <c r="K54" s="513">
        <v>1480</v>
      </c>
      <c r="L54" s="513" t="s">
        <v>2859</v>
      </c>
      <c r="M54" s="513" t="s">
        <v>1566</v>
      </c>
      <c r="N54" s="513" t="s">
        <v>1407</v>
      </c>
      <c r="O54" s="518" t="s">
        <v>3148</v>
      </c>
      <c r="P54" s="152" t="s">
        <v>1881</v>
      </c>
      <c r="Q54" s="152" t="s">
        <v>3149</v>
      </c>
      <c r="R54" s="152" t="s">
        <v>3141</v>
      </c>
      <c r="S54" s="152" t="s">
        <v>3150</v>
      </c>
      <c r="T54" s="152" t="s">
        <v>786</v>
      </c>
    </row>
    <row r="55" spans="3:20">
      <c r="C55" s="152" t="s">
        <v>2821</v>
      </c>
      <c r="D55" s="474" t="s">
        <v>676</v>
      </c>
      <c r="E55" s="684" t="str">
        <f>+VLOOKUP(F55,Resumen_Base!$C$8:$G$287,5,0)</f>
        <v>Gun Rental</v>
      </c>
      <c r="F55" s="474" t="s">
        <v>303</v>
      </c>
      <c r="G55" s="210" t="s">
        <v>304</v>
      </c>
      <c r="H55" s="152" t="str">
        <f t="shared" si="0"/>
        <v>CAR4120</v>
      </c>
      <c r="I55" s="513">
        <v>-577200</v>
      </c>
      <c r="J55" s="513">
        <v>-390</v>
      </c>
      <c r="K55" s="513">
        <v>1480</v>
      </c>
      <c r="L55" s="513" t="s">
        <v>2827</v>
      </c>
      <c r="M55" s="513" t="s">
        <v>1566</v>
      </c>
      <c r="N55" s="513" t="s">
        <v>1407</v>
      </c>
      <c r="O55" s="518" t="s">
        <v>3167</v>
      </c>
      <c r="P55" s="152" t="s">
        <v>1881</v>
      </c>
      <c r="Q55" s="152" t="s">
        <v>3168</v>
      </c>
      <c r="R55" s="152" t="s">
        <v>3169</v>
      </c>
      <c r="S55" s="152" t="s">
        <v>3170</v>
      </c>
      <c r="T55" s="152" t="s">
        <v>786</v>
      </c>
    </row>
    <row r="56" spans="3:20">
      <c r="C56" s="152" t="s">
        <v>2821</v>
      </c>
      <c r="D56" s="474" t="s">
        <v>676</v>
      </c>
      <c r="E56" s="684" t="str">
        <f>+VLOOKUP(F56,Resumen_Base!$C$8:$G$287,5,0)</f>
        <v>Gun Rental</v>
      </c>
      <c r="F56" s="474" t="s">
        <v>303</v>
      </c>
      <c r="G56" s="210" t="s">
        <v>304</v>
      </c>
      <c r="H56" s="152" t="str">
        <f t="shared" si="0"/>
        <v>CAR4120</v>
      </c>
      <c r="I56" s="513">
        <v>-384800</v>
      </c>
      <c r="J56" s="513">
        <v>-260</v>
      </c>
      <c r="K56" s="513">
        <v>1480</v>
      </c>
      <c r="L56" s="513" t="s">
        <v>2827</v>
      </c>
      <c r="M56" s="513" t="s">
        <v>1566</v>
      </c>
      <c r="N56" s="513" t="s">
        <v>1407</v>
      </c>
      <c r="O56" s="518" t="s">
        <v>3171</v>
      </c>
      <c r="P56" s="152" t="s">
        <v>1881</v>
      </c>
      <c r="Q56" s="152" t="s">
        <v>3172</v>
      </c>
      <c r="R56" s="152" t="s">
        <v>3169</v>
      </c>
      <c r="S56" s="152" t="s">
        <v>3173</v>
      </c>
      <c r="T56" s="152" t="s">
        <v>786</v>
      </c>
    </row>
    <row r="57" spans="3:20">
      <c r="C57" s="152" t="s">
        <v>2821</v>
      </c>
      <c r="D57" s="474" t="s">
        <v>676</v>
      </c>
      <c r="E57" s="684" t="str">
        <f>+VLOOKUP(F57,Resumen_Base!$C$8:$G$287,5,0)</f>
        <v>Gun Rental</v>
      </c>
      <c r="F57" s="474" t="s">
        <v>303</v>
      </c>
      <c r="G57" s="210" t="s">
        <v>304</v>
      </c>
      <c r="H57" s="152" t="str">
        <f t="shared" si="0"/>
        <v>CAR4120</v>
      </c>
      <c r="I57" s="513">
        <v>-288600</v>
      </c>
      <c r="J57" s="513">
        <v>-195</v>
      </c>
      <c r="K57" s="513">
        <v>1480</v>
      </c>
      <c r="L57" s="513" t="s">
        <v>2827</v>
      </c>
      <c r="M57" s="513" t="s">
        <v>1566</v>
      </c>
      <c r="N57" s="513" t="s">
        <v>1407</v>
      </c>
      <c r="O57" s="518" t="s">
        <v>3174</v>
      </c>
      <c r="P57" s="152" t="s">
        <v>1881</v>
      </c>
      <c r="Q57" s="152" t="s">
        <v>3175</v>
      </c>
      <c r="R57" s="152" t="s">
        <v>3169</v>
      </c>
      <c r="S57" s="152" t="s">
        <v>3176</v>
      </c>
      <c r="T57" s="152" t="s">
        <v>786</v>
      </c>
    </row>
    <row r="58" spans="3:20">
      <c r="C58" s="152" t="s">
        <v>2821</v>
      </c>
      <c r="D58" s="474" t="s">
        <v>676</v>
      </c>
      <c r="E58" s="684" t="str">
        <f>+VLOOKUP(F58,Resumen_Base!$C$8:$G$287,5,0)</f>
        <v>Gun Rental</v>
      </c>
      <c r="F58" s="474" t="s">
        <v>303</v>
      </c>
      <c r="G58" s="210" t="s">
        <v>304</v>
      </c>
      <c r="H58" s="152" t="str">
        <f t="shared" si="0"/>
        <v>CAR4120</v>
      </c>
      <c r="I58" s="513">
        <v>-769600</v>
      </c>
      <c r="J58" s="513">
        <v>-520</v>
      </c>
      <c r="K58" s="513">
        <v>1480</v>
      </c>
      <c r="L58" s="513" t="s">
        <v>3177</v>
      </c>
      <c r="M58" s="513" t="s">
        <v>1566</v>
      </c>
      <c r="N58" s="513" t="s">
        <v>1407</v>
      </c>
      <c r="O58" s="518" t="s">
        <v>3178</v>
      </c>
      <c r="P58" s="152" t="s">
        <v>1881</v>
      </c>
      <c r="Q58" s="152" t="s">
        <v>3179</v>
      </c>
      <c r="R58" s="152" t="s">
        <v>3180</v>
      </c>
      <c r="S58" s="152" t="s">
        <v>3181</v>
      </c>
      <c r="T58" s="152" t="s">
        <v>786</v>
      </c>
    </row>
    <row r="59" spans="3:20">
      <c r="C59" s="152" t="s">
        <v>2821</v>
      </c>
      <c r="D59" s="474" t="s">
        <v>676</v>
      </c>
      <c r="E59" s="684" t="str">
        <f>+VLOOKUP(F59,Resumen_Base!$C$8:$G$287,5,0)</f>
        <v>Gun Rental</v>
      </c>
      <c r="F59" s="474" t="s">
        <v>303</v>
      </c>
      <c r="G59" s="210" t="s">
        <v>304</v>
      </c>
      <c r="H59" s="152" t="str">
        <f t="shared" si="0"/>
        <v>CAR4120</v>
      </c>
      <c r="I59" s="513">
        <v>-192400</v>
      </c>
      <c r="J59" s="513">
        <v>-130</v>
      </c>
      <c r="K59" s="513">
        <v>1480</v>
      </c>
      <c r="L59" s="513" t="s">
        <v>3182</v>
      </c>
      <c r="M59" s="513" t="s">
        <v>1566</v>
      </c>
      <c r="N59" s="513" t="s">
        <v>1407</v>
      </c>
      <c r="O59" s="518" t="s">
        <v>3183</v>
      </c>
      <c r="P59" s="152" t="s">
        <v>1881</v>
      </c>
      <c r="Q59" s="152" t="s">
        <v>3184</v>
      </c>
      <c r="R59" s="152" t="s">
        <v>3185</v>
      </c>
      <c r="S59" s="152" t="s">
        <v>3186</v>
      </c>
      <c r="T59" s="152" t="s">
        <v>786</v>
      </c>
    </row>
    <row r="60" spans="3:20">
      <c r="C60" s="152" t="s">
        <v>2821</v>
      </c>
      <c r="D60" s="474" t="s">
        <v>676</v>
      </c>
      <c r="E60" s="684" t="str">
        <f>+VLOOKUP(F60,Resumen_Base!$C$8:$G$287,5,0)</f>
        <v>Gun Rental</v>
      </c>
      <c r="F60" s="474" t="s">
        <v>303</v>
      </c>
      <c r="G60" s="210" t="s">
        <v>304</v>
      </c>
      <c r="H60" s="152" t="str">
        <f t="shared" si="0"/>
        <v>CAR4120</v>
      </c>
      <c r="I60" s="513">
        <v>-288600</v>
      </c>
      <c r="J60" s="513">
        <v>-195</v>
      </c>
      <c r="K60" s="513">
        <v>1480</v>
      </c>
      <c r="L60" s="513" t="s">
        <v>3182</v>
      </c>
      <c r="M60" s="513" t="s">
        <v>1566</v>
      </c>
      <c r="N60" s="513" t="s">
        <v>1407</v>
      </c>
      <c r="O60" s="518" t="s">
        <v>3191</v>
      </c>
      <c r="P60" s="152" t="s">
        <v>1881</v>
      </c>
      <c r="Q60" s="152" t="s">
        <v>3192</v>
      </c>
      <c r="R60" s="152" t="s">
        <v>3193</v>
      </c>
      <c r="S60" s="152" t="s">
        <v>3194</v>
      </c>
      <c r="T60" s="152" t="s">
        <v>786</v>
      </c>
    </row>
    <row r="61" spans="3:20">
      <c r="C61" s="152" t="s">
        <v>2821</v>
      </c>
      <c r="D61" s="474" t="s">
        <v>676</v>
      </c>
      <c r="E61" s="684" t="str">
        <f>+VLOOKUP(F61,Resumen_Base!$C$8:$G$287,5,0)</f>
        <v>Extras</v>
      </c>
      <c r="F61" s="474" t="s">
        <v>310</v>
      </c>
      <c r="G61" s="210" t="s">
        <v>311</v>
      </c>
      <c r="H61" s="152" t="str">
        <f t="shared" si="0"/>
        <v>CAR5104</v>
      </c>
      <c r="I61" s="513">
        <v>162800</v>
      </c>
      <c r="J61" s="513">
        <v>110</v>
      </c>
      <c r="K61" s="513">
        <v>1480</v>
      </c>
      <c r="L61" s="513" t="s">
        <v>2827</v>
      </c>
      <c r="M61" s="513" t="s">
        <v>780</v>
      </c>
      <c r="N61" s="513" t="s">
        <v>1407</v>
      </c>
      <c r="O61" s="518" t="s">
        <v>2828</v>
      </c>
      <c r="P61" s="152" t="s">
        <v>892</v>
      </c>
      <c r="Q61" s="152" t="s">
        <v>2829</v>
      </c>
      <c r="R61" s="152" t="s">
        <v>2911</v>
      </c>
      <c r="S61" s="152" t="s">
        <v>2831</v>
      </c>
      <c r="T61" s="152" t="s">
        <v>786</v>
      </c>
    </row>
    <row r="62" spans="3:20">
      <c r="C62" s="152" t="s">
        <v>2821</v>
      </c>
      <c r="D62" s="474" t="s">
        <v>676</v>
      </c>
      <c r="E62" s="684" t="str">
        <f>+VLOOKUP(F62,Resumen_Base!$C$8:$G$287,5,0)</f>
        <v>Extras</v>
      </c>
      <c r="F62" s="474" t="s">
        <v>310</v>
      </c>
      <c r="G62" s="210" t="s">
        <v>311</v>
      </c>
      <c r="H62" s="152" t="str">
        <f t="shared" si="0"/>
        <v>CAR5104</v>
      </c>
      <c r="I62" s="513">
        <v>325600</v>
      </c>
      <c r="J62" s="513">
        <v>220</v>
      </c>
      <c r="K62" s="513">
        <v>1480</v>
      </c>
      <c r="L62" s="513" t="s">
        <v>2827</v>
      </c>
      <c r="M62" s="513" t="s">
        <v>780</v>
      </c>
      <c r="N62" s="513" t="s">
        <v>1407</v>
      </c>
      <c r="O62" s="518" t="s">
        <v>2828</v>
      </c>
      <c r="P62" s="152" t="s">
        <v>892</v>
      </c>
      <c r="Q62" s="152" t="s">
        <v>2829</v>
      </c>
      <c r="R62" s="152" t="s">
        <v>2914</v>
      </c>
      <c r="S62" s="152" t="s">
        <v>2831</v>
      </c>
      <c r="T62" s="152" t="s">
        <v>786</v>
      </c>
    </row>
    <row r="63" spans="3:20">
      <c r="C63" s="152" t="s">
        <v>2821</v>
      </c>
      <c r="D63" s="474" t="s">
        <v>676</v>
      </c>
      <c r="E63" s="684" t="str">
        <f>+VLOOKUP(F63,Resumen_Base!$C$8:$G$287,5,0)</f>
        <v>Field:</v>
      </c>
      <c r="F63" s="474" t="s">
        <v>133</v>
      </c>
      <c r="G63" s="210" t="s">
        <v>312</v>
      </c>
      <c r="H63" s="152" t="str">
        <f t="shared" si="0"/>
        <v>CAR5207</v>
      </c>
      <c r="I63" s="513">
        <v>2812</v>
      </c>
      <c r="J63" s="513">
        <v>1.9</v>
      </c>
      <c r="K63" s="513">
        <v>1480</v>
      </c>
      <c r="L63" s="513" t="s">
        <v>2859</v>
      </c>
      <c r="M63" s="513" t="s">
        <v>780</v>
      </c>
      <c r="N63" s="513" t="s">
        <v>1407</v>
      </c>
      <c r="O63" s="518" t="s">
        <v>2921</v>
      </c>
      <c r="P63" s="152" t="s">
        <v>892</v>
      </c>
      <c r="Q63" s="152" t="s">
        <v>2922</v>
      </c>
      <c r="R63" s="152" t="s">
        <v>1515</v>
      </c>
      <c r="S63" s="152" t="s">
        <v>2924</v>
      </c>
      <c r="T63" s="152" t="s">
        <v>786</v>
      </c>
    </row>
    <row r="64" spans="3:20">
      <c r="C64" s="152" t="s">
        <v>2821</v>
      </c>
      <c r="D64" s="474" t="s">
        <v>676</v>
      </c>
      <c r="E64" s="684" t="str">
        <f>+VLOOKUP(F64,Resumen_Base!$C$8:$G$287,5,0)</f>
        <v>Field:</v>
      </c>
      <c r="F64" s="474" t="s">
        <v>133</v>
      </c>
      <c r="G64" s="210" t="s">
        <v>312</v>
      </c>
      <c r="H64" s="152" t="str">
        <f t="shared" si="0"/>
        <v>CAR5207</v>
      </c>
      <c r="I64" s="513">
        <v>2220000</v>
      </c>
      <c r="J64" s="513">
        <v>1500</v>
      </c>
      <c r="K64" s="513">
        <v>1480</v>
      </c>
      <c r="L64" s="513" t="s">
        <v>2859</v>
      </c>
      <c r="M64" s="513" t="s">
        <v>780</v>
      </c>
      <c r="N64" s="513" t="s">
        <v>1407</v>
      </c>
      <c r="O64" s="518" t="s">
        <v>2921</v>
      </c>
      <c r="P64" s="152" t="s">
        <v>892</v>
      </c>
      <c r="Q64" s="152" t="s">
        <v>2922</v>
      </c>
      <c r="R64" s="152" t="s">
        <v>3002</v>
      </c>
      <c r="S64" s="152" t="s">
        <v>2924</v>
      </c>
      <c r="T64" s="152" t="s">
        <v>786</v>
      </c>
    </row>
    <row r="65" spans="3:20" ht="25">
      <c r="C65" s="152" t="s">
        <v>2821</v>
      </c>
      <c r="D65" s="474" t="s">
        <v>670</v>
      </c>
      <c r="E65" s="684" t="str">
        <f>+VLOOKUP(F65,Resumen_Base!$C$8:$G$287,5,0)</f>
        <v>Communications - Phone, internet and satellite TV</v>
      </c>
      <c r="F65" s="474" t="s">
        <v>56</v>
      </c>
      <c r="G65" s="210" t="s">
        <v>315</v>
      </c>
      <c r="H65" s="152" t="str">
        <f t="shared" si="0"/>
        <v>SJ5209</v>
      </c>
      <c r="I65" s="513">
        <v>-1376.4</v>
      </c>
      <c r="J65" s="513">
        <v>-0.93</v>
      </c>
      <c r="K65" s="513">
        <v>1480</v>
      </c>
      <c r="L65" s="513" t="s">
        <v>2845</v>
      </c>
      <c r="M65" s="513" t="s">
        <v>780</v>
      </c>
      <c r="N65" s="513" t="s">
        <v>781</v>
      </c>
      <c r="O65" s="518" t="s">
        <v>3200</v>
      </c>
      <c r="P65" s="152" t="s">
        <v>892</v>
      </c>
      <c r="Q65" s="152" t="s">
        <v>3201</v>
      </c>
      <c r="R65" s="152" t="s">
        <v>3202</v>
      </c>
      <c r="S65" s="152" t="s">
        <v>3203</v>
      </c>
      <c r="T65" s="152" t="s">
        <v>786</v>
      </c>
    </row>
    <row r="66" spans="3:20" ht="25">
      <c r="C66" s="152" t="s">
        <v>2821</v>
      </c>
      <c r="D66" s="474" t="s">
        <v>670</v>
      </c>
      <c r="E66" s="684" t="str">
        <f>+VLOOKUP(F66,Resumen_Base!$C$8:$G$287,5,0)</f>
        <v>Communications - Phone, internet and satellite TV</v>
      </c>
      <c r="F66" s="474" t="s">
        <v>56</v>
      </c>
      <c r="G66" s="210" t="s">
        <v>315</v>
      </c>
      <c r="H66" s="152" t="str">
        <f t="shared" si="0"/>
        <v>SJ5209</v>
      </c>
      <c r="I66" s="513">
        <v>-1346.8</v>
      </c>
      <c r="J66" s="513">
        <v>-0.91</v>
      </c>
      <c r="K66" s="513">
        <v>1480</v>
      </c>
      <c r="L66" s="513" t="s">
        <v>3019</v>
      </c>
      <c r="M66" s="513" t="s">
        <v>780</v>
      </c>
      <c r="N66" s="513" t="s">
        <v>781</v>
      </c>
      <c r="O66" s="518" t="s">
        <v>3221</v>
      </c>
      <c r="P66" s="152" t="s">
        <v>892</v>
      </c>
      <c r="Q66" s="152" t="s">
        <v>3222</v>
      </c>
      <c r="R66" s="152" t="s">
        <v>3223</v>
      </c>
      <c r="S66" s="152" t="s">
        <v>3224</v>
      </c>
      <c r="T66" s="152" t="s">
        <v>786</v>
      </c>
    </row>
    <row r="67" spans="3:20" ht="25">
      <c r="C67" s="152" t="s">
        <v>2821</v>
      </c>
      <c r="D67" s="474" t="s">
        <v>675</v>
      </c>
      <c r="E67" s="684" t="str">
        <f>+VLOOKUP(F67,Resumen_Base!$C$8:$G$287,5,0)</f>
        <v>Communications - Phone, internet and satellite TV</v>
      </c>
      <c r="F67" s="474" t="s">
        <v>56</v>
      </c>
      <c r="G67" s="210" t="s">
        <v>315</v>
      </c>
      <c r="H67" s="152" t="str">
        <f t="shared" si="0"/>
        <v>UL5209</v>
      </c>
      <c r="I67" s="513">
        <v>-1346.8</v>
      </c>
      <c r="J67" s="513">
        <v>-0.91</v>
      </c>
      <c r="K67" s="513">
        <v>1480</v>
      </c>
      <c r="L67" s="513" t="s">
        <v>3019</v>
      </c>
      <c r="M67" s="513" t="s">
        <v>780</v>
      </c>
      <c r="N67" s="513" t="s">
        <v>1272</v>
      </c>
      <c r="O67" s="518" t="s">
        <v>3252</v>
      </c>
      <c r="P67" s="152" t="s">
        <v>892</v>
      </c>
      <c r="Q67" s="152" t="s">
        <v>3253</v>
      </c>
      <c r="R67" s="152" t="s">
        <v>3254</v>
      </c>
      <c r="S67" s="152" t="s">
        <v>3255</v>
      </c>
      <c r="T67" s="152" t="s">
        <v>786</v>
      </c>
    </row>
    <row r="68" spans="3:20" ht="25">
      <c r="C68" s="152" t="s">
        <v>2821</v>
      </c>
      <c r="D68" s="474" t="s">
        <v>675</v>
      </c>
      <c r="E68" s="684" t="str">
        <f>+VLOOKUP(F68,Resumen_Base!$C$8:$G$287,5,0)</f>
        <v>Communications - Phone, internet and satellite TV</v>
      </c>
      <c r="F68" s="474" t="s">
        <v>56</v>
      </c>
      <c r="G68" s="210" t="s">
        <v>315</v>
      </c>
      <c r="H68" s="152" t="str">
        <f t="shared" si="0"/>
        <v>UL5209</v>
      </c>
      <c r="I68" s="513">
        <v>92381.6</v>
      </c>
      <c r="J68" s="513">
        <v>62.42</v>
      </c>
      <c r="K68" s="513">
        <v>1480</v>
      </c>
      <c r="L68" s="513" t="s">
        <v>2845</v>
      </c>
      <c r="M68" s="513" t="s">
        <v>780</v>
      </c>
      <c r="N68" s="513" t="s">
        <v>1272</v>
      </c>
      <c r="O68" s="518" t="s">
        <v>3256</v>
      </c>
      <c r="P68" s="152" t="s">
        <v>892</v>
      </c>
      <c r="Q68" s="152" t="s">
        <v>3257</v>
      </c>
      <c r="R68" s="152" t="s">
        <v>3258</v>
      </c>
      <c r="S68" s="152" t="s">
        <v>3259</v>
      </c>
      <c r="T68" s="152" t="s">
        <v>786</v>
      </c>
    </row>
    <row r="69" spans="3:20">
      <c r="C69" s="152" t="s">
        <v>2821</v>
      </c>
      <c r="D69" s="474" t="s">
        <v>676</v>
      </c>
      <c r="E69" s="684" t="str">
        <f>+VLOOKUP(F69,Resumen_Base!$C$8:$G$287,5,0)</f>
        <v>Food &amp; Wine</v>
      </c>
      <c r="F69" s="474" t="s">
        <v>45</v>
      </c>
      <c r="G69" s="210" t="s">
        <v>44</v>
      </c>
      <c r="H69" s="152" t="str">
        <f t="shared" si="0"/>
        <v>CAR5213</v>
      </c>
      <c r="I69" s="513">
        <v>276005.2</v>
      </c>
      <c r="J69" s="513">
        <v>186.49</v>
      </c>
      <c r="K69" s="513">
        <v>1480</v>
      </c>
      <c r="L69" s="513" t="s">
        <v>2827</v>
      </c>
      <c r="M69" s="513" t="s">
        <v>780</v>
      </c>
      <c r="N69" s="513" t="s">
        <v>1407</v>
      </c>
      <c r="O69" s="518" t="s">
        <v>2828</v>
      </c>
      <c r="P69" s="152" t="s">
        <v>892</v>
      </c>
      <c r="Q69" s="152" t="s">
        <v>2829</v>
      </c>
      <c r="R69" s="152" t="s">
        <v>3003</v>
      </c>
      <c r="S69" s="152" t="s">
        <v>2831</v>
      </c>
      <c r="T69" s="152" t="s">
        <v>786</v>
      </c>
    </row>
    <row r="70" spans="3:20" ht="25">
      <c r="C70" s="152" t="s">
        <v>2821</v>
      </c>
      <c r="D70" s="474" t="s">
        <v>670</v>
      </c>
      <c r="E70" s="684" t="str">
        <f>+VLOOKUP(F70,Resumen_Base!$C$8:$G$287,5,0)</f>
        <v>Insurance for lodge and boats</v>
      </c>
      <c r="F70" s="474" t="s">
        <v>316</v>
      </c>
      <c r="G70" s="210" t="s">
        <v>317</v>
      </c>
      <c r="H70" s="152" t="str">
        <f t="shared" si="0"/>
        <v>SJ5215</v>
      </c>
      <c r="I70" s="513">
        <v>752876</v>
      </c>
      <c r="J70" s="513">
        <v>508.7</v>
      </c>
      <c r="K70" s="513">
        <v>1480</v>
      </c>
      <c r="L70" s="513" t="s">
        <v>2859</v>
      </c>
      <c r="M70" s="513" t="s">
        <v>780</v>
      </c>
      <c r="N70" s="513" t="s">
        <v>781</v>
      </c>
      <c r="O70" s="518" t="s">
        <v>3211</v>
      </c>
      <c r="P70" s="152" t="s">
        <v>892</v>
      </c>
      <c r="Q70" s="152" t="s">
        <v>3212</v>
      </c>
      <c r="R70" s="152" t="s">
        <v>3225</v>
      </c>
      <c r="S70" s="152" t="s">
        <v>3214</v>
      </c>
      <c r="T70" s="152" t="s">
        <v>786</v>
      </c>
    </row>
    <row r="71" spans="3:20" ht="25">
      <c r="C71" s="152" t="s">
        <v>2821</v>
      </c>
      <c r="D71" s="474" t="s">
        <v>676</v>
      </c>
      <c r="E71" s="684" t="str">
        <f>+VLOOKUP(F71,Resumen_Base!$C$8:$G$287,5,0)</f>
        <v>Insurance for lodge and boats</v>
      </c>
      <c r="F71" s="474" t="s">
        <v>316</v>
      </c>
      <c r="G71" s="210" t="s">
        <v>317</v>
      </c>
      <c r="H71" s="152" t="str">
        <f t="shared" si="0"/>
        <v>CAR5215</v>
      </c>
      <c r="I71" s="513">
        <v>189440</v>
      </c>
      <c r="J71" s="513">
        <v>128</v>
      </c>
      <c r="K71" s="513">
        <v>1480</v>
      </c>
      <c r="L71" s="513" t="s">
        <v>2827</v>
      </c>
      <c r="M71" s="513" t="s">
        <v>780</v>
      </c>
      <c r="N71" s="513" t="s">
        <v>1407</v>
      </c>
      <c r="O71" s="518" t="s">
        <v>2992</v>
      </c>
      <c r="P71" s="152" t="s">
        <v>892</v>
      </c>
      <c r="Q71" s="152" t="s">
        <v>2993</v>
      </c>
      <c r="R71" s="152" t="s">
        <v>2994</v>
      </c>
      <c r="S71" s="152" t="s">
        <v>2995</v>
      </c>
      <c r="T71" s="152" t="s">
        <v>786</v>
      </c>
    </row>
    <row r="72" spans="3:20" ht="25">
      <c r="C72" s="152" t="s">
        <v>2821</v>
      </c>
      <c r="D72" s="474" t="s">
        <v>676</v>
      </c>
      <c r="E72" s="684" t="str">
        <f>+VLOOKUP(F72,Resumen_Base!$C$8:$G$287,5,0)</f>
        <v>Insurance for lodge and boats</v>
      </c>
      <c r="F72" s="474" t="s">
        <v>316</v>
      </c>
      <c r="G72" s="210" t="s">
        <v>317</v>
      </c>
      <c r="H72" s="152" t="str">
        <f t="shared" si="0"/>
        <v>CAR5215</v>
      </c>
      <c r="I72" s="513">
        <v>98331.199999999997</v>
      </c>
      <c r="J72" s="513">
        <v>66.44</v>
      </c>
      <c r="K72" s="513">
        <v>1480</v>
      </c>
      <c r="L72" s="513" t="s">
        <v>2827</v>
      </c>
      <c r="M72" s="513" t="s">
        <v>780</v>
      </c>
      <c r="N72" s="513" t="s">
        <v>1407</v>
      </c>
      <c r="O72" s="518" t="s">
        <v>2992</v>
      </c>
      <c r="P72" s="152" t="s">
        <v>892</v>
      </c>
      <c r="Q72" s="152" t="s">
        <v>2993</v>
      </c>
      <c r="R72" s="152" t="s">
        <v>2996</v>
      </c>
      <c r="S72" s="152" t="s">
        <v>2995</v>
      </c>
      <c r="T72" s="152" t="s">
        <v>786</v>
      </c>
    </row>
    <row r="73" spans="3:20">
      <c r="C73" s="152" t="s">
        <v>2821</v>
      </c>
      <c r="D73" s="474" t="s">
        <v>676</v>
      </c>
      <c r="E73" s="684" t="str">
        <f>+VLOOKUP(F73,Resumen_Base!$C$8:$G$287,5,0)</f>
        <v>Miscellaneous &amp; Shipping</v>
      </c>
      <c r="F73" s="474" t="s">
        <v>58</v>
      </c>
      <c r="G73" s="210" t="s">
        <v>59</v>
      </c>
      <c r="H73" s="152" t="str">
        <f t="shared" si="0"/>
        <v>CAR5219</v>
      </c>
      <c r="I73" s="513">
        <v>379087.2</v>
      </c>
      <c r="J73" s="513">
        <v>256.14</v>
      </c>
      <c r="K73" s="513">
        <v>1480</v>
      </c>
      <c r="L73" s="513" t="s">
        <v>2827</v>
      </c>
      <c r="M73" s="513" t="s">
        <v>780</v>
      </c>
      <c r="N73" s="513" t="s">
        <v>1407</v>
      </c>
      <c r="O73" s="518" t="s">
        <v>2828</v>
      </c>
      <c r="P73" s="152" t="s">
        <v>892</v>
      </c>
      <c r="Q73" s="152" t="s">
        <v>2829</v>
      </c>
      <c r="R73" s="152" t="s">
        <v>2949</v>
      </c>
      <c r="S73" s="152" t="s">
        <v>2831</v>
      </c>
      <c r="T73" s="152" t="s">
        <v>786</v>
      </c>
    </row>
    <row r="74" spans="3:20">
      <c r="C74" s="152" t="s">
        <v>2821</v>
      </c>
      <c r="D74" s="474" t="s">
        <v>676</v>
      </c>
      <c r="E74" s="684" t="str">
        <f>+VLOOKUP(F74,Resumen_Base!$C$8:$G$287,5,0)</f>
        <v>Miscellaneous &amp; Shipping</v>
      </c>
      <c r="F74" s="474" t="s">
        <v>58</v>
      </c>
      <c r="G74" s="210" t="s">
        <v>59</v>
      </c>
      <c r="H74" s="152" t="str">
        <f t="shared" si="0"/>
        <v>CAR5219</v>
      </c>
      <c r="I74" s="513">
        <v>39057.199999999997</v>
      </c>
      <c r="J74" s="513">
        <v>26.39</v>
      </c>
      <c r="K74" s="513">
        <v>1480</v>
      </c>
      <c r="L74" s="513" t="s">
        <v>2827</v>
      </c>
      <c r="M74" s="513" t="s">
        <v>780</v>
      </c>
      <c r="N74" s="513" t="s">
        <v>1407</v>
      </c>
      <c r="O74" s="518" t="s">
        <v>2828</v>
      </c>
      <c r="P74" s="152" t="s">
        <v>892</v>
      </c>
      <c r="Q74" s="152" t="s">
        <v>2829</v>
      </c>
      <c r="R74" s="152" t="s">
        <v>2953</v>
      </c>
      <c r="S74" s="152" t="s">
        <v>2831</v>
      </c>
      <c r="T74" s="152" t="s">
        <v>786</v>
      </c>
    </row>
    <row r="75" spans="3:20">
      <c r="C75" s="152" t="s">
        <v>2821</v>
      </c>
      <c r="D75" s="474" t="s">
        <v>676</v>
      </c>
      <c r="E75" s="684" t="str">
        <f>+VLOOKUP(F75,Resumen_Base!$C$8:$G$287,5,0)</f>
        <v>Miscellaneous &amp; Shipping</v>
      </c>
      <c r="F75" s="474" t="s">
        <v>58</v>
      </c>
      <c r="G75" s="210" t="s">
        <v>59</v>
      </c>
      <c r="H75" s="152" t="str">
        <f t="shared" si="0"/>
        <v>CAR5219</v>
      </c>
      <c r="I75" s="513">
        <v>2812</v>
      </c>
      <c r="J75" s="513">
        <v>1.9</v>
      </c>
      <c r="K75" s="513">
        <v>1480</v>
      </c>
      <c r="L75" s="513" t="s">
        <v>2859</v>
      </c>
      <c r="M75" s="513" t="s">
        <v>780</v>
      </c>
      <c r="N75" s="513" t="s">
        <v>1407</v>
      </c>
      <c r="O75" s="518" t="s">
        <v>2921</v>
      </c>
      <c r="P75" s="152" t="s">
        <v>892</v>
      </c>
      <c r="Q75" s="152" t="s">
        <v>2922</v>
      </c>
      <c r="R75" s="152" t="s">
        <v>1515</v>
      </c>
      <c r="S75" s="152" t="s">
        <v>2924</v>
      </c>
      <c r="T75" s="152" t="s">
        <v>786</v>
      </c>
    </row>
    <row r="76" spans="3:20">
      <c r="C76" s="152" t="s">
        <v>2821</v>
      </c>
      <c r="D76" s="474" t="s">
        <v>676</v>
      </c>
      <c r="E76" s="684" t="str">
        <f>+VLOOKUP(F76,Resumen_Base!$C$8:$G$287,5,0)</f>
        <v>Miscellaneous &amp; Shipping</v>
      </c>
      <c r="F76" s="474" t="s">
        <v>58</v>
      </c>
      <c r="G76" s="210" t="s">
        <v>59</v>
      </c>
      <c r="H76" s="152" t="str">
        <f t="shared" ref="H76:H139" si="1">+D76&amp;F76</f>
        <v>CAR5219</v>
      </c>
      <c r="I76" s="513">
        <v>464705.2</v>
      </c>
      <c r="J76" s="513">
        <v>313.99</v>
      </c>
      <c r="K76" s="513">
        <v>1480</v>
      </c>
      <c r="L76" s="513" t="s">
        <v>2859</v>
      </c>
      <c r="M76" s="513" t="s">
        <v>780</v>
      </c>
      <c r="N76" s="513" t="s">
        <v>1407</v>
      </c>
      <c r="O76" s="518" t="s">
        <v>2921</v>
      </c>
      <c r="P76" s="152" t="s">
        <v>892</v>
      </c>
      <c r="Q76" s="152" t="s">
        <v>2922</v>
      </c>
      <c r="R76" s="152" t="s">
        <v>3009</v>
      </c>
      <c r="S76" s="152" t="s">
        <v>2924</v>
      </c>
      <c r="T76" s="152" t="s">
        <v>786</v>
      </c>
    </row>
    <row r="77" spans="3:20">
      <c r="C77" s="152" t="s">
        <v>2821</v>
      </c>
      <c r="D77" s="474" t="s">
        <v>676</v>
      </c>
      <c r="E77" s="684" t="str">
        <f>+VLOOKUP(F77,Resumen_Base!$C$8:$G$287,5,0)</f>
        <v>Miscellaneous &amp; Shipping</v>
      </c>
      <c r="F77" s="474" t="s">
        <v>58</v>
      </c>
      <c r="G77" s="210" t="s">
        <v>59</v>
      </c>
      <c r="H77" s="152" t="str">
        <f t="shared" si="1"/>
        <v>CAR5219</v>
      </c>
      <c r="I77" s="513">
        <v>43038.400000000001</v>
      </c>
      <c r="J77" s="513">
        <v>29.08</v>
      </c>
      <c r="K77" s="513">
        <v>1480</v>
      </c>
      <c r="L77" s="513" t="s">
        <v>2827</v>
      </c>
      <c r="M77" s="513" t="s">
        <v>780</v>
      </c>
      <c r="N77" s="513" t="s">
        <v>1407</v>
      </c>
      <c r="O77" s="518" t="s">
        <v>2828</v>
      </c>
      <c r="P77" s="152" t="s">
        <v>892</v>
      </c>
      <c r="Q77" s="152" t="s">
        <v>2829</v>
      </c>
      <c r="R77" s="152" t="s">
        <v>3010</v>
      </c>
      <c r="S77" s="152" t="s">
        <v>2831</v>
      </c>
      <c r="T77" s="152" t="s">
        <v>786</v>
      </c>
    </row>
    <row r="78" spans="3:20">
      <c r="C78" s="152" t="s">
        <v>2821</v>
      </c>
      <c r="D78" s="474" t="s">
        <v>676</v>
      </c>
      <c r="E78" s="684" t="str">
        <f>+VLOOKUP(F78,Resumen_Base!$C$8:$G$287,5,0)</f>
        <v>Miscellaneous &amp; Shipping</v>
      </c>
      <c r="F78" s="474" t="s">
        <v>58</v>
      </c>
      <c r="G78" s="210" t="s">
        <v>59</v>
      </c>
      <c r="H78" s="152" t="str">
        <f t="shared" si="1"/>
        <v>CAR5219</v>
      </c>
      <c r="I78" s="513">
        <v>43127.199999999997</v>
      </c>
      <c r="J78" s="513">
        <v>29.14</v>
      </c>
      <c r="K78" s="513">
        <v>1480</v>
      </c>
      <c r="L78" s="513" t="s">
        <v>2827</v>
      </c>
      <c r="M78" s="513" t="s">
        <v>780</v>
      </c>
      <c r="N78" s="513" t="s">
        <v>1407</v>
      </c>
      <c r="O78" s="518" t="s">
        <v>2828</v>
      </c>
      <c r="P78" s="152" t="s">
        <v>892</v>
      </c>
      <c r="Q78" s="152" t="s">
        <v>2829</v>
      </c>
      <c r="R78" s="152" t="s">
        <v>3011</v>
      </c>
      <c r="S78" s="152" t="s">
        <v>2831</v>
      </c>
      <c r="T78" s="152" t="s">
        <v>786</v>
      </c>
    </row>
    <row r="79" spans="3:20">
      <c r="C79" s="152" t="s">
        <v>2821</v>
      </c>
      <c r="D79" s="474" t="s">
        <v>676</v>
      </c>
      <c r="E79" s="684" t="str">
        <f>+VLOOKUP(F79,Resumen_Base!$C$8:$G$287,5,0)</f>
        <v>Miscellaneous &amp; Shipping</v>
      </c>
      <c r="F79" s="474" t="s">
        <v>58</v>
      </c>
      <c r="G79" s="210" t="s">
        <v>59</v>
      </c>
      <c r="H79" s="152" t="str">
        <f t="shared" si="1"/>
        <v>CAR5219</v>
      </c>
      <c r="I79" s="513">
        <v>1665754.8</v>
      </c>
      <c r="J79" s="513">
        <v>1125.51</v>
      </c>
      <c r="K79" s="513">
        <v>1480</v>
      </c>
      <c r="L79" s="513" t="s">
        <v>2859</v>
      </c>
      <c r="M79" s="513" t="s">
        <v>780</v>
      </c>
      <c r="N79" s="513" t="s">
        <v>1407</v>
      </c>
      <c r="O79" s="518" t="s">
        <v>2921</v>
      </c>
      <c r="P79" s="152" t="s">
        <v>892</v>
      </c>
      <c r="Q79" s="152" t="s">
        <v>2922</v>
      </c>
      <c r="R79" s="152" t="s">
        <v>3015</v>
      </c>
      <c r="S79" s="152" t="s">
        <v>2924</v>
      </c>
      <c r="T79" s="152" t="s">
        <v>786</v>
      </c>
    </row>
    <row r="80" spans="3:20">
      <c r="C80" s="152" t="s">
        <v>2821</v>
      </c>
      <c r="D80" s="474" t="s">
        <v>676</v>
      </c>
      <c r="E80" s="684" t="str">
        <f>+VLOOKUP(F80,Resumen_Base!$C$8:$G$287,5,0)</f>
        <v>Miscellaneous &amp; Shipping</v>
      </c>
      <c r="F80" s="474" t="s">
        <v>58</v>
      </c>
      <c r="G80" s="210" t="s">
        <v>59</v>
      </c>
      <c r="H80" s="152" t="str">
        <f t="shared" si="1"/>
        <v>CAR5219</v>
      </c>
      <c r="I80" s="513">
        <v>28312.400000000001</v>
      </c>
      <c r="J80" s="513">
        <v>19.13</v>
      </c>
      <c r="K80" s="513">
        <v>1480</v>
      </c>
      <c r="L80" s="513" t="s">
        <v>2859</v>
      </c>
      <c r="M80" s="513" t="s">
        <v>780</v>
      </c>
      <c r="N80" s="513" t="s">
        <v>1407</v>
      </c>
      <c r="O80" s="518" t="s">
        <v>2936</v>
      </c>
      <c r="P80" s="152" t="s">
        <v>892</v>
      </c>
      <c r="Q80" s="152" t="s">
        <v>2937</v>
      </c>
      <c r="R80" s="152" t="s">
        <v>3042</v>
      </c>
      <c r="S80" s="152" t="s">
        <v>2939</v>
      </c>
      <c r="T80" s="152" t="s">
        <v>786</v>
      </c>
    </row>
    <row r="81" spans="3:20">
      <c r="C81" s="152" t="s">
        <v>2821</v>
      </c>
      <c r="D81" s="474" t="s">
        <v>676</v>
      </c>
      <c r="E81" s="684" t="str">
        <f>+VLOOKUP(F81,Resumen_Base!$C$8:$G$287,5,0)</f>
        <v>Miscellaneous &amp; Shipping</v>
      </c>
      <c r="F81" s="474" t="s">
        <v>58</v>
      </c>
      <c r="G81" s="210" t="s">
        <v>59</v>
      </c>
      <c r="H81" s="152" t="str">
        <f t="shared" si="1"/>
        <v>CAR5219</v>
      </c>
      <c r="I81" s="513">
        <v>913041.6</v>
      </c>
      <c r="J81" s="513">
        <v>616.91999999999996</v>
      </c>
      <c r="K81" s="513">
        <v>1480</v>
      </c>
      <c r="L81" s="513" t="s">
        <v>2827</v>
      </c>
      <c r="M81" s="513" t="s">
        <v>780</v>
      </c>
      <c r="N81" s="513" t="s">
        <v>1407</v>
      </c>
      <c r="O81" s="518" t="s">
        <v>2828</v>
      </c>
      <c r="P81" s="152" t="s">
        <v>892</v>
      </c>
      <c r="Q81" s="152" t="s">
        <v>2829</v>
      </c>
      <c r="R81" s="152" t="s">
        <v>3063</v>
      </c>
      <c r="S81" s="152" t="s">
        <v>2831</v>
      </c>
      <c r="T81" s="152" t="s">
        <v>786</v>
      </c>
    </row>
    <row r="82" spans="3:20">
      <c r="C82" s="152" t="s">
        <v>2821</v>
      </c>
      <c r="D82" s="474" t="s">
        <v>676</v>
      </c>
      <c r="E82" s="684" t="str">
        <f>+VLOOKUP(F82,Resumen_Base!$C$8:$G$287,5,0)</f>
        <v>Miscellaneous &amp; Shipping</v>
      </c>
      <c r="F82" s="474" t="s">
        <v>58</v>
      </c>
      <c r="G82" s="210" t="s">
        <v>59</v>
      </c>
      <c r="H82" s="152" t="str">
        <f t="shared" si="1"/>
        <v>CAR5219</v>
      </c>
      <c r="I82" s="513">
        <v>558000</v>
      </c>
      <c r="J82" s="513">
        <v>377.02702702702697</v>
      </c>
      <c r="K82" s="513">
        <v>1480</v>
      </c>
      <c r="L82" s="513" t="s">
        <v>2859</v>
      </c>
      <c r="M82" s="513" t="s">
        <v>780</v>
      </c>
      <c r="N82" s="513" t="s">
        <v>1407</v>
      </c>
      <c r="O82" s="518" t="s">
        <v>3118</v>
      </c>
      <c r="P82" s="152" t="s">
        <v>892</v>
      </c>
      <c r="Q82" s="152" t="s">
        <v>3119</v>
      </c>
      <c r="R82" s="152" t="s">
        <v>3120</v>
      </c>
      <c r="S82" s="152" t="s">
        <v>3121</v>
      </c>
      <c r="T82" s="152" t="s">
        <v>786</v>
      </c>
    </row>
    <row r="83" spans="3:20">
      <c r="C83" s="152" t="s">
        <v>2821</v>
      </c>
      <c r="D83" s="474" t="s">
        <v>676</v>
      </c>
      <c r="E83" s="684" t="str">
        <f>+VLOOKUP(F83,Resumen_Base!$C$8:$G$287,5,0)</f>
        <v>Miscellaneous &amp; Shipping</v>
      </c>
      <c r="F83" s="474" t="s">
        <v>58</v>
      </c>
      <c r="G83" s="210" t="s">
        <v>59</v>
      </c>
      <c r="H83" s="152" t="str">
        <f t="shared" si="1"/>
        <v>CAR5219</v>
      </c>
      <c r="I83" s="513">
        <v>558000</v>
      </c>
      <c r="J83" s="513">
        <v>377.02702702702697</v>
      </c>
      <c r="K83" s="513">
        <v>1480</v>
      </c>
      <c r="L83" s="513" t="s">
        <v>2845</v>
      </c>
      <c r="M83" s="513" t="s">
        <v>780</v>
      </c>
      <c r="N83" s="513" t="s">
        <v>1407</v>
      </c>
      <c r="O83" s="518" t="s">
        <v>3122</v>
      </c>
      <c r="P83" s="152" t="s">
        <v>892</v>
      </c>
      <c r="Q83" s="152" t="s">
        <v>3123</v>
      </c>
      <c r="R83" s="152" t="s">
        <v>3124</v>
      </c>
      <c r="S83" s="152" t="s">
        <v>3125</v>
      </c>
      <c r="T83" s="152" t="s">
        <v>786</v>
      </c>
    </row>
    <row r="84" spans="3:20">
      <c r="C84" s="152" t="s">
        <v>2821</v>
      </c>
      <c r="D84" s="474" t="s">
        <v>676</v>
      </c>
      <c r="E84" s="684" t="str">
        <f>+VLOOKUP(F84,Resumen_Base!$C$8:$G$287,5,0)</f>
        <v>Miscellaneous &amp; Shipping</v>
      </c>
      <c r="F84" s="474" t="s">
        <v>58</v>
      </c>
      <c r="G84" s="210" t="s">
        <v>59</v>
      </c>
      <c r="H84" s="152" t="str">
        <f t="shared" si="1"/>
        <v>CAR5219</v>
      </c>
      <c r="I84" s="513">
        <v>91340</v>
      </c>
      <c r="J84" s="513">
        <v>61.716216216216203</v>
      </c>
      <c r="K84" s="513">
        <v>1480</v>
      </c>
      <c r="L84" s="513" t="s">
        <v>2822</v>
      </c>
      <c r="M84" s="513" t="s">
        <v>780</v>
      </c>
      <c r="N84" s="513" t="s">
        <v>1407</v>
      </c>
      <c r="O84" s="518" t="s">
        <v>3131</v>
      </c>
      <c r="P84" s="152" t="s">
        <v>892</v>
      </c>
      <c r="Q84" s="152" t="s">
        <v>3132</v>
      </c>
      <c r="R84" s="152" t="s">
        <v>3133</v>
      </c>
      <c r="S84" s="152" t="s">
        <v>3134</v>
      </c>
      <c r="T84" s="152" t="s">
        <v>786</v>
      </c>
    </row>
    <row r="85" spans="3:20" ht="25">
      <c r="C85" s="152" t="s">
        <v>2821</v>
      </c>
      <c r="D85" s="474" t="s">
        <v>676</v>
      </c>
      <c r="E85" s="684" t="str">
        <f>+VLOOKUP(F85,Resumen_Base!$C$8:$G$287,5,0)</f>
        <v>Work uniforms for personnel (employees)</v>
      </c>
      <c r="F85" s="474" t="s">
        <v>60</v>
      </c>
      <c r="G85" s="210" t="s">
        <v>61</v>
      </c>
      <c r="H85" s="152" t="str">
        <f t="shared" si="1"/>
        <v>CAR5220</v>
      </c>
      <c r="I85" s="513">
        <v>161660.4</v>
      </c>
      <c r="J85" s="513">
        <v>109.23</v>
      </c>
      <c r="K85" s="513">
        <v>1480</v>
      </c>
      <c r="L85" s="513" t="s">
        <v>2859</v>
      </c>
      <c r="M85" s="513" t="s">
        <v>780</v>
      </c>
      <c r="N85" s="513" t="s">
        <v>1407</v>
      </c>
      <c r="O85" s="518" t="s">
        <v>2907</v>
      </c>
      <c r="P85" s="152" t="s">
        <v>892</v>
      </c>
      <c r="Q85" s="152" t="s">
        <v>2908</v>
      </c>
      <c r="R85" s="152" t="s">
        <v>2913</v>
      </c>
      <c r="S85" s="152" t="s">
        <v>2910</v>
      </c>
      <c r="T85" s="152" t="s">
        <v>786</v>
      </c>
    </row>
    <row r="86" spans="3:20" ht="25">
      <c r="C86" s="152" t="s">
        <v>2821</v>
      </c>
      <c r="D86" s="474" t="s">
        <v>676</v>
      </c>
      <c r="E86" s="684" t="str">
        <f>+VLOOKUP(F86,Resumen_Base!$C$8:$G$287,5,0)</f>
        <v>Work uniforms for personnel (employees)</v>
      </c>
      <c r="F86" s="474" t="s">
        <v>60</v>
      </c>
      <c r="G86" s="210" t="s">
        <v>61</v>
      </c>
      <c r="H86" s="152" t="str">
        <f t="shared" si="1"/>
        <v>CAR5220</v>
      </c>
      <c r="I86" s="513">
        <v>451775.1</v>
      </c>
      <c r="J86" s="513">
        <v>307.33</v>
      </c>
      <c r="K86" s="513">
        <v>1470</v>
      </c>
      <c r="L86" s="513" t="s">
        <v>2827</v>
      </c>
      <c r="M86" s="513" t="s">
        <v>780</v>
      </c>
      <c r="N86" s="513" t="s">
        <v>1407</v>
      </c>
      <c r="O86" s="518" t="s">
        <v>2828</v>
      </c>
      <c r="P86" s="152" t="s">
        <v>892</v>
      </c>
      <c r="Q86" s="152" t="s">
        <v>2829</v>
      </c>
      <c r="R86" s="152" t="s">
        <v>2915</v>
      </c>
      <c r="S86" s="152" t="s">
        <v>2831</v>
      </c>
      <c r="T86" s="152" t="s">
        <v>786</v>
      </c>
    </row>
    <row r="87" spans="3:20" ht="25">
      <c r="C87" s="152" t="s">
        <v>2821</v>
      </c>
      <c r="D87" s="474" t="s">
        <v>676</v>
      </c>
      <c r="E87" s="684" t="str">
        <f>+VLOOKUP(F87,Resumen_Base!$C$8:$G$287,5,0)</f>
        <v>Work uniforms for personnel (employees)</v>
      </c>
      <c r="F87" s="474" t="s">
        <v>60</v>
      </c>
      <c r="G87" s="210" t="s">
        <v>61</v>
      </c>
      <c r="H87" s="152" t="str">
        <f t="shared" si="1"/>
        <v>CAR5220</v>
      </c>
      <c r="I87" s="513">
        <v>911680</v>
      </c>
      <c r="J87" s="513">
        <v>616</v>
      </c>
      <c r="K87" s="513">
        <v>1480</v>
      </c>
      <c r="L87" s="513" t="s">
        <v>2859</v>
      </c>
      <c r="M87" s="513" t="s">
        <v>780</v>
      </c>
      <c r="N87" s="513" t="s">
        <v>1407</v>
      </c>
      <c r="O87" s="518" t="s">
        <v>2921</v>
      </c>
      <c r="P87" s="152" t="s">
        <v>892</v>
      </c>
      <c r="Q87" s="152" t="s">
        <v>2922</v>
      </c>
      <c r="R87" s="152" t="s">
        <v>2968</v>
      </c>
      <c r="S87" s="152" t="s">
        <v>2924</v>
      </c>
      <c r="T87" s="152" t="s">
        <v>786</v>
      </c>
    </row>
    <row r="88" spans="3:20" ht="25">
      <c r="C88" s="152" t="s">
        <v>2821</v>
      </c>
      <c r="D88" s="474" t="s">
        <v>676</v>
      </c>
      <c r="E88" s="684" t="str">
        <f>+VLOOKUP(F88,Resumen_Base!$C$8:$G$287,5,0)</f>
        <v>Work uniforms for personnel (employees)</v>
      </c>
      <c r="F88" s="474" t="s">
        <v>60</v>
      </c>
      <c r="G88" s="210" t="s">
        <v>61</v>
      </c>
      <c r="H88" s="152" t="str">
        <f t="shared" si="1"/>
        <v>CAR5220</v>
      </c>
      <c r="I88" s="513">
        <v>499056</v>
      </c>
      <c r="J88" s="513">
        <v>337.2</v>
      </c>
      <c r="K88" s="513">
        <v>1480</v>
      </c>
      <c r="L88" s="513" t="s">
        <v>2859</v>
      </c>
      <c r="M88" s="513" t="s">
        <v>780</v>
      </c>
      <c r="N88" s="513" t="s">
        <v>1407</v>
      </c>
      <c r="O88" s="518" t="s">
        <v>2936</v>
      </c>
      <c r="P88" s="152" t="s">
        <v>892</v>
      </c>
      <c r="Q88" s="152" t="s">
        <v>2937</v>
      </c>
      <c r="R88" s="152" t="s">
        <v>2972</v>
      </c>
      <c r="S88" s="152" t="s">
        <v>2939</v>
      </c>
      <c r="T88" s="152" t="s">
        <v>786</v>
      </c>
    </row>
    <row r="89" spans="3:20" ht="25">
      <c r="C89" s="152" t="s">
        <v>2821</v>
      </c>
      <c r="D89" s="474" t="s">
        <v>676</v>
      </c>
      <c r="E89" s="684" t="str">
        <f>+VLOOKUP(F89,Resumen_Base!$C$8:$G$287,5,0)</f>
        <v>Work uniforms for personnel (employees)</v>
      </c>
      <c r="F89" s="474" t="s">
        <v>60</v>
      </c>
      <c r="G89" s="210" t="s">
        <v>61</v>
      </c>
      <c r="H89" s="152" t="str">
        <f t="shared" si="1"/>
        <v>CAR5220</v>
      </c>
      <c r="I89" s="513">
        <v>289132.79999999999</v>
      </c>
      <c r="J89" s="513">
        <v>195.36</v>
      </c>
      <c r="K89" s="513">
        <v>1480</v>
      </c>
      <c r="L89" s="513" t="s">
        <v>2859</v>
      </c>
      <c r="M89" s="513" t="s">
        <v>780</v>
      </c>
      <c r="N89" s="513" t="s">
        <v>1407</v>
      </c>
      <c r="O89" s="518" t="s">
        <v>2936</v>
      </c>
      <c r="P89" s="152" t="s">
        <v>892</v>
      </c>
      <c r="Q89" s="152" t="s">
        <v>2937</v>
      </c>
      <c r="R89" s="152" t="s">
        <v>2974</v>
      </c>
      <c r="S89" s="152" t="s">
        <v>2939</v>
      </c>
      <c r="T89" s="152" t="s">
        <v>786</v>
      </c>
    </row>
    <row r="90" spans="3:20" ht="25">
      <c r="C90" s="152" t="s">
        <v>2821</v>
      </c>
      <c r="D90" s="474" t="s">
        <v>676</v>
      </c>
      <c r="E90" s="684" t="str">
        <f>+VLOOKUP(F90,Resumen_Base!$C$8:$G$287,5,0)</f>
        <v>Work uniforms for personnel (employees)</v>
      </c>
      <c r="F90" s="474" t="s">
        <v>60</v>
      </c>
      <c r="G90" s="210" t="s">
        <v>61</v>
      </c>
      <c r="H90" s="152" t="str">
        <f t="shared" si="1"/>
        <v>CAR5220</v>
      </c>
      <c r="I90" s="513">
        <v>2812</v>
      </c>
      <c r="J90" s="513">
        <v>1.9</v>
      </c>
      <c r="K90" s="513">
        <v>1480</v>
      </c>
      <c r="L90" s="513" t="s">
        <v>2827</v>
      </c>
      <c r="M90" s="513" t="s">
        <v>780</v>
      </c>
      <c r="N90" s="513" t="s">
        <v>1407</v>
      </c>
      <c r="O90" s="518" t="s">
        <v>2932</v>
      </c>
      <c r="P90" s="152" t="s">
        <v>892</v>
      </c>
      <c r="Q90" s="152" t="s">
        <v>2933</v>
      </c>
      <c r="R90" s="152" t="s">
        <v>1515</v>
      </c>
      <c r="S90" s="152" t="s">
        <v>2935</v>
      </c>
      <c r="T90" s="152" t="s">
        <v>786</v>
      </c>
    </row>
    <row r="91" spans="3:20" ht="25">
      <c r="C91" s="152" t="s">
        <v>2821</v>
      </c>
      <c r="D91" s="474" t="s">
        <v>676</v>
      </c>
      <c r="E91" s="684" t="str">
        <f>+VLOOKUP(F91,Resumen_Base!$C$8:$G$287,5,0)</f>
        <v>Work uniforms for personnel (employees)</v>
      </c>
      <c r="F91" s="474" t="s">
        <v>60</v>
      </c>
      <c r="G91" s="210" t="s">
        <v>61</v>
      </c>
      <c r="H91" s="152" t="str">
        <f t="shared" si="1"/>
        <v>CAR5220</v>
      </c>
      <c r="I91" s="513">
        <v>2871.2</v>
      </c>
      <c r="J91" s="513">
        <v>1.94</v>
      </c>
      <c r="K91" s="513">
        <v>1480</v>
      </c>
      <c r="L91" s="513" t="s">
        <v>2859</v>
      </c>
      <c r="M91" s="513" t="s">
        <v>780</v>
      </c>
      <c r="N91" s="513" t="s">
        <v>1407</v>
      </c>
      <c r="O91" s="518" t="s">
        <v>2936</v>
      </c>
      <c r="P91" s="152" t="s">
        <v>892</v>
      </c>
      <c r="Q91" s="152" t="s">
        <v>2937</v>
      </c>
      <c r="R91" s="152" t="s">
        <v>1515</v>
      </c>
      <c r="S91" s="152" t="s">
        <v>2939</v>
      </c>
      <c r="T91" s="152" t="s">
        <v>786</v>
      </c>
    </row>
    <row r="92" spans="3:20" ht="25">
      <c r="C92" s="152" t="s">
        <v>2821</v>
      </c>
      <c r="D92" s="474" t="s">
        <v>676</v>
      </c>
      <c r="E92" s="684" t="str">
        <f>+VLOOKUP(F92,Resumen_Base!$C$8:$G$287,5,0)</f>
        <v>Work uniforms for personnel (employees)</v>
      </c>
      <c r="F92" s="474" t="s">
        <v>60</v>
      </c>
      <c r="G92" s="210" t="s">
        <v>61</v>
      </c>
      <c r="H92" s="152" t="str">
        <f t="shared" si="1"/>
        <v>CAR5220</v>
      </c>
      <c r="I92" s="513">
        <v>1776</v>
      </c>
      <c r="J92" s="513">
        <v>1.2</v>
      </c>
      <c r="K92" s="513">
        <v>1480</v>
      </c>
      <c r="L92" s="513" t="s">
        <v>2859</v>
      </c>
      <c r="M92" s="513" t="s">
        <v>780</v>
      </c>
      <c r="N92" s="513" t="s">
        <v>1407</v>
      </c>
      <c r="O92" s="518" t="s">
        <v>2921</v>
      </c>
      <c r="P92" s="152" t="s">
        <v>892</v>
      </c>
      <c r="Q92" s="152" t="s">
        <v>2922</v>
      </c>
      <c r="R92" s="152" t="s">
        <v>1515</v>
      </c>
      <c r="S92" s="152" t="s">
        <v>2924</v>
      </c>
      <c r="T92" s="152" t="s">
        <v>786</v>
      </c>
    </row>
    <row r="93" spans="3:20" ht="25">
      <c r="C93" s="152" t="s">
        <v>2821</v>
      </c>
      <c r="D93" s="474" t="s">
        <v>676</v>
      </c>
      <c r="E93" s="684" t="str">
        <f>+VLOOKUP(F93,Resumen_Base!$C$8:$G$287,5,0)</f>
        <v>Work uniforms for personnel (employees)</v>
      </c>
      <c r="F93" s="474" t="s">
        <v>60</v>
      </c>
      <c r="G93" s="210" t="s">
        <v>61</v>
      </c>
      <c r="H93" s="152" t="str">
        <f t="shared" si="1"/>
        <v>CAR5220</v>
      </c>
      <c r="I93" s="513">
        <v>1761.2</v>
      </c>
      <c r="J93" s="513">
        <v>1.19</v>
      </c>
      <c r="K93" s="513">
        <v>1480</v>
      </c>
      <c r="L93" s="513" t="s">
        <v>2827</v>
      </c>
      <c r="M93" s="513" t="s">
        <v>780</v>
      </c>
      <c r="N93" s="513" t="s">
        <v>1407</v>
      </c>
      <c r="O93" s="518" t="s">
        <v>2932</v>
      </c>
      <c r="P93" s="152" t="s">
        <v>892</v>
      </c>
      <c r="Q93" s="152" t="s">
        <v>2933</v>
      </c>
      <c r="R93" s="152" t="s">
        <v>2998</v>
      </c>
      <c r="S93" s="152" t="s">
        <v>2935</v>
      </c>
      <c r="T93" s="152" t="s">
        <v>786</v>
      </c>
    </row>
    <row r="94" spans="3:20" ht="25">
      <c r="C94" s="152" t="s">
        <v>2821</v>
      </c>
      <c r="D94" s="474" t="s">
        <v>676</v>
      </c>
      <c r="E94" s="684" t="str">
        <f>+VLOOKUP(F94,Resumen_Base!$C$8:$G$287,5,0)</f>
        <v>Work uniforms for personnel (employees)</v>
      </c>
      <c r="F94" s="474" t="s">
        <v>60</v>
      </c>
      <c r="G94" s="210" t="s">
        <v>61</v>
      </c>
      <c r="H94" s="152" t="str">
        <f t="shared" si="1"/>
        <v>CAR5220</v>
      </c>
      <c r="I94" s="513">
        <v>928700</v>
      </c>
      <c r="J94" s="513">
        <v>627.5</v>
      </c>
      <c r="K94" s="513">
        <v>1480</v>
      </c>
      <c r="L94" s="513" t="s">
        <v>2859</v>
      </c>
      <c r="M94" s="513" t="s">
        <v>780</v>
      </c>
      <c r="N94" s="513" t="s">
        <v>1407</v>
      </c>
      <c r="O94" s="518" t="s">
        <v>2921</v>
      </c>
      <c r="P94" s="152" t="s">
        <v>892</v>
      </c>
      <c r="Q94" s="152" t="s">
        <v>2922</v>
      </c>
      <c r="R94" s="152" t="s">
        <v>3007</v>
      </c>
      <c r="S94" s="152" t="s">
        <v>2924</v>
      </c>
      <c r="T94" s="152" t="s">
        <v>786</v>
      </c>
    </row>
    <row r="95" spans="3:20" ht="25">
      <c r="C95" s="152" t="s">
        <v>2821</v>
      </c>
      <c r="D95" s="474" t="s">
        <v>676</v>
      </c>
      <c r="E95" s="684" t="str">
        <f>+VLOOKUP(F95,Resumen_Base!$C$8:$G$287,5,0)</f>
        <v>Work uniforms for personnel (employees)</v>
      </c>
      <c r="F95" s="474" t="s">
        <v>60</v>
      </c>
      <c r="G95" s="210" t="s">
        <v>61</v>
      </c>
      <c r="H95" s="152" t="str">
        <f t="shared" si="1"/>
        <v>CAR5220</v>
      </c>
      <c r="I95" s="513">
        <v>984288.8</v>
      </c>
      <c r="J95" s="513">
        <v>665.06</v>
      </c>
      <c r="K95" s="513">
        <v>1480</v>
      </c>
      <c r="L95" s="513" t="s">
        <v>2827</v>
      </c>
      <c r="M95" s="513" t="s">
        <v>780</v>
      </c>
      <c r="N95" s="513" t="s">
        <v>1407</v>
      </c>
      <c r="O95" s="518" t="s">
        <v>2932</v>
      </c>
      <c r="P95" s="152" t="s">
        <v>892</v>
      </c>
      <c r="Q95" s="152" t="s">
        <v>2933</v>
      </c>
      <c r="R95" s="152" t="s">
        <v>3041</v>
      </c>
      <c r="S95" s="152" t="s">
        <v>2935</v>
      </c>
      <c r="T95" s="152" t="s">
        <v>786</v>
      </c>
    </row>
    <row r="96" spans="3:20" ht="25">
      <c r="C96" s="152" t="s">
        <v>2821</v>
      </c>
      <c r="D96" s="474" t="s">
        <v>676</v>
      </c>
      <c r="E96" s="684" t="str">
        <f>+VLOOKUP(F96,Resumen_Base!$C$8:$G$287,5,0)</f>
        <v>Work uniforms for personnel (employees)</v>
      </c>
      <c r="F96" s="474" t="s">
        <v>60</v>
      </c>
      <c r="G96" s="210" t="s">
        <v>61</v>
      </c>
      <c r="H96" s="152" t="str">
        <f t="shared" si="1"/>
        <v>CAR5220</v>
      </c>
      <c r="I96" s="513">
        <v>501705.2</v>
      </c>
      <c r="J96" s="513">
        <v>338.99</v>
      </c>
      <c r="K96" s="513">
        <v>1480</v>
      </c>
      <c r="L96" s="513" t="s">
        <v>2827</v>
      </c>
      <c r="M96" s="513" t="s">
        <v>780</v>
      </c>
      <c r="N96" s="513" t="s">
        <v>1407</v>
      </c>
      <c r="O96" s="518" t="s">
        <v>2932</v>
      </c>
      <c r="P96" s="152" t="s">
        <v>892</v>
      </c>
      <c r="Q96" s="152" t="s">
        <v>2933</v>
      </c>
      <c r="R96" s="152" t="s">
        <v>3061</v>
      </c>
      <c r="S96" s="152" t="s">
        <v>2935</v>
      </c>
      <c r="T96" s="152" t="s">
        <v>786</v>
      </c>
    </row>
    <row r="97" spans="3:20" ht="25">
      <c r="C97" s="152" t="s">
        <v>2821</v>
      </c>
      <c r="D97" s="474" t="s">
        <v>676</v>
      </c>
      <c r="E97" s="684" t="str">
        <f>+VLOOKUP(F97,Resumen_Base!$C$8:$G$287,5,0)</f>
        <v>Work uniforms for personnel (employees)</v>
      </c>
      <c r="F97" s="474" t="s">
        <v>60</v>
      </c>
      <c r="G97" s="210" t="s">
        <v>61</v>
      </c>
      <c r="H97" s="152" t="str">
        <f t="shared" si="1"/>
        <v>CAR5220</v>
      </c>
      <c r="I97" s="513">
        <v>1193670</v>
      </c>
      <c r="J97" s="513">
        <v>806.53378378378397</v>
      </c>
      <c r="K97" s="513">
        <v>1480</v>
      </c>
      <c r="L97" s="513" t="s">
        <v>2822</v>
      </c>
      <c r="M97" s="513" t="s">
        <v>780</v>
      </c>
      <c r="N97" s="513" t="s">
        <v>1407</v>
      </c>
      <c r="O97" s="518" t="s">
        <v>3131</v>
      </c>
      <c r="P97" s="152" t="s">
        <v>892</v>
      </c>
      <c r="Q97" s="152" t="s">
        <v>3132</v>
      </c>
      <c r="R97" s="152" t="s">
        <v>3137</v>
      </c>
      <c r="S97" s="152" t="s">
        <v>3134</v>
      </c>
      <c r="T97" s="152" t="s">
        <v>786</v>
      </c>
    </row>
    <row r="98" spans="3:20" ht="25">
      <c r="C98" s="152" t="s">
        <v>2821</v>
      </c>
      <c r="D98" s="474" t="s">
        <v>676</v>
      </c>
      <c r="E98" s="684" t="str">
        <f>+VLOOKUP(F98,Resumen_Base!$C$8:$G$287,5,0)</f>
        <v>Licenses / Permits (Fishing and Shooting)</v>
      </c>
      <c r="F98" s="474" t="s">
        <v>62</v>
      </c>
      <c r="G98" s="210" t="s">
        <v>63</v>
      </c>
      <c r="H98" s="152" t="str">
        <f t="shared" si="1"/>
        <v>CAR5221</v>
      </c>
      <c r="I98" s="513">
        <v>842608.4</v>
      </c>
      <c r="J98" s="513">
        <v>569.33000000000004</v>
      </c>
      <c r="K98" s="513">
        <v>1480</v>
      </c>
      <c r="L98" s="513" t="s">
        <v>2827</v>
      </c>
      <c r="M98" s="513" t="s">
        <v>780</v>
      </c>
      <c r="N98" s="513" t="s">
        <v>1407</v>
      </c>
      <c r="O98" s="518" t="s">
        <v>2828</v>
      </c>
      <c r="P98" s="152" t="s">
        <v>892</v>
      </c>
      <c r="Q98" s="152" t="s">
        <v>2829</v>
      </c>
      <c r="R98" s="152" t="s">
        <v>3047</v>
      </c>
      <c r="S98" s="152" t="s">
        <v>2831</v>
      </c>
      <c r="T98" s="152" t="s">
        <v>786</v>
      </c>
    </row>
    <row r="99" spans="3:20" ht="25">
      <c r="C99" s="152" t="s">
        <v>2821</v>
      </c>
      <c r="D99" s="474" t="s">
        <v>676</v>
      </c>
      <c r="E99" s="684" t="str">
        <f>+VLOOKUP(F99,Resumen_Base!$C$8:$G$287,5,0)</f>
        <v>Licenses / Permits (Fishing and Shooting)</v>
      </c>
      <c r="F99" s="474" t="s">
        <v>62</v>
      </c>
      <c r="G99" s="210" t="s">
        <v>63</v>
      </c>
      <c r="H99" s="152" t="str">
        <f t="shared" si="1"/>
        <v>CAR5221</v>
      </c>
      <c r="I99" s="513">
        <v>880156</v>
      </c>
      <c r="J99" s="513">
        <v>594.70000000000005</v>
      </c>
      <c r="K99" s="513">
        <v>1480</v>
      </c>
      <c r="L99" s="513" t="s">
        <v>2827</v>
      </c>
      <c r="M99" s="513" t="s">
        <v>780</v>
      </c>
      <c r="N99" s="513" t="s">
        <v>1407</v>
      </c>
      <c r="O99" s="518" t="s">
        <v>2828</v>
      </c>
      <c r="P99" s="152" t="s">
        <v>892</v>
      </c>
      <c r="Q99" s="152" t="s">
        <v>2829</v>
      </c>
      <c r="R99" s="152" t="s">
        <v>3048</v>
      </c>
      <c r="S99" s="152" t="s">
        <v>2831</v>
      </c>
      <c r="T99" s="152" t="s">
        <v>786</v>
      </c>
    </row>
    <row r="100" spans="3:20" ht="25">
      <c r="C100" s="152" t="s">
        <v>2821</v>
      </c>
      <c r="D100" s="474" t="s">
        <v>676</v>
      </c>
      <c r="E100" s="684" t="str">
        <f>+VLOOKUP(F100,Resumen_Base!$C$8:$G$287,5,0)</f>
        <v>Licenses / Permits (Fishing and Shooting)</v>
      </c>
      <c r="F100" s="474" t="s">
        <v>62</v>
      </c>
      <c r="G100" s="210" t="s">
        <v>63</v>
      </c>
      <c r="H100" s="152" t="str">
        <f t="shared" si="1"/>
        <v>CAR5221</v>
      </c>
      <c r="I100" s="513">
        <v>835030.8</v>
      </c>
      <c r="J100" s="513">
        <v>564.21</v>
      </c>
      <c r="K100" s="513">
        <v>1480</v>
      </c>
      <c r="L100" s="513" t="s">
        <v>2827</v>
      </c>
      <c r="M100" s="513" t="s">
        <v>780</v>
      </c>
      <c r="N100" s="513" t="s">
        <v>1407</v>
      </c>
      <c r="O100" s="518" t="s">
        <v>2828</v>
      </c>
      <c r="P100" s="152" t="s">
        <v>892</v>
      </c>
      <c r="Q100" s="152" t="s">
        <v>2829</v>
      </c>
      <c r="R100" s="152" t="s">
        <v>3049</v>
      </c>
      <c r="S100" s="152" t="s">
        <v>2831</v>
      </c>
      <c r="T100" s="152" t="s">
        <v>786</v>
      </c>
    </row>
    <row r="101" spans="3:20" ht="25">
      <c r="C101" s="152" t="s">
        <v>2821</v>
      </c>
      <c r="D101" s="474" t="s">
        <v>676</v>
      </c>
      <c r="E101" s="684" t="str">
        <f>+VLOOKUP(F101,Resumen_Base!$C$8:$G$287,5,0)</f>
        <v>Licenses / Permits (Fishing and Shooting)</v>
      </c>
      <c r="F101" s="474" t="s">
        <v>62</v>
      </c>
      <c r="G101" s="210" t="s">
        <v>63</v>
      </c>
      <c r="H101" s="152" t="str">
        <f t="shared" si="1"/>
        <v>CAR5221</v>
      </c>
      <c r="I101" s="513">
        <v>1191814.3999999999</v>
      </c>
      <c r="J101" s="513">
        <v>805.28</v>
      </c>
      <c r="K101" s="513">
        <v>1480</v>
      </c>
      <c r="L101" s="513" t="s">
        <v>2859</v>
      </c>
      <c r="M101" s="513" t="s">
        <v>780</v>
      </c>
      <c r="N101" s="513" t="s">
        <v>1407</v>
      </c>
      <c r="O101" s="518" t="s">
        <v>2907</v>
      </c>
      <c r="P101" s="152" t="s">
        <v>892</v>
      </c>
      <c r="Q101" s="152" t="s">
        <v>2908</v>
      </c>
      <c r="R101" s="152" t="s">
        <v>3050</v>
      </c>
      <c r="S101" s="152" t="s">
        <v>2910</v>
      </c>
      <c r="T101" s="152" t="s">
        <v>786</v>
      </c>
    </row>
    <row r="102" spans="3:20" ht="25">
      <c r="C102" s="152" t="s">
        <v>2821</v>
      </c>
      <c r="D102" s="474" t="s">
        <v>676</v>
      </c>
      <c r="E102" s="684" t="str">
        <f>+VLOOKUP(F102,Resumen_Base!$C$8:$G$287,5,0)</f>
        <v>Licenses / Permits (Fishing and Shooting)</v>
      </c>
      <c r="F102" s="474" t="s">
        <v>62</v>
      </c>
      <c r="G102" s="210" t="s">
        <v>63</v>
      </c>
      <c r="H102" s="152" t="str">
        <f t="shared" si="1"/>
        <v>CAR5221</v>
      </c>
      <c r="I102" s="513">
        <v>2116400</v>
      </c>
      <c r="J102" s="513">
        <v>1430</v>
      </c>
      <c r="K102" s="513">
        <v>1480</v>
      </c>
      <c r="L102" s="513" t="s">
        <v>2827</v>
      </c>
      <c r="M102" s="513" t="s">
        <v>780</v>
      </c>
      <c r="N102" s="513" t="s">
        <v>1407</v>
      </c>
      <c r="O102" s="518" t="s">
        <v>2932</v>
      </c>
      <c r="P102" s="152" t="s">
        <v>892</v>
      </c>
      <c r="Q102" s="152" t="s">
        <v>2933</v>
      </c>
      <c r="R102" s="152" t="s">
        <v>3051</v>
      </c>
      <c r="S102" s="152" t="s">
        <v>2935</v>
      </c>
      <c r="T102" s="152" t="s">
        <v>786</v>
      </c>
    </row>
    <row r="103" spans="3:20" ht="25">
      <c r="C103" s="152" t="s">
        <v>2821</v>
      </c>
      <c r="D103" s="474" t="s">
        <v>676</v>
      </c>
      <c r="E103" s="684" t="str">
        <f>+VLOOKUP(F103,Resumen_Base!$C$8:$G$287,5,0)</f>
        <v>Licenses / Permits (Fishing and Shooting)</v>
      </c>
      <c r="F103" s="474" t="s">
        <v>62</v>
      </c>
      <c r="G103" s="210" t="s">
        <v>63</v>
      </c>
      <c r="H103" s="152" t="str">
        <f t="shared" si="1"/>
        <v>CAR5221</v>
      </c>
      <c r="I103" s="513">
        <v>2139280.7999999998</v>
      </c>
      <c r="J103" s="513">
        <v>1445.46</v>
      </c>
      <c r="K103" s="513">
        <v>1480</v>
      </c>
      <c r="L103" s="513" t="s">
        <v>2859</v>
      </c>
      <c r="M103" s="513" t="s">
        <v>780</v>
      </c>
      <c r="N103" s="513" t="s">
        <v>1407</v>
      </c>
      <c r="O103" s="518" t="s">
        <v>2921</v>
      </c>
      <c r="P103" s="152" t="s">
        <v>892</v>
      </c>
      <c r="Q103" s="152" t="s">
        <v>2922</v>
      </c>
      <c r="R103" s="152" t="s">
        <v>3052</v>
      </c>
      <c r="S103" s="152" t="s">
        <v>2924</v>
      </c>
      <c r="T103" s="152" t="s">
        <v>786</v>
      </c>
    </row>
    <row r="104" spans="3:20" ht="25">
      <c r="C104" s="152" t="s">
        <v>2821</v>
      </c>
      <c r="D104" s="474" t="s">
        <v>676</v>
      </c>
      <c r="E104" s="684" t="str">
        <f>+VLOOKUP(F104,Resumen_Base!$C$8:$G$287,5,0)</f>
        <v>Licenses / Permits (Fishing and Shooting)</v>
      </c>
      <c r="F104" s="474" t="s">
        <v>62</v>
      </c>
      <c r="G104" s="210" t="s">
        <v>63</v>
      </c>
      <c r="H104" s="152" t="str">
        <f t="shared" si="1"/>
        <v>CAR5221</v>
      </c>
      <c r="I104" s="513">
        <v>743196.8</v>
      </c>
      <c r="J104" s="513">
        <v>502.16</v>
      </c>
      <c r="K104" s="513">
        <v>1480</v>
      </c>
      <c r="L104" s="513" t="s">
        <v>2859</v>
      </c>
      <c r="M104" s="513" t="s">
        <v>780</v>
      </c>
      <c r="N104" s="513" t="s">
        <v>1407</v>
      </c>
      <c r="O104" s="518" t="s">
        <v>2907</v>
      </c>
      <c r="P104" s="152" t="s">
        <v>892</v>
      </c>
      <c r="Q104" s="152" t="s">
        <v>2908</v>
      </c>
      <c r="R104" s="152" t="s">
        <v>3053</v>
      </c>
      <c r="S104" s="152" t="s">
        <v>2910</v>
      </c>
      <c r="T104" s="152" t="s">
        <v>786</v>
      </c>
    </row>
    <row r="105" spans="3:20" ht="37.5">
      <c r="C105" s="152" t="s">
        <v>2821</v>
      </c>
      <c r="D105" s="474" t="s">
        <v>676</v>
      </c>
      <c r="E105" s="684" t="str">
        <f>+VLOOKUP(F105,Resumen_Base!$C$8:$G$287,5,0)</f>
        <v>Transfer to and from the airport (local taxi) - Vehicle Rental</v>
      </c>
      <c r="F105" s="474" t="s">
        <v>138</v>
      </c>
      <c r="G105" s="210" t="s">
        <v>202</v>
      </c>
      <c r="H105" s="152" t="str">
        <f t="shared" si="1"/>
        <v>CAR5225</v>
      </c>
      <c r="I105" s="513">
        <v>1466680</v>
      </c>
      <c r="J105" s="513">
        <v>991</v>
      </c>
      <c r="K105" s="513">
        <v>1480</v>
      </c>
      <c r="L105" s="513" t="s">
        <v>2827</v>
      </c>
      <c r="M105" s="513" t="s">
        <v>780</v>
      </c>
      <c r="N105" s="513" t="s">
        <v>1407</v>
      </c>
      <c r="O105" s="518" t="s">
        <v>2932</v>
      </c>
      <c r="P105" s="152" t="s">
        <v>892</v>
      </c>
      <c r="Q105" s="152" t="s">
        <v>2933</v>
      </c>
      <c r="R105" s="152" t="s">
        <v>3060</v>
      </c>
      <c r="S105" s="152" t="s">
        <v>2935</v>
      </c>
      <c r="T105" s="152" t="s">
        <v>786</v>
      </c>
    </row>
    <row r="106" spans="3:20">
      <c r="C106" s="152" t="s">
        <v>2821</v>
      </c>
      <c r="D106" s="474" t="s">
        <v>676</v>
      </c>
      <c r="E106" s="684" t="str">
        <f>+VLOOKUP(F106,Resumen_Base!$C$8:$G$287,5,0)</f>
        <v>Services/House</v>
      </c>
      <c r="F106" s="474" t="s">
        <v>321</v>
      </c>
      <c r="G106" s="210" t="s">
        <v>322</v>
      </c>
      <c r="H106" s="152" t="str">
        <f t="shared" si="1"/>
        <v>CAR5226</v>
      </c>
      <c r="I106" s="513">
        <v>4630500</v>
      </c>
      <c r="J106" s="513">
        <v>3150</v>
      </c>
      <c r="K106" s="513">
        <v>1470</v>
      </c>
      <c r="L106" s="513" t="s">
        <v>2827</v>
      </c>
      <c r="M106" s="513" t="s">
        <v>780</v>
      </c>
      <c r="N106" s="513" t="s">
        <v>1407</v>
      </c>
      <c r="O106" s="518" t="s">
        <v>2828</v>
      </c>
      <c r="P106" s="152" t="s">
        <v>892</v>
      </c>
      <c r="Q106" s="152" t="s">
        <v>2829</v>
      </c>
      <c r="R106" s="152" t="s">
        <v>2833</v>
      </c>
      <c r="S106" s="152" t="s">
        <v>2831</v>
      </c>
      <c r="T106" s="152" t="s">
        <v>786</v>
      </c>
    </row>
    <row r="107" spans="3:20">
      <c r="C107" s="152" t="s">
        <v>2821</v>
      </c>
      <c r="D107" s="474" t="s">
        <v>676</v>
      </c>
      <c r="E107" s="684" t="str">
        <f>+VLOOKUP(F107,Resumen_Base!$C$8:$G$287,5,0)</f>
        <v>Services/House</v>
      </c>
      <c r="F107" s="474" t="s">
        <v>321</v>
      </c>
      <c r="G107" s="210" t="s">
        <v>322</v>
      </c>
      <c r="H107" s="152" t="str">
        <f t="shared" si="1"/>
        <v>CAR5226</v>
      </c>
      <c r="I107" s="513">
        <v>592000</v>
      </c>
      <c r="J107" s="513">
        <v>400</v>
      </c>
      <c r="K107" s="513">
        <v>1480</v>
      </c>
      <c r="L107" s="513" t="s">
        <v>2827</v>
      </c>
      <c r="M107" s="513" t="s">
        <v>780</v>
      </c>
      <c r="N107" s="513" t="s">
        <v>1407</v>
      </c>
      <c r="O107" s="518" t="s">
        <v>2828</v>
      </c>
      <c r="P107" s="152" t="s">
        <v>892</v>
      </c>
      <c r="Q107" s="152" t="s">
        <v>2829</v>
      </c>
      <c r="R107" s="152" t="s">
        <v>3040</v>
      </c>
      <c r="S107" s="152" t="s">
        <v>2831</v>
      </c>
      <c r="T107" s="152" t="s">
        <v>786</v>
      </c>
    </row>
    <row r="108" spans="3:20">
      <c r="C108" s="152" t="s">
        <v>2821</v>
      </c>
      <c r="D108" s="474" t="s">
        <v>676</v>
      </c>
      <c r="E108" s="684" t="str">
        <f>+VLOOKUP(F108,Resumen_Base!$C$8:$G$287,5,0)</f>
        <v>Services/House</v>
      </c>
      <c r="F108" s="474" t="s">
        <v>321</v>
      </c>
      <c r="G108" s="210" t="s">
        <v>322</v>
      </c>
      <c r="H108" s="152" t="str">
        <f t="shared" si="1"/>
        <v>CAR5226</v>
      </c>
      <c r="I108" s="513">
        <v>1322217.2</v>
      </c>
      <c r="J108" s="513">
        <v>893.39</v>
      </c>
      <c r="K108" s="513">
        <v>1480</v>
      </c>
      <c r="L108" s="513" t="s">
        <v>2827</v>
      </c>
      <c r="M108" s="513" t="s">
        <v>780</v>
      </c>
      <c r="N108" s="513" t="s">
        <v>1407</v>
      </c>
      <c r="O108" s="518" t="s">
        <v>2932</v>
      </c>
      <c r="P108" s="152" t="s">
        <v>892</v>
      </c>
      <c r="Q108" s="152" t="s">
        <v>2933</v>
      </c>
      <c r="R108" s="152" t="s">
        <v>3066</v>
      </c>
      <c r="S108" s="152" t="s">
        <v>2935</v>
      </c>
      <c r="T108" s="152" t="s">
        <v>786</v>
      </c>
    </row>
    <row r="109" spans="3:20">
      <c r="C109" s="152" t="s">
        <v>2821</v>
      </c>
      <c r="D109" s="474" t="s">
        <v>676</v>
      </c>
      <c r="E109" s="684" t="str">
        <f>+VLOOKUP(F109,Resumen_Base!$C$8:$G$287,5,0)</f>
        <v>Services/House</v>
      </c>
      <c r="F109" s="474" t="s">
        <v>321</v>
      </c>
      <c r="G109" s="210" t="s">
        <v>322</v>
      </c>
      <c r="H109" s="152" t="str">
        <f t="shared" si="1"/>
        <v>CAR5226</v>
      </c>
      <c r="I109" s="513">
        <v>1297545.6000000001</v>
      </c>
      <c r="J109" s="513">
        <v>876.72</v>
      </c>
      <c r="K109" s="513">
        <v>1480</v>
      </c>
      <c r="L109" s="513" t="s">
        <v>2827</v>
      </c>
      <c r="M109" s="513" t="s">
        <v>780</v>
      </c>
      <c r="N109" s="513" t="s">
        <v>1407</v>
      </c>
      <c r="O109" s="518" t="s">
        <v>2932</v>
      </c>
      <c r="P109" s="152" t="s">
        <v>892</v>
      </c>
      <c r="Q109" s="152" t="s">
        <v>2933</v>
      </c>
      <c r="R109" s="152" t="s">
        <v>3067</v>
      </c>
      <c r="S109" s="152" t="s">
        <v>2935</v>
      </c>
      <c r="T109" s="152" t="s">
        <v>786</v>
      </c>
    </row>
    <row r="110" spans="3:20">
      <c r="C110" s="152" t="s">
        <v>2821</v>
      </c>
      <c r="D110" s="474" t="s">
        <v>676</v>
      </c>
      <c r="E110" s="684" t="str">
        <f>+VLOOKUP(F110,Resumen_Base!$C$8:$G$287,5,0)</f>
        <v>Services/House</v>
      </c>
      <c r="F110" s="474" t="s">
        <v>321</v>
      </c>
      <c r="G110" s="210" t="s">
        <v>322</v>
      </c>
      <c r="H110" s="152" t="str">
        <f t="shared" si="1"/>
        <v>CAR5226</v>
      </c>
      <c r="I110" s="513">
        <v>1322217.2</v>
      </c>
      <c r="J110" s="513">
        <v>893.39</v>
      </c>
      <c r="K110" s="513">
        <v>1480</v>
      </c>
      <c r="L110" s="513" t="s">
        <v>2827</v>
      </c>
      <c r="M110" s="513" t="s">
        <v>780</v>
      </c>
      <c r="N110" s="513" t="s">
        <v>1407</v>
      </c>
      <c r="O110" s="518" t="s">
        <v>2932</v>
      </c>
      <c r="P110" s="152" t="s">
        <v>892</v>
      </c>
      <c r="Q110" s="152" t="s">
        <v>2933</v>
      </c>
      <c r="R110" s="152" t="s">
        <v>3068</v>
      </c>
      <c r="S110" s="152" t="s">
        <v>2935</v>
      </c>
      <c r="T110" s="152" t="s">
        <v>786</v>
      </c>
    </row>
    <row r="111" spans="3:20">
      <c r="C111" s="152" t="s">
        <v>2821</v>
      </c>
      <c r="D111" s="474" t="s">
        <v>676</v>
      </c>
      <c r="E111" s="684" t="str">
        <f>+VLOOKUP(F111,Resumen_Base!$C$8:$G$287,5,0)</f>
        <v>Services/House</v>
      </c>
      <c r="F111" s="474" t="s">
        <v>321</v>
      </c>
      <c r="G111" s="210" t="s">
        <v>322</v>
      </c>
      <c r="H111" s="152" t="str">
        <f t="shared" si="1"/>
        <v>CAR5226</v>
      </c>
      <c r="I111" s="513">
        <v>1297545.6000000001</v>
      </c>
      <c r="J111" s="513">
        <v>876.72</v>
      </c>
      <c r="K111" s="513">
        <v>1480</v>
      </c>
      <c r="L111" s="513" t="s">
        <v>2827</v>
      </c>
      <c r="M111" s="513" t="s">
        <v>780</v>
      </c>
      <c r="N111" s="513" t="s">
        <v>1407</v>
      </c>
      <c r="O111" s="518" t="s">
        <v>2932</v>
      </c>
      <c r="P111" s="152" t="s">
        <v>892</v>
      </c>
      <c r="Q111" s="152" t="s">
        <v>2933</v>
      </c>
      <c r="R111" s="152" t="s">
        <v>3069</v>
      </c>
      <c r="S111" s="152" t="s">
        <v>2935</v>
      </c>
      <c r="T111" s="152" t="s">
        <v>786</v>
      </c>
    </row>
    <row r="112" spans="3:20">
      <c r="C112" s="152" t="s">
        <v>2821</v>
      </c>
      <c r="D112" s="474" t="s">
        <v>676</v>
      </c>
      <c r="E112" s="684" t="str">
        <f>+VLOOKUP(F112,Resumen_Base!$C$8:$G$287,5,0)</f>
        <v>Guides</v>
      </c>
      <c r="F112" s="474" t="s">
        <v>323</v>
      </c>
      <c r="G112" s="210" t="s">
        <v>324</v>
      </c>
      <c r="H112" s="152" t="str">
        <f t="shared" si="1"/>
        <v>CAR5227</v>
      </c>
      <c r="I112" s="513">
        <v>543988.80000000005</v>
      </c>
      <c r="J112" s="513">
        <v>367.56</v>
      </c>
      <c r="K112" s="513">
        <v>1480</v>
      </c>
      <c r="L112" s="513" t="s">
        <v>2859</v>
      </c>
      <c r="M112" s="513" t="s">
        <v>780</v>
      </c>
      <c r="N112" s="513" t="s">
        <v>1407</v>
      </c>
      <c r="O112" s="518" t="s">
        <v>2921</v>
      </c>
      <c r="P112" s="152" t="s">
        <v>892</v>
      </c>
      <c r="Q112" s="152" t="s">
        <v>2922</v>
      </c>
      <c r="R112" s="152" t="s">
        <v>2923</v>
      </c>
      <c r="S112" s="152" t="s">
        <v>2924</v>
      </c>
      <c r="T112" s="152" t="s">
        <v>786</v>
      </c>
    </row>
    <row r="113" spans="1:20">
      <c r="C113" s="152" t="s">
        <v>2821</v>
      </c>
      <c r="D113" s="474" t="s">
        <v>676</v>
      </c>
      <c r="E113" s="684" t="str">
        <f>+VLOOKUP(F113,Resumen_Base!$C$8:$G$287,5,0)</f>
        <v>Guides</v>
      </c>
      <c r="F113" s="474" t="s">
        <v>323</v>
      </c>
      <c r="G113" s="210" t="s">
        <v>324</v>
      </c>
      <c r="H113" s="152" t="str">
        <f t="shared" si="1"/>
        <v>CAR5227</v>
      </c>
      <c r="I113" s="513">
        <v>1800790</v>
      </c>
      <c r="J113" s="513">
        <v>1216.75</v>
      </c>
      <c r="K113" s="513">
        <v>1480</v>
      </c>
      <c r="L113" s="513" t="s">
        <v>2859</v>
      </c>
      <c r="M113" s="513" t="s">
        <v>780</v>
      </c>
      <c r="N113" s="513" t="s">
        <v>1407</v>
      </c>
      <c r="O113" s="518" t="s">
        <v>2921</v>
      </c>
      <c r="P113" s="152" t="s">
        <v>892</v>
      </c>
      <c r="Q113" s="152" t="s">
        <v>2922</v>
      </c>
      <c r="R113" s="152" t="s">
        <v>2925</v>
      </c>
      <c r="S113" s="152" t="s">
        <v>2924</v>
      </c>
      <c r="T113" s="152" t="s">
        <v>786</v>
      </c>
    </row>
    <row r="114" spans="1:20">
      <c r="C114" s="152" t="s">
        <v>2821</v>
      </c>
      <c r="D114" s="474" t="s">
        <v>676</v>
      </c>
      <c r="E114" s="684" t="str">
        <f>+VLOOKUP(F114,Resumen_Base!$C$8:$G$287,5,0)</f>
        <v>Guides</v>
      </c>
      <c r="F114" s="474" t="s">
        <v>323</v>
      </c>
      <c r="G114" s="210" t="s">
        <v>324</v>
      </c>
      <c r="H114" s="152" t="str">
        <f t="shared" si="1"/>
        <v>CAR5227</v>
      </c>
      <c r="I114" s="513">
        <v>1177710</v>
      </c>
      <c r="J114" s="513">
        <v>795.75</v>
      </c>
      <c r="K114" s="513">
        <v>1480</v>
      </c>
      <c r="L114" s="513" t="s">
        <v>2827</v>
      </c>
      <c r="M114" s="513" t="s">
        <v>780</v>
      </c>
      <c r="N114" s="513" t="s">
        <v>1407</v>
      </c>
      <c r="O114" s="518" t="s">
        <v>2932</v>
      </c>
      <c r="P114" s="152" t="s">
        <v>892</v>
      </c>
      <c r="Q114" s="152" t="s">
        <v>2933</v>
      </c>
      <c r="R114" s="152" t="s">
        <v>2942</v>
      </c>
      <c r="S114" s="152" t="s">
        <v>2935</v>
      </c>
      <c r="T114" s="152" t="s">
        <v>786</v>
      </c>
    </row>
    <row r="115" spans="1:20">
      <c r="C115" s="152" t="s">
        <v>2821</v>
      </c>
      <c r="D115" s="474" t="s">
        <v>676</v>
      </c>
      <c r="E115" s="684" t="str">
        <f>+VLOOKUP(F115,Resumen_Base!$C$8:$G$287,5,0)</f>
        <v>Guides</v>
      </c>
      <c r="F115" s="474" t="s">
        <v>323</v>
      </c>
      <c r="G115" s="210" t="s">
        <v>324</v>
      </c>
      <c r="H115" s="152" t="str">
        <f t="shared" si="1"/>
        <v>CAR5227</v>
      </c>
      <c r="I115" s="513">
        <v>266237.2</v>
      </c>
      <c r="J115" s="513">
        <v>179.89</v>
      </c>
      <c r="K115" s="513">
        <v>1480</v>
      </c>
      <c r="L115" s="513" t="s">
        <v>2859</v>
      </c>
      <c r="M115" s="513" t="s">
        <v>780</v>
      </c>
      <c r="N115" s="513" t="s">
        <v>1407</v>
      </c>
      <c r="O115" s="518" t="s">
        <v>2921</v>
      </c>
      <c r="P115" s="152" t="s">
        <v>892</v>
      </c>
      <c r="Q115" s="152" t="s">
        <v>2922</v>
      </c>
      <c r="R115" s="152" t="s">
        <v>2963</v>
      </c>
      <c r="S115" s="152" t="s">
        <v>2924</v>
      </c>
      <c r="T115" s="152" t="s">
        <v>786</v>
      </c>
    </row>
    <row r="116" spans="1:20">
      <c r="C116" s="152" t="s">
        <v>2821</v>
      </c>
      <c r="D116" s="474" t="s">
        <v>676</v>
      </c>
      <c r="E116" s="684" t="str">
        <f>+VLOOKUP(F116,Resumen_Base!$C$8:$G$287,5,0)</f>
        <v>Guides</v>
      </c>
      <c r="F116" s="474" t="s">
        <v>323</v>
      </c>
      <c r="G116" s="210" t="s">
        <v>324</v>
      </c>
      <c r="H116" s="152" t="str">
        <f t="shared" si="1"/>
        <v>CAR5227</v>
      </c>
      <c r="I116" s="513">
        <v>101986.8</v>
      </c>
      <c r="J116" s="513">
        <v>68.91</v>
      </c>
      <c r="K116" s="513">
        <v>1480</v>
      </c>
      <c r="L116" s="513" t="s">
        <v>2859</v>
      </c>
      <c r="M116" s="513" t="s">
        <v>780</v>
      </c>
      <c r="N116" s="513" t="s">
        <v>1407</v>
      </c>
      <c r="O116" s="518" t="s">
        <v>2921</v>
      </c>
      <c r="P116" s="152" t="s">
        <v>892</v>
      </c>
      <c r="Q116" s="152" t="s">
        <v>2922</v>
      </c>
      <c r="R116" s="152" t="s">
        <v>2964</v>
      </c>
      <c r="S116" s="152" t="s">
        <v>2924</v>
      </c>
      <c r="T116" s="152" t="s">
        <v>786</v>
      </c>
    </row>
    <row r="117" spans="1:20">
      <c r="C117" s="152" t="s">
        <v>2821</v>
      </c>
      <c r="D117" s="474" t="s">
        <v>676</v>
      </c>
      <c r="E117" s="684" t="str">
        <f>+VLOOKUP(F117,Resumen_Base!$C$8:$G$287,5,0)</f>
        <v>Guides</v>
      </c>
      <c r="F117" s="474" t="s">
        <v>323</v>
      </c>
      <c r="G117" s="210" t="s">
        <v>324</v>
      </c>
      <c r="H117" s="152" t="str">
        <f t="shared" si="1"/>
        <v>CAR5227</v>
      </c>
      <c r="I117" s="513">
        <v>1761.2</v>
      </c>
      <c r="J117" s="513">
        <v>1.19</v>
      </c>
      <c r="K117" s="513">
        <v>1480</v>
      </c>
      <c r="L117" s="513" t="s">
        <v>2827</v>
      </c>
      <c r="M117" s="513" t="s">
        <v>780</v>
      </c>
      <c r="N117" s="513" t="s">
        <v>1407</v>
      </c>
      <c r="O117" s="518" t="s">
        <v>2932</v>
      </c>
      <c r="P117" s="152" t="s">
        <v>892</v>
      </c>
      <c r="Q117" s="152" t="s">
        <v>2933</v>
      </c>
      <c r="R117" s="152" t="s">
        <v>1515</v>
      </c>
      <c r="S117" s="152" t="s">
        <v>2935</v>
      </c>
      <c r="T117" s="152" t="s">
        <v>786</v>
      </c>
    </row>
    <row r="118" spans="1:20">
      <c r="C118" s="152" t="s">
        <v>2821</v>
      </c>
      <c r="D118" s="474" t="s">
        <v>676</v>
      </c>
      <c r="E118" s="684" t="str">
        <f>+VLOOKUP(F118,Resumen_Base!$C$8:$G$287,5,0)</f>
        <v>Guides</v>
      </c>
      <c r="F118" s="474" t="s">
        <v>323</v>
      </c>
      <c r="G118" s="210" t="s">
        <v>324</v>
      </c>
      <c r="H118" s="152" t="str">
        <f t="shared" si="1"/>
        <v>CAR5227</v>
      </c>
      <c r="I118" s="513">
        <v>1790.8</v>
      </c>
      <c r="J118" s="513">
        <v>1.21</v>
      </c>
      <c r="K118" s="513">
        <v>1480</v>
      </c>
      <c r="L118" s="513" t="s">
        <v>2859</v>
      </c>
      <c r="M118" s="513" t="s">
        <v>780</v>
      </c>
      <c r="N118" s="513" t="s">
        <v>1407</v>
      </c>
      <c r="O118" s="518" t="s">
        <v>2921</v>
      </c>
      <c r="P118" s="152" t="s">
        <v>892</v>
      </c>
      <c r="Q118" s="152" t="s">
        <v>2922</v>
      </c>
      <c r="R118" s="152" t="s">
        <v>1515</v>
      </c>
      <c r="S118" s="152" t="s">
        <v>2924</v>
      </c>
      <c r="T118" s="152" t="s">
        <v>786</v>
      </c>
    </row>
    <row r="119" spans="1:20">
      <c r="C119" s="152" t="s">
        <v>2821</v>
      </c>
      <c r="D119" s="474" t="s">
        <v>676</v>
      </c>
      <c r="E119" s="684" t="str">
        <f>+VLOOKUP(F119,Resumen_Base!$C$8:$G$287,5,0)</f>
        <v>Guides</v>
      </c>
      <c r="F119" s="474" t="s">
        <v>323</v>
      </c>
      <c r="G119" s="210" t="s">
        <v>324</v>
      </c>
      <c r="H119" s="152" t="str">
        <f t="shared" si="1"/>
        <v>CAR5227</v>
      </c>
      <c r="I119" s="513">
        <v>1702</v>
      </c>
      <c r="J119" s="513">
        <v>1.1499999999999999</v>
      </c>
      <c r="K119" s="513">
        <v>1480</v>
      </c>
      <c r="L119" s="513" t="s">
        <v>2859</v>
      </c>
      <c r="M119" s="513" t="s">
        <v>780</v>
      </c>
      <c r="N119" s="513" t="s">
        <v>1407</v>
      </c>
      <c r="O119" s="518" t="s">
        <v>2921</v>
      </c>
      <c r="P119" s="152" t="s">
        <v>892</v>
      </c>
      <c r="Q119" s="152" t="s">
        <v>2922</v>
      </c>
      <c r="R119" s="152" t="s">
        <v>1515</v>
      </c>
      <c r="S119" s="152" t="s">
        <v>2924</v>
      </c>
      <c r="T119" s="152" t="s">
        <v>786</v>
      </c>
    </row>
    <row r="120" spans="1:20">
      <c r="C120" s="152" t="s">
        <v>2821</v>
      </c>
      <c r="D120" s="474" t="s">
        <v>676</v>
      </c>
      <c r="E120" s="684" t="str">
        <f>+VLOOKUP(F120,Resumen_Base!$C$8:$G$287,5,0)</f>
        <v>Guides</v>
      </c>
      <c r="F120" s="474" t="s">
        <v>323</v>
      </c>
      <c r="G120" s="210" t="s">
        <v>324</v>
      </c>
      <c r="H120" s="152" t="str">
        <f t="shared" si="1"/>
        <v>CAR5227</v>
      </c>
      <c r="I120" s="513">
        <v>1790.8</v>
      </c>
      <c r="J120" s="513">
        <v>1.21</v>
      </c>
      <c r="K120" s="513">
        <v>1480</v>
      </c>
      <c r="L120" s="513" t="s">
        <v>2859</v>
      </c>
      <c r="M120" s="513" t="s">
        <v>780</v>
      </c>
      <c r="N120" s="513" t="s">
        <v>1407</v>
      </c>
      <c r="O120" s="518" t="s">
        <v>2921</v>
      </c>
      <c r="P120" s="152" t="s">
        <v>892</v>
      </c>
      <c r="Q120" s="152" t="s">
        <v>2922</v>
      </c>
      <c r="R120" s="152" t="s">
        <v>1515</v>
      </c>
      <c r="S120" s="152" t="s">
        <v>2924</v>
      </c>
      <c r="T120" s="152" t="s">
        <v>786</v>
      </c>
    </row>
    <row r="121" spans="1:20">
      <c r="C121" s="152" t="s">
        <v>2821</v>
      </c>
      <c r="D121" s="474" t="s">
        <v>676</v>
      </c>
      <c r="E121" s="684" t="str">
        <f>+VLOOKUP(F121,Resumen_Base!$C$8:$G$287,5,0)</f>
        <v>Guides</v>
      </c>
      <c r="F121" s="474" t="s">
        <v>323</v>
      </c>
      <c r="G121" s="210" t="s">
        <v>324</v>
      </c>
      <c r="H121" s="152" t="str">
        <f t="shared" si="1"/>
        <v>CAR5227</v>
      </c>
      <c r="I121" s="513">
        <v>2368000</v>
      </c>
      <c r="J121" s="513">
        <v>1600</v>
      </c>
      <c r="K121" s="513">
        <v>1480</v>
      </c>
      <c r="L121" s="513" t="s">
        <v>2827</v>
      </c>
      <c r="M121" s="513" t="s">
        <v>780</v>
      </c>
      <c r="N121" s="513" t="s">
        <v>1407</v>
      </c>
      <c r="O121" s="518" t="s">
        <v>2932</v>
      </c>
      <c r="P121" s="152" t="s">
        <v>892</v>
      </c>
      <c r="Q121" s="152" t="s">
        <v>2933</v>
      </c>
      <c r="R121" s="152" t="s">
        <v>3075</v>
      </c>
      <c r="S121" s="152" t="s">
        <v>2935</v>
      </c>
      <c r="T121" s="152" t="s">
        <v>786</v>
      </c>
    </row>
    <row r="122" spans="1:20">
      <c r="A122" s="684" t="s">
        <v>676</v>
      </c>
      <c r="C122" s="152" t="s">
        <v>2821</v>
      </c>
      <c r="D122" s="474" t="s">
        <v>676</v>
      </c>
      <c r="E122" s="684" t="str">
        <f>+VLOOKUP(F122,Resumen_Base!$C$8:$G$287,5,0)</f>
        <v>Manager</v>
      </c>
      <c r="F122" s="474" t="s">
        <v>325</v>
      </c>
      <c r="G122" s="210" t="s">
        <v>326</v>
      </c>
      <c r="H122" s="152" t="str">
        <f t="shared" si="1"/>
        <v>CAR5228</v>
      </c>
      <c r="I122" s="513">
        <v>1171508.8</v>
      </c>
      <c r="J122" s="513">
        <v>791.56</v>
      </c>
      <c r="K122" s="513">
        <v>1480</v>
      </c>
      <c r="L122" s="513" t="s">
        <v>2859</v>
      </c>
      <c r="M122" s="513" t="s">
        <v>780</v>
      </c>
      <c r="N122" s="513" t="s">
        <v>781</v>
      </c>
      <c r="O122" s="518" t="s">
        <v>3195</v>
      </c>
      <c r="P122" s="152" t="s">
        <v>892</v>
      </c>
      <c r="Q122" s="152" t="s">
        <v>3196</v>
      </c>
      <c r="R122" s="152" t="s">
        <v>3197</v>
      </c>
      <c r="S122" s="152" t="s">
        <v>3198</v>
      </c>
      <c r="T122" s="152" t="s">
        <v>786</v>
      </c>
    </row>
    <row r="123" spans="1:20">
      <c r="A123" s="684" t="s">
        <v>676</v>
      </c>
      <c r="C123" s="152" t="s">
        <v>2821</v>
      </c>
      <c r="D123" s="474" t="s">
        <v>676</v>
      </c>
      <c r="E123" s="684" t="str">
        <f>+VLOOKUP(F123,Resumen_Base!$C$8:$G$287,5,0)</f>
        <v>Manager</v>
      </c>
      <c r="F123" s="474" t="s">
        <v>325</v>
      </c>
      <c r="G123" s="210" t="s">
        <v>326</v>
      </c>
      <c r="H123" s="152" t="str">
        <f t="shared" si="1"/>
        <v>CAR5228</v>
      </c>
      <c r="I123" s="513">
        <v>2516000</v>
      </c>
      <c r="J123" s="513">
        <v>1700</v>
      </c>
      <c r="K123" s="513">
        <v>1480</v>
      </c>
      <c r="L123" s="513" t="s">
        <v>2827</v>
      </c>
      <c r="M123" s="513" t="s">
        <v>780</v>
      </c>
      <c r="N123" s="513" t="s">
        <v>781</v>
      </c>
      <c r="O123" s="518" t="s">
        <v>3204</v>
      </c>
      <c r="P123" s="152" t="s">
        <v>892</v>
      </c>
      <c r="Q123" s="152" t="s">
        <v>3205</v>
      </c>
      <c r="R123" s="152" t="s">
        <v>3226</v>
      </c>
      <c r="S123" s="152" t="s">
        <v>3206</v>
      </c>
      <c r="T123" s="152" t="s">
        <v>786</v>
      </c>
    </row>
    <row r="124" spans="1:20">
      <c r="A124" s="684" t="s">
        <v>676</v>
      </c>
      <c r="C124" s="152" t="s">
        <v>2821</v>
      </c>
      <c r="D124" s="474" t="s">
        <v>676</v>
      </c>
      <c r="E124" s="684" t="str">
        <f>+VLOOKUP(F124,Resumen_Base!$C$8:$G$287,5,0)</f>
        <v>Manager</v>
      </c>
      <c r="F124" s="474" t="s">
        <v>325</v>
      </c>
      <c r="G124" s="210" t="s">
        <v>326</v>
      </c>
      <c r="H124" s="152" t="str">
        <f t="shared" si="1"/>
        <v>CAR5228</v>
      </c>
      <c r="I124" s="513">
        <v>444000</v>
      </c>
      <c r="J124" s="513">
        <v>300</v>
      </c>
      <c r="K124" s="513">
        <v>1480</v>
      </c>
      <c r="L124" s="513" t="s">
        <v>2827</v>
      </c>
      <c r="M124" s="513" t="s">
        <v>780</v>
      </c>
      <c r="N124" s="513" t="s">
        <v>781</v>
      </c>
      <c r="O124" s="518" t="s">
        <v>3204</v>
      </c>
      <c r="P124" s="152" t="s">
        <v>892</v>
      </c>
      <c r="Q124" s="152" t="s">
        <v>3205</v>
      </c>
      <c r="R124" s="152" t="s">
        <v>3227</v>
      </c>
      <c r="S124" s="152" t="s">
        <v>3206</v>
      </c>
      <c r="T124" s="152" t="s">
        <v>786</v>
      </c>
    </row>
    <row r="125" spans="1:20">
      <c r="C125" s="152" t="s">
        <v>2821</v>
      </c>
      <c r="D125" s="474" t="s">
        <v>676</v>
      </c>
      <c r="E125" s="684" t="str">
        <f>+VLOOKUP(F125,Resumen_Base!$C$8:$G$287,5,0)</f>
        <v>Manager</v>
      </c>
      <c r="F125" s="474" t="s">
        <v>325</v>
      </c>
      <c r="G125" s="210" t="s">
        <v>326</v>
      </c>
      <c r="H125" s="152" t="str">
        <f t="shared" si="1"/>
        <v>CAR5228</v>
      </c>
      <c r="I125" s="513">
        <v>1480</v>
      </c>
      <c r="J125" s="513">
        <v>1</v>
      </c>
      <c r="K125" s="513">
        <v>1480</v>
      </c>
      <c r="L125" s="513" t="s">
        <v>2827</v>
      </c>
      <c r="M125" s="513" t="s">
        <v>780</v>
      </c>
      <c r="N125" s="513" t="s">
        <v>1407</v>
      </c>
      <c r="O125" s="518" t="s">
        <v>2932</v>
      </c>
      <c r="P125" s="152" t="s">
        <v>892</v>
      </c>
      <c r="Q125" s="152" t="s">
        <v>2933</v>
      </c>
      <c r="R125" s="152" t="s">
        <v>1515</v>
      </c>
      <c r="S125" s="152" t="s">
        <v>2935</v>
      </c>
      <c r="T125" s="152" t="s">
        <v>786</v>
      </c>
    </row>
    <row r="126" spans="1:20">
      <c r="C126" s="152" t="s">
        <v>2821</v>
      </c>
      <c r="D126" s="474" t="s">
        <v>676</v>
      </c>
      <c r="E126" s="684" t="str">
        <f>+VLOOKUP(F126,Resumen_Base!$C$8:$G$287,5,0)</f>
        <v>Manager</v>
      </c>
      <c r="F126" s="474" t="s">
        <v>325</v>
      </c>
      <c r="G126" s="210" t="s">
        <v>326</v>
      </c>
      <c r="H126" s="152" t="str">
        <f t="shared" si="1"/>
        <v>CAR5228</v>
      </c>
      <c r="I126" s="513">
        <v>888000</v>
      </c>
      <c r="J126" s="513">
        <v>600</v>
      </c>
      <c r="K126" s="513">
        <v>1480</v>
      </c>
      <c r="L126" s="513" t="s">
        <v>2827</v>
      </c>
      <c r="M126" s="513" t="s">
        <v>780</v>
      </c>
      <c r="N126" s="513" t="s">
        <v>1407</v>
      </c>
      <c r="O126" s="518" t="s">
        <v>2932</v>
      </c>
      <c r="P126" s="152" t="s">
        <v>892</v>
      </c>
      <c r="Q126" s="152" t="s">
        <v>2933</v>
      </c>
      <c r="R126" s="152" t="s">
        <v>3034</v>
      </c>
      <c r="S126" s="152" t="s">
        <v>2935</v>
      </c>
      <c r="T126" s="152" t="s">
        <v>786</v>
      </c>
    </row>
    <row r="127" spans="1:20">
      <c r="C127" s="152" t="s">
        <v>2821</v>
      </c>
      <c r="D127" s="474" t="s">
        <v>676</v>
      </c>
      <c r="E127" s="684" t="str">
        <f>+VLOOKUP(F127,Resumen_Base!$C$8:$G$287,5,0)</f>
        <v>Manager</v>
      </c>
      <c r="F127" s="474" t="s">
        <v>325</v>
      </c>
      <c r="G127" s="210" t="s">
        <v>326</v>
      </c>
      <c r="H127" s="152" t="str">
        <f t="shared" si="1"/>
        <v>CAR5228</v>
      </c>
      <c r="I127" s="513">
        <v>2029080</v>
      </c>
      <c r="J127" s="513">
        <v>1371</v>
      </c>
      <c r="K127" s="513">
        <v>1480</v>
      </c>
      <c r="L127" s="513" t="s">
        <v>2827</v>
      </c>
      <c r="M127" s="513" t="s">
        <v>780</v>
      </c>
      <c r="N127" s="513" t="s">
        <v>1407</v>
      </c>
      <c r="O127" s="518" t="s">
        <v>2932</v>
      </c>
      <c r="P127" s="152" t="s">
        <v>892</v>
      </c>
      <c r="Q127" s="152" t="s">
        <v>2933</v>
      </c>
      <c r="R127" s="152" t="s">
        <v>3065</v>
      </c>
      <c r="S127" s="152" t="s">
        <v>2935</v>
      </c>
      <c r="T127" s="152" t="s">
        <v>786</v>
      </c>
    </row>
    <row r="128" spans="1:20">
      <c r="C128" s="152" t="s">
        <v>2821</v>
      </c>
      <c r="D128" s="474" t="s">
        <v>676</v>
      </c>
      <c r="E128" s="684" t="str">
        <f>+VLOOKUP(F128,Resumen_Base!$C$8:$G$287,5,0)</f>
        <v>Gun Rental</v>
      </c>
      <c r="F128" s="474" t="s">
        <v>327</v>
      </c>
      <c r="G128" s="210" t="s">
        <v>328</v>
      </c>
      <c r="H128" s="152" t="str">
        <f t="shared" si="1"/>
        <v>CAR5229</v>
      </c>
      <c r="I128" s="513">
        <v>2812</v>
      </c>
      <c r="J128" s="513">
        <v>1.9</v>
      </c>
      <c r="K128" s="513">
        <v>1480</v>
      </c>
      <c r="L128" s="513" t="s">
        <v>2827</v>
      </c>
      <c r="M128" s="513" t="s">
        <v>780</v>
      </c>
      <c r="N128" s="513" t="s">
        <v>1407</v>
      </c>
      <c r="O128" s="518" t="s">
        <v>2932</v>
      </c>
      <c r="P128" s="152" t="s">
        <v>892</v>
      </c>
      <c r="Q128" s="152" t="s">
        <v>2933</v>
      </c>
      <c r="R128" s="152" t="s">
        <v>1515</v>
      </c>
      <c r="S128" s="152" t="s">
        <v>2935</v>
      </c>
      <c r="T128" s="152" t="s">
        <v>786</v>
      </c>
    </row>
    <row r="129" spans="3:20" ht="25">
      <c r="C129" s="152" t="s">
        <v>2821</v>
      </c>
      <c r="D129" s="474" t="s">
        <v>676</v>
      </c>
      <c r="E129" s="684" t="str">
        <f>+VLOOKUP(F129,Resumen_Base!$C$8:$G$287,5,0)</f>
        <v>Social Security Contributions</v>
      </c>
      <c r="F129" s="474" t="s">
        <v>329</v>
      </c>
      <c r="G129" s="210" t="s">
        <v>330</v>
      </c>
      <c r="H129" s="152" t="str">
        <f t="shared" si="1"/>
        <v>CAR5235</v>
      </c>
      <c r="I129" s="513">
        <v>3504477.2</v>
      </c>
      <c r="J129" s="513">
        <v>2367.89</v>
      </c>
      <c r="K129" s="513">
        <v>1480</v>
      </c>
      <c r="L129" s="513" t="s">
        <v>2827</v>
      </c>
      <c r="M129" s="513" t="s">
        <v>780</v>
      </c>
      <c r="N129" s="513" t="s">
        <v>1407</v>
      </c>
      <c r="O129" s="518" t="s">
        <v>2932</v>
      </c>
      <c r="P129" s="152" t="s">
        <v>892</v>
      </c>
      <c r="Q129" s="152" t="s">
        <v>2933</v>
      </c>
      <c r="R129" s="152" t="s">
        <v>2971</v>
      </c>
      <c r="S129" s="152" t="s">
        <v>2935</v>
      </c>
      <c r="T129" s="152" t="s">
        <v>786</v>
      </c>
    </row>
    <row r="130" spans="3:20" ht="25">
      <c r="C130" s="152" t="s">
        <v>2821</v>
      </c>
      <c r="D130" s="474" t="s">
        <v>676</v>
      </c>
      <c r="E130" s="684" t="str">
        <f>+VLOOKUP(F130,Resumen_Base!$C$8:$G$287,5,0)</f>
        <v>Social Security Contributions</v>
      </c>
      <c r="F130" s="474" t="s">
        <v>333</v>
      </c>
      <c r="G130" s="210" t="s">
        <v>334</v>
      </c>
      <c r="H130" s="152" t="str">
        <f t="shared" si="1"/>
        <v>CAR5237</v>
      </c>
      <c r="I130" s="513">
        <v>831686</v>
      </c>
      <c r="J130" s="513">
        <v>561.95000000000005</v>
      </c>
      <c r="K130" s="513">
        <v>1480</v>
      </c>
      <c r="L130" s="513" t="s">
        <v>2827</v>
      </c>
      <c r="M130" s="513" t="s">
        <v>780</v>
      </c>
      <c r="N130" s="513" t="s">
        <v>1407</v>
      </c>
      <c r="O130" s="518" t="s">
        <v>2932</v>
      </c>
      <c r="P130" s="152" t="s">
        <v>892</v>
      </c>
      <c r="Q130" s="152" t="s">
        <v>2933</v>
      </c>
      <c r="R130" s="152" t="s">
        <v>2970</v>
      </c>
      <c r="S130" s="152" t="s">
        <v>2935</v>
      </c>
      <c r="T130" s="152" t="s">
        <v>786</v>
      </c>
    </row>
    <row r="131" spans="3:20">
      <c r="C131" s="152" t="s">
        <v>2821</v>
      </c>
      <c r="D131" s="474" t="s">
        <v>676</v>
      </c>
      <c r="E131" s="684" t="str">
        <f>+VLOOKUP(F131,Resumen_Base!$C$8:$G$287,5,0)</f>
        <v>Electricity</v>
      </c>
      <c r="F131" s="474" t="s">
        <v>41</v>
      </c>
      <c r="G131" s="210" t="s">
        <v>40</v>
      </c>
      <c r="H131" s="152" t="str">
        <f t="shared" si="1"/>
        <v>CAR5247</v>
      </c>
      <c r="I131" s="513">
        <v>264698</v>
      </c>
      <c r="J131" s="513">
        <v>178.85</v>
      </c>
      <c r="K131" s="513">
        <v>1480</v>
      </c>
      <c r="L131" s="513" t="s">
        <v>2827</v>
      </c>
      <c r="M131" s="513" t="s">
        <v>780</v>
      </c>
      <c r="N131" s="513" t="s">
        <v>1407</v>
      </c>
      <c r="O131" s="518" t="s">
        <v>2932</v>
      </c>
      <c r="P131" s="152" t="s">
        <v>892</v>
      </c>
      <c r="Q131" s="152" t="s">
        <v>2933</v>
      </c>
      <c r="R131" s="152" t="s">
        <v>2335</v>
      </c>
      <c r="S131" s="152" t="s">
        <v>2935</v>
      </c>
      <c r="T131" s="152" t="s">
        <v>786</v>
      </c>
    </row>
    <row r="132" spans="3:20">
      <c r="C132" s="152" t="s">
        <v>2821</v>
      </c>
      <c r="D132" s="474" t="s">
        <v>676</v>
      </c>
      <c r="E132" s="684" t="str">
        <f>+VLOOKUP(F132,Resumen_Base!$C$8:$G$287,5,0)</f>
        <v>Electricity</v>
      </c>
      <c r="F132" s="474" t="s">
        <v>41</v>
      </c>
      <c r="G132" s="210" t="s">
        <v>40</v>
      </c>
      <c r="H132" s="152" t="str">
        <f t="shared" si="1"/>
        <v>CAR5247</v>
      </c>
      <c r="I132" s="513">
        <v>1019779.2</v>
      </c>
      <c r="J132" s="513">
        <v>689.04</v>
      </c>
      <c r="K132" s="513">
        <v>1480</v>
      </c>
      <c r="L132" s="513" t="s">
        <v>2827</v>
      </c>
      <c r="M132" s="513" t="s">
        <v>780</v>
      </c>
      <c r="N132" s="513" t="s">
        <v>1407</v>
      </c>
      <c r="O132" s="518" t="s">
        <v>2932</v>
      </c>
      <c r="P132" s="152" t="s">
        <v>892</v>
      </c>
      <c r="Q132" s="152" t="s">
        <v>2933</v>
      </c>
      <c r="R132" s="152" t="s">
        <v>3078</v>
      </c>
      <c r="S132" s="152" t="s">
        <v>2935</v>
      </c>
      <c r="T132" s="152" t="s">
        <v>786</v>
      </c>
    </row>
    <row r="133" spans="3:20" ht="25">
      <c r="C133" s="152" t="s">
        <v>2821</v>
      </c>
      <c r="D133" s="474" t="s">
        <v>676</v>
      </c>
      <c r="E133" s="684" t="str">
        <f>+VLOOKUP(F133,Resumen_Base!$C$8:$G$287,5,0)</f>
        <v>Electricity - Gas for Boats &amp; Vehicles</v>
      </c>
      <c r="F133" s="474" t="s">
        <v>64</v>
      </c>
      <c r="G133" s="210" t="s">
        <v>65</v>
      </c>
      <c r="H133" s="152" t="str">
        <f t="shared" si="1"/>
        <v>CAR5248</v>
      </c>
      <c r="I133" s="513">
        <v>75381.600000000006</v>
      </c>
      <c r="J133" s="513">
        <v>51.28</v>
      </c>
      <c r="K133" s="513">
        <v>1470</v>
      </c>
      <c r="L133" s="513" t="s">
        <v>2899</v>
      </c>
      <c r="M133" s="513" t="s">
        <v>780</v>
      </c>
      <c r="N133" s="513" t="s">
        <v>1407</v>
      </c>
      <c r="O133" s="518" t="s">
        <v>2900</v>
      </c>
      <c r="P133" s="152" t="s">
        <v>892</v>
      </c>
      <c r="Q133" s="152" t="s">
        <v>2901</v>
      </c>
      <c r="R133" s="152" t="s">
        <v>2983</v>
      </c>
      <c r="S133" s="152" t="s">
        <v>2903</v>
      </c>
      <c r="T133" s="152" t="s">
        <v>786</v>
      </c>
    </row>
    <row r="134" spans="3:20" ht="25">
      <c r="C134" s="152" t="s">
        <v>2821</v>
      </c>
      <c r="D134" s="474" t="s">
        <v>676</v>
      </c>
      <c r="E134" s="684" t="str">
        <f>+VLOOKUP(F134,Resumen_Base!$C$8:$G$287,5,0)</f>
        <v>Electricity - Gas for Boats &amp; Vehicles</v>
      </c>
      <c r="F134" s="474" t="s">
        <v>64</v>
      </c>
      <c r="G134" s="210" t="s">
        <v>65</v>
      </c>
      <c r="H134" s="152" t="str">
        <f t="shared" si="1"/>
        <v>CAR5248</v>
      </c>
      <c r="I134" s="513">
        <v>2200360.4</v>
      </c>
      <c r="J134" s="513">
        <v>1486.73</v>
      </c>
      <c r="K134" s="513">
        <v>1480</v>
      </c>
      <c r="L134" s="513" t="s">
        <v>2859</v>
      </c>
      <c r="M134" s="513" t="s">
        <v>780</v>
      </c>
      <c r="N134" s="513" t="s">
        <v>1407</v>
      </c>
      <c r="O134" s="518" t="s">
        <v>2936</v>
      </c>
      <c r="P134" s="152" t="s">
        <v>892</v>
      </c>
      <c r="Q134" s="152" t="s">
        <v>2937</v>
      </c>
      <c r="R134" s="152" t="s">
        <v>2985</v>
      </c>
      <c r="S134" s="152" t="s">
        <v>2939</v>
      </c>
      <c r="T134" s="152" t="s">
        <v>786</v>
      </c>
    </row>
    <row r="135" spans="3:20" ht="25">
      <c r="C135" s="152" t="s">
        <v>2821</v>
      </c>
      <c r="D135" s="474" t="s">
        <v>676</v>
      </c>
      <c r="E135" s="684" t="str">
        <f>+VLOOKUP(F135,Resumen_Base!$C$8:$G$287,5,0)</f>
        <v>Electricity - Gas for Boats &amp; Vehicles</v>
      </c>
      <c r="F135" s="474" t="s">
        <v>64</v>
      </c>
      <c r="G135" s="210" t="s">
        <v>65</v>
      </c>
      <c r="H135" s="152" t="str">
        <f t="shared" si="1"/>
        <v>CAR5248</v>
      </c>
      <c r="I135" s="513">
        <v>1147000</v>
      </c>
      <c r="J135" s="513">
        <v>775</v>
      </c>
      <c r="K135" s="513">
        <v>1480</v>
      </c>
      <c r="L135" s="513" t="s">
        <v>2859</v>
      </c>
      <c r="M135" s="513" t="s">
        <v>780</v>
      </c>
      <c r="N135" s="513" t="s">
        <v>1407</v>
      </c>
      <c r="O135" s="518" t="s">
        <v>2921</v>
      </c>
      <c r="P135" s="152" t="s">
        <v>892</v>
      </c>
      <c r="Q135" s="152" t="s">
        <v>2922</v>
      </c>
      <c r="R135" s="152" t="s">
        <v>2986</v>
      </c>
      <c r="S135" s="152" t="s">
        <v>2924</v>
      </c>
      <c r="T135" s="152" t="s">
        <v>786</v>
      </c>
    </row>
    <row r="136" spans="3:20" ht="25">
      <c r="C136" s="152" t="s">
        <v>2821</v>
      </c>
      <c r="D136" s="474" t="s">
        <v>676</v>
      </c>
      <c r="E136" s="684" t="str">
        <f>+VLOOKUP(F136,Resumen_Base!$C$8:$G$287,5,0)</f>
        <v>Electricity - Gas for Boats &amp; Vehicles</v>
      </c>
      <c r="F136" s="474" t="s">
        <v>64</v>
      </c>
      <c r="G136" s="210" t="s">
        <v>65</v>
      </c>
      <c r="H136" s="152" t="str">
        <f t="shared" si="1"/>
        <v>CAR5248</v>
      </c>
      <c r="I136" s="513">
        <v>2871.2</v>
      </c>
      <c r="J136" s="513">
        <v>1.94</v>
      </c>
      <c r="K136" s="513">
        <v>1480</v>
      </c>
      <c r="L136" s="513" t="s">
        <v>2859</v>
      </c>
      <c r="M136" s="513" t="s">
        <v>780</v>
      </c>
      <c r="N136" s="513" t="s">
        <v>1407</v>
      </c>
      <c r="O136" s="518" t="s">
        <v>2936</v>
      </c>
      <c r="P136" s="152" t="s">
        <v>892</v>
      </c>
      <c r="Q136" s="152" t="s">
        <v>2937</v>
      </c>
      <c r="R136" s="152" t="s">
        <v>1515</v>
      </c>
      <c r="S136" s="152" t="s">
        <v>2939</v>
      </c>
      <c r="T136" s="152" t="s">
        <v>786</v>
      </c>
    </row>
    <row r="137" spans="3:20" ht="25">
      <c r="C137" s="152" t="s">
        <v>2821</v>
      </c>
      <c r="D137" s="474" t="s">
        <v>676</v>
      </c>
      <c r="E137" s="684" t="str">
        <f>+VLOOKUP(F137,Resumen_Base!$C$8:$G$287,5,0)</f>
        <v>Electricity - Gas for Boats &amp; Vehicles</v>
      </c>
      <c r="F137" s="474" t="s">
        <v>64</v>
      </c>
      <c r="G137" s="210" t="s">
        <v>65</v>
      </c>
      <c r="H137" s="152" t="str">
        <f t="shared" si="1"/>
        <v>CAR5248</v>
      </c>
      <c r="I137" s="513">
        <v>2812</v>
      </c>
      <c r="J137" s="513">
        <v>1.9</v>
      </c>
      <c r="K137" s="513">
        <v>1480</v>
      </c>
      <c r="L137" s="513" t="s">
        <v>2859</v>
      </c>
      <c r="M137" s="513" t="s">
        <v>780</v>
      </c>
      <c r="N137" s="513" t="s">
        <v>1407</v>
      </c>
      <c r="O137" s="518" t="s">
        <v>2921</v>
      </c>
      <c r="P137" s="152" t="s">
        <v>892</v>
      </c>
      <c r="Q137" s="152" t="s">
        <v>2922</v>
      </c>
      <c r="R137" s="152" t="s">
        <v>1515</v>
      </c>
      <c r="S137" s="152" t="s">
        <v>2924</v>
      </c>
      <c r="T137" s="152" t="s">
        <v>786</v>
      </c>
    </row>
    <row r="138" spans="3:20" ht="25">
      <c r="C138" s="152" t="s">
        <v>2821</v>
      </c>
      <c r="D138" s="474" t="s">
        <v>676</v>
      </c>
      <c r="E138" s="684" t="str">
        <f>+VLOOKUP(F138,Resumen_Base!$C$8:$G$287,5,0)</f>
        <v>Electricity - Gas for Boats &amp; Vehicles</v>
      </c>
      <c r="F138" s="474" t="s">
        <v>64</v>
      </c>
      <c r="G138" s="210" t="s">
        <v>65</v>
      </c>
      <c r="H138" s="152" t="str">
        <f t="shared" si="1"/>
        <v>CAR5248</v>
      </c>
      <c r="I138" s="513">
        <v>152440</v>
      </c>
      <c r="J138" s="513">
        <v>103</v>
      </c>
      <c r="K138" s="513">
        <v>1480</v>
      </c>
      <c r="L138" s="513" t="s">
        <v>2827</v>
      </c>
      <c r="M138" s="513" t="s">
        <v>780</v>
      </c>
      <c r="N138" s="513" t="s">
        <v>1407</v>
      </c>
      <c r="O138" s="518" t="s">
        <v>2932</v>
      </c>
      <c r="P138" s="152" t="s">
        <v>892</v>
      </c>
      <c r="Q138" s="152" t="s">
        <v>2933</v>
      </c>
      <c r="R138" s="152" t="s">
        <v>3036</v>
      </c>
      <c r="S138" s="152" t="s">
        <v>2935</v>
      </c>
      <c r="T138" s="152" t="s">
        <v>786</v>
      </c>
    </row>
    <row r="139" spans="3:20">
      <c r="C139" s="152" t="s">
        <v>2821</v>
      </c>
      <c r="D139" s="474" t="s">
        <v>676</v>
      </c>
      <c r="E139" s="684" t="str">
        <f>+VLOOKUP(F139,Resumen_Base!$C$8:$G$287,5,0)</f>
        <v>Food &amp; Wine</v>
      </c>
      <c r="F139" s="474" t="s">
        <v>37</v>
      </c>
      <c r="G139" s="210" t="s">
        <v>36</v>
      </c>
      <c r="H139" s="152" t="str">
        <f t="shared" si="1"/>
        <v>CAR5250</v>
      </c>
      <c r="I139" s="513">
        <v>158304.29999999999</v>
      </c>
      <c r="J139" s="513">
        <v>107.69</v>
      </c>
      <c r="K139" s="513">
        <v>1470</v>
      </c>
      <c r="L139" s="513" t="s">
        <v>2899</v>
      </c>
      <c r="M139" s="513" t="s">
        <v>780</v>
      </c>
      <c r="N139" s="513" t="s">
        <v>1407</v>
      </c>
      <c r="O139" s="518" t="s">
        <v>2900</v>
      </c>
      <c r="P139" s="152" t="s">
        <v>892</v>
      </c>
      <c r="Q139" s="152" t="s">
        <v>2901</v>
      </c>
      <c r="R139" s="152" t="s">
        <v>2902</v>
      </c>
      <c r="S139" s="152" t="s">
        <v>2903</v>
      </c>
      <c r="T139" s="152" t="s">
        <v>786</v>
      </c>
    </row>
    <row r="140" spans="3:20">
      <c r="C140" s="152" t="s">
        <v>2821</v>
      </c>
      <c r="D140" s="474" t="s">
        <v>676</v>
      </c>
      <c r="E140" s="684" t="str">
        <f>+VLOOKUP(F140,Resumen_Base!$C$8:$G$287,5,0)</f>
        <v>Food &amp; Wine</v>
      </c>
      <c r="F140" s="474" t="s">
        <v>37</v>
      </c>
      <c r="G140" s="210" t="s">
        <v>36</v>
      </c>
      <c r="H140" s="152" t="str">
        <f t="shared" ref="H140:H203" si="2">+D140&amp;F140</f>
        <v>CAR5250</v>
      </c>
      <c r="I140" s="513">
        <v>19195.599999999999</v>
      </c>
      <c r="J140" s="513">
        <v>12.97</v>
      </c>
      <c r="K140" s="513">
        <v>1480</v>
      </c>
      <c r="L140" s="513" t="s">
        <v>2827</v>
      </c>
      <c r="M140" s="513" t="s">
        <v>780</v>
      </c>
      <c r="N140" s="513" t="s">
        <v>1407</v>
      </c>
      <c r="O140" s="518" t="s">
        <v>2828</v>
      </c>
      <c r="P140" s="152" t="s">
        <v>892</v>
      </c>
      <c r="Q140" s="152" t="s">
        <v>2829</v>
      </c>
      <c r="R140" s="152" t="s">
        <v>2904</v>
      </c>
      <c r="S140" s="152" t="s">
        <v>2831</v>
      </c>
      <c r="T140" s="152" t="s">
        <v>786</v>
      </c>
    </row>
    <row r="141" spans="3:20">
      <c r="C141" s="152" t="s">
        <v>2821</v>
      </c>
      <c r="D141" s="474" t="s">
        <v>676</v>
      </c>
      <c r="E141" s="684" t="str">
        <f>+VLOOKUP(F141,Resumen_Base!$C$8:$G$287,5,0)</f>
        <v>Food &amp; Wine</v>
      </c>
      <c r="F141" s="474" t="s">
        <v>37</v>
      </c>
      <c r="G141" s="210" t="s">
        <v>36</v>
      </c>
      <c r="H141" s="152" t="str">
        <f t="shared" si="2"/>
        <v>CAR5250</v>
      </c>
      <c r="I141" s="513">
        <v>201605.6</v>
      </c>
      <c r="J141" s="513">
        <v>136.22</v>
      </c>
      <c r="K141" s="513">
        <v>1480</v>
      </c>
      <c r="L141" s="513" t="s">
        <v>2827</v>
      </c>
      <c r="M141" s="513" t="s">
        <v>780</v>
      </c>
      <c r="N141" s="513" t="s">
        <v>1407</v>
      </c>
      <c r="O141" s="518" t="s">
        <v>2828</v>
      </c>
      <c r="P141" s="152" t="s">
        <v>892</v>
      </c>
      <c r="Q141" s="152" t="s">
        <v>2829</v>
      </c>
      <c r="R141" s="152" t="s">
        <v>2906</v>
      </c>
      <c r="S141" s="152" t="s">
        <v>2831</v>
      </c>
      <c r="T141" s="152" t="s">
        <v>786</v>
      </c>
    </row>
    <row r="142" spans="3:20">
      <c r="C142" s="152" t="s">
        <v>2821</v>
      </c>
      <c r="D142" s="474" t="s">
        <v>676</v>
      </c>
      <c r="E142" s="684" t="str">
        <f>+VLOOKUP(F142,Resumen_Base!$C$8:$G$287,5,0)</f>
        <v>Food &amp; Wine</v>
      </c>
      <c r="F142" s="474" t="s">
        <v>37</v>
      </c>
      <c r="G142" s="210" t="s">
        <v>36</v>
      </c>
      <c r="H142" s="152" t="str">
        <f t="shared" si="2"/>
        <v>CAR5250</v>
      </c>
      <c r="I142" s="513">
        <v>48810.400000000001</v>
      </c>
      <c r="J142" s="513">
        <v>32.979999999999997</v>
      </c>
      <c r="K142" s="513">
        <v>1480</v>
      </c>
      <c r="L142" s="513" t="s">
        <v>2859</v>
      </c>
      <c r="M142" s="513" t="s">
        <v>780</v>
      </c>
      <c r="N142" s="513" t="s">
        <v>1407</v>
      </c>
      <c r="O142" s="518" t="s">
        <v>2907</v>
      </c>
      <c r="P142" s="152" t="s">
        <v>892</v>
      </c>
      <c r="Q142" s="152" t="s">
        <v>2908</v>
      </c>
      <c r="R142" s="152" t="s">
        <v>2916</v>
      </c>
      <c r="S142" s="152" t="s">
        <v>2910</v>
      </c>
      <c r="T142" s="152" t="s">
        <v>786</v>
      </c>
    </row>
    <row r="143" spans="3:20">
      <c r="C143" s="152" t="s">
        <v>2821</v>
      </c>
      <c r="D143" s="474" t="s">
        <v>676</v>
      </c>
      <c r="E143" s="684" t="str">
        <f>+VLOOKUP(F143,Resumen_Base!$C$8:$G$287,5,0)</f>
        <v>Food &amp; Wine</v>
      </c>
      <c r="F143" s="474" t="s">
        <v>37</v>
      </c>
      <c r="G143" s="210" t="s">
        <v>36</v>
      </c>
      <c r="H143" s="152" t="str">
        <f t="shared" si="2"/>
        <v>CAR5250</v>
      </c>
      <c r="I143" s="513">
        <v>48810.400000000001</v>
      </c>
      <c r="J143" s="513">
        <v>32.979999999999997</v>
      </c>
      <c r="K143" s="513">
        <v>1480</v>
      </c>
      <c r="L143" s="513" t="s">
        <v>2859</v>
      </c>
      <c r="M143" s="513" t="s">
        <v>780</v>
      </c>
      <c r="N143" s="513" t="s">
        <v>1407</v>
      </c>
      <c r="O143" s="518" t="s">
        <v>2907</v>
      </c>
      <c r="P143" s="152" t="s">
        <v>892</v>
      </c>
      <c r="Q143" s="152" t="s">
        <v>2908</v>
      </c>
      <c r="R143" s="152" t="s">
        <v>2916</v>
      </c>
      <c r="S143" s="152" t="s">
        <v>2910</v>
      </c>
      <c r="T143" s="152" t="s">
        <v>786</v>
      </c>
    </row>
    <row r="144" spans="3:20">
      <c r="C144" s="152" t="s">
        <v>2821</v>
      </c>
      <c r="D144" s="474" t="s">
        <v>676</v>
      </c>
      <c r="E144" s="684" t="str">
        <f>+VLOOKUP(F144,Resumen_Base!$C$8:$G$287,5,0)</f>
        <v>Food &amp; Wine</v>
      </c>
      <c r="F144" s="474" t="s">
        <v>37</v>
      </c>
      <c r="G144" s="210" t="s">
        <v>36</v>
      </c>
      <c r="H144" s="152" t="str">
        <f t="shared" si="2"/>
        <v>CAR5250</v>
      </c>
      <c r="I144" s="513">
        <v>60191.6</v>
      </c>
      <c r="J144" s="513">
        <v>40.67</v>
      </c>
      <c r="K144" s="513">
        <v>1480</v>
      </c>
      <c r="L144" s="513" t="s">
        <v>2827</v>
      </c>
      <c r="M144" s="513" t="s">
        <v>780</v>
      </c>
      <c r="N144" s="513" t="s">
        <v>1407</v>
      </c>
      <c r="O144" s="518" t="s">
        <v>2828</v>
      </c>
      <c r="P144" s="152" t="s">
        <v>892</v>
      </c>
      <c r="Q144" s="152" t="s">
        <v>2829</v>
      </c>
      <c r="R144" s="152" t="s">
        <v>2919</v>
      </c>
      <c r="S144" s="152" t="s">
        <v>2831</v>
      </c>
      <c r="T144" s="152" t="s">
        <v>786</v>
      </c>
    </row>
    <row r="145" spans="3:20">
      <c r="C145" s="152" t="s">
        <v>2821</v>
      </c>
      <c r="D145" s="474" t="s">
        <v>676</v>
      </c>
      <c r="E145" s="684" t="str">
        <f>+VLOOKUP(F145,Resumen_Base!$C$8:$G$287,5,0)</f>
        <v>Food &amp; Wine</v>
      </c>
      <c r="F145" s="474" t="s">
        <v>37</v>
      </c>
      <c r="G145" s="210" t="s">
        <v>36</v>
      </c>
      <c r="H145" s="152" t="str">
        <f t="shared" si="2"/>
        <v>CAR5250</v>
      </c>
      <c r="I145" s="513">
        <v>180412</v>
      </c>
      <c r="J145" s="513">
        <v>121.9</v>
      </c>
      <c r="K145" s="513">
        <v>1480</v>
      </c>
      <c r="L145" s="513" t="s">
        <v>2859</v>
      </c>
      <c r="M145" s="513" t="s">
        <v>780</v>
      </c>
      <c r="N145" s="513" t="s">
        <v>1407</v>
      </c>
      <c r="O145" s="518" t="s">
        <v>2907</v>
      </c>
      <c r="P145" s="152" t="s">
        <v>892</v>
      </c>
      <c r="Q145" s="152" t="s">
        <v>2908</v>
      </c>
      <c r="R145" s="152" t="s">
        <v>2926</v>
      </c>
      <c r="S145" s="152" t="s">
        <v>2910</v>
      </c>
      <c r="T145" s="152" t="s">
        <v>786</v>
      </c>
    </row>
    <row r="146" spans="3:20">
      <c r="C146" s="152" t="s">
        <v>2821</v>
      </c>
      <c r="D146" s="474" t="s">
        <v>676</v>
      </c>
      <c r="E146" s="684" t="str">
        <f>+VLOOKUP(F146,Resumen_Base!$C$8:$G$287,5,0)</f>
        <v>Food &amp; Wine</v>
      </c>
      <c r="F146" s="474" t="s">
        <v>37</v>
      </c>
      <c r="G146" s="210" t="s">
        <v>36</v>
      </c>
      <c r="H146" s="152" t="str">
        <f t="shared" si="2"/>
        <v>CAR5250</v>
      </c>
      <c r="I146" s="513">
        <v>103333.6</v>
      </c>
      <c r="J146" s="513">
        <v>69.819999999999993</v>
      </c>
      <c r="K146" s="513">
        <v>1480</v>
      </c>
      <c r="L146" s="513" t="s">
        <v>2859</v>
      </c>
      <c r="M146" s="513" t="s">
        <v>780</v>
      </c>
      <c r="N146" s="513" t="s">
        <v>1407</v>
      </c>
      <c r="O146" s="518" t="s">
        <v>2907</v>
      </c>
      <c r="P146" s="152" t="s">
        <v>892</v>
      </c>
      <c r="Q146" s="152" t="s">
        <v>2908</v>
      </c>
      <c r="R146" s="152" t="s">
        <v>2927</v>
      </c>
      <c r="S146" s="152" t="s">
        <v>2910</v>
      </c>
      <c r="T146" s="152" t="s">
        <v>786</v>
      </c>
    </row>
    <row r="147" spans="3:20">
      <c r="C147" s="152" t="s">
        <v>2821</v>
      </c>
      <c r="D147" s="474" t="s">
        <v>676</v>
      </c>
      <c r="E147" s="684" t="str">
        <f>+VLOOKUP(F147,Resumen_Base!$C$8:$G$287,5,0)</f>
        <v>Food &amp; Wine</v>
      </c>
      <c r="F147" s="474" t="s">
        <v>37</v>
      </c>
      <c r="G147" s="210" t="s">
        <v>36</v>
      </c>
      <c r="H147" s="152" t="str">
        <f t="shared" si="2"/>
        <v>CAR5250</v>
      </c>
      <c r="I147" s="513">
        <v>198912</v>
      </c>
      <c r="J147" s="513">
        <v>134.4</v>
      </c>
      <c r="K147" s="513">
        <v>1480</v>
      </c>
      <c r="L147" s="513" t="s">
        <v>2827</v>
      </c>
      <c r="M147" s="513" t="s">
        <v>780</v>
      </c>
      <c r="N147" s="513" t="s">
        <v>1407</v>
      </c>
      <c r="O147" s="518" t="s">
        <v>2828</v>
      </c>
      <c r="P147" s="152" t="s">
        <v>892</v>
      </c>
      <c r="Q147" s="152" t="s">
        <v>2829</v>
      </c>
      <c r="R147" s="152" t="s">
        <v>2928</v>
      </c>
      <c r="S147" s="152" t="s">
        <v>2831</v>
      </c>
      <c r="T147" s="152" t="s">
        <v>786</v>
      </c>
    </row>
    <row r="148" spans="3:20">
      <c r="C148" s="152" t="s">
        <v>2821</v>
      </c>
      <c r="D148" s="474" t="s">
        <v>676</v>
      </c>
      <c r="E148" s="684" t="str">
        <f>+VLOOKUP(F148,Resumen_Base!$C$8:$G$287,5,0)</f>
        <v>Food &amp; Wine</v>
      </c>
      <c r="F148" s="474" t="s">
        <v>37</v>
      </c>
      <c r="G148" s="210" t="s">
        <v>36</v>
      </c>
      <c r="H148" s="152" t="str">
        <f t="shared" si="2"/>
        <v>CAR5250</v>
      </c>
      <c r="I148" s="513">
        <v>434587.2</v>
      </c>
      <c r="J148" s="513">
        <v>293.64</v>
      </c>
      <c r="K148" s="513">
        <v>1480</v>
      </c>
      <c r="L148" s="513" t="s">
        <v>2859</v>
      </c>
      <c r="M148" s="513" t="s">
        <v>780</v>
      </c>
      <c r="N148" s="513" t="s">
        <v>1407</v>
      </c>
      <c r="O148" s="518" t="s">
        <v>2907</v>
      </c>
      <c r="P148" s="152" t="s">
        <v>892</v>
      </c>
      <c r="Q148" s="152" t="s">
        <v>2908</v>
      </c>
      <c r="R148" s="152" t="s">
        <v>2929</v>
      </c>
      <c r="S148" s="152" t="s">
        <v>2910</v>
      </c>
      <c r="T148" s="152" t="s">
        <v>786</v>
      </c>
    </row>
    <row r="149" spans="3:20">
      <c r="C149" s="152" t="s">
        <v>2821</v>
      </c>
      <c r="D149" s="474" t="s">
        <v>676</v>
      </c>
      <c r="E149" s="684" t="str">
        <f>+VLOOKUP(F149,Resumen_Base!$C$8:$G$287,5,0)</f>
        <v>Food &amp; Wine</v>
      </c>
      <c r="F149" s="474" t="s">
        <v>37</v>
      </c>
      <c r="G149" s="210" t="s">
        <v>36</v>
      </c>
      <c r="H149" s="152" t="str">
        <f t="shared" si="2"/>
        <v>CAR5250</v>
      </c>
      <c r="I149" s="513">
        <v>18159.599999999999</v>
      </c>
      <c r="J149" s="513">
        <v>12.27</v>
      </c>
      <c r="K149" s="513">
        <v>1480</v>
      </c>
      <c r="L149" s="513" t="s">
        <v>2827</v>
      </c>
      <c r="M149" s="513" t="s">
        <v>780</v>
      </c>
      <c r="N149" s="513" t="s">
        <v>1407</v>
      </c>
      <c r="O149" s="518" t="s">
        <v>2828</v>
      </c>
      <c r="P149" s="152" t="s">
        <v>892</v>
      </c>
      <c r="Q149" s="152" t="s">
        <v>2829</v>
      </c>
      <c r="R149" s="152" t="s">
        <v>2930</v>
      </c>
      <c r="S149" s="152" t="s">
        <v>2831</v>
      </c>
      <c r="T149" s="152" t="s">
        <v>786</v>
      </c>
    </row>
    <row r="150" spans="3:20">
      <c r="C150" s="152" t="s">
        <v>2821</v>
      </c>
      <c r="D150" s="474" t="s">
        <v>676</v>
      </c>
      <c r="E150" s="684" t="str">
        <f>+VLOOKUP(F150,Resumen_Base!$C$8:$G$287,5,0)</f>
        <v>Food &amp; Wine</v>
      </c>
      <c r="F150" s="474" t="s">
        <v>37</v>
      </c>
      <c r="G150" s="210" t="s">
        <v>36</v>
      </c>
      <c r="H150" s="152" t="str">
        <f t="shared" si="2"/>
        <v>CAR5250</v>
      </c>
      <c r="I150" s="513">
        <v>778006.4</v>
      </c>
      <c r="J150" s="513">
        <v>525.67999999999995</v>
      </c>
      <c r="K150" s="513">
        <v>1480</v>
      </c>
      <c r="L150" s="513" t="s">
        <v>2827</v>
      </c>
      <c r="M150" s="513" t="s">
        <v>780</v>
      </c>
      <c r="N150" s="513" t="s">
        <v>1407</v>
      </c>
      <c r="O150" s="518" t="s">
        <v>2828</v>
      </c>
      <c r="P150" s="152" t="s">
        <v>892</v>
      </c>
      <c r="Q150" s="152" t="s">
        <v>2829</v>
      </c>
      <c r="R150" s="152" t="s">
        <v>2930</v>
      </c>
      <c r="S150" s="152" t="s">
        <v>2831</v>
      </c>
      <c r="T150" s="152" t="s">
        <v>786</v>
      </c>
    </row>
    <row r="151" spans="3:20">
      <c r="C151" s="152" t="s">
        <v>2821</v>
      </c>
      <c r="D151" s="474" t="s">
        <v>676</v>
      </c>
      <c r="E151" s="684" t="str">
        <f>+VLOOKUP(F151,Resumen_Base!$C$8:$G$287,5,0)</f>
        <v>Food &amp; Wine</v>
      </c>
      <c r="F151" s="474" t="s">
        <v>37</v>
      </c>
      <c r="G151" s="210" t="s">
        <v>36</v>
      </c>
      <c r="H151" s="152" t="str">
        <f t="shared" si="2"/>
        <v>CAR5250</v>
      </c>
      <c r="I151" s="513">
        <v>106130.8</v>
      </c>
      <c r="J151" s="513">
        <v>71.709999999999994</v>
      </c>
      <c r="K151" s="513">
        <v>1480</v>
      </c>
      <c r="L151" s="513" t="s">
        <v>2827</v>
      </c>
      <c r="M151" s="513" t="s">
        <v>780</v>
      </c>
      <c r="N151" s="513" t="s">
        <v>1407</v>
      </c>
      <c r="O151" s="518" t="s">
        <v>2828</v>
      </c>
      <c r="P151" s="152" t="s">
        <v>892</v>
      </c>
      <c r="Q151" s="152" t="s">
        <v>2829</v>
      </c>
      <c r="R151" s="152" t="s">
        <v>2930</v>
      </c>
      <c r="S151" s="152" t="s">
        <v>2831</v>
      </c>
      <c r="T151" s="152" t="s">
        <v>786</v>
      </c>
    </row>
    <row r="152" spans="3:20">
      <c r="C152" s="152" t="s">
        <v>2821</v>
      </c>
      <c r="D152" s="474" t="s">
        <v>676</v>
      </c>
      <c r="E152" s="684" t="str">
        <f>+VLOOKUP(F152,Resumen_Base!$C$8:$G$287,5,0)</f>
        <v>Food &amp; Wine</v>
      </c>
      <c r="F152" s="474" t="s">
        <v>37</v>
      </c>
      <c r="G152" s="210" t="s">
        <v>36</v>
      </c>
      <c r="H152" s="152" t="str">
        <f t="shared" si="2"/>
        <v>CAR5250</v>
      </c>
      <c r="I152" s="513">
        <v>128760</v>
      </c>
      <c r="J152" s="513">
        <v>87</v>
      </c>
      <c r="K152" s="513">
        <v>1480</v>
      </c>
      <c r="L152" s="513" t="s">
        <v>2859</v>
      </c>
      <c r="M152" s="513" t="s">
        <v>780</v>
      </c>
      <c r="N152" s="513" t="s">
        <v>1407</v>
      </c>
      <c r="O152" s="518" t="s">
        <v>2921</v>
      </c>
      <c r="P152" s="152" t="s">
        <v>892</v>
      </c>
      <c r="Q152" s="152" t="s">
        <v>2922</v>
      </c>
      <c r="R152" s="152" t="s">
        <v>2931</v>
      </c>
      <c r="S152" s="152" t="s">
        <v>2924</v>
      </c>
      <c r="T152" s="152" t="s">
        <v>786</v>
      </c>
    </row>
    <row r="153" spans="3:20">
      <c r="C153" s="152" t="s">
        <v>2821</v>
      </c>
      <c r="D153" s="474" t="s">
        <v>676</v>
      </c>
      <c r="E153" s="684" t="str">
        <f>+VLOOKUP(F153,Resumen_Base!$C$8:$G$287,5,0)</f>
        <v>Food &amp; Wine</v>
      </c>
      <c r="F153" s="474" t="s">
        <v>37</v>
      </c>
      <c r="G153" s="210" t="s">
        <v>36</v>
      </c>
      <c r="H153" s="152" t="str">
        <f t="shared" si="2"/>
        <v>CAR5250</v>
      </c>
      <c r="I153" s="513">
        <v>965907.2</v>
      </c>
      <c r="J153" s="513">
        <v>652.64</v>
      </c>
      <c r="K153" s="513">
        <v>1480</v>
      </c>
      <c r="L153" s="513" t="s">
        <v>2859</v>
      </c>
      <c r="M153" s="513" t="s">
        <v>780</v>
      </c>
      <c r="N153" s="513" t="s">
        <v>1407</v>
      </c>
      <c r="O153" s="518" t="s">
        <v>2936</v>
      </c>
      <c r="P153" s="152" t="s">
        <v>892</v>
      </c>
      <c r="Q153" s="152" t="s">
        <v>2937</v>
      </c>
      <c r="R153" s="152" t="s">
        <v>2966</v>
      </c>
      <c r="S153" s="152" t="s">
        <v>2939</v>
      </c>
      <c r="T153" s="152" t="s">
        <v>786</v>
      </c>
    </row>
    <row r="154" spans="3:20">
      <c r="C154" s="152" t="s">
        <v>2821</v>
      </c>
      <c r="D154" s="474" t="s">
        <v>676</v>
      </c>
      <c r="E154" s="684" t="str">
        <f>+VLOOKUP(F154,Resumen_Base!$C$8:$G$287,5,0)</f>
        <v>Food &amp; Wine</v>
      </c>
      <c r="F154" s="474" t="s">
        <v>37</v>
      </c>
      <c r="G154" s="210" t="s">
        <v>36</v>
      </c>
      <c r="H154" s="152" t="str">
        <f t="shared" si="2"/>
        <v>CAR5250</v>
      </c>
      <c r="I154" s="513">
        <v>20113.2</v>
      </c>
      <c r="J154" s="513">
        <v>13.59</v>
      </c>
      <c r="K154" s="513">
        <v>1480</v>
      </c>
      <c r="L154" s="513" t="s">
        <v>2859</v>
      </c>
      <c r="M154" s="513" t="s">
        <v>780</v>
      </c>
      <c r="N154" s="513" t="s">
        <v>1407</v>
      </c>
      <c r="O154" s="518" t="s">
        <v>2907</v>
      </c>
      <c r="P154" s="152" t="s">
        <v>892</v>
      </c>
      <c r="Q154" s="152" t="s">
        <v>2908</v>
      </c>
      <c r="R154" s="152" t="s">
        <v>2973</v>
      </c>
      <c r="S154" s="152" t="s">
        <v>2910</v>
      </c>
      <c r="T154" s="152" t="s">
        <v>786</v>
      </c>
    </row>
    <row r="155" spans="3:20">
      <c r="C155" s="152" t="s">
        <v>2821</v>
      </c>
      <c r="D155" s="474" t="s">
        <v>676</v>
      </c>
      <c r="E155" s="684" t="str">
        <f>+VLOOKUP(F155,Resumen_Base!$C$8:$G$287,5,0)</f>
        <v>Food &amp; Wine</v>
      </c>
      <c r="F155" s="474" t="s">
        <v>37</v>
      </c>
      <c r="G155" s="210" t="s">
        <v>36</v>
      </c>
      <c r="H155" s="152" t="str">
        <f t="shared" si="2"/>
        <v>CAR5250</v>
      </c>
      <c r="I155" s="513">
        <v>148087.79999999999</v>
      </c>
      <c r="J155" s="513">
        <v>100.74</v>
      </c>
      <c r="K155" s="513">
        <v>1470</v>
      </c>
      <c r="L155" s="513" t="s">
        <v>2827</v>
      </c>
      <c r="M155" s="513" t="s">
        <v>780</v>
      </c>
      <c r="N155" s="513" t="s">
        <v>1407</v>
      </c>
      <c r="O155" s="518" t="s">
        <v>2828</v>
      </c>
      <c r="P155" s="152" t="s">
        <v>892</v>
      </c>
      <c r="Q155" s="152" t="s">
        <v>2829</v>
      </c>
      <c r="R155" s="152" t="s">
        <v>2977</v>
      </c>
      <c r="S155" s="152" t="s">
        <v>2831</v>
      </c>
      <c r="T155" s="152" t="s">
        <v>786</v>
      </c>
    </row>
    <row r="156" spans="3:20">
      <c r="C156" s="152" t="s">
        <v>2821</v>
      </c>
      <c r="D156" s="474" t="s">
        <v>676</v>
      </c>
      <c r="E156" s="684" t="str">
        <f>+VLOOKUP(F156,Resumen_Base!$C$8:$G$287,5,0)</f>
        <v>Food &amp; Wine</v>
      </c>
      <c r="F156" s="474" t="s">
        <v>37</v>
      </c>
      <c r="G156" s="210" t="s">
        <v>36</v>
      </c>
      <c r="H156" s="152" t="str">
        <f t="shared" si="2"/>
        <v>CAR5250</v>
      </c>
      <c r="I156" s="513">
        <v>504401.1</v>
      </c>
      <c r="J156" s="513">
        <v>343.13</v>
      </c>
      <c r="K156" s="513">
        <v>1470</v>
      </c>
      <c r="L156" s="513" t="s">
        <v>2827</v>
      </c>
      <c r="M156" s="513" t="s">
        <v>780</v>
      </c>
      <c r="N156" s="513" t="s">
        <v>1407</v>
      </c>
      <c r="O156" s="518" t="s">
        <v>2828</v>
      </c>
      <c r="P156" s="152" t="s">
        <v>892</v>
      </c>
      <c r="Q156" s="152" t="s">
        <v>2829</v>
      </c>
      <c r="R156" s="152" t="s">
        <v>2987</v>
      </c>
      <c r="S156" s="152" t="s">
        <v>2831</v>
      </c>
      <c r="T156" s="152" t="s">
        <v>786</v>
      </c>
    </row>
    <row r="157" spans="3:20">
      <c r="C157" s="152" t="s">
        <v>2821</v>
      </c>
      <c r="D157" s="474" t="s">
        <v>676</v>
      </c>
      <c r="E157" s="684" t="str">
        <f>+VLOOKUP(F157,Resumen_Base!$C$8:$G$287,5,0)</f>
        <v>Food &amp; Wine</v>
      </c>
      <c r="F157" s="474" t="s">
        <v>37</v>
      </c>
      <c r="G157" s="210" t="s">
        <v>36</v>
      </c>
      <c r="H157" s="152" t="str">
        <f t="shared" si="2"/>
        <v>CAR5250</v>
      </c>
      <c r="I157" s="513">
        <v>2871.2</v>
      </c>
      <c r="J157" s="513">
        <v>1.94</v>
      </c>
      <c r="K157" s="513">
        <v>1480</v>
      </c>
      <c r="L157" s="513" t="s">
        <v>2859</v>
      </c>
      <c r="M157" s="513" t="s">
        <v>780</v>
      </c>
      <c r="N157" s="513" t="s">
        <v>1407</v>
      </c>
      <c r="O157" s="518" t="s">
        <v>2936</v>
      </c>
      <c r="P157" s="152" t="s">
        <v>892</v>
      </c>
      <c r="Q157" s="152" t="s">
        <v>2937</v>
      </c>
      <c r="R157" s="152" t="s">
        <v>1515</v>
      </c>
      <c r="S157" s="152" t="s">
        <v>2939</v>
      </c>
      <c r="T157" s="152" t="s">
        <v>786</v>
      </c>
    </row>
    <row r="158" spans="3:20">
      <c r="C158" s="152" t="s">
        <v>2821</v>
      </c>
      <c r="D158" s="474" t="s">
        <v>676</v>
      </c>
      <c r="E158" s="684" t="str">
        <f>+VLOOKUP(F158,Resumen_Base!$C$8:$G$287,5,0)</f>
        <v>Food &amp; Wine</v>
      </c>
      <c r="F158" s="474" t="s">
        <v>37</v>
      </c>
      <c r="G158" s="210" t="s">
        <v>36</v>
      </c>
      <c r="H158" s="152" t="str">
        <f t="shared" si="2"/>
        <v>CAR5250</v>
      </c>
      <c r="I158" s="513">
        <v>2871.2</v>
      </c>
      <c r="J158" s="513">
        <v>1.94</v>
      </c>
      <c r="K158" s="513">
        <v>1480</v>
      </c>
      <c r="L158" s="513" t="s">
        <v>2859</v>
      </c>
      <c r="M158" s="513" t="s">
        <v>780</v>
      </c>
      <c r="N158" s="513" t="s">
        <v>1407</v>
      </c>
      <c r="O158" s="518" t="s">
        <v>2936</v>
      </c>
      <c r="P158" s="152" t="s">
        <v>892</v>
      </c>
      <c r="Q158" s="152" t="s">
        <v>2937</v>
      </c>
      <c r="R158" s="152" t="s">
        <v>1515</v>
      </c>
      <c r="S158" s="152" t="s">
        <v>2939</v>
      </c>
      <c r="T158" s="152" t="s">
        <v>786</v>
      </c>
    </row>
    <row r="159" spans="3:20">
      <c r="C159" s="152" t="s">
        <v>2821</v>
      </c>
      <c r="D159" s="474" t="s">
        <v>676</v>
      </c>
      <c r="E159" s="684" t="str">
        <f>+VLOOKUP(F159,Resumen_Base!$C$8:$G$287,5,0)</f>
        <v>Food &amp; Wine</v>
      </c>
      <c r="F159" s="474" t="s">
        <v>37</v>
      </c>
      <c r="G159" s="210" t="s">
        <v>36</v>
      </c>
      <c r="H159" s="152" t="str">
        <f t="shared" si="2"/>
        <v>CAR5250</v>
      </c>
      <c r="I159" s="513">
        <v>2871.2</v>
      </c>
      <c r="J159" s="513">
        <v>1.94</v>
      </c>
      <c r="K159" s="513">
        <v>1480</v>
      </c>
      <c r="L159" s="513" t="s">
        <v>2859</v>
      </c>
      <c r="M159" s="513" t="s">
        <v>780</v>
      </c>
      <c r="N159" s="513" t="s">
        <v>1407</v>
      </c>
      <c r="O159" s="518" t="s">
        <v>2936</v>
      </c>
      <c r="P159" s="152" t="s">
        <v>892</v>
      </c>
      <c r="Q159" s="152" t="s">
        <v>2937</v>
      </c>
      <c r="R159" s="152" t="s">
        <v>1515</v>
      </c>
      <c r="S159" s="152" t="s">
        <v>2939</v>
      </c>
      <c r="T159" s="152" t="s">
        <v>786</v>
      </c>
    </row>
    <row r="160" spans="3:20">
      <c r="C160" s="152" t="s">
        <v>2821</v>
      </c>
      <c r="D160" s="474" t="s">
        <v>676</v>
      </c>
      <c r="E160" s="684" t="str">
        <f>+VLOOKUP(F160,Resumen_Base!$C$8:$G$287,5,0)</f>
        <v>Food &amp; Wine</v>
      </c>
      <c r="F160" s="474" t="s">
        <v>37</v>
      </c>
      <c r="G160" s="210" t="s">
        <v>36</v>
      </c>
      <c r="H160" s="152" t="str">
        <f t="shared" si="2"/>
        <v>CAR5250</v>
      </c>
      <c r="I160" s="513">
        <v>2871.2</v>
      </c>
      <c r="J160" s="513">
        <v>1.94</v>
      </c>
      <c r="K160" s="513">
        <v>1480</v>
      </c>
      <c r="L160" s="513" t="s">
        <v>2859</v>
      </c>
      <c r="M160" s="513" t="s">
        <v>780</v>
      </c>
      <c r="N160" s="513" t="s">
        <v>1407</v>
      </c>
      <c r="O160" s="518" t="s">
        <v>2936</v>
      </c>
      <c r="P160" s="152" t="s">
        <v>892</v>
      </c>
      <c r="Q160" s="152" t="s">
        <v>2937</v>
      </c>
      <c r="R160" s="152" t="s">
        <v>1515</v>
      </c>
      <c r="S160" s="152" t="s">
        <v>2939</v>
      </c>
      <c r="T160" s="152" t="s">
        <v>786</v>
      </c>
    </row>
    <row r="161" spans="3:20">
      <c r="C161" s="152" t="s">
        <v>2821</v>
      </c>
      <c r="D161" s="474" t="s">
        <v>676</v>
      </c>
      <c r="E161" s="684" t="str">
        <f>+VLOOKUP(F161,Resumen_Base!$C$8:$G$287,5,0)</f>
        <v>Food &amp; Wine</v>
      </c>
      <c r="F161" s="474" t="s">
        <v>37</v>
      </c>
      <c r="G161" s="210" t="s">
        <v>36</v>
      </c>
      <c r="H161" s="152" t="str">
        <f t="shared" si="2"/>
        <v>CAR5250</v>
      </c>
      <c r="I161" s="513">
        <v>2871.2</v>
      </c>
      <c r="J161" s="513">
        <v>1.94</v>
      </c>
      <c r="K161" s="513">
        <v>1480</v>
      </c>
      <c r="L161" s="513" t="s">
        <v>2859</v>
      </c>
      <c r="M161" s="513" t="s">
        <v>780</v>
      </c>
      <c r="N161" s="513" t="s">
        <v>1407</v>
      </c>
      <c r="O161" s="518" t="s">
        <v>2936</v>
      </c>
      <c r="P161" s="152" t="s">
        <v>892</v>
      </c>
      <c r="Q161" s="152" t="s">
        <v>2937</v>
      </c>
      <c r="R161" s="152" t="s">
        <v>1515</v>
      </c>
      <c r="S161" s="152" t="s">
        <v>2939</v>
      </c>
      <c r="T161" s="152" t="s">
        <v>786</v>
      </c>
    </row>
    <row r="162" spans="3:20">
      <c r="C162" s="152" t="s">
        <v>2821</v>
      </c>
      <c r="D162" s="474" t="s">
        <v>676</v>
      </c>
      <c r="E162" s="684" t="str">
        <f>+VLOOKUP(F162,Resumen_Base!$C$8:$G$287,5,0)</f>
        <v>Food &amp; Wine</v>
      </c>
      <c r="F162" s="474" t="s">
        <v>37</v>
      </c>
      <c r="G162" s="210" t="s">
        <v>36</v>
      </c>
      <c r="H162" s="152" t="str">
        <f t="shared" si="2"/>
        <v>CAR5250</v>
      </c>
      <c r="I162" s="513">
        <v>3415381.2</v>
      </c>
      <c r="J162" s="513">
        <v>2307.69</v>
      </c>
      <c r="K162" s="513">
        <v>1480</v>
      </c>
      <c r="L162" s="513" t="s">
        <v>2827</v>
      </c>
      <c r="M162" s="513" t="s">
        <v>780</v>
      </c>
      <c r="N162" s="513" t="s">
        <v>1407</v>
      </c>
      <c r="O162" s="518" t="s">
        <v>2992</v>
      </c>
      <c r="P162" s="152" t="s">
        <v>892</v>
      </c>
      <c r="Q162" s="152" t="s">
        <v>2993</v>
      </c>
      <c r="R162" s="152" t="s">
        <v>2999</v>
      </c>
      <c r="S162" s="152" t="s">
        <v>2995</v>
      </c>
      <c r="T162" s="152" t="s">
        <v>786</v>
      </c>
    </row>
    <row r="163" spans="3:20">
      <c r="C163" s="152" t="s">
        <v>2821</v>
      </c>
      <c r="D163" s="474" t="s">
        <v>676</v>
      </c>
      <c r="E163" s="684" t="str">
        <f>+VLOOKUP(F163,Resumen_Base!$C$8:$G$287,5,0)</f>
        <v>Food &amp; Wine</v>
      </c>
      <c r="F163" s="474" t="s">
        <v>37</v>
      </c>
      <c r="G163" s="210" t="s">
        <v>36</v>
      </c>
      <c r="H163" s="152" t="str">
        <f t="shared" si="2"/>
        <v>CAR5250</v>
      </c>
      <c r="I163" s="513">
        <v>186539.2</v>
      </c>
      <c r="J163" s="513">
        <v>126.04</v>
      </c>
      <c r="K163" s="513">
        <v>1480</v>
      </c>
      <c r="L163" s="513" t="s">
        <v>2827</v>
      </c>
      <c r="M163" s="513" t="s">
        <v>780</v>
      </c>
      <c r="N163" s="513" t="s">
        <v>1407</v>
      </c>
      <c r="O163" s="518" t="s">
        <v>2828</v>
      </c>
      <c r="P163" s="152" t="s">
        <v>892</v>
      </c>
      <c r="Q163" s="152" t="s">
        <v>2829</v>
      </c>
      <c r="R163" s="152" t="s">
        <v>3001</v>
      </c>
      <c r="S163" s="152" t="s">
        <v>2831</v>
      </c>
      <c r="T163" s="152" t="s">
        <v>786</v>
      </c>
    </row>
    <row r="164" spans="3:20">
      <c r="C164" s="152" t="s">
        <v>2821</v>
      </c>
      <c r="D164" s="474" t="s">
        <v>676</v>
      </c>
      <c r="E164" s="684" t="str">
        <f>+VLOOKUP(F164,Resumen_Base!$C$8:$G$287,5,0)</f>
        <v>Food &amp; Wine</v>
      </c>
      <c r="F164" s="474" t="s">
        <v>37</v>
      </c>
      <c r="G164" s="210" t="s">
        <v>36</v>
      </c>
      <c r="H164" s="152" t="str">
        <f t="shared" si="2"/>
        <v>CAR5250</v>
      </c>
      <c r="I164" s="513">
        <v>217116</v>
      </c>
      <c r="J164" s="513">
        <v>146.69999999999999</v>
      </c>
      <c r="K164" s="513">
        <v>1480</v>
      </c>
      <c r="L164" s="513" t="s">
        <v>2859</v>
      </c>
      <c r="M164" s="513" t="s">
        <v>780</v>
      </c>
      <c r="N164" s="513" t="s">
        <v>1407</v>
      </c>
      <c r="O164" s="518" t="s">
        <v>2936</v>
      </c>
      <c r="P164" s="152" t="s">
        <v>892</v>
      </c>
      <c r="Q164" s="152" t="s">
        <v>2937</v>
      </c>
      <c r="R164" s="152" t="s">
        <v>3016</v>
      </c>
      <c r="S164" s="152" t="s">
        <v>2939</v>
      </c>
      <c r="T164" s="152" t="s">
        <v>786</v>
      </c>
    </row>
    <row r="165" spans="3:20">
      <c r="C165" s="152" t="s">
        <v>2821</v>
      </c>
      <c r="D165" s="474" t="s">
        <v>676</v>
      </c>
      <c r="E165" s="684" t="str">
        <f>+VLOOKUP(F165,Resumen_Base!$C$8:$G$287,5,0)</f>
        <v>Food &amp; Wine</v>
      </c>
      <c r="F165" s="474" t="s">
        <v>37</v>
      </c>
      <c r="G165" s="210" t="s">
        <v>36</v>
      </c>
      <c r="H165" s="152" t="str">
        <f t="shared" si="2"/>
        <v>CAR5250</v>
      </c>
      <c r="I165" s="513">
        <v>28120</v>
      </c>
      <c r="J165" s="513">
        <v>19</v>
      </c>
      <c r="K165" s="513">
        <v>1480</v>
      </c>
      <c r="L165" s="513" t="s">
        <v>2859</v>
      </c>
      <c r="M165" s="513" t="s">
        <v>780</v>
      </c>
      <c r="N165" s="513" t="s">
        <v>1407</v>
      </c>
      <c r="O165" s="518" t="s">
        <v>2907</v>
      </c>
      <c r="P165" s="152" t="s">
        <v>892</v>
      </c>
      <c r="Q165" s="152" t="s">
        <v>2908</v>
      </c>
      <c r="R165" s="152" t="s">
        <v>1627</v>
      </c>
      <c r="S165" s="152" t="s">
        <v>2910</v>
      </c>
      <c r="T165" s="152" t="s">
        <v>786</v>
      </c>
    </row>
    <row r="166" spans="3:20">
      <c r="C166" s="152" t="s">
        <v>2821</v>
      </c>
      <c r="D166" s="474" t="s">
        <v>676</v>
      </c>
      <c r="E166" s="684" t="str">
        <f>+VLOOKUP(F166,Resumen_Base!$C$8:$G$287,5,0)</f>
        <v>Food &amp; Wine</v>
      </c>
      <c r="F166" s="474" t="s">
        <v>37</v>
      </c>
      <c r="G166" s="210" t="s">
        <v>36</v>
      </c>
      <c r="H166" s="152" t="str">
        <f t="shared" si="2"/>
        <v>CAR5250</v>
      </c>
      <c r="I166" s="513">
        <v>27335.599999999999</v>
      </c>
      <c r="J166" s="513">
        <v>18.47</v>
      </c>
      <c r="K166" s="513">
        <v>1480</v>
      </c>
      <c r="L166" s="513" t="s">
        <v>2859</v>
      </c>
      <c r="M166" s="513" t="s">
        <v>780</v>
      </c>
      <c r="N166" s="513" t="s">
        <v>1407</v>
      </c>
      <c r="O166" s="518" t="s">
        <v>2907</v>
      </c>
      <c r="P166" s="152" t="s">
        <v>892</v>
      </c>
      <c r="Q166" s="152" t="s">
        <v>2908</v>
      </c>
      <c r="R166" s="152" t="s">
        <v>3017</v>
      </c>
      <c r="S166" s="152" t="s">
        <v>2910</v>
      </c>
      <c r="T166" s="152" t="s">
        <v>786</v>
      </c>
    </row>
    <row r="167" spans="3:20">
      <c r="C167" s="152" t="s">
        <v>2821</v>
      </c>
      <c r="D167" s="474" t="s">
        <v>676</v>
      </c>
      <c r="E167" s="684" t="str">
        <f>+VLOOKUP(F167,Resumen_Base!$C$8:$G$287,5,0)</f>
        <v>Food &amp; Wine</v>
      </c>
      <c r="F167" s="474" t="s">
        <v>37</v>
      </c>
      <c r="G167" s="210" t="s">
        <v>36</v>
      </c>
      <c r="H167" s="152" t="str">
        <f t="shared" si="2"/>
        <v>CAR5250</v>
      </c>
      <c r="I167" s="513">
        <v>45998.400000000001</v>
      </c>
      <c r="J167" s="513">
        <v>31.08</v>
      </c>
      <c r="K167" s="513">
        <v>1480</v>
      </c>
      <c r="L167" s="513" t="s">
        <v>2827</v>
      </c>
      <c r="M167" s="513" t="s">
        <v>780</v>
      </c>
      <c r="N167" s="513" t="s">
        <v>1407</v>
      </c>
      <c r="O167" s="518" t="s">
        <v>2828</v>
      </c>
      <c r="P167" s="152" t="s">
        <v>892</v>
      </c>
      <c r="Q167" s="152" t="s">
        <v>2829</v>
      </c>
      <c r="R167" s="152" t="s">
        <v>3018</v>
      </c>
      <c r="S167" s="152" t="s">
        <v>2831</v>
      </c>
      <c r="T167" s="152" t="s">
        <v>786</v>
      </c>
    </row>
    <row r="168" spans="3:20">
      <c r="C168" s="152" t="s">
        <v>2821</v>
      </c>
      <c r="D168" s="474" t="s">
        <v>676</v>
      </c>
      <c r="E168" s="684" t="str">
        <f>+VLOOKUP(F168,Resumen_Base!$C$8:$G$287,5,0)</f>
        <v>Food &amp; Wine</v>
      </c>
      <c r="F168" s="474" t="s">
        <v>37</v>
      </c>
      <c r="G168" s="210" t="s">
        <v>36</v>
      </c>
      <c r="H168" s="152" t="str">
        <f t="shared" si="2"/>
        <v>CAR5250</v>
      </c>
      <c r="I168" s="513">
        <v>78484.399999999994</v>
      </c>
      <c r="J168" s="513">
        <v>53.03</v>
      </c>
      <c r="K168" s="513">
        <v>1480</v>
      </c>
      <c r="L168" s="513" t="s">
        <v>2827</v>
      </c>
      <c r="M168" s="513" t="s">
        <v>780</v>
      </c>
      <c r="N168" s="513" t="s">
        <v>1407</v>
      </c>
      <c r="O168" s="518" t="s">
        <v>2828</v>
      </c>
      <c r="P168" s="152" t="s">
        <v>892</v>
      </c>
      <c r="Q168" s="152" t="s">
        <v>2829</v>
      </c>
      <c r="R168" s="152" t="s">
        <v>3031</v>
      </c>
      <c r="S168" s="152" t="s">
        <v>2831</v>
      </c>
      <c r="T168" s="152" t="s">
        <v>786</v>
      </c>
    </row>
    <row r="169" spans="3:20">
      <c r="C169" s="152" t="s">
        <v>2821</v>
      </c>
      <c r="D169" s="474" t="s">
        <v>676</v>
      </c>
      <c r="E169" s="684" t="str">
        <f>+VLOOKUP(F169,Resumen_Base!$C$8:$G$287,5,0)</f>
        <v>Food &amp; Wine</v>
      </c>
      <c r="F169" s="474" t="s">
        <v>37</v>
      </c>
      <c r="G169" s="210" t="s">
        <v>36</v>
      </c>
      <c r="H169" s="152" t="str">
        <f t="shared" si="2"/>
        <v>CAR5250</v>
      </c>
      <c r="I169" s="513">
        <v>3905009.6</v>
      </c>
      <c r="J169" s="513">
        <v>2638.52</v>
      </c>
      <c r="K169" s="513">
        <v>1480</v>
      </c>
      <c r="L169" s="513" t="s">
        <v>2859</v>
      </c>
      <c r="M169" s="513" t="s">
        <v>780</v>
      </c>
      <c r="N169" s="513" t="s">
        <v>1407</v>
      </c>
      <c r="O169" s="518" t="s">
        <v>2936</v>
      </c>
      <c r="P169" s="152" t="s">
        <v>892</v>
      </c>
      <c r="Q169" s="152" t="s">
        <v>2937</v>
      </c>
      <c r="R169" s="152" t="s">
        <v>3037</v>
      </c>
      <c r="S169" s="152" t="s">
        <v>2939</v>
      </c>
      <c r="T169" s="152" t="s">
        <v>786</v>
      </c>
    </row>
    <row r="170" spans="3:20">
      <c r="C170" s="152" t="s">
        <v>2821</v>
      </c>
      <c r="D170" s="474" t="s">
        <v>676</v>
      </c>
      <c r="E170" s="684" t="str">
        <f>+VLOOKUP(F170,Resumen_Base!$C$8:$G$287,5,0)</f>
        <v>Food &amp; Wine</v>
      </c>
      <c r="F170" s="474" t="s">
        <v>37</v>
      </c>
      <c r="G170" s="210" t="s">
        <v>36</v>
      </c>
      <c r="H170" s="152" t="str">
        <f t="shared" si="2"/>
        <v>CAR5250</v>
      </c>
      <c r="I170" s="513">
        <v>3905009.6</v>
      </c>
      <c r="J170" s="513">
        <v>2638.52</v>
      </c>
      <c r="K170" s="513">
        <v>1480</v>
      </c>
      <c r="L170" s="513" t="s">
        <v>2859</v>
      </c>
      <c r="M170" s="513" t="s">
        <v>780</v>
      </c>
      <c r="N170" s="513" t="s">
        <v>1407</v>
      </c>
      <c r="O170" s="518" t="s">
        <v>2936</v>
      </c>
      <c r="P170" s="152" t="s">
        <v>892</v>
      </c>
      <c r="Q170" s="152" t="s">
        <v>2937</v>
      </c>
      <c r="R170" s="152" t="s">
        <v>3038</v>
      </c>
      <c r="S170" s="152" t="s">
        <v>2939</v>
      </c>
      <c r="T170" s="152" t="s">
        <v>786</v>
      </c>
    </row>
    <row r="171" spans="3:20">
      <c r="C171" s="152" t="s">
        <v>2821</v>
      </c>
      <c r="D171" s="474" t="s">
        <v>676</v>
      </c>
      <c r="E171" s="684" t="str">
        <f>+VLOOKUP(F171,Resumen_Base!$C$8:$G$287,5,0)</f>
        <v>Food &amp; Wine</v>
      </c>
      <c r="F171" s="474" t="s">
        <v>37</v>
      </c>
      <c r="G171" s="210" t="s">
        <v>36</v>
      </c>
      <c r="H171" s="152" t="str">
        <f t="shared" si="2"/>
        <v>CAR5250</v>
      </c>
      <c r="I171" s="513">
        <v>73570.8</v>
      </c>
      <c r="J171" s="513">
        <v>49.71</v>
      </c>
      <c r="K171" s="513">
        <v>1480</v>
      </c>
      <c r="L171" s="513" t="s">
        <v>2827</v>
      </c>
      <c r="M171" s="513" t="s">
        <v>780</v>
      </c>
      <c r="N171" s="513" t="s">
        <v>1407</v>
      </c>
      <c r="O171" s="518" t="s">
        <v>2828</v>
      </c>
      <c r="P171" s="152" t="s">
        <v>892</v>
      </c>
      <c r="Q171" s="152" t="s">
        <v>2829</v>
      </c>
      <c r="R171" s="152" t="s">
        <v>3046</v>
      </c>
      <c r="S171" s="152" t="s">
        <v>2831</v>
      </c>
      <c r="T171" s="152" t="s">
        <v>786</v>
      </c>
    </row>
    <row r="172" spans="3:20">
      <c r="C172" s="152" t="s">
        <v>2821</v>
      </c>
      <c r="D172" s="474" t="s">
        <v>676</v>
      </c>
      <c r="E172" s="684" t="str">
        <f>+VLOOKUP(F172,Resumen_Base!$C$8:$G$287,5,0)</f>
        <v>Food &amp; Wine</v>
      </c>
      <c r="F172" s="474" t="s">
        <v>37</v>
      </c>
      <c r="G172" s="210" t="s">
        <v>36</v>
      </c>
      <c r="H172" s="152" t="str">
        <f t="shared" si="2"/>
        <v>CAR5250</v>
      </c>
      <c r="I172" s="513">
        <v>120013.2</v>
      </c>
      <c r="J172" s="513">
        <v>81.09</v>
      </c>
      <c r="K172" s="513">
        <v>1480</v>
      </c>
      <c r="L172" s="513" t="s">
        <v>2827</v>
      </c>
      <c r="M172" s="513" t="s">
        <v>780</v>
      </c>
      <c r="N172" s="513" t="s">
        <v>1407</v>
      </c>
      <c r="O172" s="518" t="s">
        <v>2828</v>
      </c>
      <c r="P172" s="152" t="s">
        <v>892</v>
      </c>
      <c r="Q172" s="152" t="s">
        <v>2829</v>
      </c>
      <c r="R172" s="152" t="s">
        <v>1641</v>
      </c>
      <c r="S172" s="152" t="s">
        <v>2831</v>
      </c>
      <c r="T172" s="152" t="s">
        <v>786</v>
      </c>
    </row>
    <row r="173" spans="3:20">
      <c r="C173" s="152" t="s">
        <v>2821</v>
      </c>
      <c r="D173" s="474" t="s">
        <v>676</v>
      </c>
      <c r="E173" s="684" t="str">
        <f>+VLOOKUP(F173,Resumen_Base!$C$8:$G$287,5,0)</f>
        <v>Food &amp; Wine</v>
      </c>
      <c r="F173" s="474" t="s">
        <v>37</v>
      </c>
      <c r="G173" s="210" t="s">
        <v>36</v>
      </c>
      <c r="H173" s="152" t="str">
        <f t="shared" si="2"/>
        <v>CAR5250</v>
      </c>
      <c r="I173" s="513">
        <v>5676880.4000000004</v>
      </c>
      <c r="J173" s="513">
        <v>3835.73</v>
      </c>
      <c r="K173" s="513">
        <v>1480</v>
      </c>
      <c r="L173" s="513" t="s">
        <v>2859</v>
      </c>
      <c r="M173" s="513" t="s">
        <v>780</v>
      </c>
      <c r="N173" s="513" t="s">
        <v>1407</v>
      </c>
      <c r="O173" s="518" t="s">
        <v>2936</v>
      </c>
      <c r="P173" s="152" t="s">
        <v>892</v>
      </c>
      <c r="Q173" s="152" t="s">
        <v>2937</v>
      </c>
      <c r="R173" s="152" t="s">
        <v>3057</v>
      </c>
      <c r="S173" s="152" t="s">
        <v>2939</v>
      </c>
      <c r="T173" s="152" t="s">
        <v>786</v>
      </c>
    </row>
    <row r="174" spans="3:20">
      <c r="C174" s="152" t="s">
        <v>2821</v>
      </c>
      <c r="D174" s="474" t="s">
        <v>676</v>
      </c>
      <c r="E174" s="684" t="str">
        <f>+VLOOKUP(F174,Resumen_Base!$C$8:$G$287,5,0)</f>
        <v>Food &amp; Wine</v>
      </c>
      <c r="F174" s="474" t="s">
        <v>37</v>
      </c>
      <c r="G174" s="210" t="s">
        <v>36</v>
      </c>
      <c r="H174" s="152" t="str">
        <f t="shared" si="2"/>
        <v>CAR5250</v>
      </c>
      <c r="I174" s="513">
        <v>107137.2</v>
      </c>
      <c r="J174" s="513">
        <v>72.39</v>
      </c>
      <c r="K174" s="513">
        <v>1480</v>
      </c>
      <c r="L174" s="513" t="s">
        <v>2827</v>
      </c>
      <c r="M174" s="513" t="s">
        <v>780</v>
      </c>
      <c r="N174" s="513" t="s">
        <v>1407</v>
      </c>
      <c r="O174" s="518" t="s">
        <v>2828</v>
      </c>
      <c r="P174" s="152" t="s">
        <v>892</v>
      </c>
      <c r="Q174" s="152" t="s">
        <v>2829</v>
      </c>
      <c r="R174" s="152" t="s">
        <v>3059</v>
      </c>
      <c r="S174" s="152" t="s">
        <v>2831</v>
      </c>
      <c r="T174" s="152" t="s">
        <v>786</v>
      </c>
    </row>
    <row r="175" spans="3:20">
      <c r="C175" s="152" t="s">
        <v>2821</v>
      </c>
      <c r="D175" s="474" t="s">
        <v>676</v>
      </c>
      <c r="E175" s="684" t="str">
        <f>+VLOOKUP(F175,Resumen_Base!$C$8:$G$287,5,0)</f>
        <v>Food &amp; Wine</v>
      </c>
      <c r="F175" s="474" t="s">
        <v>37</v>
      </c>
      <c r="G175" s="210" t="s">
        <v>36</v>
      </c>
      <c r="H175" s="152" t="str">
        <f t="shared" si="2"/>
        <v>CAR5250</v>
      </c>
      <c r="I175" s="513">
        <v>130462</v>
      </c>
      <c r="J175" s="513">
        <v>88.15</v>
      </c>
      <c r="K175" s="513">
        <v>1480</v>
      </c>
      <c r="L175" s="513" t="s">
        <v>2859</v>
      </c>
      <c r="M175" s="513" t="s">
        <v>780</v>
      </c>
      <c r="N175" s="513" t="s">
        <v>1407</v>
      </c>
      <c r="O175" s="518" t="s">
        <v>2936</v>
      </c>
      <c r="P175" s="152" t="s">
        <v>892</v>
      </c>
      <c r="Q175" s="152" t="s">
        <v>2937</v>
      </c>
      <c r="R175" s="152" t="s">
        <v>3070</v>
      </c>
      <c r="S175" s="152" t="s">
        <v>2939</v>
      </c>
      <c r="T175" s="152" t="s">
        <v>786</v>
      </c>
    </row>
    <row r="176" spans="3:20">
      <c r="C176" s="152" t="s">
        <v>2821</v>
      </c>
      <c r="D176" s="474" t="s">
        <v>676</v>
      </c>
      <c r="E176" s="684" t="str">
        <f>+VLOOKUP(F176,Resumen_Base!$C$8:$G$287,5,0)</f>
        <v>Food &amp; Wine</v>
      </c>
      <c r="F176" s="474" t="s">
        <v>37</v>
      </c>
      <c r="G176" s="210" t="s">
        <v>36</v>
      </c>
      <c r="H176" s="152" t="str">
        <f t="shared" si="2"/>
        <v>CAR5250</v>
      </c>
      <c r="I176" s="513">
        <v>1804031.2</v>
      </c>
      <c r="J176" s="513">
        <v>1218.94</v>
      </c>
      <c r="K176" s="513">
        <v>1480</v>
      </c>
      <c r="L176" s="513" t="s">
        <v>2859</v>
      </c>
      <c r="M176" s="513" t="s">
        <v>780</v>
      </c>
      <c r="N176" s="513" t="s">
        <v>1407</v>
      </c>
      <c r="O176" s="518" t="s">
        <v>2936</v>
      </c>
      <c r="P176" s="152" t="s">
        <v>892</v>
      </c>
      <c r="Q176" s="152" t="s">
        <v>2937</v>
      </c>
      <c r="R176" s="152" t="s">
        <v>3080</v>
      </c>
      <c r="S176" s="152" t="s">
        <v>2939</v>
      </c>
      <c r="T176" s="152" t="s">
        <v>786</v>
      </c>
    </row>
    <row r="177" spans="3:20">
      <c r="C177" s="152" t="s">
        <v>2821</v>
      </c>
      <c r="D177" s="474" t="s">
        <v>676</v>
      </c>
      <c r="E177" s="684" t="str">
        <f>+VLOOKUP(F177,Resumen_Base!$C$8:$G$287,5,0)</f>
        <v>Food &amp; Wine</v>
      </c>
      <c r="F177" s="474" t="s">
        <v>35</v>
      </c>
      <c r="G177" s="210" t="s">
        <v>34</v>
      </c>
      <c r="H177" s="152" t="str">
        <f t="shared" si="2"/>
        <v>CAR5251</v>
      </c>
      <c r="I177" s="513">
        <v>192562.8</v>
      </c>
      <c r="J177" s="513">
        <v>130.11000000000001</v>
      </c>
      <c r="K177" s="513">
        <v>1480</v>
      </c>
      <c r="L177" s="513" t="s">
        <v>2859</v>
      </c>
      <c r="M177" s="513" t="s">
        <v>780</v>
      </c>
      <c r="N177" s="513" t="s">
        <v>1407</v>
      </c>
      <c r="O177" s="518" t="s">
        <v>2907</v>
      </c>
      <c r="P177" s="152" t="s">
        <v>892</v>
      </c>
      <c r="Q177" s="152" t="s">
        <v>2908</v>
      </c>
      <c r="R177" s="152" t="s">
        <v>2946</v>
      </c>
      <c r="S177" s="152" t="s">
        <v>2910</v>
      </c>
      <c r="T177" s="152" t="s">
        <v>786</v>
      </c>
    </row>
    <row r="178" spans="3:20">
      <c r="C178" s="152" t="s">
        <v>2821</v>
      </c>
      <c r="D178" s="474" t="s">
        <v>676</v>
      </c>
      <c r="E178" s="684" t="str">
        <f>+VLOOKUP(F178,Resumen_Base!$C$8:$G$287,5,0)</f>
        <v>Food &amp; Wine</v>
      </c>
      <c r="F178" s="474" t="s">
        <v>35</v>
      </c>
      <c r="G178" s="210" t="s">
        <v>34</v>
      </c>
      <c r="H178" s="152" t="str">
        <f t="shared" si="2"/>
        <v>CAR5251</v>
      </c>
      <c r="I178" s="513">
        <v>638368.4</v>
      </c>
      <c r="J178" s="513">
        <v>431.33</v>
      </c>
      <c r="K178" s="513">
        <v>1480</v>
      </c>
      <c r="L178" s="513" t="s">
        <v>2827</v>
      </c>
      <c r="M178" s="513" t="s">
        <v>780</v>
      </c>
      <c r="N178" s="513" t="s">
        <v>1407</v>
      </c>
      <c r="O178" s="518" t="s">
        <v>2828</v>
      </c>
      <c r="P178" s="152" t="s">
        <v>892</v>
      </c>
      <c r="Q178" s="152" t="s">
        <v>2829</v>
      </c>
      <c r="R178" s="152" t="s">
        <v>2954</v>
      </c>
      <c r="S178" s="152" t="s">
        <v>2831</v>
      </c>
      <c r="T178" s="152" t="s">
        <v>786</v>
      </c>
    </row>
    <row r="179" spans="3:20">
      <c r="C179" s="152" t="s">
        <v>2821</v>
      </c>
      <c r="D179" s="474" t="s">
        <v>676</v>
      </c>
      <c r="E179" s="684" t="str">
        <f>+VLOOKUP(F179,Resumen_Base!$C$8:$G$287,5,0)</f>
        <v>Food &amp; Wine</v>
      </c>
      <c r="F179" s="474" t="s">
        <v>35</v>
      </c>
      <c r="G179" s="210" t="s">
        <v>34</v>
      </c>
      <c r="H179" s="152" t="str">
        <f t="shared" si="2"/>
        <v>CAR5251</v>
      </c>
      <c r="I179" s="513">
        <v>131550.29999999999</v>
      </c>
      <c r="J179" s="513">
        <v>89.49</v>
      </c>
      <c r="K179" s="513">
        <v>1470</v>
      </c>
      <c r="L179" s="513" t="s">
        <v>2827</v>
      </c>
      <c r="M179" s="513" t="s">
        <v>780</v>
      </c>
      <c r="N179" s="513" t="s">
        <v>1407</v>
      </c>
      <c r="O179" s="518" t="s">
        <v>2828</v>
      </c>
      <c r="P179" s="152" t="s">
        <v>892</v>
      </c>
      <c r="Q179" s="152" t="s">
        <v>2829</v>
      </c>
      <c r="R179" s="152" t="s">
        <v>2955</v>
      </c>
      <c r="S179" s="152" t="s">
        <v>2831</v>
      </c>
      <c r="T179" s="152" t="s">
        <v>786</v>
      </c>
    </row>
    <row r="180" spans="3:20">
      <c r="C180" s="152" t="s">
        <v>2821</v>
      </c>
      <c r="D180" s="474" t="s">
        <v>676</v>
      </c>
      <c r="E180" s="684" t="str">
        <f>+VLOOKUP(F180,Resumen_Base!$C$8:$G$287,5,0)</f>
        <v>Food &amp; Wine</v>
      </c>
      <c r="F180" s="474" t="s">
        <v>35</v>
      </c>
      <c r="G180" s="210" t="s">
        <v>34</v>
      </c>
      <c r="H180" s="152" t="str">
        <f t="shared" si="2"/>
        <v>CAR5251</v>
      </c>
      <c r="I180" s="513">
        <v>213208.8</v>
      </c>
      <c r="J180" s="513">
        <v>144.06</v>
      </c>
      <c r="K180" s="513">
        <v>1480</v>
      </c>
      <c r="L180" s="513" t="s">
        <v>2859</v>
      </c>
      <c r="M180" s="513" t="s">
        <v>780</v>
      </c>
      <c r="N180" s="513" t="s">
        <v>1407</v>
      </c>
      <c r="O180" s="518" t="s">
        <v>2936</v>
      </c>
      <c r="P180" s="152" t="s">
        <v>892</v>
      </c>
      <c r="Q180" s="152" t="s">
        <v>2937</v>
      </c>
      <c r="R180" s="152" t="s">
        <v>3028</v>
      </c>
      <c r="S180" s="152" t="s">
        <v>2939</v>
      </c>
      <c r="T180" s="152" t="s">
        <v>786</v>
      </c>
    </row>
    <row r="181" spans="3:20">
      <c r="C181" s="152" t="s">
        <v>2821</v>
      </c>
      <c r="D181" s="474" t="s">
        <v>676</v>
      </c>
      <c r="E181" s="684" t="str">
        <f>+VLOOKUP(F181,Resumen_Base!$C$8:$G$287,5,0)</f>
        <v>Food &amp; Wine</v>
      </c>
      <c r="F181" s="474" t="s">
        <v>35</v>
      </c>
      <c r="G181" s="210" t="s">
        <v>34</v>
      </c>
      <c r="H181" s="152" t="str">
        <f t="shared" si="2"/>
        <v>CAR5251</v>
      </c>
      <c r="I181" s="513">
        <v>49165.599999999999</v>
      </c>
      <c r="J181" s="513">
        <v>33.22</v>
      </c>
      <c r="K181" s="513">
        <v>1480</v>
      </c>
      <c r="L181" s="513" t="s">
        <v>2827</v>
      </c>
      <c r="M181" s="513" t="s">
        <v>780</v>
      </c>
      <c r="N181" s="513" t="s">
        <v>1407</v>
      </c>
      <c r="O181" s="518" t="s">
        <v>2828</v>
      </c>
      <c r="P181" s="152" t="s">
        <v>892</v>
      </c>
      <c r="Q181" s="152" t="s">
        <v>2829</v>
      </c>
      <c r="R181" s="152" t="s">
        <v>3043</v>
      </c>
      <c r="S181" s="152" t="s">
        <v>2831</v>
      </c>
      <c r="T181" s="152" t="s">
        <v>786</v>
      </c>
    </row>
    <row r="182" spans="3:20">
      <c r="C182" s="152" t="s">
        <v>2821</v>
      </c>
      <c r="D182" s="474" t="s">
        <v>676</v>
      </c>
      <c r="E182" s="684" t="str">
        <f>+VLOOKUP(F182,Resumen_Base!$C$8:$G$287,5,0)</f>
        <v>Maintenance Lodge</v>
      </c>
      <c r="F182" s="474" t="s">
        <v>33</v>
      </c>
      <c r="G182" s="210" t="s">
        <v>32</v>
      </c>
      <c r="H182" s="152" t="str">
        <f t="shared" si="2"/>
        <v>CAR5252</v>
      </c>
      <c r="I182" s="513">
        <v>303592.40000000002</v>
      </c>
      <c r="J182" s="513">
        <v>205.13</v>
      </c>
      <c r="K182" s="513">
        <v>1480</v>
      </c>
      <c r="L182" s="513" t="s">
        <v>2827</v>
      </c>
      <c r="M182" s="513" t="s">
        <v>780</v>
      </c>
      <c r="N182" s="513" t="s">
        <v>1407</v>
      </c>
      <c r="O182" s="518" t="s">
        <v>2828</v>
      </c>
      <c r="P182" s="152" t="s">
        <v>892</v>
      </c>
      <c r="Q182" s="152" t="s">
        <v>2829</v>
      </c>
      <c r="R182" s="152" t="s">
        <v>2830</v>
      </c>
      <c r="S182" s="152" t="s">
        <v>2831</v>
      </c>
      <c r="T182" s="152" t="s">
        <v>786</v>
      </c>
    </row>
    <row r="183" spans="3:20">
      <c r="C183" s="152" t="s">
        <v>2821</v>
      </c>
      <c r="D183" s="474" t="s">
        <v>676</v>
      </c>
      <c r="E183" s="684" t="str">
        <f>+VLOOKUP(F183,Resumen_Base!$C$8:$G$287,5,0)</f>
        <v>Maintenance Lodge</v>
      </c>
      <c r="F183" s="474" t="s">
        <v>33</v>
      </c>
      <c r="G183" s="210" t="s">
        <v>32</v>
      </c>
      <c r="H183" s="152" t="str">
        <f t="shared" si="2"/>
        <v>CAR5252</v>
      </c>
      <c r="I183" s="513">
        <v>202271.6</v>
      </c>
      <c r="J183" s="513">
        <v>136.66999999999999</v>
      </c>
      <c r="K183" s="513">
        <v>1480</v>
      </c>
      <c r="L183" s="513" t="s">
        <v>2827</v>
      </c>
      <c r="M183" s="513" t="s">
        <v>780</v>
      </c>
      <c r="N183" s="513" t="s">
        <v>1407</v>
      </c>
      <c r="O183" s="518" t="s">
        <v>2828</v>
      </c>
      <c r="P183" s="152" t="s">
        <v>892</v>
      </c>
      <c r="Q183" s="152" t="s">
        <v>2829</v>
      </c>
      <c r="R183" s="152" t="s">
        <v>2832</v>
      </c>
      <c r="S183" s="152" t="s">
        <v>2831</v>
      </c>
      <c r="T183" s="152" t="s">
        <v>786</v>
      </c>
    </row>
    <row r="184" spans="3:20">
      <c r="C184" s="152" t="s">
        <v>2821</v>
      </c>
      <c r="D184" s="474" t="s">
        <v>676</v>
      </c>
      <c r="E184" s="684" t="str">
        <f>+VLOOKUP(F184,Resumen_Base!$C$8:$G$287,5,0)</f>
        <v>Maintenance Lodge</v>
      </c>
      <c r="F184" s="474" t="s">
        <v>33</v>
      </c>
      <c r="G184" s="210" t="s">
        <v>32</v>
      </c>
      <c r="H184" s="152" t="str">
        <f t="shared" si="2"/>
        <v>CAR5252</v>
      </c>
      <c r="I184" s="513">
        <v>62145.2</v>
      </c>
      <c r="J184" s="513">
        <v>41.99</v>
      </c>
      <c r="K184" s="513">
        <v>1480</v>
      </c>
      <c r="L184" s="513" t="s">
        <v>2827</v>
      </c>
      <c r="M184" s="513" t="s">
        <v>780</v>
      </c>
      <c r="N184" s="513" t="s">
        <v>1407</v>
      </c>
      <c r="O184" s="518" t="s">
        <v>2828</v>
      </c>
      <c r="P184" s="152" t="s">
        <v>892</v>
      </c>
      <c r="Q184" s="152" t="s">
        <v>2829</v>
      </c>
      <c r="R184" s="152" t="s">
        <v>2912</v>
      </c>
      <c r="S184" s="152" t="s">
        <v>2831</v>
      </c>
      <c r="T184" s="152" t="s">
        <v>786</v>
      </c>
    </row>
    <row r="185" spans="3:20">
      <c r="C185" s="152" t="s">
        <v>2821</v>
      </c>
      <c r="D185" s="474" t="s">
        <v>676</v>
      </c>
      <c r="E185" s="684" t="str">
        <f>+VLOOKUP(F185,Resumen_Base!$C$8:$G$287,5,0)</f>
        <v>Maintenance Lodge</v>
      </c>
      <c r="F185" s="474" t="s">
        <v>33</v>
      </c>
      <c r="G185" s="210" t="s">
        <v>32</v>
      </c>
      <c r="H185" s="152" t="str">
        <f t="shared" si="2"/>
        <v>CAR5252</v>
      </c>
      <c r="I185" s="513">
        <v>231842</v>
      </c>
      <c r="J185" s="513">
        <v>156.65</v>
      </c>
      <c r="K185" s="513">
        <v>1480</v>
      </c>
      <c r="L185" s="513" t="s">
        <v>2827</v>
      </c>
      <c r="M185" s="513" t="s">
        <v>780</v>
      </c>
      <c r="N185" s="513" t="s">
        <v>1407</v>
      </c>
      <c r="O185" s="518" t="s">
        <v>2828</v>
      </c>
      <c r="P185" s="152" t="s">
        <v>892</v>
      </c>
      <c r="Q185" s="152" t="s">
        <v>2829</v>
      </c>
      <c r="R185" s="152" t="s">
        <v>2918</v>
      </c>
      <c r="S185" s="152" t="s">
        <v>2831</v>
      </c>
      <c r="T185" s="152" t="s">
        <v>786</v>
      </c>
    </row>
    <row r="186" spans="3:20">
      <c r="C186" s="152" t="s">
        <v>2821</v>
      </c>
      <c r="D186" s="474" t="s">
        <v>676</v>
      </c>
      <c r="E186" s="684" t="str">
        <f>+VLOOKUP(F186,Resumen_Base!$C$8:$G$287,5,0)</f>
        <v>Maintenance Lodge</v>
      </c>
      <c r="F186" s="474" t="s">
        <v>33</v>
      </c>
      <c r="G186" s="210" t="s">
        <v>32</v>
      </c>
      <c r="H186" s="152" t="str">
        <f t="shared" si="2"/>
        <v>CAR5252</v>
      </c>
      <c r="I186" s="513">
        <v>26003.599999999999</v>
      </c>
      <c r="J186" s="513">
        <v>17.57</v>
      </c>
      <c r="K186" s="513">
        <v>1480</v>
      </c>
      <c r="L186" s="513" t="s">
        <v>2827</v>
      </c>
      <c r="M186" s="513" t="s">
        <v>780</v>
      </c>
      <c r="N186" s="513" t="s">
        <v>1407</v>
      </c>
      <c r="O186" s="518" t="s">
        <v>2828</v>
      </c>
      <c r="P186" s="152" t="s">
        <v>892</v>
      </c>
      <c r="Q186" s="152" t="s">
        <v>2829</v>
      </c>
      <c r="R186" s="152" t="s">
        <v>2920</v>
      </c>
      <c r="S186" s="152" t="s">
        <v>2831</v>
      </c>
      <c r="T186" s="152" t="s">
        <v>786</v>
      </c>
    </row>
    <row r="187" spans="3:20">
      <c r="C187" s="152" t="s">
        <v>2821</v>
      </c>
      <c r="D187" s="474" t="s">
        <v>676</v>
      </c>
      <c r="E187" s="684" t="str">
        <f>+VLOOKUP(F187,Resumen_Base!$C$8:$G$287,5,0)</f>
        <v>Maintenance Lodge</v>
      </c>
      <c r="F187" s="474" t="s">
        <v>33</v>
      </c>
      <c r="G187" s="210" t="s">
        <v>32</v>
      </c>
      <c r="H187" s="152" t="str">
        <f t="shared" si="2"/>
        <v>CAR5252</v>
      </c>
      <c r="I187" s="513">
        <v>29437.200000000001</v>
      </c>
      <c r="J187" s="513">
        <v>19.89</v>
      </c>
      <c r="K187" s="513">
        <v>1480</v>
      </c>
      <c r="L187" s="513" t="s">
        <v>2827</v>
      </c>
      <c r="M187" s="513" t="s">
        <v>780</v>
      </c>
      <c r="N187" s="513" t="s">
        <v>1407</v>
      </c>
      <c r="O187" s="518" t="s">
        <v>2828</v>
      </c>
      <c r="P187" s="152" t="s">
        <v>892</v>
      </c>
      <c r="Q187" s="152" t="s">
        <v>2829</v>
      </c>
      <c r="R187" s="152" t="s">
        <v>2940</v>
      </c>
      <c r="S187" s="152" t="s">
        <v>2831</v>
      </c>
      <c r="T187" s="152" t="s">
        <v>786</v>
      </c>
    </row>
    <row r="188" spans="3:20">
      <c r="C188" s="152" t="s">
        <v>2821</v>
      </c>
      <c r="D188" s="474" t="s">
        <v>676</v>
      </c>
      <c r="E188" s="684" t="str">
        <f>+VLOOKUP(F188,Resumen_Base!$C$8:$G$287,5,0)</f>
        <v>Maintenance Lodge</v>
      </c>
      <c r="F188" s="474" t="s">
        <v>33</v>
      </c>
      <c r="G188" s="210" t="s">
        <v>32</v>
      </c>
      <c r="H188" s="152" t="str">
        <f t="shared" si="2"/>
        <v>CAR5252</v>
      </c>
      <c r="I188" s="513">
        <v>15865.6</v>
      </c>
      <c r="J188" s="513">
        <v>10.72</v>
      </c>
      <c r="K188" s="513">
        <v>1480</v>
      </c>
      <c r="L188" s="513" t="s">
        <v>2827</v>
      </c>
      <c r="M188" s="513" t="s">
        <v>780</v>
      </c>
      <c r="N188" s="513" t="s">
        <v>1407</v>
      </c>
      <c r="O188" s="518" t="s">
        <v>2828</v>
      </c>
      <c r="P188" s="152" t="s">
        <v>892</v>
      </c>
      <c r="Q188" s="152" t="s">
        <v>2829</v>
      </c>
      <c r="R188" s="152" t="s">
        <v>2941</v>
      </c>
      <c r="S188" s="152" t="s">
        <v>2831</v>
      </c>
      <c r="T188" s="152" t="s">
        <v>786</v>
      </c>
    </row>
    <row r="189" spans="3:20">
      <c r="C189" s="152" t="s">
        <v>2821</v>
      </c>
      <c r="D189" s="474" t="s">
        <v>676</v>
      </c>
      <c r="E189" s="684" t="str">
        <f>+VLOOKUP(F189,Resumen_Base!$C$8:$G$287,5,0)</f>
        <v>Maintenance Lodge</v>
      </c>
      <c r="F189" s="474" t="s">
        <v>33</v>
      </c>
      <c r="G189" s="210" t="s">
        <v>32</v>
      </c>
      <c r="H189" s="152" t="str">
        <f t="shared" si="2"/>
        <v>CAR5252</v>
      </c>
      <c r="I189" s="513">
        <v>11304.3</v>
      </c>
      <c r="J189" s="513">
        <v>7.69</v>
      </c>
      <c r="K189" s="513">
        <v>1470</v>
      </c>
      <c r="L189" s="513" t="s">
        <v>2899</v>
      </c>
      <c r="M189" s="513" t="s">
        <v>780</v>
      </c>
      <c r="N189" s="513" t="s">
        <v>1407</v>
      </c>
      <c r="O189" s="518" t="s">
        <v>2900</v>
      </c>
      <c r="P189" s="152" t="s">
        <v>892</v>
      </c>
      <c r="Q189" s="152" t="s">
        <v>2901</v>
      </c>
      <c r="R189" s="152" t="s">
        <v>2944</v>
      </c>
      <c r="S189" s="152" t="s">
        <v>2903</v>
      </c>
      <c r="T189" s="152" t="s">
        <v>786</v>
      </c>
    </row>
    <row r="190" spans="3:20">
      <c r="C190" s="152" t="s">
        <v>2821</v>
      </c>
      <c r="D190" s="474" t="s">
        <v>676</v>
      </c>
      <c r="E190" s="684" t="str">
        <f>+VLOOKUP(F190,Resumen_Base!$C$8:$G$287,5,0)</f>
        <v>Maintenance Lodge</v>
      </c>
      <c r="F190" s="474" t="s">
        <v>33</v>
      </c>
      <c r="G190" s="210" t="s">
        <v>32</v>
      </c>
      <c r="H190" s="152" t="str">
        <f t="shared" si="2"/>
        <v>CAR5252</v>
      </c>
      <c r="I190" s="513">
        <v>828800</v>
      </c>
      <c r="J190" s="513">
        <v>560</v>
      </c>
      <c r="K190" s="513">
        <v>1480</v>
      </c>
      <c r="L190" s="513" t="s">
        <v>2859</v>
      </c>
      <c r="M190" s="513" t="s">
        <v>780</v>
      </c>
      <c r="N190" s="513" t="s">
        <v>1407</v>
      </c>
      <c r="O190" s="518" t="s">
        <v>2921</v>
      </c>
      <c r="P190" s="152" t="s">
        <v>892</v>
      </c>
      <c r="Q190" s="152" t="s">
        <v>2922</v>
      </c>
      <c r="R190" s="152" t="s">
        <v>2945</v>
      </c>
      <c r="S190" s="152" t="s">
        <v>2924</v>
      </c>
      <c r="T190" s="152" t="s">
        <v>786</v>
      </c>
    </row>
    <row r="191" spans="3:20">
      <c r="C191" s="152" t="s">
        <v>2821</v>
      </c>
      <c r="D191" s="474" t="s">
        <v>676</v>
      </c>
      <c r="E191" s="684" t="str">
        <f>+VLOOKUP(F191,Resumen_Base!$C$8:$G$287,5,0)</f>
        <v>Maintenance Lodge</v>
      </c>
      <c r="F191" s="474" t="s">
        <v>33</v>
      </c>
      <c r="G191" s="210" t="s">
        <v>32</v>
      </c>
      <c r="H191" s="152" t="str">
        <f t="shared" si="2"/>
        <v>CAR5252</v>
      </c>
      <c r="I191" s="513">
        <v>70477.600000000006</v>
      </c>
      <c r="J191" s="513">
        <v>47.62</v>
      </c>
      <c r="K191" s="513">
        <v>1480</v>
      </c>
      <c r="L191" s="513" t="s">
        <v>2827</v>
      </c>
      <c r="M191" s="513" t="s">
        <v>780</v>
      </c>
      <c r="N191" s="513" t="s">
        <v>1407</v>
      </c>
      <c r="O191" s="518" t="s">
        <v>2828</v>
      </c>
      <c r="P191" s="152" t="s">
        <v>892</v>
      </c>
      <c r="Q191" s="152" t="s">
        <v>2829</v>
      </c>
      <c r="R191" s="152" t="s">
        <v>2947</v>
      </c>
      <c r="S191" s="152" t="s">
        <v>2831</v>
      </c>
      <c r="T191" s="152" t="s">
        <v>786</v>
      </c>
    </row>
    <row r="192" spans="3:20">
      <c r="C192" s="152" t="s">
        <v>2821</v>
      </c>
      <c r="D192" s="474" t="s">
        <v>676</v>
      </c>
      <c r="E192" s="684" t="str">
        <f>+VLOOKUP(F192,Resumen_Base!$C$8:$G$287,5,0)</f>
        <v>Maintenance Lodge</v>
      </c>
      <c r="F192" s="474" t="s">
        <v>33</v>
      </c>
      <c r="G192" s="210" t="s">
        <v>32</v>
      </c>
      <c r="H192" s="152" t="str">
        <f t="shared" si="2"/>
        <v>CAR5252</v>
      </c>
      <c r="I192" s="513">
        <v>94853.2</v>
      </c>
      <c r="J192" s="513">
        <v>64.09</v>
      </c>
      <c r="K192" s="513">
        <v>1480</v>
      </c>
      <c r="L192" s="513" t="s">
        <v>2859</v>
      </c>
      <c r="M192" s="513" t="s">
        <v>780</v>
      </c>
      <c r="N192" s="513" t="s">
        <v>1407</v>
      </c>
      <c r="O192" s="518" t="s">
        <v>2907</v>
      </c>
      <c r="P192" s="152" t="s">
        <v>892</v>
      </c>
      <c r="Q192" s="152" t="s">
        <v>2908</v>
      </c>
      <c r="R192" s="152" t="s">
        <v>2948</v>
      </c>
      <c r="S192" s="152" t="s">
        <v>2910</v>
      </c>
      <c r="T192" s="152" t="s">
        <v>786</v>
      </c>
    </row>
    <row r="193" spans="3:20">
      <c r="C193" s="152" t="s">
        <v>2821</v>
      </c>
      <c r="D193" s="474" t="s">
        <v>676</v>
      </c>
      <c r="E193" s="684" t="str">
        <f>+VLOOKUP(F193,Resumen_Base!$C$8:$G$287,5,0)</f>
        <v>Maintenance Lodge</v>
      </c>
      <c r="F193" s="474" t="s">
        <v>33</v>
      </c>
      <c r="G193" s="210" t="s">
        <v>32</v>
      </c>
      <c r="H193" s="152" t="str">
        <f t="shared" si="2"/>
        <v>CAR5252</v>
      </c>
      <c r="I193" s="513">
        <v>489127.8</v>
      </c>
      <c r="J193" s="513">
        <v>332.74</v>
      </c>
      <c r="K193" s="513">
        <v>1470</v>
      </c>
      <c r="L193" s="513" t="s">
        <v>2827</v>
      </c>
      <c r="M193" s="513" t="s">
        <v>780</v>
      </c>
      <c r="N193" s="513" t="s">
        <v>1407</v>
      </c>
      <c r="O193" s="518" t="s">
        <v>2828</v>
      </c>
      <c r="P193" s="152" t="s">
        <v>892</v>
      </c>
      <c r="Q193" s="152" t="s">
        <v>2829</v>
      </c>
      <c r="R193" s="152" t="s">
        <v>2950</v>
      </c>
      <c r="S193" s="152" t="s">
        <v>2831</v>
      </c>
      <c r="T193" s="152" t="s">
        <v>786</v>
      </c>
    </row>
    <row r="194" spans="3:20">
      <c r="C194" s="152" t="s">
        <v>2821</v>
      </c>
      <c r="D194" s="474" t="s">
        <v>676</v>
      </c>
      <c r="E194" s="684" t="str">
        <f>+VLOOKUP(F194,Resumen_Base!$C$8:$G$287,5,0)</f>
        <v>Maintenance Lodge</v>
      </c>
      <c r="F194" s="474" t="s">
        <v>33</v>
      </c>
      <c r="G194" s="210" t="s">
        <v>32</v>
      </c>
      <c r="H194" s="152" t="str">
        <f t="shared" si="2"/>
        <v>CAR5252</v>
      </c>
      <c r="I194" s="513">
        <v>203263.2</v>
      </c>
      <c r="J194" s="513">
        <v>137.34</v>
      </c>
      <c r="K194" s="513">
        <v>1480</v>
      </c>
      <c r="L194" s="513" t="s">
        <v>2859</v>
      </c>
      <c r="M194" s="513" t="s">
        <v>780</v>
      </c>
      <c r="N194" s="513" t="s">
        <v>1407</v>
      </c>
      <c r="O194" s="518" t="s">
        <v>2907</v>
      </c>
      <c r="P194" s="152" t="s">
        <v>892</v>
      </c>
      <c r="Q194" s="152" t="s">
        <v>2908</v>
      </c>
      <c r="R194" s="152" t="s">
        <v>2951</v>
      </c>
      <c r="S194" s="152" t="s">
        <v>2910</v>
      </c>
      <c r="T194" s="152" t="s">
        <v>786</v>
      </c>
    </row>
    <row r="195" spans="3:20">
      <c r="C195" s="152" t="s">
        <v>2821</v>
      </c>
      <c r="D195" s="474" t="s">
        <v>676</v>
      </c>
      <c r="E195" s="684" t="str">
        <f>+VLOOKUP(F195,Resumen_Base!$C$8:$G$287,5,0)</f>
        <v>Maintenance Lodge</v>
      </c>
      <c r="F195" s="474" t="s">
        <v>33</v>
      </c>
      <c r="G195" s="210" t="s">
        <v>32</v>
      </c>
      <c r="H195" s="152" t="str">
        <f t="shared" si="2"/>
        <v>CAR5252</v>
      </c>
      <c r="I195" s="513">
        <v>59362.8</v>
      </c>
      <c r="J195" s="513">
        <v>40.11</v>
      </c>
      <c r="K195" s="513">
        <v>1480</v>
      </c>
      <c r="L195" s="513" t="s">
        <v>2827</v>
      </c>
      <c r="M195" s="513" t="s">
        <v>780</v>
      </c>
      <c r="N195" s="513" t="s">
        <v>1407</v>
      </c>
      <c r="O195" s="518" t="s">
        <v>2828</v>
      </c>
      <c r="P195" s="152" t="s">
        <v>892</v>
      </c>
      <c r="Q195" s="152" t="s">
        <v>2829</v>
      </c>
      <c r="R195" s="152" t="s">
        <v>2952</v>
      </c>
      <c r="S195" s="152" t="s">
        <v>2831</v>
      </c>
      <c r="T195" s="152" t="s">
        <v>786</v>
      </c>
    </row>
    <row r="196" spans="3:20">
      <c r="C196" s="152" t="s">
        <v>2821</v>
      </c>
      <c r="D196" s="474" t="s">
        <v>676</v>
      </c>
      <c r="E196" s="684" t="str">
        <f>+VLOOKUP(F196,Resumen_Base!$C$8:$G$287,5,0)</f>
        <v>Maintenance Lodge</v>
      </c>
      <c r="F196" s="474" t="s">
        <v>33</v>
      </c>
      <c r="G196" s="210" t="s">
        <v>32</v>
      </c>
      <c r="H196" s="152" t="str">
        <f t="shared" si="2"/>
        <v>CAR5252</v>
      </c>
      <c r="I196" s="513">
        <v>64779.6</v>
      </c>
      <c r="J196" s="513">
        <v>43.77</v>
      </c>
      <c r="K196" s="513">
        <v>1480</v>
      </c>
      <c r="L196" s="513" t="s">
        <v>2859</v>
      </c>
      <c r="M196" s="513" t="s">
        <v>780</v>
      </c>
      <c r="N196" s="513" t="s">
        <v>1407</v>
      </c>
      <c r="O196" s="518" t="s">
        <v>2907</v>
      </c>
      <c r="P196" s="152" t="s">
        <v>892</v>
      </c>
      <c r="Q196" s="152" t="s">
        <v>2908</v>
      </c>
      <c r="R196" s="152" t="s">
        <v>2956</v>
      </c>
      <c r="S196" s="152" t="s">
        <v>2910</v>
      </c>
      <c r="T196" s="152" t="s">
        <v>786</v>
      </c>
    </row>
    <row r="197" spans="3:20">
      <c r="C197" s="152" t="s">
        <v>2821</v>
      </c>
      <c r="D197" s="474" t="s">
        <v>676</v>
      </c>
      <c r="E197" s="684" t="str">
        <f>+VLOOKUP(F197,Resumen_Base!$C$8:$G$287,5,0)</f>
        <v>Maintenance Lodge</v>
      </c>
      <c r="F197" s="474" t="s">
        <v>33</v>
      </c>
      <c r="G197" s="210" t="s">
        <v>32</v>
      </c>
      <c r="H197" s="152" t="str">
        <f t="shared" si="2"/>
        <v>CAR5252</v>
      </c>
      <c r="I197" s="513">
        <v>439074.3</v>
      </c>
      <c r="J197" s="513">
        <v>298.69</v>
      </c>
      <c r="K197" s="513">
        <v>1470</v>
      </c>
      <c r="L197" s="513" t="s">
        <v>2827</v>
      </c>
      <c r="M197" s="513" t="s">
        <v>780</v>
      </c>
      <c r="N197" s="513" t="s">
        <v>1407</v>
      </c>
      <c r="O197" s="518" t="s">
        <v>2828</v>
      </c>
      <c r="P197" s="152" t="s">
        <v>892</v>
      </c>
      <c r="Q197" s="152" t="s">
        <v>2829</v>
      </c>
      <c r="R197" s="152" t="s">
        <v>2957</v>
      </c>
      <c r="S197" s="152" t="s">
        <v>2831</v>
      </c>
      <c r="T197" s="152" t="s">
        <v>786</v>
      </c>
    </row>
    <row r="198" spans="3:20">
      <c r="C198" s="152" t="s">
        <v>2821</v>
      </c>
      <c r="D198" s="474" t="s">
        <v>676</v>
      </c>
      <c r="E198" s="684" t="str">
        <f>+VLOOKUP(F198,Resumen_Base!$C$8:$G$287,5,0)</f>
        <v>Maintenance Lodge</v>
      </c>
      <c r="F198" s="474" t="s">
        <v>33</v>
      </c>
      <c r="G198" s="210" t="s">
        <v>32</v>
      </c>
      <c r="H198" s="152" t="str">
        <f t="shared" si="2"/>
        <v>CAR5252</v>
      </c>
      <c r="I198" s="513">
        <v>31168.799999999999</v>
      </c>
      <c r="J198" s="513">
        <v>21.06</v>
      </c>
      <c r="K198" s="513">
        <v>1480</v>
      </c>
      <c r="L198" s="513" t="s">
        <v>2859</v>
      </c>
      <c r="M198" s="513" t="s">
        <v>780</v>
      </c>
      <c r="N198" s="513" t="s">
        <v>1407</v>
      </c>
      <c r="O198" s="518" t="s">
        <v>2907</v>
      </c>
      <c r="P198" s="152" t="s">
        <v>892</v>
      </c>
      <c r="Q198" s="152" t="s">
        <v>2908</v>
      </c>
      <c r="R198" s="152" t="s">
        <v>2959</v>
      </c>
      <c r="S198" s="152" t="s">
        <v>2910</v>
      </c>
      <c r="T198" s="152" t="s">
        <v>786</v>
      </c>
    </row>
    <row r="199" spans="3:20">
      <c r="C199" s="152" t="s">
        <v>2821</v>
      </c>
      <c r="D199" s="474" t="s">
        <v>676</v>
      </c>
      <c r="E199" s="684" t="str">
        <f>+VLOOKUP(F199,Resumen_Base!$C$8:$G$287,5,0)</f>
        <v>Maintenance Lodge</v>
      </c>
      <c r="F199" s="474" t="s">
        <v>33</v>
      </c>
      <c r="G199" s="210" t="s">
        <v>32</v>
      </c>
      <c r="H199" s="152" t="str">
        <f t="shared" si="2"/>
        <v>CAR5252</v>
      </c>
      <c r="I199" s="513">
        <v>37725.199999999997</v>
      </c>
      <c r="J199" s="513">
        <v>25.49</v>
      </c>
      <c r="K199" s="513">
        <v>1480</v>
      </c>
      <c r="L199" s="513" t="s">
        <v>2827</v>
      </c>
      <c r="M199" s="513" t="s">
        <v>780</v>
      </c>
      <c r="N199" s="513" t="s">
        <v>1407</v>
      </c>
      <c r="O199" s="518" t="s">
        <v>2828</v>
      </c>
      <c r="P199" s="152" t="s">
        <v>892</v>
      </c>
      <c r="Q199" s="152" t="s">
        <v>2829</v>
      </c>
      <c r="R199" s="152" t="s">
        <v>2969</v>
      </c>
      <c r="S199" s="152" t="s">
        <v>2831</v>
      </c>
      <c r="T199" s="152" t="s">
        <v>786</v>
      </c>
    </row>
    <row r="200" spans="3:20">
      <c r="C200" s="152" t="s">
        <v>2821</v>
      </c>
      <c r="D200" s="474" t="s">
        <v>676</v>
      </c>
      <c r="E200" s="684" t="str">
        <f>+VLOOKUP(F200,Resumen_Base!$C$8:$G$287,5,0)</f>
        <v>Maintenance Lodge</v>
      </c>
      <c r="F200" s="474" t="s">
        <v>33</v>
      </c>
      <c r="G200" s="210" t="s">
        <v>32</v>
      </c>
      <c r="H200" s="152" t="str">
        <f t="shared" si="2"/>
        <v>CAR5252</v>
      </c>
      <c r="I200" s="513">
        <v>241240</v>
      </c>
      <c r="J200" s="513">
        <v>163</v>
      </c>
      <c r="K200" s="513">
        <v>1480</v>
      </c>
      <c r="L200" s="513" t="s">
        <v>2859</v>
      </c>
      <c r="M200" s="513" t="s">
        <v>780</v>
      </c>
      <c r="N200" s="513" t="s">
        <v>1407</v>
      </c>
      <c r="O200" s="518" t="s">
        <v>2907</v>
      </c>
      <c r="P200" s="152" t="s">
        <v>892</v>
      </c>
      <c r="Q200" s="152" t="s">
        <v>2908</v>
      </c>
      <c r="R200" s="152" t="s">
        <v>2975</v>
      </c>
      <c r="S200" s="152" t="s">
        <v>2910</v>
      </c>
      <c r="T200" s="152" t="s">
        <v>786</v>
      </c>
    </row>
    <row r="201" spans="3:20">
      <c r="C201" s="152" t="s">
        <v>2821</v>
      </c>
      <c r="D201" s="474" t="s">
        <v>676</v>
      </c>
      <c r="E201" s="684" t="str">
        <f>+VLOOKUP(F201,Resumen_Base!$C$8:$G$287,5,0)</f>
        <v>Maintenance Lodge</v>
      </c>
      <c r="F201" s="474" t="s">
        <v>33</v>
      </c>
      <c r="G201" s="210" t="s">
        <v>32</v>
      </c>
      <c r="H201" s="152" t="str">
        <f t="shared" si="2"/>
        <v>CAR5252</v>
      </c>
      <c r="I201" s="513">
        <v>18736.8</v>
      </c>
      <c r="J201" s="513">
        <v>12.66</v>
      </c>
      <c r="K201" s="513">
        <v>1480</v>
      </c>
      <c r="L201" s="513" t="s">
        <v>2859</v>
      </c>
      <c r="M201" s="513" t="s">
        <v>780</v>
      </c>
      <c r="N201" s="513" t="s">
        <v>1407</v>
      </c>
      <c r="O201" s="518" t="s">
        <v>2907</v>
      </c>
      <c r="P201" s="152" t="s">
        <v>892</v>
      </c>
      <c r="Q201" s="152" t="s">
        <v>2908</v>
      </c>
      <c r="R201" s="152" t="s">
        <v>2976</v>
      </c>
      <c r="S201" s="152" t="s">
        <v>2910</v>
      </c>
      <c r="T201" s="152" t="s">
        <v>786</v>
      </c>
    </row>
    <row r="202" spans="3:20">
      <c r="C202" s="152" t="s">
        <v>2821</v>
      </c>
      <c r="D202" s="474" t="s">
        <v>676</v>
      </c>
      <c r="E202" s="684" t="str">
        <f>+VLOOKUP(F202,Resumen_Base!$C$8:$G$287,5,0)</f>
        <v>Maintenance Lodge</v>
      </c>
      <c r="F202" s="474" t="s">
        <v>33</v>
      </c>
      <c r="G202" s="210" t="s">
        <v>32</v>
      </c>
      <c r="H202" s="152" t="str">
        <f t="shared" si="2"/>
        <v>CAR5252</v>
      </c>
      <c r="I202" s="513">
        <v>7192.8</v>
      </c>
      <c r="J202" s="513">
        <v>4.8600000000000003</v>
      </c>
      <c r="K202" s="513">
        <v>1480</v>
      </c>
      <c r="L202" s="513" t="s">
        <v>2827</v>
      </c>
      <c r="M202" s="513" t="s">
        <v>780</v>
      </c>
      <c r="N202" s="513" t="s">
        <v>1407</v>
      </c>
      <c r="O202" s="518" t="s">
        <v>2828</v>
      </c>
      <c r="P202" s="152" t="s">
        <v>892</v>
      </c>
      <c r="Q202" s="152" t="s">
        <v>2829</v>
      </c>
      <c r="R202" s="152" t="s">
        <v>2978</v>
      </c>
      <c r="S202" s="152" t="s">
        <v>2831</v>
      </c>
      <c r="T202" s="152" t="s">
        <v>786</v>
      </c>
    </row>
    <row r="203" spans="3:20">
      <c r="C203" s="152" t="s">
        <v>2821</v>
      </c>
      <c r="D203" s="474" t="s">
        <v>676</v>
      </c>
      <c r="E203" s="684" t="str">
        <f>+VLOOKUP(F203,Resumen_Base!$C$8:$G$287,5,0)</f>
        <v>Maintenance Lodge</v>
      </c>
      <c r="F203" s="474" t="s">
        <v>33</v>
      </c>
      <c r="G203" s="210" t="s">
        <v>32</v>
      </c>
      <c r="H203" s="152" t="str">
        <f t="shared" si="2"/>
        <v>CAR5252</v>
      </c>
      <c r="I203" s="513">
        <v>22614.400000000001</v>
      </c>
      <c r="J203" s="513">
        <v>15.28</v>
      </c>
      <c r="K203" s="513">
        <v>1480</v>
      </c>
      <c r="L203" s="513" t="s">
        <v>2827</v>
      </c>
      <c r="M203" s="513" t="s">
        <v>780</v>
      </c>
      <c r="N203" s="513" t="s">
        <v>1407</v>
      </c>
      <c r="O203" s="518" t="s">
        <v>2828</v>
      </c>
      <c r="P203" s="152" t="s">
        <v>892</v>
      </c>
      <c r="Q203" s="152" t="s">
        <v>2829</v>
      </c>
      <c r="R203" s="152" t="s">
        <v>2979</v>
      </c>
      <c r="S203" s="152" t="s">
        <v>2831</v>
      </c>
      <c r="T203" s="152" t="s">
        <v>786</v>
      </c>
    </row>
    <row r="204" spans="3:20">
      <c r="C204" s="152" t="s">
        <v>2821</v>
      </c>
      <c r="D204" s="474" t="s">
        <v>676</v>
      </c>
      <c r="E204" s="684" t="str">
        <f>+VLOOKUP(F204,Resumen_Base!$C$8:$G$287,5,0)</f>
        <v>Maintenance Lodge</v>
      </c>
      <c r="F204" s="474" t="s">
        <v>33</v>
      </c>
      <c r="G204" s="210" t="s">
        <v>32</v>
      </c>
      <c r="H204" s="152" t="str">
        <f t="shared" ref="H204:H270" si="3">+D204&amp;F204</f>
        <v>CAR5252</v>
      </c>
      <c r="I204" s="513">
        <v>26669.599999999999</v>
      </c>
      <c r="J204" s="513">
        <v>18.02</v>
      </c>
      <c r="K204" s="513">
        <v>1480</v>
      </c>
      <c r="L204" s="513" t="s">
        <v>2827</v>
      </c>
      <c r="M204" s="513" t="s">
        <v>780</v>
      </c>
      <c r="N204" s="513" t="s">
        <v>1407</v>
      </c>
      <c r="O204" s="518" t="s">
        <v>2828</v>
      </c>
      <c r="P204" s="152" t="s">
        <v>892</v>
      </c>
      <c r="Q204" s="152" t="s">
        <v>2829</v>
      </c>
      <c r="R204" s="152" t="s">
        <v>2980</v>
      </c>
      <c r="S204" s="152" t="s">
        <v>2831</v>
      </c>
      <c r="T204" s="152" t="s">
        <v>786</v>
      </c>
    </row>
    <row r="205" spans="3:20">
      <c r="C205" s="152" t="s">
        <v>2821</v>
      </c>
      <c r="D205" s="474" t="s">
        <v>676</v>
      </c>
      <c r="E205" s="684" t="str">
        <f>+VLOOKUP(F205,Resumen_Base!$C$8:$G$287,5,0)</f>
        <v>Maintenance Lodge</v>
      </c>
      <c r="F205" s="474" t="s">
        <v>33</v>
      </c>
      <c r="G205" s="210" t="s">
        <v>32</v>
      </c>
      <c r="H205" s="152" t="str">
        <f t="shared" si="3"/>
        <v>CAR5252</v>
      </c>
      <c r="I205" s="513">
        <v>286238.40000000002</v>
      </c>
      <c r="J205" s="513">
        <v>194.72</v>
      </c>
      <c r="K205" s="513">
        <v>1470</v>
      </c>
      <c r="L205" s="513" t="s">
        <v>2899</v>
      </c>
      <c r="M205" s="513" t="s">
        <v>780</v>
      </c>
      <c r="N205" s="513" t="s">
        <v>1407</v>
      </c>
      <c r="O205" s="518" t="s">
        <v>2900</v>
      </c>
      <c r="P205" s="152" t="s">
        <v>892</v>
      </c>
      <c r="Q205" s="152" t="s">
        <v>2901</v>
      </c>
      <c r="R205" s="152" t="s">
        <v>2981</v>
      </c>
      <c r="S205" s="152" t="s">
        <v>2903</v>
      </c>
      <c r="T205" s="152" t="s">
        <v>786</v>
      </c>
    </row>
    <row r="206" spans="3:20">
      <c r="C206" s="152" t="s">
        <v>2821</v>
      </c>
      <c r="D206" s="474" t="s">
        <v>676</v>
      </c>
      <c r="E206" s="684" t="str">
        <f>+VLOOKUP(F206,Resumen_Base!$C$8:$G$287,5,0)</f>
        <v>Maintenance Lodge</v>
      </c>
      <c r="F206" s="474" t="s">
        <v>33</v>
      </c>
      <c r="G206" s="210" t="s">
        <v>32</v>
      </c>
      <c r="H206" s="152" t="str">
        <f t="shared" si="3"/>
        <v>CAR5252</v>
      </c>
      <c r="I206" s="513">
        <v>43835.4</v>
      </c>
      <c r="J206" s="513">
        <v>29.82</v>
      </c>
      <c r="K206" s="513">
        <v>1470</v>
      </c>
      <c r="L206" s="513" t="s">
        <v>2899</v>
      </c>
      <c r="M206" s="513" t="s">
        <v>780</v>
      </c>
      <c r="N206" s="513" t="s">
        <v>1407</v>
      </c>
      <c r="O206" s="518" t="s">
        <v>2900</v>
      </c>
      <c r="P206" s="152" t="s">
        <v>892</v>
      </c>
      <c r="Q206" s="152" t="s">
        <v>2901</v>
      </c>
      <c r="R206" s="152" t="s">
        <v>2982</v>
      </c>
      <c r="S206" s="152" t="s">
        <v>2903</v>
      </c>
      <c r="T206" s="152" t="s">
        <v>786</v>
      </c>
    </row>
    <row r="207" spans="3:20">
      <c r="C207" s="152" t="s">
        <v>2821</v>
      </c>
      <c r="D207" s="474" t="s">
        <v>676</v>
      </c>
      <c r="E207" s="684" t="str">
        <f>+VLOOKUP(F207,Resumen_Base!$C$8:$G$287,5,0)</f>
        <v>Maintenance Lodge</v>
      </c>
      <c r="F207" s="474" t="s">
        <v>33</v>
      </c>
      <c r="G207" s="210" t="s">
        <v>32</v>
      </c>
      <c r="H207" s="152" t="str">
        <f t="shared" si="3"/>
        <v>CAR5252</v>
      </c>
      <c r="I207" s="513">
        <v>154719.20000000001</v>
      </c>
      <c r="J207" s="513">
        <v>104.54</v>
      </c>
      <c r="K207" s="513">
        <v>1480</v>
      </c>
      <c r="L207" s="513" t="s">
        <v>2859</v>
      </c>
      <c r="M207" s="513" t="s">
        <v>780</v>
      </c>
      <c r="N207" s="513" t="s">
        <v>1407</v>
      </c>
      <c r="O207" s="518" t="s">
        <v>2921</v>
      </c>
      <c r="P207" s="152" t="s">
        <v>892</v>
      </c>
      <c r="Q207" s="152" t="s">
        <v>2922</v>
      </c>
      <c r="R207" s="152" t="s">
        <v>2990</v>
      </c>
      <c r="S207" s="152" t="s">
        <v>2924</v>
      </c>
      <c r="T207" s="152" t="s">
        <v>786</v>
      </c>
    </row>
    <row r="208" spans="3:20">
      <c r="C208" s="152" t="s">
        <v>2821</v>
      </c>
      <c r="D208" s="474" t="s">
        <v>676</v>
      </c>
      <c r="E208" s="684" t="str">
        <f>+VLOOKUP(F208,Resumen_Base!$C$8:$G$287,5,0)</f>
        <v>Maintenance Lodge</v>
      </c>
      <c r="F208" s="474" t="s">
        <v>33</v>
      </c>
      <c r="G208" s="210" t="s">
        <v>32</v>
      </c>
      <c r="H208" s="152" t="str">
        <f t="shared" si="3"/>
        <v>CAR5252</v>
      </c>
      <c r="I208" s="513">
        <v>2871.2</v>
      </c>
      <c r="J208" s="513">
        <v>1.94</v>
      </c>
      <c r="K208" s="513">
        <v>1480</v>
      </c>
      <c r="L208" s="513" t="s">
        <v>2859</v>
      </c>
      <c r="M208" s="513" t="s">
        <v>780</v>
      </c>
      <c r="N208" s="513" t="s">
        <v>1407</v>
      </c>
      <c r="O208" s="518" t="s">
        <v>2936</v>
      </c>
      <c r="P208" s="152" t="s">
        <v>892</v>
      </c>
      <c r="Q208" s="152" t="s">
        <v>2937</v>
      </c>
      <c r="R208" s="152" t="s">
        <v>1515</v>
      </c>
      <c r="S208" s="152" t="s">
        <v>2939</v>
      </c>
      <c r="T208" s="152" t="s">
        <v>786</v>
      </c>
    </row>
    <row r="209" spans="3:20">
      <c r="C209" s="152" t="s">
        <v>2821</v>
      </c>
      <c r="D209" s="474" t="s">
        <v>676</v>
      </c>
      <c r="E209" s="684" t="str">
        <f>+VLOOKUP(F209,Resumen_Base!$C$8:$G$287,5,0)</f>
        <v>Maintenance Lodge</v>
      </c>
      <c r="F209" s="474" t="s">
        <v>33</v>
      </c>
      <c r="G209" s="210" t="s">
        <v>32</v>
      </c>
      <c r="H209" s="152" t="str">
        <f t="shared" si="3"/>
        <v>CAR5252</v>
      </c>
      <c r="I209" s="513">
        <v>2871.2</v>
      </c>
      <c r="J209" s="513">
        <v>1.94</v>
      </c>
      <c r="K209" s="513">
        <v>1480</v>
      </c>
      <c r="L209" s="513" t="s">
        <v>2859</v>
      </c>
      <c r="M209" s="513" t="s">
        <v>780</v>
      </c>
      <c r="N209" s="513" t="s">
        <v>1407</v>
      </c>
      <c r="O209" s="518" t="s">
        <v>2936</v>
      </c>
      <c r="P209" s="152" t="s">
        <v>892</v>
      </c>
      <c r="Q209" s="152" t="s">
        <v>2937</v>
      </c>
      <c r="R209" s="152" t="s">
        <v>1515</v>
      </c>
      <c r="S209" s="152" t="s">
        <v>2939</v>
      </c>
      <c r="T209" s="152" t="s">
        <v>786</v>
      </c>
    </row>
    <row r="210" spans="3:20">
      <c r="C210" s="152" t="s">
        <v>2821</v>
      </c>
      <c r="D210" s="474" t="s">
        <v>676</v>
      </c>
      <c r="E210" s="684" t="str">
        <f>+VLOOKUP(F210,Resumen_Base!$C$8:$G$287,5,0)</f>
        <v>Maintenance Lodge</v>
      </c>
      <c r="F210" s="474" t="s">
        <v>33</v>
      </c>
      <c r="G210" s="210" t="s">
        <v>32</v>
      </c>
      <c r="H210" s="152" t="str">
        <f t="shared" si="3"/>
        <v>CAR5252</v>
      </c>
      <c r="I210" s="513">
        <v>299729.59999999998</v>
      </c>
      <c r="J210" s="513">
        <v>202.52</v>
      </c>
      <c r="K210" s="513">
        <v>1480</v>
      </c>
      <c r="L210" s="513" t="s">
        <v>2827</v>
      </c>
      <c r="M210" s="513" t="s">
        <v>780</v>
      </c>
      <c r="N210" s="513" t="s">
        <v>1407</v>
      </c>
      <c r="O210" s="518" t="s">
        <v>2932</v>
      </c>
      <c r="P210" s="152" t="s">
        <v>892</v>
      </c>
      <c r="Q210" s="152" t="s">
        <v>2933</v>
      </c>
      <c r="R210" s="152" t="s">
        <v>3027</v>
      </c>
      <c r="S210" s="152" t="s">
        <v>2935</v>
      </c>
      <c r="T210" s="152" t="s">
        <v>786</v>
      </c>
    </row>
    <row r="211" spans="3:20">
      <c r="C211" s="152" t="s">
        <v>2821</v>
      </c>
      <c r="D211" s="474" t="s">
        <v>676</v>
      </c>
      <c r="E211" s="684" t="str">
        <f>+VLOOKUP(F211,Resumen_Base!$C$8:$G$287,5,0)</f>
        <v>Maintenance Lodge</v>
      </c>
      <c r="F211" s="474" t="s">
        <v>33</v>
      </c>
      <c r="G211" s="210" t="s">
        <v>32</v>
      </c>
      <c r="H211" s="152" t="str">
        <f t="shared" si="3"/>
        <v>CAR5252</v>
      </c>
      <c r="I211" s="513">
        <v>118710.8</v>
      </c>
      <c r="J211" s="513">
        <v>80.209999999999994</v>
      </c>
      <c r="K211" s="513">
        <v>1480</v>
      </c>
      <c r="L211" s="513" t="s">
        <v>2859</v>
      </c>
      <c r="M211" s="513" t="s">
        <v>780</v>
      </c>
      <c r="N211" s="513" t="s">
        <v>1407</v>
      </c>
      <c r="O211" s="518" t="s">
        <v>2907</v>
      </c>
      <c r="P211" s="152" t="s">
        <v>892</v>
      </c>
      <c r="Q211" s="152" t="s">
        <v>2908</v>
      </c>
      <c r="R211" s="152" t="s">
        <v>3030</v>
      </c>
      <c r="S211" s="152" t="s">
        <v>2910</v>
      </c>
      <c r="T211" s="152" t="s">
        <v>786</v>
      </c>
    </row>
    <row r="212" spans="3:20">
      <c r="C212" s="152" t="s">
        <v>2821</v>
      </c>
      <c r="D212" s="474" t="s">
        <v>676</v>
      </c>
      <c r="E212" s="684" t="str">
        <f>+VLOOKUP(F212,Resumen_Base!$C$8:$G$287,5,0)</f>
        <v>Maintenance Lodge</v>
      </c>
      <c r="F212" s="474" t="s">
        <v>33</v>
      </c>
      <c r="G212" s="210" t="s">
        <v>32</v>
      </c>
      <c r="H212" s="152" t="str">
        <f t="shared" si="3"/>
        <v>CAR5252</v>
      </c>
      <c r="I212" s="513">
        <v>195256.4</v>
      </c>
      <c r="J212" s="513">
        <v>131.93</v>
      </c>
      <c r="K212" s="513">
        <v>1480</v>
      </c>
      <c r="L212" s="513" t="s">
        <v>2859</v>
      </c>
      <c r="M212" s="513" t="s">
        <v>780</v>
      </c>
      <c r="N212" s="513" t="s">
        <v>1407</v>
      </c>
      <c r="O212" s="518" t="s">
        <v>2936</v>
      </c>
      <c r="P212" s="152" t="s">
        <v>892</v>
      </c>
      <c r="Q212" s="152" t="s">
        <v>2937</v>
      </c>
      <c r="R212" s="152" t="s">
        <v>3032</v>
      </c>
      <c r="S212" s="152" t="s">
        <v>2939</v>
      </c>
      <c r="T212" s="152" t="s">
        <v>786</v>
      </c>
    </row>
    <row r="213" spans="3:20">
      <c r="C213" s="152" t="s">
        <v>2821</v>
      </c>
      <c r="D213" s="474" t="s">
        <v>676</v>
      </c>
      <c r="E213" s="684" t="str">
        <f>+VLOOKUP(F213,Resumen_Base!$C$8:$G$287,5,0)</f>
        <v>Maintenance Lodge</v>
      </c>
      <c r="F213" s="474" t="s">
        <v>33</v>
      </c>
      <c r="G213" s="210" t="s">
        <v>32</v>
      </c>
      <c r="H213" s="152" t="str">
        <f t="shared" si="3"/>
        <v>CAR5252</v>
      </c>
      <c r="I213" s="513">
        <v>31553.599999999999</v>
      </c>
      <c r="J213" s="513">
        <v>21.32</v>
      </c>
      <c r="K213" s="513">
        <v>1480</v>
      </c>
      <c r="L213" s="513" t="s">
        <v>2827</v>
      </c>
      <c r="M213" s="513" t="s">
        <v>780</v>
      </c>
      <c r="N213" s="513" t="s">
        <v>1407</v>
      </c>
      <c r="O213" s="518" t="s">
        <v>2828</v>
      </c>
      <c r="P213" s="152" t="s">
        <v>892</v>
      </c>
      <c r="Q213" s="152" t="s">
        <v>2829</v>
      </c>
      <c r="R213" s="152" t="s">
        <v>3054</v>
      </c>
      <c r="S213" s="152" t="s">
        <v>2831</v>
      </c>
      <c r="T213" s="152" t="s">
        <v>786</v>
      </c>
    </row>
    <row r="214" spans="3:20">
      <c r="C214" s="152" t="s">
        <v>2821</v>
      </c>
      <c r="D214" s="474" t="s">
        <v>676</v>
      </c>
      <c r="E214" s="684" t="str">
        <f>+VLOOKUP(F214,Resumen_Base!$C$8:$G$287,5,0)</f>
        <v>Maintenance Lodge</v>
      </c>
      <c r="F214" s="474" t="s">
        <v>33</v>
      </c>
      <c r="G214" s="210" t="s">
        <v>32</v>
      </c>
      <c r="H214" s="152" t="str">
        <f t="shared" si="3"/>
        <v>CAR5252</v>
      </c>
      <c r="I214" s="513">
        <v>799200</v>
      </c>
      <c r="J214" s="513">
        <v>540</v>
      </c>
      <c r="K214" s="513">
        <v>1480</v>
      </c>
      <c r="L214" s="513" t="s">
        <v>2827</v>
      </c>
      <c r="M214" s="513" t="s">
        <v>780</v>
      </c>
      <c r="N214" s="513" t="s">
        <v>1407</v>
      </c>
      <c r="O214" s="518" t="s">
        <v>2828</v>
      </c>
      <c r="P214" s="152" t="s">
        <v>892</v>
      </c>
      <c r="Q214" s="152" t="s">
        <v>2829</v>
      </c>
      <c r="R214" s="152" t="s">
        <v>3058</v>
      </c>
      <c r="S214" s="152" t="s">
        <v>2831</v>
      </c>
      <c r="T214" s="152" t="s">
        <v>786</v>
      </c>
    </row>
    <row r="215" spans="3:20">
      <c r="C215" s="152" t="s">
        <v>2821</v>
      </c>
      <c r="D215" s="474" t="s">
        <v>676</v>
      </c>
      <c r="E215" s="684" t="str">
        <f>+VLOOKUP(F215,Resumen_Base!$C$8:$G$287,5,0)</f>
        <v>Maintenance Lodge</v>
      </c>
      <c r="F215" s="474" t="s">
        <v>33</v>
      </c>
      <c r="G215" s="210" t="s">
        <v>32</v>
      </c>
      <c r="H215" s="152" t="str">
        <f t="shared" si="3"/>
        <v>CAR5252</v>
      </c>
      <c r="I215" s="513">
        <v>484226.4</v>
      </c>
      <c r="J215" s="513">
        <v>327.18</v>
      </c>
      <c r="K215" s="513">
        <v>1480</v>
      </c>
      <c r="L215" s="513" t="s">
        <v>2859</v>
      </c>
      <c r="M215" s="513" t="s">
        <v>780</v>
      </c>
      <c r="N215" s="513" t="s">
        <v>1407</v>
      </c>
      <c r="O215" s="518" t="s">
        <v>2936</v>
      </c>
      <c r="P215" s="152" t="s">
        <v>892</v>
      </c>
      <c r="Q215" s="152" t="s">
        <v>2937</v>
      </c>
      <c r="R215" s="152" t="s">
        <v>3064</v>
      </c>
      <c r="S215" s="152" t="s">
        <v>2939</v>
      </c>
      <c r="T215" s="152" t="s">
        <v>786</v>
      </c>
    </row>
    <row r="216" spans="3:20">
      <c r="C216" s="152" t="s">
        <v>2821</v>
      </c>
      <c r="D216" s="474" t="s">
        <v>676</v>
      </c>
      <c r="E216" s="684" t="str">
        <f>+VLOOKUP(F216,Resumen_Base!$C$8:$G$287,5,0)</f>
        <v>Maintenance Lodge</v>
      </c>
      <c r="F216" s="474" t="s">
        <v>33</v>
      </c>
      <c r="G216" s="210" t="s">
        <v>32</v>
      </c>
      <c r="H216" s="152" t="str">
        <f t="shared" si="3"/>
        <v>CAR5252</v>
      </c>
      <c r="I216" s="513">
        <v>182040</v>
      </c>
      <c r="J216" s="513">
        <v>123</v>
      </c>
      <c r="K216" s="513">
        <v>1480</v>
      </c>
      <c r="L216" s="513" t="s">
        <v>2827</v>
      </c>
      <c r="M216" s="513" t="s">
        <v>780</v>
      </c>
      <c r="N216" s="513" t="s">
        <v>1407</v>
      </c>
      <c r="O216" s="518" t="s">
        <v>2828</v>
      </c>
      <c r="P216" s="152" t="s">
        <v>892</v>
      </c>
      <c r="Q216" s="152" t="s">
        <v>2829</v>
      </c>
      <c r="R216" s="152" t="s">
        <v>3071</v>
      </c>
      <c r="S216" s="152" t="s">
        <v>2831</v>
      </c>
      <c r="T216" s="152" t="s">
        <v>786</v>
      </c>
    </row>
    <row r="217" spans="3:20">
      <c r="C217" s="152" t="s">
        <v>2821</v>
      </c>
      <c r="D217" s="474" t="s">
        <v>676</v>
      </c>
      <c r="E217" s="684" t="str">
        <f>+VLOOKUP(F217,Resumen_Base!$C$8:$G$287,5,0)</f>
        <v>Maintenance Lodge</v>
      </c>
      <c r="F217" s="474" t="s">
        <v>33</v>
      </c>
      <c r="G217" s="210" t="s">
        <v>32</v>
      </c>
      <c r="H217" s="152" t="str">
        <f t="shared" si="3"/>
        <v>CAR5252</v>
      </c>
      <c r="I217" s="513">
        <v>26980.400000000001</v>
      </c>
      <c r="J217" s="513">
        <v>18.23</v>
      </c>
      <c r="K217" s="513">
        <v>1480</v>
      </c>
      <c r="L217" s="513" t="s">
        <v>2827</v>
      </c>
      <c r="M217" s="513" t="s">
        <v>780</v>
      </c>
      <c r="N217" s="513" t="s">
        <v>1407</v>
      </c>
      <c r="O217" s="518" t="s">
        <v>2828</v>
      </c>
      <c r="P217" s="152" t="s">
        <v>892</v>
      </c>
      <c r="Q217" s="152" t="s">
        <v>2829</v>
      </c>
      <c r="R217" s="152" t="s">
        <v>3072</v>
      </c>
      <c r="S217" s="152" t="s">
        <v>2831</v>
      </c>
      <c r="T217" s="152" t="s">
        <v>786</v>
      </c>
    </row>
    <row r="218" spans="3:20">
      <c r="C218" s="152" t="s">
        <v>2821</v>
      </c>
      <c r="D218" s="474" t="s">
        <v>676</v>
      </c>
      <c r="E218" s="684" t="str">
        <f>+VLOOKUP(F218,Resumen_Base!$C$8:$G$287,5,0)</f>
        <v>Maintenance Lodge</v>
      </c>
      <c r="F218" s="474" t="s">
        <v>33</v>
      </c>
      <c r="G218" s="210" t="s">
        <v>32</v>
      </c>
      <c r="H218" s="152" t="str">
        <f t="shared" si="3"/>
        <v>CAR5252</v>
      </c>
      <c r="I218" s="513">
        <v>52773</v>
      </c>
      <c r="J218" s="513">
        <v>35.9</v>
      </c>
      <c r="K218" s="513">
        <v>1470</v>
      </c>
      <c r="L218" s="513" t="s">
        <v>2827</v>
      </c>
      <c r="M218" s="513" t="s">
        <v>780</v>
      </c>
      <c r="N218" s="513" t="s">
        <v>1407</v>
      </c>
      <c r="O218" s="518" t="s">
        <v>2828</v>
      </c>
      <c r="P218" s="152" t="s">
        <v>892</v>
      </c>
      <c r="Q218" s="152" t="s">
        <v>2829</v>
      </c>
      <c r="R218" s="152" t="s">
        <v>3074</v>
      </c>
      <c r="S218" s="152" t="s">
        <v>2831</v>
      </c>
      <c r="T218" s="152" t="s">
        <v>786</v>
      </c>
    </row>
    <row r="219" spans="3:20">
      <c r="C219" s="152" t="s">
        <v>2821</v>
      </c>
      <c r="D219" s="474" t="s">
        <v>676</v>
      </c>
      <c r="E219" s="684" t="str">
        <f>+VLOOKUP(F219,Resumen_Base!$C$8:$G$287,5,0)</f>
        <v>Maintenance Lodge</v>
      </c>
      <c r="F219" s="474" t="s">
        <v>33</v>
      </c>
      <c r="G219" s="210" t="s">
        <v>32</v>
      </c>
      <c r="H219" s="152" t="str">
        <f t="shared" si="3"/>
        <v>CAR5252</v>
      </c>
      <c r="I219" s="513">
        <v>68479.600000000006</v>
      </c>
      <c r="J219" s="513">
        <v>46.27</v>
      </c>
      <c r="K219" s="513">
        <v>1480</v>
      </c>
      <c r="L219" s="513" t="s">
        <v>2827</v>
      </c>
      <c r="M219" s="513" t="s">
        <v>780</v>
      </c>
      <c r="N219" s="513" t="s">
        <v>1407</v>
      </c>
      <c r="O219" s="518" t="s">
        <v>2828</v>
      </c>
      <c r="P219" s="152" t="s">
        <v>892</v>
      </c>
      <c r="Q219" s="152" t="s">
        <v>2829</v>
      </c>
      <c r="R219" s="152" t="s">
        <v>3079</v>
      </c>
      <c r="S219" s="152" t="s">
        <v>2831</v>
      </c>
      <c r="T219" s="152" t="s">
        <v>786</v>
      </c>
    </row>
    <row r="220" spans="3:20" ht="25">
      <c r="C220" s="152" t="s">
        <v>2821</v>
      </c>
      <c r="D220" s="474" t="s">
        <v>676</v>
      </c>
      <c r="E220" s="684" t="str">
        <f>+VLOOKUP(F220,Resumen_Base!$C$8:$G$287,5,0)</f>
        <v>Maintenance  Boats / Vehicles</v>
      </c>
      <c r="F220" s="474" t="s">
        <v>66</v>
      </c>
      <c r="G220" s="210" t="s">
        <v>67</v>
      </c>
      <c r="H220" s="152" t="str">
        <f t="shared" si="3"/>
        <v>CAR5253</v>
      </c>
      <c r="I220" s="513">
        <v>126836</v>
      </c>
      <c r="J220" s="513">
        <v>85.7</v>
      </c>
      <c r="K220" s="513">
        <v>1480</v>
      </c>
      <c r="L220" s="513" t="s">
        <v>2859</v>
      </c>
      <c r="M220" s="513" t="s">
        <v>780</v>
      </c>
      <c r="N220" s="513" t="s">
        <v>1407</v>
      </c>
      <c r="O220" s="518" t="s">
        <v>2936</v>
      </c>
      <c r="P220" s="152" t="s">
        <v>892</v>
      </c>
      <c r="Q220" s="152" t="s">
        <v>2937</v>
      </c>
      <c r="R220" s="152" t="s">
        <v>2938</v>
      </c>
      <c r="S220" s="152" t="s">
        <v>2939</v>
      </c>
      <c r="T220" s="152" t="s">
        <v>786</v>
      </c>
    </row>
    <row r="221" spans="3:20" ht="25">
      <c r="C221" s="152" t="s">
        <v>2821</v>
      </c>
      <c r="D221" s="474" t="s">
        <v>676</v>
      </c>
      <c r="E221" s="684" t="str">
        <f>+VLOOKUP(F221,Resumen_Base!$C$8:$G$287,5,0)</f>
        <v>Maintenance  Boats / Vehicles</v>
      </c>
      <c r="F221" s="474" t="s">
        <v>66</v>
      </c>
      <c r="G221" s="210" t="s">
        <v>67</v>
      </c>
      <c r="H221" s="152" t="str">
        <f t="shared" si="3"/>
        <v>CAR5253</v>
      </c>
      <c r="I221" s="513">
        <v>17760</v>
      </c>
      <c r="J221" s="513">
        <v>12</v>
      </c>
      <c r="K221" s="513">
        <v>1480</v>
      </c>
      <c r="L221" s="513" t="s">
        <v>2859</v>
      </c>
      <c r="M221" s="513" t="s">
        <v>780</v>
      </c>
      <c r="N221" s="513" t="s">
        <v>1407</v>
      </c>
      <c r="O221" s="518" t="s">
        <v>2921</v>
      </c>
      <c r="P221" s="152" t="s">
        <v>892</v>
      </c>
      <c r="Q221" s="152" t="s">
        <v>2922</v>
      </c>
      <c r="R221" s="152" t="s">
        <v>2961</v>
      </c>
      <c r="S221" s="152" t="s">
        <v>2924</v>
      </c>
      <c r="T221" s="152" t="s">
        <v>786</v>
      </c>
    </row>
    <row r="222" spans="3:20" ht="25">
      <c r="C222" s="152" t="s">
        <v>2821</v>
      </c>
      <c r="D222" s="474" t="s">
        <v>676</v>
      </c>
      <c r="E222" s="684" t="str">
        <f>+VLOOKUP(F222,Resumen_Base!$C$8:$G$287,5,0)</f>
        <v>Maintenance  Boats / Vehicles</v>
      </c>
      <c r="F222" s="474" t="s">
        <v>66</v>
      </c>
      <c r="G222" s="210" t="s">
        <v>67</v>
      </c>
      <c r="H222" s="152" t="str">
        <f t="shared" si="3"/>
        <v>CAR5253</v>
      </c>
      <c r="I222" s="513">
        <v>676360</v>
      </c>
      <c r="J222" s="513">
        <v>457</v>
      </c>
      <c r="K222" s="513">
        <v>1480</v>
      </c>
      <c r="L222" s="513" t="s">
        <v>2859</v>
      </c>
      <c r="M222" s="513" t="s">
        <v>780</v>
      </c>
      <c r="N222" s="513" t="s">
        <v>1407</v>
      </c>
      <c r="O222" s="518" t="s">
        <v>2921</v>
      </c>
      <c r="P222" s="152" t="s">
        <v>892</v>
      </c>
      <c r="Q222" s="152" t="s">
        <v>2922</v>
      </c>
      <c r="R222" s="152" t="s">
        <v>2962</v>
      </c>
      <c r="S222" s="152" t="s">
        <v>2924</v>
      </c>
      <c r="T222" s="152" t="s">
        <v>786</v>
      </c>
    </row>
    <row r="223" spans="3:20" ht="25">
      <c r="C223" s="152" t="s">
        <v>2821</v>
      </c>
      <c r="D223" s="474" t="s">
        <v>676</v>
      </c>
      <c r="E223" s="684" t="str">
        <f>+VLOOKUP(F223,Resumen_Base!$C$8:$G$287,5,0)</f>
        <v>Maintenance  Boats / Vehicles</v>
      </c>
      <c r="F223" s="474" t="s">
        <v>66</v>
      </c>
      <c r="G223" s="210" t="s">
        <v>67</v>
      </c>
      <c r="H223" s="152" t="str">
        <f t="shared" si="3"/>
        <v>CAR5253</v>
      </c>
      <c r="I223" s="513">
        <v>405520</v>
      </c>
      <c r="J223" s="513">
        <v>274</v>
      </c>
      <c r="K223" s="513">
        <v>1480</v>
      </c>
      <c r="L223" s="513" t="s">
        <v>2859</v>
      </c>
      <c r="M223" s="513" t="s">
        <v>780</v>
      </c>
      <c r="N223" s="513" t="s">
        <v>1407</v>
      </c>
      <c r="O223" s="518" t="s">
        <v>2921</v>
      </c>
      <c r="P223" s="152" t="s">
        <v>892</v>
      </c>
      <c r="Q223" s="152" t="s">
        <v>2922</v>
      </c>
      <c r="R223" s="152" t="s">
        <v>2991</v>
      </c>
      <c r="S223" s="152" t="s">
        <v>2924</v>
      </c>
      <c r="T223" s="152" t="s">
        <v>786</v>
      </c>
    </row>
    <row r="224" spans="3:20" ht="25">
      <c r="C224" s="152" t="s">
        <v>2821</v>
      </c>
      <c r="D224" s="474" t="s">
        <v>676</v>
      </c>
      <c r="E224" s="684" t="str">
        <f>+VLOOKUP(F224,Resumen_Base!$C$8:$G$287,5,0)</f>
        <v>Maintenance  Boats / Vehicles</v>
      </c>
      <c r="F224" s="474" t="s">
        <v>66</v>
      </c>
      <c r="G224" s="210" t="s">
        <v>67</v>
      </c>
      <c r="H224" s="152" t="str">
        <f t="shared" si="3"/>
        <v>CAR5253</v>
      </c>
      <c r="I224" s="513">
        <v>2812</v>
      </c>
      <c r="J224" s="513">
        <v>1.9</v>
      </c>
      <c r="K224" s="513">
        <v>1480</v>
      </c>
      <c r="L224" s="513" t="s">
        <v>2859</v>
      </c>
      <c r="M224" s="513" t="s">
        <v>780</v>
      </c>
      <c r="N224" s="513" t="s">
        <v>1407</v>
      </c>
      <c r="O224" s="518" t="s">
        <v>2921</v>
      </c>
      <c r="P224" s="152" t="s">
        <v>892</v>
      </c>
      <c r="Q224" s="152" t="s">
        <v>2922</v>
      </c>
      <c r="R224" s="152" t="s">
        <v>1515</v>
      </c>
      <c r="S224" s="152" t="s">
        <v>2924</v>
      </c>
      <c r="T224" s="152" t="s">
        <v>786</v>
      </c>
    </row>
    <row r="225" spans="3:20" ht="25">
      <c r="C225" s="152" t="s">
        <v>2821</v>
      </c>
      <c r="D225" s="474" t="s">
        <v>676</v>
      </c>
      <c r="E225" s="684" t="str">
        <f>+VLOOKUP(F225,Resumen_Base!$C$8:$G$287,5,0)</f>
        <v>Maintenance  Boats / Vehicles</v>
      </c>
      <c r="F225" s="474" t="s">
        <v>66</v>
      </c>
      <c r="G225" s="210" t="s">
        <v>67</v>
      </c>
      <c r="H225" s="152" t="str">
        <f t="shared" si="3"/>
        <v>CAR5253</v>
      </c>
      <c r="I225" s="513">
        <v>258348.79999999999</v>
      </c>
      <c r="J225" s="513">
        <v>174.56</v>
      </c>
      <c r="K225" s="513">
        <v>1480</v>
      </c>
      <c r="L225" s="513" t="s">
        <v>2859</v>
      </c>
      <c r="M225" s="513" t="s">
        <v>780</v>
      </c>
      <c r="N225" s="513" t="s">
        <v>1407</v>
      </c>
      <c r="O225" s="518" t="s">
        <v>2936</v>
      </c>
      <c r="P225" s="152" t="s">
        <v>892</v>
      </c>
      <c r="Q225" s="152" t="s">
        <v>2937</v>
      </c>
      <c r="R225" s="152" t="s">
        <v>3013</v>
      </c>
      <c r="S225" s="152" t="s">
        <v>2939</v>
      </c>
      <c r="T225" s="152" t="s">
        <v>786</v>
      </c>
    </row>
    <row r="226" spans="3:20" ht="25">
      <c r="C226" s="152" t="s">
        <v>2821</v>
      </c>
      <c r="D226" s="474" t="s">
        <v>676</v>
      </c>
      <c r="E226" s="684" t="str">
        <f>+VLOOKUP(F226,Resumen_Base!$C$8:$G$287,5,0)</f>
        <v>Maintenance  Boats / Vehicles</v>
      </c>
      <c r="F226" s="474" t="s">
        <v>66</v>
      </c>
      <c r="G226" s="210" t="s">
        <v>67</v>
      </c>
      <c r="H226" s="152" t="str">
        <f t="shared" si="3"/>
        <v>CAR5253</v>
      </c>
      <c r="I226" s="513">
        <v>3223928.4</v>
      </c>
      <c r="J226" s="513">
        <v>2178.33</v>
      </c>
      <c r="K226" s="513">
        <v>1480</v>
      </c>
      <c r="L226" s="513" t="s">
        <v>2827</v>
      </c>
      <c r="M226" s="513" t="s">
        <v>780</v>
      </c>
      <c r="N226" s="513" t="s">
        <v>1407</v>
      </c>
      <c r="O226" s="518" t="s">
        <v>2932</v>
      </c>
      <c r="P226" s="152" t="s">
        <v>892</v>
      </c>
      <c r="Q226" s="152" t="s">
        <v>2933</v>
      </c>
      <c r="R226" s="152" t="s">
        <v>3035</v>
      </c>
      <c r="S226" s="152" t="s">
        <v>2935</v>
      </c>
      <c r="T226" s="152" t="s">
        <v>786</v>
      </c>
    </row>
    <row r="227" spans="3:20">
      <c r="C227" s="152" t="s">
        <v>2821</v>
      </c>
      <c r="D227" s="474" t="s">
        <v>670</v>
      </c>
      <c r="E227" s="684" t="str">
        <f>+VLOOKUP(F227,Resumen_Base!$C$8:$G$287,5,0)</f>
        <v>Maintenance  Equipment</v>
      </c>
      <c r="F227" s="474" t="s">
        <v>31</v>
      </c>
      <c r="G227" s="210" t="s">
        <v>335</v>
      </c>
      <c r="H227" s="152" t="str">
        <f t="shared" si="3"/>
        <v>SJ5254</v>
      </c>
      <c r="I227" s="513">
        <v>225788.79999999999</v>
      </c>
      <c r="J227" s="513">
        <v>152.56</v>
      </c>
      <c r="K227" s="513">
        <v>1480</v>
      </c>
      <c r="L227" s="513" t="s">
        <v>2827</v>
      </c>
      <c r="M227" s="513" t="s">
        <v>780</v>
      </c>
      <c r="N227" s="513" t="s">
        <v>781</v>
      </c>
      <c r="O227" s="518" t="s">
        <v>3207</v>
      </c>
      <c r="P227" s="152" t="s">
        <v>892</v>
      </c>
      <c r="Q227" s="152" t="s">
        <v>3208</v>
      </c>
      <c r="R227" s="152" t="s">
        <v>3209</v>
      </c>
      <c r="S227" s="152" t="s">
        <v>3210</v>
      </c>
      <c r="T227" s="152" t="s">
        <v>786</v>
      </c>
    </row>
    <row r="228" spans="3:20">
      <c r="C228" s="152" t="s">
        <v>2821</v>
      </c>
      <c r="D228" s="474" t="s">
        <v>670</v>
      </c>
      <c r="E228" s="684" t="str">
        <f>+VLOOKUP(F228,Resumen_Base!$C$8:$G$287,5,0)</f>
        <v>Maintenance  Equipment</v>
      </c>
      <c r="F228" s="474" t="s">
        <v>31</v>
      </c>
      <c r="G228" s="210" t="s">
        <v>335</v>
      </c>
      <c r="H228" s="152" t="str">
        <f t="shared" si="3"/>
        <v>SJ5254</v>
      </c>
      <c r="I228" s="513">
        <v>211876.8</v>
      </c>
      <c r="J228" s="513">
        <v>143.16</v>
      </c>
      <c r="K228" s="513">
        <v>1480</v>
      </c>
      <c r="L228" s="513" t="s">
        <v>2859</v>
      </c>
      <c r="M228" s="513" t="s">
        <v>780</v>
      </c>
      <c r="N228" s="513" t="s">
        <v>781</v>
      </c>
      <c r="O228" s="518" t="s">
        <v>3211</v>
      </c>
      <c r="P228" s="152" t="s">
        <v>892</v>
      </c>
      <c r="Q228" s="152" t="s">
        <v>3212</v>
      </c>
      <c r="R228" s="152" t="s">
        <v>3213</v>
      </c>
      <c r="S228" s="152" t="s">
        <v>3214</v>
      </c>
      <c r="T228" s="152" t="s">
        <v>786</v>
      </c>
    </row>
    <row r="229" spans="3:20">
      <c r="C229" s="152" t="s">
        <v>2821</v>
      </c>
      <c r="D229" s="474" t="s">
        <v>670</v>
      </c>
      <c r="E229" s="684" t="str">
        <f>+VLOOKUP(F229,Resumen_Base!$C$8:$G$287,5,0)</f>
        <v>Maintenance  Equipment</v>
      </c>
      <c r="F229" s="474" t="s">
        <v>31</v>
      </c>
      <c r="G229" s="210" t="s">
        <v>335</v>
      </c>
      <c r="H229" s="152" t="str">
        <f t="shared" si="3"/>
        <v>SJ5254</v>
      </c>
      <c r="I229" s="513">
        <v>102075.6</v>
      </c>
      <c r="J229" s="513">
        <v>68.97</v>
      </c>
      <c r="K229" s="513">
        <v>1480</v>
      </c>
      <c r="L229" s="513" t="s">
        <v>2827</v>
      </c>
      <c r="M229" s="513" t="s">
        <v>780</v>
      </c>
      <c r="N229" s="513" t="s">
        <v>781</v>
      </c>
      <c r="O229" s="518" t="s">
        <v>3207</v>
      </c>
      <c r="P229" s="152" t="s">
        <v>892</v>
      </c>
      <c r="Q229" s="152" t="s">
        <v>3208</v>
      </c>
      <c r="R229" s="152" t="s">
        <v>3215</v>
      </c>
      <c r="S229" s="152" t="s">
        <v>3210</v>
      </c>
      <c r="T229" s="152" t="s">
        <v>786</v>
      </c>
    </row>
    <row r="230" spans="3:20">
      <c r="C230" s="152" t="s">
        <v>2821</v>
      </c>
      <c r="D230" s="474" t="s">
        <v>676</v>
      </c>
      <c r="E230" s="684" t="str">
        <f>+VLOOKUP(F230,Resumen_Base!$C$8:$G$287,5,0)</f>
        <v>Maintenance  Equipment</v>
      </c>
      <c r="F230" s="474" t="s">
        <v>31</v>
      </c>
      <c r="G230" s="210" t="s">
        <v>335</v>
      </c>
      <c r="H230" s="152" t="str">
        <f t="shared" si="3"/>
        <v>CAR5254</v>
      </c>
      <c r="I230" s="513">
        <v>79742.399999999994</v>
      </c>
      <c r="J230" s="513">
        <v>53.88</v>
      </c>
      <c r="K230" s="513">
        <v>1480</v>
      </c>
      <c r="L230" s="513" t="s">
        <v>2859</v>
      </c>
      <c r="M230" s="513" t="s">
        <v>780</v>
      </c>
      <c r="N230" s="513" t="s">
        <v>1407</v>
      </c>
      <c r="O230" s="518" t="s">
        <v>2936</v>
      </c>
      <c r="P230" s="152" t="s">
        <v>892</v>
      </c>
      <c r="Q230" s="152" t="s">
        <v>2937</v>
      </c>
      <c r="R230" s="152" t="s">
        <v>2943</v>
      </c>
      <c r="S230" s="152" t="s">
        <v>2939</v>
      </c>
      <c r="T230" s="152" t="s">
        <v>786</v>
      </c>
    </row>
    <row r="231" spans="3:20">
      <c r="C231" s="152" t="s">
        <v>2821</v>
      </c>
      <c r="D231" s="474" t="s">
        <v>676</v>
      </c>
      <c r="E231" s="684" t="str">
        <f>+VLOOKUP(F231,Resumen_Base!$C$8:$G$287,5,0)</f>
        <v>Maintenance  Equipment</v>
      </c>
      <c r="F231" s="474" t="s">
        <v>31</v>
      </c>
      <c r="G231" s="210" t="s">
        <v>335</v>
      </c>
      <c r="H231" s="152" t="str">
        <f t="shared" si="3"/>
        <v>CAR5254</v>
      </c>
      <c r="I231" s="513">
        <v>255166.8</v>
      </c>
      <c r="J231" s="513">
        <v>172.41</v>
      </c>
      <c r="K231" s="513">
        <v>1480</v>
      </c>
      <c r="L231" s="513" t="s">
        <v>2827</v>
      </c>
      <c r="M231" s="513" t="s">
        <v>780</v>
      </c>
      <c r="N231" s="513" t="s">
        <v>1407</v>
      </c>
      <c r="O231" s="518" t="s">
        <v>2932</v>
      </c>
      <c r="P231" s="152" t="s">
        <v>892</v>
      </c>
      <c r="Q231" s="152" t="s">
        <v>2933</v>
      </c>
      <c r="R231" s="152" t="s">
        <v>2958</v>
      </c>
      <c r="S231" s="152" t="s">
        <v>2935</v>
      </c>
      <c r="T231" s="152" t="s">
        <v>786</v>
      </c>
    </row>
    <row r="232" spans="3:20">
      <c r="C232" s="152" t="s">
        <v>2821</v>
      </c>
      <c r="D232" s="474" t="s">
        <v>676</v>
      </c>
      <c r="E232" s="684" t="str">
        <f>+VLOOKUP(F232,Resumen_Base!$C$8:$G$287,5,0)</f>
        <v>Maintenance  Equipment</v>
      </c>
      <c r="F232" s="474" t="s">
        <v>31</v>
      </c>
      <c r="G232" s="210" t="s">
        <v>335</v>
      </c>
      <c r="H232" s="152" t="str">
        <f t="shared" si="3"/>
        <v>CAR5254</v>
      </c>
      <c r="I232" s="513">
        <v>370000</v>
      </c>
      <c r="J232" s="513">
        <v>250</v>
      </c>
      <c r="K232" s="513">
        <v>1480</v>
      </c>
      <c r="L232" s="513" t="s">
        <v>2859</v>
      </c>
      <c r="M232" s="513" t="s">
        <v>780</v>
      </c>
      <c r="N232" s="513" t="s">
        <v>1407</v>
      </c>
      <c r="O232" s="518" t="s">
        <v>2921</v>
      </c>
      <c r="P232" s="152" t="s">
        <v>892</v>
      </c>
      <c r="Q232" s="152" t="s">
        <v>2922</v>
      </c>
      <c r="R232" s="152" t="s">
        <v>2967</v>
      </c>
      <c r="S232" s="152" t="s">
        <v>2924</v>
      </c>
      <c r="T232" s="152" t="s">
        <v>786</v>
      </c>
    </row>
    <row r="233" spans="3:20">
      <c r="C233" s="152" t="s">
        <v>2821</v>
      </c>
      <c r="D233" s="474" t="s">
        <v>676</v>
      </c>
      <c r="E233" s="684" t="str">
        <f>+VLOOKUP(F233,Resumen_Base!$C$8:$G$287,5,0)</f>
        <v>Maintenance  Equipment</v>
      </c>
      <c r="F233" s="474" t="s">
        <v>31</v>
      </c>
      <c r="G233" s="210" t="s">
        <v>335</v>
      </c>
      <c r="H233" s="152" t="str">
        <f t="shared" si="3"/>
        <v>CAR5254</v>
      </c>
      <c r="I233" s="513">
        <v>2812</v>
      </c>
      <c r="J233" s="513">
        <v>1.9</v>
      </c>
      <c r="K233" s="513">
        <v>1480</v>
      </c>
      <c r="L233" s="513" t="s">
        <v>2859</v>
      </c>
      <c r="M233" s="513" t="s">
        <v>780</v>
      </c>
      <c r="N233" s="513" t="s">
        <v>1407</v>
      </c>
      <c r="O233" s="518" t="s">
        <v>2921</v>
      </c>
      <c r="P233" s="152" t="s">
        <v>892</v>
      </c>
      <c r="Q233" s="152" t="s">
        <v>2922</v>
      </c>
      <c r="R233" s="152" t="s">
        <v>1483</v>
      </c>
      <c r="S233" s="152" t="s">
        <v>2924</v>
      </c>
      <c r="T233" s="152" t="s">
        <v>786</v>
      </c>
    </row>
    <row r="234" spans="3:20">
      <c r="C234" s="152" t="s">
        <v>2821</v>
      </c>
      <c r="D234" s="474" t="s">
        <v>676</v>
      </c>
      <c r="E234" s="684" t="str">
        <f>+VLOOKUP(F234,Resumen_Base!$C$8:$G$287,5,0)</f>
        <v>Maintenance  Equipment</v>
      </c>
      <c r="F234" s="474" t="s">
        <v>31</v>
      </c>
      <c r="G234" s="210" t="s">
        <v>335</v>
      </c>
      <c r="H234" s="152" t="str">
        <f t="shared" si="3"/>
        <v>CAR5254</v>
      </c>
      <c r="I234" s="513">
        <v>2812</v>
      </c>
      <c r="J234" s="513">
        <v>1.9</v>
      </c>
      <c r="K234" s="513">
        <v>1480</v>
      </c>
      <c r="L234" s="513" t="s">
        <v>2827</v>
      </c>
      <c r="M234" s="513" t="s">
        <v>780</v>
      </c>
      <c r="N234" s="513" t="s">
        <v>1407</v>
      </c>
      <c r="O234" s="518" t="s">
        <v>2932</v>
      </c>
      <c r="P234" s="152" t="s">
        <v>892</v>
      </c>
      <c r="Q234" s="152" t="s">
        <v>2933</v>
      </c>
      <c r="R234" s="152" t="s">
        <v>1515</v>
      </c>
      <c r="S234" s="152" t="s">
        <v>2935</v>
      </c>
      <c r="T234" s="152" t="s">
        <v>786</v>
      </c>
    </row>
    <row r="235" spans="3:20">
      <c r="C235" s="152" t="s">
        <v>2821</v>
      </c>
      <c r="D235" s="474" t="s">
        <v>676</v>
      </c>
      <c r="E235" s="684" t="str">
        <f>+VLOOKUP(F235,Resumen_Base!$C$8:$G$287,5,0)</f>
        <v>Maintenance  Equipment</v>
      </c>
      <c r="F235" s="474" t="s">
        <v>31</v>
      </c>
      <c r="G235" s="210" t="s">
        <v>335</v>
      </c>
      <c r="H235" s="152" t="str">
        <f t="shared" si="3"/>
        <v>CAR5254</v>
      </c>
      <c r="I235" s="513">
        <v>2812</v>
      </c>
      <c r="J235" s="513">
        <v>1.9</v>
      </c>
      <c r="K235" s="513">
        <v>1480</v>
      </c>
      <c r="L235" s="513" t="s">
        <v>2859</v>
      </c>
      <c r="M235" s="513" t="s">
        <v>780</v>
      </c>
      <c r="N235" s="513" t="s">
        <v>1407</v>
      </c>
      <c r="O235" s="518" t="s">
        <v>2921</v>
      </c>
      <c r="P235" s="152" t="s">
        <v>892</v>
      </c>
      <c r="Q235" s="152" t="s">
        <v>2922</v>
      </c>
      <c r="R235" s="152" t="s">
        <v>1515</v>
      </c>
      <c r="S235" s="152" t="s">
        <v>2924</v>
      </c>
      <c r="T235" s="152" t="s">
        <v>786</v>
      </c>
    </row>
    <row r="236" spans="3:20">
      <c r="C236" s="152" t="s">
        <v>2821</v>
      </c>
      <c r="D236" s="474" t="s">
        <v>676</v>
      </c>
      <c r="E236" s="684" t="str">
        <f>+VLOOKUP(F236,Resumen_Base!$C$8:$G$287,5,0)</f>
        <v>Maintenance  Equipment</v>
      </c>
      <c r="F236" s="474" t="s">
        <v>31</v>
      </c>
      <c r="G236" s="210" t="s">
        <v>335</v>
      </c>
      <c r="H236" s="152" t="str">
        <f t="shared" si="3"/>
        <v>CAR5254</v>
      </c>
      <c r="I236" s="513">
        <v>1480</v>
      </c>
      <c r="J236" s="513">
        <v>1</v>
      </c>
      <c r="K236" s="513">
        <v>1480</v>
      </c>
      <c r="L236" s="513" t="s">
        <v>2859</v>
      </c>
      <c r="M236" s="513" t="s">
        <v>780</v>
      </c>
      <c r="N236" s="513" t="s">
        <v>1407</v>
      </c>
      <c r="O236" s="518" t="s">
        <v>2921</v>
      </c>
      <c r="P236" s="152" t="s">
        <v>892</v>
      </c>
      <c r="Q236" s="152" t="s">
        <v>2922</v>
      </c>
      <c r="R236" s="152" t="s">
        <v>1515</v>
      </c>
      <c r="S236" s="152" t="s">
        <v>2924</v>
      </c>
      <c r="T236" s="152" t="s">
        <v>786</v>
      </c>
    </row>
    <row r="237" spans="3:20">
      <c r="C237" s="152" t="s">
        <v>2821</v>
      </c>
      <c r="D237" s="474" t="s">
        <v>676</v>
      </c>
      <c r="E237" s="684" t="str">
        <f>+VLOOKUP(F237,Resumen_Base!$C$8:$G$287,5,0)</f>
        <v>Maintenance  Equipment</v>
      </c>
      <c r="F237" s="474" t="s">
        <v>31</v>
      </c>
      <c r="G237" s="210" t="s">
        <v>335</v>
      </c>
      <c r="H237" s="152" t="str">
        <f t="shared" si="3"/>
        <v>CAR5254</v>
      </c>
      <c r="I237" s="513">
        <v>180560</v>
      </c>
      <c r="J237" s="513">
        <v>122</v>
      </c>
      <c r="K237" s="513">
        <v>1480</v>
      </c>
      <c r="L237" s="513" t="s">
        <v>2859</v>
      </c>
      <c r="M237" s="513" t="s">
        <v>780</v>
      </c>
      <c r="N237" s="513" t="s">
        <v>1407</v>
      </c>
      <c r="O237" s="518" t="s">
        <v>2921</v>
      </c>
      <c r="P237" s="152" t="s">
        <v>892</v>
      </c>
      <c r="Q237" s="152" t="s">
        <v>2922</v>
      </c>
      <c r="R237" s="152" t="s">
        <v>3029</v>
      </c>
      <c r="S237" s="152" t="s">
        <v>2924</v>
      </c>
      <c r="T237" s="152" t="s">
        <v>786</v>
      </c>
    </row>
    <row r="238" spans="3:20">
      <c r="C238" s="152" t="s">
        <v>2821</v>
      </c>
      <c r="D238" s="474" t="s">
        <v>676</v>
      </c>
      <c r="E238" s="684" t="str">
        <f>+VLOOKUP(F238,Resumen_Base!$C$8:$G$287,5,0)</f>
        <v>Maintenance  Equipment</v>
      </c>
      <c r="F238" s="474" t="s">
        <v>31</v>
      </c>
      <c r="G238" s="210" t="s">
        <v>335</v>
      </c>
      <c r="H238" s="152" t="str">
        <f t="shared" si="3"/>
        <v>CAR5254</v>
      </c>
      <c r="I238" s="513">
        <v>506914.8</v>
      </c>
      <c r="J238" s="513">
        <v>342.51</v>
      </c>
      <c r="K238" s="513">
        <v>1480</v>
      </c>
      <c r="L238" s="513" t="s">
        <v>2859</v>
      </c>
      <c r="M238" s="513" t="s">
        <v>780</v>
      </c>
      <c r="N238" s="513" t="s">
        <v>1407</v>
      </c>
      <c r="O238" s="518" t="s">
        <v>2936</v>
      </c>
      <c r="P238" s="152" t="s">
        <v>892</v>
      </c>
      <c r="Q238" s="152" t="s">
        <v>2937</v>
      </c>
      <c r="R238" s="152" t="s">
        <v>3033</v>
      </c>
      <c r="S238" s="152" t="s">
        <v>2939</v>
      </c>
      <c r="T238" s="152" t="s">
        <v>786</v>
      </c>
    </row>
    <row r="239" spans="3:20">
      <c r="C239" s="152" t="s">
        <v>2821</v>
      </c>
      <c r="D239" s="474" t="s">
        <v>676</v>
      </c>
      <c r="E239" s="684" t="str">
        <f>+VLOOKUP(F239,Resumen_Base!$C$8:$G$287,5,0)</f>
        <v>Maintenance  Equipment</v>
      </c>
      <c r="F239" s="474" t="s">
        <v>31</v>
      </c>
      <c r="G239" s="210" t="s">
        <v>335</v>
      </c>
      <c r="H239" s="152" t="str">
        <f t="shared" si="3"/>
        <v>CAR5254</v>
      </c>
      <c r="I239" s="513">
        <v>553520</v>
      </c>
      <c r="J239" s="513">
        <v>374</v>
      </c>
      <c r="K239" s="513">
        <v>1480</v>
      </c>
      <c r="L239" s="513" t="s">
        <v>2859</v>
      </c>
      <c r="M239" s="513" t="s">
        <v>780</v>
      </c>
      <c r="N239" s="513" t="s">
        <v>1407</v>
      </c>
      <c r="O239" s="518" t="s">
        <v>2921</v>
      </c>
      <c r="P239" s="152" t="s">
        <v>892</v>
      </c>
      <c r="Q239" s="152" t="s">
        <v>2922</v>
      </c>
      <c r="R239" s="152" t="s">
        <v>3056</v>
      </c>
      <c r="S239" s="152" t="s">
        <v>2924</v>
      </c>
      <c r="T239" s="152" t="s">
        <v>786</v>
      </c>
    </row>
    <row r="240" spans="3:20">
      <c r="C240" s="152" t="s">
        <v>2821</v>
      </c>
      <c r="D240" s="474" t="s">
        <v>676</v>
      </c>
      <c r="E240" s="684" t="str">
        <f>+VLOOKUP(F240,Resumen_Base!$C$8:$G$287,5,0)</f>
        <v>Maintenance  Equipment</v>
      </c>
      <c r="F240" s="474" t="s">
        <v>31</v>
      </c>
      <c r="G240" s="210" t="s">
        <v>335</v>
      </c>
      <c r="H240" s="152" t="str">
        <f t="shared" si="3"/>
        <v>CAR5254</v>
      </c>
      <c r="I240" s="513">
        <v>74000</v>
      </c>
      <c r="J240" s="513">
        <v>50</v>
      </c>
      <c r="K240" s="513">
        <v>1480</v>
      </c>
      <c r="L240" s="513" t="s">
        <v>2859</v>
      </c>
      <c r="M240" s="513" t="s">
        <v>780</v>
      </c>
      <c r="N240" s="513" t="s">
        <v>1407</v>
      </c>
      <c r="O240" s="518" t="s">
        <v>2921</v>
      </c>
      <c r="P240" s="152" t="s">
        <v>892</v>
      </c>
      <c r="Q240" s="152" t="s">
        <v>2922</v>
      </c>
      <c r="R240" s="152" t="s">
        <v>3062</v>
      </c>
      <c r="S240" s="152" t="s">
        <v>2924</v>
      </c>
      <c r="T240" s="152" t="s">
        <v>786</v>
      </c>
    </row>
    <row r="241" spans="3:20" ht="25">
      <c r="C241" s="152" t="s">
        <v>2821</v>
      </c>
      <c r="D241" s="474" t="s">
        <v>676</v>
      </c>
      <c r="E241" s="684" t="str">
        <f>+VLOOKUP(F241,Resumen_Base!$C$8:$G$287,5,0)</f>
        <v>Travel for personnel (employees)</v>
      </c>
      <c r="F241" s="474" t="s">
        <v>68</v>
      </c>
      <c r="G241" s="210" t="s">
        <v>69</v>
      </c>
      <c r="H241" s="152" t="str">
        <f t="shared" si="3"/>
        <v>CAR5255</v>
      </c>
      <c r="I241" s="513">
        <v>2856.4</v>
      </c>
      <c r="J241" s="513">
        <v>1.93</v>
      </c>
      <c r="K241" s="513">
        <v>1480</v>
      </c>
      <c r="L241" s="513" t="s">
        <v>2859</v>
      </c>
      <c r="M241" s="513" t="s">
        <v>780</v>
      </c>
      <c r="N241" s="513" t="s">
        <v>1407</v>
      </c>
      <c r="O241" s="518" t="s">
        <v>2936</v>
      </c>
      <c r="P241" s="152" t="s">
        <v>892</v>
      </c>
      <c r="Q241" s="152" t="s">
        <v>2937</v>
      </c>
      <c r="R241" s="152" t="s">
        <v>1515</v>
      </c>
      <c r="S241" s="152" t="s">
        <v>2939</v>
      </c>
      <c r="T241" s="152" t="s">
        <v>786</v>
      </c>
    </row>
    <row r="242" spans="3:20" ht="25">
      <c r="C242" s="152" t="s">
        <v>2821</v>
      </c>
      <c r="D242" s="474" t="s">
        <v>676</v>
      </c>
      <c r="E242" s="684" t="str">
        <f>+VLOOKUP(F242,Resumen_Base!$C$8:$G$287,5,0)</f>
        <v>Travel for personnel (employees)</v>
      </c>
      <c r="F242" s="474" t="s">
        <v>68</v>
      </c>
      <c r="G242" s="210" t="s">
        <v>69</v>
      </c>
      <c r="H242" s="152" t="str">
        <f t="shared" si="3"/>
        <v>CAR5255</v>
      </c>
      <c r="I242" s="513">
        <v>30695.200000000001</v>
      </c>
      <c r="J242" s="513">
        <v>20.74</v>
      </c>
      <c r="K242" s="513">
        <v>1480</v>
      </c>
      <c r="L242" s="513" t="s">
        <v>2859</v>
      </c>
      <c r="M242" s="513" t="s">
        <v>780</v>
      </c>
      <c r="N242" s="513" t="s">
        <v>1407</v>
      </c>
      <c r="O242" s="518" t="s">
        <v>2936</v>
      </c>
      <c r="P242" s="152" t="s">
        <v>892</v>
      </c>
      <c r="Q242" s="152" t="s">
        <v>2937</v>
      </c>
      <c r="R242" s="152" t="s">
        <v>3044</v>
      </c>
      <c r="S242" s="152" t="s">
        <v>2939</v>
      </c>
      <c r="T242" s="152" t="s">
        <v>786</v>
      </c>
    </row>
    <row r="243" spans="3:20" ht="25">
      <c r="C243" s="152" t="s">
        <v>2821</v>
      </c>
      <c r="D243" s="474" t="s">
        <v>676</v>
      </c>
      <c r="E243" s="684" t="str">
        <f>+VLOOKUP(F243,Resumen_Base!$C$8:$G$287,5,0)</f>
        <v>Travel for personnel (employees)</v>
      </c>
      <c r="F243" s="474" t="s">
        <v>68</v>
      </c>
      <c r="G243" s="210" t="s">
        <v>69</v>
      </c>
      <c r="H243" s="152" t="str">
        <f t="shared" si="3"/>
        <v>CAR5255</v>
      </c>
      <c r="I243" s="513">
        <v>97620.800000000003</v>
      </c>
      <c r="J243" s="513">
        <v>65.959999999999994</v>
      </c>
      <c r="K243" s="513">
        <v>1480</v>
      </c>
      <c r="L243" s="513" t="s">
        <v>2859</v>
      </c>
      <c r="M243" s="513" t="s">
        <v>780</v>
      </c>
      <c r="N243" s="513" t="s">
        <v>1407</v>
      </c>
      <c r="O243" s="518" t="s">
        <v>2936</v>
      </c>
      <c r="P243" s="152" t="s">
        <v>892</v>
      </c>
      <c r="Q243" s="152" t="s">
        <v>2937</v>
      </c>
      <c r="R243" s="152" t="s">
        <v>3045</v>
      </c>
      <c r="S243" s="152" t="s">
        <v>2939</v>
      </c>
      <c r="T243" s="152" t="s">
        <v>786</v>
      </c>
    </row>
    <row r="244" spans="3:20" ht="25">
      <c r="C244" s="152" t="s">
        <v>2821</v>
      </c>
      <c r="D244" s="474" t="s">
        <v>676</v>
      </c>
      <c r="E244" s="684" t="str">
        <f>+VLOOKUP(F244,Resumen_Base!$C$8:$G$287,5,0)</f>
        <v>Travel for personnel (employees)</v>
      </c>
      <c r="F244" s="474" t="s">
        <v>68</v>
      </c>
      <c r="G244" s="210" t="s">
        <v>69</v>
      </c>
      <c r="H244" s="152" t="str">
        <f t="shared" si="3"/>
        <v>CAR5255</v>
      </c>
      <c r="I244" s="513">
        <v>30932</v>
      </c>
      <c r="J244" s="513">
        <v>20.9</v>
      </c>
      <c r="K244" s="513">
        <v>1480</v>
      </c>
      <c r="L244" s="513" t="s">
        <v>2859</v>
      </c>
      <c r="M244" s="513" t="s">
        <v>780</v>
      </c>
      <c r="N244" s="513" t="s">
        <v>1407</v>
      </c>
      <c r="O244" s="518" t="s">
        <v>2921</v>
      </c>
      <c r="P244" s="152" t="s">
        <v>892</v>
      </c>
      <c r="Q244" s="152" t="s">
        <v>2922</v>
      </c>
      <c r="R244" s="152" t="s">
        <v>1499</v>
      </c>
      <c r="S244" s="152" t="s">
        <v>2924</v>
      </c>
      <c r="T244" s="152" t="s">
        <v>786</v>
      </c>
    </row>
    <row r="245" spans="3:20" ht="25">
      <c r="C245" s="152" t="s">
        <v>2821</v>
      </c>
      <c r="D245" s="474" t="s">
        <v>676</v>
      </c>
      <c r="E245" s="684" t="str">
        <f>+VLOOKUP(F245,Resumen_Base!$C$8:$G$287,5,0)</f>
        <v>Travel for personnel (employees)</v>
      </c>
      <c r="F245" s="474" t="s">
        <v>68</v>
      </c>
      <c r="G245" s="210" t="s">
        <v>69</v>
      </c>
      <c r="H245" s="152" t="str">
        <f t="shared" si="3"/>
        <v>CAR5255</v>
      </c>
      <c r="I245" s="513">
        <v>150763.20000000001</v>
      </c>
      <c r="J245" s="513">
        <v>102.56</v>
      </c>
      <c r="K245" s="513">
        <v>1470</v>
      </c>
      <c r="L245" s="513" t="s">
        <v>2827</v>
      </c>
      <c r="M245" s="513" t="s">
        <v>780</v>
      </c>
      <c r="N245" s="513" t="s">
        <v>1407</v>
      </c>
      <c r="O245" s="518" t="s">
        <v>2828</v>
      </c>
      <c r="P245" s="152" t="s">
        <v>892</v>
      </c>
      <c r="Q245" s="152" t="s">
        <v>2829</v>
      </c>
      <c r="R245" s="152" t="s">
        <v>3073</v>
      </c>
      <c r="S245" s="152" t="s">
        <v>2831</v>
      </c>
      <c r="T245" s="152" t="s">
        <v>786</v>
      </c>
    </row>
    <row r="246" spans="3:20" ht="25">
      <c r="C246" s="152" t="s">
        <v>2821</v>
      </c>
      <c r="D246" s="474" t="s">
        <v>676</v>
      </c>
      <c r="E246" s="684" t="str">
        <f>+VLOOKUP(F246,Resumen_Base!$C$8:$G$287,5,0)</f>
        <v>Travel for personnel (employees)</v>
      </c>
      <c r="F246" s="474" t="s">
        <v>68</v>
      </c>
      <c r="G246" s="210" t="s">
        <v>69</v>
      </c>
      <c r="H246" s="152" t="str">
        <f t="shared" si="3"/>
        <v>CAR5255</v>
      </c>
      <c r="I246" s="513">
        <v>156199.20000000001</v>
      </c>
      <c r="J246" s="513">
        <v>105.54</v>
      </c>
      <c r="K246" s="513">
        <v>1480</v>
      </c>
      <c r="L246" s="513" t="s">
        <v>2827</v>
      </c>
      <c r="M246" s="513" t="s">
        <v>780</v>
      </c>
      <c r="N246" s="513" t="s">
        <v>1407</v>
      </c>
      <c r="O246" s="518" t="s">
        <v>2828</v>
      </c>
      <c r="P246" s="152" t="s">
        <v>892</v>
      </c>
      <c r="Q246" s="152" t="s">
        <v>2829</v>
      </c>
      <c r="R246" s="152" t="s">
        <v>3081</v>
      </c>
      <c r="S246" s="152" t="s">
        <v>2831</v>
      </c>
      <c r="T246" s="152" t="s">
        <v>786</v>
      </c>
    </row>
    <row r="247" spans="3:20" ht="25">
      <c r="C247" s="152" t="s">
        <v>2821</v>
      </c>
      <c r="D247" s="474" t="s">
        <v>676</v>
      </c>
      <c r="E247" s="684" t="str">
        <f>+VLOOKUP(F247,Resumen_Base!$C$8:$G$287,5,0)</f>
        <v>Travel for personnel (employees)</v>
      </c>
      <c r="F247" s="474" t="s">
        <v>68</v>
      </c>
      <c r="G247" s="210" t="s">
        <v>69</v>
      </c>
      <c r="H247" s="152" t="str">
        <f t="shared" si="3"/>
        <v>CAR5255</v>
      </c>
      <c r="I247" s="513">
        <v>112480</v>
      </c>
      <c r="J247" s="513">
        <v>76</v>
      </c>
      <c r="K247" s="513">
        <v>1480</v>
      </c>
      <c r="L247" s="513" t="s">
        <v>2859</v>
      </c>
      <c r="M247" s="513" t="s">
        <v>780</v>
      </c>
      <c r="N247" s="513" t="s">
        <v>1407</v>
      </c>
      <c r="O247" s="518" t="s">
        <v>2869</v>
      </c>
      <c r="P247" s="152" t="s">
        <v>2865</v>
      </c>
      <c r="Q247" s="152" t="s">
        <v>2870</v>
      </c>
      <c r="R247" s="152" t="s">
        <v>3126</v>
      </c>
      <c r="S247" s="152" t="s">
        <v>2872</v>
      </c>
      <c r="T247" s="152" t="s">
        <v>786</v>
      </c>
    </row>
    <row r="248" spans="3:20" ht="25">
      <c r="C248" s="152" t="s">
        <v>2821</v>
      </c>
      <c r="D248" s="474" t="s">
        <v>676</v>
      </c>
      <c r="E248" s="684" t="str">
        <f>+VLOOKUP(F248,Resumen_Base!$C$8:$G$287,5,0)</f>
        <v>Travel for personnel (employees)</v>
      </c>
      <c r="F248" s="474" t="s">
        <v>68</v>
      </c>
      <c r="G248" s="210" t="s">
        <v>69</v>
      </c>
      <c r="H248" s="152" t="str">
        <f t="shared" si="3"/>
        <v>CAR5255</v>
      </c>
      <c r="I248" s="513">
        <v>136160</v>
      </c>
      <c r="J248" s="513">
        <v>92</v>
      </c>
      <c r="K248" s="513">
        <v>1480</v>
      </c>
      <c r="L248" s="513" t="s">
        <v>2859</v>
      </c>
      <c r="M248" s="513" t="s">
        <v>780</v>
      </c>
      <c r="N248" s="513" t="s">
        <v>1407</v>
      </c>
      <c r="O248" s="518" t="s">
        <v>2869</v>
      </c>
      <c r="P248" s="152" t="s">
        <v>2865</v>
      </c>
      <c r="Q248" s="152" t="s">
        <v>2870</v>
      </c>
      <c r="R248" s="152" t="s">
        <v>3127</v>
      </c>
      <c r="S248" s="152" t="s">
        <v>2872</v>
      </c>
      <c r="T248" s="152" t="s">
        <v>786</v>
      </c>
    </row>
    <row r="249" spans="3:20" ht="25">
      <c r="C249" s="152" t="s">
        <v>2821</v>
      </c>
      <c r="D249" s="474" t="s">
        <v>676</v>
      </c>
      <c r="E249" s="684" t="str">
        <f>+VLOOKUP(F249,Resumen_Base!$C$8:$G$287,5,0)</f>
        <v>Travel for personnel (employees)</v>
      </c>
      <c r="F249" s="474" t="s">
        <v>68</v>
      </c>
      <c r="G249" s="210" t="s">
        <v>69</v>
      </c>
      <c r="H249" s="152" t="str">
        <f t="shared" si="3"/>
        <v>CAR5255</v>
      </c>
      <c r="I249" s="513">
        <v>115440</v>
      </c>
      <c r="J249" s="513">
        <v>78</v>
      </c>
      <c r="K249" s="513">
        <v>1480</v>
      </c>
      <c r="L249" s="513" t="s">
        <v>2859</v>
      </c>
      <c r="M249" s="513" t="s">
        <v>780</v>
      </c>
      <c r="N249" s="513" t="s">
        <v>1407</v>
      </c>
      <c r="O249" s="518" t="s">
        <v>2869</v>
      </c>
      <c r="P249" s="152" t="s">
        <v>2865</v>
      </c>
      <c r="Q249" s="152" t="s">
        <v>2870</v>
      </c>
      <c r="R249" s="152" t="s">
        <v>3128</v>
      </c>
      <c r="S249" s="152" t="s">
        <v>2872</v>
      </c>
      <c r="T249" s="152" t="s">
        <v>786</v>
      </c>
    </row>
    <row r="250" spans="3:20" ht="25">
      <c r="C250" s="152" t="s">
        <v>2821</v>
      </c>
      <c r="D250" s="474" t="s">
        <v>676</v>
      </c>
      <c r="E250" s="684" t="str">
        <f>+VLOOKUP(F250,Resumen_Base!$C$8:$G$287,5,0)</f>
        <v>Travel for personnel (employees)</v>
      </c>
      <c r="F250" s="474" t="s">
        <v>68</v>
      </c>
      <c r="G250" s="210" t="s">
        <v>69</v>
      </c>
      <c r="H250" s="152" t="str">
        <f t="shared" si="3"/>
        <v>CAR5255</v>
      </c>
      <c r="I250" s="513">
        <v>115440</v>
      </c>
      <c r="J250" s="513">
        <v>78</v>
      </c>
      <c r="K250" s="513">
        <v>1480</v>
      </c>
      <c r="L250" s="513" t="s">
        <v>2859</v>
      </c>
      <c r="M250" s="513" t="s">
        <v>780</v>
      </c>
      <c r="N250" s="513" t="s">
        <v>1407</v>
      </c>
      <c r="O250" s="518" t="s">
        <v>2869</v>
      </c>
      <c r="P250" s="152" t="s">
        <v>2865</v>
      </c>
      <c r="Q250" s="152" t="s">
        <v>2870</v>
      </c>
      <c r="R250" s="152" t="s">
        <v>3129</v>
      </c>
      <c r="S250" s="152" t="s">
        <v>2872</v>
      </c>
      <c r="T250" s="152" t="s">
        <v>786</v>
      </c>
    </row>
    <row r="251" spans="3:20" ht="25">
      <c r="C251" s="152" t="s">
        <v>2821</v>
      </c>
      <c r="D251" s="474" t="s">
        <v>676</v>
      </c>
      <c r="E251" s="684" t="str">
        <f>+VLOOKUP(F251,Resumen_Base!$C$8:$G$287,5,0)</f>
        <v>Travel for personnel (employees)</v>
      </c>
      <c r="F251" s="474" t="s">
        <v>68</v>
      </c>
      <c r="G251" s="210" t="s">
        <v>69</v>
      </c>
      <c r="H251" s="152" t="str">
        <f t="shared" si="3"/>
        <v>CAR5255</v>
      </c>
      <c r="I251" s="513">
        <v>115440</v>
      </c>
      <c r="J251" s="513">
        <v>78</v>
      </c>
      <c r="K251" s="513">
        <v>1480</v>
      </c>
      <c r="L251" s="513" t="s">
        <v>2859</v>
      </c>
      <c r="M251" s="513" t="s">
        <v>780</v>
      </c>
      <c r="N251" s="513" t="s">
        <v>1407</v>
      </c>
      <c r="O251" s="518" t="s">
        <v>2869</v>
      </c>
      <c r="P251" s="152" t="s">
        <v>2865</v>
      </c>
      <c r="Q251" s="152" t="s">
        <v>2870</v>
      </c>
      <c r="R251" s="152" t="s">
        <v>3130</v>
      </c>
      <c r="S251" s="152" t="s">
        <v>2872</v>
      </c>
      <c r="T251" s="152" t="s">
        <v>786</v>
      </c>
    </row>
    <row r="252" spans="3:20">
      <c r="C252" s="152" t="s">
        <v>2821</v>
      </c>
      <c r="D252" s="474" t="s">
        <v>676</v>
      </c>
      <c r="E252" s="684" t="str">
        <f>+VLOOKUP(F252,Resumen_Base!$C$8:$G$287,5,0)</f>
        <v>Food &amp; Wine</v>
      </c>
      <c r="F252" s="474" t="s">
        <v>1718</v>
      </c>
      <c r="G252" s="210" t="s">
        <v>1719</v>
      </c>
      <c r="H252" s="152" t="str">
        <f t="shared" si="3"/>
        <v>CAR5257</v>
      </c>
      <c r="I252" s="513">
        <v>1489472</v>
      </c>
      <c r="J252" s="513">
        <v>1006.4</v>
      </c>
      <c r="K252" s="513">
        <v>1480</v>
      </c>
      <c r="L252" s="513" t="s">
        <v>2827</v>
      </c>
      <c r="M252" s="513" t="s">
        <v>780</v>
      </c>
      <c r="N252" s="513" t="s">
        <v>1407</v>
      </c>
      <c r="O252" s="518" t="s">
        <v>2828</v>
      </c>
      <c r="P252" s="152" t="s">
        <v>892</v>
      </c>
      <c r="Q252" s="152" t="s">
        <v>2829</v>
      </c>
      <c r="R252" s="152" t="s">
        <v>2917</v>
      </c>
      <c r="S252" s="152" t="s">
        <v>2831</v>
      </c>
      <c r="T252" s="152" t="s">
        <v>786</v>
      </c>
    </row>
    <row r="253" spans="3:20">
      <c r="C253" s="152" t="s">
        <v>2821</v>
      </c>
      <c r="D253" s="474" t="s">
        <v>676</v>
      </c>
      <c r="E253" s="684" t="str">
        <f>+VLOOKUP(F253,Resumen_Base!$C$8:$G$287,5,0)</f>
        <v>Food &amp; Wine</v>
      </c>
      <c r="F253" s="474" t="s">
        <v>1718</v>
      </c>
      <c r="G253" s="210" t="s">
        <v>1719</v>
      </c>
      <c r="H253" s="152" t="str">
        <f t="shared" si="3"/>
        <v>CAR5257</v>
      </c>
      <c r="I253" s="513">
        <v>2342780.7999999998</v>
      </c>
      <c r="J253" s="513">
        <v>1582.96</v>
      </c>
      <c r="K253" s="513">
        <v>1480</v>
      </c>
      <c r="L253" s="513" t="s">
        <v>2827</v>
      </c>
      <c r="M253" s="513" t="s">
        <v>780</v>
      </c>
      <c r="N253" s="513" t="s">
        <v>1407</v>
      </c>
      <c r="O253" s="518" t="s">
        <v>2828</v>
      </c>
      <c r="P253" s="152" t="s">
        <v>892</v>
      </c>
      <c r="Q253" s="152" t="s">
        <v>2829</v>
      </c>
      <c r="R253" s="152" t="s">
        <v>2965</v>
      </c>
      <c r="S253" s="152" t="s">
        <v>2831</v>
      </c>
      <c r="T253" s="152" t="s">
        <v>786</v>
      </c>
    </row>
    <row r="254" spans="3:20">
      <c r="C254" s="152" t="s">
        <v>2821</v>
      </c>
      <c r="D254" s="474" t="s">
        <v>676</v>
      </c>
      <c r="E254" s="684" t="str">
        <f>+VLOOKUP(F254,Resumen_Base!$C$8:$G$287,5,0)</f>
        <v>Food &amp; Wine</v>
      </c>
      <c r="F254" s="474" t="s">
        <v>1718</v>
      </c>
      <c r="G254" s="210" t="s">
        <v>1719</v>
      </c>
      <c r="H254" s="152" t="str">
        <f t="shared" si="3"/>
        <v>CAR5257</v>
      </c>
      <c r="I254" s="513">
        <v>13098</v>
      </c>
      <c r="J254" s="513">
        <v>8.85</v>
      </c>
      <c r="K254" s="513">
        <v>1480</v>
      </c>
      <c r="L254" s="513" t="s">
        <v>2827</v>
      </c>
      <c r="M254" s="513" t="s">
        <v>780</v>
      </c>
      <c r="N254" s="513" t="s">
        <v>1407</v>
      </c>
      <c r="O254" s="518" t="s">
        <v>2828</v>
      </c>
      <c r="P254" s="152" t="s">
        <v>892</v>
      </c>
      <c r="Q254" s="152" t="s">
        <v>2829</v>
      </c>
      <c r="R254" s="152" t="s">
        <v>3006</v>
      </c>
      <c r="S254" s="152" t="s">
        <v>2831</v>
      </c>
      <c r="T254" s="152" t="s">
        <v>786</v>
      </c>
    </row>
    <row r="255" spans="3:20">
      <c r="C255" s="152" t="s">
        <v>2821</v>
      </c>
      <c r="D255" s="474" t="s">
        <v>676</v>
      </c>
      <c r="E255" s="684" t="str">
        <f>+VLOOKUP(F255,Resumen_Base!$C$8:$G$287,5,0)</f>
        <v>Food &amp; Wine</v>
      </c>
      <c r="F255" s="474" t="s">
        <v>1718</v>
      </c>
      <c r="G255" s="210" t="s">
        <v>1719</v>
      </c>
      <c r="H255" s="152" t="str">
        <f t="shared" si="3"/>
        <v>CAR5257</v>
      </c>
      <c r="I255" s="513">
        <v>14607.6</v>
      </c>
      <c r="J255" s="513">
        <v>9.8699999999999992</v>
      </c>
      <c r="K255" s="513">
        <v>1480</v>
      </c>
      <c r="L255" s="513" t="s">
        <v>2827</v>
      </c>
      <c r="M255" s="513" t="s">
        <v>780</v>
      </c>
      <c r="N255" s="513" t="s">
        <v>1407</v>
      </c>
      <c r="O255" s="518" t="s">
        <v>2828</v>
      </c>
      <c r="P255" s="152" t="s">
        <v>892</v>
      </c>
      <c r="Q255" s="152" t="s">
        <v>2829</v>
      </c>
      <c r="R255" s="152" t="s">
        <v>3039</v>
      </c>
      <c r="S255" s="152" t="s">
        <v>2831</v>
      </c>
      <c r="T255" s="152" t="s">
        <v>786</v>
      </c>
    </row>
    <row r="256" spans="3:20">
      <c r="C256" s="152" t="s">
        <v>2821</v>
      </c>
      <c r="D256" s="474" t="s">
        <v>676</v>
      </c>
      <c r="E256" s="684" t="str">
        <f>+VLOOKUP(F256,Resumen_Base!$C$8:$G$287,5,0)</f>
        <v>Electricity</v>
      </c>
      <c r="F256" s="474" t="s">
        <v>70</v>
      </c>
      <c r="G256" s="210" t="s">
        <v>71</v>
      </c>
      <c r="H256" s="152" t="str">
        <f t="shared" si="3"/>
        <v>CAR5259</v>
      </c>
      <c r="I256" s="513">
        <v>276094</v>
      </c>
      <c r="J256" s="513">
        <v>186.55</v>
      </c>
      <c r="K256" s="513">
        <v>1480</v>
      </c>
      <c r="L256" s="513" t="s">
        <v>2827</v>
      </c>
      <c r="M256" s="513" t="s">
        <v>780</v>
      </c>
      <c r="N256" s="513" t="s">
        <v>1407</v>
      </c>
      <c r="O256" s="518" t="s">
        <v>2828</v>
      </c>
      <c r="P256" s="152" t="s">
        <v>892</v>
      </c>
      <c r="Q256" s="152" t="s">
        <v>2829</v>
      </c>
      <c r="R256" s="152" t="s">
        <v>2905</v>
      </c>
      <c r="S256" s="152" t="s">
        <v>2831</v>
      </c>
      <c r="T256" s="152" t="s">
        <v>786</v>
      </c>
    </row>
    <row r="257" spans="1:20">
      <c r="C257" s="152" t="s">
        <v>2821</v>
      </c>
      <c r="D257" s="474" t="s">
        <v>676</v>
      </c>
      <c r="E257" s="684" t="str">
        <f>+VLOOKUP(F257,Resumen_Base!$C$8:$G$287,5,0)</f>
        <v>Miscellaneous &amp; Shipping</v>
      </c>
      <c r="F257" s="474" t="s">
        <v>28</v>
      </c>
      <c r="G257" s="210" t="s">
        <v>336</v>
      </c>
      <c r="H257" s="152" t="str">
        <f t="shared" si="3"/>
        <v>CAR5263</v>
      </c>
      <c r="I257" s="513">
        <v>28000</v>
      </c>
      <c r="J257" s="513">
        <v>18.918918918918902</v>
      </c>
      <c r="K257" s="513">
        <v>1480</v>
      </c>
      <c r="L257" s="513" t="s">
        <v>2822</v>
      </c>
      <c r="M257" s="513" t="s">
        <v>780</v>
      </c>
      <c r="N257" s="513" t="s">
        <v>1407</v>
      </c>
      <c r="O257" s="518" t="s">
        <v>3131</v>
      </c>
      <c r="P257" s="152" t="s">
        <v>892</v>
      </c>
      <c r="Q257" s="152" t="s">
        <v>3132</v>
      </c>
      <c r="R257" s="152" t="s">
        <v>3135</v>
      </c>
      <c r="S257" s="152" t="s">
        <v>3134</v>
      </c>
      <c r="T257" s="152" t="s">
        <v>786</v>
      </c>
    </row>
    <row r="258" spans="1:20" ht="25">
      <c r="C258" s="152" t="s">
        <v>2821</v>
      </c>
      <c r="D258" s="474" t="s">
        <v>670</v>
      </c>
      <c r="E258" s="684" t="str">
        <f>+VLOOKUP(F258,Resumen_Base!$C$8:$G$287,5,0)</f>
        <v>Communications - Phone, internet and satellite TV</v>
      </c>
      <c r="F258" s="474" t="s">
        <v>72</v>
      </c>
      <c r="G258" s="210" t="s">
        <v>73</v>
      </c>
      <c r="H258" s="152" t="str">
        <f t="shared" si="3"/>
        <v>SJ5266</v>
      </c>
      <c r="I258" s="513">
        <v>84315.6</v>
      </c>
      <c r="J258" s="513">
        <v>56.97</v>
      </c>
      <c r="K258" s="513">
        <v>1480</v>
      </c>
      <c r="L258" s="513" t="s">
        <v>2859</v>
      </c>
      <c r="M258" s="513" t="s">
        <v>780</v>
      </c>
      <c r="N258" s="513" t="s">
        <v>781</v>
      </c>
      <c r="O258" s="518" t="s">
        <v>3195</v>
      </c>
      <c r="P258" s="152" t="s">
        <v>892</v>
      </c>
      <c r="Q258" s="152" t="s">
        <v>3196</v>
      </c>
      <c r="R258" s="152" t="s">
        <v>3199</v>
      </c>
      <c r="S258" s="152" t="s">
        <v>3198</v>
      </c>
      <c r="T258" s="152" t="s">
        <v>786</v>
      </c>
    </row>
    <row r="259" spans="1:20" ht="25">
      <c r="C259" s="152" t="s">
        <v>2821</v>
      </c>
      <c r="D259" s="474" t="s">
        <v>670</v>
      </c>
      <c r="E259" s="684" t="str">
        <f>+VLOOKUP(F259,Resumen_Base!$C$8:$G$287,5,0)</f>
        <v>Communications - Phone, internet and satellite TV</v>
      </c>
      <c r="F259" s="474" t="s">
        <v>72</v>
      </c>
      <c r="G259" s="210" t="s">
        <v>73</v>
      </c>
      <c r="H259" s="152" t="str">
        <f t="shared" si="3"/>
        <v>SJ5266</v>
      </c>
      <c r="I259" s="513">
        <v>85840</v>
      </c>
      <c r="J259" s="513">
        <v>58</v>
      </c>
      <c r="K259" s="513">
        <v>1480</v>
      </c>
      <c r="L259" s="513" t="s">
        <v>2827</v>
      </c>
      <c r="M259" s="513" t="s">
        <v>780</v>
      </c>
      <c r="N259" s="513" t="s">
        <v>781</v>
      </c>
      <c r="O259" s="518" t="s">
        <v>3207</v>
      </c>
      <c r="P259" s="152" t="s">
        <v>892</v>
      </c>
      <c r="Q259" s="152" t="s">
        <v>3208</v>
      </c>
      <c r="R259" s="152" t="s">
        <v>3228</v>
      </c>
      <c r="S259" s="152" t="s">
        <v>3210</v>
      </c>
      <c r="T259" s="152" t="s">
        <v>786</v>
      </c>
    </row>
    <row r="260" spans="1:20" ht="25">
      <c r="C260" s="152" t="s">
        <v>2821</v>
      </c>
      <c r="D260" s="474" t="s">
        <v>675</v>
      </c>
      <c r="E260" s="684" t="str">
        <f>+VLOOKUP(F260,Resumen_Base!$C$8:$G$287,5,0)</f>
        <v>Communications - Phone, internet and satellite TV</v>
      </c>
      <c r="F260" s="474" t="s">
        <v>72</v>
      </c>
      <c r="G260" s="210" t="s">
        <v>73</v>
      </c>
      <c r="H260" s="152" t="str">
        <f t="shared" si="3"/>
        <v>UL5266</v>
      </c>
      <c r="I260" s="513">
        <v>81740.399999999994</v>
      </c>
      <c r="J260" s="513">
        <v>55.23</v>
      </c>
      <c r="K260" s="513">
        <v>1480</v>
      </c>
      <c r="L260" s="513" t="s">
        <v>2827</v>
      </c>
      <c r="M260" s="513" t="s">
        <v>780</v>
      </c>
      <c r="N260" s="513" t="s">
        <v>1272</v>
      </c>
      <c r="O260" s="518" t="s">
        <v>3240</v>
      </c>
      <c r="P260" s="152" t="s">
        <v>892</v>
      </c>
      <c r="Q260" s="152" t="s">
        <v>3241</v>
      </c>
      <c r="R260" s="152" t="s">
        <v>1293</v>
      </c>
      <c r="S260" s="152" t="s">
        <v>3242</v>
      </c>
      <c r="T260" s="152" t="s">
        <v>786</v>
      </c>
    </row>
    <row r="261" spans="1:20" ht="25">
      <c r="C261" s="152" t="s">
        <v>2821</v>
      </c>
      <c r="D261" s="474" t="s">
        <v>675</v>
      </c>
      <c r="E261" s="684" t="str">
        <f>+VLOOKUP(F261,Resumen_Base!$C$8:$G$287,5,0)</f>
        <v>Communications - Phone, internet and satellite TV</v>
      </c>
      <c r="F261" s="474" t="s">
        <v>72</v>
      </c>
      <c r="G261" s="210" t="s">
        <v>73</v>
      </c>
      <c r="H261" s="152" t="str">
        <f t="shared" si="3"/>
        <v>UL5266</v>
      </c>
      <c r="I261" s="513">
        <v>89776.8</v>
      </c>
      <c r="J261" s="513">
        <v>60.66</v>
      </c>
      <c r="K261" s="513">
        <v>1480</v>
      </c>
      <c r="L261" s="513" t="s">
        <v>2827</v>
      </c>
      <c r="M261" s="513" t="s">
        <v>780</v>
      </c>
      <c r="N261" s="513" t="s">
        <v>1272</v>
      </c>
      <c r="O261" s="518" t="s">
        <v>3240</v>
      </c>
      <c r="P261" s="152" t="s">
        <v>892</v>
      </c>
      <c r="Q261" s="152" t="s">
        <v>3241</v>
      </c>
      <c r="R261" s="152" t="s">
        <v>3251</v>
      </c>
      <c r="S261" s="152" t="s">
        <v>3242</v>
      </c>
      <c r="T261" s="152" t="s">
        <v>786</v>
      </c>
    </row>
    <row r="262" spans="1:20" ht="25">
      <c r="C262" s="152" t="s">
        <v>2821</v>
      </c>
      <c r="D262" s="474" t="s">
        <v>676</v>
      </c>
      <c r="E262" s="684" t="str">
        <f>+VLOOKUP(F262,Resumen_Base!$C$8:$G$287,5,0)</f>
        <v>Communications - Phone, internet and satellite TV</v>
      </c>
      <c r="F262" s="474" t="s">
        <v>72</v>
      </c>
      <c r="G262" s="210" t="s">
        <v>73</v>
      </c>
      <c r="H262" s="152" t="str">
        <f t="shared" si="3"/>
        <v>CAR5266</v>
      </c>
      <c r="I262" s="513">
        <v>122455.2</v>
      </c>
      <c r="J262" s="513">
        <v>82.74</v>
      </c>
      <c r="K262" s="513">
        <v>1480</v>
      </c>
      <c r="L262" s="513" t="s">
        <v>2827</v>
      </c>
      <c r="M262" s="513" t="s">
        <v>780</v>
      </c>
      <c r="N262" s="513" t="s">
        <v>1407</v>
      </c>
      <c r="O262" s="518" t="s">
        <v>2932</v>
      </c>
      <c r="P262" s="152" t="s">
        <v>892</v>
      </c>
      <c r="Q262" s="152" t="s">
        <v>2933</v>
      </c>
      <c r="R262" s="152" t="s">
        <v>2934</v>
      </c>
      <c r="S262" s="152" t="s">
        <v>2935</v>
      </c>
      <c r="T262" s="152" t="s">
        <v>786</v>
      </c>
    </row>
    <row r="263" spans="1:20">
      <c r="C263" s="152" t="s">
        <v>2821</v>
      </c>
      <c r="D263" s="474" t="s">
        <v>670</v>
      </c>
      <c r="E263" s="684" t="str">
        <f>+VLOOKUP(F263,Resumen_Base!$C$8:$G$287,5,0)</f>
        <v>Maintenance Lodge</v>
      </c>
      <c r="F263" s="474" t="s">
        <v>261</v>
      </c>
      <c r="G263" s="210" t="s">
        <v>262</v>
      </c>
      <c r="H263" s="152" t="str">
        <f t="shared" si="3"/>
        <v>SJ5282</v>
      </c>
      <c r="I263" s="513">
        <v>2812</v>
      </c>
      <c r="J263" s="513">
        <v>1.9</v>
      </c>
      <c r="K263" s="513">
        <v>1480</v>
      </c>
      <c r="L263" s="513" t="s">
        <v>2827</v>
      </c>
      <c r="M263" s="513" t="s">
        <v>780</v>
      </c>
      <c r="N263" s="513" t="s">
        <v>781</v>
      </c>
      <c r="O263" s="518" t="s">
        <v>3204</v>
      </c>
      <c r="P263" s="152" t="s">
        <v>892</v>
      </c>
      <c r="Q263" s="152" t="s">
        <v>3205</v>
      </c>
      <c r="R263" s="152" t="s">
        <v>953</v>
      </c>
      <c r="S263" s="152" t="s">
        <v>3206</v>
      </c>
      <c r="T263" s="152" t="s">
        <v>786</v>
      </c>
    </row>
    <row r="264" spans="1:20">
      <c r="C264" s="152" t="s">
        <v>2821</v>
      </c>
      <c r="D264" s="474" t="s">
        <v>670</v>
      </c>
      <c r="E264" s="684" t="str">
        <f>+VLOOKUP(F264,Resumen_Base!$C$8:$G$287,5,0)</f>
        <v>Maintenance Lodge</v>
      </c>
      <c r="F264" s="474" t="s">
        <v>261</v>
      </c>
      <c r="G264" s="210" t="s">
        <v>262</v>
      </c>
      <c r="H264" s="152" t="str">
        <f t="shared" si="3"/>
        <v>SJ5282</v>
      </c>
      <c r="I264" s="513">
        <v>635926.4</v>
      </c>
      <c r="J264" s="513">
        <v>429.68</v>
      </c>
      <c r="K264" s="513">
        <v>1480</v>
      </c>
      <c r="L264" s="513" t="s">
        <v>2827</v>
      </c>
      <c r="M264" s="513" t="s">
        <v>780</v>
      </c>
      <c r="N264" s="513" t="s">
        <v>781</v>
      </c>
      <c r="O264" s="518" t="s">
        <v>3204</v>
      </c>
      <c r="P264" s="152" t="s">
        <v>892</v>
      </c>
      <c r="Q264" s="152" t="s">
        <v>3205</v>
      </c>
      <c r="R264" s="152" t="s">
        <v>3230</v>
      </c>
      <c r="S264" s="152" t="s">
        <v>3206</v>
      </c>
      <c r="T264" s="152" t="s">
        <v>786</v>
      </c>
    </row>
    <row r="265" spans="1:20">
      <c r="C265" s="152" t="s">
        <v>2821</v>
      </c>
      <c r="D265" s="474" t="s">
        <v>676</v>
      </c>
      <c r="E265" s="684" t="str">
        <f>+VLOOKUP(F265,Resumen_Base!$C$8:$G$287,5,0)</f>
        <v>Maintenance Lodge</v>
      </c>
      <c r="F265" s="474" t="s">
        <v>236</v>
      </c>
      <c r="G265" s="210" t="s">
        <v>237</v>
      </c>
      <c r="H265" s="152" t="str">
        <f t="shared" si="3"/>
        <v>CAR5283</v>
      </c>
      <c r="I265" s="513">
        <v>22140.799999999999</v>
      </c>
      <c r="J265" s="513">
        <v>14.96</v>
      </c>
      <c r="K265" s="513">
        <v>1480</v>
      </c>
      <c r="L265" s="513" t="s">
        <v>2827</v>
      </c>
      <c r="M265" s="513" t="s">
        <v>780</v>
      </c>
      <c r="N265" s="513" t="s">
        <v>1407</v>
      </c>
      <c r="O265" s="518" t="s">
        <v>2828</v>
      </c>
      <c r="P265" s="152" t="s">
        <v>892</v>
      </c>
      <c r="Q265" s="152" t="s">
        <v>2829</v>
      </c>
      <c r="R265" s="152" t="s">
        <v>2988</v>
      </c>
      <c r="S265" s="152" t="s">
        <v>2831</v>
      </c>
      <c r="T265" s="152" t="s">
        <v>786</v>
      </c>
    </row>
    <row r="266" spans="1:20" ht="25">
      <c r="C266" s="152" t="s">
        <v>2821</v>
      </c>
      <c r="D266" s="474" t="s">
        <v>676</v>
      </c>
      <c r="E266" s="684" t="str">
        <f>+VLOOKUP(F266,Resumen_Base!$C$8:$G$287,5,0)</f>
        <v>Electricity - Gas for Boats &amp; Vehicles</v>
      </c>
      <c r="F266" s="474" t="s">
        <v>163</v>
      </c>
      <c r="G266" s="210" t="s">
        <v>164</v>
      </c>
      <c r="H266" s="152" t="str">
        <f t="shared" si="3"/>
        <v>CAR5288</v>
      </c>
      <c r="I266" s="513">
        <v>138128.4</v>
      </c>
      <c r="J266" s="513">
        <v>93.33</v>
      </c>
      <c r="K266" s="513">
        <v>1480</v>
      </c>
      <c r="L266" s="513" t="s">
        <v>2827</v>
      </c>
      <c r="M266" s="513" t="s">
        <v>780</v>
      </c>
      <c r="N266" s="513" t="s">
        <v>1407</v>
      </c>
      <c r="O266" s="518" t="s">
        <v>2828</v>
      </c>
      <c r="P266" s="152" t="s">
        <v>892</v>
      </c>
      <c r="Q266" s="152" t="s">
        <v>2829</v>
      </c>
      <c r="R266" s="152" t="s">
        <v>2566</v>
      </c>
      <c r="S266" s="152" t="s">
        <v>2831</v>
      </c>
      <c r="T266" s="152" t="s">
        <v>786</v>
      </c>
    </row>
    <row r="267" spans="1:20" ht="25">
      <c r="C267" s="152" t="s">
        <v>2821</v>
      </c>
      <c r="D267" s="474" t="s">
        <v>676</v>
      </c>
      <c r="E267" s="684" t="str">
        <f>+VLOOKUP(F267,Resumen_Base!$C$8:$G$287,5,0)</f>
        <v>Electricity - Gas for Boats &amp; Vehicles</v>
      </c>
      <c r="F267" s="474" t="s">
        <v>163</v>
      </c>
      <c r="G267" s="210" t="s">
        <v>164</v>
      </c>
      <c r="H267" s="152" t="str">
        <f t="shared" si="3"/>
        <v>CAR5288</v>
      </c>
      <c r="I267" s="513">
        <v>37690.800000000003</v>
      </c>
      <c r="J267" s="513">
        <v>25.64</v>
      </c>
      <c r="K267" s="513">
        <v>1470</v>
      </c>
      <c r="L267" s="513" t="s">
        <v>2827</v>
      </c>
      <c r="M267" s="513" t="s">
        <v>780</v>
      </c>
      <c r="N267" s="513" t="s">
        <v>1407</v>
      </c>
      <c r="O267" s="518" t="s">
        <v>2828</v>
      </c>
      <c r="P267" s="152" t="s">
        <v>892</v>
      </c>
      <c r="Q267" s="152" t="s">
        <v>2829</v>
      </c>
      <c r="R267" s="152" t="s">
        <v>2984</v>
      </c>
      <c r="S267" s="152" t="s">
        <v>2831</v>
      </c>
      <c r="T267" s="152" t="s">
        <v>786</v>
      </c>
    </row>
    <row r="268" spans="1:20">
      <c r="C268" s="152" t="s">
        <v>2821</v>
      </c>
      <c r="D268" s="474" t="s">
        <v>676</v>
      </c>
      <c r="E268" s="684" t="str">
        <f>+VLOOKUP(F268,Resumen_Base!$C$8:$G$287,5,0)</f>
        <v>Food &amp; Wine</v>
      </c>
      <c r="F268" s="474" t="s">
        <v>248</v>
      </c>
      <c r="G268" s="210" t="s">
        <v>249</v>
      </c>
      <c r="H268" s="152" t="str">
        <f t="shared" si="3"/>
        <v>CAR5289</v>
      </c>
      <c r="I268" s="513">
        <v>10819.2</v>
      </c>
      <c r="J268" s="513">
        <v>7.36</v>
      </c>
      <c r="K268" s="513">
        <v>1470</v>
      </c>
      <c r="L268" s="513" t="s">
        <v>2899</v>
      </c>
      <c r="M268" s="513" t="s">
        <v>780</v>
      </c>
      <c r="N268" s="513" t="s">
        <v>1407</v>
      </c>
      <c r="O268" s="518" t="s">
        <v>2900</v>
      </c>
      <c r="P268" s="152" t="s">
        <v>892</v>
      </c>
      <c r="Q268" s="152" t="s">
        <v>2901</v>
      </c>
      <c r="R268" s="152" t="s">
        <v>2391</v>
      </c>
      <c r="S268" s="152" t="s">
        <v>2903</v>
      </c>
      <c r="T268" s="152" t="s">
        <v>786</v>
      </c>
    </row>
    <row r="269" spans="1:20">
      <c r="C269" s="152" t="s">
        <v>2821</v>
      </c>
      <c r="D269" s="474" t="s">
        <v>676</v>
      </c>
      <c r="E269" s="684" t="str">
        <f>+VLOOKUP(F269,Resumen_Base!$C$8:$G$287,5,0)</f>
        <v>Food &amp; Wine</v>
      </c>
      <c r="F269" s="474" t="s">
        <v>248</v>
      </c>
      <c r="G269" s="210" t="s">
        <v>249</v>
      </c>
      <c r="H269" s="152" t="str">
        <f t="shared" si="3"/>
        <v>CAR5289</v>
      </c>
      <c r="I269" s="513">
        <v>34530.300000000003</v>
      </c>
      <c r="J269" s="513">
        <v>23.49</v>
      </c>
      <c r="K269" s="513">
        <v>1470</v>
      </c>
      <c r="L269" s="513" t="s">
        <v>2899</v>
      </c>
      <c r="M269" s="513" t="s">
        <v>780</v>
      </c>
      <c r="N269" s="513" t="s">
        <v>1407</v>
      </c>
      <c r="O269" s="518" t="s">
        <v>2900</v>
      </c>
      <c r="P269" s="152" t="s">
        <v>892</v>
      </c>
      <c r="Q269" s="152" t="s">
        <v>2901</v>
      </c>
      <c r="R269" s="152" t="s">
        <v>2391</v>
      </c>
      <c r="S269" s="152" t="s">
        <v>2903</v>
      </c>
      <c r="T269" s="152" t="s">
        <v>786</v>
      </c>
    </row>
    <row r="270" spans="1:20">
      <c r="C270" s="152" t="s">
        <v>2821</v>
      </c>
      <c r="D270" s="474" t="s">
        <v>676</v>
      </c>
      <c r="E270" s="684" t="str">
        <f>+VLOOKUP(F270,Resumen_Base!$C$8:$G$287,5,0)</f>
        <v>Food &amp; Wine</v>
      </c>
      <c r="F270" s="474" t="s">
        <v>248</v>
      </c>
      <c r="G270" s="210" t="s">
        <v>249</v>
      </c>
      <c r="H270" s="152" t="str">
        <f t="shared" si="3"/>
        <v>CAR5289</v>
      </c>
      <c r="I270" s="513">
        <v>52581.9</v>
      </c>
      <c r="J270" s="513">
        <v>35.770000000000003</v>
      </c>
      <c r="K270" s="513">
        <v>1470</v>
      </c>
      <c r="L270" s="513" t="s">
        <v>2827</v>
      </c>
      <c r="M270" s="513" t="s">
        <v>780</v>
      </c>
      <c r="N270" s="513" t="s">
        <v>1407</v>
      </c>
      <c r="O270" s="518" t="s">
        <v>2828</v>
      </c>
      <c r="P270" s="152" t="s">
        <v>892</v>
      </c>
      <c r="Q270" s="152" t="s">
        <v>2829</v>
      </c>
      <c r="R270" s="152" t="s">
        <v>2989</v>
      </c>
      <c r="S270" s="152" t="s">
        <v>2831</v>
      </c>
      <c r="T270" s="152" t="s">
        <v>786</v>
      </c>
    </row>
    <row r="272" spans="1:20" ht="37.5">
      <c r="A272" s="509" t="s">
        <v>2803</v>
      </c>
      <c r="B272" s="330"/>
      <c r="C272" s="330"/>
      <c r="D272" s="203" t="s">
        <v>676</v>
      </c>
      <c r="E272" s="684" t="str">
        <f>+VLOOKUP(F272,Resumen_Base!$C$8:$G$287,5,0)</f>
        <v>Transfer to and from the airport (local taxi) - Vehicle Rental</v>
      </c>
      <c r="F272" s="330" t="s">
        <v>138</v>
      </c>
      <c r="G272" s="330" t="s">
        <v>202</v>
      </c>
      <c r="H272" s="152" t="str">
        <f t="shared" ref="H272:H324" si="4">+D272&amp;F272</f>
        <v>CAR5225</v>
      </c>
      <c r="I272" s="715">
        <v>0</v>
      </c>
      <c r="J272" s="715">
        <v>-991</v>
      </c>
      <c r="K272" s="715"/>
      <c r="L272" s="456">
        <v>46013</v>
      </c>
      <c r="M272" s="330"/>
      <c r="N272" s="203" t="s">
        <v>1407</v>
      </c>
      <c r="O272" s="330"/>
      <c r="P272" s="330"/>
      <c r="Q272" s="330" t="s">
        <v>2792</v>
      </c>
    </row>
    <row r="273" spans="1:18" ht="25">
      <c r="A273" s="509" t="s">
        <v>2803</v>
      </c>
      <c r="B273" s="330"/>
      <c r="C273" s="330"/>
      <c r="D273" s="203" t="s">
        <v>676</v>
      </c>
      <c r="E273" s="684" t="str">
        <f>+VLOOKUP(F273,Resumen_Base!$C$8:$G$287,5,0)</f>
        <v>Guides</v>
      </c>
      <c r="F273" s="330" t="s">
        <v>323</v>
      </c>
      <c r="G273" s="330" t="s">
        <v>324</v>
      </c>
      <c r="H273" s="152" t="str">
        <f t="shared" si="4"/>
        <v>CAR5227</v>
      </c>
      <c r="I273" s="715">
        <v>0</v>
      </c>
      <c r="J273" s="715">
        <v>-1600</v>
      </c>
      <c r="K273" s="715"/>
      <c r="L273" s="456">
        <v>46013</v>
      </c>
      <c r="M273" s="330"/>
      <c r="N273" s="203" t="s">
        <v>1407</v>
      </c>
      <c r="O273" s="330"/>
      <c r="P273" s="330"/>
      <c r="Q273" s="330" t="s">
        <v>2793</v>
      </c>
    </row>
    <row r="274" spans="1:18" ht="25">
      <c r="A274" s="509" t="s">
        <v>2803</v>
      </c>
      <c r="B274" s="330"/>
      <c r="C274" s="330"/>
      <c r="D274" s="203" t="s">
        <v>676</v>
      </c>
      <c r="E274" s="684" t="str">
        <f>+VLOOKUP(F274,Resumen_Base!$C$8:$G$287,5,0)</f>
        <v>Manager</v>
      </c>
      <c r="F274" s="330" t="s">
        <v>325</v>
      </c>
      <c r="G274" s="330" t="s">
        <v>326</v>
      </c>
      <c r="H274" s="152" t="str">
        <f t="shared" si="4"/>
        <v>CAR5228</v>
      </c>
      <c r="I274" s="715">
        <v>0</v>
      </c>
      <c r="J274" s="715">
        <v>-1371</v>
      </c>
      <c r="K274" s="715"/>
      <c r="L274" s="456">
        <v>46013</v>
      </c>
      <c r="M274" s="330"/>
      <c r="N274" s="203" t="s">
        <v>1407</v>
      </c>
      <c r="O274" s="330"/>
      <c r="P274" s="330"/>
      <c r="Q274" s="330" t="s">
        <v>2794</v>
      </c>
    </row>
    <row r="275" spans="1:18" ht="25">
      <c r="A275" s="509" t="s">
        <v>2803</v>
      </c>
      <c r="B275" s="330"/>
      <c r="C275" s="330"/>
      <c r="D275" s="203" t="s">
        <v>676</v>
      </c>
      <c r="E275" s="684" t="str">
        <f>+VLOOKUP(F275,Resumen_Base!$C$8:$G$287,5,0)</f>
        <v>Social Security Contributions</v>
      </c>
      <c r="F275" s="330" t="s">
        <v>333</v>
      </c>
      <c r="G275" s="330" t="s">
        <v>334</v>
      </c>
      <c r="H275" s="152" t="str">
        <f t="shared" si="4"/>
        <v>CAR5237</v>
      </c>
      <c r="I275" s="715">
        <v>0</v>
      </c>
      <c r="J275" s="715">
        <v>-561.95000000000005</v>
      </c>
      <c r="K275" s="715"/>
      <c r="L275" s="456">
        <v>46013</v>
      </c>
      <c r="M275" s="330"/>
      <c r="N275" s="203" t="s">
        <v>1407</v>
      </c>
      <c r="O275" s="330"/>
      <c r="P275" s="330"/>
      <c r="Q275" s="330" t="s">
        <v>2795</v>
      </c>
    </row>
    <row r="276" spans="1:18" ht="25">
      <c r="A276" s="509" t="s">
        <v>2803</v>
      </c>
      <c r="B276" s="330"/>
      <c r="C276" s="330"/>
      <c r="D276" s="203" t="s">
        <v>676</v>
      </c>
      <c r="E276" s="684" t="str">
        <f>+VLOOKUP(F276,Resumen_Base!$C$8:$G$287,5,0)</f>
        <v>Electricity - Gas for Boats &amp; Vehicles</v>
      </c>
      <c r="F276" s="330" t="s">
        <v>64</v>
      </c>
      <c r="G276" s="330" t="s">
        <v>65</v>
      </c>
      <c r="H276" s="152" t="str">
        <f t="shared" si="4"/>
        <v>CAR5248</v>
      </c>
      <c r="I276" s="715">
        <v>0</v>
      </c>
      <c r="J276" s="715">
        <v>-103</v>
      </c>
      <c r="K276" s="715"/>
      <c r="L276" s="456">
        <v>46013</v>
      </c>
      <c r="M276" s="330"/>
      <c r="N276" s="203" t="s">
        <v>1407</v>
      </c>
      <c r="O276" s="330"/>
      <c r="P276" s="330"/>
      <c r="Q276" s="330" t="s">
        <v>2796</v>
      </c>
    </row>
    <row r="277" spans="1:18" ht="25">
      <c r="A277" s="509" t="s">
        <v>2803</v>
      </c>
      <c r="B277" s="330"/>
      <c r="C277" s="330"/>
      <c r="D277" s="203" t="s">
        <v>670</v>
      </c>
      <c r="E277" s="684" t="str">
        <f>+VLOOKUP(F277,Resumen_Base!$C$8:$G$287,5,0)</f>
        <v>Communications - Phone, internet and satellite TV</v>
      </c>
      <c r="F277" s="330" t="s">
        <v>72</v>
      </c>
      <c r="G277" s="330" t="s">
        <v>73</v>
      </c>
      <c r="H277" s="152" t="str">
        <f t="shared" si="4"/>
        <v>SJ5266</v>
      </c>
      <c r="I277" s="715">
        <v>0</v>
      </c>
      <c r="J277" s="715">
        <v>-58</v>
      </c>
      <c r="K277" s="715"/>
      <c r="L277" s="456">
        <v>46011</v>
      </c>
      <c r="M277" s="330"/>
      <c r="N277" s="203" t="s">
        <v>781</v>
      </c>
      <c r="O277" s="330"/>
      <c r="P277" s="330"/>
      <c r="Q277" s="330" t="s">
        <v>2801</v>
      </c>
    </row>
    <row r="278" spans="1:18" ht="25">
      <c r="A278" s="509" t="s">
        <v>2803</v>
      </c>
      <c r="B278" s="330"/>
      <c r="C278" s="330"/>
      <c r="D278" s="203" t="s">
        <v>675</v>
      </c>
      <c r="E278" s="684" t="str">
        <f>+VLOOKUP(F278,Resumen_Base!$C$8:$G$287,5,0)</f>
        <v>Communications - Phone, internet and satellite TV</v>
      </c>
      <c r="F278" s="330" t="s">
        <v>72</v>
      </c>
      <c r="G278" s="330" t="s">
        <v>73</v>
      </c>
      <c r="H278" s="152" t="str">
        <f t="shared" si="4"/>
        <v>UL5266</v>
      </c>
      <c r="I278" s="715">
        <v>0</v>
      </c>
      <c r="J278" s="715">
        <v>-60.655641025641032</v>
      </c>
      <c r="K278" s="715"/>
      <c r="L278" s="456">
        <v>46013</v>
      </c>
      <c r="M278" s="330"/>
      <c r="N278" s="203" t="s">
        <v>1272</v>
      </c>
      <c r="O278" s="330"/>
      <c r="P278" s="330"/>
      <c r="Q278" s="330" t="s">
        <v>2802</v>
      </c>
    </row>
    <row r="280" spans="1:18" s="330" customFormat="1" ht="25">
      <c r="A280" s="509" t="s">
        <v>3388</v>
      </c>
      <c r="D280" s="203" t="s">
        <v>676</v>
      </c>
      <c r="E280" s="714" t="str">
        <f>+VLOOKUP(F280,Resumen_Base!$C$8:$G$287,5,0)</f>
        <v>Field:</v>
      </c>
      <c r="F280" s="330" t="s">
        <v>133</v>
      </c>
      <c r="G280" s="330" t="s">
        <v>451</v>
      </c>
      <c r="H280" s="330" t="str">
        <f t="shared" si="4"/>
        <v>CAR5207</v>
      </c>
      <c r="I280" s="715"/>
      <c r="J280" s="715">
        <v>350</v>
      </c>
      <c r="K280" s="715"/>
      <c r="L280" s="456">
        <v>46068</v>
      </c>
      <c r="N280" s="203" t="s">
        <v>1407</v>
      </c>
      <c r="R280" s="330" t="s">
        <v>3348</v>
      </c>
    </row>
    <row r="281" spans="1:18" s="330" customFormat="1" ht="25">
      <c r="A281" s="509" t="s">
        <v>3388</v>
      </c>
      <c r="B281" s="315"/>
      <c r="D281" s="203" t="s">
        <v>676</v>
      </c>
      <c r="E281" s="714" t="str">
        <f>+VLOOKUP(F281,Resumen_Base!$C$8:$G$287,5,0)</f>
        <v>Field:</v>
      </c>
      <c r="F281" s="724" t="s">
        <v>133</v>
      </c>
      <c r="G281" s="725" t="s">
        <v>451</v>
      </c>
      <c r="H281" s="330" t="str">
        <f t="shared" si="4"/>
        <v>CAR5207</v>
      </c>
      <c r="I281" s="314"/>
      <c r="J281" s="314">
        <v>150</v>
      </c>
      <c r="K281" s="203"/>
      <c r="L281" s="456">
        <v>46068</v>
      </c>
      <c r="N281" s="203" t="s">
        <v>1407</v>
      </c>
      <c r="R281" s="728" t="s">
        <v>3349</v>
      </c>
    </row>
    <row r="282" spans="1:18" s="330" customFormat="1" ht="25">
      <c r="A282" s="509" t="s">
        <v>3388</v>
      </c>
      <c r="B282" s="315"/>
      <c r="D282" s="203" t="s">
        <v>676</v>
      </c>
      <c r="E282" s="714" t="str">
        <f>+VLOOKUP(F282,Resumen_Base!$C$8:$G$287,5,0)</f>
        <v>Field:</v>
      </c>
      <c r="F282" s="724" t="s">
        <v>133</v>
      </c>
      <c r="G282" s="725" t="s">
        <v>451</v>
      </c>
      <c r="H282" s="330" t="str">
        <f t="shared" si="4"/>
        <v>CAR5207</v>
      </c>
      <c r="I282" s="314"/>
      <c r="J282" s="314">
        <v>450</v>
      </c>
      <c r="K282" s="203"/>
      <c r="L282" s="456">
        <v>46068</v>
      </c>
      <c r="N282" s="203" t="s">
        <v>1407</v>
      </c>
      <c r="R282" s="728" t="s">
        <v>3350</v>
      </c>
    </row>
    <row r="283" spans="1:18" s="330" customFormat="1" ht="25">
      <c r="A283" s="509" t="s">
        <v>3388</v>
      </c>
      <c r="B283" s="315"/>
      <c r="D283" s="203" t="s">
        <v>676</v>
      </c>
      <c r="E283" s="714" t="str">
        <f>+VLOOKUP(F283,Resumen_Base!$C$8:$G$287,5,0)</f>
        <v>Licenses / Permits (Fishing and Shooting)</v>
      </c>
      <c r="F283" s="724" t="s">
        <v>62</v>
      </c>
      <c r="G283" s="725" t="s">
        <v>63</v>
      </c>
      <c r="H283" s="330" t="str">
        <f t="shared" si="4"/>
        <v>CAR5221</v>
      </c>
      <c r="I283" s="314"/>
      <c r="J283" s="314">
        <v>600</v>
      </c>
      <c r="K283" s="203"/>
      <c r="L283" s="456">
        <v>46068</v>
      </c>
      <c r="N283" s="203" t="s">
        <v>1407</v>
      </c>
      <c r="R283" s="728" t="s">
        <v>3351</v>
      </c>
    </row>
    <row r="284" spans="1:18" s="330" customFormat="1" ht="25">
      <c r="A284" s="509" t="s">
        <v>3388</v>
      </c>
      <c r="B284" s="315"/>
      <c r="D284" s="203" t="s">
        <v>676</v>
      </c>
      <c r="E284" s="714" t="str">
        <f>+VLOOKUP(F284,Resumen_Base!$C$8:$G$287,5,0)</f>
        <v>Services/House</v>
      </c>
      <c r="F284" s="724" t="s">
        <v>321</v>
      </c>
      <c r="G284" s="725" t="s">
        <v>455</v>
      </c>
      <c r="H284" s="330" t="str">
        <f t="shared" si="4"/>
        <v>CAR5226</v>
      </c>
      <c r="I284" s="314"/>
      <c r="J284" s="314">
        <v>115</v>
      </c>
      <c r="K284" s="203"/>
      <c r="L284" s="456">
        <v>46063</v>
      </c>
      <c r="N284" s="203" t="s">
        <v>1407</v>
      </c>
      <c r="R284" s="728" t="s">
        <v>3357</v>
      </c>
    </row>
    <row r="285" spans="1:18" s="330" customFormat="1" ht="25">
      <c r="A285" s="509" t="s">
        <v>3388</v>
      </c>
      <c r="B285" s="315"/>
      <c r="D285" s="203" t="s">
        <v>676</v>
      </c>
      <c r="E285" s="714" t="str">
        <f>+VLOOKUP(F285,Resumen_Base!$C$8:$G$287,5,0)</f>
        <v>Services/House</v>
      </c>
      <c r="F285" s="724" t="s">
        <v>321</v>
      </c>
      <c r="G285" s="725" t="s">
        <v>455</v>
      </c>
      <c r="H285" s="330" t="str">
        <f t="shared" si="4"/>
        <v>CAR5226</v>
      </c>
      <c r="I285" s="314"/>
      <c r="J285" s="314">
        <v>145</v>
      </c>
      <c r="K285" s="203"/>
      <c r="L285" s="456">
        <v>46062</v>
      </c>
      <c r="N285" s="203" t="s">
        <v>1407</v>
      </c>
      <c r="R285" s="728" t="s">
        <v>3358</v>
      </c>
    </row>
    <row r="286" spans="1:18" s="330" customFormat="1" ht="25">
      <c r="A286" s="509" t="s">
        <v>3388</v>
      </c>
      <c r="B286" s="315"/>
      <c r="D286" s="203" t="s">
        <v>676</v>
      </c>
      <c r="E286" s="714" t="str">
        <f>+VLOOKUP(F286,Resumen_Base!$C$8:$G$287,5,0)</f>
        <v>Services/House</v>
      </c>
      <c r="F286" s="724" t="s">
        <v>321</v>
      </c>
      <c r="G286" s="725" t="s">
        <v>455</v>
      </c>
      <c r="H286" s="330" t="str">
        <f t="shared" si="4"/>
        <v>CAR5226</v>
      </c>
      <c r="I286" s="314"/>
      <c r="J286" s="314">
        <v>231</v>
      </c>
      <c r="K286" s="203"/>
      <c r="L286" s="456">
        <v>46062</v>
      </c>
      <c r="N286" s="203" t="s">
        <v>1407</v>
      </c>
      <c r="R286" s="728" t="s">
        <v>3359</v>
      </c>
    </row>
    <row r="287" spans="1:18" s="330" customFormat="1" ht="25">
      <c r="A287" s="509" t="s">
        <v>3388</v>
      </c>
      <c r="B287" s="315"/>
      <c r="D287" s="203" t="s">
        <v>676</v>
      </c>
      <c r="E287" s="714" t="str">
        <f>+VLOOKUP(F287,Resumen_Base!$C$8:$G$287,5,0)</f>
        <v>Services/House</v>
      </c>
      <c r="F287" s="724" t="s">
        <v>321</v>
      </c>
      <c r="G287" s="725" t="s">
        <v>455</v>
      </c>
      <c r="H287" s="330" t="str">
        <f t="shared" si="4"/>
        <v>CAR5226</v>
      </c>
      <c r="I287" s="314"/>
      <c r="J287" s="314">
        <v>202</v>
      </c>
      <c r="K287" s="203"/>
      <c r="L287" s="456">
        <v>46062</v>
      </c>
      <c r="N287" s="203" t="s">
        <v>1407</v>
      </c>
      <c r="R287" s="728" t="s">
        <v>3360</v>
      </c>
    </row>
    <row r="288" spans="1:18" s="330" customFormat="1" ht="25">
      <c r="A288" s="509" t="s">
        <v>3388</v>
      </c>
      <c r="B288" s="315"/>
      <c r="D288" s="203" t="s">
        <v>676</v>
      </c>
      <c r="E288" s="714" t="str">
        <f>+VLOOKUP(F288,Resumen_Base!$C$8:$G$287,5,0)</f>
        <v>Services/House</v>
      </c>
      <c r="F288" s="724" t="s">
        <v>321</v>
      </c>
      <c r="G288" s="725" t="s">
        <v>455</v>
      </c>
      <c r="H288" s="330" t="str">
        <f t="shared" si="4"/>
        <v>CAR5226</v>
      </c>
      <c r="I288" s="314"/>
      <c r="J288" s="314">
        <v>145</v>
      </c>
      <c r="K288" s="203"/>
      <c r="L288" s="456">
        <v>46062</v>
      </c>
      <c r="N288" s="203" t="s">
        <v>1407</v>
      </c>
      <c r="R288" s="728" t="s">
        <v>3361</v>
      </c>
    </row>
    <row r="289" spans="1:18" s="330" customFormat="1" ht="25">
      <c r="A289" s="509" t="s">
        <v>3388</v>
      </c>
      <c r="B289" s="315"/>
      <c r="D289" s="203" t="s">
        <v>676</v>
      </c>
      <c r="E289" s="714" t="str">
        <f>+VLOOKUP(F289,Resumen_Base!$C$8:$G$287,5,0)</f>
        <v>Services/House</v>
      </c>
      <c r="F289" s="724" t="s">
        <v>321</v>
      </c>
      <c r="G289" s="725" t="s">
        <v>455</v>
      </c>
      <c r="H289" s="330" t="str">
        <f t="shared" si="4"/>
        <v>CAR5226</v>
      </c>
      <c r="I289" s="314"/>
      <c r="J289" s="314">
        <v>145</v>
      </c>
      <c r="K289" s="203"/>
      <c r="L289" s="456">
        <v>46062</v>
      </c>
      <c r="N289" s="203" t="s">
        <v>1407</v>
      </c>
      <c r="R289" s="728" t="s">
        <v>3362</v>
      </c>
    </row>
    <row r="290" spans="1:18" s="330" customFormat="1" ht="25">
      <c r="A290" s="509" t="s">
        <v>3388</v>
      </c>
      <c r="B290" s="315"/>
      <c r="D290" s="203" t="s">
        <v>676</v>
      </c>
      <c r="E290" s="714" t="str">
        <f>+VLOOKUP(F290,Resumen_Base!$C$8:$G$287,5,0)</f>
        <v>Services/House</v>
      </c>
      <c r="F290" s="724" t="s">
        <v>321</v>
      </c>
      <c r="G290" s="725" t="s">
        <v>455</v>
      </c>
      <c r="H290" s="330" t="str">
        <f t="shared" si="4"/>
        <v>CAR5226</v>
      </c>
      <c r="I290" s="314"/>
      <c r="J290" s="314">
        <v>938.41558441558436</v>
      </c>
      <c r="K290" s="203"/>
      <c r="L290" s="456">
        <v>46061</v>
      </c>
      <c r="N290" s="203" t="s">
        <v>1407</v>
      </c>
      <c r="R290" s="728" t="s">
        <v>3365</v>
      </c>
    </row>
    <row r="291" spans="1:18" s="330" customFormat="1" ht="25">
      <c r="A291" s="509" t="s">
        <v>3388</v>
      </c>
      <c r="B291" s="315"/>
      <c r="D291" s="203" t="s">
        <v>676</v>
      </c>
      <c r="E291" s="714" t="str">
        <f>+VLOOKUP(F291,Resumen_Base!$C$8:$G$287,5,0)</f>
        <v>Services/House</v>
      </c>
      <c r="F291" s="724" t="s">
        <v>321</v>
      </c>
      <c r="G291" s="725" t="s">
        <v>455</v>
      </c>
      <c r="H291" s="330" t="str">
        <f t="shared" si="4"/>
        <v>CAR5226</v>
      </c>
      <c r="I291" s="314"/>
      <c r="J291" s="314">
        <v>920.90909090909088</v>
      </c>
      <c r="K291" s="203"/>
      <c r="L291" s="456">
        <v>46061</v>
      </c>
      <c r="N291" s="203" t="s">
        <v>1407</v>
      </c>
      <c r="R291" s="728" t="s">
        <v>3366</v>
      </c>
    </row>
    <row r="292" spans="1:18" s="330" customFormat="1" ht="25">
      <c r="A292" s="509" t="s">
        <v>3388</v>
      </c>
      <c r="B292" s="315"/>
      <c r="D292" s="203" t="s">
        <v>676</v>
      </c>
      <c r="E292" s="714" t="str">
        <f>+VLOOKUP(F292,Resumen_Base!$C$8:$G$287,5,0)</f>
        <v>Services/House</v>
      </c>
      <c r="F292" s="724" t="s">
        <v>321</v>
      </c>
      <c r="G292" s="725" t="s">
        <v>455</v>
      </c>
      <c r="H292" s="330" t="str">
        <f t="shared" si="4"/>
        <v>CAR5226</v>
      </c>
      <c r="I292" s="314"/>
      <c r="J292" s="314">
        <v>938.41558441558436</v>
      </c>
      <c r="K292" s="203"/>
      <c r="L292" s="456">
        <v>46061</v>
      </c>
      <c r="N292" s="203" t="s">
        <v>1407</v>
      </c>
      <c r="R292" s="728" t="s">
        <v>3367</v>
      </c>
    </row>
    <row r="293" spans="1:18" s="330" customFormat="1" ht="25">
      <c r="A293" s="509" t="s">
        <v>3388</v>
      </c>
      <c r="B293" s="315"/>
      <c r="D293" s="203" t="s">
        <v>676</v>
      </c>
      <c r="E293" s="714" t="str">
        <f>+VLOOKUP(F293,Resumen_Base!$C$8:$G$287,5,0)</f>
        <v>Services/House</v>
      </c>
      <c r="F293" s="724" t="s">
        <v>321</v>
      </c>
      <c r="G293" s="725" t="s">
        <v>455</v>
      </c>
      <c r="H293" s="330" t="str">
        <f t="shared" si="4"/>
        <v>CAR5226</v>
      </c>
      <c r="I293" s="314"/>
      <c r="J293" s="314">
        <v>920.90909090909088</v>
      </c>
      <c r="K293" s="203"/>
      <c r="L293" s="456">
        <v>46061</v>
      </c>
      <c r="N293" s="203" t="s">
        <v>1407</v>
      </c>
      <c r="R293" s="728" t="s">
        <v>3368</v>
      </c>
    </row>
    <row r="294" spans="1:18" s="330" customFormat="1" ht="25">
      <c r="A294" s="509" t="s">
        <v>3388</v>
      </c>
      <c r="B294" s="315"/>
      <c r="D294" s="203" t="s">
        <v>676</v>
      </c>
      <c r="E294" s="714" t="str">
        <f>+VLOOKUP(F294,Resumen_Base!$C$8:$G$287,5,0)</f>
        <v>Services/House</v>
      </c>
      <c r="F294" s="724" t="s">
        <v>321</v>
      </c>
      <c r="G294" s="725" t="s">
        <v>455</v>
      </c>
      <c r="H294" s="330" t="str">
        <f t="shared" si="4"/>
        <v>CAR5226</v>
      </c>
      <c r="I294" s="314"/>
      <c r="J294" s="314">
        <v>900</v>
      </c>
      <c r="K294" s="203"/>
      <c r="L294" s="456">
        <v>46057</v>
      </c>
      <c r="N294" s="203" t="s">
        <v>1407</v>
      </c>
      <c r="R294" s="728" t="s">
        <v>3386</v>
      </c>
    </row>
    <row r="295" spans="1:18" s="330" customFormat="1" ht="25">
      <c r="A295" s="509" t="s">
        <v>3388</v>
      </c>
      <c r="B295" s="315"/>
      <c r="D295" s="203" t="s">
        <v>676</v>
      </c>
      <c r="E295" s="714" t="str">
        <f>+VLOOKUP(F295,Resumen_Base!$C$8:$G$287,5,0)</f>
        <v>Services/House</v>
      </c>
      <c r="F295" s="724" t="s">
        <v>321</v>
      </c>
      <c r="G295" s="725" t="s">
        <v>455</v>
      </c>
      <c r="H295" s="330" t="str">
        <f t="shared" si="4"/>
        <v>CAR5226</v>
      </c>
      <c r="I295" s="314"/>
      <c r="J295" s="314">
        <v>207.79220779220779</v>
      </c>
      <c r="K295" s="203"/>
      <c r="L295" s="456">
        <v>46057</v>
      </c>
      <c r="N295" s="203" t="s">
        <v>1407</v>
      </c>
      <c r="R295" s="728" t="s">
        <v>3387</v>
      </c>
    </row>
    <row r="296" spans="1:18" s="330" customFormat="1" ht="25">
      <c r="A296" s="509" t="s">
        <v>3388</v>
      </c>
      <c r="B296" s="315"/>
      <c r="D296" s="203" t="s">
        <v>676</v>
      </c>
      <c r="E296" s="714" t="str">
        <f>+VLOOKUP(F296,Resumen_Base!$C$8:$G$287,5,0)</f>
        <v>Guides</v>
      </c>
      <c r="F296" s="724" t="s">
        <v>323</v>
      </c>
      <c r="G296" s="725" t="s">
        <v>453</v>
      </c>
      <c r="H296" s="330" t="str">
        <f t="shared" si="4"/>
        <v>CAR5227</v>
      </c>
      <c r="I296" s="314"/>
      <c r="J296" s="314">
        <v>910</v>
      </c>
      <c r="K296" s="203"/>
      <c r="L296" s="456">
        <v>46075</v>
      </c>
      <c r="N296" s="203" t="s">
        <v>1407</v>
      </c>
      <c r="R296" s="728" t="s">
        <v>3343</v>
      </c>
    </row>
    <row r="297" spans="1:18" s="330" customFormat="1" ht="25">
      <c r="A297" s="509" t="s">
        <v>3388</v>
      </c>
      <c r="B297" s="315"/>
      <c r="D297" s="203" t="s">
        <v>676</v>
      </c>
      <c r="E297" s="714" t="str">
        <f>+VLOOKUP(F297,Resumen_Base!$C$8:$G$287,5,0)</f>
        <v>Guides</v>
      </c>
      <c r="F297" s="724" t="s">
        <v>323</v>
      </c>
      <c r="G297" s="725" t="s">
        <v>453</v>
      </c>
      <c r="H297" s="330" t="str">
        <f t="shared" si="4"/>
        <v>CAR5227</v>
      </c>
      <c r="I297" s="314"/>
      <c r="J297" s="314">
        <v>633</v>
      </c>
      <c r="K297" s="203"/>
      <c r="L297" s="456">
        <v>46075</v>
      </c>
      <c r="N297" s="203" t="s">
        <v>1407</v>
      </c>
      <c r="R297" s="728" t="s">
        <v>3344</v>
      </c>
    </row>
    <row r="298" spans="1:18" s="330" customFormat="1" ht="25">
      <c r="A298" s="509" t="s">
        <v>3388</v>
      </c>
      <c r="B298" s="315"/>
      <c r="D298" s="203" t="s">
        <v>676</v>
      </c>
      <c r="E298" s="714" t="str">
        <f>+VLOOKUP(F298,Resumen_Base!$C$8:$G$287,5,0)</f>
        <v>Guides</v>
      </c>
      <c r="F298" s="724" t="s">
        <v>323</v>
      </c>
      <c r="G298" s="725" t="s">
        <v>453</v>
      </c>
      <c r="H298" s="330" t="str">
        <f t="shared" si="4"/>
        <v>CAR5227</v>
      </c>
      <c r="I298" s="314"/>
      <c r="J298" s="314">
        <v>36</v>
      </c>
      <c r="K298" s="203"/>
      <c r="L298" s="456">
        <v>46075</v>
      </c>
      <c r="N298" s="203" t="s">
        <v>1407</v>
      </c>
      <c r="R298" s="728" t="s">
        <v>3345</v>
      </c>
    </row>
    <row r="299" spans="1:18" s="330" customFormat="1" ht="25">
      <c r="A299" s="509" t="s">
        <v>3388</v>
      </c>
      <c r="B299" s="315"/>
      <c r="D299" s="203" t="s">
        <v>676</v>
      </c>
      <c r="E299" s="714" t="str">
        <f>+VLOOKUP(F299,Resumen_Base!$C$8:$G$287,5,0)</f>
        <v>Guides</v>
      </c>
      <c r="F299" s="724" t="s">
        <v>323</v>
      </c>
      <c r="G299" s="725" t="s">
        <v>453</v>
      </c>
      <c r="H299" s="330" t="str">
        <f t="shared" si="4"/>
        <v>CAR5227</v>
      </c>
      <c r="I299" s="314"/>
      <c r="J299" s="314">
        <v>264.93506493506493</v>
      </c>
      <c r="K299" s="203"/>
      <c r="L299" s="456">
        <v>46068</v>
      </c>
      <c r="N299" s="203" t="s">
        <v>1407</v>
      </c>
      <c r="R299" s="728" t="s">
        <v>3352</v>
      </c>
    </row>
    <row r="300" spans="1:18" s="330" customFormat="1" ht="25">
      <c r="A300" s="509" t="s">
        <v>3388</v>
      </c>
      <c r="B300" s="315"/>
      <c r="D300" s="203" t="s">
        <v>676</v>
      </c>
      <c r="E300" s="714" t="str">
        <f>+VLOOKUP(F300,Resumen_Base!$C$8:$G$287,5,0)</f>
        <v>Guides</v>
      </c>
      <c r="F300" s="724" t="s">
        <v>323</v>
      </c>
      <c r="G300" s="725" t="s">
        <v>453</v>
      </c>
      <c r="H300" s="330" t="str">
        <f t="shared" si="4"/>
        <v>CAR5227</v>
      </c>
      <c r="I300" s="314"/>
      <c r="J300" s="314">
        <v>154.54545454545453</v>
      </c>
      <c r="K300" s="203"/>
      <c r="L300" s="456">
        <v>46061</v>
      </c>
      <c r="N300" s="203" t="s">
        <v>1407</v>
      </c>
      <c r="R300" s="728" t="s">
        <v>3369</v>
      </c>
    </row>
    <row r="301" spans="1:18" s="330" customFormat="1" ht="25">
      <c r="A301" s="509" t="s">
        <v>3388</v>
      </c>
      <c r="B301" s="315"/>
      <c r="D301" s="203" t="s">
        <v>676</v>
      </c>
      <c r="E301" s="714" t="str">
        <f>+VLOOKUP(F301,Resumen_Base!$C$8:$G$287,5,0)</f>
        <v>Guides</v>
      </c>
      <c r="F301" s="724" t="s">
        <v>323</v>
      </c>
      <c r="G301" s="725" t="s">
        <v>453</v>
      </c>
      <c r="H301" s="330" t="str">
        <f t="shared" si="4"/>
        <v>CAR5227</v>
      </c>
      <c r="I301" s="314"/>
      <c r="J301" s="314">
        <v>91.558441558441558</v>
      </c>
      <c r="K301" s="203"/>
      <c r="L301" s="456">
        <v>46061</v>
      </c>
      <c r="N301" s="203" t="s">
        <v>1407</v>
      </c>
      <c r="R301" s="728" t="s">
        <v>3370</v>
      </c>
    </row>
    <row r="302" spans="1:18" s="330" customFormat="1" ht="25">
      <c r="A302" s="509" t="s">
        <v>3388</v>
      </c>
      <c r="B302" s="315"/>
      <c r="D302" s="203" t="s">
        <v>676</v>
      </c>
      <c r="E302" s="714" t="str">
        <f>+VLOOKUP(F302,Resumen_Base!$C$8:$G$287,5,0)</f>
        <v>Guides</v>
      </c>
      <c r="F302" s="724" t="s">
        <v>323</v>
      </c>
      <c r="G302" s="725" t="s">
        <v>453</v>
      </c>
      <c r="H302" s="330" t="str">
        <f t="shared" si="4"/>
        <v>CAR5227</v>
      </c>
      <c r="I302" s="314"/>
      <c r="J302" s="314">
        <v>110.3896103896104</v>
      </c>
      <c r="K302" s="203"/>
      <c r="L302" s="456">
        <v>46061</v>
      </c>
      <c r="N302" s="203" t="s">
        <v>1407</v>
      </c>
      <c r="R302" s="728" t="s">
        <v>3371</v>
      </c>
    </row>
    <row r="303" spans="1:18" s="330" customFormat="1" ht="25">
      <c r="A303" s="509" t="s">
        <v>3388</v>
      </c>
      <c r="B303" s="315"/>
      <c r="D303" s="203" t="s">
        <v>676</v>
      </c>
      <c r="E303" s="714" t="str">
        <f>+VLOOKUP(F303,Resumen_Base!$C$8:$G$287,5,0)</f>
        <v>Guides</v>
      </c>
      <c r="F303" s="724" t="s">
        <v>323</v>
      </c>
      <c r="G303" s="725" t="s">
        <v>453</v>
      </c>
      <c r="H303" s="330" t="str">
        <f t="shared" si="4"/>
        <v>CAR5227</v>
      </c>
      <c r="I303" s="314"/>
      <c r="J303" s="314">
        <v>525.32467532467535</v>
      </c>
      <c r="K303" s="203"/>
      <c r="L303" s="456">
        <v>46061</v>
      </c>
      <c r="N303" s="203" t="s">
        <v>1407</v>
      </c>
      <c r="R303" s="728" t="s">
        <v>3372</v>
      </c>
    </row>
    <row r="304" spans="1:18" s="330" customFormat="1" ht="25">
      <c r="A304" s="509" t="s">
        <v>3388</v>
      </c>
      <c r="B304" s="315"/>
      <c r="D304" s="203" t="s">
        <v>676</v>
      </c>
      <c r="E304" s="714" t="str">
        <f>+VLOOKUP(F304,Resumen_Base!$C$8:$G$287,5,0)</f>
        <v>Guides</v>
      </c>
      <c r="F304" s="724" t="s">
        <v>323</v>
      </c>
      <c r="G304" s="725" t="s">
        <v>453</v>
      </c>
      <c r="H304" s="330" t="str">
        <f t="shared" si="4"/>
        <v>CAR5227</v>
      </c>
      <c r="I304" s="314"/>
      <c r="J304" s="314">
        <v>88.311688311688314</v>
      </c>
      <c r="K304" s="203"/>
      <c r="L304" s="456">
        <v>46061</v>
      </c>
      <c r="N304" s="203" t="s">
        <v>1407</v>
      </c>
      <c r="R304" s="728" t="s">
        <v>3373</v>
      </c>
    </row>
    <row r="305" spans="1:18" s="330" customFormat="1" ht="25">
      <c r="A305" s="509" t="s">
        <v>3388</v>
      </c>
      <c r="B305" s="315"/>
      <c r="D305" s="203" t="s">
        <v>676</v>
      </c>
      <c r="E305" s="714" t="str">
        <f>+VLOOKUP(F305,Resumen_Base!$C$8:$G$287,5,0)</f>
        <v>Guides</v>
      </c>
      <c r="F305" s="724" t="s">
        <v>323</v>
      </c>
      <c r="G305" s="725" t="s">
        <v>453</v>
      </c>
      <c r="H305" s="330" t="str">
        <f t="shared" si="4"/>
        <v>CAR5227</v>
      </c>
      <c r="I305" s="314"/>
      <c r="J305" s="314">
        <v>176.62337662337663</v>
      </c>
      <c r="K305" s="203"/>
      <c r="L305" s="456">
        <v>46061</v>
      </c>
      <c r="N305" s="203" t="s">
        <v>1407</v>
      </c>
      <c r="R305" s="728" t="s">
        <v>3374</v>
      </c>
    </row>
    <row r="306" spans="1:18" s="330" customFormat="1" ht="25">
      <c r="A306" s="509" t="s">
        <v>3388</v>
      </c>
      <c r="B306" s="315"/>
      <c r="D306" s="203" t="s">
        <v>676</v>
      </c>
      <c r="E306" s="714" t="str">
        <f>+VLOOKUP(F306,Resumen_Base!$C$8:$G$287,5,0)</f>
        <v>Guides</v>
      </c>
      <c r="F306" s="724" t="s">
        <v>323</v>
      </c>
      <c r="G306" s="725" t="s">
        <v>453</v>
      </c>
      <c r="H306" s="330" t="str">
        <f t="shared" si="4"/>
        <v>CAR5227</v>
      </c>
      <c r="I306" s="314"/>
      <c r="J306" s="314">
        <v>154.54545454545453</v>
      </c>
      <c r="K306" s="203"/>
      <c r="L306" s="456">
        <v>46061</v>
      </c>
      <c r="N306" s="203" t="s">
        <v>1407</v>
      </c>
      <c r="R306" s="728" t="s">
        <v>3375</v>
      </c>
    </row>
    <row r="307" spans="1:18" s="330" customFormat="1" ht="25">
      <c r="A307" s="509" t="s">
        <v>3388</v>
      </c>
      <c r="B307" s="315"/>
      <c r="D307" s="203" t="s">
        <v>676</v>
      </c>
      <c r="E307" s="714" t="str">
        <f>+VLOOKUP(F307,Resumen_Base!$C$8:$G$287,5,0)</f>
        <v>Guides</v>
      </c>
      <c r="F307" s="724" t="s">
        <v>323</v>
      </c>
      <c r="G307" s="725" t="s">
        <v>453</v>
      </c>
      <c r="H307" s="330" t="str">
        <f t="shared" si="4"/>
        <v>CAR5227</v>
      </c>
      <c r="I307" s="314"/>
      <c r="J307" s="314">
        <v>375.3246753246753</v>
      </c>
      <c r="K307" s="203"/>
      <c r="L307" s="456">
        <v>46061</v>
      </c>
      <c r="N307" s="203" t="s">
        <v>1407</v>
      </c>
      <c r="R307" s="728" t="s">
        <v>3376</v>
      </c>
    </row>
    <row r="308" spans="1:18" s="330" customFormat="1" ht="25">
      <c r="A308" s="509" t="s">
        <v>3388</v>
      </c>
      <c r="B308" s="315"/>
      <c r="D308" s="203" t="s">
        <v>676</v>
      </c>
      <c r="E308" s="714" t="str">
        <f>+VLOOKUP(F308,Resumen_Base!$C$8:$G$287,5,0)</f>
        <v>Guides</v>
      </c>
      <c r="F308" s="724" t="s">
        <v>323</v>
      </c>
      <c r="G308" s="725" t="s">
        <v>453</v>
      </c>
      <c r="H308" s="330" t="str">
        <f t="shared" si="4"/>
        <v>CAR5227</v>
      </c>
      <c r="I308" s="314"/>
      <c r="J308" s="314">
        <v>88.311688311688314</v>
      </c>
      <c r="K308" s="203"/>
      <c r="L308" s="456">
        <v>46061</v>
      </c>
      <c r="N308" s="203" t="s">
        <v>1407</v>
      </c>
      <c r="R308" s="728" t="s">
        <v>3377</v>
      </c>
    </row>
    <row r="309" spans="1:18" s="330" customFormat="1" ht="25">
      <c r="A309" s="509" t="s">
        <v>3388</v>
      </c>
      <c r="B309" s="315"/>
      <c r="D309" s="203" t="s">
        <v>676</v>
      </c>
      <c r="E309" s="714" t="str">
        <f>+VLOOKUP(F309,Resumen_Base!$C$8:$G$287,5,0)</f>
        <v>Guides</v>
      </c>
      <c r="F309" s="724" t="s">
        <v>323</v>
      </c>
      <c r="G309" s="725" t="s">
        <v>453</v>
      </c>
      <c r="H309" s="330" t="str">
        <f t="shared" si="4"/>
        <v>CAR5227</v>
      </c>
      <c r="I309" s="314"/>
      <c r="J309" s="314">
        <v>375.3246753246753</v>
      </c>
      <c r="K309" s="203"/>
      <c r="L309" s="456">
        <v>46061</v>
      </c>
      <c r="N309" s="203" t="s">
        <v>1407</v>
      </c>
      <c r="R309" s="728" t="s">
        <v>3378</v>
      </c>
    </row>
    <row r="310" spans="1:18" s="330" customFormat="1" ht="25">
      <c r="A310" s="509" t="s">
        <v>3388</v>
      </c>
      <c r="B310" s="315"/>
      <c r="D310" s="203" t="s">
        <v>676</v>
      </c>
      <c r="E310" s="714" t="str">
        <f>+VLOOKUP(F310,Resumen_Base!$C$8:$G$287,5,0)</f>
        <v>Guides</v>
      </c>
      <c r="F310" s="724" t="s">
        <v>323</v>
      </c>
      <c r="G310" s="725" t="s">
        <v>453</v>
      </c>
      <c r="H310" s="330" t="str">
        <f t="shared" si="4"/>
        <v>CAR5227</v>
      </c>
      <c r="I310" s="314"/>
      <c r="J310" s="314">
        <v>154.54545454545453</v>
      </c>
      <c r="K310" s="203"/>
      <c r="L310" s="456">
        <v>46061</v>
      </c>
      <c r="N310" s="203" t="s">
        <v>1407</v>
      </c>
      <c r="R310" s="728" t="s">
        <v>3379</v>
      </c>
    </row>
    <row r="311" spans="1:18" s="330" customFormat="1" ht="25">
      <c r="A311" s="509" t="s">
        <v>3388</v>
      </c>
      <c r="B311" s="315"/>
      <c r="D311" s="203" t="s">
        <v>676</v>
      </c>
      <c r="E311" s="714" t="str">
        <f>+VLOOKUP(F311,Resumen_Base!$C$8:$G$287,5,0)</f>
        <v>Guides</v>
      </c>
      <c r="F311" s="724" t="s">
        <v>323</v>
      </c>
      <c r="G311" s="725" t="s">
        <v>453</v>
      </c>
      <c r="H311" s="330" t="str">
        <f t="shared" si="4"/>
        <v>CAR5227</v>
      </c>
      <c r="I311" s="314"/>
      <c r="J311" s="314">
        <v>262.98701298701297</v>
      </c>
      <c r="K311" s="203"/>
      <c r="L311" s="456">
        <v>46061</v>
      </c>
      <c r="N311" s="203" t="s">
        <v>1407</v>
      </c>
      <c r="R311" s="728" t="s">
        <v>3380</v>
      </c>
    </row>
    <row r="312" spans="1:18" s="330" customFormat="1" ht="25">
      <c r="A312" s="509" t="s">
        <v>3388</v>
      </c>
      <c r="B312" s="315"/>
      <c r="D312" s="203" t="s">
        <v>676</v>
      </c>
      <c r="E312" s="714" t="str">
        <f>+VLOOKUP(F312,Resumen_Base!$C$8:$G$287,5,0)</f>
        <v>Guides</v>
      </c>
      <c r="F312" s="724" t="s">
        <v>323</v>
      </c>
      <c r="G312" s="725" t="s">
        <v>453</v>
      </c>
      <c r="H312" s="330" t="str">
        <f t="shared" si="4"/>
        <v>CAR5227</v>
      </c>
      <c r="I312" s="314"/>
      <c r="J312" s="314">
        <v>88.311688311688314</v>
      </c>
      <c r="K312" s="203"/>
      <c r="L312" s="456">
        <v>46061</v>
      </c>
      <c r="N312" s="203" t="s">
        <v>1407</v>
      </c>
      <c r="R312" s="728" t="s">
        <v>3381</v>
      </c>
    </row>
    <row r="313" spans="1:18" s="330" customFormat="1" ht="25">
      <c r="A313" s="509" t="s">
        <v>3388</v>
      </c>
      <c r="B313" s="315"/>
      <c r="D313" s="203" t="s">
        <v>676</v>
      </c>
      <c r="E313" s="714" t="str">
        <f>+VLOOKUP(F313,Resumen_Base!$C$8:$G$287,5,0)</f>
        <v>Guides</v>
      </c>
      <c r="F313" s="724" t="s">
        <v>323</v>
      </c>
      <c r="G313" s="725" t="s">
        <v>453</v>
      </c>
      <c r="H313" s="330" t="str">
        <f t="shared" si="4"/>
        <v>CAR5227</v>
      </c>
      <c r="I313" s="314"/>
      <c r="J313" s="314">
        <v>88.311688311688314</v>
      </c>
      <c r="K313" s="203"/>
      <c r="L313" s="456">
        <v>46061</v>
      </c>
      <c r="N313" s="203" t="s">
        <v>1407</v>
      </c>
      <c r="R313" s="728" t="s">
        <v>3382</v>
      </c>
    </row>
    <row r="314" spans="1:18" s="330" customFormat="1" ht="25">
      <c r="A314" s="509" t="s">
        <v>3388</v>
      </c>
      <c r="B314" s="315"/>
      <c r="D314" s="203" t="s">
        <v>676</v>
      </c>
      <c r="E314" s="714" t="str">
        <f>+VLOOKUP(F314,Resumen_Base!$C$8:$G$287,5,0)</f>
        <v>Guides</v>
      </c>
      <c r="F314" s="724" t="s">
        <v>323</v>
      </c>
      <c r="G314" s="725" t="s">
        <v>453</v>
      </c>
      <c r="H314" s="330" t="str">
        <f t="shared" si="4"/>
        <v>CAR5227</v>
      </c>
      <c r="I314" s="314"/>
      <c r="J314" s="314">
        <v>1015.5844155844156</v>
      </c>
      <c r="K314" s="203"/>
      <c r="L314" s="456">
        <v>46061</v>
      </c>
      <c r="N314" s="203" t="s">
        <v>1407</v>
      </c>
      <c r="R314" s="728" t="s">
        <v>3383</v>
      </c>
    </row>
    <row r="315" spans="1:18" s="330" customFormat="1" ht="25">
      <c r="A315" s="509" t="s">
        <v>3388</v>
      </c>
      <c r="B315" s="315"/>
      <c r="D315" s="203" t="s">
        <v>676</v>
      </c>
      <c r="E315" s="714" t="str">
        <f>+VLOOKUP(F315,Resumen_Base!$C$8:$G$287,5,0)</f>
        <v>Guides</v>
      </c>
      <c r="F315" s="724" t="s">
        <v>323</v>
      </c>
      <c r="G315" s="725" t="s">
        <v>453</v>
      </c>
      <c r="H315" s="330" t="str">
        <f t="shared" si="4"/>
        <v>CAR5227</v>
      </c>
      <c r="I315" s="314"/>
      <c r="J315" s="314">
        <v>281.11688311688312</v>
      </c>
      <c r="K315" s="203"/>
      <c r="L315" s="456">
        <v>46061</v>
      </c>
      <c r="N315" s="203" t="s">
        <v>1407</v>
      </c>
      <c r="R315" s="728" t="s">
        <v>3384</v>
      </c>
    </row>
    <row r="316" spans="1:18" s="330" customFormat="1" ht="25">
      <c r="A316" s="509" t="s">
        <v>3388</v>
      </c>
      <c r="B316" s="315"/>
      <c r="D316" s="203" t="s">
        <v>676</v>
      </c>
      <c r="E316" s="714" t="str">
        <f>+VLOOKUP(F316,Resumen_Base!$C$8:$G$287,5,0)</f>
        <v>Manager</v>
      </c>
      <c r="F316" s="724" t="s">
        <v>325</v>
      </c>
      <c r="G316" s="725" t="s">
        <v>452</v>
      </c>
      <c r="H316" s="330" t="str">
        <f t="shared" si="4"/>
        <v>CAR5228</v>
      </c>
      <c r="I316" s="314"/>
      <c r="J316" s="314">
        <v>145</v>
      </c>
      <c r="K316" s="203"/>
      <c r="L316" s="456">
        <v>46062</v>
      </c>
      <c r="N316" s="203" t="s">
        <v>1407</v>
      </c>
      <c r="R316" s="728" t="s">
        <v>3363</v>
      </c>
    </row>
    <row r="317" spans="1:18" s="330" customFormat="1" ht="25">
      <c r="A317" s="509" t="s">
        <v>3388</v>
      </c>
      <c r="B317" s="315"/>
      <c r="D317" s="203" t="s">
        <v>676</v>
      </c>
      <c r="E317" s="714" t="str">
        <f>+VLOOKUP(F317,Resumen_Base!$C$8:$G$287,5,0)</f>
        <v>Manager</v>
      </c>
      <c r="F317" s="724" t="s">
        <v>325</v>
      </c>
      <c r="G317" s="725" t="s">
        <v>452</v>
      </c>
      <c r="H317" s="330" t="str">
        <f t="shared" si="4"/>
        <v>CAR5228</v>
      </c>
      <c r="I317" s="314"/>
      <c r="J317" s="314">
        <v>722</v>
      </c>
      <c r="K317" s="203"/>
      <c r="L317" s="456">
        <v>46062</v>
      </c>
      <c r="N317" s="203" t="s">
        <v>1407</v>
      </c>
      <c r="R317" s="728" t="s">
        <v>3364</v>
      </c>
    </row>
    <row r="318" spans="1:18" s="330" customFormat="1" ht="25">
      <c r="A318" s="509" t="s">
        <v>3388</v>
      </c>
      <c r="B318" s="315"/>
      <c r="D318" s="203" t="s">
        <v>676</v>
      </c>
      <c r="E318" s="714" t="str">
        <f>+VLOOKUP(F318,Resumen_Base!$C$8:$G$287,5,0)</f>
        <v>Manager</v>
      </c>
      <c r="F318" s="724" t="s">
        <v>325</v>
      </c>
      <c r="G318" s="725" t="s">
        <v>452</v>
      </c>
      <c r="H318" s="330" t="str">
        <f t="shared" si="4"/>
        <v>CAR5228</v>
      </c>
      <c r="I318" s="314"/>
      <c r="J318" s="314">
        <v>602.59740259740261</v>
      </c>
      <c r="K318" s="203"/>
      <c r="L318" s="456">
        <v>46061</v>
      </c>
      <c r="N318" s="203" t="s">
        <v>1407</v>
      </c>
      <c r="R318" s="728" t="s">
        <v>3385</v>
      </c>
    </row>
    <row r="319" spans="1:18" s="330" customFormat="1" ht="25">
      <c r="A319" s="509" t="s">
        <v>3388</v>
      </c>
      <c r="B319" s="315"/>
      <c r="D319" s="203" t="s">
        <v>676</v>
      </c>
      <c r="E319" s="714" t="str">
        <f>+VLOOKUP(F319,Resumen_Base!$C$8:$G$287,5,0)</f>
        <v>Social Security Contributions</v>
      </c>
      <c r="F319" s="724" t="s">
        <v>333</v>
      </c>
      <c r="G319" s="725" t="s">
        <v>334</v>
      </c>
      <c r="H319" s="330" t="str">
        <f t="shared" si="4"/>
        <v>CAR5237</v>
      </c>
      <c r="I319" s="314"/>
      <c r="J319" s="314">
        <v>732.77922077922074</v>
      </c>
      <c r="K319" s="203"/>
      <c r="L319" s="456">
        <v>46068</v>
      </c>
      <c r="N319" s="203" t="s">
        <v>1407</v>
      </c>
      <c r="R319" s="728" t="s">
        <v>3355</v>
      </c>
    </row>
    <row r="320" spans="1:18" s="330" customFormat="1" ht="25">
      <c r="A320" s="509" t="s">
        <v>3388</v>
      </c>
      <c r="B320" s="315"/>
      <c r="D320" s="203" t="s">
        <v>676</v>
      </c>
      <c r="E320" s="714" t="str">
        <f>+VLOOKUP(F320,Resumen_Base!$C$8:$G$287,5,0)</f>
        <v>Electricity</v>
      </c>
      <c r="F320" s="724" t="s">
        <v>41</v>
      </c>
      <c r="G320" s="725" t="s">
        <v>459</v>
      </c>
      <c r="H320" s="330" t="str">
        <f t="shared" si="4"/>
        <v>CAR5247</v>
      </c>
      <c r="I320" s="314"/>
      <c r="J320" s="314">
        <v>233.92207792207793</v>
      </c>
      <c r="K320" s="203"/>
      <c r="L320" s="456">
        <v>46068</v>
      </c>
      <c r="N320" s="203" t="s">
        <v>1407</v>
      </c>
      <c r="R320" s="728" t="s">
        <v>3353</v>
      </c>
    </row>
    <row r="321" spans="1:23" s="330" customFormat="1" ht="25">
      <c r="A321" s="509" t="s">
        <v>3388</v>
      </c>
      <c r="B321" s="315"/>
      <c r="D321" s="203" t="s">
        <v>676</v>
      </c>
      <c r="E321" s="714" t="str">
        <f>+VLOOKUP(F321,Resumen_Base!$C$8:$G$287,5,0)</f>
        <v>Electricity</v>
      </c>
      <c r="F321" s="724" t="s">
        <v>41</v>
      </c>
      <c r="G321" s="725" t="s">
        <v>459</v>
      </c>
      <c r="H321" s="330" t="str">
        <f t="shared" si="4"/>
        <v>CAR5247</v>
      </c>
      <c r="I321" s="314"/>
      <c r="J321" s="314">
        <v>1517.8961038961038</v>
      </c>
      <c r="K321" s="203"/>
      <c r="L321" s="456">
        <v>46068</v>
      </c>
      <c r="N321" s="203" t="s">
        <v>1407</v>
      </c>
      <c r="R321" s="728" t="s">
        <v>3354</v>
      </c>
    </row>
    <row r="322" spans="1:23" s="330" customFormat="1" ht="25">
      <c r="A322" s="509" t="s">
        <v>3388</v>
      </c>
      <c r="B322" s="315"/>
      <c r="D322" s="203" t="s">
        <v>670</v>
      </c>
      <c r="E322" s="714" t="str">
        <f>+VLOOKUP(F322,Resumen_Base!$C$8:$G$287,5,0)</f>
        <v>Manager</v>
      </c>
      <c r="F322" s="724" t="s">
        <v>325</v>
      </c>
      <c r="G322" s="725" t="s">
        <v>452</v>
      </c>
      <c r="H322" s="330" t="str">
        <f t="shared" si="4"/>
        <v>SJ5228</v>
      </c>
      <c r="I322" s="314"/>
      <c r="J322" s="314">
        <v>700</v>
      </c>
      <c r="K322" s="203"/>
      <c r="L322" s="456">
        <v>46075</v>
      </c>
      <c r="N322" s="203" t="s">
        <v>781</v>
      </c>
      <c r="R322" s="728" t="s">
        <v>3346</v>
      </c>
    </row>
    <row r="323" spans="1:23" s="330" customFormat="1" ht="25">
      <c r="A323" s="509" t="s">
        <v>3388</v>
      </c>
      <c r="B323" s="315"/>
      <c r="D323" s="203" t="s">
        <v>670</v>
      </c>
      <c r="E323" s="714" t="str">
        <f>+VLOOKUP(F323,Resumen_Base!$C$8:$G$287,5,0)</f>
        <v>Manager</v>
      </c>
      <c r="F323" s="724" t="s">
        <v>325</v>
      </c>
      <c r="G323" s="725" t="s">
        <v>452</v>
      </c>
      <c r="H323" s="330" t="str">
        <f t="shared" si="4"/>
        <v>SJ5228</v>
      </c>
      <c r="I323" s="314"/>
      <c r="J323" s="314">
        <v>1000</v>
      </c>
      <c r="K323" s="203"/>
      <c r="L323" s="456">
        <v>46075</v>
      </c>
      <c r="N323" s="203" t="s">
        <v>781</v>
      </c>
      <c r="R323" s="728" t="s">
        <v>3347</v>
      </c>
    </row>
    <row r="324" spans="1:23" s="330" customFormat="1" ht="25">
      <c r="A324" s="509" t="s">
        <v>3388</v>
      </c>
      <c r="B324" s="315"/>
      <c r="D324" s="203" t="s">
        <v>670</v>
      </c>
      <c r="E324" s="714" t="str">
        <f>+VLOOKUP(F324,Resumen_Base!$C$8:$G$287,5,0)</f>
        <v>Manager</v>
      </c>
      <c r="F324" s="724" t="s">
        <v>325</v>
      </c>
      <c r="G324" s="725" t="s">
        <v>452</v>
      </c>
      <c r="H324" s="330" t="str">
        <f t="shared" si="4"/>
        <v>SJ5228</v>
      </c>
      <c r="I324" s="314"/>
      <c r="J324" s="314">
        <v>700</v>
      </c>
      <c r="K324" s="203"/>
      <c r="L324" s="456">
        <v>46068</v>
      </c>
      <c r="N324" s="203" t="s">
        <v>781</v>
      </c>
      <c r="R324" s="728" t="s">
        <v>3356</v>
      </c>
    </row>
    <row r="330" spans="1:23">
      <c r="A330" s="452" t="s">
        <v>84</v>
      </c>
      <c r="B330" s="452" t="s">
        <v>84</v>
      </c>
      <c r="C330" s="452" t="s">
        <v>84</v>
      </c>
      <c r="D330" s="11" t="s">
        <v>84</v>
      </c>
      <c r="E330" s="452" t="s">
        <v>84</v>
      </c>
      <c r="F330" s="453" t="s">
        <v>84</v>
      </c>
      <c r="G330" s="453" t="s">
        <v>84</v>
      </c>
      <c r="H330" s="453" t="s">
        <v>84</v>
      </c>
      <c r="I330" s="187" t="s">
        <v>84</v>
      </c>
      <c r="J330" s="187" t="s">
        <v>84</v>
      </c>
      <c r="K330" s="187" t="s">
        <v>84</v>
      </c>
      <c r="L330" s="457" t="s">
        <v>84</v>
      </c>
      <c r="M330" s="453" t="s">
        <v>84</v>
      </c>
      <c r="N330" s="453" t="s">
        <v>84</v>
      </c>
      <c r="O330" s="453" t="s">
        <v>84</v>
      </c>
      <c r="P330" s="453" t="s">
        <v>84</v>
      </c>
      <c r="Q330" s="453" t="s">
        <v>84</v>
      </c>
      <c r="R330" s="453" t="s">
        <v>84</v>
      </c>
      <c r="S330" s="453" t="s">
        <v>84</v>
      </c>
      <c r="T330" s="453" t="s">
        <v>84</v>
      </c>
      <c r="U330" s="453" t="s">
        <v>84</v>
      </c>
      <c r="V330" s="453" t="s">
        <v>84</v>
      </c>
      <c r="W330" s="453" t="s">
        <v>84</v>
      </c>
    </row>
    <row r="331" spans="1:23" ht="25">
      <c r="A331" s="509" t="s">
        <v>2803</v>
      </c>
      <c r="B331" s="330"/>
      <c r="C331" s="330"/>
      <c r="D331" s="330"/>
      <c r="E331" s="330"/>
      <c r="F331" s="330" t="s">
        <v>341</v>
      </c>
      <c r="G331" s="330" t="s">
        <v>342</v>
      </c>
      <c r="H331" s="330"/>
      <c r="I331" s="715">
        <v>0</v>
      </c>
      <c r="J331" s="715">
        <v>-20</v>
      </c>
      <c r="K331" s="715"/>
      <c r="L331" s="456">
        <v>46021</v>
      </c>
      <c r="M331" s="330"/>
      <c r="N331" s="203" t="s">
        <v>781</v>
      </c>
      <c r="O331" s="330"/>
      <c r="P331" s="330"/>
      <c r="Q331" s="330" t="s">
        <v>2800</v>
      </c>
    </row>
    <row r="332" spans="1:23" ht="25">
      <c r="A332" s="509" t="s">
        <v>2803</v>
      </c>
      <c r="B332" s="330"/>
      <c r="C332" s="330"/>
      <c r="D332" s="330"/>
      <c r="E332" s="330"/>
      <c r="F332" s="330" t="s">
        <v>360</v>
      </c>
      <c r="G332" s="330" t="s">
        <v>361</v>
      </c>
      <c r="H332" s="330"/>
      <c r="I332" s="715">
        <v>0</v>
      </c>
      <c r="J332" s="715">
        <v>-1.9</v>
      </c>
      <c r="K332" s="715"/>
      <c r="L332" s="456">
        <v>46013</v>
      </c>
      <c r="M332" s="330"/>
      <c r="N332" s="203" t="s">
        <v>1407</v>
      </c>
      <c r="O332" s="330"/>
      <c r="P332" s="330"/>
      <c r="Q332" s="330" t="s">
        <v>2797</v>
      </c>
    </row>
    <row r="333" spans="1:23" ht="25">
      <c r="A333" s="509" t="s">
        <v>2803</v>
      </c>
      <c r="B333" s="330"/>
      <c r="C333" s="330"/>
      <c r="D333" s="330"/>
      <c r="E333" s="330"/>
      <c r="F333" s="330" t="s">
        <v>360</v>
      </c>
      <c r="G333" s="330" t="s">
        <v>361</v>
      </c>
      <c r="H333" s="330"/>
      <c r="I333" s="715">
        <v>0</v>
      </c>
      <c r="J333" s="715">
        <v>-195.82</v>
      </c>
      <c r="K333" s="715"/>
      <c r="L333" s="456">
        <v>46013</v>
      </c>
      <c r="M333" s="330"/>
      <c r="N333" s="203" t="s">
        <v>1407</v>
      </c>
      <c r="O333" s="330"/>
      <c r="P333" s="330"/>
      <c r="Q333" s="330" t="s">
        <v>2798</v>
      </c>
    </row>
    <row r="334" spans="1:23" ht="25">
      <c r="A334" s="509" t="s">
        <v>2803</v>
      </c>
      <c r="B334" s="330"/>
      <c r="C334" s="330"/>
      <c r="D334" s="330"/>
      <c r="E334" s="330"/>
      <c r="F334" s="330" t="s">
        <v>360</v>
      </c>
      <c r="G334" s="330" t="s">
        <v>361</v>
      </c>
      <c r="H334" s="330"/>
      <c r="I334" s="715">
        <v>0</v>
      </c>
      <c r="J334" s="715">
        <v>-1.9</v>
      </c>
      <c r="K334" s="715"/>
      <c r="L334" s="456">
        <v>46014</v>
      </c>
      <c r="M334" s="330"/>
      <c r="N334" s="203" t="s">
        <v>781</v>
      </c>
      <c r="O334" s="330"/>
      <c r="P334" s="330"/>
      <c r="Q334" s="330" t="s">
        <v>2797</v>
      </c>
    </row>
    <row r="335" spans="1:23" ht="25">
      <c r="A335" s="509" t="s">
        <v>2803</v>
      </c>
      <c r="B335" s="330"/>
      <c r="C335" s="330"/>
      <c r="D335" s="330"/>
      <c r="E335" s="330"/>
      <c r="F335" s="330" t="s">
        <v>360</v>
      </c>
      <c r="G335" s="330" t="s">
        <v>361</v>
      </c>
      <c r="H335" s="330"/>
      <c r="I335" s="715">
        <v>0</v>
      </c>
      <c r="J335" s="715">
        <v>-195.82</v>
      </c>
      <c r="K335" s="715"/>
      <c r="L335" s="456">
        <v>46014</v>
      </c>
      <c r="M335" s="330"/>
      <c r="N335" s="203" t="s">
        <v>781</v>
      </c>
      <c r="O335" s="330"/>
      <c r="P335" s="330"/>
      <c r="Q335" s="330" t="s">
        <v>2799</v>
      </c>
    </row>
    <row r="336" spans="1:23" ht="25">
      <c r="A336" s="509" t="s">
        <v>2803</v>
      </c>
      <c r="B336" s="330"/>
      <c r="C336" s="330"/>
      <c r="D336" s="330"/>
      <c r="E336" s="330"/>
      <c r="F336" s="330"/>
      <c r="G336" s="330"/>
      <c r="H336" s="330"/>
      <c r="I336" s="715">
        <v>0</v>
      </c>
      <c r="J336" s="715">
        <v>5161.0456410256393</v>
      </c>
      <c r="K336" s="715"/>
      <c r="L336" s="456"/>
      <c r="M336" s="330"/>
      <c r="N336" s="203"/>
      <c r="O336" s="330"/>
      <c r="P336" s="330"/>
      <c r="Q336" s="330"/>
    </row>
    <row r="337" spans="1:23" s="330" customFormat="1" ht="25">
      <c r="A337" s="509" t="s">
        <v>3388</v>
      </c>
      <c r="B337" s="315"/>
      <c r="D337" s="203"/>
      <c r="E337" s="315"/>
      <c r="I337" s="314"/>
      <c r="J337" s="314">
        <v>-19588.688311688307</v>
      </c>
      <c r="K337" s="314"/>
      <c r="L337" s="456"/>
    </row>
    <row r="340" spans="1:23">
      <c r="C340" s="210"/>
      <c r="D340" s="210"/>
      <c r="F340" s="210"/>
      <c r="G340" s="210"/>
      <c r="H340" s="210"/>
      <c r="I340" s="210"/>
      <c r="J340" s="210"/>
      <c r="K340" s="210"/>
      <c r="L340" s="210"/>
      <c r="M340" s="210"/>
      <c r="N340" s="210"/>
      <c r="O340" s="210"/>
      <c r="P340" s="210"/>
      <c r="Q340" s="210"/>
      <c r="R340" s="210"/>
      <c r="S340" s="210"/>
      <c r="T340" s="210"/>
      <c r="U340" s="210"/>
      <c r="V340" s="210"/>
      <c r="W340" s="210"/>
    </row>
    <row r="341" spans="1:23">
      <c r="C341" s="152" t="s">
        <v>2821</v>
      </c>
      <c r="D341" s="152"/>
      <c r="F341" s="474" t="s">
        <v>370</v>
      </c>
      <c r="G341" s="210" t="s">
        <v>320</v>
      </c>
      <c r="H341" s="210"/>
      <c r="I341" s="513">
        <v>1300000</v>
      </c>
      <c r="J341" s="513">
        <v>878.37837837837799</v>
      </c>
      <c r="K341" s="513">
        <v>1480</v>
      </c>
      <c r="L341" s="513" t="s">
        <v>2822</v>
      </c>
      <c r="M341" s="513" t="s">
        <v>780</v>
      </c>
      <c r="N341" s="513" t="s">
        <v>2705</v>
      </c>
      <c r="O341" s="518" t="s">
        <v>3310</v>
      </c>
      <c r="P341" s="152" t="s">
        <v>892</v>
      </c>
      <c r="Q341" s="152" t="s">
        <v>3311</v>
      </c>
      <c r="R341" s="152" t="s">
        <v>3311</v>
      </c>
      <c r="S341" s="152" t="s">
        <v>3312</v>
      </c>
      <c r="T341" s="152" t="s">
        <v>786</v>
      </c>
    </row>
    <row r="342" spans="1:23">
      <c r="C342" s="152" t="s">
        <v>2821</v>
      </c>
      <c r="D342" s="152"/>
      <c r="F342" s="474" t="s">
        <v>370</v>
      </c>
      <c r="G342" s="210" t="s">
        <v>320</v>
      </c>
      <c r="H342" s="210"/>
      <c r="I342" s="513">
        <v>100000</v>
      </c>
      <c r="J342" s="513">
        <v>67.567567567567593</v>
      </c>
      <c r="K342" s="513">
        <v>1480</v>
      </c>
      <c r="L342" s="513" t="s">
        <v>2840</v>
      </c>
      <c r="M342" s="513" t="s">
        <v>780</v>
      </c>
      <c r="N342" s="513" t="s">
        <v>2705</v>
      </c>
      <c r="O342" s="518" t="s">
        <v>3313</v>
      </c>
      <c r="P342" s="152" t="s">
        <v>892</v>
      </c>
      <c r="Q342" s="152" t="s">
        <v>3314</v>
      </c>
      <c r="R342" s="152" t="s">
        <v>3314</v>
      </c>
      <c r="S342" s="152" t="s">
        <v>3315</v>
      </c>
      <c r="T342" s="152" t="s">
        <v>786</v>
      </c>
    </row>
    <row r="343" spans="1:23">
      <c r="C343" s="152" t="s">
        <v>2821</v>
      </c>
      <c r="D343" s="152"/>
      <c r="F343" s="474" t="s">
        <v>370</v>
      </c>
      <c r="G343" s="210" t="s">
        <v>320</v>
      </c>
      <c r="H343" s="210"/>
      <c r="I343" s="513">
        <v>500000</v>
      </c>
      <c r="J343" s="513">
        <v>337.83783783783798</v>
      </c>
      <c r="K343" s="513">
        <v>1480</v>
      </c>
      <c r="L343" s="513" t="s">
        <v>2845</v>
      </c>
      <c r="M343" s="513" t="s">
        <v>780</v>
      </c>
      <c r="N343" s="513" t="s">
        <v>2705</v>
      </c>
      <c r="O343" s="518" t="s">
        <v>3316</v>
      </c>
      <c r="P343" s="152" t="s">
        <v>892</v>
      </c>
      <c r="Q343" s="152" t="s">
        <v>3317</v>
      </c>
      <c r="R343" s="152" t="s">
        <v>3317</v>
      </c>
      <c r="S343" s="152" t="s">
        <v>3318</v>
      </c>
      <c r="T343" s="152" t="s">
        <v>786</v>
      </c>
    </row>
    <row r="344" spans="1:23">
      <c r="C344" s="152" t="s">
        <v>2821</v>
      </c>
      <c r="D344" s="152"/>
      <c r="F344" s="474" t="s">
        <v>370</v>
      </c>
      <c r="G344" s="210" t="s">
        <v>320</v>
      </c>
      <c r="H344" s="210"/>
      <c r="I344" s="513">
        <v>-33735.99</v>
      </c>
      <c r="J344" s="513">
        <v>-22.794587837837799</v>
      </c>
      <c r="K344" s="513">
        <v>1480</v>
      </c>
      <c r="L344" s="513" t="s">
        <v>2840</v>
      </c>
      <c r="M344" s="513" t="s">
        <v>780</v>
      </c>
      <c r="N344" s="513" t="s">
        <v>1407</v>
      </c>
      <c r="O344" s="518" t="s">
        <v>3114</v>
      </c>
      <c r="P344" s="152" t="s">
        <v>892</v>
      </c>
      <c r="Q344" s="152" t="s">
        <v>3115</v>
      </c>
      <c r="R344" s="152" t="s">
        <v>3116</v>
      </c>
      <c r="S344" s="152" t="s">
        <v>3117</v>
      </c>
      <c r="T344" s="152" t="s">
        <v>786</v>
      </c>
    </row>
    <row r="345" spans="1:23">
      <c r="C345" s="152" t="s">
        <v>2821</v>
      </c>
      <c r="D345" s="152"/>
      <c r="F345" s="474" t="s">
        <v>370</v>
      </c>
      <c r="G345" s="210" t="s">
        <v>320</v>
      </c>
      <c r="H345" s="210"/>
      <c r="I345" s="513">
        <v>-558000</v>
      </c>
      <c r="J345" s="513">
        <v>-377.02702702702697</v>
      </c>
      <c r="K345" s="513">
        <v>1480</v>
      </c>
      <c r="L345" s="513" t="s">
        <v>2859</v>
      </c>
      <c r="M345" s="513" t="s">
        <v>780</v>
      </c>
      <c r="N345" s="513" t="s">
        <v>1407</v>
      </c>
      <c r="O345" s="518" t="s">
        <v>3118</v>
      </c>
      <c r="P345" s="152" t="s">
        <v>892</v>
      </c>
      <c r="Q345" s="152" t="s">
        <v>3119</v>
      </c>
      <c r="R345" s="152" t="s">
        <v>3120</v>
      </c>
      <c r="S345" s="152" t="s">
        <v>3121</v>
      </c>
      <c r="T345" s="152" t="s">
        <v>786</v>
      </c>
    </row>
    <row r="346" spans="1:23">
      <c r="C346" s="152" t="s">
        <v>2821</v>
      </c>
      <c r="D346" s="152"/>
      <c r="F346" s="474" t="s">
        <v>370</v>
      </c>
      <c r="G346" s="210" t="s">
        <v>320</v>
      </c>
      <c r="H346" s="210"/>
      <c r="I346" s="513">
        <v>-558000</v>
      </c>
      <c r="J346" s="513">
        <v>-377.02702702702697</v>
      </c>
      <c r="K346" s="513">
        <v>1480</v>
      </c>
      <c r="L346" s="513" t="s">
        <v>2845</v>
      </c>
      <c r="M346" s="513" t="s">
        <v>780</v>
      </c>
      <c r="N346" s="513" t="s">
        <v>1407</v>
      </c>
      <c r="O346" s="518" t="s">
        <v>3122</v>
      </c>
      <c r="P346" s="152" t="s">
        <v>892</v>
      </c>
      <c r="Q346" s="152" t="s">
        <v>3123</v>
      </c>
      <c r="R346" s="152" t="s">
        <v>3124</v>
      </c>
      <c r="S346" s="152" t="s">
        <v>3125</v>
      </c>
      <c r="T346" s="152" t="s">
        <v>786</v>
      </c>
    </row>
    <row r="347" spans="1:23">
      <c r="C347" s="152" t="s">
        <v>2821</v>
      </c>
      <c r="D347" s="152"/>
      <c r="F347" s="474" t="s">
        <v>370</v>
      </c>
      <c r="G347" s="210" t="s">
        <v>320</v>
      </c>
      <c r="H347" s="210"/>
      <c r="I347" s="513">
        <v>-91340</v>
      </c>
      <c r="J347" s="513">
        <v>-61.716216216216203</v>
      </c>
      <c r="K347" s="513">
        <v>1480</v>
      </c>
      <c r="L347" s="513" t="s">
        <v>2822</v>
      </c>
      <c r="M347" s="513" t="s">
        <v>780</v>
      </c>
      <c r="N347" s="513" t="s">
        <v>1407</v>
      </c>
      <c r="O347" s="518" t="s">
        <v>3131</v>
      </c>
      <c r="P347" s="152" t="s">
        <v>892</v>
      </c>
      <c r="Q347" s="152" t="s">
        <v>3132</v>
      </c>
      <c r="R347" s="152" t="s">
        <v>3133</v>
      </c>
      <c r="S347" s="152" t="s">
        <v>3134</v>
      </c>
      <c r="T347" s="152" t="s">
        <v>786</v>
      </c>
    </row>
    <row r="348" spans="1:23">
      <c r="C348" s="152" t="s">
        <v>2821</v>
      </c>
      <c r="D348" s="152"/>
      <c r="F348" s="474" t="s">
        <v>370</v>
      </c>
      <c r="G348" s="210" t="s">
        <v>320</v>
      </c>
      <c r="H348" s="210"/>
      <c r="I348" s="513">
        <v>-28000</v>
      </c>
      <c r="J348" s="513">
        <v>-18.918918918918902</v>
      </c>
      <c r="K348" s="513">
        <v>1480</v>
      </c>
      <c r="L348" s="513" t="s">
        <v>2822</v>
      </c>
      <c r="M348" s="513" t="s">
        <v>780</v>
      </c>
      <c r="N348" s="513" t="s">
        <v>1407</v>
      </c>
      <c r="O348" s="518" t="s">
        <v>3131</v>
      </c>
      <c r="P348" s="152" t="s">
        <v>892</v>
      </c>
      <c r="Q348" s="152" t="s">
        <v>3132</v>
      </c>
      <c r="R348" s="152" t="s">
        <v>3135</v>
      </c>
      <c r="S348" s="152" t="s">
        <v>3134</v>
      </c>
      <c r="T348" s="152" t="s">
        <v>786</v>
      </c>
    </row>
    <row r="349" spans="1:23">
      <c r="C349" s="152" t="s">
        <v>2821</v>
      </c>
      <c r="D349" s="152"/>
      <c r="F349" s="474" t="s">
        <v>370</v>
      </c>
      <c r="G349" s="210" t="s">
        <v>320</v>
      </c>
      <c r="H349" s="210"/>
      <c r="I349" s="513">
        <v>-1193670</v>
      </c>
      <c r="J349" s="513">
        <v>-806.53378378378397</v>
      </c>
      <c r="K349" s="513">
        <v>1480</v>
      </c>
      <c r="L349" s="513" t="s">
        <v>2822</v>
      </c>
      <c r="M349" s="513" t="s">
        <v>780</v>
      </c>
      <c r="N349" s="513" t="s">
        <v>1407</v>
      </c>
      <c r="O349" s="518" t="s">
        <v>3131</v>
      </c>
      <c r="P349" s="152" t="s">
        <v>892</v>
      </c>
      <c r="Q349" s="152" t="s">
        <v>3132</v>
      </c>
      <c r="R349" s="152" t="s">
        <v>3137</v>
      </c>
      <c r="S349" s="152" t="s">
        <v>3134</v>
      </c>
      <c r="T349" s="152" t="s">
        <v>786</v>
      </c>
    </row>
    <row r="350" spans="1:23">
      <c r="C350" s="152" t="s">
        <v>2821</v>
      </c>
      <c r="D350" s="152"/>
      <c r="F350" s="474" t="s">
        <v>371</v>
      </c>
      <c r="G350" s="210" t="s">
        <v>353</v>
      </c>
      <c r="H350" s="210"/>
      <c r="I350" s="513">
        <v>-1332000</v>
      </c>
      <c r="J350" s="513">
        <v>-900</v>
      </c>
      <c r="K350" s="513">
        <v>1480</v>
      </c>
      <c r="L350" s="513" t="s">
        <v>2845</v>
      </c>
      <c r="M350" s="513" t="s">
        <v>780</v>
      </c>
      <c r="N350" s="513" t="s">
        <v>2705</v>
      </c>
      <c r="O350" s="518" t="s">
        <v>3110</v>
      </c>
      <c r="P350" s="152" t="s">
        <v>892</v>
      </c>
      <c r="Q350" s="152" t="s">
        <v>3111</v>
      </c>
      <c r="R350" s="152" t="s">
        <v>3261</v>
      </c>
      <c r="S350" s="152" t="s">
        <v>3113</v>
      </c>
      <c r="T350" s="152" t="s">
        <v>786</v>
      </c>
    </row>
    <row r="351" spans="1:23">
      <c r="C351" s="152" t="s">
        <v>2821</v>
      </c>
      <c r="D351" s="152"/>
      <c r="F351" s="474" t="s">
        <v>371</v>
      </c>
      <c r="G351" s="210" t="s">
        <v>353</v>
      </c>
      <c r="H351" s="210"/>
      <c r="I351" s="513">
        <v>-1300002.3999999999</v>
      </c>
      <c r="J351" s="513">
        <v>-878.38</v>
      </c>
      <c r="K351" s="513">
        <v>1480</v>
      </c>
      <c r="L351" s="513" t="s">
        <v>2822</v>
      </c>
      <c r="M351" s="513" t="s">
        <v>780</v>
      </c>
      <c r="N351" s="513" t="s">
        <v>2705</v>
      </c>
      <c r="O351" s="518" t="s">
        <v>3310</v>
      </c>
      <c r="P351" s="152" t="s">
        <v>892</v>
      </c>
      <c r="Q351" s="152" t="s">
        <v>3311</v>
      </c>
      <c r="R351" s="152" t="s">
        <v>3311</v>
      </c>
      <c r="S351" s="152" t="s">
        <v>3312</v>
      </c>
      <c r="T351" s="152" t="s">
        <v>786</v>
      </c>
    </row>
    <row r="352" spans="1:23">
      <c r="C352" s="152" t="s">
        <v>2821</v>
      </c>
      <c r="D352" s="152"/>
      <c r="F352" s="474" t="s">
        <v>371</v>
      </c>
      <c r="G352" s="210" t="s">
        <v>353</v>
      </c>
      <c r="H352" s="210"/>
      <c r="I352" s="513">
        <v>-100003.6</v>
      </c>
      <c r="J352" s="513">
        <v>-67.569999999999993</v>
      </c>
      <c r="K352" s="513">
        <v>1480</v>
      </c>
      <c r="L352" s="513" t="s">
        <v>2840</v>
      </c>
      <c r="M352" s="513" t="s">
        <v>780</v>
      </c>
      <c r="N352" s="513" t="s">
        <v>2705</v>
      </c>
      <c r="O352" s="518" t="s">
        <v>3313</v>
      </c>
      <c r="P352" s="152" t="s">
        <v>892</v>
      </c>
      <c r="Q352" s="152" t="s">
        <v>3314</v>
      </c>
      <c r="R352" s="152" t="s">
        <v>3314</v>
      </c>
      <c r="S352" s="152" t="s">
        <v>3315</v>
      </c>
      <c r="T352" s="152" t="s">
        <v>786</v>
      </c>
    </row>
    <row r="353" spans="3:20">
      <c r="C353" s="152" t="s">
        <v>2821</v>
      </c>
      <c r="D353" s="152"/>
      <c r="F353" s="474" t="s">
        <v>371</v>
      </c>
      <c r="G353" s="210" t="s">
        <v>353</v>
      </c>
      <c r="H353" s="210"/>
      <c r="I353" s="513">
        <v>-500003.2</v>
      </c>
      <c r="J353" s="513">
        <v>-337.84</v>
      </c>
      <c r="K353" s="513">
        <v>1480</v>
      </c>
      <c r="L353" s="513" t="s">
        <v>2845</v>
      </c>
      <c r="M353" s="513" t="s">
        <v>780</v>
      </c>
      <c r="N353" s="513" t="s">
        <v>2705</v>
      </c>
      <c r="O353" s="518" t="s">
        <v>3316</v>
      </c>
      <c r="P353" s="152" t="s">
        <v>892</v>
      </c>
      <c r="Q353" s="152" t="s">
        <v>3317</v>
      </c>
      <c r="R353" s="152" t="s">
        <v>3317</v>
      </c>
      <c r="S353" s="152" t="s">
        <v>3318</v>
      </c>
      <c r="T353" s="152" t="s">
        <v>786</v>
      </c>
    </row>
    <row r="354" spans="3:20">
      <c r="C354" s="152" t="s">
        <v>2821</v>
      </c>
      <c r="D354" s="152"/>
      <c r="F354" s="474" t="s">
        <v>371</v>
      </c>
      <c r="G354" s="210" t="s">
        <v>353</v>
      </c>
      <c r="H354" s="210"/>
      <c r="I354" s="513">
        <v>-8880000</v>
      </c>
      <c r="J354" s="513">
        <v>-6000</v>
      </c>
      <c r="K354" s="513">
        <v>1480</v>
      </c>
      <c r="L354" s="513" t="s">
        <v>2822</v>
      </c>
      <c r="M354" s="513" t="s">
        <v>780</v>
      </c>
      <c r="N354" s="513" t="s">
        <v>781</v>
      </c>
      <c r="O354" s="518" t="s">
        <v>3082</v>
      </c>
      <c r="P354" s="152" t="s">
        <v>892</v>
      </c>
      <c r="Q354" s="152" t="s">
        <v>3083</v>
      </c>
      <c r="R354" s="152" t="s">
        <v>3231</v>
      </c>
      <c r="S354" s="152" t="s">
        <v>3085</v>
      </c>
      <c r="T354" s="152" t="s">
        <v>786</v>
      </c>
    </row>
    <row r="355" spans="3:20">
      <c r="C355" s="152" t="s">
        <v>2821</v>
      </c>
      <c r="D355" s="152"/>
      <c r="F355" s="474" t="s">
        <v>371</v>
      </c>
      <c r="G355" s="210" t="s">
        <v>353</v>
      </c>
      <c r="H355" s="210"/>
      <c r="I355" s="513">
        <v>9327150</v>
      </c>
      <c r="J355" s="513">
        <v>6345</v>
      </c>
      <c r="K355" s="513">
        <v>1470</v>
      </c>
      <c r="L355" s="513" t="s">
        <v>2835</v>
      </c>
      <c r="M355" s="513" t="s">
        <v>780</v>
      </c>
      <c r="N355" s="513" t="s">
        <v>781</v>
      </c>
      <c r="O355" s="518" t="s">
        <v>2836</v>
      </c>
      <c r="P355" s="152" t="s">
        <v>892</v>
      </c>
      <c r="Q355" s="152" t="s">
        <v>2837</v>
      </c>
      <c r="R355" s="152" t="s">
        <v>3232</v>
      </c>
      <c r="S355" s="152" t="s">
        <v>2839</v>
      </c>
      <c r="T355" s="152" t="s">
        <v>786</v>
      </c>
    </row>
    <row r="356" spans="3:20">
      <c r="C356" s="152" t="s">
        <v>2821</v>
      </c>
      <c r="D356" s="152"/>
      <c r="F356" s="474" t="s">
        <v>371</v>
      </c>
      <c r="G356" s="210" t="s">
        <v>353</v>
      </c>
      <c r="H356" s="210"/>
      <c r="I356" s="513">
        <v>3893880</v>
      </c>
      <c r="J356" s="513">
        <v>2631</v>
      </c>
      <c r="K356" s="513">
        <v>1480</v>
      </c>
      <c r="L356" s="513" t="s">
        <v>2845</v>
      </c>
      <c r="M356" s="513" t="s">
        <v>780</v>
      </c>
      <c r="N356" s="513" t="s">
        <v>781</v>
      </c>
      <c r="O356" s="518" t="s">
        <v>2846</v>
      </c>
      <c r="P356" s="152" t="s">
        <v>892</v>
      </c>
      <c r="Q356" s="152" t="s">
        <v>2847</v>
      </c>
      <c r="R356" s="152" t="s">
        <v>3233</v>
      </c>
      <c r="S356" s="152" t="s">
        <v>2849</v>
      </c>
      <c r="T356" s="152" t="s">
        <v>786</v>
      </c>
    </row>
    <row r="357" spans="3:20">
      <c r="C357" s="152" t="s">
        <v>2821</v>
      </c>
      <c r="D357" s="152"/>
      <c r="F357" s="474" t="s">
        <v>371</v>
      </c>
      <c r="G357" s="210" t="s">
        <v>353</v>
      </c>
      <c r="H357" s="210"/>
      <c r="I357" s="513">
        <v>3893880</v>
      </c>
      <c r="J357" s="513">
        <v>2631</v>
      </c>
      <c r="K357" s="513">
        <v>1480</v>
      </c>
      <c r="L357" s="513" t="s">
        <v>2859</v>
      </c>
      <c r="M357" s="513" t="s">
        <v>780</v>
      </c>
      <c r="N357" s="513" t="s">
        <v>781</v>
      </c>
      <c r="O357" s="518" t="s">
        <v>2860</v>
      </c>
      <c r="P357" s="152" t="s">
        <v>892</v>
      </c>
      <c r="Q357" s="152" t="s">
        <v>2861</v>
      </c>
      <c r="R357" s="152" t="s">
        <v>3234</v>
      </c>
      <c r="S357" s="152" t="s">
        <v>2863</v>
      </c>
      <c r="T357" s="152" t="s">
        <v>786</v>
      </c>
    </row>
    <row r="358" spans="3:20">
      <c r="C358" s="152" t="s">
        <v>2821</v>
      </c>
      <c r="D358" s="152"/>
      <c r="F358" s="474" t="s">
        <v>371</v>
      </c>
      <c r="G358" s="210" t="s">
        <v>353</v>
      </c>
      <c r="H358" s="210"/>
      <c r="I358" s="513">
        <v>12134850</v>
      </c>
      <c r="J358" s="513">
        <v>8255</v>
      </c>
      <c r="K358" s="513">
        <v>1470</v>
      </c>
      <c r="L358" s="513" t="s">
        <v>2835</v>
      </c>
      <c r="M358" s="513" t="s">
        <v>780</v>
      </c>
      <c r="N358" s="513" t="s">
        <v>1272</v>
      </c>
      <c r="O358" s="518" t="s">
        <v>2836</v>
      </c>
      <c r="P358" s="152" t="s">
        <v>892</v>
      </c>
      <c r="Q358" s="152" t="s">
        <v>2837</v>
      </c>
      <c r="R358" s="152" t="s">
        <v>3239</v>
      </c>
      <c r="S358" s="152" t="s">
        <v>2839</v>
      </c>
      <c r="T358" s="152" t="s">
        <v>786</v>
      </c>
    </row>
    <row r="359" spans="3:20">
      <c r="C359" s="152" t="s">
        <v>2821</v>
      </c>
      <c r="D359" s="152"/>
      <c r="F359" s="474" t="s">
        <v>371</v>
      </c>
      <c r="G359" s="210" t="s">
        <v>353</v>
      </c>
      <c r="H359" s="210"/>
      <c r="I359" s="513">
        <v>3741150</v>
      </c>
      <c r="J359" s="513">
        <v>2545</v>
      </c>
      <c r="K359" s="513">
        <v>1470</v>
      </c>
      <c r="L359" s="513" t="s">
        <v>2822</v>
      </c>
      <c r="M359" s="513" t="s">
        <v>780</v>
      </c>
      <c r="N359" s="513" t="s">
        <v>1407</v>
      </c>
      <c r="O359" s="518" t="s">
        <v>2823</v>
      </c>
      <c r="P359" s="152" t="s">
        <v>892</v>
      </c>
      <c r="Q359" s="152" t="s">
        <v>2824</v>
      </c>
      <c r="R359" s="152" t="s">
        <v>2825</v>
      </c>
      <c r="S359" s="152" t="s">
        <v>2826</v>
      </c>
      <c r="T359" s="152" t="s">
        <v>786</v>
      </c>
    </row>
    <row r="360" spans="3:20">
      <c r="C360" s="152" t="s">
        <v>2821</v>
      </c>
      <c r="D360" s="152"/>
      <c r="F360" s="474" t="s">
        <v>371</v>
      </c>
      <c r="G360" s="210" t="s">
        <v>353</v>
      </c>
      <c r="H360" s="210"/>
      <c r="I360" s="513">
        <v>3741150</v>
      </c>
      <c r="J360" s="513">
        <v>2545</v>
      </c>
      <c r="K360" s="513">
        <v>1470</v>
      </c>
      <c r="L360" s="513" t="s">
        <v>2822</v>
      </c>
      <c r="M360" s="513" t="s">
        <v>780</v>
      </c>
      <c r="N360" s="513" t="s">
        <v>1407</v>
      </c>
      <c r="O360" s="518" t="s">
        <v>2823</v>
      </c>
      <c r="P360" s="152" t="s">
        <v>892</v>
      </c>
      <c r="Q360" s="152" t="s">
        <v>2824</v>
      </c>
      <c r="R360" s="152" t="s">
        <v>2834</v>
      </c>
      <c r="S360" s="152" t="s">
        <v>2826</v>
      </c>
      <c r="T360" s="152" t="s">
        <v>786</v>
      </c>
    </row>
    <row r="361" spans="3:20">
      <c r="C361" s="152" t="s">
        <v>2821</v>
      </c>
      <c r="D361" s="152"/>
      <c r="F361" s="474" t="s">
        <v>371</v>
      </c>
      <c r="G361" s="210" t="s">
        <v>353</v>
      </c>
      <c r="H361" s="210"/>
      <c r="I361" s="513">
        <v>3741150</v>
      </c>
      <c r="J361" s="513">
        <v>2545</v>
      </c>
      <c r="K361" s="513">
        <v>1470</v>
      </c>
      <c r="L361" s="513" t="s">
        <v>2835</v>
      </c>
      <c r="M361" s="513" t="s">
        <v>780</v>
      </c>
      <c r="N361" s="513" t="s">
        <v>1407</v>
      </c>
      <c r="O361" s="518" t="s">
        <v>2836</v>
      </c>
      <c r="P361" s="152" t="s">
        <v>892</v>
      </c>
      <c r="Q361" s="152" t="s">
        <v>2837</v>
      </c>
      <c r="R361" s="152" t="s">
        <v>2838</v>
      </c>
      <c r="S361" s="152" t="s">
        <v>2839</v>
      </c>
      <c r="T361" s="152" t="s">
        <v>786</v>
      </c>
    </row>
    <row r="362" spans="3:20">
      <c r="C362" s="152" t="s">
        <v>2821</v>
      </c>
      <c r="D362" s="152"/>
      <c r="F362" s="474" t="s">
        <v>371</v>
      </c>
      <c r="G362" s="210" t="s">
        <v>353</v>
      </c>
      <c r="H362" s="210"/>
      <c r="I362" s="513">
        <v>-3880800</v>
      </c>
      <c r="J362" s="513">
        <v>-2640</v>
      </c>
      <c r="K362" s="513">
        <v>1470</v>
      </c>
      <c r="L362" s="513" t="s">
        <v>2840</v>
      </c>
      <c r="M362" s="513" t="s">
        <v>780</v>
      </c>
      <c r="N362" s="513" t="s">
        <v>1407</v>
      </c>
      <c r="O362" s="518" t="s">
        <v>2841</v>
      </c>
      <c r="P362" s="152" t="s">
        <v>892</v>
      </c>
      <c r="Q362" s="152" t="s">
        <v>2842</v>
      </c>
      <c r="R362" s="152" t="s">
        <v>2843</v>
      </c>
      <c r="S362" s="152" t="s">
        <v>2844</v>
      </c>
      <c r="T362" s="152" t="s">
        <v>786</v>
      </c>
    </row>
    <row r="363" spans="3:20">
      <c r="C363" s="152" t="s">
        <v>2821</v>
      </c>
      <c r="D363" s="152"/>
      <c r="F363" s="474" t="s">
        <v>371</v>
      </c>
      <c r="G363" s="210" t="s">
        <v>353</v>
      </c>
      <c r="H363" s="210"/>
      <c r="I363" s="513">
        <v>3880800</v>
      </c>
      <c r="J363" s="513">
        <v>2640</v>
      </c>
      <c r="K363" s="513">
        <v>1470</v>
      </c>
      <c r="L363" s="513" t="s">
        <v>2822</v>
      </c>
      <c r="M363" s="513" t="s">
        <v>780</v>
      </c>
      <c r="N363" s="513" t="s">
        <v>1407</v>
      </c>
      <c r="O363" s="518" t="s">
        <v>2823</v>
      </c>
      <c r="P363" s="152" t="s">
        <v>892</v>
      </c>
      <c r="Q363" s="152" t="s">
        <v>2824</v>
      </c>
      <c r="R363" s="152" t="s">
        <v>2843</v>
      </c>
      <c r="S363" s="152" t="s">
        <v>2826</v>
      </c>
      <c r="T363" s="152" t="s">
        <v>786</v>
      </c>
    </row>
    <row r="364" spans="3:20">
      <c r="C364" s="152" t="s">
        <v>2821</v>
      </c>
      <c r="D364" s="152"/>
      <c r="F364" s="474" t="s">
        <v>371</v>
      </c>
      <c r="G364" s="210" t="s">
        <v>353</v>
      </c>
      <c r="H364" s="210"/>
      <c r="I364" s="513">
        <v>1953600</v>
      </c>
      <c r="J364" s="513">
        <v>1320</v>
      </c>
      <c r="K364" s="513">
        <v>1480</v>
      </c>
      <c r="L364" s="513" t="s">
        <v>2845</v>
      </c>
      <c r="M364" s="513" t="s">
        <v>780</v>
      </c>
      <c r="N364" s="513" t="s">
        <v>1407</v>
      </c>
      <c r="O364" s="518" t="s">
        <v>2846</v>
      </c>
      <c r="P364" s="152" t="s">
        <v>892</v>
      </c>
      <c r="Q364" s="152" t="s">
        <v>2847</v>
      </c>
      <c r="R364" s="152" t="s">
        <v>2848</v>
      </c>
      <c r="S364" s="152" t="s">
        <v>2849</v>
      </c>
      <c r="T364" s="152" t="s">
        <v>786</v>
      </c>
    </row>
    <row r="365" spans="3:20">
      <c r="C365" s="152" t="s">
        <v>2821</v>
      </c>
      <c r="D365" s="152"/>
      <c r="F365" s="474" t="s">
        <v>371</v>
      </c>
      <c r="G365" s="210" t="s">
        <v>353</v>
      </c>
      <c r="H365" s="210"/>
      <c r="I365" s="513">
        <v>3880800</v>
      </c>
      <c r="J365" s="513">
        <v>2640</v>
      </c>
      <c r="K365" s="513">
        <v>1470</v>
      </c>
      <c r="L365" s="513" t="s">
        <v>2840</v>
      </c>
      <c r="M365" s="513" t="s">
        <v>780</v>
      </c>
      <c r="N365" s="513" t="s">
        <v>1407</v>
      </c>
      <c r="O365" s="518" t="s">
        <v>2850</v>
      </c>
      <c r="P365" s="152" t="s">
        <v>892</v>
      </c>
      <c r="Q365" s="152" t="s">
        <v>2851</v>
      </c>
      <c r="R365" s="152" t="s">
        <v>2852</v>
      </c>
      <c r="S365" s="152" t="s">
        <v>2853</v>
      </c>
      <c r="T365" s="152" t="s">
        <v>786</v>
      </c>
    </row>
    <row r="366" spans="3:20">
      <c r="C366" s="152" t="s">
        <v>2821</v>
      </c>
      <c r="D366" s="152"/>
      <c r="F366" s="474" t="s">
        <v>371</v>
      </c>
      <c r="G366" s="210" t="s">
        <v>353</v>
      </c>
      <c r="H366" s="210"/>
      <c r="I366" s="513">
        <v>5100900</v>
      </c>
      <c r="J366" s="513">
        <v>3470</v>
      </c>
      <c r="K366" s="513">
        <v>1470</v>
      </c>
      <c r="L366" s="513" t="s">
        <v>2835</v>
      </c>
      <c r="M366" s="513" t="s">
        <v>780</v>
      </c>
      <c r="N366" s="513" t="s">
        <v>1407</v>
      </c>
      <c r="O366" s="518" t="s">
        <v>2836</v>
      </c>
      <c r="P366" s="152" t="s">
        <v>892</v>
      </c>
      <c r="Q366" s="152" t="s">
        <v>2837</v>
      </c>
      <c r="R366" s="152" t="s">
        <v>2854</v>
      </c>
      <c r="S366" s="152" t="s">
        <v>2839</v>
      </c>
      <c r="T366" s="152" t="s">
        <v>786</v>
      </c>
    </row>
    <row r="367" spans="3:20">
      <c r="C367" s="152" t="s">
        <v>2821</v>
      </c>
      <c r="D367" s="152"/>
      <c r="F367" s="474" t="s">
        <v>371</v>
      </c>
      <c r="G367" s="210" t="s">
        <v>353</v>
      </c>
      <c r="H367" s="210"/>
      <c r="I367" s="513">
        <v>5342800</v>
      </c>
      <c r="J367" s="513">
        <v>3610</v>
      </c>
      <c r="K367" s="513">
        <v>1480</v>
      </c>
      <c r="L367" s="513" t="s">
        <v>2845</v>
      </c>
      <c r="M367" s="513" t="s">
        <v>780</v>
      </c>
      <c r="N367" s="513" t="s">
        <v>1407</v>
      </c>
      <c r="O367" s="518" t="s">
        <v>2846</v>
      </c>
      <c r="P367" s="152" t="s">
        <v>892</v>
      </c>
      <c r="Q367" s="152" t="s">
        <v>2847</v>
      </c>
      <c r="R367" s="152" t="s">
        <v>2855</v>
      </c>
      <c r="S367" s="152" t="s">
        <v>2849</v>
      </c>
      <c r="T367" s="152" t="s">
        <v>786</v>
      </c>
    </row>
    <row r="368" spans="3:20">
      <c r="C368" s="152" t="s">
        <v>2821</v>
      </c>
      <c r="D368" s="152"/>
      <c r="F368" s="474" t="s">
        <v>371</v>
      </c>
      <c r="G368" s="210" t="s">
        <v>353</v>
      </c>
      <c r="H368" s="210"/>
      <c r="I368" s="513">
        <v>5306700</v>
      </c>
      <c r="J368" s="513">
        <v>3610</v>
      </c>
      <c r="K368" s="513">
        <v>1470</v>
      </c>
      <c r="L368" s="513" t="s">
        <v>2822</v>
      </c>
      <c r="M368" s="513" t="s">
        <v>780</v>
      </c>
      <c r="N368" s="513" t="s">
        <v>1407</v>
      </c>
      <c r="O368" s="518" t="s">
        <v>2823</v>
      </c>
      <c r="P368" s="152" t="s">
        <v>892</v>
      </c>
      <c r="Q368" s="152" t="s">
        <v>2824</v>
      </c>
      <c r="R368" s="152" t="s">
        <v>2856</v>
      </c>
      <c r="S368" s="152" t="s">
        <v>2826</v>
      </c>
      <c r="T368" s="152" t="s">
        <v>786</v>
      </c>
    </row>
    <row r="369" spans="3:20">
      <c r="C369" s="152" t="s">
        <v>2821</v>
      </c>
      <c r="D369" s="152"/>
      <c r="F369" s="474" t="s">
        <v>371</v>
      </c>
      <c r="G369" s="210" t="s">
        <v>353</v>
      </c>
      <c r="H369" s="210"/>
      <c r="I369" s="513">
        <v>4084800</v>
      </c>
      <c r="J369" s="513">
        <v>2760</v>
      </c>
      <c r="K369" s="513">
        <v>1480</v>
      </c>
      <c r="L369" s="513" t="s">
        <v>2845</v>
      </c>
      <c r="M369" s="513" t="s">
        <v>780</v>
      </c>
      <c r="N369" s="513" t="s">
        <v>1407</v>
      </c>
      <c r="O369" s="518" t="s">
        <v>2846</v>
      </c>
      <c r="P369" s="152" t="s">
        <v>892</v>
      </c>
      <c r="Q369" s="152" t="s">
        <v>2847</v>
      </c>
      <c r="R369" s="152" t="s">
        <v>2857</v>
      </c>
      <c r="S369" s="152" t="s">
        <v>2849</v>
      </c>
      <c r="T369" s="152" t="s">
        <v>786</v>
      </c>
    </row>
    <row r="370" spans="3:20">
      <c r="C370" s="152" t="s">
        <v>2821</v>
      </c>
      <c r="D370" s="152"/>
      <c r="F370" s="474" t="s">
        <v>371</v>
      </c>
      <c r="G370" s="210" t="s">
        <v>353</v>
      </c>
      <c r="H370" s="210"/>
      <c r="I370" s="513">
        <v>4084800</v>
      </c>
      <c r="J370" s="513">
        <v>2760</v>
      </c>
      <c r="K370" s="513">
        <v>1480</v>
      </c>
      <c r="L370" s="513" t="s">
        <v>2845</v>
      </c>
      <c r="M370" s="513" t="s">
        <v>780</v>
      </c>
      <c r="N370" s="513" t="s">
        <v>1407</v>
      </c>
      <c r="O370" s="518" t="s">
        <v>2846</v>
      </c>
      <c r="P370" s="152" t="s">
        <v>892</v>
      </c>
      <c r="Q370" s="152" t="s">
        <v>2847</v>
      </c>
      <c r="R370" s="152" t="s">
        <v>2858</v>
      </c>
      <c r="S370" s="152" t="s">
        <v>2849</v>
      </c>
      <c r="T370" s="152" t="s">
        <v>786</v>
      </c>
    </row>
    <row r="371" spans="3:20">
      <c r="C371" s="152" t="s">
        <v>2821</v>
      </c>
      <c r="D371" s="152"/>
      <c r="F371" s="474" t="s">
        <v>371</v>
      </c>
      <c r="G371" s="210" t="s">
        <v>353</v>
      </c>
      <c r="H371" s="210"/>
      <c r="I371" s="513">
        <v>4084800</v>
      </c>
      <c r="J371" s="513">
        <v>2760</v>
      </c>
      <c r="K371" s="513">
        <v>1480</v>
      </c>
      <c r="L371" s="513" t="s">
        <v>2859</v>
      </c>
      <c r="M371" s="513" t="s">
        <v>780</v>
      </c>
      <c r="N371" s="513" t="s">
        <v>1407</v>
      </c>
      <c r="O371" s="518" t="s">
        <v>2860</v>
      </c>
      <c r="P371" s="152" t="s">
        <v>892</v>
      </c>
      <c r="Q371" s="152" t="s">
        <v>2861</v>
      </c>
      <c r="R371" s="152" t="s">
        <v>2862</v>
      </c>
      <c r="S371" s="152" t="s">
        <v>2863</v>
      </c>
      <c r="T371" s="152" t="s">
        <v>786</v>
      </c>
    </row>
    <row r="372" spans="3:20">
      <c r="C372" s="152" t="s">
        <v>2821</v>
      </c>
      <c r="D372" s="152"/>
      <c r="F372" s="474" t="s">
        <v>371</v>
      </c>
      <c r="G372" s="210" t="s">
        <v>353</v>
      </c>
      <c r="H372" s="210"/>
      <c r="I372" s="513">
        <v>132874.4</v>
      </c>
      <c r="J372" s="513">
        <v>89.78</v>
      </c>
      <c r="K372" s="513">
        <v>1480</v>
      </c>
      <c r="L372" s="513" t="s">
        <v>2859</v>
      </c>
      <c r="M372" s="513" t="s">
        <v>780</v>
      </c>
      <c r="N372" s="513" t="s">
        <v>1407</v>
      </c>
      <c r="O372" s="518" t="s">
        <v>2864</v>
      </c>
      <c r="P372" s="152" t="s">
        <v>2865</v>
      </c>
      <c r="Q372" s="152" t="s">
        <v>2866</v>
      </c>
      <c r="R372" s="152" t="s">
        <v>2867</v>
      </c>
      <c r="S372" s="152" t="s">
        <v>2868</v>
      </c>
      <c r="T372" s="152" t="s">
        <v>786</v>
      </c>
    </row>
    <row r="373" spans="3:20">
      <c r="C373" s="152" t="s">
        <v>2821</v>
      </c>
      <c r="D373" s="152"/>
      <c r="F373" s="474" t="s">
        <v>371</v>
      </c>
      <c r="G373" s="210" t="s">
        <v>353</v>
      </c>
      <c r="H373" s="210"/>
      <c r="I373" s="513">
        <v>-137521.60000000001</v>
      </c>
      <c r="J373" s="513">
        <v>-92.92</v>
      </c>
      <c r="K373" s="513">
        <v>1480</v>
      </c>
      <c r="L373" s="513" t="s">
        <v>2859</v>
      </c>
      <c r="M373" s="513" t="s">
        <v>780</v>
      </c>
      <c r="N373" s="513" t="s">
        <v>1407</v>
      </c>
      <c r="O373" s="518" t="s">
        <v>2869</v>
      </c>
      <c r="P373" s="152" t="s">
        <v>2865</v>
      </c>
      <c r="Q373" s="152" t="s">
        <v>2870</v>
      </c>
      <c r="R373" s="152" t="s">
        <v>2871</v>
      </c>
      <c r="S373" s="152" t="s">
        <v>2872</v>
      </c>
      <c r="T373" s="152" t="s">
        <v>786</v>
      </c>
    </row>
    <row r="374" spans="3:20">
      <c r="C374" s="152" t="s">
        <v>2821</v>
      </c>
      <c r="D374" s="152"/>
      <c r="F374" s="474" t="s">
        <v>371</v>
      </c>
      <c r="G374" s="210" t="s">
        <v>353</v>
      </c>
      <c r="H374" s="210"/>
      <c r="I374" s="513">
        <v>103600</v>
      </c>
      <c r="J374" s="513">
        <v>70</v>
      </c>
      <c r="K374" s="513">
        <v>1480</v>
      </c>
      <c r="L374" s="513" t="s">
        <v>2859</v>
      </c>
      <c r="M374" s="513" t="s">
        <v>780</v>
      </c>
      <c r="N374" s="513" t="s">
        <v>1407</v>
      </c>
      <c r="O374" s="518" t="s">
        <v>2864</v>
      </c>
      <c r="P374" s="152" t="s">
        <v>2865</v>
      </c>
      <c r="Q374" s="152" t="s">
        <v>2866</v>
      </c>
      <c r="R374" s="152" t="s">
        <v>2873</v>
      </c>
      <c r="S374" s="152" t="s">
        <v>2868</v>
      </c>
      <c r="T374" s="152" t="s">
        <v>786</v>
      </c>
    </row>
    <row r="375" spans="3:20">
      <c r="C375" s="152" t="s">
        <v>2821</v>
      </c>
      <c r="D375" s="152"/>
      <c r="F375" s="474" t="s">
        <v>371</v>
      </c>
      <c r="G375" s="210" t="s">
        <v>353</v>
      </c>
      <c r="H375" s="210"/>
      <c r="I375" s="513">
        <v>155400</v>
      </c>
      <c r="J375" s="513">
        <v>105</v>
      </c>
      <c r="K375" s="513">
        <v>1480</v>
      </c>
      <c r="L375" s="513" t="s">
        <v>2859</v>
      </c>
      <c r="M375" s="513" t="s">
        <v>780</v>
      </c>
      <c r="N375" s="513" t="s">
        <v>1407</v>
      </c>
      <c r="O375" s="518" t="s">
        <v>2864</v>
      </c>
      <c r="P375" s="152" t="s">
        <v>2865</v>
      </c>
      <c r="Q375" s="152" t="s">
        <v>2866</v>
      </c>
      <c r="R375" s="152" t="s">
        <v>2873</v>
      </c>
      <c r="S375" s="152" t="s">
        <v>2868</v>
      </c>
      <c r="T375" s="152" t="s">
        <v>786</v>
      </c>
    </row>
    <row r="376" spans="3:20">
      <c r="C376" s="152" t="s">
        <v>2821</v>
      </c>
      <c r="D376" s="152"/>
      <c r="F376" s="474" t="s">
        <v>371</v>
      </c>
      <c r="G376" s="210" t="s">
        <v>353</v>
      </c>
      <c r="H376" s="210"/>
      <c r="I376" s="513">
        <v>-107226</v>
      </c>
      <c r="J376" s="513">
        <v>-72.45</v>
      </c>
      <c r="K376" s="513">
        <v>1480</v>
      </c>
      <c r="L376" s="513" t="s">
        <v>2859</v>
      </c>
      <c r="M376" s="513" t="s">
        <v>780</v>
      </c>
      <c r="N376" s="513" t="s">
        <v>1407</v>
      </c>
      <c r="O376" s="518" t="s">
        <v>2869</v>
      </c>
      <c r="P376" s="152" t="s">
        <v>2865</v>
      </c>
      <c r="Q376" s="152" t="s">
        <v>2870</v>
      </c>
      <c r="R376" s="152" t="s">
        <v>2874</v>
      </c>
      <c r="S376" s="152" t="s">
        <v>2872</v>
      </c>
      <c r="T376" s="152" t="s">
        <v>786</v>
      </c>
    </row>
    <row r="377" spans="3:20">
      <c r="C377" s="152" t="s">
        <v>2821</v>
      </c>
      <c r="D377" s="152"/>
      <c r="F377" s="474" t="s">
        <v>371</v>
      </c>
      <c r="G377" s="210" t="s">
        <v>353</v>
      </c>
      <c r="H377" s="210"/>
      <c r="I377" s="513">
        <v>-160846.39999999999</v>
      </c>
      <c r="J377" s="513">
        <v>-108.68</v>
      </c>
      <c r="K377" s="513">
        <v>1480</v>
      </c>
      <c r="L377" s="513" t="s">
        <v>2859</v>
      </c>
      <c r="M377" s="513" t="s">
        <v>780</v>
      </c>
      <c r="N377" s="513" t="s">
        <v>1407</v>
      </c>
      <c r="O377" s="518" t="s">
        <v>2869</v>
      </c>
      <c r="P377" s="152" t="s">
        <v>2865</v>
      </c>
      <c r="Q377" s="152" t="s">
        <v>2870</v>
      </c>
      <c r="R377" s="152" t="s">
        <v>2874</v>
      </c>
      <c r="S377" s="152" t="s">
        <v>2872</v>
      </c>
      <c r="T377" s="152" t="s">
        <v>786</v>
      </c>
    </row>
    <row r="378" spans="3:20">
      <c r="C378" s="152" t="s">
        <v>2821</v>
      </c>
      <c r="D378" s="152"/>
      <c r="F378" s="474" t="s">
        <v>371</v>
      </c>
      <c r="G378" s="210" t="s">
        <v>353</v>
      </c>
      <c r="H378" s="210"/>
      <c r="I378" s="513">
        <v>116372.4</v>
      </c>
      <c r="J378" s="513">
        <v>78.63</v>
      </c>
      <c r="K378" s="513">
        <v>1480</v>
      </c>
      <c r="L378" s="513" t="s">
        <v>2859</v>
      </c>
      <c r="M378" s="513" t="s">
        <v>780</v>
      </c>
      <c r="N378" s="513" t="s">
        <v>1407</v>
      </c>
      <c r="O378" s="518" t="s">
        <v>2864</v>
      </c>
      <c r="P378" s="152" t="s">
        <v>2865</v>
      </c>
      <c r="Q378" s="152" t="s">
        <v>2866</v>
      </c>
      <c r="R378" s="152" t="s">
        <v>2875</v>
      </c>
      <c r="S378" s="152" t="s">
        <v>2868</v>
      </c>
      <c r="T378" s="152" t="s">
        <v>786</v>
      </c>
    </row>
    <row r="379" spans="3:20">
      <c r="C379" s="152" t="s">
        <v>2821</v>
      </c>
      <c r="D379" s="152"/>
      <c r="F379" s="474" t="s">
        <v>371</v>
      </c>
      <c r="G379" s="210" t="s">
        <v>353</v>
      </c>
      <c r="H379" s="210"/>
      <c r="I379" s="513">
        <v>-120442.4</v>
      </c>
      <c r="J379" s="513">
        <v>-81.38</v>
      </c>
      <c r="K379" s="513">
        <v>1480</v>
      </c>
      <c r="L379" s="513" t="s">
        <v>2859</v>
      </c>
      <c r="M379" s="513" t="s">
        <v>780</v>
      </c>
      <c r="N379" s="513" t="s">
        <v>1407</v>
      </c>
      <c r="O379" s="518" t="s">
        <v>2869</v>
      </c>
      <c r="P379" s="152" t="s">
        <v>2865</v>
      </c>
      <c r="Q379" s="152" t="s">
        <v>2870</v>
      </c>
      <c r="R379" s="152" t="s">
        <v>2876</v>
      </c>
      <c r="S379" s="152" t="s">
        <v>2872</v>
      </c>
      <c r="T379" s="152" t="s">
        <v>786</v>
      </c>
    </row>
    <row r="380" spans="3:20">
      <c r="C380" s="152" t="s">
        <v>2821</v>
      </c>
      <c r="D380" s="152"/>
      <c r="F380" s="474" t="s">
        <v>371</v>
      </c>
      <c r="G380" s="210" t="s">
        <v>353</v>
      </c>
      <c r="H380" s="210"/>
      <c r="I380" s="513">
        <v>2998800</v>
      </c>
      <c r="J380" s="513">
        <v>2040</v>
      </c>
      <c r="K380" s="513">
        <v>1470</v>
      </c>
      <c r="L380" s="513" t="s">
        <v>2835</v>
      </c>
      <c r="M380" s="513" t="s">
        <v>780</v>
      </c>
      <c r="N380" s="513" t="s">
        <v>1407</v>
      </c>
      <c r="O380" s="518" t="s">
        <v>2836</v>
      </c>
      <c r="P380" s="152" t="s">
        <v>892</v>
      </c>
      <c r="Q380" s="152" t="s">
        <v>2837</v>
      </c>
      <c r="R380" s="152" t="s">
        <v>2877</v>
      </c>
      <c r="S380" s="152" t="s">
        <v>2839</v>
      </c>
      <c r="T380" s="152" t="s">
        <v>786</v>
      </c>
    </row>
    <row r="381" spans="3:20">
      <c r="C381" s="152" t="s">
        <v>2821</v>
      </c>
      <c r="D381" s="152"/>
      <c r="F381" s="474" t="s">
        <v>371</v>
      </c>
      <c r="G381" s="210" t="s">
        <v>353</v>
      </c>
      <c r="H381" s="210"/>
      <c r="I381" s="513">
        <v>8521840</v>
      </c>
      <c r="J381" s="513">
        <v>5758</v>
      </c>
      <c r="K381" s="513">
        <v>1480</v>
      </c>
      <c r="L381" s="513" t="s">
        <v>2859</v>
      </c>
      <c r="M381" s="513" t="s">
        <v>780</v>
      </c>
      <c r="N381" s="513" t="s">
        <v>1407</v>
      </c>
      <c r="O381" s="518" t="s">
        <v>2878</v>
      </c>
      <c r="P381" s="152" t="s">
        <v>2865</v>
      </c>
      <c r="Q381" s="152" t="s">
        <v>2879</v>
      </c>
      <c r="R381" s="152" t="s">
        <v>2880</v>
      </c>
      <c r="S381" s="152" t="s">
        <v>2881</v>
      </c>
      <c r="T381" s="152" t="s">
        <v>786</v>
      </c>
    </row>
    <row r="382" spans="3:20">
      <c r="C382" s="152" t="s">
        <v>2821</v>
      </c>
      <c r="D382" s="152"/>
      <c r="F382" s="474" t="s">
        <v>371</v>
      </c>
      <c r="G382" s="210" t="s">
        <v>353</v>
      </c>
      <c r="H382" s="210"/>
      <c r="I382" s="513">
        <v>-298264.40000000002</v>
      </c>
      <c r="J382" s="513">
        <v>-201.53</v>
      </c>
      <c r="K382" s="513">
        <v>1480</v>
      </c>
      <c r="L382" s="513" t="s">
        <v>2859</v>
      </c>
      <c r="M382" s="513" t="s">
        <v>780</v>
      </c>
      <c r="N382" s="513" t="s">
        <v>1407</v>
      </c>
      <c r="O382" s="518" t="s">
        <v>2869</v>
      </c>
      <c r="P382" s="152" t="s">
        <v>2865</v>
      </c>
      <c r="Q382" s="152" t="s">
        <v>2870</v>
      </c>
      <c r="R382" s="152" t="s">
        <v>2882</v>
      </c>
      <c r="S382" s="152" t="s">
        <v>2872</v>
      </c>
      <c r="T382" s="152" t="s">
        <v>786</v>
      </c>
    </row>
    <row r="383" spans="3:20">
      <c r="C383" s="152" t="s">
        <v>2821</v>
      </c>
      <c r="D383" s="152"/>
      <c r="F383" s="474" t="s">
        <v>371</v>
      </c>
      <c r="G383" s="210" t="s">
        <v>353</v>
      </c>
      <c r="H383" s="210"/>
      <c r="I383" s="513">
        <v>108321.2</v>
      </c>
      <c r="J383" s="513">
        <v>73.19</v>
      </c>
      <c r="K383" s="513">
        <v>1480</v>
      </c>
      <c r="L383" s="513" t="s">
        <v>2859</v>
      </c>
      <c r="M383" s="513" t="s">
        <v>780</v>
      </c>
      <c r="N383" s="513" t="s">
        <v>1407</v>
      </c>
      <c r="O383" s="518" t="s">
        <v>2864</v>
      </c>
      <c r="P383" s="152" t="s">
        <v>2865</v>
      </c>
      <c r="Q383" s="152" t="s">
        <v>2866</v>
      </c>
      <c r="R383" s="152" t="s">
        <v>2883</v>
      </c>
      <c r="S383" s="152" t="s">
        <v>2868</v>
      </c>
      <c r="T383" s="152" t="s">
        <v>786</v>
      </c>
    </row>
    <row r="384" spans="3:20">
      <c r="C384" s="152" t="s">
        <v>2821</v>
      </c>
      <c r="D384" s="152"/>
      <c r="F384" s="474" t="s">
        <v>371</v>
      </c>
      <c r="G384" s="210" t="s">
        <v>353</v>
      </c>
      <c r="H384" s="210"/>
      <c r="I384" s="513">
        <v>-112110</v>
      </c>
      <c r="J384" s="513">
        <v>-75.75</v>
      </c>
      <c r="K384" s="513">
        <v>1480</v>
      </c>
      <c r="L384" s="513" t="s">
        <v>2859</v>
      </c>
      <c r="M384" s="513" t="s">
        <v>780</v>
      </c>
      <c r="N384" s="513" t="s">
        <v>1407</v>
      </c>
      <c r="O384" s="518" t="s">
        <v>2869</v>
      </c>
      <c r="P384" s="152" t="s">
        <v>2865</v>
      </c>
      <c r="Q384" s="152" t="s">
        <v>2870</v>
      </c>
      <c r="R384" s="152" t="s">
        <v>2884</v>
      </c>
      <c r="S384" s="152" t="s">
        <v>2872</v>
      </c>
      <c r="T384" s="152" t="s">
        <v>786</v>
      </c>
    </row>
    <row r="385" spans="3:20">
      <c r="C385" s="152" t="s">
        <v>2821</v>
      </c>
      <c r="D385" s="152"/>
      <c r="F385" s="474" t="s">
        <v>371</v>
      </c>
      <c r="G385" s="210" t="s">
        <v>353</v>
      </c>
      <c r="H385" s="210"/>
      <c r="I385" s="513">
        <v>114270.8</v>
      </c>
      <c r="J385" s="513">
        <v>77.209999999999994</v>
      </c>
      <c r="K385" s="513">
        <v>1480</v>
      </c>
      <c r="L385" s="513" t="s">
        <v>2859</v>
      </c>
      <c r="M385" s="513" t="s">
        <v>780</v>
      </c>
      <c r="N385" s="513" t="s">
        <v>1407</v>
      </c>
      <c r="O385" s="518" t="s">
        <v>2864</v>
      </c>
      <c r="P385" s="152" t="s">
        <v>2865</v>
      </c>
      <c r="Q385" s="152" t="s">
        <v>2866</v>
      </c>
      <c r="R385" s="152" t="s">
        <v>2885</v>
      </c>
      <c r="S385" s="152" t="s">
        <v>2868</v>
      </c>
      <c r="T385" s="152" t="s">
        <v>786</v>
      </c>
    </row>
    <row r="386" spans="3:20">
      <c r="C386" s="152" t="s">
        <v>2821</v>
      </c>
      <c r="D386" s="152"/>
      <c r="F386" s="474" t="s">
        <v>371</v>
      </c>
      <c r="G386" s="210" t="s">
        <v>353</v>
      </c>
      <c r="H386" s="210"/>
      <c r="I386" s="513">
        <v>-118266.8</v>
      </c>
      <c r="J386" s="513">
        <v>-79.91</v>
      </c>
      <c r="K386" s="513">
        <v>1480</v>
      </c>
      <c r="L386" s="513" t="s">
        <v>2859</v>
      </c>
      <c r="M386" s="513" t="s">
        <v>780</v>
      </c>
      <c r="N386" s="513" t="s">
        <v>1407</v>
      </c>
      <c r="O386" s="518" t="s">
        <v>2869</v>
      </c>
      <c r="P386" s="152" t="s">
        <v>2865</v>
      </c>
      <c r="Q386" s="152" t="s">
        <v>2870</v>
      </c>
      <c r="R386" s="152" t="s">
        <v>2886</v>
      </c>
      <c r="S386" s="152" t="s">
        <v>2872</v>
      </c>
      <c r="T386" s="152" t="s">
        <v>786</v>
      </c>
    </row>
    <row r="387" spans="3:20">
      <c r="C387" s="152" t="s">
        <v>2821</v>
      </c>
      <c r="D387" s="152"/>
      <c r="F387" s="474" t="s">
        <v>371</v>
      </c>
      <c r="G387" s="210" t="s">
        <v>353</v>
      </c>
      <c r="H387" s="210"/>
      <c r="I387" s="513">
        <v>113708.4</v>
      </c>
      <c r="J387" s="513">
        <v>76.83</v>
      </c>
      <c r="K387" s="513">
        <v>1480</v>
      </c>
      <c r="L387" s="513" t="s">
        <v>2859</v>
      </c>
      <c r="M387" s="513" t="s">
        <v>780</v>
      </c>
      <c r="N387" s="513" t="s">
        <v>1407</v>
      </c>
      <c r="O387" s="518" t="s">
        <v>2864</v>
      </c>
      <c r="P387" s="152" t="s">
        <v>2865</v>
      </c>
      <c r="Q387" s="152" t="s">
        <v>2866</v>
      </c>
      <c r="R387" s="152" t="s">
        <v>2887</v>
      </c>
      <c r="S387" s="152" t="s">
        <v>2868</v>
      </c>
      <c r="T387" s="152" t="s">
        <v>786</v>
      </c>
    </row>
    <row r="388" spans="3:20">
      <c r="C388" s="152" t="s">
        <v>2821</v>
      </c>
      <c r="D388" s="152"/>
      <c r="F388" s="474" t="s">
        <v>371</v>
      </c>
      <c r="G388" s="210" t="s">
        <v>353</v>
      </c>
      <c r="H388" s="210"/>
      <c r="I388" s="513">
        <v>-117674.8</v>
      </c>
      <c r="J388" s="513">
        <v>-79.510000000000005</v>
      </c>
      <c r="K388" s="513">
        <v>1480</v>
      </c>
      <c r="L388" s="513" t="s">
        <v>2859</v>
      </c>
      <c r="M388" s="513" t="s">
        <v>780</v>
      </c>
      <c r="N388" s="513" t="s">
        <v>1407</v>
      </c>
      <c r="O388" s="518" t="s">
        <v>2869</v>
      </c>
      <c r="P388" s="152" t="s">
        <v>2865</v>
      </c>
      <c r="Q388" s="152" t="s">
        <v>2870</v>
      </c>
      <c r="R388" s="152" t="s">
        <v>2888</v>
      </c>
      <c r="S388" s="152" t="s">
        <v>2872</v>
      </c>
      <c r="T388" s="152" t="s">
        <v>786</v>
      </c>
    </row>
    <row r="389" spans="3:20">
      <c r="C389" s="152" t="s">
        <v>2821</v>
      </c>
      <c r="D389" s="152"/>
      <c r="F389" s="474" t="s">
        <v>371</v>
      </c>
      <c r="G389" s="210" t="s">
        <v>353</v>
      </c>
      <c r="H389" s="210"/>
      <c r="I389" s="513">
        <v>14288400</v>
      </c>
      <c r="J389" s="513">
        <v>9720</v>
      </c>
      <c r="K389" s="513">
        <v>1470</v>
      </c>
      <c r="L389" s="513" t="s">
        <v>2822</v>
      </c>
      <c r="M389" s="513" t="s">
        <v>780</v>
      </c>
      <c r="N389" s="513" t="s">
        <v>1407</v>
      </c>
      <c r="O389" s="518" t="s">
        <v>2823</v>
      </c>
      <c r="P389" s="152" t="s">
        <v>892</v>
      </c>
      <c r="Q389" s="152" t="s">
        <v>2824</v>
      </c>
      <c r="R389" s="152" t="s">
        <v>2889</v>
      </c>
      <c r="S389" s="152" t="s">
        <v>2826</v>
      </c>
      <c r="T389" s="152" t="s">
        <v>786</v>
      </c>
    </row>
    <row r="390" spans="3:20">
      <c r="C390" s="152" t="s">
        <v>2821</v>
      </c>
      <c r="D390" s="152"/>
      <c r="F390" s="474" t="s">
        <v>371</v>
      </c>
      <c r="G390" s="210" t="s">
        <v>353</v>
      </c>
      <c r="H390" s="210"/>
      <c r="I390" s="513">
        <v>1968400</v>
      </c>
      <c r="J390" s="513">
        <v>1330</v>
      </c>
      <c r="K390" s="513">
        <v>1480</v>
      </c>
      <c r="L390" s="513" t="s">
        <v>2859</v>
      </c>
      <c r="M390" s="513" t="s">
        <v>780</v>
      </c>
      <c r="N390" s="513" t="s">
        <v>1407</v>
      </c>
      <c r="O390" s="518" t="s">
        <v>2860</v>
      </c>
      <c r="P390" s="152" t="s">
        <v>892</v>
      </c>
      <c r="Q390" s="152" t="s">
        <v>2861</v>
      </c>
      <c r="R390" s="152" t="s">
        <v>2890</v>
      </c>
      <c r="S390" s="152" t="s">
        <v>2863</v>
      </c>
      <c r="T390" s="152" t="s">
        <v>786</v>
      </c>
    </row>
    <row r="391" spans="3:20">
      <c r="C391" s="152" t="s">
        <v>2821</v>
      </c>
      <c r="D391" s="152"/>
      <c r="F391" s="474" t="s">
        <v>371</v>
      </c>
      <c r="G391" s="210" t="s">
        <v>353</v>
      </c>
      <c r="H391" s="210"/>
      <c r="I391" s="513">
        <v>4188400</v>
      </c>
      <c r="J391" s="513">
        <v>2830</v>
      </c>
      <c r="K391" s="513">
        <v>1480</v>
      </c>
      <c r="L391" s="513" t="s">
        <v>2845</v>
      </c>
      <c r="M391" s="513" t="s">
        <v>780</v>
      </c>
      <c r="N391" s="513" t="s">
        <v>1407</v>
      </c>
      <c r="O391" s="518" t="s">
        <v>2846</v>
      </c>
      <c r="P391" s="152" t="s">
        <v>892</v>
      </c>
      <c r="Q391" s="152" t="s">
        <v>2847</v>
      </c>
      <c r="R391" s="152" t="s">
        <v>2891</v>
      </c>
      <c r="S391" s="152" t="s">
        <v>2849</v>
      </c>
      <c r="T391" s="152" t="s">
        <v>786</v>
      </c>
    </row>
    <row r="392" spans="3:20">
      <c r="C392" s="152" t="s">
        <v>2821</v>
      </c>
      <c r="D392" s="152"/>
      <c r="F392" s="474" t="s">
        <v>371</v>
      </c>
      <c r="G392" s="210" t="s">
        <v>353</v>
      </c>
      <c r="H392" s="210"/>
      <c r="I392" s="513">
        <v>4188400</v>
      </c>
      <c r="J392" s="513">
        <v>2830</v>
      </c>
      <c r="K392" s="513">
        <v>1480</v>
      </c>
      <c r="L392" s="513" t="s">
        <v>2845</v>
      </c>
      <c r="M392" s="513" t="s">
        <v>780</v>
      </c>
      <c r="N392" s="513" t="s">
        <v>1407</v>
      </c>
      <c r="O392" s="518" t="s">
        <v>2846</v>
      </c>
      <c r="P392" s="152" t="s">
        <v>892</v>
      </c>
      <c r="Q392" s="152" t="s">
        <v>2847</v>
      </c>
      <c r="R392" s="152" t="s">
        <v>2892</v>
      </c>
      <c r="S392" s="152" t="s">
        <v>2849</v>
      </c>
      <c r="T392" s="152" t="s">
        <v>786</v>
      </c>
    </row>
    <row r="393" spans="3:20">
      <c r="C393" s="152" t="s">
        <v>2821</v>
      </c>
      <c r="D393" s="152"/>
      <c r="F393" s="474" t="s">
        <v>371</v>
      </c>
      <c r="G393" s="210" t="s">
        <v>353</v>
      </c>
      <c r="H393" s="210"/>
      <c r="I393" s="513">
        <v>2167460</v>
      </c>
      <c r="J393" s="513">
        <v>1464.5</v>
      </c>
      <c r="K393" s="513">
        <v>1480</v>
      </c>
      <c r="L393" s="513" t="s">
        <v>2859</v>
      </c>
      <c r="M393" s="513" t="s">
        <v>780</v>
      </c>
      <c r="N393" s="513" t="s">
        <v>1407</v>
      </c>
      <c r="O393" s="518" t="s">
        <v>2878</v>
      </c>
      <c r="P393" s="152" t="s">
        <v>2865</v>
      </c>
      <c r="Q393" s="152" t="s">
        <v>2879</v>
      </c>
      <c r="R393" s="152" t="s">
        <v>2893</v>
      </c>
      <c r="S393" s="152" t="s">
        <v>2881</v>
      </c>
      <c r="T393" s="152" t="s">
        <v>786</v>
      </c>
    </row>
    <row r="394" spans="3:20">
      <c r="C394" s="152" t="s">
        <v>2821</v>
      </c>
      <c r="D394" s="152"/>
      <c r="F394" s="474" t="s">
        <v>371</v>
      </c>
      <c r="G394" s="210" t="s">
        <v>353</v>
      </c>
      <c r="H394" s="210"/>
      <c r="I394" s="513">
        <v>-75864.800000000003</v>
      </c>
      <c r="J394" s="513">
        <v>-51.26</v>
      </c>
      <c r="K394" s="513">
        <v>1480</v>
      </c>
      <c r="L394" s="513" t="s">
        <v>2859</v>
      </c>
      <c r="M394" s="513" t="s">
        <v>780</v>
      </c>
      <c r="N394" s="513" t="s">
        <v>1407</v>
      </c>
      <c r="O394" s="518" t="s">
        <v>2869</v>
      </c>
      <c r="P394" s="152" t="s">
        <v>2865</v>
      </c>
      <c r="Q394" s="152" t="s">
        <v>2870</v>
      </c>
      <c r="R394" s="152" t="s">
        <v>2894</v>
      </c>
      <c r="S394" s="152" t="s">
        <v>2872</v>
      </c>
      <c r="T394" s="152" t="s">
        <v>786</v>
      </c>
    </row>
    <row r="395" spans="3:20">
      <c r="C395" s="152" t="s">
        <v>2821</v>
      </c>
      <c r="D395" s="152"/>
      <c r="F395" s="474" t="s">
        <v>371</v>
      </c>
      <c r="G395" s="210" t="s">
        <v>353</v>
      </c>
      <c r="H395" s="210"/>
      <c r="I395" s="513">
        <v>8702400</v>
      </c>
      <c r="J395" s="513">
        <v>5880</v>
      </c>
      <c r="K395" s="513">
        <v>1480</v>
      </c>
      <c r="L395" s="513" t="s">
        <v>2859</v>
      </c>
      <c r="M395" s="513" t="s">
        <v>780</v>
      </c>
      <c r="N395" s="513" t="s">
        <v>1407</v>
      </c>
      <c r="O395" s="518" t="s">
        <v>2860</v>
      </c>
      <c r="P395" s="152" t="s">
        <v>892</v>
      </c>
      <c r="Q395" s="152" t="s">
        <v>2861</v>
      </c>
      <c r="R395" s="152" t="s">
        <v>2895</v>
      </c>
      <c r="S395" s="152" t="s">
        <v>2863</v>
      </c>
      <c r="T395" s="152" t="s">
        <v>786</v>
      </c>
    </row>
    <row r="396" spans="3:20">
      <c r="C396" s="152" t="s">
        <v>2821</v>
      </c>
      <c r="D396" s="152"/>
      <c r="F396" s="474" t="s">
        <v>371</v>
      </c>
      <c r="G396" s="210" t="s">
        <v>353</v>
      </c>
      <c r="H396" s="210"/>
      <c r="I396" s="513">
        <v>5292000</v>
      </c>
      <c r="J396" s="513">
        <v>3600</v>
      </c>
      <c r="K396" s="513">
        <v>1470</v>
      </c>
      <c r="L396" s="513" t="s">
        <v>2845</v>
      </c>
      <c r="M396" s="513" t="s">
        <v>780</v>
      </c>
      <c r="N396" s="513" t="s">
        <v>1407</v>
      </c>
      <c r="O396" s="518" t="s">
        <v>2846</v>
      </c>
      <c r="P396" s="152" t="s">
        <v>892</v>
      </c>
      <c r="Q396" s="152" t="s">
        <v>2847</v>
      </c>
      <c r="R396" s="152" t="s">
        <v>2896</v>
      </c>
      <c r="S396" s="152" t="s">
        <v>2849</v>
      </c>
      <c r="T396" s="152" t="s">
        <v>786</v>
      </c>
    </row>
    <row r="397" spans="3:20">
      <c r="C397" s="152" t="s">
        <v>2821</v>
      </c>
      <c r="D397" s="152"/>
      <c r="F397" s="474" t="s">
        <v>371</v>
      </c>
      <c r="G397" s="210" t="s">
        <v>353</v>
      </c>
      <c r="H397" s="210"/>
      <c r="I397" s="513">
        <v>2537460</v>
      </c>
      <c r="J397" s="513">
        <v>1714.5</v>
      </c>
      <c r="K397" s="513">
        <v>1480</v>
      </c>
      <c r="L397" s="513" t="s">
        <v>2859</v>
      </c>
      <c r="M397" s="513" t="s">
        <v>780</v>
      </c>
      <c r="N397" s="513" t="s">
        <v>1407</v>
      </c>
      <c r="O397" s="518" t="s">
        <v>2878</v>
      </c>
      <c r="P397" s="152" t="s">
        <v>2865</v>
      </c>
      <c r="Q397" s="152" t="s">
        <v>2879</v>
      </c>
      <c r="R397" s="152" t="s">
        <v>2897</v>
      </c>
      <c r="S397" s="152" t="s">
        <v>2881</v>
      </c>
      <c r="T397" s="152" t="s">
        <v>786</v>
      </c>
    </row>
    <row r="398" spans="3:20">
      <c r="C398" s="152" t="s">
        <v>2821</v>
      </c>
      <c r="D398" s="152"/>
      <c r="F398" s="474" t="s">
        <v>371</v>
      </c>
      <c r="G398" s="210" t="s">
        <v>353</v>
      </c>
      <c r="H398" s="210"/>
      <c r="I398" s="513">
        <v>-88814.8</v>
      </c>
      <c r="J398" s="513">
        <v>-60.01</v>
      </c>
      <c r="K398" s="513">
        <v>1480</v>
      </c>
      <c r="L398" s="513" t="s">
        <v>2859</v>
      </c>
      <c r="M398" s="513" t="s">
        <v>780</v>
      </c>
      <c r="N398" s="513" t="s">
        <v>1407</v>
      </c>
      <c r="O398" s="518" t="s">
        <v>2869</v>
      </c>
      <c r="P398" s="152" t="s">
        <v>2865</v>
      </c>
      <c r="Q398" s="152" t="s">
        <v>2870</v>
      </c>
      <c r="R398" s="152" t="s">
        <v>2898</v>
      </c>
      <c r="S398" s="152" t="s">
        <v>2872</v>
      </c>
      <c r="T398" s="152" t="s">
        <v>786</v>
      </c>
    </row>
    <row r="399" spans="3:20">
      <c r="C399" s="152" t="s">
        <v>2821</v>
      </c>
      <c r="D399" s="152"/>
      <c r="F399" s="474" t="s">
        <v>371</v>
      </c>
      <c r="G399" s="210" t="s">
        <v>353</v>
      </c>
      <c r="H399" s="210"/>
      <c r="I399" s="513">
        <v>-54760000</v>
      </c>
      <c r="J399" s="513">
        <v>-37000</v>
      </c>
      <c r="K399" s="513">
        <v>1480</v>
      </c>
      <c r="L399" s="513" t="s">
        <v>2822</v>
      </c>
      <c r="M399" s="513" t="s">
        <v>780</v>
      </c>
      <c r="N399" s="513" t="s">
        <v>1407</v>
      </c>
      <c r="O399" s="518" t="s">
        <v>3082</v>
      </c>
      <c r="P399" s="152" t="s">
        <v>892</v>
      </c>
      <c r="Q399" s="152" t="s">
        <v>3083</v>
      </c>
      <c r="R399" s="152" t="s">
        <v>3084</v>
      </c>
      <c r="S399" s="152" t="s">
        <v>3085</v>
      </c>
      <c r="T399" s="152" t="s">
        <v>786</v>
      </c>
    </row>
    <row r="400" spans="3:20">
      <c r="C400" s="152" t="s">
        <v>2821</v>
      </c>
      <c r="D400" s="152"/>
      <c r="F400" s="474" t="s">
        <v>371</v>
      </c>
      <c r="G400" s="210" t="s">
        <v>353</v>
      </c>
      <c r="H400" s="210"/>
      <c r="I400" s="513">
        <v>3142125</v>
      </c>
      <c r="J400" s="513">
        <v>2137.5</v>
      </c>
      <c r="K400" s="513">
        <v>1470</v>
      </c>
      <c r="L400" s="513" t="s">
        <v>2835</v>
      </c>
      <c r="M400" s="513" t="s">
        <v>780</v>
      </c>
      <c r="N400" s="513" t="s">
        <v>1407</v>
      </c>
      <c r="O400" s="518" t="s">
        <v>2836</v>
      </c>
      <c r="P400" s="152" t="s">
        <v>892</v>
      </c>
      <c r="Q400" s="152" t="s">
        <v>2837</v>
      </c>
      <c r="R400" s="152" t="s">
        <v>3086</v>
      </c>
      <c r="S400" s="152" t="s">
        <v>2839</v>
      </c>
      <c r="T400" s="152" t="s">
        <v>786</v>
      </c>
    </row>
    <row r="401" spans="3:20">
      <c r="C401" s="152" t="s">
        <v>2821</v>
      </c>
      <c r="D401" s="152"/>
      <c r="F401" s="474" t="s">
        <v>371</v>
      </c>
      <c r="G401" s="210" t="s">
        <v>353</v>
      </c>
      <c r="H401" s="210"/>
      <c r="I401" s="513">
        <v>3142125</v>
      </c>
      <c r="J401" s="513">
        <v>2137.5</v>
      </c>
      <c r="K401" s="513">
        <v>1470</v>
      </c>
      <c r="L401" s="513" t="s">
        <v>2835</v>
      </c>
      <c r="M401" s="513" t="s">
        <v>780</v>
      </c>
      <c r="N401" s="513" t="s">
        <v>1407</v>
      </c>
      <c r="O401" s="518" t="s">
        <v>2836</v>
      </c>
      <c r="P401" s="152" t="s">
        <v>892</v>
      </c>
      <c r="Q401" s="152" t="s">
        <v>2837</v>
      </c>
      <c r="R401" s="152" t="s">
        <v>3087</v>
      </c>
      <c r="S401" s="152" t="s">
        <v>2839</v>
      </c>
      <c r="T401" s="152" t="s">
        <v>786</v>
      </c>
    </row>
    <row r="402" spans="3:20">
      <c r="C402" s="152" t="s">
        <v>2821</v>
      </c>
      <c r="D402" s="152"/>
      <c r="F402" s="474" t="s">
        <v>371</v>
      </c>
      <c r="G402" s="210" t="s">
        <v>353</v>
      </c>
      <c r="H402" s="210"/>
      <c r="I402" s="513">
        <v>2017575</v>
      </c>
      <c r="J402" s="513">
        <v>1372.5</v>
      </c>
      <c r="K402" s="513">
        <v>1470</v>
      </c>
      <c r="L402" s="513" t="s">
        <v>2835</v>
      </c>
      <c r="M402" s="513" t="s">
        <v>780</v>
      </c>
      <c r="N402" s="513" t="s">
        <v>1407</v>
      </c>
      <c r="O402" s="518" t="s">
        <v>2836</v>
      </c>
      <c r="P402" s="152" t="s">
        <v>892</v>
      </c>
      <c r="Q402" s="152" t="s">
        <v>2837</v>
      </c>
      <c r="R402" s="152" t="s">
        <v>3088</v>
      </c>
      <c r="S402" s="152" t="s">
        <v>2839</v>
      </c>
      <c r="T402" s="152" t="s">
        <v>786</v>
      </c>
    </row>
    <row r="403" spans="3:20">
      <c r="C403" s="152" t="s">
        <v>2821</v>
      </c>
      <c r="D403" s="152"/>
      <c r="F403" s="474" t="s">
        <v>371</v>
      </c>
      <c r="G403" s="210" t="s">
        <v>353</v>
      </c>
      <c r="H403" s="210"/>
      <c r="I403" s="513">
        <v>3142125</v>
      </c>
      <c r="J403" s="513">
        <v>2137.5</v>
      </c>
      <c r="K403" s="513">
        <v>1470</v>
      </c>
      <c r="L403" s="513" t="s">
        <v>2835</v>
      </c>
      <c r="M403" s="513" t="s">
        <v>780</v>
      </c>
      <c r="N403" s="513" t="s">
        <v>1407</v>
      </c>
      <c r="O403" s="518" t="s">
        <v>2836</v>
      </c>
      <c r="P403" s="152" t="s">
        <v>892</v>
      </c>
      <c r="Q403" s="152" t="s">
        <v>2837</v>
      </c>
      <c r="R403" s="152" t="s">
        <v>3089</v>
      </c>
      <c r="S403" s="152" t="s">
        <v>2839</v>
      </c>
      <c r="T403" s="152" t="s">
        <v>786</v>
      </c>
    </row>
    <row r="404" spans="3:20">
      <c r="C404" s="152" t="s">
        <v>2821</v>
      </c>
      <c r="D404" s="152"/>
      <c r="F404" s="474" t="s">
        <v>371</v>
      </c>
      <c r="G404" s="210" t="s">
        <v>353</v>
      </c>
      <c r="H404" s="210"/>
      <c r="I404" s="513">
        <v>3142125</v>
      </c>
      <c r="J404" s="513">
        <v>2137.5</v>
      </c>
      <c r="K404" s="513">
        <v>1470</v>
      </c>
      <c r="L404" s="513" t="s">
        <v>2835</v>
      </c>
      <c r="M404" s="513" t="s">
        <v>780</v>
      </c>
      <c r="N404" s="513" t="s">
        <v>1407</v>
      </c>
      <c r="O404" s="518" t="s">
        <v>2836</v>
      </c>
      <c r="P404" s="152" t="s">
        <v>892</v>
      </c>
      <c r="Q404" s="152" t="s">
        <v>2837</v>
      </c>
      <c r="R404" s="152" t="s">
        <v>3090</v>
      </c>
      <c r="S404" s="152" t="s">
        <v>2839</v>
      </c>
      <c r="T404" s="152" t="s">
        <v>786</v>
      </c>
    </row>
    <row r="405" spans="3:20">
      <c r="C405" s="152" t="s">
        <v>2821</v>
      </c>
      <c r="D405" s="152"/>
      <c r="F405" s="474" t="s">
        <v>371</v>
      </c>
      <c r="G405" s="210" t="s">
        <v>353</v>
      </c>
      <c r="H405" s="210"/>
      <c r="I405" s="513">
        <v>182336</v>
      </c>
      <c r="J405" s="513">
        <v>123.2</v>
      </c>
      <c r="K405" s="513">
        <v>1480</v>
      </c>
      <c r="L405" s="513" t="s">
        <v>2859</v>
      </c>
      <c r="M405" s="513" t="s">
        <v>780</v>
      </c>
      <c r="N405" s="513" t="s">
        <v>1407</v>
      </c>
      <c r="O405" s="518" t="s">
        <v>2864</v>
      </c>
      <c r="P405" s="152" t="s">
        <v>2865</v>
      </c>
      <c r="Q405" s="152" t="s">
        <v>2866</v>
      </c>
      <c r="R405" s="152" t="s">
        <v>3091</v>
      </c>
      <c r="S405" s="152" t="s">
        <v>2868</v>
      </c>
      <c r="T405" s="152" t="s">
        <v>786</v>
      </c>
    </row>
    <row r="406" spans="3:20">
      <c r="C406" s="152" t="s">
        <v>2821</v>
      </c>
      <c r="D406" s="152"/>
      <c r="F406" s="474" t="s">
        <v>371</v>
      </c>
      <c r="G406" s="210" t="s">
        <v>353</v>
      </c>
      <c r="H406" s="210"/>
      <c r="I406" s="513">
        <v>-188714.8</v>
      </c>
      <c r="J406" s="513">
        <v>-127.51</v>
      </c>
      <c r="K406" s="513">
        <v>1480</v>
      </c>
      <c r="L406" s="513" t="s">
        <v>2859</v>
      </c>
      <c r="M406" s="513" t="s">
        <v>780</v>
      </c>
      <c r="N406" s="513" t="s">
        <v>1407</v>
      </c>
      <c r="O406" s="518" t="s">
        <v>2869</v>
      </c>
      <c r="P406" s="152" t="s">
        <v>2865</v>
      </c>
      <c r="Q406" s="152" t="s">
        <v>2870</v>
      </c>
      <c r="R406" s="152" t="s">
        <v>3092</v>
      </c>
      <c r="S406" s="152" t="s">
        <v>2872</v>
      </c>
      <c r="T406" s="152" t="s">
        <v>786</v>
      </c>
    </row>
    <row r="407" spans="3:20">
      <c r="C407" s="152" t="s">
        <v>2821</v>
      </c>
      <c r="D407" s="152"/>
      <c r="F407" s="474" t="s">
        <v>371</v>
      </c>
      <c r="G407" s="210" t="s">
        <v>353</v>
      </c>
      <c r="H407" s="210"/>
      <c r="I407" s="513">
        <v>58075.199999999997</v>
      </c>
      <c r="J407" s="513">
        <v>39.24</v>
      </c>
      <c r="K407" s="513">
        <v>1480</v>
      </c>
      <c r="L407" s="513" t="s">
        <v>2859</v>
      </c>
      <c r="M407" s="513" t="s">
        <v>780</v>
      </c>
      <c r="N407" s="513" t="s">
        <v>1407</v>
      </c>
      <c r="O407" s="518" t="s">
        <v>2864</v>
      </c>
      <c r="P407" s="152" t="s">
        <v>2865</v>
      </c>
      <c r="Q407" s="152" t="s">
        <v>2866</v>
      </c>
      <c r="R407" s="152" t="s">
        <v>3093</v>
      </c>
      <c r="S407" s="152" t="s">
        <v>2868</v>
      </c>
      <c r="T407" s="152" t="s">
        <v>786</v>
      </c>
    </row>
    <row r="408" spans="3:20">
      <c r="C408" s="152" t="s">
        <v>2821</v>
      </c>
      <c r="D408" s="152"/>
      <c r="F408" s="474" t="s">
        <v>371</v>
      </c>
      <c r="G408" s="210" t="s">
        <v>353</v>
      </c>
      <c r="H408" s="210"/>
      <c r="I408" s="513">
        <v>-60102.8</v>
      </c>
      <c r="J408" s="513">
        <v>-40.61</v>
      </c>
      <c r="K408" s="513">
        <v>1480</v>
      </c>
      <c r="L408" s="513" t="s">
        <v>2859</v>
      </c>
      <c r="M408" s="513" t="s">
        <v>780</v>
      </c>
      <c r="N408" s="513" t="s">
        <v>1407</v>
      </c>
      <c r="O408" s="518" t="s">
        <v>2869</v>
      </c>
      <c r="P408" s="152" t="s">
        <v>2865</v>
      </c>
      <c r="Q408" s="152" t="s">
        <v>2870</v>
      </c>
      <c r="R408" s="152" t="s">
        <v>3094</v>
      </c>
      <c r="S408" s="152" t="s">
        <v>2872</v>
      </c>
      <c r="T408" s="152" t="s">
        <v>786</v>
      </c>
    </row>
    <row r="409" spans="3:20">
      <c r="C409" s="152" t="s">
        <v>2821</v>
      </c>
      <c r="D409" s="152"/>
      <c r="F409" s="474" t="s">
        <v>371</v>
      </c>
      <c r="G409" s="210" t="s">
        <v>353</v>
      </c>
      <c r="H409" s="210"/>
      <c r="I409" s="513">
        <v>4321800</v>
      </c>
      <c r="J409" s="513">
        <v>2940</v>
      </c>
      <c r="K409" s="513">
        <v>1470</v>
      </c>
      <c r="L409" s="513" t="s">
        <v>2822</v>
      </c>
      <c r="M409" s="513" t="s">
        <v>780</v>
      </c>
      <c r="N409" s="513" t="s">
        <v>1407</v>
      </c>
      <c r="O409" s="518" t="s">
        <v>2823</v>
      </c>
      <c r="P409" s="152" t="s">
        <v>892</v>
      </c>
      <c r="Q409" s="152" t="s">
        <v>2824</v>
      </c>
      <c r="R409" s="152" t="s">
        <v>3095</v>
      </c>
      <c r="S409" s="152" t="s">
        <v>2826</v>
      </c>
      <c r="T409" s="152" t="s">
        <v>786</v>
      </c>
    </row>
    <row r="410" spans="3:20">
      <c r="C410" s="152" t="s">
        <v>2821</v>
      </c>
      <c r="D410" s="152"/>
      <c r="F410" s="474" t="s">
        <v>371</v>
      </c>
      <c r="G410" s="210" t="s">
        <v>353</v>
      </c>
      <c r="H410" s="210"/>
      <c r="I410" s="513">
        <v>73408</v>
      </c>
      <c r="J410" s="513">
        <v>49.6</v>
      </c>
      <c r="K410" s="513">
        <v>1480</v>
      </c>
      <c r="L410" s="513" t="s">
        <v>2859</v>
      </c>
      <c r="M410" s="513" t="s">
        <v>780</v>
      </c>
      <c r="N410" s="513" t="s">
        <v>1407</v>
      </c>
      <c r="O410" s="518" t="s">
        <v>2864</v>
      </c>
      <c r="P410" s="152" t="s">
        <v>2865</v>
      </c>
      <c r="Q410" s="152" t="s">
        <v>2866</v>
      </c>
      <c r="R410" s="152" t="s">
        <v>3096</v>
      </c>
      <c r="S410" s="152" t="s">
        <v>2868</v>
      </c>
      <c r="T410" s="152" t="s">
        <v>786</v>
      </c>
    </row>
    <row r="411" spans="3:20">
      <c r="C411" s="152" t="s">
        <v>2821</v>
      </c>
      <c r="D411" s="152"/>
      <c r="F411" s="474" t="s">
        <v>371</v>
      </c>
      <c r="G411" s="210" t="s">
        <v>353</v>
      </c>
      <c r="H411" s="210"/>
      <c r="I411" s="513">
        <v>-75968.399999999994</v>
      </c>
      <c r="J411" s="513">
        <v>-51.33</v>
      </c>
      <c r="K411" s="513">
        <v>1480</v>
      </c>
      <c r="L411" s="513" t="s">
        <v>2859</v>
      </c>
      <c r="M411" s="513" t="s">
        <v>780</v>
      </c>
      <c r="N411" s="513" t="s">
        <v>1407</v>
      </c>
      <c r="O411" s="518" t="s">
        <v>2869</v>
      </c>
      <c r="P411" s="152" t="s">
        <v>2865</v>
      </c>
      <c r="Q411" s="152" t="s">
        <v>2870</v>
      </c>
      <c r="R411" s="152" t="s">
        <v>3097</v>
      </c>
      <c r="S411" s="152" t="s">
        <v>2872</v>
      </c>
      <c r="T411" s="152" t="s">
        <v>786</v>
      </c>
    </row>
    <row r="412" spans="3:20">
      <c r="C412" s="152" t="s">
        <v>2821</v>
      </c>
      <c r="D412" s="152"/>
      <c r="F412" s="474" t="s">
        <v>371</v>
      </c>
      <c r="G412" s="210" t="s">
        <v>353</v>
      </c>
      <c r="H412" s="210"/>
      <c r="I412" s="513">
        <v>2473080</v>
      </c>
      <c r="J412" s="513">
        <v>1671</v>
      </c>
      <c r="K412" s="513">
        <v>1480</v>
      </c>
      <c r="L412" s="513" t="s">
        <v>2859</v>
      </c>
      <c r="M412" s="513" t="s">
        <v>780</v>
      </c>
      <c r="N412" s="513" t="s">
        <v>1407</v>
      </c>
      <c r="O412" s="518" t="s">
        <v>2878</v>
      </c>
      <c r="P412" s="152" t="s">
        <v>2865</v>
      </c>
      <c r="Q412" s="152" t="s">
        <v>2879</v>
      </c>
      <c r="R412" s="152" t="s">
        <v>3098</v>
      </c>
      <c r="S412" s="152" t="s">
        <v>2881</v>
      </c>
      <c r="T412" s="152" t="s">
        <v>786</v>
      </c>
    </row>
    <row r="413" spans="3:20">
      <c r="C413" s="152" t="s">
        <v>2821</v>
      </c>
      <c r="D413" s="152"/>
      <c r="F413" s="474" t="s">
        <v>371</v>
      </c>
      <c r="G413" s="210" t="s">
        <v>353</v>
      </c>
      <c r="H413" s="210"/>
      <c r="I413" s="513">
        <v>-86565.2</v>
      </c>
      <c r="J413" s="513">
        <v>-58.49</v>
      </c>
      <c r="K413" s="513">
        <v>1480</v>
      </c>
      <c r="L413" s="513" t="s">
        <v>2859</v>
      </c>
      <c r="M413" s="513" t="s">
        <v>780</v>
      </c>
      <c r="N413" s="513" t="s">
        <v>1407</v>
      </c>
      <c r="O413" s="518" t="s">
        <v>2869</v>
      </c>
      <c r="P413" s="152" t="s">
        <v>2865</v>
      </c>
      <c r="Q413" s="152" t="s">
        <v>2870</v>
      </c>
      <c r="R413" s="152" t="s">
        <v>3099</v>
      </c>
      <c r="S413" s="152" t="s">
        <v>2872</v>
      </c>
      <c r="T413" s="152" t="s">
        <v>786</v>
      </c>
    </row>
    <row r="414" spans="3:20">
      <c r="C414" s="152" t="s">
        <v>2821</v>
      </c>
      <c r="D414" s="152"/>
      <c r="F414" s="474" t="s">
        <v>371</v>
      </c>
      <c r="G414" s="210" t="s">
        <v>353</v>
      </c>
      <c r="H414" s="210"/>
      <c r="I414" s="513">
        <v>39553000</v>
      </c>
      <c r="J414" s="513">
        <v>26725</v>
      </c>
      <c r="K414" s="513">
        <v>1480</v>
      </c>
      <c r="L414" s="513" t="s">
        <v>2845</v>
      </c>
      <c r="M414" s="513" t="s">
        <v>780</v>
      </c>
      <c r="N414" s="513" t="s">
        <v>1407</v>
      </c>
      <c r="O414" s="518" t="s">
        <v>2846</v>
      </c>
      <c r="P414" s="152" t="s">
        <v>892</v>
      </c>
      <c r="Q414" s="152" t="s">
        <v>2847</v>
      </c>
      <c r="R414" s="152" t="s">
        <v>3100</v>
      </c>
      <c r="S414" s="152" t="s">
        <v>2849</v>
      </c>
      <c r="T414" s="152" t="s">
        <v>786</v>
      </c>
    </row>
    <row r="415" spans="3:20">
      <c r="C415" s="152" t="s">
        <v>2821</v>
      </c>
      <c r="D415" s="152"/>
      <c r="F415" s="474" t="s">
        <v>371</v>
      </c>
      <c r="G415" s="210" t="s">
        <v>353</v>
      </c>
      <c r="H415" s="210"/>
      <c r="I415" s="513">
        <v>6475000</v>
      </c>
      <c r="J415" s="513">
        <v>4375</v>
      </c>
      <c r="K415" s="513">
        <v>1480</v>
      </c>
      <c r="L415" s="513" t="s">
        <v>2859</v>
      </c>
      <c r="M415" s="513" t="s">
        <v>780</v>
      </c>
      <c r="N415" s="513" t="s">
        <v>1407</v>
      </c>
      <c r="O415" s="518" t="s">
        <v>2878</v>
      </c>
      <c r="P415" s="152" t="s">
        <v>2865</v>
      </c>
      <c r="Q415" s="152" t="s">
        <v>2879</v>
      </c>
      <c r="R415" s="152" t="s">
        <v>3101</v>
      </c>
      <c r="S415" s="152" t="s">
        <v>2881</v>
      </c>
      <c r="T415" s="152" t="s">
        <v>786</v>
      </c>
    </row>
    <row r="416" spans="3:20">
      <c r="C416" s="152" t="s">
        <v>2821</v>
      </c>
      <c r="D416" s="152"/>
      <c r="F416" s="474" t="s">
        <v>371</v>
      </c>
      <c r="G416" s="210" t="s">
        <v>353</v>
      </c>
      <c r="H416" s="210"/>
      <c r="I416" s="513">
        <v>-226632.4</v>
      </c>
      <c r="J416" s="513">
        <v>-153.13</v>
      </c>
      <c r="K416" s="513">
        <v>1480</v>
      </c>
      <c r="L416" s="513" t="s">
        <v>2859</v>
      </c>
      <c r="M416" s="513" t="s">
        <v>780</v>
      </c>
      <c r="N416" s="513" t="s">
        <v>1407</v>
      </c>
      <c r="O416" s="518" t="s">
        <v>2869</v>
      </c>
      <c r="P416" s="152" t="s">
        <v>2865</v>
      </c>
      <c r="Q416" s="152" t="s">
        <v>2870</v>
      </c>
      <c r="R416" s="152" t="s">
        <v>3102</v>
      </c>
      <c r="S416" s="152" t="s">
        <v>2872</v>
      </c>
      <c r="T416" s="152" t="s">
        <v>786</v>
      </c>
    </row>
    <row r="417" spans="3:20">
      <c r="C417" s="152" t="s">
        <v>2821</v>
      </c>
      <c r="D417" s="152"/>
      <c r="F417" s="474" t="s">
        <v>371</v>
      </c>
      <c r="G417" s="210" t="s">
        <v>353</v>
      </c>
      <c r="H417" s="210"/>
      <c r="I417" s="513">
        <v>4403000</v>
      </c>
      <c r="J417" s="513">
        <v>2975</v>
      </c>
      <c r="K417" s="513">
        <v>1480</v>
      </c>
      <c r="L417" s="513" t="s">
        <v>2859</v>
      </c>
      <c r="M417" s="513" t="s">
        <v>780</v>
      </c>
      <c r="N417" s="513" t="s">
        <v>1407</v>
      </c>
      <c r="O417" s="518" t="s">
        <v>2878</v>
      </c>
      <c r="P417" s="152" t="s">
        <v>2865</v>
      </c>
      <c r="Q417" s="152" t="s">
        <v>2879</v>
      </c>
      <c r="R417" s="152" t="s">
        <v>3103</v>
      </c>
      <c r="S417" s="152" t="s">
        <v>2881</v>
      </c>
      <c r="T417" s="152" t="s">
        <v>786</v>
      </c>
    </row>
    <row r="418" spans="3:20">
      <c r="C418" s="152" t="s">
        <v>2821</v>
      </c>
      <c r="D418" s="152"/>
      <c r="F418" s="474" t="s">
        <v>371</v>
      </c>
      <c r="G418" s="210" t="s">
        <v>353</v>
      </c>
      <c r="H418" s="210"/>
      <c r="I418" s="513">
        <v>-154112.4</v>
      </c>
      <c r="J418" s="513">
        <v>-104.13</v>
      </c>
      <c r="K418" s="513">
        <v>1480</v>
      </c>
      <c r="L418" s="513" t="s">
        <v>2859</v>
      </c>
      <c r="M418" s="513" t="s">
        <v>780</v>
      </c>
      <c r="N418" s="513" t="s">
        <v>1407</v>
      </c>
      <c r="O418" s="518" t="s">
        <v>2869</v>
      </c>
      <c r="P418" s="152" t="s">
        <v>2865</v>
      </c>
      <c r="Q418" s="152" t="s">
        <v>2870</v>
      </c>
      <c r="R418" s="152" t="s">
        <v>3104</v>
      </c>
      <c r="S418" s="152" t="s">
        <v>2872</v>
      </c>
      <c r="T418" s="152" t="s">
        <v>786</v>
      </c>
    </row>
    <row r="419" spans="3:20">
      <c r="C419" s="152" t="s">
        <v>2821</v>
      </c>
      <c r="D419" s="152"/>
      <c r="F419" s="474" t="s">
        <v>371</v>
      </c>
      <c r="G419" s="210" t="s">
        <v>353</v>
      </c>
      <c r="H419" s="210"/>
      <c r="I419" s="513">
        <v>1010625</v>
      </c>
      <c r="J419" s="513">
        <v>687.5</v>
      </c>
      <c r="K419" s="513">
        <v>1470</v>
      </c>
      <c r="L419" s="513" t="s">
        <v>2835</v>
      </c>
      <c r="M419" s="513" t="s">
        <v>780</v>
      </c>
      <c r="N419" s="513" t="s">
        <v>1407</v>
      </c>
      <c r="O419" s="518" t="s">
        <v>2836</v>
      </c>
      <c r="P419" s="152" t="s">
        <v>892</v>
      </c>
      <c r="Q419" s="152" t="s">
        <v>2837</v>
      </c>
      <c r="R419" s="152" t="s">
        <v>3105</v>
      </c>
      <c r="S419" s="152" t="s">
        <v>2839</v>
      </c>
      <c r="T419" s="152" t="s">
        <v>786</v>
      </c>
    </row>
    <row r="420" spans="3:20">
      <c r="C420" s="152" t="s">
        <v>2821</v>
      </c>
      <c r="D420" s="152"/>
      <c r="F420" s="474" t="s">
        <v>371</v>
      </c>
      <c r="G420" s="210" t="s">
        <v>353</v>
      </c>
      <c r="H420" s="210"/>
      <c r="I420" s="513">
        <v>-29400000</v>
      </c>
      <c r="J420" s="513">
        <v>-20000</v>
      </c>
      <c r="K420" s="513">
        <v>1470</v>
      </c>
      <c r="L420" s="513" t="s">
        <v>2835</v>
      </c>
      <c r="M420" s="513" t="s">
        <v>780</v>
      </c>
      <c r="N420" s="513" t="s">
        <v>1407</v>
      </c>
      <c r="O420" s="518" t="s">
        <v>3106</v>
      </c>
      <c r="P420" s="152" t="s">
        <v>892</v>
      </c>
      <c r="Q420" s="152" t="s">
        <v>3107</v>
      </c>
      <c r="R420" s="152" t="s">
        <v>3108</v>
      </c>
      <c r="S420" s="152" t="s">
        <v>3109</v>
      </c>
      <c r="T420" s="152" t="s">
        <v>786</v>
      </c>
    </row>
    <row r="421" spans="3:20">
      <c r="C421" s="152" t="s">
        <v>2821</v>
      </c>
      <c r="D421" s="152"/>
      <c r="F421" s="474" t="s">
        <v>371</v>
      </c>
      <c r="G421" s="210" t="s">
        <v>353</v>
      </c>
      <c r="H421" s="210"/>
      <c r="I421" s="513">
        <v>-112480</v>
      </c>
      <c r="J421" s="513">
        <v>-76</v>
      </c>
      <c r="K421" s="513">
        <v>1480</v>
      </c>
      <c r="L421" s="513" t="s">
        <v>2859</v>
      </c>
      <c r="M421" s="513" t="s">
        <v>780</v>
      </c>
      <c r="N421" s="513" t="s">
        <v>1407</v>
      </c>
      <c r="O421" s="518" t="s">
        <v>2869</v>
      </c>
      <c r="P421" s="152" t="s">
        <v>2865</v>
      </c>
      <c r="Q421" s="152" t="s">
        <v>2870</v>
      </c>
      <c r="R421" s="152" t="s">
        <v>3126</v>
      </c>
      <c r="S421" s="152" t="s">
        <v>2872</v>
      </c>
      <c r="T421" s="152" t="s">
        <v>786</v>
      </c>
    </row>
    <row r="422" spans="3:20">
      <c r="C422" s="152" t="s">
        <v>2821</v>
      </c>
      <c r="D422" s="152"/>
      <c r="F422" s="474" t="s">
        <v>371</v>
      </c>
      <c r="G422" s="210" t="s">
        <v>353</v>
      </c>
      <c r="H422" s="210"/>
      <c r="I422" s="513">
        <v>-136160</v>
      </c>
      <c r="J422" s="513">
        <v>-92</v>
      </c>
      <c r="K422" s="513">
        <v>1480</v>
      </c>
      <c r="L422" s="513" t="s">
        <v>2859</v>
      </c>
      <c r="M422" s="513" t="s">
        <v>780</v>
      </c>
      <c r="N422" s="513" t="s">
        <v>1407</v>
      </c>
      <c r="O422" s="518" t="s">
        <v>2869</v>
      </c>
      <c r="P422" s="152" t="s">
        <v>2865</v>
      </c>
      <c r="Q422" s="152" t="s">
        <v>2870</v>
      </c>
      <c r="R422" s="152" t="s">
        <v>3127</v>
      </c>
      <c r="S422" s="152" t="s">
        <v>2872</v>
      </c>
      <c r="T422" s="152" t="s">
        <v>786</v>
      </c>
    </row>
    <row r="423" spans="3:20">
      <c r="C423" s="152" t="s">
        <v>2821</v>
      </c>
      <c r="D423" s="152"/>
      <c r="F423" s="474" t="s">
        <v>371</v>
      </c>
      <c r="G423" s="210" t="s">
        <v>353</v>
      </c>
      <c r="H423" s="210"/>
      <c r="I423" s="513">
        <v>-115440</v>
      </c>
      <c r="J423" s="513">
        <v>-78</v>
      </c>
      <c r="K423" s="513">
        <v>1480</v>
      </c>
      <c r="L423" s="513" t="s">
        <v>2859</v>
      </c>
      <c r="M423" s="513" t="s">
        <v>780</v>
      </c>
      <c r="N423" s="513" t="s">
        <v>1407</v>
      </c>
      <c r="O423" s="518" t="s">
        <v>2869</v>
      </c>
      <c r="P423" s="152" t="s">
        <v>2865</v>
      </c>
      <c r="Q423" s="152" t="s">
        <v>2870</v>
      </c>
      <c r="R423" s="152" t="s">
        <v>3128</v>
      </c>
      <c r="S423" s="152" t="s">
        <v>2872</v>
      </c>
      <c r="T423" s="152" t="s">
        <v>786</v>
      </c>
    </row>
    <row r="424" spans="3:20">
      <c r="C424" s="152" t="s">
        <v>2821</v>
      </c>
      <c r="D424" s="152"/>
      <c r="F424" s="474" t="s">
        <v>371</v>
      </c>
      <c r="G424" s="210" t="s">
        <v>353</v>
      </c>
      <c r="H424" s="210"/>
      <c r="I424" s="513">
        <v>-115440</v>
      </c>
      <c r="J424" s="513">
        <v>-78</v>
      </c>
      <c r="K424" s="513">
        <v>1480</v>
      </c>
      <c r="L424" s="513" t="s">
        <v>2859</v>
      </c>
      <c r="M424" s="513" t="s">
        <v>780</v>
      </c>
      <c r="N424" s="513" t="s">
        <v>1407</v>
      </c>
      <c r="O424" s="518" t="s">
        <v>2869</v>
      </c>
      <c r="P424" s="152" t="s">
        <v>2865</v>
      </c>
      <c r="Q424" s="152" t="s">
        <v>2870</v>
      </c>
      <c r="R424" s="152" t="s">
        <v>3129</v>
      </c>
      <c r="S424" s="152" t="s">
        <v>2872</v>
      </c>
      <c r="T424" s="152" t="s">
        <v>786</v>
      </c>
    </row>
    <row r="425" spans="3:20">
      <c r="C425" s="152" t="s">
        <v>2821</v>
      </c>
      <c r="D425" s="152"/>
      <c r="F425" s="474" t="s">
        <v>371</v>
      </c>
      <c r="G425" s="210" t="s">
        <v>353</v>
      </c>
      <c r="H425" s="210"/>
      <c r="I425" s="513">
        <v>-115440</v>
      </c>
      <c r="J425" s="513">
        <v>-78</v>
      </c>
      <c r="K425" s="513">
        <v>1480</v>
      </c>
      <c r="L425" s="513" t="s">
        <v>2859</v>
      </c>
      <c r="M425" s="513" t="s">
        <v>780</v>
      </c>
      <c r="N425" s="513" t="s">
        <v>1407</v>
      </c>
      <c r="O425" s="518" t="s">
        <v>2869</v>
      </c>
      <c r="P425" s="152" t="s">
        <v>2865</v>
      </c>
      <c r="Q425" s="152" t="s">
        <v>2870</v>
      </c>
      <c r="R425" s="152" t="s">
        <v>3130</v>
      </c>
      <c r="S425" s="152" t="s">
        <v>2872</v>
      </c>
      <c r="T425" s="152" t="s">
        <v>786</v>
      </c>
    </row>
    <row r="426" spans="3:20">
      <c r="C426" s="152" t="s">
        <v>2821</v>
      </c>
      <c r="D426" s="152"/>
      <c r="F426" s="474" t="s">
        <v>371</v>
      </c>
      <c r="G426" s="210" t="s">
        <v>353</v>
      </c>
      <c r="H426" s="210"/>
      <c r="I426" s="513">
        <v>-311939.59999999998</v>
      </c>
      <c r="J426" s="513">
        <v>-210.77</v>
      </c>
      <c r="K426" s="513">
        <v>1480</v>
      </c>
      <c r="L426" s="513" t="s">
        <v>2859</v>
      </c>
      <c r="M426" s="513" t="s">
        <v>780</v>
      </c>
      <c r="N426" s="513" t="s">
        <v>1407</v>
      </c>
      <c r="O426" s="518" t="s">
        <v>2869</v>
      </c>
      <c r="P426" s="152" t="s">
        <v>2865</v>
      </c>
      <c r="Q426" s="152" t="s">
        <v>2870</v>
      </c>
      <c r="R426" s="152" t="s">
        <v>3136</v>
      </c>
      <c r="S426" s="152" t="s">
        <v>2872</v>
      </c>
      <c r="T426" s="152" t="s">
        <v>786</v>
      </c>
    </row>
    <row r="427" spans="3:20">
      <c r="C427" s="152" t="s">
        <v>2821</v>
      </c>
      <c r="D427" s="152"/>
      <c r="F427" s="474" t="s">
        <v>371</v>
      </c>
      <c r="G427" s="210" t="s">
        <v>353</v>
      </c>
      <c r="H427" s="210"/>
      <c r="I427" s="513">
        <v>3796200</v>
      </c>
      <c r="J427" s="513">
        <v>2565</v>
      </c>
      <c r="K427" s="513">
        <v>1480</v>
      </c>
      <c r="L427" s="513" t="s">
        <v>2859</v>
      </c>
      <c r="M427" s="513" t="s">
        <v>1540</v>
      </c>
      <c r="N427" s="513" t="s">
        <v>1407</v>
      </c>
      <c r="O427" s="518" t="s">
        <v>3277</v>
      </c>
      <c r="P427" s="152" t="s">
        <v>1832</v>
      </c>
      <c r="Q427" s="152" t="s">
        <v>3278</v>
      </c>
      <c r="R427" s="152" t="s">
        <v>3278</v>
      </c>
      <c r="S427" s="152" t="s">
        <v>3279</v>
      </c>
      <c r="T427" s="152" t="s">
        <v>786</v>
      </c>
    </row>
    <row r="428" spans="3:20">
      <c r="C428" s="152" t="s">
        <v>2821</v>
      </c>
      <c r="D428" s="152"/>
      <c r="F428" s="474" t="s">
        <v>371</v>
      </c>
      <c r="G428" s="210" t="s">
        <v>353</v>
      </c>
      <c r="H428" s="210"/>
      <c r="I428" s="513">
        <v>4440000</v>
      </c>
      <c r="J428" s="513">
        <v>3000</v>
      </c>
      <c r="K428" s="513">
        <v>1480</v>
      </c>
      <c r="L428" s="513" t="s">
        <v>2859</v>
      </c>
      <c r="M428" s="513" t="s">
        <v>1540</v>
      </c>
      <c r="N428" s="513" t="s">
        <v>1407</v>
      </c>
      <c r="O428" s="518" t="s">
        <v>3280</v>
      </c>
      <c r="P428" s="152" t="s">
        <v>1832</v>
      </c>
      <c r="Q428" s="152" t="s">
        <v>3281</v>
      </c>
      <c r="R428" s="152" t="s">
        <v>3281</v>
      </c>
      <c r="S428" s="152" t="s">
        <v>3282</v>
      </c>
      <c r="T428" s="152" t="s">
        <v>786</v>
      </c>
    </row>
    <row r="429" spans="3:20">
      <c r="C429" s="152" t="s">
        <v>2821</v>
      </c>
      <c r="D429" s="152"/>
      <c r="F429" s="474" t="s">
        <v>371</v>
      </c>
      <c r="G429" s="210" t="s">
        <v>353</v>
      </c>
      <c r="H429" s="210"/>
      <c r="I429" s="513">
        <v>2960000</v>
      </c>
      <c r="J429" s="513">
        <v>2000</v>
      </c>
      <c r="K429" s="513">
        <v>1480</v>
      </c>
      <c r="L429" s="513" t="s">
        <v>2859</v>
      </c>
      <c r="M429" s="513" t="s">
        <v>1540</v>
      </c>
      <c r="N429" s="513" t="s">
        <v>1407</v>
      </c>
      <c r="O429" s="518" t="s">
        <v>3283</v>
      </c>
      <c r="P429" s="152" t="s">
        <v>1832</v>
      </c>
      <c r="Q429" s="152" t="s">
        <v>3284</v>
      </c>
      <c r="R429" s="152" t="s">
        <v>3284</v>
      </c>
      <c r="S429" s="152" t="s">
        <v>3285</v>
      </c>
      <c r="T429" s="152" t="s">
        <v>786</v>
      </c>
    </row>
    <row r="430" spans="3:20">
      <c r="C430" s="152" t="s">
        <v>2821</v>
      </c>
      <c r="D430" s="152"/>
      <c r="F430" s="474" t="s">
        <v>371</v>
      </c>
      <c r="G430" s="210" t="s">
        <v>353</v>
      </c>
      <c r="H430" s="210"/>
      <c r="I430" s="513">
        <v>3324820</v>
      </c>
      <c r="J430" s="513">
        <v>2246.5</v>
      </c>
      <c r="K430" s="513">
        <v>1480</v>
      </c>
      <c r="L430" s="513" t="s">
        <v>2859</v>
      </c>
      <c r="M430" s="513" t="s">
        <v>1540</v>
      </c>
      <c r="N430" s="513" t="s">
        <v>1407</v>
      </c>
      <c r="O430" s="518" t="s">
        <v>3286</v>
      </c>
      <c r="P430" s="152" t="s">
        <v>1832</v>
      </c>
      <c r="Q430" s="152" t="s">
        <v>3287</v>
      </c>
      <c r="R430" s="152" t="s">
        <v>3287</v>
      </c>
      <c r="S430" s="152" t="s">
        <v>3288</v>
      </c>
      <c r="T430" s="152" t="s">
        <v>786</v>
      </c>
    </row>
    <row r="431" spans="3:20">
      <c r="C431" s="152" t="s">
        <v>2821</v>
      </c>
      <c r="D431" s="152"/>
      <c r="F431" s="474" t="s">
        <v>371</v>
      </c>
      <c r="G431" s="210" t="s">
        <v>353</v>
      </c>
      <c r="H431" s="210"/>
      <c r="I431" s="513">
        <v>3094680</v>
      </c>
      <c r="J431" s="513">
        <v>2091</v>
      </c>
      <c r="K431" s="513">
        <v>1480</v>
      </c>
      <c r="L431" s="513" t="s">
        <v>2859</v>
      </c>
      <c r="M431" s="513" t="s">
        <v>1540</v>
      </c>
      <c r="N431" s="513" t="s">
        <v>1407</v>
      </c>
      <c r="O431" s="518" t="s">
        <v>3289</v>
      </c>
      <c r="P431" s="152" t="s">
        <v>1832</v>
      </c>
      <c r="Q431" s="152" t="s">
        <v>3290</v>
      </c>
      <c r="R431" s="152" t="s">
        <v>3290</v>
      </c>
      <c r="S431" s="152" t="s">
        <v>3291</v>
      </c>
      <c r="T431" s="152" t="s">
        <v>786</v>
      </c>
    </row>
    <row r="432" spans="3:20">
      <c r="C432" s="152" t="s">
        <v>2821</v>
      </c>
      <c r="D432" s="152"/>
      <c r="F432" s="474" t="s">
        <v>371</v>
      </c>
      <c r="G432" s="210" t="s">
        <v>353</v>
      </c>
      <c r="H432" s="210"/>
      <c r="I432" s="513">
        <v>3264880</v>
      </c>
      <c r="J432" s="513">
        <v>2206</v>
      </c>
      <c r="K432" s="513">
        <v>1480</v>
      </c>
      <c r="L432" s="513" t="s">
        <v>2859</v>
      </c>
      <c r="M432" s="513" t="s">
        <v>1540</v>
      </c>
      <c r="N432" s="513" t="s">
        <v>1407</v>
      </c>
      <c r="O432" s="518" t="s">
        <v>3292</v>
      </c>
      <c r="P432" s="152" t="s">
        <v>1832</v>
      </c>
      <c r="Q432" s="152" t="s">
        <v>3293</v>
      </c>
      <c r="R432" s="152" t="s">
        <v>3293</v>
      </c>
      <c r="S432" s="152" t="s">
        <v>3294</v>
      </c>
      <c r="T432" s="152" t="s">
        <v>786</v>
      </c>
    </row>
    <row r="433" spans="3:20">
      <c r="C433" s="152" t="s">
        <v>2821</v>
      </c>
      <c r="D433" s="152"/>
      <c r="F433" s="474" t="s">
        <v>371</v>
      </c>
      <c r="G433" s="210" t="s">
        <v>353</v>
      </c>
      <c r="H433" s="210"/>
      <c r="I433" s="513">
        <v>3248600</v>
      </c>
      <c r="J433" s="513">
        <v>2195</v>
      </c>
      <c r="K433" s="513">
        <v>1480</v>
      </c>
      <c r="L433" s="513" t="s">
        <v>2859</v>
      </c>
      <c r="M433" s="513" t="s">
        <v>1540</v>
      </c>
      <c r="N433" s="513" t="s">
        <v>1407</v>
      </c>
      <c r="O433" s="518" t="s">
        <v>3295</v>
      </c>
      <c r="P433" s="152" t="s">
        <v>1832</v>
      </c>
      <c r="Q433" s="152" t="s">
        <v>3296</v>
      </c>
      <c r="R433" s="152" t="s">
        <v>3296</v>
      </c>
      <c r="S433" s="152" t="s">
        <v>3297</v>
      </c>
      <c r="T433" s="152" t="s">
        <v>786</v>
      </c>
    </row>
    <row r="434" spans="3:20">
      <c r="C434" s="152" t="s">
        <v>2821</v>
      </c>
      <c r="D434" s="152"/>
      <c r="F434" s="474" t="s">
        <v>371</v>
      </c>
      <c r="G434" s="210" t="s">
        <v>353</v>
      </c>
      <c r="H434" s="210"/>
      <c r="I434" s="513">
        <v>5209600</v>
      </c>
      <c r="J434" s="513">
        <v>3520</v>
      </c>
      <c r="K434" s="513">
        <v>1480</v>
      </c>
      <c r="L434" s="513" t="s">
        <v>2859</v>
      </c>
      <c r="M434" s="513" t="s">
        <v>1540</v>
      </c>
      <c r="N434" s="513" t="s">
        <v>1407</v>
      </c>
      <c r="O434" s="518" t="s">
        <v>3298</v>
      </c>
      <c r="P434" s="152" t="s">
        <v>1832</v>
      </c>
      <c r="Q434" s="152" t="s">
        <v>3299</v>
      </c>
      <c r="R434" s="152" t="s">
        <v>3299</v>
      </c>
      <c r="S434" s="152" t="s">
        <v>3300</v>
      </c>
      <c r="T434" s="152" t="s">
        <v>786</v>
      </c>
    </row>
    <row r="435" spans="3:20">
      <c r="C435" s="152" t="s">
        <v>2821</v>
      </c>
      <c r="D435" s="152"/>
      <c r="F435" s="474" t="s">
        <v>371</v>
      </c>
      <c r="G435" s="210" t="s">
        <v>353</v>
      </c>
      <c r="H435" s="210"/>
      <c r="I435" s="513">
        <v>1659080</v>
      </c>
      <c r="J435" s="513">
        <v>1121</v>
      </c>
      <c r="K435" s="513">
        <v>1480</v>
      </c>
      <c r="L435" s="513" t="s">
        <v>2859</v>
      </c>
      <c r="M435" s="513" t="s">
        <v>1540</v>
      </c>
      <c r="N435" s="513" t="s">
        <v>1407</v>
      </c>
      <c r="O435" s="518" t="s">
        <v>3301</v>
      </c>
      <c r="P435" s="152" t="s">
        <v>1832</v>
      </c>
      <c r="Q435" s="152" t="s">
        <v>3302</v>
      </c>
      <c r="R435" s="152" t="s">
        <v>3302</v>
      </c>
      <c r="S435" s="152" t="s">
        <v>3303</v>
      </c>
      <c r="T435" s="152" t="s">
        <v>786</v>
      </c>
    </row>
    <row r="436" spans="3:20">
      <c r="C436" s="152" t="s">
        <v>2821</v>
      </c>
      <c r="D436" s="152"/>
      <c r="F436" s="474" t="s">
        <v>371</v>
      </c>
      <c r="G436" s="210" t="s">
        <v>353</v>
      </c>
      <c r="H436" s="210"/>
      <c r="I436" s="513">
        <v>2097160</v>
      </c>
      <c r="J436" s="513">
        <v>1417</v>
      </c>
      <c r="K436" s="513">
        <v>1480</v>
      </c>
      <c r="L436" s="513" t="s">
        <v>2859</v>
      </c>
      <c r="M436" s="513" t="s">
        <v>1540</v>
      </c>
      <c r="N436" s="513" t="s">
        <v>1407</v>
      </c>
      <c r="O436" s="518" t="s">
        <v>3304</v>
      </c>
      <c r="P436" s="152" t="s">
        <v>1832</v>
      </c>
      <c r="Q436" s="152" t="s">
        <v>3305</v>
      </c>
      <c r="R436" s="152" t="s">
        <v>3305</v>
      </c>
      <c r="S436" s="152" t="s">
        <v>3306</v>
      </c>
      <c r="T436" s="152" t="s">
        <v>786</v>
      </c>
    </row>
    <row r="437" spans="3:20">
      <c r="C437" s="152" t="s">
        <v>2821</v>
      </c>
      <c r="D437" s="152"/>
      <c r="F437" s="474" t="s">
        <v>372</v>
      </c>
      <c r="G437" s="210" t="s">
        <v>309</v>
      </c>
      <c r="H437" s="210"/>
      <c r="I437" s="513">
        <v>370000</v>
      </c>
      <c r="J437" s="513">
        <v>250</v>
      </c>
      <c r="K437" s="513">
        <v>1480</v>
      </c>
      <c r="L437" s="513" t="s">
        <v>2827</v>
      </c>
      <c r="M437" s="513" t="s">
        <v>1540</v>
      </c>
      <c r="N437" s="513" t="s">
        <v>1272</v>
      </c>
      <c r="O437" s="518" t="s">
        <v>3265</v>
      </c>
      <c r="P437" s="152" t="s">
        <v>1832</v>
      </c>
      <c r="Q437" s="152" t="s">
        <v>3266</v>
      </c>
      <c r="R437" s="152" t="s">
        <v>3266</v>
      </c>
      <c r="S437" s="152" t="s">
        <v>3267</v>
      </c>
      <c r="T437" s="152" t="s">
        <v>786</v>
      </c>
    </row>
    <row r="438" spans="3:20">
      <c r="C438" s="152" t="s">
        <v>2821</v>
      </c>
      <c r="D438" s="152"/>
      <c r="F438" s="474" t="s">
        <v>372</v>
      </c>
      <c r="G438" s="210" t="s">
        <v>309</v>
      </c>
      <c r="H438" s="210"/>
      <c r="I438" s="513">
        <v>-370000</v>
      </c>
      <c r="J438" s="513">
        <v>-250</v>
      </c>
      <c r="K438" s="513">
        <v>1480</v>
      </c>
      <c r="L438" s="513" t="s">
        <v>2827</v>
      </c>
      <c r="M438" s="513" t="s">
        <v>1540</v>
      </c>
      <c r="N438" s="513" t="s">
        <v>1272</v>
      </c>
      <c r="O438" s="518" t="s">
        <v>3268</v>
      </c>
      <c r="P438" s="152" t="s">
        <v>1832</v>
      </c>
      <c r="Q438" s="152" t="s">
        <v>3269</v>
      </c>
      <c r="R438" s="152" t="s">
        <v>3269</v>
      </c>
      <c r="S438" s="152" t="s">
        <v>3270</v>
      </c>
      <c r="T438" s="152" t="s">
        <v>786</v>
      </c>
    </row>
    <row r="439" spans="3:20">
      <c r="C439" s="152" t="s">
        <v>2821</v>
      </c>
      <c r="D439" s="152"/>
      <c r="F439" s="474" t="s">
        <v>372</v>
      </c>
      <c r="G439" s="210" t="s">
        <v>309</v>
      </c>
      <c r="H439" s="210"/>
      <c r="I439" s="513">
        <v>-303592.40000000002</v>
      </c>
      <c r="J439" s="513">
        <v>-205.13</v>
      </c>
      <c r="K439" s="513">
        <v>1480</v>
      </c>
      <c r="L439" s="513" t="s">
        <v>2827</v>
      </c>
      <c r="M439" s="513" t="s">
        <v>780</v>
      </c>
      <c r="N439" s="513" t="s">
        <v>1407</v>
      </c>
      <c r="O439" s="518" t="s">
        <v>2828</v>
      </c>
      <c r="P439" s="152" t="s">
        <v>892</v>
      </c>
      <c r="Q439" s="152" t="s">
        <v>2829</v>
      </c>
      <c r="R439" s="152" t="s">
        <v>2830</v>
      </c>
      <c r="S439" s="152" t="s">
        <v>2831</v>
      </c>
      <c r="T439" s="152" t="s">
        <v>786</v>
      </c>
    </row>
    <row r="440" spans="3:20">
      <c r="C440" s="152" t="s">
        <v>2821</v>
      </c>
      <c r="D440" s="152"/>
      <c r="F440" s="474" t="s">
        <v>372</v>
      </c>
      <c r="G440" s="210" t="s">
        <v>309</v>
      </c>
      <c r="H440" s="210"/>
      <c r="I440" s="513">
        <v>-202271.6</v>
      </c>
      <c r="J440" s="513">
        <v>-136.66999999999999</v>
      </c>
      <c r="K440" s="513">
        <v>1480</v>
      </c>
      <c r="L440" s="513" t="s">
        <v>2827</v>
      </c>
      <c r="M440" s="513" t="s">
        <v>780</v>
      </c>
      <c r="N440" s="513" t="s">
        <v>1407</v>
      </c>
      <c r="O440" s="518" t="s">
        <v>2828</v>
      </c>
      <c r="P440" s="152" t="s">
        <v>892</v>
      </c>
      <c r="Q440" s="152" t="s">
        <v>2829</v>
      </c>
      <c r="R440" s="152" t="s">
        <v>2832</v>
      </c>
      <c r="S440" s="152" t="s">
        <v>2831</v>
      </c>
      <c r="T440" s="152" t="s">
        <v>786</v>
      </c>
    </row>
    <row r="441" spans="3:20">
      <c r="C441" s="152" t="s">
        <v>2821</v>
      </c>
      <c r="D441" s="152"/>
      <c r="F441" s="474" t="s">
        <v>372</v>
      </c>
      <c r="G441" s="210" t="s">
        <v>309</v>
      </c>
      <c r="H441" s="210"/>
      <c r="I441" s="513">
        <v>-4630500</v>
      </c>
      <c r="J441" s="513">
        <v>-3150</v>
      </c>
      <c r="K441" s="513">
        <v>1470</v>
      </c>
      <c r="L441" s="513" t="s">
        <v>2827</v>
      </c>
      <c r="M441" s="513" t="s">
        <v>780</v>
      </c>
      <c r="N441" s="513" t="s">
        <v>1407</v>
      </c>
      <c r="O441" s="518" t="s">
        <v>2828</v>
      </c>
      <c r="P441" s="152" t="s">
        <v>892</v>
      </c>
      <c r="Q441" s="152" t="s">
        <v>2829</v>
      </c>
      <c r="R441" s="152" t="s">
        <v>2833</v>
      </c>
      <c r="S441" s="152" t="s">
        <v>2831</v>
      </c>
      <c r="T441" s="152" t="s">
        <v>786</v>
      </c>
    </row>
    <row r="442" spans="3:20">
      <c r="C442" s="152" t="s">
        <v>2821</v>
      </c>
      <c r="D442" s="152"/>
      <c r="F442" s="474" t="s">
        <v>372</v>
      </c>
      <c r="G442" s="210" t="s">
        <v>309</v>
      </c>
      <c r="H442" s="210"/>
      <c r="I442" s="513">
        <v>-158304.29999999999</v>
      </c>
      <c r="J442" s="513">
        <v>-107.69</v>
      </c>
      <c r="K442" s="513">
        <v>1470</v>
      </c>
      <c r="L442" s="513" t="s">
        <v>2899</v>
      </c>
      <c r="M442" s="513" t="s">
        <v>780</v>
      </c>
      <c r="N442" s="513" t="s">
        <v>1407</v>
      </c>
      <c r="O442" s="518" t="s">
        <v>2900</v>
      </c>
      <c r="P442" s="152" t="s">
        <v>892</v>
      </c>
      <c r="Q442" s="152" t="s">
        <v>2901</v>
      </c>
      <c r="R442" s="152" t="s">
        <v>2902</v>
      </c>
      <c r="S442" s="152" t="s">
        <v>2903</v>
      </c>
      <c r="T442" s="152" t="s">
        <v>786</v>
      </c>
    </row>
    <row r="443" spans="3:20">
      <c r="C443" s="152" t="s">
        <v>2821</v>
      </c>
      <c r="D443" s="152"/>
      <c r="F443" s="474" t="s">
        <v>372</v>
      </c>
      <c r="G443" s="210" t="s">
        <v>309</v>
      </c>
      <c r="H443" s="210"/>
      <c r="I443" s="513">
        <v>-19195.599999999999</v>
      </c>
      <c r="J443" s="513">
        <v>-12.97</v>
      </c>
      <c r="K443" s="513">
        <v>1480</v>
      </c>
      <c r="L443" s="513" t="s">
        <v>2827</v>
      </c>
      <c r="M443" s="513" t="s">
        <v>780</v>
      </c>
      <c r="N443" s="513" t="s">
        <v>1407</v>
      </c>
      <c r="O443" s="518" t="s">
        <v>2828</v>
      </c>
      <c r="P443" s="152" t="s">
        <v>892</v>
      </c>
      <c r="Q443" s="152" t="s">
        <v>2829</v>
      </c>
      <c r="R443" s="152" t="s">
        <v>2904</v>
      </c>
      <c r="S443" s="152" t="s">
        <v>2831</v>
      </c>
      <c r="T443" s="152" t="s">
        <v>786</v>
      </c>
    </row>
    <row r="444" spans="3:20">
      <c r="C444" s="152" t="s">
        <v>2821</v>
      </c>
      <c r="D444" s="152"/>
      <c r="F444" s="474" t="s">
        <v>372</v>
      </c>
      <c r="G444" s="210" t="s">
        <v>309</v>
      </c>
      <c r="H444" s="210"/>
      <c r="I444" s="513">
        <v>-276094</v>
      </c>
      <c r="J444" s="513">
        <v>-186.55</v>
      </c>
      <c r="K444" s="513">
        <v>1480</v>
      </c>
      <c r="L444" s="513" t="s">
        <v>2827</v>
      </c>
      <c r="M444" s="513" t="s">
        <v>780</v>
      </c>
      <c r="N444" s="513" t="s">
        <v>1407</v>
      </c>
      <c r="O444" s="518" t="s">
        <v>2828</v>
      </c>
      <c r="P444" s="152" t="s">
        <v>892</v>
      </c>
      <c r="Q444" s="152" t="s">
        <v>2829</v>
      </c>
      <c r="R444" s="152" t="s">
        <v>2905</v>
      </c>
      <c r="S444" s="152" t="s">
        <v>2831</v>
      </c>
      <c r="T444" s="152" t="s">
        <v>786</v>
      </c>
    </row>
    <row r="445" spans="3:20">
      <c r="C445" s="152" t="s">
        <v>2821</v>
      </c>
      <c r="D445" s="152"/>
      <c r="F445" s="474" t="s">
        <v>372</v>
      </c>
      <c r="G445" s="210" t="s">
        <v>309</v>
      </c>
      <c r="H445" s="210"/>
      <c r="I445" s="513">
        <v>-201605.6</v>
      </c>
      <c r="J445" s="513">
        <v>-136.22</v>
      </c>
      <c r="K445" s="513">
        <v>1480</v>
      </c>
      <c r="L445" s="513" t="s">
        <v>2827</v>
      </c>
      <c r="M445" s="513" t="s">
        <v>780</v>
      </c>
      <c r="N445" s="513" t="s">
        <v>1407</v>
      </c>
      <c r="O445" s="518" t="s">
        <v>2828</v>
      </c>
      <c r="P445" s="152" t="s">
        <v>892</v>
      </c>
      <c r="Q445" s="152" t="s">
        <v>2829</v>
      </c>
      <c r="R445" s="152" t="s">
        <v>2906</v>
      </c>
      <c r="S445" s="152" t="s">
        <v>2831</v>
      </c>
      <c r="T445" s="152" t="s">
        <v>786</v>
      </c>
    </row>
    <row r="446" spans="3:20">
      <c r="C446" s="152" t="s">
        <v>2821</v>
      </c>
      <c r="D446" s="152"/>
      <c r="F446" s="474" t="s">
        <v>372</v>
      </c>
      <c r="G446" s="210" t="s">
        <v>309</v>
      </c>
      <c r="H446" s="210"/>
      <c r="I446" s="513">
        <v>-331520</v>
      </c>
      <c r="J446" s="513">
        <v>-224</v>
      </c>
      <c r="K446" s="513">
        <v>1480</v>
      </c>
      <c r="L446" s="513" t="s">
        <v>2859</v>
      </c>
      <c r="M446" s="513" t="s">
        <v>780</v>
      </c>
      <c r="N446" s="513" t="s">
        <v>1407</v>
      </c>
      <c r="O446" s="518" t="s">
        <v>2907</v>
      </c>
      <c r="P446" s="152" t="s">
        <v>892</v>
      </c>
      <c r="Q446" s="152" t="s">
        <v>2908</v>
      </c>
      <c r="R446" s="152" t="s">
        <v>2909</v>
      </c>
      <c r="S446" s="152" t="s">
        <v>2910</v>
      </c>
      <c r="T446" s="152" t="s">
        <v>786</v>
      </c>
    </row>
    <row r="447" spans="3:20">
      <c r="C447" s="152" t="s">
        <v>2821</v>
      </c>
      <c r="D447" s="152"/>
      <c r="F447" s="474" t="s">
        <v>372</v>
      </c>
      <c r="G447" s="210" t="s">
        <v>309</v>
      </c>
      <c r="H447" s="210"/>
      <c r="I447" s="513">
        <v>-162800</v>
      </c>
      <c r="J447" s="513">
        <v>-110</v>
      </c>
      <c r="K447" s="513">
        <v>1480</v>
      </c>
      <c r="L447" s="513" t="s">
        <v>2827</v>
      </c>
      <c r="M447" s="513" t="s">
        <v>780</v>
      </c>
      <c r="N447" s="513" t="s">
        <v>1407</v>
      </c>
      <c r="O447" s="518" t="s">
        <v>2828</v>
      </c>
      <c r="P447" s="152" t="s">
        <v>892</v>
      </c>
      <c r="Q447" s="152" t="s">
        <v>2829</v>
      </c>
      <c r="R447" s="152" t="s">
        <v>2911</v>
      </c>
      <c r="S447" s="152" t="s">
        <v>2831</v>
      </c>
      <c r="T447" s="152" t="s">
        <v>786</v>
      </c>
    </row>
    <row r="448" spans="3:20">
      <c r="C448" s="152" t="s">
        <v>2821</v>
      </c>
      <c r="D448" s="152"/>
      <c r="F448" s="474" t="s">
        <v>372</v>
      </c>
      <c r="G448" s="210" t="s">
        <v>309</v>
      </c>
      <c r="H448" s="210"/>
      <c r="I448" s="513">
        <v>-62145.2</v>
      </c>
      <c r="J448" s="513">
        <v>-41.99</v>
      </c>
      <c r="K448" s="513">
        <v>1480</v>
      </c>
      <c r="L448" s="513" t="s">
        <v>2827</v>
      </c>
      <c r="M448" s="513" t="s">
        <v>780</v>
      </c>
      <c r="N448" s="513" t="s">
        <v>1407</v>
      </c>
      <c r="O448" s="518" t="s">
        <v>2828</v>
      </c>
      <c r="P448" s="152" t="s">
        <v>892</v>
      </c>
      <c r="Q448" s="152" t="s">
        <v>2829</v>
      </c>
      <c r="R448" s="152" t="s">
        <v>2912</v>
      </c>
      <c r="S448" s="152" t="s">
        <v>2831</v>
      </c>
      <c r="T448" s="152" t="s">
        <v>786</v>
      </c>
    </row>
    <row r="449" spans="3:20">
      <c r="C449" s="152" t="s">
        <v>2821</v>
      </c>
      <c r="D449" s="152"/>
      <c r="F449" s="474" t="s">
        <v>372</v>
      </c>
      <c r="G449" s="210" t="s">
        <v>309</v>
      </c>
      <c r="H449" s="210"/>
      <c r="I449" s="513">
        <v>-161660.4</v>
      </c>
      <c r="J449" s="513">
        <v>-109.23</v>
      </c>
      <c r="K449" s="513">
        <v>1480</v>
      </c>
      <c r="L449" s="513" t="s">
        <v>2859</v>
      </c>
      <c r="M449" s="513" t="s">
        <v>780</v>
      </c>
      <c r="N449" s="513" t="s">
        <v>1407</v>
      </c>
      <c r="O449" s="518" t="s">
        <v>2907</v>
      </c>
      <c r="P449" s="152" t="s">
        <v>892</v>
      </c>
      <c r="Q449" s="152" t="s">
        <v>2908</v>
      </c>
      <c r="R449" s="152" t="s">
        <v>2913</v>
      </c>
      <c r="S449" s="152" t="s">
        <v>2910</v>
      </c>
      <c r="T449" s="152" t="s">
        <v>786</v>
      </c>
    </row>
    <row r="450" spans="3:20">
      <c r="C450" s="152" t="s">
        <v>2821</v>
      </c>
      <c r="D450" s="152"/>
      <c r="F450" s="474" t="s">
        <v>372</v>
      </c>
      <c r="G450" s="210" t="s">
        <v>309</v>
      </c>
      <c r="H450" s="210"/>
      <c r="I450" s="513">
        <v>-325600</v>
      </c>
      <c r="J450" s="513">
        <v>-220</v>
      </c>
      <c r="K450" s="513">
        <v>1480</v>
      </c>
      <c r="L450" s="513" t="s">
        <v>2827</v>
      </c>
      <c r="M450" s="513" t="s">
        <v>780</v>
      </c>
      <c r="N450" s="513" t="s">
        <v>1407</v>
      </c>
      <c r="O450" s="518" t="s">
        <v>2828</v>
      </c>
      <c r="P450" s="152" t="s">
        <v>892</v>
      </c>
      <c r="Q450" s="152" t="s">
        <v>2829</v>
      </c>
      <c r="R450" s="152" t="s">
        <v>2914</v>
      </c>
      <c r="S450" s="152" t="s">
        <v>2831</v>
      </c>
      <c r="T450" s="152" t="s">
        <v>786</v>
      </c>
    </row>
    <row r="451" spans="3:20">
      <c r="C451" s="152" t="s">
        <v>2821</v>
      </c>
      <c r="D451" s="152"/>
      <c r="F451" s="474" t="s">
        <v>372</v>
      </c>
      <c r="G451" s="210" t="s">
        <v>309</v>
      </c>
      <c r="H451" s="210"/>
      <c r="I451" s="513">
        <v>-451775.1</v>
      </c>
      <c r="J451" s="513">
        <v>-307.33</v>
      </c>
      <c r="K451" s="513">
        <v>1470</v>
      </c>
      <c r="L451" s="513" t="s">
        <v>2827</v>
      </c>
      <c r="M451" s="513" t="s">
        <v>780</v>
      </c>
      <c r="N451" s="513" t="s">
        <v>1407</v>
      </c>
      <c r="O451" s="518" t="s">
        <v>2828</v>
      </c>
      <c r="P451" s="152" t="s">
        <v>892</v>
      </c>
      <c r="Q451" s="152" t="s">
        <v>2829</v>
      </c>
      <c r="R451" s="152" t="s">
        <v>2915</v>
      </c>
      <c r="S451" s="152" t="s">
        <v>2831</v>
      </c>
      <c r="T451" s="152" t="s">
        <v>786</v>
      </c>
    </row>
    <row r="452" spans="3:20">
      <c r="C452" s="152" t="s">
        <v>2821</v>
      </c>
      <c r="D452" s="152"/>
      <c r="F452" s="474" t="s">
        <v>372</v>
      </c>
      <c r="G452" s="210" t="s">
        <v>309</v>
      </c>
      <c r="H452" s="210"/>
      <c r="I452" s="513">
        <v>-48810.400000000001</v>
      </c>
      <c r="J452" s="513">
        <v>-32.979999999999997</v>
      </c>
      <c r="K452" s="513">
        <v>1480</v>
      </c>
      <c r="L452" s="513" t="s">
        <v>2859</v>
      </c>
      <c r="M452" s="513" t="s">
        <v>780</v>
      </c>
      <c r="N452" s="513" t="s">
        <v>1407</v>
      </c>
      <c r="O452" s="518" t="s">
        <v>2907</v>
      </c>
      <c r="P452" s="152" t="s">
        <v>892</v>
      </c>
      <c r="Q452" s="152" t="s">
        <v>2908</v>
      </c>
      <c r="R452" s="152" t="s">
        <v>2916</v>
      </c>
      <c r="S452" s="152" t="s">
        <v>2910</v>
      </c>
      <c r="T452" s="152" t="s">
        <v>786</v>
      </c>
    </row>
    <row r="453" spans="3:20">
      <c r="C453" s="152" t="s">
        <v>2821</v>
      </c>
      <c r="D453" s="152"/>
      <c r="F453" s="474" t="s">
        <v>372</v>
      </c>
      <c r="G453" s="210" t="s">
        <v>309</v>
      </c>
      <c r="H453" s="210"/>
      <c r="I453" s="513">
        <v>-48810.400000000001</v>
      </c>
      <c r="J453" s="513">
        <v>-32.979999999999997</v>
      </c>
      <c r="K453" s="513">
        <v>1480</v>
      </c>
      <c r="L453" s="513" t="s">
        <v>2859</v>
      </c>
      <c r="M453" s="513" t="s">
        <v>780</v>
      </c>
      <c r="N453" s="513" t="s">
        <v>1407</v>
      </c>
      <c r="O453" s="518" t="s">
        <v>2907</v>
      </c>
      <c r="P453" s="152" t="s">
        <v>892</v>
      </c>
      <c r="Q453" s="152" t="s">
        <v>2908</v>
      </c>
      <c r="R453" s="152" t="s">
        <v>2916</v>
      </c>
      <c r="S453" s="152" t="s">
        <v>2910</v>
      </c>
      <c r="T453" s="152" t="s">
        <v>786</v>
      </c>
    </row>
    <row r="454" spans="3:20">
      <c r="C454" s="152" t="s">
        <v>2821</v>
      </c>
      <c r="D454" s="152"/>
      <c r="F454" s="474" t="s">
        <v>372</v>
      </c>
      <c r="G454" s="210" t="s">
        <v>309</v>
      </c>
      <c r="H454" s="210"/>
      <c r="I454" s="513">
        <v>-1489472</v>
      </c>
      <c r="J454" s="513">
        <v>-1006.4</v>
      </c>
      <c r="K454" s="513">
        <v>1480</v>
      </c>
      <c r="L454" s="513" t="s">
        <v>2827</v>
      </c>
      <c r="M454" s="513" t="s">
        <v>780</v>
      </c>
      <c r="N454" s="513" t="s">
        <v>1407</v>
      </c>
      <c r="O454" s="518" t="s">
        <v>2828</v>
      </c>
      <c r="P454" s="152" t="s">
        <v>892</v>
      </c>
      <c r="Q454" s="152" t="s">
        <v>2829</v>
      </c>
      <c r="R454" s="152" t="s">
        <v>2917</v>
      </c>
      <c r="S454" s="152" t="s">
        <v>2831</v>
      </c>
      <c r="T454" s="152" t="s">
        <v>786</v>
      </c>
    </row>
    <row r="455" spans="3:20">
      <c r="C455" s="152" t="s">
        <v>2821</v>
      </c>
      <c r="D455" s="152"/>
      <c r="F455" s="474" t="s">
        <v>372</v>
      </c>
      <c r="G455" s="210" t="s">
        <v>309</v>
      </c>
      <c r="H455" s="210"/>
      <c r="I455" s="513">
        <v>-231842</v>
      </c>
      <c r="J455" s="513">
        <v>-156.65</v>
      </c>
      <c r="K455" s="513">
        <v>1480</v>
      </c>
      <c r="L455" s="513" t="s">
        <v>2827</v>
      </c>
      <c r="M455" s="513" t="s">
        <v>780</v>
      </c>
      <c r="N455" s="513" t="s">
        <v>1407</v>
      </c>
      <c r="O455" s="518" t="s">
        <v>2828</v>
      </c>
      <c r="P455" s="152" t="s">
        <v>892</v>
      </c>
      <c r="Q455" s="152" t="s">
        <v>2829</v>
      </c>
      <c r="R455" s="152" t="s">
        <v>2918</v>
      </c>
      <c r="S455" s="152" t="s">
        <v>2831</v>
      </c>
      <c r="T455" s="152" t="s">
        <v>786</v>
      </c>
    </row>
    <row r="456" spans="3:20">
      <c r="C456" s="152" t="s">
        <v>2821</v>
      </c>
      <c r="D456" s="152"/>
      <c r="F456" s="474" t="s">
        <v>372</v>
      </c>
      <c r="G456" s="210" t="s">
        <v>309</v>
      </c>
      <c r="H456" s="210"/>
      <c r="I456" s="513">
        <v>-60191.6</v>
      </c>
      <c r="J456" s="513">
        <v>-40.67</v>
      </c>
      <c r="K456" s="513">
        <v>1480</v>
      </c>
      <c r="L456" s="513" t="s">
        <v>2827</v>
      </c>
      <c r="M456" s="513" t="s">
        <v>780</v>
      </c>
      <c r="N456" s="513" t="s">
        <v>1407</v>
      </c>
      <c r="O456" s="518" t="s">
        <v>2828</v>
      </c>
      <c r="P456" s="152" t="s">
        <v>892</v>
      </c>
      <c r="Q456" s="152" t="s">
        <v>2829</v>
      </c>
      <c r="R456" s="152" t="s">
        <v>2919</v>
      </c>
      <c r="S456" s="152" t="s">
        <v>2831</v>
      </c>
      <c r="T456" s="152" t="s">
        <v>786</v>
      </c>
    </row>
    <row r="457" spans="3:20">
      <c r="C457" s="152" t="s">
        <v>2821</v>
      </c>
      <c r="D457" s="152"/>
      <c r="F457" s="474" t="s">
        <v>372</v>
      </c>
      <c r="G457" s="210" t="s">
        <v>309</v>
      </c>
      <c r="H457" s="210"/>
      <c r="I457" s="513">
        <v>-26003.599999999999</v>
      </c>
      <c r="J457" s="513">
        <v>-17.57</v>
      </c>
      <c r="K457" s="513">
        <v>1480</v>
      </c>
      <c r="L457" s="513" t="s">
        <v>2827</v>
      </c>
      <c r="M457" s="513" t="s">
        <v>780</v>
      </c>
      <c r="N457" s="513" t="s">
        <v>1407</v>
      </c>
      <c r="O457" s="518" t="s">
        <v>2828</v>
      </c>
      <c r="P457" s="152" t="s">
        <v>892</v>
      </c>
      <c r="Q457" s="152" t="s">
        <v>2829</v>
      </c>
      <c r="R457" s="152" t="s">
        <v>2920</v>
      </c>
      <c r="S457" s="152" t="s">
        <v>2831</v>
      </c>
      <c r="T457" s="152" t="s">
        <v>786</v>
      </c>
    </row>
    <row r="458" spans="3:20">
      <c r="C458" s="152" t="s">
        <v>2821</v>
      </c>
      <c r="D458" s="152"/>
      <c r="F458" s="474" t="s">
        <v>372</v>
      </c>
      <c r="G458" s="210" t="s">
        <v>309</v>
      </c>
      <c r="H458" s="210"/>
      <c r="I458" s="513">
        <v>-180412</v>
      </c>
      <c r="J458" s="513">
        <v>-121.9</v>
      </c>
      <c r="K458" s="513">
        <v>1480</v>
      </c>
      <c r="L458" s="513" t="s">
        <v>2859</v>
      </c>
      <c r="M458" s="513" t="s">
        <v>780</v>
      </c>
      <c r="N458" s="513" t="s">
        <v>1407</v>
      </c>
      <c r="O458" s="518" t="s">
        <v>2907</v>
      </c>
      <c r="P458" s="152" t="s">
        <v>892</v>
      </c>
      <c r="Q458" s="152" t="s">
        <v>2908</v>
      </c>
      <c r="R458" s="152" t="s">
        <v>2926</v>
      </c>
      <c r="S458" s="152" t="s">
        <v>2910</v>
      </c>
      <c r="T458" s="152" t="s">
        <v>786</v>
      </c>
    </row>
    <row r="459" spans="3:20">
      <c r="C459" s="152" t="s">
        <v>2821</v>
      </c>
      <c r="D459" s="152"/>
      <c r="F459" s="474" t="s">
        <v>372</v>
      </c>
      <c r="G459" s="210" t="s">
        <v>309</v>
      </c>
      <c r="H459" s="210"/>
      <c r="I459" s="513">
        <v>-103333.6</v>
      </c>
      <c r="J459" s="513">
        <v>-69.819999999999993</v>
      </c>
      <c r="K459" s="513">
        <v>1480</v>
      </c>
      <c r="L459" s="513" t="s">
        <v>2859</v>
      </c>
      <c r="M459" s="513" t="s">
        <v>780</v>
      </c>
      <c r="N459" s="513" t="s">
        <v>1407</v>
      </c>
      <c r="O459" s="518" t="s">
        <v>2907</v>
      </c>
      <c r="P459" s="152" t="s">
        <v>892</v>
      </c>
      <c r="Q459" s="152" t="s">
        <v>2908</v>
      </c>
      <c r="R459" s="152" t="s">
        <v>2927</v>
      </c>
      <c r="S459" s="152" t="s">
        <v>2910</v>
      </c>
      <c r="T459" s="152" t="s">
        <v>786</v>
      </c>
    </row>
    <row r="460" spans="3:20">
      <c r="C460" s="152" t="s">
        <v>2821</v>
      </c>
      <c r="D460" s="152"/>
      <c r="F460" s="474" t="s">
        <v>372</v>
      </c>
      <c r="G460" s="210" t="s">
        <v>309</v>
      </c>
      <c r="H460" s="210"/>
      <c r="I460" s="513">
        <v>-198912</v>
      </c>
      <c r="J460" s="513">
        <v>-134.4</v>
      </c>
      <c r="K460" s="513">
        <v>1480</v>
      </c>
      <c r="L460" s="513" t="s">
        <v>2827</v>
      </c>
      <c r="M460" s="513" t="s">
        <v>780</v>
      </c>
      <c r="N460" s="513" t="s">
        <v>1407</v>
      </c>
      <c r="O460" s="518" t="s">
        <v>2828</v>
      </c>
      <c r="P460" s="152" t="s">
        <v>892</v>
      </c>
      <c r="Q460" s="152" t="s">
        <v>2829</v>
      </c>
      <c r="R460" s="152" t="s">
        <v>2928</v>
      </c>
      <c r="S460" s="152" t="s">
        <v>2831</v>
      </c>
      <c r="T460" s="152" t="s">
        <v>786</v>
      </c>
    </row>
    <row r="461" spans="3:20">
      <c r="C461" s="152" t="s">
        <v>2821</v>
      </c>
      <c r="D461" s="152"/>
      <c r="F461" s="474" t="s">
        <v>372</v>
      </c>
      <c r="G461" s="210" t="s">
        <v>309</v>
      </c>
      <c r="H461" s="210"/>
      <c r="I461" s="513">
        <v>-434587.2</v>
      </c>
      <c r="J461" s="513">
        <v>-293.64</v>
      </c>
      <c r="K461" s="513">
        <v>1480</v>
      </c>
      <c r="L461" s="513" t="s">
        <v>2859</v>
      </c>
      <c r="M461" s="513" t="s">
        <v>780</v>
      </c>
      <c r="N461" s="513" t="s">
        <v>1407</v>
      </c>
      <c r="O461" s="518" t="s">
        <v>2907</v>
      </c>
      <c r="P461" s="152" t="s">
        <v>892</v>
      </c>
      <c r="Q461" s="152" t="s">
        <v>2908</v>
      </c>
      <c r="R461" s="152" t="s">
        <v>2929</v>
      </c>
      <c r="S461" s="152" t="s">
        <v>2910</v>
      </c>
      <c r="T461" s="152" t="s">
        <v>786</v>
      </c>
    </row>
    <row r="462" spans="3:20">
      <c r="C462" s="152" t="s">
        <v>2821</v>
      </c>
      <c r="D462" s="152"/>
      <c r="F462" s="474" t="s">
        <v>372</v>
      </c>
      <c r="G462" s="210" t="s">
        <v>309</v>
      </c>
      <c r="H462" s="210"/>
      <c r="I462" s="513">
        <v>-106130.8</v>
      </c>
      <c r="J462" s="513">
        <v>-71.709999999999994</v>
      </c>
      <c r="K462" s="513">
        <v>1480</v>
      </c>
      <c r="L462" s="513" t="s">
        <v>2827</v>
      </c>
      <c r="M462" s="513" t="s">
        <v>780</v>
      </c>
      <c r="N462" s="513" t="s">
        <v>1407</v>
      </c>
      <c r="O462" s="518" t="s">
        <v>2828</v>
      </c>
      <c r="P462" s="152" t="s">
        <v>892</v>
      </c>
      <c r="Q462" s="152" t="s">
        <v>2829</v>
      </c>
      <c r="R462" s="152" t="s">
        <v>2930</v>
      </c>
      <c r="S462" s="152" t="s">
        <v>2831</v>
      </c>
      <c r="T462" s="152" t="s">
        <v>786</v>
      </c>
    </row>
    <row r="463" spans="3:20">
      <c r="C463" s="152" t="s">
        <v>2821</v>
      </c>
      <c r="D463" s="152"/>
      <c r="F463" s="474" t="s">
        <v>372</v>
      </c>
      <c r="G463" s="210" t="s">
        <v>309</v>
      </c>
      <c r="H463" s="210"/>
      <c r="I463" s="513">
        <v>-778006.4</v>
      </c>
      <c r="J463" s="513">
        <v>-525.67999999999995</v>
      </c>
      <c r="K463" s="513">
        <v>1480</v>
      </c>
      <c r="L463" s="513" t="s">
        <v>2827</v>
      </c>
      <c r="M463" s="513" t="s">
        <v>780</v>
      </c>
      <c r="N463" s="513" t="s">
        <v>1407</v>
      </c>
      <c r="O463" s="518" t="s">
        <v>2828</v>
      </c>
      <c r="P463" s="152" t="s">
        <v>892</v>
      </c>
      <c r="Q463" s="152" t="s">
        <v>2829</v>
      </c>
      <c r="R463" s="152" t="s">
        <v>2930</v>
      </c>
      <c r="S463" s="152" t="s">
        <v>2831</v>
      </c>
      <c r="T463" s="152" t="s">
        <v>786</v>
      </c>
    </row>
    <row r="464" spans="3:20">
      <c r="C464" s="152" t="s">
        <v>2821</v>
      </c>
      <c r="D464" s="152"/>
      <c r="F464" s="474" t="s">
        <v>372</v>
      </c>
      <c r="G464" s="210" t="s">
        <v>309</v>
      </c>
      <c r="H464" s="210"/>
      <c r="I464" s="513">
        <v>-18159.599999999999</v>
      </c>
      <c r="J464" s="513">
        <v>-12.27</v>
      </c>
      <c r="K464" s="513">
        <v>1480</v>
      </c>
      <c r="L464" s="513" t="s">
        <v>2827</v>
      </c>
      <c r="M464" s="513" t="s">
        <v>780</v>
      </c>
      <c r="N464" s="513" t="s">
        <v>1407</v>
      </c>
      <c r="O464" s="518" t="s">
        <v>2828</v>
      </c>
      <c r="P464" s="152" t="s">
        <v>892</v>
      </c>
      <c r="Q464" s="152" t="s">
        <v>2829</v>
      </c>
      <c r="R464" s="152" t="s">
        <v>2930</v>
      </c>
      <c r="S464" s="152" t="s">
        <v>2831</v>
      </c>
      <c r="T464" s="152" t="s">
        <v>786</v>
      </c>
    </row>
    <row r="465" spans="3:20">
      <c r="C465" s="152" t="s">
        <v>2821</v>
      </c>
      <c r="D465" s="152"/>
      <c r="F465" s="474" t="s">
        <v>372</v>
      </c>
      <c r="G465" s="210" t="s">
        <v>309</v>
      </c>
      <c r="H465" s="210"/>
      <c r="I465" s="513">
        <v>-29437.200000000001</v>
      </c>
      <c r="J465" s="513">
        <v>-19.89</v>
      </c>
      <c r="K465" s="513">
        <v>1480</v>
      </c>
      <c r="L465" s="513" t="s">
        <v>2827</v>
      </c>
      <c r="M465" s="513" t="s">
        <v>780</v>
      </c>
      <c r="N465" s="513" t="s">
        <v>1407</v>
      </c>
      <c r="O465" s="518" t="s">
        <v>2828</v>
      </c>
      <c r="P465" s="152" t="s">
        <v>892</v>
      </c>
      <c r="Q465" s="152" t="s">
        <v>2829</v>
      </c>
      <c r="R465" s="152" t="s">
        <v>2940</v>
      </c>
      <c r="S465" s="152" t="s">
        <v>2831</v>
      </c>
      <c r="T465" s="152" t="s">
        <v>786</v>
      </c>
    </row>
    <row r="466" spans="3:20">
      <c r="C466" s="152" t="s">
        <v>2821</v>
      </c>
      <c r="D466" s="152"/>
      <c r="F466" s="474" t="s">
        <v>372</v>
      </c>
      <c r="G466" s="210" t="s">
        <v>309</v>
      </c>
      <c r="H466" s="210"/>
      <c r="I466" s="513">
        <v>-15865.6</v>
      </c>
      <c r="J466" s="513">
        <v>-10.72</v>
      </c>
      <c r="K466" s="513">
        <v>1480</v>
      </c>
      <c r="L466" s="513" t="s">
        <v>2827</v>
      </c>
      <c r="M466" s="513" t="s">
        <v>780</v>
      </c>
      <c r="N466" s="513" t="s">
        <v>1407</v>
      </c>
      <c r="O466" s="518" t="s">
        <v>2828</v>
      </c>
      <c r="P466" s="152" t="s">
        <v>892</v>
      </c>
      <c r="Q466" s="152" t="s">
        <v>2829</v>
      </c>
      <c r="R466" s="152" t="s">
        <v>2941</v>
      </c>
      <c r="S466" s="152" t="s">
        <v>2831</v>
      </c>
      <c r="T466" s="152" t="s">
        <v>786</v>
      </c>
    </row>
    <row r="467" spans="3:20">
      <c r="C467" s="152" t="s">
        <v>2821</v>
      </c>
      <c r="D467" s="152"/>
      <c r="F467" s="474" t="s">
        <v>372</v>
      </c>
      <c r="G467" s="210" t="s">
        <v>309</v>
      </c>
      <c r="H467" s="210"/>
      <c r="I467" s="513">
        <v>-11304.3</v>
      </c>
      <c r="J467" s="513">
        <v>-7.69</v>
      </c>
      <c r="K467" s="513">
        <v>1470</v>
      </c>
      <c r="L467" s="513" t="s">
        <v>2899</v>
      </c>
      <c r="M467" s="513" t="s">
        <v>780</v>
      </c>
      <c r="N467" s="513" t="s">
        <v>1407</v>
      </c>
      <c r="O467" s="518" t="s">
        <v>2900</v>
      </c>
      <c r="P467" s="152" t="s">
        <v>892</v>
      </c>
      <c r="Q467" s="152" t="s">
        <v>2901</v>
      </c>
      <c r="R467" s="152" t="s">
        <v>2944</v>
      </c>
      <c r="S467" s="152" t="s">
        <v>2903</v>
      </c>
      <c r="T467" s="152" t="s">
        <v>786</v>
      </c>
    </row>
    <row r="468" spans="3:20">
      <c r="C468" s="152" t="s">
        <v>2821</v>
      </c>
      <c r="D468" s="152"/>
      <c r="F468" s="474" t="s">
        <v>372</v>
      </c>
      <c r="G468" s="210" t="s">
        <v>309</v>
      </c>
      <c r="H468" s="210"/>
      <c r="I468" s="513">
        <v>-192562.8</v>
      </c>
      <c r="J468" s="513">
        <v>-130.11000000000001</v>
      </c>
      <c r="K468" s="513">
        <v>1480</v>
      </c>
      <c r="L468" s="513" t="s">
        <v>2859</v>
      </c>
      <c r="M468" s="513" t="s">
        <v>780</v>
      </c>
      <c r="N468" s="513" t="s">
        <v>1407</v>
      </c>
      <c r="O468" s="518" t="s">
        <v>2907</v>
      </c>
      <c r="P468" s="152" t="s">
        <v>892</v>
      </c>
      <c r="Q468" s="152" t="s">
        <v>2908</v>
      </c>
      <c r="R468" s="152" t="s">
        <v>2946</v>
      </c>
      <c r="S468" s="152" t="s">
        <v>2910</v>
      </c>
      <c r="T468" s="152" t="s">
        <v>786</v>
      </c>
    </row>
    <row r="469" spans="3:20">
      <c r="C469" s="152" t="s">
        <v>2821</v>
      </c>
      <c r="D469" s="152"/>
      <c r="F469" s="474" t="s">
        <v>372</v>
      </c>
      <c r="G469" s="210" t="s">
        <v>309</v>
      </c>
      <c r="H469" s="210"/>
      <c r="I469" s="513">
        <v>-70477.600000000006</v>
      </c>
      <c r="J469" s="513">
        <v>-47.62</v>
      </c>
      <c r="K469" s="513">
        <v>1480</v>
      </c>
      <c r="L469" s="513" t="s">
        <v>2827</v>
      </c>
      <c r="M469" s="513" t="s">
        <v>780</v>
      </c>
      <c r="N469" s="513" t="s">
        <v>1407</v>
      </c>
      <c r="O469" s="518" t="s">
        <v>2828</v>
      </c>
      <c r="P469" s="152" t="s">
        <v>892</v>
      </c>
      <c r="Q469" s="152" t="s">
        <v>2829</v>
      </c>
      <c r="R469" s="152" t="s">
        <v>2947</v>
      </c>
      <c r="S469" s="152" t="s">
        <v>2831</v>
      </c>
      <c r="T469" s="152" t="s">
        <v>786</v>
      </c>
    </row>
    <row r="470" spans="3:20">
      <c r="C470" s="152" t="s">
        <v>2821</v>
      </c>
      <c r="D470" s="152"/>
      <c r="F470" s="474" t="s">
        <v>372</v>
      </c>
      <c r="G470" s="210" t="s">
        <v>309</v>
      </c>
      <c r="H470" s="210"/>
      <c r="I470" s="513">
        <v>-94853.2</v>
      </c>
      <c r="J470" s="513">
        <v>-64.09</v>
      </c>
      <c r="K470" s="513">
        <v>1480</v>
      </c>
      <c r="L470" s="513" t="s">
        <v>2859</v>
      </c>
      <c r="M470" s="513" t="s">
        <v>780</v>
      </c>
      <c r="N470" s="513" t="s">
        <v>1407</v>
      </c>
      <c r="O470" s="518" t="s">
        <v>2907</v>
      </c>
      <c r="P470" s="152" t="s">
        <v>892</v>
      </c>
      <c r="Q470" s="152" t="s">
        <v>2908</v>
      </c>
      <c r="R470" s="152" t="s">
        <v>2948</v>
      </c>
      <c r="S470" s="152" t="s">
        <v>2910</v>
      </c>
      <c r="T470" s="152" t="s">
        <v>786</v>
      </c>
    </row>
    <row r="471" spans="3:20">
      <c r="C471" s="152" t="s">
        <v>2821</v>
      </c>
      <c r="D471" s="152"/>
      <c r="F471" s="474" t="s">
        <v>372</v>
      </c>
      <c r="G471" s="210" t="s">
        <v>309</v>
      </c>
      <c r="H471" s="210"/>
      <c r="I471" s="513">
        <v>-379087.2</v>
      </c>
      <c r="J471" s="513">
        <v>-256.14</v>
      </c>
      <c r="K471" s="513">
        <v>1480</v>
      </c>
      <c r="L471" s="513" t="s">
        <v>2827</v>
      </c>
      <c r="M471" s="513" t="s">
        <v>780</v>
      </c>
      <c r="N471" s="513" t="s">
        <v>1407</v>
      </c>
      <c r="O471" s="518" t="s">
        <v>2828</v>
      </c>
      <c r="P471" s="152" t="s">
        <v>892</v>
      </c>
      <c r="Q471" s="152" t="s">
        <v>2829</v>
      </c>
      <c r="R471" s="152" t="s">
        <v>2949</v>
      </c>
      <c r="S471" s="152" t="s">
        <v>2831</v>
      </c>
      <c r="T471" s="152" t="s">
        <v>786</v>
      </c>
    </row>
    <row r="472" spans="3:20">
      <c r="C472" s="152" t="s">
        <v>2821</v>
      </c>
      <c r="D472" s="152"/>
      <c r="F472" s="474" t="s">
        <v>372</v>
      </c>
      <c r="G472" s="210" t="s">
        <v>309</v>
      </c>
      <c r="H472" s="210"/>
      <c r="I472" s="513">
        <v>-489127.8</v>
      </c>
      <c r="J472" s="513">
        <v>-332.74</v>
      </c>
      <c r="K472" s="513">
        <v>1470</v>
      </c>
      <c r="L472" s="513" t="s">
        <v>2827</v>
      </c>
      <c r="M472" s="513" t="s">
        <v>780</v>
      </c>
      <c r="N472" s="513" t="s">
        <v>1407</v>
      </c>
      <c r="O472" s="518" t="s">
        <v>2828</v>
      </c>
      <c r="P472" s="152" t="s">
        <v>892</v>
      </c>
      <c r="Q472" s="152" t="s">
        <v>2829</v>
      </c>
      <c r="R472" s="152" t="s">
        <v>2950</v>
      </c>
      <c r="S472" s="152" t="s">
        <v>2831</v>
      </c>
      <c r="T472" s="152" t="s">
        <v>786</v>
      </c>
    </row>
    <row r="473" spans="3:20">
      <c r="C473" s="152" t="s">
        <v>2821</v>
      </c>
      <c r="D473" s="152"/>
      <c r="F473" s="474" t="s">
        <v>372</v>
      </c>
      <c r="G473" s="210" t="s">
        <v>309</v>
      </c>
      <c r="H473" s="210"/>
      <c r="I473" s="513">
        <v>-203263.2</v>
      </c>
      <c r="J473" s="513">
        <v>-137.34</v>
      </c>
      <c r="K473" s="513">
        <v>1480</v>
      </c>
      <c r="L473" s="513" t="s">
        <v>2859</v>
      </c>
      <c r="M473" s="513" t="s">
        <v>780</v>
      </c>
      <c r="N473" s="513" t="s">
        <v>1407</v>
      </c>
      <c r="O473" s="518" t="s">
        <v>2907</v>
      </c>
      <c r="P473" s="152" t="s">
        <v>892</v>
      </c>
      <c r="Q473" s="152" t="s">
        <v>2908</v>
      </c>
      <c r="R473" s="152" t="s">
        <v>2951</v>
      </c>
      <c r="S473" s="152" t="s">
        <v>2910</v>
      </c>
      <c r="T473" s="152" t="s">
        <v>786</v>
      </c>
    </row>
    <row r="474" spans="3:20">
      <c r="C474" s="152" t="s">
        <v>2821</v>
      </c>
      <c r="D474" s="152"/>
      <c r="F474" s="474" t="s">
        <v>372</v>
      </c>
      <c r="G474" s="210" t="s">
        <v>309</v>
      </c>
      <c r="H474" s="210"/>
      <c r="I474" s="513">
        <v>-59362.8</v>
      </c>
      <c r="J474" s="513">
        <v>-40.11</v>
      </c>
      <c r="K474" s="513">
        <v>1480</v>
      </c>
      <c r="L474" s="513" t="s">
        <v>2827</v>
      </c>
      <c r="M474" s="513" t="s">
        <v>780</v>
      </c>
      <c r="N474" s="513" t="s">
        <v>1407</v>
      </c>
      <c r="O474" s="518" t="s">
        <v>2828</v>
      </c>
      <c r="P474" s="152" t="s">
        <v>892</v>
      </c>
      <c r="Q474" s="152" t="s">
        <v>2829</v>
      </c>
      <c r="R474" s="152" t="s">
        <v>2952</v>
      </c>
      <c r="S474" s="152" t="s">
        <v>2831</v>
      </c>
      <c r="T474" s="152" t="s">
        <v>786</v>
      </c>
    </row>
    <row r="475" spans="3:20">
      <c r="C475" s="152" t="s">
        <v>2821</v>
      </c>
      <c r="D475" s="152"/>
      <c r="F475" s="474" t="s">
        <v>372</v>
      </c>
      <c r="G475" s="210" t="s">
        <v>309</v>
      </c>
      <c r="H475" s="210"/>
      <c r="I475" s="513">
        <v>-39057.199999999997</v>
      </c>
      <c r="J475" s="513">
        <v>-26.39</v>
      </c>
      <c r="K475" s="513">
        <v>1480</v>
      </c>
      <c r="L475" s="513" t="s">
        <v>2827</v>
      </c>
      <c r="M475" s="513" t="s">
        <v>780</v>
      </c>
      <c r="N475" s="513" t="s">
        <v>1407</v>
      </c>
      <c r="O475" s="518" t="s">
        <v>2828</v>
      </c>
      <c r="P475" s="152" t="s">
        <v>892</v>
      </c>
      <c r="Q475" s="152" t="s">
        <v>2829</v>
      </c>
      <c r="R475" s="152" t="s">
        <v>2953</v>
      </c>
      <c r="S475" s="152" t="s">
        <v>2831</v>
      </c>
      <c r="T475" s="152" t="s">
        <v>786</v>
      </c>
    </row>
    <row r="476" spans="3:20">
      <c r="C476" s="152" t="s">
        <v>2821</v>
      </c>
      <c r="D476" s="152"/>
      <c r="F476" s="474" t="s">
        <v>372</v>
      </c>
      <c r="G476" s="210" t="s">
        <v>309</v>
      </c>
      <c r="H476" s="210"/>
      <c r="I476" s="513">
        <v>-638368.4</v>
      </c>
      <c r="J476" s="513">
        <v>-431.33</v>
      </c>
      <c r="K476" s="513">
        <v>1480</v>
      </c>
      <c r="L476" s="513" t="s">
        <v>2827</v>
      </c>
      <c r="M476" s="513" t="s">
        <v>780</v>
      </c>
      <c r="N476" s="513" t="s">
        <v>1407</v>
      </c>
      <c r="O476" s="518" t="s">
        <v>2828</v>
      </c>
      <c r="P476" s="152" t="s">
        <v>892</v>
      </c>
      <c r="Q476" s="152" t="s">
        <v>2829</v>
      </c>
      <c r="R476" s="152" t="s">
        <v>2954</v>
      </c>
      <c r="S476" s="152" t="s">
        <v>2831</v>
      </c>
      <c r="T476" s="152" t="s">
        <v>786</v>
      </c>
    </row>
    <row r="477" spans="3:20">
      <c r="C477" s="152" t="s">
        <v>2821</v>
      </c>
      <c r="D477" s="152"/>
      <c r="F477" s="474" t="s">
        <v>372</v>
      </c>
      <c r="G477" s="210" t="s">
        <v>309</v>
      </c>
      <c r="H477" s="210"/>
      <c r="I477" s="513">
        <v>-131550.29999999999</v>
      </c>
      <c r="J477" s="513">
        <v>-89.49</v>
      </c>
      <c r="K477" s="513">
        <v>1470</v>
      </c>
      <c r="L477" s="513" t="s">
        <v>2827</v>
      </c>
      <c r="M477" s="513" t="s">
        <v>780</v>
      </c>
      <c r="N477" s="513" t="s">
        <v>1407</v>
      </c>
      <c r="O477" s="518" t="s">
        <v>2828</v>
      </c>
      <c r="P477" s="152" t="s">
        <v>892</v>
      </c>
      <c r="Q477" s="152" t="s">
        <v>2829</v>
      </c>
      <c r="R477" s="152" t="s">
        <v>2955</v>
      </c>
      <c r="S477" s="152" t="s">
        <v>2831</v>
      </c>
      <c r="T477" s="152" t="s">
        <v>786</v>
      </c>
    </row>
    <row r="478" spans="3:20">
      <c r="C478" s="152" t="s">
        <v>2821</v>
      </c>
      <c r="D478" s="152"/>
      <c r="F478" s="474" t="s">
        <v>372</v>
      </c>
      <c r="G478" s="210" t="s">
        <v>309</v>
      </c>
      <c r="H478" s="210"/>
      <c r="I478" s="513">
        <v>-64779.6</v>
      </c>
      <c r="J478" s="513">
        <v>-43.77</v>
      </c>
      <c r="K478" s="513">
        <v>1480</v>
      </c>
      <c r="L478" s="513" t="s">
        <v>2859</v>
      </c>
      <c r="M478" s="513" t="s">
        <v>780</v>
      </c>
      <c r="N478" s="513" t="s">
        <v>1407</v>
      </c>
      <c r="O478" s="518" t="s">
        <v>2907</v>
      </c>
      <c r="P478" s="152" t="s">
        <v>892</v>
      </c>
      <c r="Q478" s="152" t="s">
        <v>2908</v>
      </c>
      <c r="R478" s="152" t="s">
        <v>2956</v>
      </c>
      <c r="S478" s="152" t="s">
        <v>2910</v>
      </c>
      <c r="T478" s="152" t="s">
        <v>786</v>
      </c>
    </row>
    <row r="479" spans="3:20">
      <c r="C479" s="152" t="s">
        <v>2821</v>
      </c>
      <c r="D479" s="152"/>
      <c r="F479" s="474" t="s">
        <v>372</v>
      </c>
      <c r="G479" s="210" t="s">
        <v>309</v>
      </c>
      <c r="H479" s="210"/>
      <c r="I479" s="513">
        <v>-439074.3</v>
      </c>
      <c r="J479" s="513">
        <v>-298.69</v>
      </c>
      <c r="K479" s="513">
        <v>1470</v>
      </c>
      <c r="L479" s="513" t="s">
        <v>2827</v>
      </c>
      <c r="M479" s="513" t="s">
        <v>780</v>
      </c>
      <c r="N479" s="513" t="s">
        <v>1407</v>
      </c>
      <c r="O479" s="518" t="s">
        <v>2828</v>
      </c>
      <c r="P479" s="152" t="s">
        <v>892</v>
      </c>
      <c r="Q479" s="152" t="s">
        <v>2829</v>
      </c>
      <c r="R479" s="152" t="s">
        <v>2957</v>
      </c>
      <c r="S479" s="152" t="s">
        <v>2831</v>
      </c>
      <c r="T479" s="152" t="s">
        <v>786</v>
      </c>
    </row>
    <row r="480" spans="3:20">
      <c r="C480" s="152" t="s">
        <v>2821</v>
      </c>
      <c r="D480" s="152"/>
      <c r="F480" s="474" t="s">
        <v>372</v>
      </c>
      <c r="G480" s="210" t="s">
        <v>309</v>
      </c>
      <c r="H480" s="210"/>
      <c r="I480" s="513">
        <v>-31168.799999999999</v>
      </c>
      <c r="J480" s="513">
        <v>-21.06</v>
      </c>
      <c r="K480" s="513">
        <v>1480</v>
      </c>
      <c r="L480" s="513" t="s">
        <v>2859</v>
      </c>
      <c r="M480" s="513" t="s">
        <v>780</v>
      </c>
      <c r="N480" s="513" t="s">
        <v>1407</v>
      </c>
      <c r="O480" s="518" t="s">
        <v>2907</v>
      </c>
      <c r="P480" s="152" t="s">
        <v>892</v>
      </c>
      <c r="Q480" s="152" t="s">
        <v>2908</v>
      </c>
      <c r="R480" s="152" t="s">
        <v>2959</v>
      </c>
      <c r="S480" s="152" t="s">
        <v>2910</v>
      </c>
      <c r="T480" s="152" t="s">
        <v>786</v>
      </c>
    </row>
    <row r="481" spans="3:20">
      <c r="C481" s="152" t="s">
        <v>2821</v>
      </c>
      <c r="D481" s="152"/>
      <c r="F481" s="474" t="s">
        <v>372</v>
      </c>
      <c r="G481" s="210" t="s">
        <v>309</v>
      </c>
      <c r="H481" s="210"/>
      <c r="I481" s="513">
        <v>-2342780.7999999998</v>
      </c>
      <c r="J481" s="513">
        <v>-1582.96</v>
      </c>
      <c r="K481" s="513">
        <v>1480</v>
      </c>
      <c r="L481" s="513" t="s">
        <v>2827</v>
      </c>
      <c r="M481" s="513" t="s">
        <v>780</v>
      </c>
      <c r="N481" s="513" t="s">
        <v>1407</v>
      </c>
      <c r="O481" s="518" t="s">
        <v>2828</v>
      </c>
      <c r="P481" s="152" t="s">
        <v>892</v>
      </c>
      <c r="Q481" s="152" t="s">
        <v>2829</v>
      </c>
      <c r="R481" s="152" t="s">
        <v>2965</v>
      </c>
      <c r="S481" s="152" t="s">
        <v>2831</v>
      </c>
      <c r="T481" s="152" t="s">
        <v>786</v>
      </c>
    </row>
    <row r="482" spans="3:20">
      <c r="C482" s="152" t="s">
        <v>2821</v>
      </c>
      <c r="D482" s="152"/>
      <c r="F482" s="474" t="s">
        <v>372</v>
      </c>
      <c r="G482" s="210" t="s">
        <v>309</v>
      </c>
      <c r="H482" s="210"/>
      <c r="I482" s="513">
        <v>-37725.199999999997</v>
      </c>
      <c r="J482" s="513">
        <v>-25.49</v>
      </c>
      <c r="K482" s="513">
        <v>1480</v>
      </c>
      <c r="L482" s="513" t="s">
        <v>2827</v>
      </c>
      <c r="M482" s="513" t="s">
        <v>780</v>
      </c>
      <c r="N482" s="513" t="s">
        <v>1407</v>
      </c>
      <c r="O482" s="518" t="s">
        <v>2828</v>
      </c>
      <c r="P482" s="152" t="s">
        <v>892</v>
      </c>
      <c r="Q482" s="152" t="s">
        <v>2829</v>
      </c>
      <c r="R482" s="152" t="s">
        <v>2969</v>
      </c>
      <c r="S482" s="152" t="s">
        <v>2831</v>
      </c>
      <c r="T482" s="152" t="s">
        <v>786</v>
      </c>
    </row>
    <row r="483" spans="3:20">
      <c r="C483" s="152" t="s">
        <v>2821</v>
      </c>
      <c r="D483" s="152"/>
      <c r="F483" s="474" t="s">
        <v>372</v>
      </c>
      <c r="G483" s="210" t="s">
        <v>309</v>
      </c>
      <c r="H483" s="210"/>
      <c r="I483" s="513">
        <v>-20113.2</v>
      </c>
      <c r="J483" s="513">
        <v>-13.59</v>
      </c>
      <c r="K483" s="513">
        <v>1480</v>
      </c>
      <c r="L483" s="513" t="s">
        <v>2859</v>
      </c>
      <c r="M483" s="513" t="s">
        <v>780</v>
      </c>
      <c r="N483" s="513" t="s">
        <v>1407</v>
      </c>
      <c r="O483" s="518" t="s">
        <v>2907</v>
      </c>
      <c r="P483" s="152" t="s">
        <v>892</v>
      </c>
      <c r="Q483" s="152" t="s">
        <v>2908</v>
      </c>
      <c r="R483" s="152" t="s">
        <v>2973</v>
      </c>
      <c r="S483" s="152" t="s">
        <v>2910</v>
      </c>
      <c r="T483" s="152" t="s">
        <v>786</v>
      </c>
    </row>
    <row r="484" spans="3:20">
      <c r="C484" s="152" t="s">
        <v>2821</v>
      </c>
      <c r="D484" s="152"/>
      <c r="F484" s="474" t="s">
        <v>372</v>
      </c>
      <c r="G484" s="210" t="s">
        <v>309</v>
      </c>
      <c r="H484" s="210"/>
      <c r="I484" s="513">
        <v>-241240</v>
      </c>
      <c r="J484" s="513">
        <v>-163</v>
      </c>
      <c r="K484" s="513">
        <v>1480</v>
      </c>
      <c r="L484" s="513" t="s">
        <v>2859</v>
      </c>
      <c r="M484" s="513" t="s">
        <v>780</v>
      </c>
      <c r="N484" s="513" t="s">
        <v>1407</v>
      </c>
      <c r="O484" s="518" t="s">
        <v>2907</v>
      </c>
      <c r="P484" s="152" t="s">
        <v>892</v>
      </c>
      <c r="Q484" s="152" t="s">
        <v>2908</v>
      </c>
      <c r="R484" s="152" t="s">
        <v>2975</v>
      </c>
      <c r="S484" s="152" t="s">
        <v>2910</v>
      </c>
      <c r="T484" s="152" t="s">
        <v>786</v>
      </c>
    </row>
    <row r="485" spans="3:20">
      <c r="C485" s="152" t="s">
        <v>2821</v>
      </c>
      <c r="D485" s="152"/>
      <c r="F485" s="474" t="s">
        <v>372</v>
      </c>
      <c r="G485" s="210" t="s">
        <v>309</v>
      </c>
      <c r="H485" s="210"/>
      <c r="I485" s="513">
        <v>-18736.8</v>
      </c>
      <c r="J485" s="513">
        <v>-12.66</v>
      </c>
      <c r="K485" s="513">
        <v>1480</v>
      </c>
      <c r="L485" s="513" t="s">
        <v>2859</v>
      </c>
      <c r="M485" s="513" t="s">
        <v>780</v>
      </c>
      <c r="N485" s="513" t="s">
        <v>1407</v>
      </c>
      <c r="O485" s="518" t="s">
        <v>2907</v>
      </c>
      <c r="P485" s="152" t="s">
        <v>892</v>
      </c>
      <c r="Q485" s="152" t="s">
        <v>2908</v>
      </c>
      <c r="R485" s="152" t="s">
        <v>2976</v>
      </c>
      <c r="S485" s="152" t="s">
        <v>2910</v>
      </c>
      <c r="T485" s="152" t="s">
        <v>786</v>
      </c>
    </row>
    <row r="486" spans="3:20">
      <c r="C486" s="152" t="s">
        <v>2821</v>
      </c>
      <c r="D486" s="152"/>
      <c r="F486" s="474" t="s">
        <v>372</v>
      </c>
      <c r="G486" s="210" t="s">
        <v>309</v>
      </c>
      <c r="H486" s="210"/>
      <c r="I486" s="513">
        <v>-148087.79999999999</v>
      </c>
      <c r="J486" s="513">
        <v>-100.74</v>
      </c>
      <c r="K486" s="513">
        <v>1470</v>
      </c>
      <c r="L486" s="513" t="s">
        <v>2827</v>
      </c>
      <c r="M486" s="513" t="s">
        <v>780</v>
      </c>
      <c r="N486" s="513" t="s">
        <v>1407</v>
      </c>
      <c r="O486" s="518" t="s">
        <v>2828</v>
      </c>
      <c r="P486" s="152" t="s">
        <v>892</v>
      </c>
      <c r="Q486" s="152" t="s">
        <v>2829</v>
      </c>
      <c r="R486" s="152" t="s">
        <v>2977</v>
      </c>
      <c r="S486" s="152" t="s">
        <v>2831</v>
      </c>
      <c r="T486" s="152" t="s">
        <v>786</v>
      </c>
    </row>
    <row r="487" spans="3:20">
      <c r="C487" s="152" t="s">
        <v>2821</v>
      </c>
      <c r="D487" s="152"/>
      <c r="F487" s="474" t="s">
        <v>372</v>
      </c>
      <c r="G487" s="210" t="s">
        <v>309</v>
      </c>
      <c r="H487" s="210"/>
      <c r="I487" s="513">
        <v>-7192.8</v>
      </c>
      <c r="J487" s="513">
        <v>-4.8600000000000003</v>
      </c>
      <c r="K487" s="513">
        <v>1480</v>
      </c>
      <c r="L487" s="513" t="s">
        <v>2827</v>
      </c>
      <c r="M487" s="513" t="s">
        <v>780</v>
      </c>
      <c r="N487" s="513" t="s">
        <v>1407</v>
      </c>
      <c r="O487" s="518" t="s">
        <v>2828</v>
      </c>
      <c r="P487" s="152" t="s">
        <v>892</v>
      </c>
      <c r="Q487" s="152" t="s">
        <v>2829</v>
      </c>
      <c r="R487" s="152" t="s">
        <v>2978</v>
      </c>
      <c r="S487" s="152" t="s">
        <v>2831</v>
      </c>
      <c r="T487" s="152" t="s">
        <v>786</v>
      </c>
    </row>
    <row r="488" spans="3:20">
      <c r="C488" s="152" t="s">
        <v>2821</v>
      </c>
      <c r="D488" s="152"/>
      <c r="F488" s="474" t="s">
        <v>372</v>
      </c>
      <c r="G488" s="210" t="s">
        <v>309</v>
      </c>
      <c r="H488" s="210"/>
      <c r="I488" s="513">
        <v>-22614.400000000001</v>
      </c>
      <c r="J488" s="513">
        <v>-15.28</v>
      </c>
      <c r="K488" s="513">
        <v>1480</v>
      </c>
      <c r="L488" s="513" t="s">
        <v>2827</v>
      </c>
      <c r="M488" s="513" t="s">
        <v>780</v>
      </c>
      <c r="N488" s="513" t="s">
        <v>1407</v>
      </c>
      <c r="O488" s="518" t="s">
        <v>2828</v>
      </c>
      <c r="P488" s="152" t="s">
        <v>892</v>
      </c>
      <c r="Q488" s="152" t="s">
        <v>2829</v>
      </c>
      <c r="R488" s="152" t="s">
        <v>2979</v>
      </c>
      <c r="S488" s="152" t="s">
        <v>2831</v>
      </c>
      <c r="T488" s="152" t="s">
        <v>786</v>
      </c>
    </row>
    <row r="489" spans="3:20">
      <c r="C489" s="152" t="s">
        <v>2821</v>
      </c>
      <c r="D489" s="152"/>
      <c r="F489" s="474" t="s">
        <v>372</v>
      </c>
      <c r="G489" s="210" t="s">
        <v>309</v>
      </c>
      <c r="H489" s="210"/>
      <c r="I489" s="513">
        <v>-26669.599999999999</v>
      </c>
      <c r="J489" s="513">
        <v>-18.02</v>
      </c>
      <c r="K489" s="513">
        <v>1480</v>
      </c>
      <c r="L489" s="513" t="s">
        <v>2827</v>
      </c>
      <c r="M489" s="513" t="s">
        <v>780</v>
      </c>
      <c r="N489" s="513" t="s">
        <v>1407</v>
      </c>
      <c r="O489" s="518" t="s">
        <v>2828</v>
      </c>
      <c r="P489" s="152" t="s">
        <v>892</v>
      </c>
      <c r="Q489" s="152" t="s">
        <v>2829</v>
      </c>
      <c r="R489" s="152" t="s">
        <v>2980</v>
      </c>
      <c r="S489" s="152" t="s">
        <v>2831</v>
      </c>
      <c r="T489" s="152" t="s">
        <v>786</v>
      </c>
    </row>
    <row r="490" spans="3:20">
      <c r="C490" s="152" t="s">
        <v>2821</v>
      </c>
      <c r="D490" s="152"/>
      <c r="F490" s="474" t="s">
        <v>372</v>
      </c>
      <c r="G490" s="210" t="s">
        <v>309</v>
      </c>
      <c r="H490" s="210"/>
      <c r="I490" s="513">
        <v>-286238.40000000002</v>
      </c>
      <c r="J490" s="513">
        <v>-194.72</v>
      </c>
      <c r="K490" s="513">
        <v>1470</v>
      </c>
      <c r="L490" s="513" t="s">
        <v>2899</v>
      </c>
      <c r="M490" s="513" t="s">
        <v>780</v>
      </c>
      <c r="N490" s="513" t="s">
        <v>1407</v>
      </c>
      <c r="O490" s="518" t="s">
        <v>2900</v>
      </c>
      <c r="P490" s="152" t="s">
        <v>892</v>
      </c>
      <c r="Q490" s="152" t="s">
        <v>2901</v>
      </c>
      <c r="R490" s="152" t="s">
        <v>2981</v>
      </c>
      <c r="S490" s="152" t="s">
        <v>2903</v>
      </c>
      <c r="T490" s="152" t="s">
        <v>786</v>
      </c>
    </row>
    <row r="491" spans="3:20">
      <c r="C491" s="152" t="s">
        <v>2821</v>
      </c>
      <c r="D491" s="152"/>
      <c r="F491" s="474" t="s">
        <v>372</v>
      </c>
      <c r="G491" s="210" t="s">
        <v>309</v>
      </c>
      <c r="H491" s="210"/>
      <c r="I491" s="513">
        <v>-43835.4</v>
      </c>
      <c r="J491" s="513">
        <v>-29.82</v>
      </c>
      <c r="K491" s="513">
        <v>1470</v>
      </c>
      <c r="L491" s="513" t="s">
        <v>2899</v>
      </c>
      <c r="M491" s="513" t="s">
        <v>780</v>
      </c>
      <c r="N491" s="513" t="s">
        <v>1407</v>
      </c>
      <c r="O491" s="518" t="s">
        <v>2900</v>
      </c>
      <c r="P491" s="152" t="s">
        <v>892</v>
      </c>
      <c r="Q491" s="152" t="s">
        <v>2901</v>
      </c>
      <c r="R491" s="152" t="s">
        <v>2982</v>
      </c>
      <c r="S491" s="152" t="s">
        <v>2903</v>
      </c>
      <c r="T491" s="152" t="s">
        <v>786</v>
      </c>
    </row>
    <row r="492" spans="3:20">
      <c r="C492" s="152" t="s">
        <v>2821</v>
      </c>
      <c r="D492" s="152"/>
      <c r="F492" s="474" t="s">
        <v>372</v>
      </c>
      <c r="G492" s="210" t="s">
        <v>309</v>
      </c>
      <c r="H492" s="210"/>
      <c r="I492" s="513">
        <v>-75381.600000000006</v>
      </c>
      <c r="J492" s="513">
        <v>-51.28</v>
      </c>
      <c r="K492" s="513">
        <v>1470</v>
      </c>
      <c r="L492" s="513" t="s">
        <v>2899</v>
      </c>
      <c r="M492" s="513" t="s">
        <v>780</v>
      </c>
      <c r="N492" s="513" t="s">
        <v>1407</v>
      </c>
      <c r="O492" s="518" t="s">
        <v>2900</v>
      </c>
      <c r="P492" s="152" t="s">
        <v>892</v>
      </c>
      <c r="Q492" s="152" t="s">
        <v>2901</v>
      </c>
      <c r="R492" s="152" t="s">
        <v>2983</v>
      </c>
      <c r="S492" s="152" t="s">
        <v>2903</v>
      </c>
      <c r="T492" s="152" t="s">
        <v>786</v>
      </c>
    </row>
    <row r="493" spans="3:20">
      <c r="C493" s="152" t="s">
        <v>2821</v>
      </c>
      <c r="D493" s="152"/>
      <c r="F493" s="474" t="s">
        <v>372</v>
      </c>
      <c r="G493" s="210" t="s">
        <v>309</v>
      </c>
      <c r="H493" s="210"/>
      <c r="I493" s="513">
        <v>-138128.4</v>
      </c>
      <c r="J493" s="513">
        <v>-93.33</v>
      </c>
      <c r="K493" s="513">
        <v>1480</v>
      </c>
      <c r="L493" s="513" t="s">
        <v>2827</v>
      </c>
      <c r="M493" s="513" t="s">
        <v>780</v>
      </c>
      <c r="N493" s="513" t="s">
        <v>1407</v>
      </c>
      <c r="O493" s="518" t="s">
        <v>2828</v>
      </c>
      <c r="P493" s="152" t="s">
        <v>892</v>
      </c>
      <c r="Q493" s="152" t="s">
        <v>2829</v>
      </c>
      <c r="R493" s="152" t="s">
        <v>2566</v>
      </c>
      <c r="S493" s="152" t="s">
        <v>2831</v>
      </c>
      <c r="T493" s="152" t="s">
        <v>786</v>
      </c>
    </row>
    <row r="494" spans="3:20">
      <c r="C494" s="152" t="s">
        <v>2821</v>
      </c>
      <c r="D494" s="152"/>
      <c r="F494" s="474" t="s">
        <v>372</v>
      </c>
      <c r="G494" s="210" t="s">
        <v>309</v>
      </c>
      <c r="H494" s="210"/>
      <c r="I494" s="513">
        <v>-37690.800000000003</v>
      </c>
      <c r="J494" s="513">
        <v>-25.64</v>
      </c>
      <c r="K494" s="513">
        <v>1470</v>
      </c>
      <c r="L494" s="513" t="s">
        <v>2827</v>
      </c>
      <c r="M494" s="513" t="s">
        <v>780</v>
      </c>
      <c r="N494" s="513" t="s">
        <v>1407</v>
      </c>
      <c r="O494" s="518" t="s">
        <v>2828</v>
      </c>
      <c r="P494" s="152" t="s">
        <v>892</v>
      </c>
      <c r="Q494" s="152" t="s">
        <v>2829</v>
      </c>
      <c r="R494" s="152" t="s">
        <v>2984</v>
      </c>
      <c r="S494" s="152" t="s">
        <v>2831</v>
      </c>
      <c r="T494" s="152" t="s">
        <v>786</v>
      </c>
    </row>
    <row r="495" spans="3:20">
      <c r="C495" s="152" t="s">
        <v>2821</v>
      </c>
      <c r="D495" s="152"/>
      <c r="F495" s="474" t="s">
        <v>372</v>
      </c>
      <c r="G495" s="210" t="s">
        <v>309</v>
      </c>
      <c r="H495" s="210"/>
      <c r="I495" s="513">
        <v>-504401.1</v>
      </c>
      <c r="J495" s="513">
        <v>-343.13</v>
      </c>
      <c r="K495" s="513">
        <v>1470</v>
      </c>
      <c r="L495" s="513" t="s">
        <v>2827</v>
      </c>
      <c r="M495" s="513" t="s">
        <v>780</v>
      </c>
      <c r="N495" s="513" t="s">
        <v>1407</v>
      </c>
      <c r="O495" s="518" t="s">
        <v>2828</v>
      </c>
      <c r="P495" s="152" t="s">
        <v>892</v>
      </c>
      <c r="Q495" s="152" t="s">
        <v>2829</v>
      </c>
      <c r="R495" s="152" t="s">
        <v>2987</v>
      </c>
      <c r="S495" s="152" t="s">
        <v>2831</v>
      </c>
      <c r="T495" s="152" t="s">
        <v>786</v>
      </c>
    </row>
    <row r="496" spans="3:20">
      <c r="C496" s="152" t="s">
        <v>2821</v>
      </c>
      <c r="D496" s="152"/>
      <c r="F496" s="474" t="s">
        <v>372</v>
      </c>
      <c r="G496" s="210" t="s">
        <v>309</v>
      </c>
      <c r="H496" s="210"/>
      <c r="I496" s="513">
        <v>-22140.799999999999</v>
      </c>
      <c r="J496" s="513">
        <v>-14.96</v>
      </c>
      <c r="K496" s="513">
        <v>1480</v>
      </c>
      <c r="L496" s="513" t="s">
        <v>2827</v>
      </c>
      <c r="M496" s="513" t="s">
        <v>780</v>
      </c>
      <c r="N496" s="513" t="s">
        <v>1407</v>
      </c>
      <c r="O496" s="518" t="s">
        <v>2828</v>
      </c>
      <c r="P496" s="152" t="s">
        <v>892</v>
      </c>
      <c r="Q496" s="152" t="s">
        <v>2829</v>
      </c>
      <c r="R496" s="152" t="s">
        <v>2988</v>
      </c>
      <c r="S496" s="152" t="s">
        <v>2831</v>
      </c>
      <c r="T496" s="152" t="s">
        <v>786</v>
      </c>
    </row>
    <row r="497" spans="3:20">
      <c r="C497" s="152" t="s">
        <v>2821</v>
      </c>
      <c r="D497" s="152"/>
      <c r="F497" s="474" t="s">
        <v>372</v>
      </c>
      <c r="G497" s="210" t="s">
        <v>309</v>
      </c>
      <c r="H497" s="210"/>
      <c r="I497" s="513">
        <v>-34530.300000000003</v>
      </c>
      <c r="J497" s="513">
        <v>-23.49</v>
      </c>
      <c r="K497" s="513">
        <v>1470</v>
      </c>
      <c r="L497" s="513" t="s">
        <v>2899</v>
      </c>
      <c r="M497" s="513" t="s">
        <v>780</v>
      </c>
      <c r="N497" s="513" t="s">
        <v>1407</v>
      </c>
      <c r="O497" s="518" t="s">
        <v>2900</v>
      </c>
      <c r="P497" s="152" t="s">
        <v>892</v>
      </c>
      <c r="Q497" s="152" t="s">
        <v>2901</v>
      </c>
      <c r="R497" s="152" t="s">
        <v>2391</v>
      </c>
      <c r="S497" s="152" t="s">
        <v>2903</v>
      </c>
      <c r="T497" s="152" t="s">
        <v>786</v>
      </c>
    </row>
    <row r="498" spans="3:20">
      <c r="C498" s="152" t="s">
        <v>2821</v>
      </c>
      <c r="D498" s="152"/>
      <c r="F498" s="474" t="s">
        <v>372</v>
      </c>
      <c r="G498" s="210" t="s">
        <v>309</v>
      </c>
      <c r="H498" s="210"/>
      <c r="I498" s="513">
        <v>-10819.2</v>
      </c>
      <c r="J498" s="513">
        <v>-7.36</v>
      </c>
      <c r="K498" s="513">
        <v>1470</v>
      </c>
      <c r="L498" s="513" t="s">
        <v>2899</v>
      </c>
      <c r="M498" s="513" t="s">
        <v>780</v>
      </c>
      <c r="N498" s="513" t="s">
        <v>1407</v>
      </c>
      <c r="O498" s="518" t="s">
        <v>2900</v>
      </c>
      <c r="P498" s="152" t="s">
        <v>892</v>
      </c>
      <c r="Q498" s="152" t="s">
        <v>2901</v>
      </c>
      <c r="R498" s="152" t="s">
        <v>2391</v>
      </c>
      <c r="S498" s="152" t="s">
        <v>2903</v>
      </c>
      <c r="T498" s="152" t="s">
        <v>786</v>
      </c>
    </row>
    <row r="499" spans="3:20">
      <c r="C499" s="152" t="s">
        <v>2821</v>
      </c>
      <c r="D499" s="152"/>
      <c r="F499" s="474" t="s">
        <v>372</v>
      </c>
      <c r="G499" s="210" t="s">
        <v>309</v>
      </c>
      <c r="H499" s="210"/>
      <c r="I499" s="513">
        <v>-52581.9</v>
      </c>
      <c r="J499" s="513">
        <v>-35.770000000000003</v>
      </c>
      <c r="K499" s="513">
        <v>1470</v>
      </c>
      <c r="L499" s="513" t="s">
        <v>2827</v>
      </c>
      <c r="M499" s="513" t="s">
        <v>780</v>
      </c>
      <c r="N499" s="513" t="s">
        <v>1407</v>
      </c>
      <c r="O499" s="518" t="s">
        <v>2828</v>
      </c>
      <c r="P499" s="152" t="s">
        <v>892</v>
      </c>
      <c r="Q499" s="152" t="s">
        <v>2829</v>
      </c>
      <c r="R499" s="152" t="s">
        <v>2989</v>
      </c>
      <c r="S499" s="152" t="s">
        <v>2831</v>
      </c>
      <c r="T499" s="152" t="s">
        <v>786</v>
      </c>
    </row>
    <row r="500" spans="3:20">
      <c r="C500" s="152" t="s">
        <v>2821</v>
      </c>
      <c r="D500" s="152"/>
      <c r="F500" s="474" t="s">
        <v>372</v>
      </c>
      <c r="G500" s="210" t="s">
        <v>309</v>
      </c>
      <c r="H500" s="210"/>
      <c r="I500" s="513">
        <v>-186539.2</v>
      </c>
      <c r="J500" s="513">
        <v>-126.04</v>
      </c>
      <c r="K500" s="513">
        <v>1480</v>
      </c>
      <c r="L500" s="513" t="s">
        <v>2827</v>
      </c>
      <c r="M500" s="513" t="s">
        <v>780</v>
      </c>
      <c r="N500" s="513" t="s">
        <v>1407</v>
      </c>
      <c r="O500" s="518" t="s">
        <v>2828</v>
      </c>
      <c r="P500" s="152" t="s">
        <v>892</v>
      </c>
      <c r="Q500" s="152" t="s">
        <v>2829</v>
      </c>
      <c r="R500" s="152" t="s">
        <v>3001</v>
      </c>
      <c r="S500" s="152" t="s">
        <v>2831</v>
      </c>
      <c r="T500" s="152" t="s">
        <v>786</v>
      </c>
    </row>
    <row r="501" spans="3:20">
      <c r="C501" s="152" t="s">
        <v>2821</v>
      </c>
      <c r="D501" s="152"/>
      <c r="F501" s="474" t="s">
        <v>372</v>
      </c>
      <c r="G501" s="210" t="s">
        <v>309</v>
      </c>
      <c r="H501" s="210"/>
      <c r="I501" s="513">
        <v>-276005.2</v>
      </c>
      <c r="J501" s="513">
        <v>-186.49</v>
      </c>
      <c r="K501" s="513">
        <v>1480</v>
      </c>
      <c r="L501" s="513" t="s">
        <v>2827</v>
      </c>
      <c r="M501" s="513" t="s">
        <v>780</v>
      </c>
      <c r="N501" s="513" t="s">
        <v>1407</v>
      </c>
      <c r="O501" s="518" t="s">
        <v>2828</v>
      </c>
      <c r="P501" s="152" t="s">
        <v>892</v>
      </c>
      <c r="Q501" s="152" t="s">
        <v>2829</v>
      </c>
      <c r="R501" s="152" t="s">
        <v>3003</v>
      </c>
      <c r="S501" s="152" t="s">
        <v>2831</v>
      </c>
      <c r="T501" s="152" t="s">
        <v>786</v>
      </c>
    </row>
    <row r="502" spans="3:20">
      <c r="C502" s="152" t="s">
        <v>2821</v>
      </c>
      <c r="D502" s="152"/>
      <c r="F502" s="474" t="s">
        <v>372</v>
      </c>
      <c r="G502" s="210" t="s">
        <v>309</v>
      </c>
      <c r="H502" s="210"/>
      <c r="I502" s="513">
        <v>-20764.400000000001</v>
      </c>
      <c r="J502" s="513">
        <v>-14.03</v>
      </c>
      <c r="K502" s="513">
        <v>1480</v>
      </c>
      <c r="L502" s="513" t="s">
        <v>2827</v>
      </c>
      <c r="M502" s="513" t="s">
        <v>780</v>
      </c>
      <c r="N502" s="513" t="s">
        <v>1407</v>
      </c>
      <c r="O502" s="518" t="s">
        <v>2828</v>
      </c>
      <c r="P502" s="152" t="s">
        <v>892</v>
      </c>
      <c r="Q502" s="152" t="s">
        <v>2829</v>
      </c>
      <c r="R502" s="152" t="s">
        <v>3004</v>
      </c>
      <c r="S502" s="152" t="s">
        <v>2831</v>
      </c>
      <c r="T502" s="152" t="s">
        <v>786</v>
      </c>
    </row>
    <row r="503" spans="3:20">
      <c r="C503" s="152" t="s">
        <v>2821</v>
      </c>
      <c r="D503" s="152"/>
      <c r="F503" s="474" t="s">
        <v>372</v>
      </c>
      <c r="G503" s="210" t="s">
        <v>309</v>
      </c>
      <c r="H503" s="210"/>
      <c r="I503" s="513">
        <v>-78543.600000000006</v>
      </c>
      <c r="J503" s="513">
        <v>-53.07</v>
      </c>
      <c r="K503" s="513">
        <v>1480</v>
      </c>
      <c r="L503" s="513" t="s">
        <v>2827</v>
      </c>
      <c r="M503" s="513" t="s">
        <v>780</v>
      </c>
      <c r="N503" s="513" t="s">
        <v>1407</v>
      </c>
      <c r="O503" s="518" t="s">
        <v>2828</v>
      </c>
      <c r="P503" s="152" t="s">
        <v>892</v>
      </c>
      <c r="Q503" s="152" t="s">
        <v>2829</v>
      </c>
      <c r="R503" s="152" t="s">
        <v>3005</v>
      </c>
      <c r="S503" s="152" t="s">
        <v>2831</v>
      </c>
      <c r="T503" s="152" t="s">
        <v>786</v>
      </c>
    </row>
    <row r="504" spans="3:20">
      <c r="C504" s="152" t="s">
        <v>2821</v>
      </c>
      <c r="D504" s="152"/>
      <c r="F504" s="474" t="s">
        <v>372</v>
      </c>
      <c r="G504" s="210" t="s">
        <v>309</v>
      </c>
      <c r="H504" s="210"/>
      <c r="I504" s="513">
        <v>-13098</v>
      </c>
      <c r="J504" s="513">
        <v>-8.85</v>
      </c>
      <c r="K504" s="513">
        <v>1480</v>
      </c>
      <c r="L504" s="513" t="s">
        <v>2827</v>
      </c>
      <c r="M504" s="513" t="s">
        <v>780</v>
      </c>
      <c r="N504" s="513" t="s">
        <v>1407</v>
      </c>
      <c r="O504" s="518" t="s">
        <v>2828</v>
      </c>
      <c r="P504" s="152" t="s">
        <v>892</v>
      </c>
      <c r="Q504" s="152" t="s">
        <v>2829</v>
      </c>
      <c r="R504" s="152" t="s">
        <v>3006</v>
      </c>
      <c r="S504" s="152" t="s">
        <v>2831</v>
      </c>
      <c r="T504" s="152" t="s">
        <v>786</v>
      </c>
    </row>
    <row r="505" spans="3:20">
      <c r="C505" s="152" t="s">
        <v>2821</v>
      </c>
      <c r="D505" s="152"/>
      <c r="F505" s="474" t="s">
        <v>372</v>
      </c>
      <c r="G505" s="210" t="s">
        <v>309</v>
      </c>
      <c r="H505" s="210"/>
      <c r="I505" s="513">
        <v>-373404</v>
      </c>
      <c r="J505" s="513">
        <v>-252.3</v>
      </c>
      <c r="K505" s="513">
        <v>1480</v>
      </c>
      <c r="L505" s="513" t="s">
        <v>2827</v>
      </c>
      <c r="M505" s="513" t="s">
        <v>780</v>
      </c>
      <c r="N505" s="513" t="s">
        <v>1407</v>
      </c>
      <c r="O505" s="518" t="s">
        <v>2828</v>
      </c>
      <c r="P505" s="152" t="s">
        <v>892</v>
      </c>
      <c r="Q505" s="152" t="s">
        <v>2829</v>
      </c>
      <c r="R505" s="152" t="s">
        <v>3008</v>
      </c>
      <c r="S505" s="152" t="s">
        <v>2831</v>
      </c>
      <c r="T505" s="152" t="s">
        <v>786</v>
      </c>
    </row>
    <row r="506" spans="3:20">
      <c r="C506" s="152" t="s">
        <v>2821</v>
      </c>
      <c r="D506" s="152"/>
      <c r="F506" s="474" t="s">
        <v>372</v>
      </c>
      <c r="G506" s="210" t="s">
        <v>309</v>
      </c>
      <c r="H506" s="210"/>
      <c r="I506" s="513">
        <v>-43038.400000000001</v>
      </c>
      <c r="J506" s="513">
        <v>-29.08</v>
      </c>
      <c r="K506" s="513">
        <v>1480</v>
      </c>
      <c r="L506" s="513" t="s">
        <v>2827</v>
      </c>
      <c r="M506" s="513" t="s">
        <v>780</v>
      </c>
      <c r="N506" s="513" t="s">
        <v>1407</v>
      </c>
      <c r="O506" s="518" t="s">
        <v>2828</v>
      </c>
      <c r="P506" s="152" t="s">
        <v>892</v>
      </c>
      <c r="Q506" s="152" t="s">
        <v>2829</v>
      </c>
      <c r="R506" s="152" t="s">
        <v>3010</v>
      </c>
      <c r="S506" s="152" t="s">
        <v>2831</v>
      </c>
      <c r="T506" s="152" t="s">
        <v>786</v>
      </c>
    </row>
    <row r="507" spans="3:20">
      <c r="C507" s="152" t="s">
        <v>2821</v>
      </c>
      <c r="D507" s="152"/>
      <c r="F507" s="474" t="s">
        <v>372</v>
      </c>
      <c r="G507" s="210" t="s">
        <v>309</v>
      </c>
      <c r="H507" s="210"/>
      <c r="I507" s="513">
        <v>-43127.199999999997</v>
      </c>
      <c r="J507" s="513">
        <v>-29.14</v>
      </c>
      <c r="K507" s="513">
        <v>1480</v>
      </c>
      <c r="L507" s="513" t="s">
        <v>2827</v>
      </c>
      <c r="M507" s="513" t="s">
        <v>780</v>
      </c>
      <c r="N507" s="513" t="s">
        <v>1407</v>
      </c>
      <c r="O507" s="518" t="s">
        <v>2828</v>
      </c>
      <c r="P507" s="152" t="s">
        <v>892</v>
      </c>
      <c r="Q507" s="152" t="s">
        <v>2829</v>
      </c>
      <c r="R507" s="152" t="s">
        <v>3011</v>
      </c>
      <c r="S507" s="152" t="s">
        <v>2831</v>
      </c>
      <c r="T507" s="152" t="s">
        <v>786</v>
      </c>
    </row>
    <row r="508" spans="3:20">
      <c r="C508" s="152" t="s">
        <v>2821</v>
      </c>
      <c r="D508" s="152"/>
      <c r="F508" s="474" t="s">
        <v>372</v>
      </c>
      <c r="G508" s="210" t="s">
        <v>309</v>
      </c>
      <c r="H508" s="210"/>
      <c r="I508" s="513">
        <v>-28120</v>
      </c>
      <c r="J508" s="513">
        <v>-19</v>
      </c>
      <c r="K508" s="513">
        <v>1480</v>
      </c>
      <c r="L508" s="513" t="s">
        <v>2859</v>
      </c>
      <c r="M508" s="513" t="s">
        <v>780</v>
      </c>
      <c r="N508" s="513" t="s">
        <v>1407</v>
      </c>
      <c r="O508" s="518" t="s">
        <v>2907</v>
      </c>
      <c r="P508" s="152" t="s">
        <v>892</v>
      </c>
      <c r="Q508" s="152" t="s">
        <v>2908</v>
      </c>
      <c r="R508" s="152" t="s">
        <v>1627</v>
      </c>
      <c r="S508" s="152" t="s">
        <v>2910</v>
      </c>
      <c r="T508" s="152" t="s">
        <v>786</v>
      </c>
    </row>
    <row r="509" spans="3:20">
      <c r="C509" s="152" t="s">
        <v>2821</v>
      </c>
      <c r="D509" s="152"/>
      <c r="F509" s="474" t="s">
        <v>372</v>
      </c>
      <c r="G509" s="210" t="s">
        <v>309</v>
      </c>
      <c r="H509" s="210"/>
      <c r="I509" s="513">
        <v>-27335.599999999999</v>
      </c>
      <c r="J509" s="513">
        <v>-18.47</v>
      </c>
      <c r="K509" s="513">
        <v>1480</v>
      </c>
      <c r="L509" s="513" t="s">
        <v>2859</v>
      </c>
      <c r="M509" s="513" t="s">
        <v>780</v>
      </c>
      <c r="N509" s="513" t="s">
        <v>1407</v>
      </c>
      <c r="O509" s="518" t="s">
        <v>2907</v>
      </c>
      <c r="P509" s="152" t="s">
        <v>892</v>
      </c>
      <c r="Q509" s="152" t="s">
        <v>2908</v>
      </c>
      <c r="R509" s="152" t="s">
        <v>3017</v>
      </c>
      <c r="S509" s="152" t="s">
        <v>2910</v>
      </c>
      <c r="T509" s="152" t="s">
        <v>786</v>
      </c>
    </row>
    <row r="510" spans="3:20">
      <c r="C510" s="152" t="s">
        <v>2821</v>
      </c>
      <c r="D510" s="152"/>
      <c r="F510" s="474" t="s">
        <v>372</v>
      </c>
      <c r="G510" s="210" t="s">
        <v>309</v>
      </c>
      <c r="H510" s="210"/>
      <c r="I510" s="513">
        <v>-45998.400000000001</v>
      </c>
      <c r="J510" s="513">
        <v>-31.08</v>
      </c>
      <c r="K510" s="513">
        <v>1480</v>
      </c>
      <c r="L510" s="513" t="s">
        <v>2827</v>
      </c>
      <c r="M510" s="513" t="s">
        <v>780</v>
      </c>
      <c r="N510" s="513" t="s">
        <v>1407</v>
      </c>
      <c r="O510" s="518" t="s">
        <v>2828</v>
      </c>
      <c r="P510" s="152" t="s">
        <v>892</v>
      </c>
      <c r="Q510" s="152" t="s">
        <v>2829</v>
      </c>
      <c r="R510" s="152" t="s">
        <v>3018</v>
      </c>
      <c r="S510" s="152" t="s">
        <v>2831</v>
      </c>
      <c r="T510" s="152" t="s">
        <v>786</v>
      </c>
    </row>
    <row r="511" spans="3:20">
      <c r="C511" s="152" t="s">
        <v>2821</v>
      </c>
      <c r="D511" s="152"/>
      <c r="F511" s="474" t="s">
        <v>372</v>
      </c>
      <c r="G511" s="210" t="s">
        <v>309</v>
      </c>
      <c r="H511" s="210"/>
      <c r="I511" s="513">
        <v>29400000</v>
      </c>
      <c r="J511" s="513">
        <v>20000</v>
      </c>
      <c r="K511" s="513">
        <v>1470</v>
      </c>
      <c r="L511" s="513" t="s">
        <v>2899</v>
      </c>
      <c r="M511" s="513" t="s">
        <v>780</v>
      </c>
      <c r="N511" s="513" t="s">
        <v>1407</v>
      </c>
      <c r="O511" s="518" t="s">
        <v>3023</v>
      </c>
      <c r="P511" s="152" t="s">
        <v>892</v>
      </c>
      <c r="Q511" s="152" t="s">
        <v>3024</v>
      </c>
      <c r="R511" s="152" t="s">
        <v>3025</v>
      </c>
      <c r="S511" s="152" t="s">
        <v>3026</v>
      </c>
      <c r="T511" s="152" t="s">
        <v>786</v>
      </c>
    </row>
    <row r="512" spans="3:20">
      <c r="C512" s="152" t="s">
        <v>2821</v>
      </c>
      <c r="D512" s="152"/>
      <c r="F512" s="474" t="s">
        <v>372</v>
      </c>
      <c r="G512" s="210" t="s">
        <v>309</v>
      </c>
      <c r="H512" s="210"/>
      <c r="I512" s="513">
        <v>-118710.8</v>
      </c>
      <c r="J512" s="513">
        <v>-80.209999999999994</v>
      </c>
      <c r="K512" s="513">
        <v>1480</v>
      </c>
      <c r="L512" s="513" t="s">
        <v>2859</v>
      </c>
      <c r="M512" s="513" t="s">
        <v>780</v>
      </c>
      <c r="N512" s="513" t="s">
        <v>1407</v>
      </c>
      <c r="O512" s="518" t="s">
        <v>2907</v>
      </c>
      <c r="P512" s="152" t="s">
        <v>892</v>
      </c>
      <c r="Q512" s="152" t="s">
        <v>2908</v>
      </c>
      <c r="R512" s="152" t="s">
        <v>3030</v>
      </c>
      <c r="S512" s="152" t="s">
        <v>2910</v>
      </c>
      <c r="T512" s="152" t="s">
        <v>786</v>
      </c>
    </row>
    <row r="513" spans="3:20">
      <c r="C513" s="152" t="s">
        <v>2821</v>
      </c>
      <c r="D513" s="152"/>
      <c r="F513" s="474" t="s">
        <v>372</v>
      </c>
      <c r="G513" s="210" t="s">
        <v>309</v>
      </c>
      <c r="H513" s="210"/>
      <c r="I513" s="513">
        <v>-78484.399999999994</v>
      </c>
      <c r="J513" s="513">
        <v>-53.03</v>
      </c>
      <c r="K513" s="513">
        <v>1480</v>
      </c>
      <c r="L513" s="513" t="s">
        <v>2827</v>
      </c>
      <c r="M513" s="513" t="s">
        <v>780</v>
      </c>
      <c r="N513" s="513" t="s">
        <v>1407</v>
      </c>
      <c r="O513" s="518" t="s">
        <v>2828</v>
      </c>
      <c r="P513" s="152" t="s">
        <v>892</v>
      </c>
      <c r="Q513" s="152" t="s">
        <v>2829</v>
      </c>
      <c r="R513" s="152" t="s">
        <v>3031</v>
      </c>
      <c r="S513" s="152" t="s">
        <v>2831</v>
      </c>
      <c r="T513" s="152" t="s">
        <v>786</v>
      </c>
    </row>
    <row r="514" spans="3:20">
      <c r="C514" s="152" t="s">
        <v>2821</v>
      </c>
      <c r="D514" s="152"/>
      <c r="F514" s="474" t="s">
        <v>372</v>
      </c>
      <c r="G514" s="210" t="s">
        <v>309</v>
      </c>
      <c r="H514" s="210"/>
      <c r="I514" s="513">
        <v>-14607.6</v>
      </c>
      <c r="J514" s="513">
        <v>-9.8699999999999992</v>
      </c>
      <c r="K514" s="513">
        <v>1480</v>
      </c>
      <c r="L514" s="513" t="s">
        <v>2827</v>
      </c>
      <c r="M514" s="513" t="s">
        <v>780</v>
      </c>
      <c r="N514" s="513" t="s">
        <v>1407</v>
      </c>
      <c r="O514" s="518" t="s">
        <v>2828</v>
      </c>
      <c r="P514" s="152" t="s">
        <v>892</v>
      </c>
      <c r="Q514" s="152" t="s">
        <v>2829</v>
      </c>
      <c r="R514" s="152" t="s">
        <v>3039</v>
      </c>
      <c r="S514" s="152" t="s">
        <v>2831</v>
      </c>
      <c r="T514" s="152" t="s">
        <v>786</v>
      </c>
    </row>
    <row r="515" spans="3:20">
      <c r="C515" s="152" t="s">
        <v>2821</v>
      </c>
      <c r="D515" s="152"/>
      <c r="F515" s="474" t="s">
        <v>372</v>
      </c>
      <c r="G515" s="210" t="s">
        <v>309</v>
      </c>
      <c r="H515" s="210"/>
      <c r="I515" s="513">
        <v>-592000</v>
      </c>
      <c r="J515" s="513">
        <v>-400</v>
      </c>
      <c r="K515" s="513">
        <v>1480</v>
      </c>
      <c r="L515" s="513" t="s">
        <v>2827</v>
      </c>
      <c r="M515" s="513" t="s">
        <v>780</v>
      </c>
      <c r="N515" s="513" t="s">
        <v>1407</v>
      </c>
      <c r="O515" s="518" t="s">
        <v>2828</v>
      </c>
      <c r="P515" s="152" t="s">
        <v>892</v>
      </c>
      <c r="Q515" s="152" t="s">
        <v>2829</v>
      </c>
      <c r="R515" s="152" t="s">
        <v>3040</v>
      </c>
      <c r="S515" s="152" t="s">
        <v>2831</v>
      </c>
      <c r="T515" s="152" t="s">
        <v>786</v>
      </c>
    </row>
    <row r="516" spans="3:20">
      <c r="C516" s="152" t="s">
        <v>2821</v>
      </c>
      <c r="D516" s="152"/>
      <c r="F516" s="474" t="s">
        <v>372</v>
      </c>
      <c r="G516" s="210" t="s">
        <v>309</v>
      </c>
      <c r="H516" s="210"/>
      <c r="I516" s="513">
        <v>-49165.599999999999</v>
      </c>
      <c r="J516" s="513">
        <v>-33.22</v>
      </c>
      <c r="K516" s="513">
        <v>1480</v>
      </c>
      <c r="L516" s="513" t="s">
        <v>2827</v>
      </c>
      <c r="M516" s="513" t="s">
        <v>780</v>
      </c>
      <c r="N516" s="513" t="s">
        <v>1407</v>
      </c>
      <c r="O516" s="518" t="s">
        <v>2828</v>
      </c>
      <c r="P516" s="152" t="s">
        <v>892</v>
      </c>
      <c r="Q516" s="152" t="s">
        <v>2829</v>
      </c>
      <c r="R516" s="152" t="s">
        <v>3043</v>
      </c>
      <c r="S516" s="152" t="s">
        <v>2831</v>
      </c>
      <c r="T516" s="152" t="s">
        <v>786</v>
      </c>
    </row>
    <row r="517" spans="3:20">
      <c r="C517" s="152" t="s">
        <v>2821</v>
      </c>
      <c r="D517" s="152"/>
      <c r="F517" s="474" t="s">
        <v>372</v>
      </c>
      <c r="G517" s="210" t="s">
        <v>309</v>
      </c>
      <c r="H517" s="210"/>
      <c r="I517" s="513">
        <v>-73570.8</v>
      </c>
      <c r="J517" s="513">
        <v>-49.71</v>
      </c>
      <c r="K517" s="513">
        <v>1480</v>
      </c>
      <c r="L517" s="513" t="s">
        <v>2827</v>
      </c>
      <c r="M517" s="513" t="s">
        <v>780</v>
      </c>
      <c r="N517" s="513" t="s">
        <v>1407</v>
      </c>
      <c r="O517" s="518" t="s">
        <v>2828</v>
      </c>
      <c r="P517" s="152" t="s">
        <v>892</v>
      </c>
      <c r="Q517" s="152" t="s">
        <v>2829</v>
      </c>
      <c r="R517" s="152" t="s">
        <v>3046</v>
      </c>
      <c r="S517" s="152" t="s">
        <v>2831</v>
      </c>
      <c r="T517" s="152" t="s">
        <v>786</v>
      </c>
    </row>
    <row r="518" spans="3:20">
      <c r="C518" s="152" t="s">
        <v>2821</v>
      </c>
      <c r="D518" s="152"/>
      <c r="F518" s="474" t="s">
        <v>372</v>
      </c>
      <c r="G518" s="210" t="s">
        <v>309</v>
      </c>
      <c r="H518" s="210"/>
      <c r="I518" s="513">
        <v>-842608.4</v>
      </c>
      <c r="J518" s="513">
        <v>-569.33000000000004</v>
      </c>
      <c r="K518" s="513">
        <v>1480</v>
      </c>
      <c r="L518" s="513" t="s">
        <v>2827</v>
      </c>
      <c r="M518" s="513" t="s">
        <v>780</v>
      </c>
      <c r="N518" s="513" t="s">
        <v>1407</v>
      </c>
      <c r="O518" s="518" t="s">
        <v>2828</v>
      </c>
      <c r="P518" s="152" t="s">
        <v>892</v>
      </c>
      <c r="Q518" s="152" t="s">
        <v>2829</v>
      </c>
      <c r="R518" s="152" t="s">
        <v>3047</v>
      </c>
      <c r="S518" s="152" t="s">
        <v>2831</v>
      </c>
      <c r="T518" s="152" t="s">
        <v>786</v>
      </c>
    </row>
    <row r="519" spans="3:20">
      <c r="C519" s="152" t="s">
        <v>2821</v>
      </c>
      <c r="D519" s="152"/>
      <c r="F519" s="474" t="s">
        <v>372</v>
      </c>
      <c r="G519" s="210" t="s">
        <v>309</v>
      </c>
      <c r="H519" s="210"/>
      <c r="I519" s="513">
        <v>-880156</v>
      </c>
      <c r="J519" s="513">
        <v>-594.70000000000005</v>
      </c>
      <c r="K519" s="513">
        <v>1480</v>
      </c>
      <c r="L519" s="513" t="s">
        <v>2827</v>
      </c>
      <c r="M519" s="513" t="s">
        <v>780</v>
      </c>
      <c r="N519" s="513" t="s">
        <v>1407</v>
      </c>
      <c r="O519" s="518" t="s">
        <v>2828</v>
      </c>
      <c r="P519" s="152" t="s">
        <v>892</v>
      </c>
      <c r="Q519" s="152" t="s">
        <v>2829</v>
      </c>
      <c r="R519" s="152" t="s">
        <v>3048</v>
      </c>
      <c r="S519" s="152" t="s">
        <v>2831</v>
      </c>
      <c r="T519" s="152" t="s">
        <v>786</v>
      </c>
    </row>
    <row r="520" spans="3:20">
      <c r="C520" s="152" t="s">
        <v>2821</v>
      </c>
      <c r="D520" s="152"/>
      <c r="F520" s="474" t="s">
        <v>372</v>
      </c>
      <c r="G520" s="210" t="s">
        <v>309</v>
      </c>
      <c r="H520" s="210"/>
      <c r="I520" s="513">
        <v>-835030.8</v>
      </c>
      <c r="J520" s="513">
        <v>-564.21</v>
      </c>
      <c r="K520" s="513">
        <v>1480</v>
      </c>
      <c r="L520" s="513" t="s">
        <v>2827</v>
      </c>
      <c r="M520" s="513" t="s">
        <v>780</v>
      </c>
      <c r="N520" s="513" t="s">
        <v>1407</v>
      </c>
      <c r="O520" s="518" t="s">
        <v>2828</v>
      </c>
      <c r="P520" s="152" t="s">
        <v>892</v>
      </c>
      <c r="Q520" s="152" t="s">
        <v>2829</v>
      </c>
      <c r="R520" s="152" t="s">
        <v>3049</v>
      </c>
      <c r="S520" s="152" t="s">
        <v>2831</v>
      </c>
      <c r="T520" s="152" t="s">
        <v>786</v>
      </c>
    </row>
    <row r="521" spans="3:20">
      <c r="C521" s="152" t="s">
        <v>2821</v>
      </c>
      <c r="D521" s="152"/>
      <c r="F521" s="474" t="s">
        <v>372</v>
      </c>
      <c r="G521" s="210" t="s">
        <v>309</v>
      </c>
      <c r="H521" s="210"/>
      <c r="I521" s="513">
        <v>-1191814.3999999999</v>
      </c>
      <c r="J521" s="513">
        <v>-805.28</v>
      </c>
      <c r="K521" s="513">
        <v>1480</v>
      </c>
      <c r="L521" s="513" t="s">
        <v>2859</v>
      </c>
      <c r="M521" s="513" t="s">
        <v>780</v>
      </c>
      <c r="N521" s="513" t="s">
        <v>1407</v>
      </c>
      <c r="O521" s="518" t="s">
        <v>2907</v>
      </c>
      <c r="P521" s="152" t="s">
        <v>892</v>
      </c>
      <c r="Q521" s="152" t="s">
        <v>2908</v>
      </c>
      <c r="R521" s="152" t="s">
        <v>3050</v>
      </c>
      <c r="S521" s="152" t="s">
        <v>2910</v>
      </c>
      <c r="T521" s="152" t="s">
        <v>786</v>
      </c>
    </row>
    <row r="522" spans="3:20">
      <c r="C522" s="152" t="s">
        <v>2821</v>
      </c>
      <c r="D522" s="152"/>
      <c r="F522" s="474" t="s">
        <v>372</v>
      </c>
      <c r="G522" s="210" t="s">
        <v>309</v>
      </c>
      <c r="H522" s="210"/>
      <c r="I522" s="513">
        <v>-743196.8</v>
      </c>
      <c r="J522" s="513">
        <v>-502.16</v>
      </c>
      <c r="K522" s="513">
        <v>1480</v>
      </c>
      <c r="L522" s="513" t="s">
        <v>2859</v>
      </c>
      <c r="M522" s="513" t="s">
        <v>780</v>
      </c>
      <c r="N522" s="513" t="s">
        <v>1407</v>
      </c>
      <c r="O522" s="518" t="s">
        <v>2907</v>
      </c>
      <c r="P522" s="152" t="s">
        <v>892</v>
      </c>
      <c r="Q522" s="152" t="s">
        <v>2908</v>
      </c>
      <c r="R522" s="152" t="s">
        <v>3053</v>
      </c>
      <c r="S522" s="152" t="s">
        <v>2910</v>
      </c>
      <c r="T522" s="152" t="s">
        <v>786</v>
      </c>
    </row>
    <row r="523" spans="3:20">
      <c r="C523" s="152" t="s">
        <v>2821</v>
      </c>
      <c r="D523" s="152"/>
      <c r="F523" s="474" t="s">
        <v>372</v>
      </c>
      <c r="G523" s="210" t="s">
        <v>309</v>
      </c>
      <c r="H523" s="210"/>
      <c r="I523" s="513">
        <v>-120013.2</v>
      </c>
      <c r="J523" s="513">
        <v>-81.09</v>
      </c>
      <c r="K523" s="513">
        <v>1480</v>
      </c>
      <c r="L523" s="513" t="s">
        <v>2827</v>
      </c>
      <c r="M523" s="513" t="s">
        <v>780</v>
      </c>
      <c r="N523" s="513" t="s">
        <v>1407</v>
      </c>
      <c r="O523" s="518" t="s">
        <v>2828</v>
      </c>
      <c r="P523" s="152" t="s">
        <v>892</v>
      </c>
      <c r="Q523" s="152" t="s">
        <v>2829</v>
      </c>
      <c r="R523" s="152" t="s">
        <v>1641</v>
      </c>
      <c r="S523" s="152" t="s">
        <v>2831</v>
      </c>
      <c r="T523" s="152" t="s">
        <v>786</v>
      </c>
    </row>
    <row r="524" spans="3:20">
      <c r="C524" s="152" t="s">
        <v>2821</v>
      </c>
      <c r="D524" s="152"/>
      <c r="F524" s="474" t="s">
        <v>372</v>
      </c>
      <c r="G524" s="210" t="s">
        <v>309</v>
      </c>
      <c r="H524" s="210"/>
      <c r="I524" s="513">
        <v>-31553.599999999999</v>
      </c>
      <c r="J524" s="513">
        <v>-21.32</v>
      </c>
      <c r="K524" s="513">
        <v>1480</v>
      </c>
      <c r="L524" s="513" t="s">
        <v>2827</v>
      </c>
      <c r="M524" s="513" t="s">
        <v>780</v>
      </c>
      <c r="N524" s="513" t="s">
        <v>1407</v>
      </c>
      <c r="O524" s="518" t="s">
        <v>2828</v>
      </c>
      <c r="P524" s="152" t="s">
        <v>892</v>
      </c>
      <c r="Q524" s="152" t="s">
        <v>2829</v>
      </c>
      <c r="R524" s="152" t="s">
        <v>3054</v>
      </c>
      <c r="S524" s="152" t="s">
        <v>2831</v>
      </c>
      <c r="T524" s="152" t="s">
        <v>786</v>
      </c>
    </row>
    <row r="525" spans="3:20">
      <c r="C525" s="152" t="s">
        <v>2821</v>
      </c>
      <c r="D525" s="152"/>
      <c r="F525" s="474" t="s">
        <v>372</v>
      </c>
      <c r="G525" s="210" t="s">
        <v>309</v>
      </c>
      <c r="H525" s="210"/>
      <c r="I525" s="513">
        <v>-799200</v>
      </c>
      <c r="J525" s="513">
        <v>-540</v>
      </c>
      <c r="K525" s="513">
        <v>1480</v>
      </c>
      <c r="L525" s="513" t="s">
        <v>2827</v>
      </c>
      <c r="M525" s="513" t="s">
        <v>780</v>
      </c>
      <c r="N525" s="513" t="s">
        <v>1407</v>
      </c>
      <c r="O525" s="518" t="s">
        <v>2828</v>
      </c>
      <c r="P525" s="152" t="s">
        <v>892</v>
      </c>
      <c r="Q525" s="152" t="s">
        <v>2829</v>
      </c>
      <c r="R525" s="152" t="s">
        <v>3058</v>
      </c>
      <c r="S525" s="152" t="s">
        <v>2831</v>
      </c>
      <c r="T525" s="152" t="s">
        <v>786</v>
      </c>
    </row>
    <row r="526" spans="3:20">
      <c r="C526" s="152" t="s">
        <v>2821</v>
      </c>
      <c r="D526" s="152"/>
      <c r="F526" s="474" t="s">
        <v>372</v>
      </c>
      <c r="G526" s="210" t="s">
        <v>309</v>
      </c>
      <c r="H526" s="210"/>
      <c r="I526" s="513">
        <v>-107137.2</v>
      </c>
      <c r="J526" s="513">
        <v>-72.39</v>
      </c>
      <c r="K526" s="513">
        <v>1480</v>
      </c>
      <c r="L526" s="513" t="s">
        <v>2827</v>
      </c>
      <c r="M526" s="513" t="s">
        <v>780</v>
      </c>
      <c r="N526" s="513" t="s">
        <v>1407</v>
      </c>
      <c r="O526" s="518" t="s">
        <v>2828</v>
      </c>
      <c r="P526" s="152" t="s">
        <v>892</v>
      </c>
      <c r="Q526" s="152" t="s">
        <v>2829</v>
      </c>
      <c r="R526" s="152" t="s">
        <v>3059</v>
      </c>
      <c r="S526" s="152" t="s">
        <v>2831</v>
      </c>
      <c r="T526" s="152" t="s">
        <v>786</v>
      </c>
    </row>
    <row r="527" spans="3:20">
      <c r="C527" s="152" t="s">
        <v>2821</v>
      </c>
      <c r="D527" s="152"/>
      <c r="F527" s="474" t="s">
        <v>372</v>
      </c>
      <c r="G527" s="210" t="s">
        <v>309</v>
      </c>
      <c r="H527" s="210"/>
      <c r="I527" s="513">
        <v>-913041.6</v>
      </c>
      <c r="J527" s="513">
        <v>-616.91999999999996</v>
      </c>
      <c r="K527" s="513">
        <v>1480</v>
      </c>
      <c r="L527" s="513" t="s">
        <v>2827</v>
      </c>
      <c r="M527" s="513" t="s">
        <v>780</v>
      </c>
      <c r="N527" s="513" t="s">
        <v>1407</v>
      </c>
      <c r="O527" s="518" t="s">
        <v>2828</v>
      </c>
      <c r="P527" s="152" t="s">
        <v>892</v>
      </c>
      <c r="Q527" s="152" t="s">
        <v>2829</v>
      </c>
      <c r="R527" s="152" t="s">
        <v>3063</v>
      </c>
      <c r="S527" s="152" t="s">
        <v>2831</v>
      </c>
      <c r="T527" s="152" t="s">
        <v>786</v>
      </c>
    </row>
    <row r="528" spans="3:20">
      <c r="C528" s="152" t="s">
        <v>2821</v>
      </c>
      <c r="D528" s="152"/>
      <c r="F528" s="474" t="s">
        <v>372</v>
      </c>
      <c r="G528" s="210" t="s">
        <v>309</v>
      </c>
      <c r="H528" s="210"/>
      <c r="I528" s="513">
        <v>-182040</v>
      </c>
      <c r="J528" s="513">
        <v>-123</v>
      </c>
      <c r="K528" s="513">
        <v>1480</v>
      </c>
      <c r="L528" s="513" t="s">
        <v>2827</v>
      </c>
      <c r="M528" s="513" t="s">
        <v>780</v>
      </c>
      <c r="N528" s="513" t="s">
        <v>1407</v>
      </c>
      <c r="O528" s="518" t="s">
        <v>2828</v>
      </c>
      <c r="P528" s="152" t="s">
        <v>892</v>
      </c>
      <c r="Q528" s="152" t="s">
        <v>2829</v>
      </c>
      <c r="R528" s="152" t="s">
        <v>3071</v>
      </c>
      <c r="S528" s="152" t="s">
        <v>2831</v>
      </c>
      <c r="T528" s="152" t="s">
        <v>786</v>
      </c>
    </row>
    <row r="529" spans="3:20">
      <c r="C529" s="152" t="s">
        <v>2821</v>
      </c>
      <c r="D529" s="152"/>
      <c r="F529" s="474" t="s">
        <v>372</v>
      </c>
      <c r="G529" s="210" t="s">
        <v>309</v>
      </c>
      <c r="H529" s="210"/>
      <c r="I529" s="513">
        <v>-26980.400000000001</v>
      </c>
      <c r="J529" s="513">
        <v>-18.23</v>
      </c>
      <c r="K529" s="513">
        <v>1480</v>
      </c>
      <c r="L529" s="513" t="s">
        <v>2827</v>
      </c>
      <c r="M529" s="513" t="s">
        <v>780</v>
      </c>
      <c r="N529" s="513" t="s">
        <v>1407</v>
      </c>
      <c r="O529" s="518" t="s">
        <v>2828</v>
      </c>
      <c r="P529" s="152" t="s">
        <v>892</v>
      </c>
      <c r="Q529" s="152" t="s">
        <v>2829</v>
      </c>
      <c r="R529" s="152" t="s">
        <v>3072</v>
      </c>
      <c r="S529" s="152" t="s">
        <v>2831</v>
      </c>
      <c r="T529" s="152" t="s">
        <v>786</v>
      </c>
    </row>
    <row r="530" spans="3:20">
      <c r="C530" s="152" t="s">
        <v>2821</v>
      </c>
      <c r="D530" s="152"/>
      <c r="F530" s="474" t="s">
        <v>372</v>
      </c>
      <c r="G530" s="210" t="s">
        <v>309</v>
      </c>
      <c r="H530" s="210"/>
      <c r="I530" s="513">
        <v>-150763.20000000001</v>
      </c>
      <c r="J530" s="513">
        <v>-102.56</v>
      </c>
      <c r="K530" s="513">
        <v>1470</v>
      </c>
      <c r="L530" s="513" t="s">
        <v>2827</v>
      </c>
      <c r="M530" s="513" t="s">
        <v>780</v>
      </c>
      <c r="N530" s="513" t="s">
        <v>1407</v>
      </c>
      <c r="O530" s="518" t="s">
        <v>2828</v>
      </c>
      <c r="P530" s="152" t="s">
        <v>892</v>
      </c>
      <c r="Q530" s="152" t="s">
        <v>2829</v>
      </c>
      <c r="R530" s="152" t="s">
        <v>3073</v>
      </c>
      <c r="S530" s="152" t="s">
        <v>2831</v>
      </c>
      <c r="T530" s="152" t="s">
        <v>786</v>
      </c>
    </row>
    <row r="531" spans="3:20">
      <c r="C531" s="152" t="s">
        <v>2821</v>
      </c>
      <c r="D531" s="152"/>
      <c r="F531" s="474" t="s">
        <v>372</v>
      </c>
      <c r="G531" s="210" t="s">
        <v>309</v>
      </c>
      <c r="H531" s="210"/>
      <c r="I531" s="513">
        <v>-52773</v>
      </c>
      <c r="J531" s="513">
        <v>-35.9</v>
      </c>
      <c r="K531" s="513">
        <v>1470</v>
      </c>
      <c r="L531" s="513" t="s">
        <v>2827</v>
      </c>
      <c r="M531" s="513" t="s">
        <v>780</v>
      </c>
      <c r="N531" s="513" t="s">
        <v>1407</v>
      </c>
      <c r="O531" s="518" t="s">
        <v>2828</v>
      </c>
      <c r="P531" s="152" t="s">
        <v>892</v>
      </c>
      <c r="Q531" s="152" t="s">
        <v>2829</v>
      </c>
      <c r="R531" s="152" t="s">
        <v>3074</v>
      </c>
      <c r="S531" s="152" t="s">
        <v>2831</v>
      </c>
      <c r="T531" s="152" t="s">
        <v>786</v>
      </c>
    </row>
    <row r="532" spans="3:20">
      <c r="C532" s="152" t="s">
        <v>2821</v>
      </c>
      <c r="D532" s="152"/>
      <c r="F532" s="474" t="s">
        <v>372</v>
      </c>
      <c r="G532" s="210" t="s">
        <v>309</v>
      </c>
      <c r="H532" s="210"/>
      <c r="I532" s="513">
        <v>-444000</v>
      </c>
      <c r="J532" s="513">
        <v>-300</v>
      </c>
      <c r="K532" s="513">
        <v>1480</v>
      </c>
      <c r="L532" s="513" t="s">
        <v>2859</v>
      </c>
      <c r="M532" s="513" t="s">
        <v>780</v>
      </c>
      <c r="N532" s="513" t="s">
        <v>1407</v>
      </c>
      <c r="O532" s="518" t="s">
        <v>2907</v>
      </c>
      <c r="P532" s="152" t="s">
        <v>892</v>
      </c>
      <c r="Q532" s="152" t="s">
        <v>2908</v>
      </c>
      <c r="R532" s="152" t="s">
        <v>3076</v>
      </c>
      <c r="S532" s="152" t="s">
        <v>2910</v>
      </c>
      <c r="T532" s="152" t="s">
        <v>786</v>
      </c>
    </row>
    <row r="533" spans="3:20">
      <c r="C533" s="152" t="s">
        <v>2821</v>
      </c>
      <c r="D533" s="152"/>
      <c r="F533" s="474" t="s">
        <v>372</v>
      </c>
      <c r="G533" s="210" t="s">
        <v>309</v>
      </c>
      <c r="H533" s="210"/>
      <c r="I533" s="513">
        <v>-74000</v>
      </c>
      <c r="J533" s="513">
        <v>-50</v>
      </c>
      <c r="K533" s="513">
        <v>1480</v>
      </c>
      <c r="L533" s="513" t="s">
        <v>2827</v>
      </c>
      <c r="M533" s="513" t="s">
        <v>780</v>
      </c>
      <c r="N533" s="513" t="s">
        <v>1407</v>
      </c>
      <c r="O533" s="518" t="s">
        <v>2828</v>
      </c>
      <c r="P533" s="152" t="s">
        <v>892</v>
      </c>
      <c r="Q533" s="152" t="s">
        <v>2829</v>
      </c>
      <c r="R533" s="152" t="s">
        <v>3077</v>
      </c>
      <c r="S533" s="152" t="s">
        <v>2831</v>
      </c>
      <c r="T533" s="152" t="s">
        <v>786</v>
      </c>
    </row>
    <row r="534" spans="3:20">
      <c r="C534" s="152" t="s">
        <v>2821</v>
      </c>
      <c r="D534" s="152"/>
      <c r="F534" s="474" t="s">
        <v>372</v>
      </c>
      <c r="G534" s="210" t="s">
        <v>309</v>
      </c>
      <c r="H534" s="210"/>
      <c r="I534" s="513">
        <v>-68479.600000000006</v>
      </c>
      <c r="J534" s="513">
        <v>-46.27</v>
      </c>
      <c r="K534" s="513">
        <v>1480</v>
      </c>
      <c r="L534" s="513" t="s">
        <v>2827</v>
      </c>
      <c r="M534" s="513" t="s">
        <v>780</v>
      </c>
      <c r="N534" s="513" t="s">
        <v>1407</v>
      </c>
      <c r="O534" s="518" t="s">
        <v>2828</v>
      </c>
      <c r="P534" s="152" t="s">
        <v>892</v>
      </c>
      <c r="Q534" s="152" t="s">
        <v>2829</v>
      </c>
      <c r="R534" s="152" t="s">
        <v>3079</v>
      </c>
      <c r="S534" s="152" t="s">
        <v>2831</v>
      </c>
      <c r="T534" s="152" t="s">
        <v>786</v>
      </c>
    </row>
    <row r="535" spans="3:20">
      <c r="C535" s="152" t="s">
        <v>2821</v>
      </c>
      <c r="D535" s="152"/>
      <c r="F535" s="474" t="s">
        <v>372</v>
      </c>
      <c r="G535" s="210" t="s">
        <v>309</v>
      </c>
      <c r="H535" s="210"/>
      <c r="I535" s="513">
        <v>-156199.20000000001</v>
      </c>
      <c r="J535" s="513">
        <v>-105.54</v>
      </c>
      <c r="K535" s="513">
        <v>1480</v>
      </c>
      <c r="L535" s="513" t="s">
        <v>2827</v>
      </c>
      <c r="M535" s="513" t="s">
        <v>780</v>
      </c>
      <c r="N535" s="513" t="s">
        <v>1407</v>
      </c>
      <c r="O535" s="518" t="s">
        <v>2828</v>
      </c>
      <c r="P535" s="152" t="s">
        <v>892</v>
      </c>
      <c r="Q535" s="152" t="s">
        <v>2829</v>
      </c>
      <c r="R535" s="152" t="s">
        <v>3081</v>
      </c>
      <c r="S535" s="152" t="s">
        <v>2831</v>
      </c>
      <c r="T535" s="152" t="s">
        <v>786</v>
      </c>
    </row>
    <row r="536" spans="3:20">
      <c r="C536" s="152" t="s">
        <v>2821</v>
      </c>
      <c r="D536" s="152"/>
      <c r="F536" s="474" t="s">
        <v>372</v>
      </c>
      <c r="G536" s="210" t="s">
        <v>309</v>
      </c>
      <c r="H536" s="210"/>
      <c r="I536" s="513">
        <v>370000</v>
      </c>
      <c r="J536" s="513">
        <v>250</v>
      </c>
      <c r="K536" s="513">
        <v>1480</v>
      </c>
      <c r="L536" s="513" t="s">
        <v>2859</v>
      </c>
      <c r="M536" s="513" t="s">
        <v>1540</v>
      </c>
      <c r="N536" s="513" t="s">
        <v>1407</v>
      </c>
      <c r="O536" s="518" t="s">
        <v>3307</v>
      </c>
      <c r="P536" s="152" t="s">
        <v>1832</v>
      </c>
      <c r="Q536" s="152" t="s">
        <v>3308</v>
      </c>
      <c r="R536" s="152" t="s">
        <v>3308</v>
      </c>
      <c r="S536" s="152" t="s">
        <v>3309</v>
      </c>
      <c r="T536" s="152" t="s">
        <v>786</v>
      </c>
    </row>
    <row r="537" spans="3:20">
      <c r="C537" s="152" t="s">
        <v>2821</v>
      </c>
      <c r="D537" s="152"/>
      <c r="F537" s="474" t="s">
        <v>671</v>
      </c>
      <c r="G537" s="210" t="s">
        <v>672</v>
      </c>
      <c r="H537" s="210"/>
      <c r="I537" s="513">
        <v>-1171508.8</v>
      </c>
      <c r="J537" s="513">
        <v>-791.56</v>
      </c>
      <c r="K537" s="513">
        <v>1480</v>
      </c>
      <c r="L537" s="513" t="s">
        <v>2859</v>
      </c>
      <c r="M537" s="513" t="s">
        <v>780</v>
      </c>
      <c r="N537" s="513" t="s">
        <v>781</v>
      </c>
      <c r="O537" s="518" t="s">
        <v>3195</v>
      </c>
      <c r="P537" s="152" t="s">
        <v>892</v>
      </c>
      <c r="Q537" s="152" t="s">
        <v>3196</v>
      </c>
      <c r="R537" s="152" t="s">
        <v>3197</v>
      </c>
      <c r="S537" s="152" t="s">
        <v>3198</v>
      </c>
      <c r="T537" s="152" t="s">
        <v>786</v>
      </c>
    </row>
    <row r="538" spans="3:20">
      <c r="C538" s="152" t="s">
        <v>2821</v>
      </c>
      <c r="D538" s="152"/>
      <c r="F538" s="474" t="s">
        <v>671</v>
      </c>
      <c r="G538" s="210" t="s">
        <v>672</v>
      </c>
      <c r="H538" s="210"/>
      <c r="I538" s="513">
        <v>-84315.6</v>
      </c>
      <c r="J538" s="513">
        <v>-56.97</v>
      </c>
      <c r="K538" s="513">
        <v>1480</v>
      </c>
      <c r="L538" s="513" t="s">
        <v>2859</v>
      </c>
      <c r="M538" s="513" t="s">
        <v>780</v>
      </c>
      <c r="N538" s="513" t="s">
        <v>781</v>
      </c>
      <c r="O538" s="518" t="s">
        <v>3195</v>
      </c>
      <c r="P538" s="152" t="s">
        <v>892</v>
      </c>
      <c r="Q538" s="152" t="s">
        <v>3196</v>
      </c>
      <c r="R538" s="152" t="s">
        <v>3199</v>
      </c>
      <c r="S538" s="152" t="s">
        <v>3198</v>
      </c>
      <c r="T538" s="152" t="s">
        <v>786</v>
      </c>
    </row>
    <row r="539" spans="3:20">
      <c r="C539" s="152" t="s">
        <v>2821</v>
      </c>
      <c r="D539" s="152"/>
      <c r="F539" s="474" t="s">
        <v>671</v>
      </c>
      <c r="G539" s="210" t="s">
        <v>672</v>
      </c>
      <c r="H539" s="210"/>
      <c r="I539" s="513">
        <v>1376.4</v>
      </c>
      <c r="J539" s="513">
        <v>0.93</v>
      </c>
      <c r="K539" s="513">
        <v>1480</v>
      </c>
      <c r="L539" s="513" t="s">
        <v>2845</v>
      </c>
      <c r="M539" s="513" t="s">
        <v>780</v>
      </c>
      <c r="N539" s="513" t="s">
        <v>781</v>
      </c>
      <c r="O539" s="518" t="s">
        <v>3200</v>
      </c>
      <c r="P539" s="152" t="s">
        <v>892</v>
      </c>
      <c r="Q539" s="152" t="s">
        <v>3201</v>
      </c>
      <c r="R539" s="152" t="s">
        <v>3202</v>
      </c>
      <c r="S539" s="152" t="s">
        <v>3203</v>
      </c>
      <c r="T539" s="152" t="s">
        <v>786</v>
      </c>
    </row>
    <row r="540" spans="3:20">
      <c r="C540" s="152" t="s">
        <v>2821</v>
      </c>
      <c r="D540" s="152"/>
      <c r="F540" s="474" t="s">
        <v>671</v>
      </c>
      <c r="G540" s="210" t="s">
        <v>672</v>
      </c>
      <c r="H540" s="210"/>
      <c r="I540" s="513">
        <v>-225788.79999999999</v>
      </c>
      <c r="J540" s="513">
        <v>-152.56</v>
      </c>
      <c r="K540" s="513">
        <v>1480</v>
      </c>
      <c r="L540" s="513" t="s">
        <v>2827</v>
      </c>
      <c r="M540" s="513" t="s">
        <v>780</v>
      </c>
      <c r="N540" s="513" t="s">
        <v>781</v>
      </c>
      <c r="O540" s="518" t="s">
        <v>3207</v>
      </c>
      <c r="P540" s="152" t="s">
        <v>892</v>
      </c>
      <c r="Q540" s="152" t="s">
        <v>3208</v>
      </c>
      <c r="R540" s="152" t="s">
        <v>3209</v>
      </c>
      <c r="S540" s="152" t="s">
        <v>3210</v>
      </c>
      <c r="T540" s="152" t="s">
        <v>786</v>
      </c>
    </row>
    <row r="541" spans="3:20">
      <c r="C541" s="152" t="s">
        <v>2821</v>
      </c>
      <c r="D541" s="152"/>
      <c r="F541" s="474" t="s">
        <v>671</v>
      </c>
      <c r="G541" s="210" t="s">
        <v>672</v>
      </c>
      <c r="H541" s="210"/>
      <c r="I541" s="513">
        <v>-102075.6</v>
      </c>
      <c r="J541" s="513">
        <v>-68.97</v>
      </c>
      <c r="K541" s="513">
        <v>1480</v>
      </c>
      <c r="L541" s="513" t="s">
        <v>2827</v>
      </c>
      <c r="M541" s="513" t="s">
        <v>780</v>
      </c>
      <c r="N541" s="513" t="s">
        <v>781</v>
      </c>
      <c r="O541" s="518" t="s">
        <v>3207</v>
      </c>
      <c r="P541" s="152" t="s">
        <v>892</v>
      </c>
      <c r="Q541" s="152" t="s">
        <v>3208</v>
      </c>
      <c r="R541" s="152" t="s">
        <v>3215</v>
      </c>
      <c r="S541" s="152" t="s">
        <v>3210</v>
      </c>
      <c r="T541" s="152" t="s">
        <v>786</v>
      </c>
    </row>
    <row r="542" spans="3:20">
      <c r="C542" s="152" t="s">
        <v>2821</v>
      </c>
      <c r="D542" s="152"/>
      <c r="F542" s="474" t="s">
        <v>671</v>
      </c>
      <c r="G542" s="210" t="s">
        <v>672</v>
      </c>
      <c r="H542" s="210"/>
      <c r="I542" s="513">
        <v>1346.8</v>
      </c>
      <c r="J542" s="513">
        <v>0.91</v>
      </c>
      <c r="K542" s="513">
        <v>1480</v>
      </c>
      <c r="L542" s="513" t="s">
        <v>3019</v>
      </c>
      <c r="M542" s="513" t="s">
        <v>780</v>
      </c>
      <c r="N542" s="513" t="s">
        <v>781</v>
      </c>
      <c r="O542" s="518" t="s">
        <v>3221</v>
      </c>
      <c r="P542" s="152" t="s">
        <v>892</v>
      </c>
      <c r="Q542" s="152" t="s">
        <v>3222</v>
      </c>
      <c r="R542" s="152" t="s">
        <v>3223</v>
      </c>
      <c r="S542" s="152" t="s">
        <v>3224</v>
      </c>
      <c r="T542" s="152" t="s">
        <v>786</v>
      </c>
    </row>
    <row r="543" spans="3:20">
      <c r="C543" s="152" t="s">
        <v>2821</v>
      </c>
      <c r="D543" s="152"/>
      <c r="F543" s="474" t="s">
        <v>671</v>
      </c>
      <c r="G543" s="210" t="s">
        <v>672</v>
      </c>
      <c r="H543" s="210"/>
      <c r="I543" s="513">
        <v>-85840</v>
      </c>
      <c r="J543" s="513">
        <v>-58</v>
      </c>
      <c r="K543" s="513">
        <v>1480</v>
      </c>
      <c r="L543" s="513" t="s">
        <v>2827</v>
      </c>
      <c r="M543" s="513" t="s">
        <v>780</v>
      </c>
      <c r="N543" s="513" t="s">
        <v>781</v>
      </c>
      <c r="O543" s="518" t="s">
        <v>3207</v>
      </c>
      <c r="P543" s="152" t="s">
        <v>892</v>
      </c>
      <c r="Q543" s="152" t="s">
        <v>3208</v>
      </c>
      <c r="R543" s="152" t="s">
        <v>3228</v>
      </c>
      <c r="S543" s="152" t="s">
        <v>3210</v>
      </c>
      <c r="T543" s="152" t="s">
        <v>786</v>
      </c>
    </row>
    <row r="544" spans="3:20">
      <c r="C544" s="152" t="s">
        <v>2821</v>
      </c>
      <c r="D544" s="152"/>
      <c r="F544" s="474" t="s">
        <v>671</v>
      </c>
      <c r="G544" s="210" t="s">
        <v>672</v>
      </c>
      <c r="H544" s="210"/>
      <c r="I544" s="513">
        <v>-9264.7999999999993</v>
      </c>
      <c r="J544" s="513">
        <v>-6.26</v>
      </c>
      <c r="K544" s="513">
        <v>1480</v>
      </c>
      <c r="L544" s="513" t="s">
        <v>2827</v>
      </c>
      <c r="M544" s="513" t="s">
        <v>780</v>
      </c>
      <c r="N544" s="513" t="s">
        <v>781</v>
      </c>
      <c r="O544" s="518" t="s">
        <v>3207</v>
      </c>
      <c r="P544" s="152" t="s">
        <v>892</v>
      </c>
      <c r="Q544" s="152" t="s">
        <v>3208</v>
      </c>
      <c r="R544" s="152" t="s">
        <v>3229</v>
      </c>
      <c r="S544" s="152" t="s">
        <v>3210</v>
      </c>
      <c r="T544" s="152" t="s">
        <v>786</v>
      </c>
    </row>
    <row r="545" spans="3:20">
      <c r="C545" s="152" t="s">
        <v>2821</v>
      </c>
      <c r="D545" s="152"/>
      <c r="F545" s="474" t="s">
        <v>671</v>
      </c>
      <c r="G545" s="210" t="s">
        <v>672</v>
      </c>
      <c r="H545" s="210"/>
      <c r="I545" s="513">
        <v>7400000</v>
      </c>
      <c r="J545" s="513">
        <v>5000</v>
      </c>
      <c r="K545" s="513">
        <v>1480</v>
      </c>
      <c r="L545" s="513" t="s">
        <v>2859</v>
      </c>
      <c r="M545" s="513" t="s">
        <v>780</v>
      </c>
      <c r="N545" s="513" t="s">
        <v>781</v>
      </c>
      <c r="O545" s="518" t="s">
        <v>3262</v>
      </c>
      <c r="P545" s="152" t="s">
        <v>892</v>
      </c>
      <c r="Q545" s="152" t="s">
        <v>3263</v>
      </c>
      <c r="R545" s="152" t="s">
        <v>3263</v>
      </c>
      <c r="S545" s="152" t="s">
        <v>3264</v>
      </c>
      <c r="T545" s="152" t="s">
        <v>786</v>
      </c>
    </row>
    <row r="546" spans="3:20">
      <c r="C546" s="152" t="s">
        <v>2821</v>
      </c>
      <c r="D546" s="152"/>
      <c r="F546" s="474" t="s">
        <v>673</v>
      </c>
      <c r="G546" s="210" t="s">
        <v>674</v>
      </c>
      <c r="H546" s="210"/>
      <c r="I546" s="513">
        <v>-47360</v>
      </c>
      <c r="J546" s="513">
        <v>-32</v>
      </c>
      <c r="K546" s="513">
        <v>1480</v>
      </c>
      <c r="L546" s="513" t="s">
        <v>2827</v>
      </c>
      <c r="M546" s="513" t="s">
        <v>780</v>
      </c>
      <c r="N546" s="513" t="s">
        <v>781</v>
      </c>
      <c r="O546" s="518" t="s">
        <v>3204</v>
      </c>
      <c r="P546" s="152" t="s">
        <v>892</v>
      </c>
      <c r="Q546" s="152" t="s">
        <v>3205</v>
      </c>
      <c r="R546" s="152" t="s">
        <v>851</v>
      </c>
      <c r="S546" s="152" t="s">
        <v>3206</v>
      </c>
      <c r="T546" s="152" t="s">
        <v>786</v>
      </c>
    </row>
    <row r="547" spans="3:20">
      <c r="C547" s="152" t="s">
        <v>2821</v>
      </c>
      <c r="D547" s="152"/>
      <c r="F547" s="474" t="s">
        <v>673</v>
      </c>
      <c r="G547" s="210" t="s">
        <v>674</v>
      </c>
      <c r="H547" s="210"/>
      <c r="I547" s="513">
        <v>-211876.8</v>
      </c>
      <c r="J547" s="513">
        <v>-143.16</v>
      </c>
      <c r="K547" s="513">
        <v>1480</v>
      </c>
      <c r="L547" s="513" t="s">
        <v>2859</v>
      </c>
      <c r="M547" s="513" t="s">
        <v>780</v>
      </c>
      <c r="N547" s="513" t="s">
        <v>781</v>
      </c>
      <c r="O547" s="518" t="s">
        <v>3211</v>
      </c>
      <c r="P547" s="152" t="s">
        <v>892</v>
      </c>
      <c r="Q547" s="152" t="s">
        <v>3212</v>
      </c>
      <c r="R547" s="152" t="s">
        <v>3213</v>
      </c>
      <c r="S547" s="152" t="s">
        <v>3214</v>
      </c>
      <c r="T547" s="152" t="s">
        <v>786</v>
      </c>
    </row>
    <row r="548" spans="3:20">
      <c r="C548" s="152" t="s">
        <v>2821</v>
      </c>
      <c r="D548" s="152"/>
      <c r="F548" s="474" t="s">
        <v>673</v>
      </c>
      <c r="G548" s="210" t="s">
        <v>674</v>
      </c>
      <c r="H548" s="210"/>
      <c r="I548" s="513">
        <v>-2812</v>
      </c>
      <c r="J548" s="513">
        <v>-1.9</v>
      </c>
      <c r="K548" s="513">
        <v>1480</v>
      </c>
      <c r="L548" s="513" t="s">
        <v>2827</v>
      </c>
      <c r="M548" s="513" t="s">
        <v>780</v>
      </c>
      <c r="N548" s="513" t="s">
        <v>781</v>
      </c>
      <c r="O548" s="518" t="s">
        <v>3204</v>
      </c>
      <c r="P548" s="152" t="s">
        <v>892</v>
      </c>
      <c r="Q548" s="152" t="s">
        <v>3205</v>
      </c>
      <c r="R548" s="152" t="s">
        <v>953</v>
      </c>
      <c r="S548" s="152" t="s">
        <v>3206</v>
      </c>
      <c r="T548" s="152" t="s">
        <v>786</v>
      </c>
    </row>
    <row r="549" spans="3:20">
      <c r="C549" s="152" t="s">
        <v>2821</v>
      </c>
      <c r="D549" s="152"/>
      <c r="F549" s="474" t="s">
        <v>673</v>
      </c>
      <c r="G549" s="210" t="s">
        <v>674</v>
      </c>
      <c r="H549" s="210"/>
      <c r="I549" s="513">
        <v>-2812</v>
      </c>
      <c r="J549" s="513">
        <v>-1.9</v>
      </c>
      <c r="K549" s="513">
        <v>1480</v>
      </c>
      <c r="L549" s="513" t="s">
        <v>2827</v>
      </c>
      <c r="M549" s="513" t="s">
        <v>780</v>
      </c>
      <c r="N549" s="513" t="s">
        <v>781</v>
      </c>
      <c r="O549" s="518" t="s">
        <v>3204</v>
      </c>
      <c r="P549" s="152" t="s">
        <v>892</v>
      </c>
      <c r="Q549" s="152" t="s">
        <v>3205</v>
      </c>
      <c r="R549" s="152" t="s">
        <v>953</v>
      </c>
      <c r="S549" s="152" t="s">
        <v>3206</v>
      </c>
      <c r="T549" s="152" t="s">
        <v>786</v>
      </c>
    </row>
    <row r="550" spans="3:20">
      <c r="C550" s="152" t="s">
        <v>2821</v>
      </c>
      <c r="D550" s="152"/>
      <c r="F550" s="474" t="s">
        <v>673</v>
      </c>
      <c r="G550" s="210" t="s">
        <v>674</v>
      </c>
      <c r="H550" s="210"/>
      <c r="I550" s="513">
        <v>-37000</v>
      </c>
      <c r="J550" s="513">
        <v>-25</v>
      </c>
      <c r="K550" s="513">
        <v>1480</v>
      </c>
      <c r="L550" s="513" t="s">
        <v>2827</v>
      </c>
      <c r="M550" s="513" t="s">
        <v>780</v>
      </c>
      <c r="N550" s="513" t="s">
        <v>781</v>
      </c>
      <c r="O550" s="518" t="s">
        <v>3204</v>
      </c>
      <c r="P550" s="152" t="s">
        <v>892</v>
      </c>
      <c r="Q550" s="152" t="s">
        <v>3205</v>
      </c>
      <c r="R550" s="152" t="s">
        <v>852</v>
      </c>
      <c r="S550" s="152" t="s">
        <v>3206</v>
      </c>
      <c r="T550" s="152" t="s">
        <v>786</v>
      </c>
    </row>
    <row r="551" spans="3:20">
      <c r="C551" s="152" t="s">
        <v>2821</v>
      </c>
      <c r="D551" s="152"/>
      <c r="F551" s="474" t="s">
        <v>673</v>
      </c>
      <c r="G551" s="210" t="s">
        <v>674</v>
      </c>
      <c r="H551" s="210"/>
      <c r="I551" s="513">
        <v>-437369.59999999998</v>
      </c>
      <c r="J551" s="513">
        <v>-295.52</v>
      </c>
      <c r="K551" s="513">
        <v>1480</v>
      </c>
      <c r="L551" s="513" t="s">
        <v>2859</v>
      </c>
      <c r="M551" s="513" t="s">
        <v>780</v>
      </c>
      <c r="N551" s="513" t="s">
        <v>781</v>
      </c>
      <c r="O551" s="518" t="s">
        <v>3211</v>
      </c>
      <c r="P551" s="152" t="s">
        <v>892</v>
      </c>
      <c r="Q551" s="152" t="s">
        <v>3212</v>
      </c>
      <c r="R551" s="152" t="s">
        <v>941</v>
      </c>
      <c r="S551" s="152" t="s">
        <v>3214</v>
      </c>
      <c r="T551" s="152" t="s">
        <v>786</v>
      </c>
    </row>
    <row r="552" spans="3:20">
      <c r="C552" s="152" t="s">
        <v>2821</v>
      </c>
      <c r="D552" s="152"/>
      <c r="F552" s="474" t="s">
        <v>673</v>
      </c>
      <c r="G552" s="210" t="s">
        <v>674</v>
      </c>
      <c r="H552" s="210"/>
      <c r="I552" s="513">
        <v>-478883.6</v>
      </c>
      <c r="J552" s="513">
        <v>-323.57</v>
      </c>
      <c r="K552" s="513">
        <v>1480</v>
      </c>
      <c r="L552" s="513" t="s">
        <v>2859</v>
      </c>
      <c r="M552" s="513" t="s">
        <v>780</v>
      </c>
      <c r="N552" s="513" t="s">
        <v>781</v>
      </c>
      <c r="O552" s="518" t="s">
        <v>3211</v>
      </c>
      <c r="P552" s="152" t="s">
        <v>892</v>
      </c>
      <c r="Q552" s="152" t="s">
        <v>3212</v>
      </c>
      <c r="R552" s="152" t="s">
        <v>941</v>
      </c>
      <c r="S552" s="152" t="s">
        <v>3214</v>
      </c>
      <c r="T552" s="152" t="s">
        <v>786</v>
      </c>
    </row>
    <row r="553" spans="3:20">
      <c r="C553" s="152" t="s">
        <v>2821</v>
      </c>
      <c r="D553" s="152"/>
      <c r="F553" s="474" t="s">
        <v>673</v>
      </c>
      <c r="G553" s="210" t="s">
        <v>674</v>
      </c>
      <c r="H553" s="210"/>
      <c r="I553" s="513">
        <v>-289813.59999999998</v>
      </c>
      <c r="J553" s="513">
        <v>-195.82</v>
      </c>
      <c r="K553" s="513">
        <v>1480</v>
      </c>
      <c r="L553" s="513" t="s">
        <v>2827</v>
      </c>
      <c r="M553" s="513" t="s">
        <v>780</v>
      </c>
      <c r="N553" s="513" t="s">
        <v>781</v>
      </c>
      <c r="O553" s="518" t="s">
        <v>3204</v>
      </c>
      <c r="P553" s="152" t="s">
        <v>892</v>
      </c>
      <c r="Q553" s="152" t="s">
        <v>3205</v>
      </c>
      <c r="R553" s="152" t="s">
        <v>3216</v>
      </c>
      <c r="S553" s="152" t="s">
        <v>3206</v>
      </c>
      <c r="T553" s="152" t="s">
        <v>786</v>
      </c>
    </row>
    <row r="554" spans="3:20">
      <c r="C554" s="152" t="s">
        <v>2821</v>
      </c>
      <c r="D554" s="152"/>
      <c r="F554" s="474" t="s">
        <v>673</v>
      </c>
      <c r="G554" s="210" t="s">
        <v>674</v>
      </c>
      <c r="H554" s="210"/>
      <c r="I554" s="513">
        <v>-29600</v>
      </c>
      <c r="J554" s="513">
        <v>-20</v>
      </c>
      <c r="K554" s="513">
        <v>1480</v>
      </c>
      <c r="L554" s="513" t="s">
        <v>2827</v>
      </c>
      <c r="M554" s="513" t="s">
        <v>780</v>
      </c>
      <c r="N554" s="513" t="s">
        <v>781</v>
      </c>
      <c r="O554" s="518" t="s">
        <v>3204</v>
      </c>
      <c r="P554" s="152" t="s">
        <v>892</v>
      </c>
      <c r="Q554" s="152" t="s">
        <v>3205</v>
      </c>
      <c r="R554" s="152" t="s">
        <v>1163</v>
      </c>
      <c r="S554" s="152" t="s">
        <v>3206</v>
      </c>
      <c r="T554" s="152" t="s">
        <v>786</v>
      </c>
    </row>
    <row r="555" spans="3:20">
      <c r="C555" s="152" t="s">
        <v>2821</v>
      </c>
      <c r="D555" s="152"/>
      <c r="F555" s="474" t="s">
        <v>673</v>
      </c>
      <c r="G555" s="210" t="s">
        <v>674</v>
      </c>
      <c r="H555" s="210"/>
      <c r="I555" s="513">
        <v>8843000</v>
      </c>
      <c r="J555" s="513">
        <v>5975</v>
      </c>
      <c r="K555" s="513">
        <v>1480</v>
      </c>
      <c r="L555" s="513" t="s">
        <v>3019</v>
      </c>
      <c r="M555" s="513" t="s">
        <v>780</v>
      </c>
      <c r="N555" s="513" t="s">
        <v>781</v>
      </c>
      <c r="O555" s="518" t="s">
        <v>3217</v>
      </c>
      <c r="P555" s="152" t="s">
        <v>892</v>
      </c>
      <c r="Q555" s="152" t="s">
        <v>3218</v>
      </c>
      <c r="R555" s="152" t="s">
        <v>3219</v>
      </c>
      <c r="S555" s="152" t="s">
        <v>3220</v>
      </c>
      <c r="T555" s="152" t="s">
        <v>786</v>
      </c>
    </row>
    <row r="556" spans="3:20">
      <c r="C556" s="152" t="s">
        <v>2821</v>
      </c>
      <c r="D556" s="152"/>
      <c r="F556" s="474" t="s">
        <v>673</v>
      </c>
      <c r="G556" s="210" t="s">
        <v>674</v>
      </c>
      <c r="H556" s="210"/>
      <c r="I556" s="513">
        <v>-535108.80000000005</v>
      </c>
      <c r="J556" s="513">
        <v>-361.56</v>
      </c>
      <c r="K556" s="513">
        <v>1480</v>
      </c>
      <c r="L556" s="513" t="s">
        <v>2827</v>
      </c>
      <c r="M556" s="513" t="s">
        <v>780</v>
      </c>
      <c r="N556" s="513" t="s">
        <v>781</v>
      </c>
      <c r="O556" s="518" t="s">
        <v>3204</v>
      </c>
      <c r="P556" s="152" t="s">
        <v>892</v>
      </c>
      <c r="Q556" s="152" t="s">
        <v>3205</v>
      </c>
      <c r="R556" s="152" t="s">
        <v>1251</v>
      </c>
      <c r="S556" s="152" t="s">
        <v>3206</v>
      </c>
      <c r="T556" s="152" t="s">
        <v>786</v>
      </c>
    </row>
    <row r="557" spans="3:20">
      <c r="C557" s="152" t="s">
        <v>2821</v>
      </c>
      <c r="D557" s="152"/>
      <c r="F557" s="474" t="s">
        <v>673</v>
      </c>
      <c r="G557" s="210" t="s">
        <v>674</v>
      </c>
      <c r="H557" s="210"/>
      <c r="I557" s="513">
        <v>-752876</v>
      </c>
      <c r="J557" s="513">
        <v>-508.7</v>
      </c>
      <c r="K557" s="513">
        <v>1480</v>
      </c>
      <c r="L557" s="513" t="s">
        <v>2859</v>
      </c>
      <c r="M557" s="513" t="s">
        <v>780</v>
      </c>
      <c r="N557" s="513" t="s">
        <v>781</v>
      </c>
      <c r="O557" s="518" t="s">
        <v>3211</v>
      </c>
      <c r="P557" s="152" t="s">
        <v>892</v>
      </c>
      <c r="Q557" s="152" t="s">
        <v>3212</v>
      </c>
      <c r="R557" s="152" t="s">
        <v>3225</v>
      </c>
      <c r="S557" s="152" t="s">
        <v>3214</v>
      </c>
      <c r="T557" s="152" t="s">
        <v>786</v>
      </c>
    </row>
    <row r="558" spans="3:20">
      <c r="C558" s="152" t="s">
        <v>2821</v>
      </c>
      <c r="D558" s="152"/>
      <c r="F558" s="474" t="s">
        <v>673</v>
      </c>
      <c r="G558" s="210" t="s">
        <v>674</v>
      </c>
      <c r="H558" s="210"/>
      <c r="I558" s="513">
        <v>-2516000</v>
      </c>
      <c r="J558" s="513">
        <v>-1700</v>
      </c>
      <c r="K558" s="513">
        <v>1480</v>
      </c>
      <c r="L558" s="513" t="s">
        <v>2827</v>
      </c>
      <c r="M558" s="513" t="s">
        <v>780</v>
      </c>
      <c r="N558" s="513" t="s">
        <v>781</v>
      </c>
      <c r="O558" s="518" t="s">
        <v>3204</v>
      </c>
      <c r="P558" s="152" t="s">
        <v>892</v>
      </c>
      <c r="Q558" s="152" t="s">
        <v>3205</v>
      </c>
      <c r="R558" s="152" t="s">
        <v>3226</v>
      </c>
      <c r="S558" s="152" t="s">
        <v>3206</v>
      </c>
      <c r="T558" s="152" t="s">
        <v>786</v>
      </c>
    </row>
    <row r="559" spans="3:20">
      <c r="C559" s="152" t="s">
        <v>2821</v>
      </c>
      <c r="D559" s="152"/>
      <c r="F559" s="474" t="s">
        <v>673</v>
      </c>
      <c r="G559" s="210" t="s">
        <v>674</v>
      </c>
      <c r="H559" s="210"/>
      <c r="I559" s="513">
        <v>-444000</v>
      </c>
      <c r="J559" s="513">
        <v>-300</v>
      </c>
      <c r="K559" s="513">
        <v>1480</v>
      </c>
      <c r="L559" s="513" t="s">
        <v>2827</v>
      </c>
      <c r="M559" s="513" t="s">
        <v>780</v>
      </c>
      <c r="N559" s="513" t="s">
        <v>781</v>
      </c>
      <c r="O559" s="518" t="s">
        <v>3204</v>
      </c>
      <c r="P559" s="152" t="s">
        <v>892</v>
      </c>
      <c r="Q559" s="152" t="s">
        <v>3205</v>
      </c>
      <c r="R559" s="152" t="s">
        <v>3227</v>
      </c>
      <c r="S559" s="152" t="s">
        <v>3206</v>
      </c>
      <c r="T559" s="152" t="s">
        <v>786</v>
      </c>
    </row>
    <row r="560" spans="3:20">
      <c r="C560" s="152" t="s">
        <v>2821</v>
      </c>
      <c r="D560" s="152"/>
      <c r="F560" s="474" t="s">
        <v>673</v>
      </c>
      <c r="G560" s="210" t="s">
        <v>674</v>
      </c>
      <c r="H560" s="210"/>
      <c r="I560" s="513">
        <v>-7400000</v>
      </c>
      <c r="J560" s="513">
        <v>-5000</v>
      </c>
      <c r="K560" s="513">
        <v>1480</v>
      </c>
      <c r="L560" s="513" t="s">
        <v>2827</v>
      </c>
      <c r="M560" s="513" t="s">
        <v>780</v>
      </c>
      <c r="N560" s="513" t="s">
        <v>781</v>
      </c>
      <c r="O560" s="518" t="s">
        <v>3204</v>
      </c>
      <c r="P560" s="152" t="s">
        <v>892</v>
      </c>
      <c r="Q560" s="152" t="s">
        <v>3205</v>
      </c>
      <c r="R560" s="152" t="s">
        <v>1143</v>
      </c>
      <c r="S560" s="152" t="s">
        <v>3206</v>
      </c>
      <c r="T560" s="152" t="s">
        <v>786</v>
      </c>
    </row>
    <row r="561" spans="3:20">
      <c r="C561" s="152" t="s">
        <v>2821</v>
      </c>
      <c r="D561" s="152"/>
      <c r="F561" s="474" t="s">
        <v>673</v>
      </c>
      <c r="G561" s="210" t="s">
        <v>674</v>
      </c>
      <c r="H561" s="210"/>
      <c r="I561" s="513">
        <v>-391534</v>
      </c>
      <c r="J561" s="513">
        <v>-264.55</v>
      </c>
      <c r="K561" s="513">
        <v>1480</v>
      </c>
      <c r="L561" s="513" t="s">
        <v>2859</v>
      </c>
      <c r="M561" s="513" t="s">
        <v>780</v>
      </c>
      <c r="N561" s="513" t="s">
        <v>781</v>
      </c>
      <c r="O561" s="518" t="s">
        <v>3211</v>
      </c>
      <c r="P561" s="152" t="s">
        <v>892</v>
      </c>
      <c r="Q561" s="152" t="s">
        <v>3212</v>
      </c>
      <c r="R561" s="152" t="s">
        <v>936</v>
      </c>
      <c r="S561" s="152" t="s">
        <v>3214</v>
      </c>
      <c r="T561" s="152" t="s">
        <v>786</v>
      </c>
    </row>
    <row r="562" spans="3:20">
      <c r="C562" s="152" t="s">
        <v>2821</v>
      </c>
      <c r="D562" s="152"/>
      <c r="F562" s="474" t="s">
        <v>673</v>
      </c>
      <c r="G562" s="210" t="s">
        <v>674</v>
      </c>
      <c r="H562" s="210"/>
      <c r="I562" s="513">
        <v>-29600</v>
      </c>
      <c r="J562" s="513">
        <v>-20</v>
      </c>
      <c r="K562" s="513">
        <v>1480</v>
      </c>
      <c r="L562" s="513" t="s">
        <v>2827</v>
      </c>
      <c r="M562" s="513" t="s">
        <v>780</v>
      </c>
      <c r="N562" s="513" t="s">
        <v>781</v>
      </c>
      <c r="O562" s="518" t="s">
        <v>3204</v>
      </c>
      <c r="P562" s="152" t="s">
        <v>892</v>
      </c>
      <c r="Q562" s="152" t="s">
        <v>3205</v>
      </c>
      <c r="R562" s="152" t="s">
        <v>1146</v>
      </c>
      <c r="S562" s="152" t="s">
        <v>3206</v>
      </c>
      <c r="T562" s="152" t="s">
        <v>786</v>
      </c>
    </row>
    <row r="563" spans="3:20">
      <c r="C563" s="152" t="s">
        <v>2821</v>
      </c>
      <c r="D563" s="152"/>
      <c r="F563" s="474" t="s">
        <v>673</v>
      </c>
      <c r="G563" s="210" t="s">
        <v>674</v>
      </c>
      <c r="H563" s="210"/>
      <c r="I563" s="513">
        <v>-635926.4</v>
      </c>
      <c r="J563" s="513">
        <v>-429.68</v>
      </c>
      <c r="K563" s="513">
        <v>1480</v>
      </c>
      <c r="L563" s="513" t="s">
        <v>2827</v>
      </c>
      <c r="M563" s="513" t="s">
        <v>780</v>
      </c>
      <c r="N563" s="513" t="s">
        <v>781</v>
      </c>
      <c r="O563" s="518" t="s">
        <v>3204</v>
      </c>
      <c r="P563" s="152" t="s">
        <v>892</v>
      </c>
      <c r="Q563" s="152" t="s">
        <v>3205</v>
      </c>
      <c r="R563" s="152" t="s">
        <v>3230</v>
      </c>
      <c r="S563" s="152" t="s">
        <v>3206</v>
      </c>
      <c r="T563" s="152" t="s">
        <v>786</v>
      </c>
    </row>
    <row r="564" spans="3:20">
      <c r="C564" s="152" t="s">
        <v>2821</v>
      </c>
      <c r="D564" s="152"/>
      <c r="F564" s="474" t="s">
        <v>673</v>
      </c>
      <c r="G564" s="210" t="s">
        <v>674</v>
      </c>
      <c r="H564" s="210"/>
      <c r="I564" s="513">
        <v>-7400000</v>
      </c>
      <c r="J564" s="513">
        <v>-5000</v>
      </c>
      <c r="K564" s="513">
        <v>1480</v>
      </c>
      <c r="L564" s="513" t="s">
        <v>2859</v>
      </c>
      <c r="M564" s="513" t="s">
        <v>780</v>
      </c>
      <c r="N564" s="513" t="s">
        <v>781</v>
      </c>
      <c r="O564" s="518" t="s">
        <v>3262</v>
      </c>
      <c r="P564" s="152" t="s">
        <v>892</v>
      </c>
      <c r="Q564" s="152" t="s">
        <v>3263</v>
      </c>
      <c r="R564" s="152" t="s">
        <v>3263</v>
      </c>
      <c r="S564" s="152" t="s">
        <v>3264</v>
      </c>
      <c r="T564" s="152" t="s">
        <v>786</v>
      </c>
    </row>
    <row r="565" spans="3:20">
      <c r="C565" s="152" t="s">
        <v>2821</v>
      </c>
      <c r="D565" s="152"/>
      <c r="F565" s="474" t="s">
        <v>666</v>
      </c>
      <c r="G565" s="210" t="s">
        <v>667</v>
      </c>
      <c r="H565" s="210"/>
      <c r="I565" s="513">
        <v>390498</v>
      </c>
      <c r="J565" s="513">
        <v>263.85000000000002</v>
      </c>
      <c r="K565" s="513">
        <v>1480</v>
      </c>
      <c r="L565" s="513" t="s">
        <v>2845</v>
      </c>
      <c r="M565" s="513" t="s">
        <v>780</v>
      </c>
      <c r="N565" s="513" t="s">
        <v>1272</v>
      </c>
      <c r="O565" s="518" t="s">
        <v>3235</v>
      </c>
      <c r="P565" s="152" t="s">
        <v>892</v>
      </c>
      <c r="Q565" s="152" t="s">
        <v>3236</v>
      </c>
      <c r="R565" s="152" t="s">
        <v>3237</v>
      </c>
      <c r="S565" s="152" t="s">
        <v>3238</v>
      </c>
      <c r="T565" s="152" t="s">
        <v>786</v>
      </c>
    </row>
    <row r="566" spans="3:20">
      <c r="C566" s="152" t="s">
        <v>2821</v>
      </c>
      <c r="D566" s="152"/>
      <c r="F566" s="474" t="s">
        <v>666</v>
      </c>
      <c r="G566" s="210" t="s">
        <v>667</v>
      </c>
      <c r="H566" s="210"/>
      <c r="I566" s="513">
        <v>-81740.399999999994</v>
      </c>
      <c r="J566" s="513">
        <v>-55.23</v>
      </c>
      <c r="K566" s="513">
        <v>1480</v>
      </c>
      <c r="L566" s="513" t="s">
        <v>2827</v>
      </c>
      <c r="M566" s="513" t="s">
        <v>780</v>
      </c>
      <c r="N566" s="513" t="s">
        <v>1272</v>
      </c>
      <c r="O566" s="518" t="s">
        <v>3240</v>
      </c>
      <c r="P566" s="152" t="s">
        <v>892</v>
      </c>
      <c r="Q566" s="152" t="s">
        <v>3241</v>
      </c>
      <c r="R566" s="152" t="s">
        <v>1293</v>
      </c>
      <c r="S566" s="152" t="s">
        <v>3242</v>
      </c>
      <c r="T566" s="152" t="s">
        <v>786</v>
      </c>
    </row>
    <row r="567" spans="3:20">
      <c r="C567" s="152" t="s">
        <v>2821</v>
      </c>
      <c r="D567" s="152"/>
      <c r="F567" s="474" t="s">
        <v>666</v>
      </c>
      <c r="G567" s="210" t="s">
        <v>667</v>
      </c>
      <c r="H567" s="210"/>
      <c r="I567" s="513">
        <v>-32634</v>
      </c>
      <c r="J567" s="513">
        <v>-22.05</v>
      </c>
      <c r="K567" s="513">
        <v>1480</v>
      </c>
      <c r="L567" s="513" t="s">
        <v>2827</v>
      </c>
      <c r="M567" s="513" t="s">
        <v>780</v>
      </c>
      <c r="N567" s="513" t="s">
        <v>1272</v>
      </c>
      <c r="O567" s="518" t="s">
        <v>3240</v>
      </c>
      <c r="P567" s="152" t="s">
        <v>892</v>
      </c>
      <c r="Q567" s="152" t="s">
        <v>3241</v>
      </c>
      <c r="R567" s="152" t="s">
        <v>3243</v>
      </c>
      <c r="S567" s="152" t="s">
        <v>3242</v>
      </c>
      <c r="T567" s="152" t="s">
        <v>786</v>
      </c>
    </row>
    <row r="568" spans="3:20">
      <c r="C568" s="152" t="s">
        <v>2821</v>
      </c>
      <c r="D568" s="152"/>
      <c r="F568" s="474" t="s">
        <v>666</v>
      </c>
      <c r="G568" s="210" t="s">
        <v>667</v>
      </c>
      <c r="H568" s="210"/>
      <c r="I568" s="513">
        <v>-89776.8</v>
      </c>
      <c r="J568" s="513">
        <v>-60.66</v>
      </c>
      <c r="K568" s="513">
        <v>1480</v>
      </c>
      <c r="L568" s="513" t="s">
        <v>2827</v>
      </c>
      <c r="M568" s="513" t="s">
        <v>780</v>
      </c>
      <c r="N568" s="513" t="s">
        <v>1272</v>
      </c>
      <c r="O568" s="518" t="s">
        <v>3240</v>
      </c>
      <c r="P568" s="152" t="s">
        <v>892</v>
      </c>
      <c r="Q568" s="152" t="s">
        <v>3241</v>
      </c>
      <c r="R568" s="152" t="s">
        <v>3251</v>
      </c>
      <c r="S568" s="152" t="s">
        <v>3242</v>
      </c>
      <c r="T568" s="152" t="s">
        <v>786</v>
      </c>
    </row>
    <row r="569" spans="3:20">
      <c r="C569" s="152" t="s">
        <v>2821</v>
      </c>
      <c r="D569" s="152"/>
      <c r="F569" s="474" t="s">
        <v>666</v>
      </c>
      <c r="G569" s="210" t="s">
        <v>667</v>
      </c>
      <c r="H569" s="210"/>
      <c r="I569" s="513">
        <v>1346.8</v>
      </c>
      <c r="J569" s="513">
        <v>0.91</v>
      </c>
      <c r="K569" s="513">
        <v>1480</v>
      </c>
      <c r="L569" s="513" t="s">
        <v>3019</v>
      </c>
      <c r="M569" s="513" t="s">
        <v>780</v>
      </c>
      <c r="N569" s="513" t="s">
        <v>1272</v>
      </c>
      <c r="O569" s="518" t="s">
        <v>3252</v>
      </c>
      <c r="P569" s="152" t="s">
        <v>892</v>
      </c>
      <c r="Q569" s="152" t="s">
        <v>3253</v>
      </c>
      <c r="R569" s="152" t="s">
        <v>3254</v>
      </c>
      <c r="S569" s="152" t="s">
        <v>3255</v>
      </c>
      <c r="T569" s="152" t="s">
        <v>786</v>
      </c>
    </row>
    <row r="570" spans="3:20">
      <c r="C570" s="152" t="s">
        <v>2821</v>
      </c>
      <c r="D570" s="152"/>
      <c r="F570" s="474" t="s">
        <v>666</v>
      </c>
      <c r="G570" s="210" t="s">
        <v>667</v>
      </c>
      <c r="H570" s="210"/>
      <c r="I570" s="513">
        <v>-92381.6</v>
      </c>
      <c r="J570" s="513">
        <v>-62.42</v>
      </c>
      <c r="K570" s="513">
        <v>1480</v>
      </c>
      <c r="L570" s="513" t="s">
        <v>2845</v>
      </c>
      <c r="M570" s="513" t="s">
        <v>780</v>
      </c>
      <c r="N570" s="513" t="s">
        <v>1272</v>
      </c>
      <c r="O570" s="518" t="s">
        <v>3256</v>
      </c>
      <c r="P570" s="152" t="s">
        <v>892</v>
      </c>
      <c r="Q570" s="152" t="s">
        <v>3257</v>
      </c>
      <c r="R570" s="152" t="s">
        <v>3258</v>
      </c>
      <c r="S570" s="152" t="s">
        <v>3259</v>
      </c>
      <c r="T570" s="152" t="s">
        <v>786</v>
      </c>
    </row>
    <row r="571" spans="3:20">
      <c r="C571" s="152" t="s">
        <v>2821</v>
      </c>
      <c r="D571" s="152"/>
      <c r="F571" s="474" t="s">
        <v>666</v>
      </c>
      <c r="G571" s="210" t="s">
        <v>667</v>
      </c>
      <c r="H571" s="210"/>
      <c r="I571" s="513">
        <v>9264.7999999999993</v>
      </c>
      <c r="J571" s="513">
        <v>6.26</v>
      </c>
      <c r="K571" s="513">
        <v>1480</v>
      </c>
      <c r="L571" s="513" t="s">
        <v>3019</v>
      </c>
      <c r="M571" s="513" t="s">
        <v>780</v>
      </c>
      <c r="N571" s="513" t="s">
        <v>1272</v>
      </c>
      <c r="O571" s="518" t="s">
        <v>3252</v>
      </c>
      <c r="P571" s="152" t="s">
        <v>892</v>
      </c>
      <c r="Q571" s="152" t="s">
        <v>3253</v>
      </c>
      <c r="R571" s="152" t="s">
        <v>3260</v>
      </c>
      <c r="S571" s="152" t="s">
        <v>3255</v>
      </c>
      <c r="T571" s="152" t="s">
        <v>786</v>
      </c>
    </row>
    <row r="572" spans="3:20">
      <c r="C572" s="152" t="s">
        <v>2821</v>
      </c>
      <c r="D572" s="152"/>
      <c r="F572" s="474" t="s">
        <v>662</v>
      </c>
      <c r="G572" s="210" t="s">
        <v>663</v>
      </c>
      <c r="H572" s="210"/>
      <c r="I572" s="513">
        <v>-29600</v>
      </c>
      <c r="J572" s="513">
        <v>-20</v>
      </c>
      <c r="K572" s="513">
        <v>1480</v>
      </c>
      <c r="L572" s="513" t="s">
        <v>3019</v>
      </c>
      <c r="M572" s="513" t="s">
        <v>780</v>
      </c>
      <c r="N572" s="513" t="s">
        <v>1272</v>
      </c>
      <c r="O572" s="518" t="s">
        <v>3244</v>
      </c>
      <c r="P572" s="152" t="s">
        <v>892</v>
      </c>
      <c r="Q572" s="152" t="s">
        <v>3245</v>
      </c>
      <c r="R572" s="152" t="s">
        <v>3243</v>
      </c>
      <c r="S572" s="152" t="s">
        <v>3246</v>
      </c>
      <c r="T572" s="152" t="s">
        <v>786</v>
      </c>
    </row>
    <row r="573" spans="3:20">
      <c r="C573" s="152" t="s">
        <v>2821</v>
      </c>
      <c r="D573" s="152"/>
      <c r="F573" s="474" t="s">
        <v>662</v>
      </c>
      <c r="G573" s="210" t="s">
        <v>663</v>
      </c>
      <c r="H573" s="210"/>
      <c r="I573" s="513">
        <v>29600</v>
      </c>
      <c r="J573" s="513">
        <v>20</v>
      </c>
      <c r="K573" s="513">
        <v>1480</v>
      </c>
      <c r="L573" s="513" t="s">
        <v>3019</v>
      </c>
      <c r="M573" s="513" t="s">
        <v>780</v>
      </c>
      <c r="N573" s="513" t="s">
        <v>1272</v>
      </c>
      <c r="O573" s="518" t="s">
        <v>3247</v>
      </c>
      <c r="P573" s="152" t="s">
        <v>892</v>
      </c>
      <c r="Q573" s="152" t="s">
        <v>3248</v>
      </c>
      <c r="R573" s="152" t="s">
        <v>3249</v>
      </c>
      <c r="S573" s="152" t="s">
        <v>3250</v>
      </c>
      <c r="T573" s="152" t="s">
        <v>786</v>
      </c>
    </row>
    <row r="574" spans="3:20">
      <c r="C574" s="152" t="s">
        <v>2821</v>
      </c>
      <c r="D574" s="152"/>
      <c r="F574" s="474" t="s">
        <v>658</v>
      </c>
      <c r="G574" s="210" t="s">
        <v>659</v>
      </c>
      <c r="H574" s="210"/>
      <c r="I574" s="513">
        <v>-126836</v>
      </c>
      <c r="J574" s="513">
        <v>-85.7</v>
      </c>
      <c r="K574" s="513">
        <v>1480</v>
      </c>
      <c r="L574" s="513" t="s">
        <v>2859</v>
      </c>
      <c r="M574" s="513" t="s">
        <v>780</v>
      </c>
      <c r="N574" s="513" t="s">
        <v>1407</v>
      </c>
      <c r="O574" s="518" t="s">
        <v>2936</v>
      </c>
      <c r="P574" s="152" t="s">
        <v>892</v>
      </c>
      <c r="Q574" s="152" t="s">
        <v>2937</v>
      </c>
      <c r="R574" s="152" t="s">
        <v>2938</v>
      </c>
      <c r="S574" s="152" t="s">
        <v>2939</v>
      </c>
      <c r="T574" s="152" t="s">
        <v>786</v>
      </c>
    </row>
    <row r="575" spans="3:20">
      <c r="C575" s="152" t="s">
        <v>2821</v>
      </c>
      <c r="D575" s="152"/>
      <c r="F575" s="474" t="s">
        <v>658</v>
      </c>
      <c r="G575" s="210" t="s">
        <v>659</v>
      </c>
      <c r="H575" s="210"/>
      <c r="I575" s="513">
        <v>-79742.399999999994</v>
      </c>
      <c r="J575" s="513">
        <v>-53.88</v>
      </c>
      <c r="K575" s="513">
        <v>1480</v>
      </c>
      <c r="L575" s="513" t="s">
        <v>2859</v>
      </c>
      <c r="M575" s="513" t="s">
        <v>780</v>
      </c>
      <c r="N575" s="513" t="s">
        <v>1407</v>
      </c>
      <c r="O575" s="518" t="s">
        <v>2936</v>
      </c>
      <c r="P575" s="152" t="s">
        <v>892</v>
      </c>
      <c r="Q575" s="152" t="s">
        <v>2937</v>
      </c>
      <c r="R575" s="152" t="s">
        <v>2943</v>
      </c>
      <c r="S575" s="152" t="s">
        <v>2939</v>
      </c>
      <c r="T575" s="152" t="s">
        <v>786</v>
      </c>
    </row>
    <row r="576" spans="3:20">
      <c r="C576" s="152" t="s">
        <v>2821</v>
      </c>
      <c r="D576" s="152"/>
      <c r="F576" s="474" t="s">
        <v>658</v>
      </c>
      <c r="G576" s="210" t="s">
        <v>659</v>
      </c>
      <c r="H576" s="210"/>
      <c r="I576" s="513">
        <v>-1905648</v>
      </c>
      <c r="J576" s="513">
        <v>-1287.5999999999999</v>
      </c>
      <c r="K576" s="513">
        <v>1480</v>
      </c>
      <c r="L576" s="513" t="s">
        <v>2859</v>
      </c>
      <c r="M576" s="513" t="s">
        <v>780</v>
      </c>
      <c r="N576" s="513" t="s">
        <v>1407</v>
      </c>
      <c r="O576" s="518" t="s">
        <v>2936</v>
      </c>
      <c r="P576" s="152" t="s">
        <v>892</v>
      </c>
      <c r="Q576" s="152" t="s">
        <v>2937</v>
      </c>
      <c r="R576" s="152" t="s">
        <v>2960</v>
      </c>
      <c r="S576" s="152" t="s">
        <v>2939</v>
      </c>
      <c r="T576" s="152" t="s">
        <v>786</v>
      </c>
    </row>
    <row r="577" spans="3:20">
      <c r="C577" s="152" t="s">
        <v>2821</v>
      </c>
      <c r="D577" s="152"/>
      <c r="F577" s="474" t="s">
        <v>658</v>
      </c>
      <c r="G577" s="210" t="s">
        <v>659</v>
      </c>
      <c r="H577" s="210"/>
      <c r="I577" s="513">
        <v>-965907.2</v>
      </c>
      <c r="J577" s="513">
        <v>-652.64</v>
      </c>
      <c r="K577" s="513">
        <v>1480</v>
      </c>
      <c r="L577" s="513" t="s">
        <v>2859</v>
      </c>
      <c r="M577" s="513" t="s">
        <v>780</v>
      </c>
      <c r="N577" s="513" t="s">
        <v>1407</v>
      </c>
      <c r="O577" s="518" t="s">
        <v>2936</v>
      </c>
      <c r="P577" s="152" t="s">
        <v>892</v>
      </c>
      <c r="Q577" s="152" t="s">
        <v>2937</v>
      </c>
      <c r="R577" s="152" t="s">
        <v>2966</v>
      </c>
      <c r="S577" s="152" t="s">
        <v>2939</v>
      </c>
      <c r="T577" s="152" t="s">
        <v>786</v>
      </c>
    </row>
    <row r="578" spans="3:20">
      <c r="C578" s="152" t="s">
        <v>2821</v>
      </c>
      <c r="D578" s="152"/>
      <c r="F578" s="474" t="s">
        <v>658</v>
      </c>
      <c r="G578" s="210" t="s">
        <v>659</v>
      </c>
      <c r="H578" s="210"/>
      <c r="I578" s="513">
        <v>-499056</v>
      </c>
      <c r="J578" s="513">
        <v>-337.2</v>
      </c>
      <c r="K578" s="513">
        <v>1480</v>
      </c>
      <c r="L578" s="513" t="s">
        <v>2859</v>
      </c>
      <c r="M578" s="513" t="s">
        <v>780</v>
      </c>
      <c r="N578" s="513" t="s">
        <v>1407</v>
      </c>
      <c r="O578" s="518" t="s">
        <v>2936</v>
      </c>
      <c r="P578" s="152" t="s">
        <v>892</v>
      </c>
      <c r="Q578" s="152" t="s">
        <v>2937</v>
      </c>
      <c r="R578" s="152" t="s">
        <v>2972</v>
      </c>
      <c r="S578" s="152" t="s">
        <v>2939</v>
      </c>
      <c r="T578" s="152" t="s">
        <v>786</v>
      </c>
    </row>
    <row r="579" spans="3:20">
      <c r="C579" s="152" t="s">
        <v>2821</v>
      </c>
      <c r="D579" s="152"/>
      <c r="F579" s="474" t="s">
        <v>658</v>
      </c>
      <c r="G579" s="210" t="s">
        <v>659</v>
      </c>
      <c r="H579" s="210"/>
      <c r="I579" s="513">
        <v>-289132.79999999999</v>
      </c>
      <c r="J579" s="513">
        <v>-195.36</v>
      </c>
      <c r="K579" s="513">
        <v>1480</v>
      </c>
      <c r="L579" s="513" t="s">
        <v>2859</v>
      </c>
      <c r="M579" s="513" t="s">
        <v>780</v>
      </c>
      <c r="N579" s="513" t="s">
        <v>1407</v>
      </c>
      <c r="O579" s="518" t="s">
        <v>2936</v>
      </c>
      <c r="P579" s="152" t="s">
        <v>892</v>
      </c>
      <c r="Q579" s="152" t="s">
        <v>2937</v>
      </c>
      <c r="R579" s="152" t="s">
        <v>2974</v>
      </c>
      <c r="S579" s="152" t="s">
        <v>2939</v>
      </c>
      <c r="T579" s="152" t="s">
        <v>786</v>
      </c>
    </row>
    <row r="580" spans="3:20">
      <c r="C580" s="152" t="s">
        <v>2821</v>
      </c>
      <c r="D580" s="152"/>
      <c r="F580" s="474" t="s">
        <v>658</v>
      </c>
      <c r="G580" s="210" t="s">
        <v>659</v>
      </c>
      <c r="H580" s="210"/>
      <c r="I580" s="513">
        <v>-2200360.4</v>
      </c>
      <c r="J580" s="513">
        <v>-1486.73</v>
      </c>
      <c r="K580" s="513">
        <v>1480</v>
      </c>
      <c r="L580" s="513" t="s">
        <v>2859</v>
      </c>
      <c r="M580" s="513" t="s">
        <v>780</v>
      </c>
      <c r="N580" s="513" t="s">
        <v>1407</v>
      </c>
      <c r="O580" s="518" t="s">
        <v>2936</v>
      </c>
      <c r="P580" s="152" t="s">
        <v>892</v>
      </c>
      <c r="Q580" s="152" t="s">
        <v>2937</v>
      </c>
      <c r="R580" s="152" t="s">
        <v>2985</v>
      </c>
      <c r="S580" s="152" t="s">
        <v>2939</v>
      </c>
      <c r="T580" s="152" t="s">
        <v>786</v>
      </c>
    </row>
    <row r="581" spans="3:20">
      <c r="C581" s="152" t="s">
        <v>2821</v>
      </c>
      <c r="D581" s="152"/>
      <c r="F581" s="474" t="s">
        <v>658</v>
      </c>
      <c r="G581" s="210" t="s">
        <v>659</v>
      </c>
      <c r="H581" s="210"/>
      <c r="I581" s="513">
        <v>-189440</v>
      </c>
      <c r="J581" s="513">
        <v>-128</v>
      </c>
      <c r="K581" s="513">
        <v>1480</v>
      </c>
      <c r="L581" s="513" t="s">
        <v>2827</v>
      </c>
      <c r="M581" s="513" t="s">
        <v>780</v>
      </c>
      <c r="N581" s="513" t="s">
        <v>1407</v>
      </c>
      <c r="O581" s="518" t="s">
        <v>2992</v>
      </c>
      <c r="P581" s="152" t="s">
        <v>892</v>
      </c>
      <c r="Q581" s="152" t="s">
        <v>2993</v>
      </c>
      <c r="R581" s="152" t="s">
        <v>2994</v>
      </c>
      <c r="S581" s="152" t="s">
        <v>2995</v>
      </c>
      <c r="T581" s="152" t="s">
        <v>786</v>
      </c>
    </row>
    <row r="582" spans="3:20">
      <c r="C582" s="152" t="s">
        <v>2821</v>
      </c>
      <c r="D582" s="152"/>
      <c r="F582" s="474" t="s">
        <v>658</v>
      </c>
      <c r="G582" s="210" t="s">
        <v>659</v>
      </c>
      <c r="H582" s="210"/>
      <c r="I582" s="513">
        <v>-98331.199999999997</v>
      </c>
      <c r="J582" s="513">
        <v>-66.44</v>
      </c>
      <c r="K582" s="513">
        <v>1480</v>
      </c>
      <c r="L582" s="513" t="s">
        <v>2827</v>
      </c>
      <c r="M582" s="513" t="s">
        <v>780</v>
      </c>
      <c r="N582" s="513" t="s">
        <v>1407</v>
      </c>
      <c r="O582" s="518" t="s">
        <v>2992</v>
      </c>
      <c r="P582" s="152" t="s">
        <v>892</v>
      </c>
      <c r="Q582" s="152" t="s">
        <v>2993</v>
      </c>
      <c r="R582" s="152" t="s">
        <v>2996</v>
      </c>
      <c r="S582" s="152" t="s">
        <v>2995</v>
      </c>
      <c r="T582" s="152" t="s">
        <v>786</v>
      </c>
    </row>
    <row r="583" spans="3:20">
      <c r="C583" s="152" t="s">
        <v>2821</v>
      </c>
      <c r="D583" s="152"/>
      <c r="F583" s="474" t="s">
        <v>658</v>
      </c>
      <c r="G583" s="210" t="s">
        <v>659</v>
      </c>
      <c r="H583" s="210"/>
      <c r="I583" s="513">
        <v>-2871.2</v>
      </c>
      <c r="J583" s="513">
        <v>-1.94</v>
      </c>
      <c r="K583" s="513">
        <v>1480</v>
      </c>
      <c r="L583" s="513" t="s">
        <v>2859</v>
      </c>
      <c r="M583" s="513" t="s">
        <v>780</v>
      </c>
      <c r="N583" s="513" t="s">
        <v>1407</v>
      </c>
      <c r="O583" s="518" t="s">
        <v>2936</v>
      </c>
      <c r="P583" s="152" t="s">
        <v>892</v>
      </c>
      <c r="Q583" s="152" t="s">
        <v>2937</v>
      </c>
      <c r="R583" s="152" t="s">
        <v>1515</v>
      </c>
      <c r="S583" s="152" t="s">
        <v>2939</v>
      </c>
      <c r="T583" s="152" t="s">
        <v>786</v>
      </c>
    </row>
    <row r="584" spans="3:20">
      <c r="C584" s="152" t="s">
        <v>2821</v>
      </c>
      <c r="D584" s="152"/>
      <c r="F584" s="474" t="s">
        <v>658</v>
      </c>
      <c r="G584" s="210" t="s">
        <v>659</v>
      </c>
      <c r="H584" s="210"/>
      <c r="I584" s="513">
        <v>-2871.2</v>
      </c>
      <c r="J584" s="513">
        <v>-1.94</v>
      </c>
      <c r="K584" s="513">
        <v>1480</v>
      </c>
      <c r="L584" s="513" t="s">
        <v>2859</v>
      </c>
      <c r="M584" s="513" t="s">
        <v>780</v>
      </c>
      <c r="N584" s="513" t="s">
        <v>1407</v>
      </c>
      <c r="O584" s="518" t="s">
        <v>2936</v>
      </c>
      <c r="P584" s="152" t="s">
        <v>892</v>
      </c>
      <c r="Q584" s="152" t="s">
        <v>2937</v>
      </c>
      <c r="R584" s="152" t="s">
        <v>1515</v>
      </c>
      <c r="S584" s="152" t="s">
        <v>2939</v>
      </c>
      <c r="T584" s="152" t="s">
        <v>786</v>
      </c>
    </row>
    <row r="585" spans="3:20">
      <c r="C585" s="152" t="s">
        <v>2821</v>
      </c>
      <c r="D585" s="152"/>
      <c r="F585" s="474" t="s">
        <v>658</v>
      </c>
      <c r="G585" s="210" t="s">
        <v>659</v>
      </c>
      <c r="H585" s="210"/>
      <c r="I585" s="513">
        <v>-2871.2</v>
      </c>
      <c r="J585" s="513">
        <v>-1.94</v>
      </c>
      <c r="K585" s="513">
        <v>1480</v>
      </c>
      <c r="L585" s="513" t="s">
        <v>2859</v>
      </c>
      <c r="M585" s="513" t="s">
        <v>780</v>
      </c>
      <c r="N585" s="513" t="s">
        <v>1407</v>
      </c>
      <c r="O585" s="518" t="s">
        <v>2936</v>
      </c>
      <c r="P585" s="152" t="s">
        <v>892</v>
      </c>
      <c r="Q585" s="152" t="s">
        <v>2937</v>
      </c>
      <c r="R585" s="152" t="s">
        <v>1515</v>
      </c>
      <c r="S585" s="152" t="s">
        <v>2939</v>
      </c>
      <c r="T585" s="152" t="s">
        <v>786</v>
      </c>
    </row>
    <row r="586" spans="3:20">
      <c r="C586" s="152" t="s">
        <v>2821</v>
      </c>
      <c r="D586" s="152"/>
      <c r="F586" s="474" t="s">
        <v>658</v>
      </c>
      <c r="G586" s="210" t="s">
        <v>659</v>
      </c>
      <c r="H586" s="210"/>
      <c r="I586" s="513">
        <v>-2871.2</v>
      </c>
      <c r="J586" s="513">
        <v>-1.94</v>
      </c>
      <c r="K586" s="513">
        <v>1480</v>
      </c>
      <c r="L586" s="513" t="s">
        <v>2859</v>
      </c>
      <c r="M586" s="513" t="s">
        <v>780</v>
      </c>
      <c r="N586" s="513" t="s">
        <v>1407</v>
      </c>
      <c r="O586" s="518" t="s">
        <v>2936</v>
      </c>
      <c r="P586" s="152" t="s">
        <v>892</v>
      </c>
      <c r="Q586" s="152" t="s">
        <v>2937</v>
      </c>
      <c r="R586" s="152" t="s">
        <v>1515</v>
      </c>
      <c r="S586" s="152" t="s">
        <v>2939</v>
      </c>
      <c r="T586" s="152" t="s">
        <v>786</v>
      </c>
    </row>
    <row r="587" spans="3:20">
      <c r="C587" s="152" t="s">
        <v>2821</v>
      </c>
      <c r="D587" s="152"/>
      <c r="F587" s="474" t="s">
        <v>658</v>
      </c>
      <c r="G587" s="210" t="s">
        <v>659</v>
      </c>
      <c r="H587" s="210"/>
      <c r="I587" s="513">
        <v>-2871.2</v>
      </c>
      <c r="J587" s="513">
        <v>-1.94</v>
      </c>
      <c r="K587" s="513">
        <v>1480</v>
      </c>
      <c r="L587" s="513" t="s">
        <v>2859</v>
      </c>
      <c r="M587" s="513" t="s">
        <v>780</v>
      </c>
      <c r="N587" s="513" t="s">
        <v>1407</v>
      </c>
      <c r="O587" s="518" t="s">
        <v>2936</v>
      </c>
      <c r="P587" s="152" t="s">
        <v>892</v>
      </c>
      <c r="Q587" s="152" t="s">
        <v>2937</v>
      </c>
      <c r="R587" s="152" t="s">
        <v>1515</v>
      </c>
      <c r="S587" s="152" t="s">
        <v>2939</v>
      </c>
      <c r="T587" s="152" t="s">
        <v>786</v>
      </c>
    </row>
    <row r="588" spans="3:20">
      <c r="C588" s="152" t="s">
        <v>2821</v>
      </c>
      <c r="D588" s="152"/>
      <c r="F588" s="474" t="s">
        <v>658</v>
      </c>
      <c r="G588" s="210" t="s">
        <v>659</v>
      </c>
      <c r="H588" s="210"/>
      <c r="I588" s="513">
        <v>-2871.2</v>
      </c>
      <c r="J588" s="513">
        <v>-1.94</v>
      </c>
      <c r="K588" s="513">
        <v>1480</v>
      </c>
      <c r="L588" s="513" t="s">
        <v>2859</v>
      </c>
      <c r="M588" s="513" t="s">
        <v>780</v>
      </c>
      <c r="N588" s="513" t="s">
        <v>1407</v>
      </c>
      <c r="O588" s="518" t="s">
        <v>2936</v>
      </c>
      <c r="P588" s="152" t="s">
        <v>892</v>
      </c>
      <c r="Q588" s="152" t="s">
        <v>2937</v>
      </c>
      <c r="R588" s="152" t="s">
        <v>1515</v>
      </c>
      <c r="S588" s="152" t="s">
        <v>2939</v>
      </c>
      <c r="T588" s="152" t="s">
        <v>786</v>
      </c>
    </row>
    <row r="589" spans="3:20">
      <c r="C589" s="152" t="s">
        <v>2821</v>
      </c>
      <c r="D589" s="152"/>
      <c r="F589" s="474" t="s">
        <v>658</v>
      </c>
      <c r="G589" s="210" t="s">
        <v>659</v>
      </c>
      <c r="H589" s="210"/>
      <c r="I589" s="513">
        <v>-2856.4</v>
      </c>
      <c r="J589" s="513">
        <v>-1.93</v>
      </c>
      <c r="K589" s="513">
        <v>1480</v>
      </c>
      <c r="L589" s="513" t="s">
        <v>2859</v>
      </c>
      <c r="M589" s="513" t="s">
        <v>780</v>
      </c>
      <c r="N589" s="513" t="s">
        <v>1407</v>
      </c>
      <c r="O589" s="518" t="s">
        <v>2936</v>
      </c>
      <c r="P589" s="152" t="s">
        <v>892</v>
      </c>
      <c r="Q589" s="152" t="s">
        <v>2937</v>
      </c>
      <c r="R589" s="152" t="s">
        <v>1515</v>
      </c>
      <c r="S589" s="152" t="s">
        <v>2939</v>
      </c>
      <c r="T589" s="152" t="s">
        <v>786</v>
      </c>
    </row>
    <row r="590" spans="3:20">
      <c r="C590" s="152" t="s">
        <v>2821</v>
      </c>
      <c r="D590" s="152"/>
      <c r="F590" s="474" t="s">
        <v>658</v>
      </c>
      <c r="G590" s="210" t="s">
        <v>659</v>
      </c>
      <c r="H590" s="210"/>
      <c r="I590" s="513">
        <v>-2871.2</v>
      </c>
      <c r="J590" s="513">
        <v>-1.94</v>
      </c>
      <c r="K590" s="513">
        <v>1480</v>
      </c>
      <c r="L590" s="513" t="s">
        <v>2859</v>
      </c>
      <c r="M590" s="513" t="s">
        <v>780</v>
      </c>
      <c r="N590" s="513" t="s">
        <v>1407</v>
      </c>
      <c r="O590" s="518" t="s">
        <v>2936</v>
      </c>
      <c r="P590" s="152" t="s">
        <v>892</v>
      </c>
      <c r="Q590" s="152" t="s">
        <v>2937</v>
      </c>
      <c r="R590" s="152" t="s">
        <v>1515</v>
      </c>
      <c r="S590" s="152" t="s">
        <v>2939</v>
      </c>
      <c r="T590" s="152" t="s">
        <v>786</v>
      </c>
    </row>
    <row r="591" spans="3:20">
      <c r="C591" s="152" t="s">
        <v>2821</v>
      </c>
      <c r="D591" s="152"/>
      <c r="F591" s="474" t="s">
        <v>658</v>
      </c>
      <c r="G591" s="210" t="s">
        <v>659</v>
      </c>
      <c r="H591" s="210"/>
      <c r="I591" s="513">
        <v>-2871.2</v>
      </c>
      <c r="J591" s="513">
        <v>-1.94</v>
      </c>
      <c r="K591" s="513">
        <v>1480</v>
      </c>
      <c r="L591" s="513" t="s">
        <v>2859</v>
      </c>
      <c r="M591" s="513" t="s">
        <v>780</v>
      </c>
      <c r="N591" s="513" t="s">
        <v>1407</v>
      </c>
      <c r="O591" s="518" t="s">
        <v>2936</v>
      </c>
      <c r="P591" s="152" t="s">
        <v>892</v>
      </c>
      <c r="Q591" s="152" t="s">
        <v>2937</v>
      </c>
      <c r="R591" s="152" t="s">
        <v>1515</v>
      </c>
      <c r="S591" s="152" t="s">
        <v>2939</v>
      </c>
      <c r="T591" s="152" t="s">
        <v>786</v>
      </c>
    </row>
    <row r="592" spans="3:20">
      <c r="C592" s="152" t="s">
        <v>2821</v>
      </c>
      <c r="D592" s="152"/>
      <c r="F592" s="474" t="s">
        <v>658</v>
      </c>
      <c r="G592" s="210" t="s">
        <v>659</v>
      </c>
      <c r="H592" s="210"/>
      <c r="I592" s="513">
        <v>-2871.2</v>
      </c>
      <c r="J592" s="513">
        <v>-1.94</v>
      </c>
      <c r="K592" s="513">
        <v>1480</v>
      </c>
      <c r="L592" s="513" t="s">
        <v>2859</v>
      </c>
      <c r="M592" s="513" t="s">
        <v>780</v>
      </c>
      <c r="N592" s="513" t="s">
        <v>1407</v>
      </c>
      <c r="O592" s="518" t="s">
        <v>2936</v>
      </c>
      <c r="P592" s="152" t="s">
        <v>892</v>
      </c>
      <c r="Q592" s="152" t="s">
        <v>2937</v>
      </c>
      <c r="R592" s="152" t="s">
        <v>1515</v>
      </c>
      <c r="S592" s="152" t="s">
        <v>2939</v>
      </c>
      <c r="T592" s="152" t="s">
        <v>786</v>
      </c>
    </row>
    <row r="593" spans="3:20">
      <c r="C593" s="152" t="s">
        <v>2821</v>
      </c>
      <c r="D593" s="152"/>
      <c r="F593" s="474" t="s">
        <v>658</v>
      </c>
      <c r="G593" s="210" t="s">
        <v>659</v>
      </c>
      <c r="H593" s="210"/>
      <c r="I593" s="513">
        <v>-3415381.2</v>
      </c>
      <c r="J593" s="513">
        <v>-2307.69</v>
      </c>
      <c r="K593" s="513">
        <v>1480</v>
      </c>
      <c r="L593" s="513" t="s">
        <v>2827</v>
      </c>
      <c r="M593" s="513" t="s">
        <v>780</v>
      </c>
      <c r="N593" s="513" t="s">
        <v>1407</v>
      </c>
      <c r="O593" s="518" t="s">
        <v>2992</v>
      </c>
      <c r="P593" s="152" t="s">
        <v>892</v>
      </c>
      <c r="Q593" s="152" t="s">
        <v>2993</v>
      </c>
      <c r="R593" s="152" t="s">
        <v>2999</v>
      </c>
      <c r="S593" s="152" t="s">
        <v>2995</v>
      </c>
      <c r="T593" s="152" t="s">
        <v>786</v>
      </c>
    </row>
    <row r="594" spans="3:20">
      <c r="C594" s="152" t="s">
        <v>2821</v>
      </c>
      <c r="D594" s="152"/>
      <c r="F594" s="474" t="s">
        <v>658</v>
      </c>
      <c r="G594" s="210" t="s">
        <v>659</v>
      </c>
      <c r="H594" s="210"/>
      <c r="I594" s="513">
        <v>-258348.79999999999</v>
      </c>
      <c r="J594" s="513">
        <v>-174.56</v>
      </c>
      <c r="K594" s="513">
        <v>1480</v>
      </c>
      <c r="L594" s="513" t="s">
        <v>2859</v>
      </c>
      <c r="M594" s="513" t="s">
        <v>780</v>
      </c>
      <c r="N594" s="513" t="s">
        <v>1407</v>
      </c>
      <c r="O594" s="518" t="s">
        <v>2936</v>
      </c>
      <c r="P594" s="152" t="s">
        <v>892</v>
      </c>
      <c r="Q594" s="152" t="s">
        <v>2937</v>
      </c>
      <c r="R594" s="152" t="s">
        <v>3013</v>
      </c>
      <c r="S594" s="152" t="s">
        <v>2939</v>
      </c>
      <c r="T594" s="152" t="s">
        <v>786</v>
      </c>
    </row>
    <row r="595" spans="3:20">
      <c r="C595" s="152" t="s">
        <v>2821</v>
      </c>
      <c r="D595" s="152"/>
      <c r="F595" s="474" t="s">
        <v>658</v>
      </c>
      <c r="G595" s="210" t="s">
        <v>659</v>
      </c>
      <c r="H595" s="210"/>
      <c r="I595" s="513">
        <v>-217116</v>
      </c>
      <c r="J595" s="513">
        <v>-146.69999999999999</v>
      </c>
      <c r="K595" s="513">
        <v>1480</v>
      </c>
      <c r="L595" s="513" t="s">
        <v>2859</v>
      </c>
      <c r="M595" s="513" t="s">
        <v>780</v>
      </c>
      <c r="N595" s="513" t="s">
        <v>1407</v>
      </c>
      <c r="O595" s="518" t="s">
        <v>2936</v>
      </c>
      <c r="P595" s="152" t="s">
        <v>892</v>
      </c>
      <c r="Q595" s="152" t="s">
        <v>2937</v>
      </c>
      <c r="R595" s="152" t="s">
        <v>3016</v>
      </c>
      <c r="S595" s="152" t="s">
        <v>2939</v>
      </c>
      <c r="T595" s="152" t="s">
        <v>786</v>
      </c>
    </row>
    <row r="596" spans="3:20">
      <c r="C596" s="152" t="s">
        <v>2821</v>
      </c>
      <c r="D596" s="152"/>
      <c r="F596" s="474" t="s">
        <v>658</v>
      </c>
      <c r="G596" s="210" t="s">
        <v>659</v>
      </c>
      <c r="H596" s="210"/>
      <c r="I596" s="513">
        <v>-213208.8</v>
      </c>
      <c r="J596" s="513">
        <v>-144.06</v>
      </c>
      <c r="K596" s="513">
        <v>1480</v>
      </c>
      <c r="L596" s="513" t="s">
        <v>2859</v>
      </c>
      <c r="M596" s="513" t="s">
        <v>780</v>
      </c>
      <c r="N596" s="513" t="s">
        <v>1407</v>
      </c>
      <c r="O596" s="518" t="s">
        <v>2936</v>
      </c>
      <c r="P596" s="152" t="s">
        <v>892</v>
      </c>
      <c r="Q596" s="152" t="s">
        <v>2937</v>
      </c>
      <c r="R596" s="152" t="s">
        <v>3028</v>
      </c>
      <c r="S596" s="152" t="s">
        <v>2939</v>
      </c>
      <c r="T596" s="152" t="s">
        <v>786</v>
      </c>
    </row>
    <row r="597" spans="3:20">
      <c r="C597" s="152" t="s">
        <v>2821</v>
      </c>
      <c r="D597" s="152"/>
      <c r="F597" s="474" t="s">
        <v>658</v>
      </c>
      <c r="G597" s="210" t="s">
        <v>659</v>
      </c>
      <c r="H597" s="210"/>
      <c r="I597" s="513">
        <v>-195256.4</v>
      </c>
      <c r="J597" s="513">
        <v>-131.93</v>
      </c>
      <c r="K597" s="513">
        <v>1480</v>
      </c>
      <c r="L597" s="513" t="s">
        <v>2859</v>
      </c>
      <c r="M597" s="513" t="s">
        <v>780</v>
      </c>
      <c r="N597" s="513" t="s">
        <v>1407</v>
      </c>
      <c r="O597" s="518" t="s">
        <v>2936</v>
      </c>
      <c r="P597" s="152" t="s">
        <v>892</v>
      </c>
      <c r="Q597" s="152" t="s">
        <v>2937</v>
      </c>
      <c r="R597" s="152" t="s">
        <v>3032</v>
      </c>
      <c r="S597" s="152" t="s">
        <v>2939</v>
      </c>
      <c r="T597" s="152" t="s">
        <v>786</v>
      </c>
    </row>
    <row r="598" spans="3:20">
      <c r="C598" s="152" t="s">
        <v>2821</v>
      </c>
      <c r="D598" s="152"/>
      <c r="F598" s="474" t="s">
        <v>658</v>
      </c>
      <c r="G598" s="210" t="s">
        <v>659</v>
      </c>
      <c r="H598" s="210"/>
      <c r="I598" s="513">
        <v>-506914.8</v>
      </c>
      <c r="J598" s="513">
        <v>-342.51</v>
      </c>
      <c r="K598" s="513">
        <v>1480</v>
      </c>
      <c r="L598" s="513" t="s">
        <v>2859</v>
      </c>
      <c r="M598" s="513" t="s">
        <v>780</v>
      </c>
      <c r="N598" s="513" t="s">
        <v>1407</v>
      </c>
      <c r="O598" s="518" t="s">
        <v>2936</v>
      </c>
      <c r="P598" s="152" t="s">
        <v>892</v>
      </c>
      <c r="Q598" s="152" t="s">
        <v>2937</v>
      </c>
      <c r="R598" s="152" t="s">
        <v>3033</v>
      </c>
      <c r="S598" s="152" t="s">
        <v>2939</v>
      </c>
      <c r="T598" s="152" t="s">
        <v>786</v>
      </c>
    </row>
    <row r="599" spans="3:20">
      <c r="C599" s="152" t="s">
        <v>2821</v>
      </c>
      <c r="D599" s="152"/>
      <c r="F599" s="474" t="s">
        <v>658</v>
      </c>
      <c r="G599" s="210" t="s">
        <v>659</v>
      </c>
      <c r="H599" s="210"/>
      <c r="I599" s="513">
        <v>-3905009.6</v>
      </c>
      <c r="J599" s="513">
        <v>-2638.52</v>
      </c>
      <c r="K599" s="513">
        <v>1480</v>
      </c>
      <c r="L599" s="513" t="s">
        <v>2859</v>
      </c>
      <c r="M599" s="513" t="s">
        <v>780</v>
      </c>
      <c r="N599" s="513" t="s">
        <v>1407</v>
      </c>
      <c r="O599" s="518" t="s">
        <v>2936</v>
      </c>
      <c r="P599" s="152" t="s">
        <v>892</v>
      </c>
      <c r="Q599" s="152" t="s">
        <v>2937</v>
      </c>
      <c r="R599" s="152" t="s">
        <v>3037</v>
      </c>
      <c r="S599" s="152" t="s">
        <v>2939</v>
      </c>
      <c r="T599" s="152" t="s">
        <v>786</v>
      </c>
    </row>
    <row r="600" spans="3:20">
      <c r="C600" s="152" t="s">
        <v>2821</v>
      </c>
      <c r="D600" s="152"/>
      <c r="F600" s="474" t="s">
        <v>658</v>
      </c>
      <c r="G600" s="210" t="s">
        <v>659</v>
      </c>
      <c r="H600" s="210"/>
      <c r="I600" s="513">
        <v>-3905009.6</v>
      </c>
      <c r="J600" s="513">
        <v>-2638.52</v>
      </c>
      <c r="K600" s="513">
        <v>1480</v>
      </c>
      <c r="L600" s="513" t="s">
        <v>2859</v>
      </c>
      <c r="M600" s="513" t="s">
        <v>780</v>
      </c>
      <c r="N600" s="513" t="s">
        <v>1407</v>
      </c>
      <c r="O600" s="518" t="s">
        <v>2936</v>
      </c>
      <c r="P600" s="152" t="s">
        <v>892</v>
      </c>
      <c r="Q600" s="152" t="s">
        <v>2937</v>
      </c>
      <c r="R600" s="152" t="s">
        <v>3038</v>
      </c>
      <c r="S600" s="152" t="s">
        <v>2939</v>
      </c>
      <c r="T600" s="152" t="s">
        <v>786</v>
      </c>
    </row>
    <row r="601" spans="3:20">
      <c r="C601" s="152" t="s">
        <v>2821</v>
      </c>
      <c r="D601" s="152"/>
      <c r="F601" s="474" t="s">
        <v>658</v>
      </c>
      <c r="G601" s="210" t="s">
        <v>659</v>
      </c>
      <c r="H601" s="210"/>
      <c r="I601" s="513">
        <v>-28312.400000000001</v>
      </c>
      <c r="J601" s="513">
        <v>-19.13</v>
      </c>
      <c r="K601" s="513">
        <v>1480</v>
      </c>
      <c r="L601" s="513" t="s">
        <v>2859</v>
      </c>
      <c r="M601" s="513" t="s">
        <v>780</v>
      </c>
      <c r="N601" s="513" t="s">
        <v>1407</v>
      </c>
      <c r="O601" s="518" t="s">
        <v>2936</v>
      </c>
      <c r="P601" s="152" t="s">
        <v>892</v>
      </c>
      <c r="Q601" s="152" t="s">
        <v>2937</v>
      </c>
      <c r="R601" s="152" t="s">
        <v>3042</v>
      </c>
      <c r="S601" s="152" t="s">
        <v>2939</v>
      </c>
      <c r="T601" s="152" t="s">
        <v>786</v>
      </c>
    </row>
    <row r="602" spans="3:20">
      <c r="C602" s="152" t="s">
        <v>2821</v>
      </c>
      <c r="D602" s="152"/>
      <c r="F602" s="474" t="s">
        <v>658</v>
      </c>
      <c r="G602" s="210" t="s">
        <v>659</v>
      </c>
      <c r="H602" s="210"/>
      <c r="I602" s="513">
        <v>-30695.200000000001</v>
      </c>
      <c r="J602" s="513">
        <v>-20.74</v>
      </c>
      <c r="K602" s="513">
        <v>1480</v>
      </c>
      <c r="L602" s="513" t="s">
        <v>2859</v>
      </c>
      <c r="M602" s="513" t="s">
        <v>780</v>
      </c>
      <c r="N602" s="513" t="s">
        <v>1407</v>
      </c>
      <c r="O602" s="518" t="s">
        <v>2936</v>
      </c>
      <c r="P602" s="152" t="s">
        <v>892</v>
      </c>
      <c r="Q602" s="152" t="s">
        <v>2937</v>
      </c>
      <c r="R602" s="152" t="s">
        <v>3044</v>
      </c>
      <c r="S602" s="152" t="s">
        <v>2939</v>
      </c>
      <c r="T602" s="152" t="s">
        <v>786</v>
      </c>
    </row>
    <row r="603" spans="3:20">
      <c r="C603" s="152" t="s">
        <v>2821</v>
      </c>
      <c r="D603" s="152"/>
      <c r="F603" s="474" t="s">
        <v>658</v>
      </c>
      <c r="G603" s="210" t="s">
        <v>659</v>
      </c>
      <c r="H603" s="210"/>
      <c r="I603" s="513">
        <v>-97620.800000000003</v>
      </c>
      <c r="J603" s="513">
        <v>-65.959999999999994</v>
      </c>
      <c r="K603" s="513">
        <v>1480</v>
      </c>
      <c r="L603" s="513" t="s">
        <v>2859</v>
      </c>
      <c r="M603" s="513" t="s">
        <v>780</v>
      </c>
      <c r="N603" s="513" t="s">
        <v>1407</v>
      </c>
      <c r="O603" s="518" t="s">
        <v>2936</v>
      </c>
      <c r="P603" s="152" t="s">
        <v>892</v>
      </c>
      <c r="Q603" s="152" t="s">
        <v>2937</v>
      </c>
      <c r="R603" s="152" t="s">
        <v>3045</v>
      </c>
      <c r="S603" s="152" t="s">
        <v>2939</v>
      </c>
      <c r="T603" s="152" t="s">
        <v>786</v>
      </c>
    </row>
    <row r="604" spans="3:20">
      <c r="C604" s="152" t="s">
        <v>2821</v>
      </c>
      <c r="D604" s="152"/>
      <c r="F604" s="474" t="s">
        <v>658</v>
      </c>
      <c r="G604" s="210" t="s">
        <v>659</v>
      </c>
      <c r="H604" s="210"/>
      <c r="I604" s="513">
        <v>-5676880.4000000004</v>
      </c>
      <c r="J604" s="513">
        <v>-3835.73</v>
      </c>
      <c r="K604" s="513">
        <v>1480</v>
      </c>
      <c r="L604" s="513" t="s">
        <v>2859</v>
      </c>
      <c r="M604" s="513" t="s">
        <v>780</v>
      </c>
      <c r="N604" s="513" t="s">
        <v>1407</v>
      </c>
      <c r="O604" s="518" t="s">
        <v>2936</v>
      </c>
      <c r="P604" s="152" t="s">
        <v>892</v>
      </c>
      <c r="Q604" s="152" t="s">
        <v>2937</v>
      </c>
      <c r="R604" s="152" t="s">
        <v>3057</v>
      </c>
      <c r="S604" s="152" t="s">
        <v>2939</v>
      </c>
      <c r="T604" s="152" t="s">
        <v>786</v>
      </c>
    </row>
    <row r="605" spans="3:20">
      <c r="C605" s="152" t="s">
        <v>2821</v>
      </c>
      <c r="D605" s="152"/>
      <c r="F605" s="474" t="s">
        <v>658</v>
      </c>
      <c r="G605" s="210" t="s">
        <v>659</v>
      </c>
      <c r="H605" s="210"/>
      <c r="I605" s="513">
        <v>-484226.4</v>
      </c>
      <c r="J605" s="513">
        <v>-327.18</v>
      </c>
      <c r="K605" s="513">
        <v>1480</v>
      </c>
      <c r="L605" s="513" t="s">
        <v>2859</v>
      </c>
      <c r="M605" s="513" t="s">
        <v>780</v>
      </c>
      <c r="N605" s="513" t="s">
        <v>1407</v>
      </c>
      <c r="O605" s="518" t="s">
        <v>2936</v>
      </c>
      <c r="P605" s="152" t="s">
        <v>892</v>
      </c>
      <c r="Q605" s="152" t="s">
        <v>2937</v>
      </c>
      <c r="R605" s="152" t="s">
        <v>3064</v>
      </c>
      <c r="S605" s="152" t="s">
        <v>2939</v>
      </c>
      <c r="T605" s="152" t="s">
        <v>786</v>
      </c>
    </row>
    <row r="606" spans="3:20">
      <c r="C606" s="152" t="s">
        <v>2821</v>
      </c>
      <c r="D606" s="152"/>
      <c r="F606" s="474" t="s">
        <v>658</v>
      </c>
      <c r="G606" s="210" t="s">
        <v>659</v>
      </c>
      <c r="H606" s="210"/>
      <c r="I606" s="513">
        <v>-130462</v>
      </c>
      <c r="J606" s="513">
        <v>-88.15</v>
      </c>
      <c r="K606" s="513">
        <v>1480</v>
      </c>
      <c r="L606" s="513" t="s">
        <v>2859</v>
      </c>
      <c r="M606" s="513" t="s">
        <v>780</v>
      </c>
      <c r="N606" s="513" t="s">
        <v>1407</v>
      </c>
      <c r="O606" s="518" t="s">
        <v>2936</v>
      </c>
      <c r="P606" s="152" t="s">
        <v>892</v>
      </c>
      <c r="Q606" s="152" t="s">
        <v>2937</v>
      </c>
      <c r="R606" s="152" t="s">
        <v>3070</v>
      </c>
      <c r="S606" s="152" t="s">
        <v>2939</v>
      </c>
      <c r="T606" s="152" t="s">
        <v>786</v>
      </c>
    </row>
    <row r="607" spans="3:20">
      <c r="C607" s="152" t="s">
        <v>2821</v>
      </c>
      <c r="D607" s="152"/>
      <c r="F607" s="474" t="s">
        <v>658</v>
      </c>
      <c r="G607" s="210" t="s">
        <v>659</v>
      </c>
      <c r="H607" s="210"/>
      <c r="I607" s="513">
        <v>-1804031.2</v>
      </c>
      <c r="J607" s="513">
        <v>-1218.94</v>
      </c>
      <c r="K607" s="513">
        <v>1480</v>
      </c>
      <c r="L607" s="513" t="s">
        <v>2859</v>
      </c>
      <c r="M607" s="513" t="s">
        <v>780</v>
      </c>
      <c r="N607" s="513" t="s">
        <v>1407</v>
      </c>
      <c r="O607" s="518" t="s">
        <v>2936</v>
      </c>
      <c r="P607" s="152" t="s">
        <v>892</v>
      </c>
      <c r="Q607" s="152" t="s">
        <v>2937</v>
      </c>
      <c r="R607" s="152" t="s">
        <v>3080</v>
      </c>
      <c r="S607" s="152" t="s">
        <v>2939</v>
      </c>
      <c r="T607" s="152" t="s">
        <v>786</v>
      </c>
    </row>
    <row r="608" spans="3:20">
      <c r="C608" s="152" t="s">
        <v>2821</v>
      </c>
      <c r="D608" s="152"/>
      <c r="F608" s="474" t="s">
        <v>658</v>
      </c>
      <c r="G608" s="210" t="s">
        <v>659</v>
      </c>
      <c r="H608" s="210"/>
      <c r="I608" s="513">
        <v>3905009.6</v>
      </c>
      <c r="J608" s="513">
        <v>2638.52</v>
      </c>
      <c r="K608" s="513">
        <v>1480</v>
      </c>
      <c r="L608" s="513" t="s">
        <v>3019</v>
      </c>
      <c r="M608" s="513" t="s">
        <v>780</v>
      </c>
      <c r="N608" s="513" t="s">
        <v>1407</v>
      </c>
      <c r="O608" s="518" t="s">
        <v>3271</v>
      </c>
      <c r="P608" s="152" t="s">
        <v>892</v>
      </c>
      <c r="Q608" s="152" t="s">
        <v>3272</v>
      </c>
      <c r="R608" s="152" t="s">
        <v>3272</v>
      </c>
      <c r="S608" s="152" t="s">
        <v>3273</v>
      </c>
      <c r="T608" s="152" t="s">
        <v>786</v>
      </c>
    </row>
    <row r="609" spans="3:20">
      <c r="C609" s="152" t="s">
        <v>2821</v>
      </c>
      <c r="D609" s="152"/>
      <c r="F609" s="474" t="s">
        <v>658</v>
      </c>
      <c r="G609" s="210" t="s">
        <v>659</v>
      </c>
      <c r="H609" s="210"/>
      <c r="I609" s="513">
        <v>23680000</v>
      </c>
      <c r="J609" s="513">
        <v>16000</v>
      </c>
      <c r="K609" s="513">
        <v>1480</v>
      </c>
      <c r="L609" s="513" t="s">
        <v>2859</v>
      </c>
      <c r="M609" s="513" t="s">
        <v>780</v>
      </c>
      <c r="N609" s="513" t="s">
        <v>1407</v>
      </c>
      <c r="O609" s="518" t="s">
        <v>3274</v>
      </c>
      <c r="P609" s="152" t="s">
        <v>892</v>
      </c>
      <c r="Q609" s="152" t="s">
        <v>3275</v>
      </c>
      <c r="R609" s="152" t="s">
        <v>3275</v>
      </c>
      <c r="S609" s="152" t="s">
        <v>3276</v>
      </c>
      <c r="T609" s="152" t="s">
        <v>786</v>
      </c>
    </row>
    <row r="610" spans="3:20">
      <c r="C610" s="152" t="s">
        <v>2821</v>
      </c>
      <c r="D610" s="152"/>
      <c r="F610" s="474" t="s">
        <v>660</v>
      </c>
      <c r="G610" s="210" t="s">
        <v>661</v>
      </c>
      <c r="H610" s="210"/>
      <c r="I610" s="513">
        <v>-543988.80000000005</v>
      </c>
      <c r="J610" s="513">
        <v>-367.56</v>
      </c>
      <c r="K610" s="513">
        <v>1480</v>
      </c>
      <c r="L610" s="513" t="s">
        <v>2859</v>
      </c>
      <c r="M610" s="513" t="s">
        <v>780</v>
      </c>
      <c r="N610" s="513" t="s">
        <v>1407</v>
      </c>
      <c r="O610" s="518" t="s">
        <v>2921</v>
      </c>
      <c r="P610" s="152" t="s">
        <v>892</v>
      </c>
      <c r="Q610" s="152" t="s">
        <v>2922</v>
      </c>
      <c r="R610" s="152" t="s">
        <v>2923</v>
      </c>
      <c r="S610" s="152" t="s">
        <v>2924</v>
      </c>
      <c r="T610" s="152" t="s">
        <v>786</v>
      </c>
    </row>
    <row r="611" spans="3:20">
      <c r="C611" s="152" t="s">
        <v>2821</v>
      </c>
      <c r="D611" s="152"/>
      <c r="F611" s="474" t="s">
        <v>660</v>
      </c>
      <c r="G611" s="210" t="s">
        <v>661</v>
      </c>
      <c r="H611" s="210"/>
      <c r="I611" s="513">
        <v>-1800790</v>
      </c>
      <c r="J611" s="513">
        <v>-1216.75</v>
      </c>
      <c r="K611" s="513">
        <v>1480</v>
      </c>
      <c r="L611" s="513" t="s">
        <v>2859</v>
      </c>
      <c r="M611" s="513" t="s">
        <v>780</v>
      </c>
      <c r="N611" s="513" t="s">
        <v>1407</v>
      </c>
      <c r="O611" s="518" t="s">
        <v>2921</v>
      </c>
      <c r="P611" s="152" t="s">
        <v>892</v>
      </c>
      <c r="Q611" s="152" t="s">
        <v>2922</v>
      </c>
      <c r="R611" s="152" t="s">
        <v>2925</v>
      </c>
      <c r="S611" s="152" t="s">
        <v>2924</v>
      </c>
      <c r="T611" s="152" t="s">
        <v>786</v>
      </c>
    </row>
    <row r="612" spans="3:20">
      <c r="C612" s="152" t="s">
        <v>2821</v>
      </c>
      <c r="D612" s="152"/>
      <c r="F612" s="474" t="s">
        <v>660</v>
      </c>
      <c r="G612" s="210" t="s">
        <v>661</v>
      </c>
      <c r="H612" s="210"/>
      <c r="I612" s="513">
        <v>-128760</v>
      </c>
      <c r="J612" s="513">
        <v>-87</v>
      </c>
      <c r="K612" s="513">
        <v>1480</v>
      </c>
      <c r="L612" s="513" t="s">
        <v>2859</v>
      </c>
      <c r="M612" s="513" t="s">
        <v>780</v>
      </c>
      <c r="N612" s="513" t="s">
        <v>1407</v>
      </c>
      <c r="O612" s="518" t="s">
        <v>2921</v>
      </c>
      <c r="P612" s="152" t="s">
        <v>892</v>
      </c>
      <c r="Q612" s="152" t="s">
        <v>2922</v>
      </c>
      <c r="R612" s="152" t="s">
        <v>2931</v>
      </c>
      <c r="S612" s="152" t="s">
        <v>2924</v>
      </c>
      <c r="T612" s="152" t="s">
        <v>786</v>
      </c>
    </row>
    <row r="613" spans="3:20">
      <c r="C613" s="152" t="s">
        <v>2821</v>
      </c>
      <c r="D613" s="152"/>
      <c r="F613" s="474" t="s">
        <v>660</v>
      </c>
      <c r="G613" s="210" t="s">
        <v>661</v>
      </c>
      <c r="H613" s="210"/>
      <c r="I613" s="513">
        <v>-122455.2</v>
      </c>
      <c r="J613" s="513">
        <v>-82.74</v>
      </c>
      <c r="K613" s="513">
        <v>1480</v>
      </c>
      <c r="L613" s="513" t="s">
        <v>2827</v>
      </c>
      <c r="M613" s="513" t="s">
        <v>780</v>
      </c>
      <c r="N613" s="513" t="s">
        <v>1407</v>
      </c>
      <c r="O613" s="518" t="s">
        <v>2932</v>
      </c>
      <c r="P613" s="152" t="s">
        <v>892</v>
      </c>
      <c r="Q613" s="152" t="s">
        <v>2933</v>
      </c>
      <c r="R613" s="152" t="s">
        <v>2934</v>
      </c>
      <c r="S613" s="152" t="s">
        <v>2935</v>
      </c>
      <c r="T613" s="152" t="s">
        <v>786</v>
      </c>
    </row>
    <row r="614" spans="3:20">
      <c r="C614" s="152" t="s">
        <v>2821</v>
      </c>
      <c r="D614" s="152"/>
      <c r="F614" s="474" t="s">
        <v>660</v>
      </c>
      <c r="G614" s="210" t="s">
        <v>661</v>
      </c>
      <c r="H614" s="210"/>
      <c r="I614" s="513">
        <v>-1177710</v>
      </c>
      <c r="J614" s="513">
        <v>-795.75</v>
      </c>
      <c r="K614" s="513">
        <v>1480</v>
      </c>
      <c r="L614" s="513" t="s">
        <v>2827</v>
      </c>
      <c r="M614" s="513" t="s">
        <v>780</v>
      </c>
      <c r="N614" s="513" t="s">
        <v>1407</v>
      </c>
      <c r="O614" s="518" t="s">
        <v>2932</v>
      </c>
      <c r="P614" s="152" t="s">
        <v>892</v>
      </c>
      <c r="Q614" s="152" t="s">
        <v>2933</v>
      </c>
      <c r="R614" s="152" t="s">
        <v>2942</v>
      </c>
      <c r="S614" s="152" t="s">
        <v>2935</v>
      </c>
      <c r="T614" s="152" t="s">
        <v>786</v>
      </c>
    </row>
    <row r="615" spans="3:20">
      <c r="C615" s="152" t="s">
        <v>2821</v>
      </c>
      <c r="D615" s="152"/>
      <c r="F615" s="474" t="s">
        <v>660</v>
      </c>
      <c r="G615" s="210" t="s">
        <v>661</v>
      </c>
      <c r="H615" s="210"/>
      <c r="I615" s="513">
        <v>-828800</v>
      </c>
      <c r="J615" s="513">
        <v>-560</v>
      </c>
      <c r="K615" s="513">
        <v>1480</v>
      </c>
      <c r="L615" s="513" t="s">
        <v>2859</v>
      </c>
      <c r="M615" s="513" t="s">
        <v>780</v>
      </c>
      <c r="N615" s="513" t="s">
        <v>1407</v>
      </c>
      <c r="O615" s="518" t="s">
        <v>2921</v>
      </c>
      <c r="P615" s="152" t="s">
        <v>892</v>
      </c>
      <c r="Q615" s="152" t="s">
        <v>2922</v>
      </c>
      <c r="R615" s="152" t="s">
        <v>2945</v>
      </c>
      <c r="S615" s="152" t="s">
        <v>2924</v>
      </c>
      <c r="T615" s="152" t="s">
        <v>786</v>
      </c>
    </row>
    <row r="616" spans="3:20">
      <c r="C616" s="152" t="s">
        <v>2821</v>
      </c>
      <c r="D616" s="152"/>
      <c r="F616" s="474" t="s">
        <v>660</v>
      </c>
      <c r="G616" s="210" t="s">
        <v>661</v>
      </c>
      <c r="H616" s="210"/>
      <c r="I616" s="513">
        <v>-255166.8</v>
      </c>
      <c r="J616" s="513">
        <v>-172.41</v>
      </c>
      <c r="K616" s="513">
        <v>1480</v>
      </c>
      <c r="L616" s="513" t="s">
        <v>2827</v>
      </c>
      <c r="M616" s="513" t="s">
        <v>780</v>
      </c>
      <c r="N616" s="513" t="s">
        <v>1407</v>
      </c>
      <c r="O616" s="518" t="s">
        <v>2932</v>
      </c>
      <c r="P616" s="152" t="s">
        <v>892</v>
      </c>
      <c r="Q616" s="152" t="s">
        <v>2933</v>
      </c>
      <c r="R616" s="152" t="s">
        <v>2958</v>
      </c>
      <c r="S616" s="152" t="s">
        <v>2935</v>
      </c>
      <c r="T616" s="152" t="s">
        <v>786</v>
      </c>
    </row>
    <row r="617" spans="3:20">
      <c r="C617" s="152" t="s">
        <v>2821</v>
      </c>
      <c r="D617" s="152"/>
      <c r="F617" s="474" t="s">
        <v>660</v>
      </c>
      <c r="G617" s="210" t="s">
        <v>661</v>
      </c>
      <c r="H617" s="210"/>
      <c r="I617" s="513">
        <v>-47360</v>
      </c>
      <c r="J617" s="513">
        <v>-32</v>
      </c>
      <c r="K617" s="513">
        <v>1480</v>
      </c>
      <c r="L617" s="513" t="s">
        <v>2827</v>
      </c>
      <c r="M617" s="513" t="s">
        <v>780</v>
      </c>
      <c r="N617" s="513" t="s">
        <v>1407</v>
      </c>
      <c r="O617" s="518" t="s">
        <v>2932</v>
      </c>
      <c r="P617" s="152" t="s">
        <v>892</v>
      </c>
      <c r="Q617" s="152" t="s">
        <v>2933</v>
      </c>
      <c r="R617" s="152" t="s">
        <v>1474</v>
      </c>
      <c r="S617" s="152" t="s">
        <v>2935</v>
      </c>
      <c r="T617" s="152" t="s">
        <v>786</v>
      </c>
    </row>
    <row r="618" spans="3:20">
      <c r="C618" s="152" t="s">
        <v>2821</v>
      </c>
      <c r="D618" s="152"/>
      <c r="F618" s="474" t="s">
        <v>660</v>
      </c>
      <c r="G618" s="210" t="s">
        <v>661</v>
      </c>
      <c r="H618" s="210"/>
      <c r="I618" s="513">
        <v>-17760</v>
      </c>
      <c r="J618" s="513">
        <v>-12</v>
      </c>
      <c r="K618" s="513">
        <v>1480</v>
      </c>
      <c r="L618" s="513" t="s">
        <v>2859</v>
      </c>
      <c r="M618" s="513" t="s">
        <v>780</v>
      </c>
      <c r="N618" s="513" t="s">
        <v>1407</v>
      </c>
      <c r="O618" s="518" t="s">
        <v>2921</v>
      </c>
      <c r="P618" s="152" t="s">
        <v>892</v>
      </c>
      <c r="Q618" s="152" t="s">
        <v>2922</v>
      </c>
      <c r="R618" s="152" t="s">
        <v>2961</v>
      </c>
      <c r="S618" s="152" t="s">
        <v>2924</v>
      </c>
      <c r="T618" s="152" t="s">
        <v>786</v>
      </c>
    </row>
    <row r="619" spans="3:20">
      <c r="C619" s="152" t="s">
        <v>2821</v>
      </c>
      <c r="D619" s="152"/>
      <c r="F619" s="474" t="s">
        <v>660</v>
      </c>
      <c r="G619" s="210" t="s">
        <v>661</v>
      </c>
      <c r="H619" s="210"/>
      <c r="I619" s="513">
        <v>-676360</v>
      </c>
      <c r="J619" s="513">
        <v>-457</v>
      </c>
      <c r="K619" s="513">
        <v>1480</v>
      </c>
      <c r="L619" s="513" t="s">
        <v>2859</v>
      </c>
      <c r="M619" s="513" t="s">
        <v>780</v>
      </c>
      <c r="N619" s="513" t="s">
        <v>1407</v>
      </c>
      <c r="O619" s="518" t="s">
        <v>2921</v>
      </c>
      <c r="P619" s="152" t="s">
        <v>892</v>
      </c>
      <c r="Q619" s="152" t="s">
        <v>2922</v>
      </c>
      <c r="R619" s="152" t="s">
        <v>2962</v>
      </c>
      <c r="S619" s="152" t="s">
        <v>2924</v>
      </c>
      <c r="T619" s="152" t="s">
        <v>786</v>
      </c>
    </row>
    <row r="620" spans="3:20">
      <c r="C620" s="152" t="s">
        <v>2821</v>
      </c>
      <c r="D620" s="152"/>
      <c r="F620" s="474" t="s">
        <v>660</v>
      </c>
      <c r="G620" s="210" t="s">
        <v>661</v>
      </c>
      <c r="H620" s="210"/>
      <c r="I620" s="513">
        <v>-266237.2</v>
      </c>
      <c r="J620" s="513">
        <v>-179.89</v>
      </c>
      <c r="K620" s="513">
        <v>1480</v>
      </c>
      <c r="L620" s="513" t="s">
        <v>2859</v>
      </c>
      <c r="M620" s="513" t="s">
        <v>780</v>
      </c>
      <c r="N620" s="513" t="s">
        <v>1407</v>
      </c>
      <c r="O620" s="518" t="s">
        <v>2921</v>
      </c>
      <c r="P620" s="152" t="s">
        <v>892</v>
      </c>
      <c r="Q620" s="152" t="s">
        <v>2922</v>
      </c>
      <c r="R620" s="152" t="s">
        <v>2963</v>
      </c>
      <c r="S620" s="152" t="s">
        <v>2924</v>
      </c>
      <c r="T620" s="152" t="s">
        <v>786</v>
      </c>
    </row>
    <row r="621" spans="3:20">
      <c r="C621" s="152" t="s">
        <v>2821</v>
      </c>
      <c r="D621" s="152"/>
      <c r="F621" s="474" t="s">
        <v>660</v>
      </c>
      <c r="G621" s="210" t="s">
        <v>661</v>
      </c>
      <c r="H621" s="210"/>
      <c r="I621" s="513">
        <v>-101986.8</v>
      </c>
      <c r="J621" s="513">
        <v>-68.91</v>
      </c>
      <c r="K621" s="513">
        <v>1480</v>
      </c>
      <c r="L621" s="513" t="s">
        <v>2859</v>
      </c>
      <c r="M621" s="513" t="s">
        <v>780</v>
      </c>
      <c r="N621" s="513" t="s">
        <v>1407</v>
      </c>
      <c r="O621" s="518" t="s">
        <v>2921</v>
      </c>
      <c r="P621" s="152" t="s">
        <v>892</v>
      </c>
      <c r="Q621" s="152" t="s">
        <v>2922</v>
      </c>
      <c r="R621" s="152" t="s">
        <v>2964</v>
      </c>
      <c r="S621" s="152" t="s">
        <v>2924</v>
      </c>
      <c r="T621" s="152" t="s">
        <v>786</v>
      </c>
    </row>
    <row r="622" spans="3:20">
      <c r="C622" s="152" t="s">
        <v>2821</v>
      </c>
      <c r="D622" s="152"/>
      <c r="F622" s="474" t="s">
        <v>660</v>
      </c>
      <c r="G622" s="210" t="s">
        <v>661</v>
      </c>
      <c r="H622" s="210"/>
      <c r="I622" s="513">
        <v>-370000</v>
      </c>
      <c r="J622" s="513">
        <v>-250</v>
      </c>
      <c r="K622" s="513">
        <v>1480</v>
      </c>
      <c r="L622" s="513" t="s">
        <v>2859</v>
      </c>
      <c r="M622" s="513" t="s">
        <v>780</v>
      </c>
      <c r="N622" s="513" t="s">
        <v>1407</v>
      </c>
      <c r="O622" s="518" t="s">
        <v>2921</v>
      </c>
      <c r="P622" s="152" t="s">
        <v>892</v>
      </c>
      <c r="Q622" s="152" t="s">
        <v>2922</v>
      </c>
      <c r="R622" s="152" t="s">
        <v>2967</v>
      </c>
      <c r="S622" s="152" t="s">
        <v>2924</v>
      </c>
      <c r="T622" s="152" t="s">
        <v>786</v>
      </c>
    </row>
    <row r="623" spans="3:20">
      <c r="C623" s="152" t="s">
        <v>2821</v>
      </c>
      <c r="D623" s="152"/>
      <c r="F623" s="474" t="s">
        <v>660</v>
      </c>
      <c r="G623" s="210" t="s">
        <v>661</v>
      </c>
      <c r="H623" s="210"/>
      <c r="I623" s="513">
        <v>-911680</v>
      </c>
      <c r="J623" s="513">
        <v>-616</v>
      </c>
      <c r="K623" s="513">
        <v>1480</v>
      </c>
      <c r="L623" s="513" t="s">
        <v>2859</v>
      </c>
      <c r="M623" s="513" t="s">
        <v>780</v>
      </c>
      <c r="N623" s="513" t="s">
        <v>1407</v>
      </c>
      <c r="O623" s="518" t="s">
        <v>2921</v>
      </c>
      <c r="P623" s="152" t="s">
        <v>892</v>
      </c>
      <c r="Q623" s="152" t="s">
        <v>2922</v>
      </c>
      <c r="R623" s="152" t="s">
        <v>2968</v>
      </c>
      <c r="S623" s="152" t="s">
        <v>2924</v>
      </c>
      <c r="T623" s="152" t="s">
        <v>786</v>
      </c>
    </row>
    <row r="624" spans="3:20">
      <c r="C624" s="152" t="s">
        <v>2821</v>
      </c>
      <c r="D624" s="152"/>
      <c r="F624" s="474" t="s">
        <v>660</v>
      </c>
      <c r="G624" s="210" t="s">
        <v>661</v>
      </c>
      <c r="H624" s="210"/>
      <c r="I624" s="513">
        <v>-831686</v>
      </c>
      <c r="J624" s="513">
        <v>-561.95000000000005</v>
      </c>
      <c r="K624" s="513">
        <v>1480</v>
      </c>
      <c r="L624" s="513" t="s">
        <v>2827</v>
      </c>
      <c r="M624" s="513" t="s">
        <v>780</v>
      </c>
      <c r="N624" s="513" t="s">
        <v>1407</v>
      </c>
      <c r="O624" s="518" t="s">
        <v>2932</v>
      </c>
      <c r="P624" s="152" t="s">
        <v>892</v>
      </c>
      <c r="Q624" s="152" t="s">
        <v>2933</v>
      </c>
      <c r="R624" s="152" t="s">
        <v>2970</v>
      </c>
      <c r="S624" s="152" t="s">
        <v>2935</v>
      </c>
      <c r="T624" s="152" t="s">
        <v>786</v>
      </c>
    </row>
    <row r="625" spans="3:20">
      <c r="C625" s="152" t="s">
        <v>2821</v>
      </c>
      <c r="D625" s="152"/>
      <c r="F625" s="474" t="s">
        <v>660</v>
      </c>
      <c r="G625" s="210" t="s">
        <v>661</v>
      </c>
      <c r="H625" s="210"/>
      <c r="I625" s="513">
        <v>-3504477.2</v>
      </c>
      <c r="J625" s="513">
        <v>-2367.89</v>
      </c>
      <c r="K625" s="513">
        <v>1480</v>
      </c>
      <c r="L625" s="513" t="s">
        <v>2827</v>
      </c>
      <c r="M625" s="513" t="s">
        <v>780</v>
      </c>
      <c r="N625" s="513" t="s">
        <v>1407</v>
      </c>
      <c r="O625" s="518" t="s">
        <v>2932</v>
      </c>
      <c r="P625" s="152" t="s">
        <v>892</v>
      </c>
      <c r="Q625" s="152" t="s">
        <v>2933</v>
      </c>
      <c r="R625" s="152" t="s">
        <v>2971</v>
      </c>
      <c r="S625" s="152" t="s">
        <v>2935</v>
      </c>
      <c r="T625" s="152" t="s">
        <v>786</v>
      </c>
    </row>
    <row r="626" spans="3:20">
      <c r="C626" s="152" t="s">
        <v>2821</v>
      </c>
      <c r="D626" s="152"/>
      <c r="F626" s="474" t="s">
        <v>660</v>
      </c>
      <c r="G626" s="210" t="s">
        <v>661</v>
      </c>
      <c r="H626" s="210"/>
      <c r="I626" s="513">
        <v>-1147000</v>
      </c>
      <c r="J626" s="513">
        <v>-775</v>
      </c>
      <c r="K626" s="513">
        <v>1480</v>
      </c>
      <c r="L626" s="513" t="s">
        <v>2859</v>
      </c>
      <c r="M626" s="513" t="s">
        <v>780</v>
      </c>
      <c r="N626" s="513" t="s">
        <v>1407</v>
      </c>
      <c r="O626" s="518" t="s">
        <v>2921</v>
      </c>
      <c r="P626" s="152" t="s">
        <v>892</v>
      </c>
      <c r="Q626" s="152" t="s">
        <v>2922</v>
      </c>
      <c r="R626" s="152" t="s">
        <v>2986</v>
      </c>
      <c r="S626" s="152" t="s">
        <v>2924</v>
      </c>
      <c r="T626" s="152" t="s">
        <v>786</v>
      </c>
    </row>
    <row r="627" spans="3:20">
      <c r="C627" s="152" t="s">
        <v>2821</v>
      </c>
      <c r="D627" s="152"/>
      <c r="F627" s="474" t="s">
        <v>660</v>
      </c>
      <c r="G627" s="210" t="s">
        <v>661</v>
      </c>
      <c r="H627" s="210"/>
      <c r="I627" s="513">
        <v>-154719.20000000001</v>
      </c>
      <c r="J627" s="513">
        <v>-104.54</v>
      </c>
      <c r="K627" s="513">
        <v>1480</v>
      </c>
      <c r="L627" s="513" t="s">
        <v>2859</v>
      </c>
      <c r="M627" s="513" t="s">
        <v>780</v>
      </c>
      <c r="N627" s="513" t="s">
        <v>1407</v>
      </c>
      <c r="O627" s="518" t="s">
        <v>2921</v>
      </c>
      <c r="P627" s="152" t="s">
        <v>892</v>
      </c>
      <c r="Q627" s="152" t="s">
        <v>2922</v>
      </c>
      <c r="R627" s="152" t="s">
        <v>2990</v>
      </c>
      <c r="S627" s="152" t="s">
        <v>2924</v>
      </c>
      <c r="T627" s="152" t="s">
        <v>786</v>
      </c>
    </row>
    <row r="628" spans="3:20">
      <c r="C628" s="152" t="s">
        <v>2821</v>
      </c>
      <c r="D628" s="152"/>
      <c r="F628" s="474" t="s">
        <v>660</v>
      </c>
      <c r="G628" s="210" t="s">
        <v>661</v>
      </c>
      <c r="H628" s="210"/>
      <c r="I628" s="513">
        <v>-405520</v>
      </c>
      <c r="J628" s="513">
        <v>-274</v>
      </c>
      <c r="K628" s="513">
        <v>1480</v>
      </c>
      <c r="L628" s="513" t="s">
        <v>2859</v>
      </c>
      <c r="M628" s="513" t="s">
        <v>780</v>
      </c>
      <c r="N628" s="513" t="s">
        <v>1407</v>
      </c>
      <c r="O628" s="518" t="s">
        <v>2921</v>
      </c>
      <c r="P628" s="152" t="s">
        <v>892</v>
      </c>
      <c r="Q628" s="152" t="s">
        <v>2922</v>
      </c>
      <c r="R628" s="152" t="s">
        <v>2991</v>
      </c>
      <c r="S628" s="152" t="s">
        <v>2924</v>
      </c>
      <c r="T628" s="152" t="s">
        <v>786</v>
      </c>
    </row>
    <row r="629" spans="3:20">
      <c r="C629" s="152" t="s">
        <v>2821</v>
      </c>
      <c r="D629" s="152"/>
      <c r="F629" s="474" t="s">
        <v>660</v>
      </c>
      <c r="G629" s="210" t="s">
        <v>661</v>
      </c>
      <c r="H629" s="210"/>
      <c r="I629" s="513">
        <v>-2812</v>
      </c>
      <c r="J629" s="513">
        <v>-1.9</v>
      </c>
      <c r="K629" s="513">
        <v>1480</v>
      </c>
      <c r="L629" s="513" t="s">
        <v>2859</v>
      </c>
      <c r="M629" s="513" t="s">
        <v>780</v>
      </c>
      <c r="N629" s="513" t="s">
        <v>1407</v>
      </c>
      <c r="O629" s="518" t="s">
        <v>2921</v>
      </c>
      <c r="P629" s="152" t="s">
        <v>892</v>
      </c>
      <c r="Q629" s="152" t="s">
        <v>2922</v>
      </c>
      <c r="R629" s="152" t="s">
        <v>1483</v>
      </c>
      <c r="S629" s="152" t="s">
        <v>2924</v>
      </c>
      <c r="T629" s="152" t="s">
        <v>786</v>
      </c>
    </row>
    <row r="630" spans="3:20">
      <c r="C630" s="152" t="s">
        <v>2821</v>
      </c>
      <c r="D630" s="152"/>
      <c r="F630" s="474" t="s">
        <v>660</v>
      </c>
      <c r="G630" s="210" t="s">
        <v>661</v>
      </c>
      <c r="H630" s="210"/>
      <c r="I630" s="513">
        <v>-82051.199999999997</v>
      </c>
      <c r="J630" s="513">
        <v>-55.44</v>
      </c>
      <c r="K630" s="513">
        <v>1480</v>
      </c>
      <c r="L630" s="513" t="s">
        <v>2827</v>
      </c>
      <c r="M630" s="513" t="s">
        <v>780</v>
      </c>
      <c r="N630" s="513" t="s">
        <v>1407</v>
      </c>
      <c r="O630" s="518" t="s">
        <v>2932</v>
      </c>
      <c r="P630" s="152" t="s">
        <v>892</v>
      </c>
      <c r="Q630" s="152" t="s">
        <v>2933</v>
      </c>
      <c r="R630" s="152" t="s">
        <v>2997</v>
      </c>
      <c r="S630" s="152" t="s">
        <v>2935</v>
      </c>
      <c r="T630" s="152" t="s">
        <v>786</v>
      </c>
    </row>
    <row r="631" spans="3:20">
      <c r="C631" s="152" t="s">
        <v>2821</v>
      </c>
      <c r="D631" s="152"/>
      <c r="F631" s="474" t="s">
        <v>660</v>
      </c>
      <c r="G631" s="210" t="s">
        <v>661</v>
      </c>
      <c r="H631" s="210"/>
      <c r="I631" s="513">
        <v>-1761.2</v>
      </c>
      <c r="J631" s="513">
        <v>-1.19</v>
      </c>
      <c r="K631" s="513">
        <v>1480</v>
      </c>
      <c r="L631" s="513" t="s">
        <v>2827</v>
      </c>
      <c r="M631" s="513" t="s">
        <v>780</v>
      </c>
      <c r="N631" s="513" t="s">
        <v>1407</v>
      </c>
      <c r="O631" s="518" t="s">
        <v>2932</v>
      </c>
      <c r="P631" s="152" t="s">
        <v>892</v>
      </c>
      <c r="Q631" s="152" t="s">
        <v>2933</v>
      </c>
      <c r="R631" s="152" t="s">
        <v>1515</v>
      </c>
      <c r="S631" s="152" t="s">
        <v>2935</v>
      </c>
      <c r="T631" s="152" t="s">
        <v>786</v>
      </c>
    </row>
    <row r="632" spans="3:20">
      <c r="C632" s="152" t="s">
        <v>2821</v>
      </c>
      <c r="D632" s="152"/>
      <c r="F632" s="474" t="s">
        <v>660</v>
      </c>
      <c r="G632" s="210" t="s">
        <v>661</v>
      </c>
      <c r="H632" s="210"/>
      <c r="I632" s="513">
        <v>-2812</v>
      </c>
      <c r="J632" s="513">
        <v>-1.9</v>
      </c>
      <c r="K632" s="513">
        <v>1480</v>
      </c>
      <c r="L632" s="513" t="s">
        <v>2827</v>
      </c>
      <c r="M632" s="513" t="s">
        <v>780</v>
      </c>
      <c r="N632" s="513" t="s">
        <v>1407</v>
      </c>
      <c r="O632" s="518" t="s">
        <v>2932</v>
      </c>
      <c r="P632" s="152" t="s">
        <v>892</v>
      </c>
      <c r="Q632" s="152" t="s">
        <v>2933</v>
      </c>
      <c r="R632" s="152" t="s">
        <v>1515</v>
      </c>
      <c r="S632" s="152" t="s">
        <v>2935</v>
      </c>
      <c r="T632" s="152" t="s">
        <v>786</v>
      </c>
    </row>
    <row r="633" spans="3:20">
      <c r="C633" s="152" t="s">
        <v>2821</v>
      </c>
      <c r="D633" s="152"/>
      <c r="F633" s="474" t="s">
        <v>660</v>
      </c>
      <c r="G633" s="210" t="s">
        <v>661</v>
      </c>
      <c r="H633" s="210"/>
      <c r="I633" s="513">
        <v>-2812</v>
      </c>
      <c r="J633" s="513">
        <v>-1.9</v>
      </c>
      <c r="K633" s="513">
        <v>1480</v>
      </c>
      <c r="L633" s="513" t="s">
        <v>2827</v>
      </c>
      <c r="M633" s="513" t="s">
        <v>780</v>
      </c>
      <c r="N633" s="513" t="s">
        <v>1407</v>
      </c>
      <c r="O633" s="518" t="s">
        <v>2932</v>
      </c>
      <c r="P633" s="152" t="s">
        <v>892</v>
      </c>
      <c r="Q633" s="152" t="s">
        <v>2933</v>
      </c>
      <c r="R633" s="152" t="s">
        <v>1515</v>
      </c>
      <c r="S633" s="152" t="s">
        <v>2935</v>
      </c>
      <c r="T633" s="152" t="s">
        <v>786</v>
      </c>
    </row>
    <row r="634" spans="3:20">
      <c r="C634" s="152" t="s">
        <v>2821</v>
      </c>
      <c r="D634" s="152"/>
      <c r="F634" s="474" t="s">
        <v>660</v>
      </c>
      <c r="G634" s="210" t="s">
        <v>661</v>
      </c>
      <c r="H634" s="210"/>
      <c r="I634" s="513">
        <v>-2812</v>
      </c>
      <c r="J634" s="513">
        <v>-1.9</v>
      </c>
      <c r="K634" s="513">
        <v>1480</v>
      </c>
      <c r="L634" s="513" t="s">
        <v>2827</v>
      </c>
      <c r="M634" s="513" t="s">
        <v>780</v>
      </c>
      <c r="N634" s="513" t="s">
        <v>1407</v>
      </c>
      <c r="O634" s="518" t="s">
        <v>2932</v>
      </c>
      <c r="P634" s="152" t="s">
        <v>892</v>
      </c>
      <c r="Q634" s="152" t="s">
        <v>2933</v>
      </c>
      <c r="R634" s="152" t="s">
        <v>1515</v>
      </c>
      <c r="S634" s="152" t="s">
        <v>2935</v>
      </c>
      <c r="T634" s="152" t="s">
        <v>786</v>
      </c>
    </row>
    <row r="635" spans="3:20">
      <c r="C635" s="152" t="s">
        <v>2821</v>
      </c>
      <c r="D635" s="152"/>
      <c r="F635" s="474" t="s">
        <v>660</v>
      </c>
      <c r="G635" s="210" t="s">
        <v>661</v>
      </c>
      <c r="H635" s="210"/>
      <c r="I635" s="513">
        <v>-1480</v>
      </c>
      <c r="J635" s="513">
        <v>-1</v>
      </c>
      <c r="K635" s="513">
        <v>1480</v>
      </c>
      <c r="L635" s="513" t="s">
        <v>2827</v>
      </c>
      <c r="M635" s="513" t="s">
        <v>780</v>
      </c>
      <c r="N635" s="513" t="s">
        <v>1407</v>
      </c>
      <c r="O635" s="518" t="s">
        <v>2932</v>
      </c>
      <c r="P635" s="152" t="s">
        <v>892</v>
      </c>
      <c r="Q635" s="152" t="s">
        <v>2933</v>
      </c>
      <c r="R635" s="152" t="s">
        <v>1515</v>
      </c>
      <c r="S635" s="152" t="s">
        <v>2935</v>
      </c>
      <c r="T635" s="152" t="s">
        <v>786</v>
      </c>
    </row>
    <row r="636" spans="3:20">
      <c r="C636" s="152" t="s">
        <v>2821</v>
      </c>
      <c r="D636" s="152"/>
      <c r="F636" s="474" t="s">
        <v>660</v>
      </c>
      <c r="G636" s="210" t="s">
        <v>661</v>
      </c>
      <c r="H636" s="210"/>
      <c r="I636" s="513">
        <v>-2812</v>
      </c>
      <c r="J636" s="513">
        <v>-1.9</v>
      </c>
      <c r="K636" s="513">
        <v>1480</v>
      </c>
      <c r="L636" s="513" t="s">
        <v>2827</v>
      </c>
      <c r="M636" s="513" t="s">
        <v>780</v>
      </c>
      <c r="N636" s="513" t="s">
        <v>1407</v>
      </c>
      <c r="O636" s="518" t="s">
        <v>2932</v>
      </c>
      <c r="P636" s="152" t="s">
        <v>892</v>
      </c>
      <c r="Q636" s="152" t="s">
        <v>2933</v>
      </c>
      <c r="R636" s="152" t="s">
        <v>1515</v>
      </c>
      <c r="S636" s="152" t="s">
        <v>2935</v>
      </c>
      <c r="T636" s="152" t="s">
        <v>786</v>
      </c>
    </row>
    <row r="637" spans="3:20">
      <c r="C637" s="152" t="s">
        <v>2821</v>
      </c>
      <c r="D637" s="152"/>
      <c r="F637" s="474" t="s">
        <v>660</v>
      </c>
      <c r="G637" s="210" t="s">
        <v>661</v>
      </c>
      <c r="H637" s="210"/>
      <c r="I637" s="513">
        <v>-1702</v>
      </c>
      <c r="J637" s="513">
        <v>-1.1499999999999999</v>
      </c>
      <c r="K637" s="513">
        <v>1480</v>
      </c>
      <c r="L637" s="513" t="s">
        <v>2859</v>
      </c>
      <c r="M637" s="513" t="s">
        <v>780</v>
      </c>
      <c r="N637" s="513" t="s">
        <v>1407</v>
      </c>
      <c r="O637" s="518" t="s">
        <v>2921</v>
      </c>
      <c r="P637" s="152" t="s">
        <v>892</v>
      </c>
      <c r="Q637" s="152" t="s">
        <v>2922</v>
      </c>
      <c r="R637" s="152" t="s">
        <v>1515</v>
      </c>
      <c r="S637" s="152" t="s">
        <v>2924</v>
      </c>
      <c r="T637" s="152" t="s">
        <v>786</v>
      </c>
    </row>
    <row r="638" spans="3:20">
      <c r="C638" s="152" t="s">
        <v>2821</v>
      </c>
      <c r="D638" s="152"/>
      <c r="F638" s="474" t="s">
        <v>660</v>
      </c>
      <c r="G638" s="210" t="s">
        <v>661</v>
      </c>
      <c r="H638" s="210"/>
      <c r="I638" s="513">
        <v>-2812</v>
      </c>
      <c r="J638" s="513">
        <v>-1.9</v>
      </c>
      <c r="K638" s="513">
        <v>1480</v>
      </c>
      <c r="L638" s="513" t="s">
        <v>2859</v>
      </c>
      <c r="M638" s="513" t="s">
        <v>780</v>
      </c>
      <c r="N638" s="513" t="s">
        <v>1407</v>
      </c>
      <c r="O638" s="518" t="s">
        <v>2921</v>
      </c>
      <c r="P638" s="152" t="s">
        <v>892</v>
      </c>
      <c r="Q638" s="152" t="s">
        <v>2922</v>
      </c>
      <c r="R638" s="152" t="s">
        <v>1515</v>
      </c>
      <c r="S638" s="152" t="s">
        <v>2924</v>
      </c>
      <c r="T638" s="152" t="s">
        <v>786</v>
      </c>
    </row>
    <row r="639" spans="3:20">
      <c r="C639" s="152" t="s">
        <v>2821</v>
      </c>
      <c r="D639" s="152"/>
      <c r="F639" s="474" t="s">
        <v>660</v>
      </c>
      <c r="G639" s="210" t="s">
        <v>661</v>
      </c>
      <c r="H639" s="210"/>
      <c r="I639" s="513">
        <v>-1480</v>
      </c>
      <c r="J639" s="513">
        <v>-1</v>
      </c>
      <c r="K639" s="513">
        <v>1480</v>
      </c>
      <c r="L639" s="513" t="s">
        <v>2859</v>
      </c>
      <c r="M639" s="513" t="s">
        <v>780</v>
      </c>
      <c r="N639" s="513" t="s">
        <v>1407</v>
      </c>
      <c r="O639" s="518" t="s">
        <v>2921</v>
      </c>
      <c r="P639" s="152" t="s">
        <v>892</v>
      </c>
      <c r="Q639" s="152" t="s">
        <v>2922</v>
      </c>
      <c r="R639" s="152" t="s">
        <v>1515</v>
      </c>
      <c r="S639" s="152" t="s">
        <v>2924</v>
      </c>
      <c r="T639" s="152" t="s">
        <v>786</v>
      </c>
    </row>
    <row r="640" spans="3:20">
      <c r="C640" s="152" t="s">
        <v>2821</v>
      </c>
      <c r="D640" s="152"/>
      <c r="F640" s="474" t="s">
        <v>660</v>
      </c>
      <c r="G640" s="210" t="s">
        <v>661</v>
      </c>
      <c r="H640" s="210"/>
      <c r="I640" s="513">
        <v>-2812</v>
      </c>
      <c r="J640" s="513">
        <v>-1.9</v>
      </c>
      <c r="K640" s="513">
        <v>1480</v>
      </c>
      <c r="L640" s="513" t="s">
        <v>2859</v>
      </c>
      <c r="M640" s="513" t="s">
        <v>780</v>
      </c>
      <c r="N640" s="513" t="s">
        <v>1407</v>
      </c>
      <c r="O640" s="518" t="s">
        <v>2921</v>
      </c>
      <c r="P640" s="152" t="s">
        <v>892</v>
      </c>
      <c r="Q640" s="152" t="s">
        <v>2922</v>
      </c>
      <c r="R640" s="152" t="s">
        <v>1515</v>
      </c>
      <c r="S640" s="152" t="s">
        <v>2924</v>
      </c>
      <c r="T640" s="152" t="s">
        <v>786</v>
      </c>
    </row>
    <row r="641" spans="3:20">
      <c r="C641" s="152" t="s">
        <v>2821</v>
      </c>
      <c r="D641" s="152"/>
      <c r="F641" s="474" t="s">
        <v>660</v>
      </c>
      <c r="G641" s="210" t="s">
        <v>661</v>
      </c>
      <c r="H641" s="210"/>
      <c r="I641" s="513">
        <v>-1790.8</v>
      </c>
      <c r="J641" s="513">
        <v>-1.21</v>
      </c>
      <c r="K641" s="513">
        <v>1480</v>
      </c>
      <c r="L641" s="513" t="s">
        <v>2859</v>
      </c>
      <c r="M641" s="513" t="s">
        <v>780</v>
      </c>
      <c r="N641" s="513" t="s">
        <v>1407</v>
      </c>
      <c r="O641" s="518" t="s">
        <v>2921</v>
      </c>
      <c r="P641" s="152" t="s">
        <v>892</v>
      </c>
      <c r="Q641" s="152" t="s">
        <v>2922</v>
      </c>
      <c r="R641" s="152" t="s">
        <v>1515</v>
      </c>
      <c r="S641" s="152" t="s">
        <v>2924</v>
      </c>
      <c r="T641" s="152" t="s">
        <v>786</v>
      </c>
    </row>
    <row r="642" spans="3:20">
      <c r="C642" s="152" t="s">
        <v>2821</v>
      </c>
      <c r="D642" s="152"/>
      <c r="F642" s="474" t="s">
        <v>660</v>
      </c>
      <c r="G642" s="210" t="s">
        <v>661</v>
      </c>
      <c r="H642" s="210"/>
      <c r="I642" s="513">
        <v>-1776</v>
      </c>
      <c r="J642" s="513">
        <v>-1.2</v>
      </c>
      <c r="K642" s="513">
        <v>1480</v>
      </c>
      <c r="L642" s="513" t="s">
        <v>2859</v>
      </c>
      <c r="M642" s="513" t="s">
        <v>780</v>
      </c>
      <c r="N642" s="513" t="s">
        <v>1407</v>
      </c>
      <c r="O642" s="518" t="s">
        <v>2921</v>
      </c>
      <c r="P642" s="152" t="s">
        <v>892</v>
      </c>
      <c r="Q642" s="152" t="s">
        <v>2922</v>
      </c>
      <c r="R642" s="152" t="s">
        <v>1515</v>
      </c>
      <c r="S642" s="152" t="s">
        <v>2924</v>
      </c>
      <c r="T642" s="152" t="s">
        <v>786</v>
      </c>
    </row>
    <row r="643" spans="3:20">
      <c r="C643" s="152" t="s">
        <v>2821</v>
      </c>
      <c r="D643" s="152"/>
      <c r="F643" s="474" t="s">
        <v>660</v>
      </c>
      <c r="G643" s="210" t="s">
        <v>661</v>
      </c>
      <c r="H643" s="210"/>
      <c r="I643" s="513">
        <v>-2812</v>
      </c>
      <c r="J643" s="513">
        <v>-1.9</v>
      </c>
      <c r="K643" s="513">
        <v>1480</v>
      </c>
      <c r="L643" s="513" t="s">
        <v>2859</v>
      </c>
      <c r="M643" s="513" t="s">
        <v>780</v>
      </c>
      <c r="N643" s="513" t="s">
        <v>1407</v>
      </c>
      <c r="O643" s="518" t="s">
        <v>2921</v>
      </c>
      <c r="P643" s="152" t="s">
        <v>892</v>
      </c>
      <c r="Q643" s="152" t="s">
        <v>2922</v>
      </c>
      <c r="R643" s="152" t="s">
        <v>1515</v>
      </c>
      <c r="S643" s="152" t="s">
        <v>2924</v>
      </c>
      <c r="T643" s="152" t="s">
        <v>786</v>
      </c>
    </row>
    <row r="644" spans="3:20">
      <c r="C644" s="152" t="s">
        <v>2821</v>
      </c>
      <c r="D644" s="152"/>
      <c r="F644" s="474" t="s">
        <v>660</v>
      </c>
      <c r="G644" s="210" t="s">
        <v>661</v>
      </c>
      <c r="H644" s="210"/>
      <c r="I644" s="513">
        <v>-2812</v>
      </c>
      <c r="J644" s="513">
        <v>-1.9</v>
      </c>
      <c r="K644" s="513">
        <v>1480</v>
      </c>
      <c r="L644" s="513" t="s">
        <v>2859</v>
      </c>
      <c r="M644" s="513" t="s">
        <v>780</v>
      </c>
      <c r="N644" s="513" t="s">
        <v>1407</v>
      </c>
      <c r="O644" s="518" t="s">
        <v>2921</v>
      </c>
      <c r="P644" s="152" t="s">
        <v>892</v>
      </c>
      <c r="Q644" s="152" t="s">
        <v>2922</v>
      </c>
      <c r="R644" s="152" t="s">
        <v>1515</v>
      </c>
      <c r="S644" s="152" t="s">
        <v>2924</v>
      </c>
      <c r="T644" s="152" t="s">
        <v>786</v>
      </c>
    </row>
    <row r="645" spans="3:20">
      <c r="C645" s="152" t="s">
        <v>2821</v>
      </c>
      <c r="D645" s="152"/>
      <c r="F645" s="474" t="s">
        <v>660</v>
      </c>
      <c r="G645" s="210" t="s">
        <v>661</v>
      </c>
      <c r="H645" s="210"/>
      <c r="I645" s="513">
        <v>-1790.8</v>
      </c>
      <c r="J645" s="513">
        <v>-1.21</v>
      </c>
      <c r="K645" s="513">
        <v>1480</v>
      </c>
      <c r="L645" s="513" t="s">
        <v>2859</v>
      </c>
      <c r="M645" s="513" t="s">
        <v>780</v>
      </c>
      <c r="N645" s="513" t="s">
        <v>1407</v>
      </c>
      <c r="O645" s="518" t="s">
        <v>2921</v>
      </c>
      <c r="P645" s="152" t="s">
        <v>892</v>
      </c>
      <c r="Q645" s="152" t="s">
        <v>2922</v>
      </c>
      <c r="R645" s="152" t="s">
        <v>1515</v>
      </c>
      <c r="S645" s="152" t="s">
        <v>2924</v>
      </c>
      <c r="T645" s="152" t="s">
        <v>786</v>
      </c>
    </row>
    <row r="646" spans="3:20">
      <c r="C646" s="152" t="s">
        <v>2821</v>
      </c>
      <c r="D646" s="152"/>
      <c r="F646" s="474" t="s">
        <v>660</v>
      </c>
      <c r="G646" s="210" t="s">
        <v>661</v>
      </c>
      <c r="H646" s="210"/>
      <c r="I646" s="513">
        <v>-2812</v>
      </c>
      <c r="J646" s="513">
        <v>-1.9</v>
      </c>
      <c r="K646" s="513">
        <v>1480</v>
      </c>
      <c r="L646" s="513" t="s">
        <v>2859</v>
      </c>
      <c r="M646" s="513" t="s">
        <v>780</v>
      </c>
      <c r="N646" s="513" t="s">
        <v>1407</v>
      </c>
      <c r="O646" s="518" t="s">
        <v>2921</v>
      </c>
      <c r="P646" s="152" t="s">
        <v>892</v>
      </c>
      <c r="Q646" s="152" t="s">
        <v>2922</v>
      </c>
      <c r="R646" s="152" t="s">
        <v>1515</v>
      </c>
      <c r="S646" s="152" t="s">
        <v>2924</v>
      </c>
      <c r="T646" s="152" t="s">
        <v>786</v>
      </c>
    </row>
    <row r="647" spans="3:20">
      <c r="C647" s="152" t="s">
        <v>2821</v>
      </c>
      <c r="D647" s="152"/>
      <c r="F647" s="474" t="s">
        <v>660</v>
      </c>
      <c r="G647" s="210" t="s">
        <v>661</v>
      </c>
      <c r="H647" s="210"/>
      <c r="I647" s="513">
        <v>-1761.2</v>
      </c>
      <c r="J647" s="513">
        <v>-1.19</v>
      </c>
      <c r="K647" s="513">
        <v>1480</v>
      </c>
      <c r="L647" s="513" t="s">
        <v>2827</v>
      </c>
      <c r="M647" s="513" t="s">
        <v>780</v>
      </c>
      <c r="N647" s="513" t="s">
        <v>1407</v>
      </c>
      <c r="O647" s="518" t="s">
        <v>2932</v>
      </c>
      <c r="P647" s="152" t="s">
        <v>892</v>
      </c>
      <c r="Q647" s="152" t="s">
        <v>2933</v>
      </c>
      <c r="R647" s="152" t="s">
        <v>2998</v>
      </c>
      <c r="S647" s="152" t="s">
        <v>2935</v>
      </c>
      <c r="T647" s="152" t="s">
        <v>786</v>
      </c>
    </row>
    <row r="648" spans="3:20">
      <c r="C648" s="152" t="s">
        <v>2821</v>
      </c>
      <c r="D648" s="152"/>
      <c r="F648" s="474" t="s">
        <v>660</v>
      </c>
      <c r="G648" s="210" t="s">
        <v>661</v>
      </c>
      <c r="H648" s="210"/>
      <c r="I648" s="513">
        <v>-325718.40000000002</v>
      </c>
      <c r="J648" s="513">
        <v>-220.08</v>
      </c>
      <c r="K648" s="513">
        <v>1480</v>
      </c>
      <c r="L648" s="513" t="s">
        <v>2859</v>
      </c>
      <c r="M648" s="513" t="s">
        <v>780</v>
      </c>
      <c r="N648" s="513" t="s">
        <v>1407</v>
      </c>
      <c r="O648" s="518" t="s">
        <v>2921</v>
      </c>
      <c r="P648" s="152" t="s">
        <v>892</v>
      </c>
      <c r="Q648" s="152" t="s">
        <v>2922</v>
      </c>
      <c r="R648" s="152" t="s">
        <v>3000</v>
      </c>
      <c r="S648" s="152" t="s">
        <v>2924</v>
      </c>
      <c r="T648" s="152" t="s">
        <v>786</v>
      </c>
    </row>
    <row r="649" spans="3:20">
      <c r="C649" s="152" t="s">
        <v>2821</v>
      </c>
      <c r="D649" s="152"/>
      <c r="F649" s="474" t="s">
        <v>660</v>
      </c>
      <c r="G649" s="210" t="s">
        <v>661</v>
      </c>
      <c r="H649" s="210"/>
      <c r="I649" s="513">
        <v>-2220000</v>
      </c>
      <c r="J649" s="513">
        <v>-1500</v>
      </c>
      <c r="K649" s="513">
        <v>1480</v>
      </c>
      <c r="L649" s="513" t="s">
        <v>2859</v>
      </c>
      <c r="M649" s="513" t="s">
        <v>780</v>
      </c>
      <c r="N649" s="513" t="s">
        <v>1407</v>
      </c>
      <c r="O649" s="518" t="s">
        <v>2921</v>
      </c>
      <c r="P649" s="152" t="s">
        <v>892</v>
      </c>
      <c r="Q649" s="152" t="s">
        <v>2922</v>
      </c>
      <c r="R649" s="152" t="s">
        <v>3002</v>
      </c>
      <c r="S649" s="152" t="s">
        <v>2924</v>
      </c>
      <c r="T649" s="152" t="s">
        <v>786</v>
      </c>
    </row>
    <row r="650" spans="3:20">
      <c r="C650" s="152" t="s">
        <v>2821</v>
      </c>
      <c r="D650" s="152"/>
      <c r="F650" s="474" t="s">
        <v>660</v>
      </c>
      <c r="G650" s="210" t="s">
        <v>661</v>
      </c>
      <c r="H650" s="210"/>
      <c r="I650" s="513">
        <v>-928700</v>
      </c>
      <c r="J650" s="513">
        <v>-627.5</v>
      </c>
      <c r="K650" s="513">
        <v>1480</v>
      </c>
      <c r="L650" s="513" t="s">
        <v>2859</v>
      </c>
      <c r="M650" s="513" t="s">
        <v>780</v>
      </c>
      <c r="N650" s="513" t="s">
        <v>1407</v>
      </c>
      <c r="O650" s="518" t="s">
        <v>2921</v>
      </c>
      <c r="P650" s="152" t="s">
        <v>892</v>
      </c>
      <c r="Q650" s="152" t="s">
        <v>2922</v>
      </c>
      <c r="R650" s="152" t="s">
        <v>3007</v>
      </c>
      <c r="S650" s="152" t="s">
        <v>2924</v>
      </c>
      <c r="T650" s="152" t="s">
        <v>786</v>
      </c>
    </row>
    <row r="651" spans="3:20">
      <c r="C651" s="152" t="s">
        <v>2821</v>
      </c>
      <c r="D651" s="152"/>
      <c r="F651" s="474" t="s">
        <v>660</v>
      </c>
      <c r="G651" s="210" t="s">
        <v>661</v>
      </c>
      <c r="H651" s="210"/>
      <c r="I651" s="513">
        <v>-464705.2</v>
      </c>
      <c r="J651" s="513">
        <v>-313.99</v>
      </c>
      <c r="K651" s="513">
        <v>1480</v>
      </c>
      <c r="L651" s="513" t="s">
        <v>2859</v>
      </c>
      <c r="M651" s="513" t="s">
        <v>780</v>
      </c>
      <c r="N651" s="513" t="s">
        <v>1407</v>
      </c>
      <c r="O651" s="518" t="s">
        <v>2921</v>
      </c>
      <c r="P651" s="152" t="s">
        <v>892</v>
      </c>
      <c r="Q651" s="152" t="s">
        <v>2922</v>
      </c>
      <c r="R651" s="152" t="s">
        <v>3009</v>
      </c>
      <c r="S651" s="152" t="s">
        <v>2924</v>
      </c>
      <c r="T651" s="152" t="s">
        <v>786</v>
      </c>
    </row>
    <row r="652" spans="3:20">
      <c r="C652" s="152" t="s">
        <v>2821</v>
      </c>
      <c r="D652" s="152"/>
      <c r="F652" s="474" t="s">
        <v>660</v>
      </c>
      <c r="G652" s="210" t="s">
        <v>661</v>
      </c>
      <c r="H652" s="210"/>
      <c r="I652" s="513">
        <v>-289813.59999999998</v>
      </c>
      <c r="J652" s="513">
        <v>-195.82</v>
      </c>
      <c r="K652" s="513">
        <v>1480</v>
      </c>
      <c r="L652" s="513" t="s">
        <v>2827</v>
      </c>
      <c r="M652" s="513" t="s">
        <v>780</v>
      </c>
      <c r="N652" s="513" t="s">
        <v>1407</v>
      </c>
      <c r="O652" s="518" t="s">
        <v>2932</v>
      </c>
      <c r="P652" s="152" t="s">
        <v>892</v>
      </c>
      <c r="Q652" s="152" t="s">
        <v>2933</v>
      </c>
      <c r="R652" s="152" t="s">
        <v>3012</v>
      </c>
      <c r="S652" s="152" t="s">
        <v>2935</v>
      </c>
      <c r="T652" s="152" t="s">
        <v>786</v>
      </c>
    </row>
    <row r="653" spans="3:20">
      <c r="C653" s="152" t="s">
        <v>2821</v>
      </c>
      <c r="D653" s="152"/>
      <c r="F653" s="474" t="s">
        <v>660</v>
      </c>
      <c r="G653" s="210" t="s">
        <v>661</v>
      </c>
      <c r="H653" s="210"/>
      <c r="I653" s="513">
        <v>-999991.6</v>
      </c>
      <c r="J653" s="513">
        <v>-675.67</v>
      </c>
      <c r="K653" s="513">
        <v>1480</v>
      </c>
      <c r="L653" s="513" t="s">
        <v>2859</v>
      </c>
      <c r="M653" s="513" t="s">
        <v>780</v>
      </c>
      <c r="N653" s="513" t="s">
        <v>1407</v>
      </c>
      <c r="O653" s="518" t="s">
        <v>2921</v>
      </c>
      <c r="P653" s="152" t="s">
        <v>892</v>
      </c>
      <c r="Q653" s="152" t="s">
        <v>2922</v>
      </c>
      <c r="R653" s="152" t="s">
        <v>3014</v>
      </c>
      <c r="S653" s="152" t="s">
        <v>2924</v>
      </c>
      <c r="T653" s="152" t="s">
        <v>786</v>
      </c>
    </row>
    <row r="654" spans="3:20">
      <c r="C654" s="152" t="s">
        <v>2821</v>
      </c>
      <c r="D654" s="152"/>
      <c r="F654" s="474" t="s">
        <v>660</v>
      </c>
      <c r="G654" s="210" t="s">
        <v>661</v>
      </c>
      <c r="H654" s="210"/>
      <c r="I654" s="513">
        <v>-1665754.8</v>
      </c>
      <c r="J654" s="513">
        <v>-1125.51</v>
      </c>
      <c r="K654" s="513">
        <v>1480</v>
      </c>
      <c r="L654" s="513" t="s">
        <v>2859</v>
      </c>
      <c r="M654" s="513" t="s">
        <v>780</v>
      </c>
      <c r="N654" s="513" t="s">
        <v>1407</v>
      </c>
      <c r="O654" s="518" t="s">
        <v>2921</v>
      </c>
      <c r="P654" s="152" t="s">
        <v>892</v>
      </c>
      <c r="Q654" s="152" t="s">
        <v>2922</v>
      </c>
      <c r="R654" s="152" t="s">
        <v>3015</v>
      </c>
      <c r="S654" s="152" t="s">
        <v>2924</v>
      </c>
      <c r="T654" s="152" t="s">
        <v>786</v>
      </c>
    </row>
    <row r="655" spans="3:20">
      <c r="C655" s="152" t="s">
        <v>2821</v>
      </c>
      <c r="D655" s="152"/>
      <c r="F655" s="474" t="s">
        <v>660</v>
      </c>
      <c r="G655" s="210" t="s">
        <v>661</v>
      </c>
      <c r="H655" s="210"/>
      <c r="I655" s="513">
        <v>54708200</v>
      </c>
      <c r="J655" s="513">
        <v>36965</v>
      </c>
      <c r="K655" s="513">
        <v>1480</v>
      </c>
      <c r="L655" s="513" t="s">
        <v>3019</v>
      </c>
      <c r="M655" s="513" t="s">
        <v>780</v>
      </c>
      <c r="N655" s="513" t="s">
        <v>1407</v>
      </c>
      <c r="O655" s="518" t="s">
        <v>3020</v>
      </c>
      <c r="P655" s="152" t="s">
        <v>892</v>
      </c>
      <c r="Q655" s="152" t="s">
        <v>3021</v>
      </c>
      <c r="R655" s="152" t="s">
        <v>1432</v>
      </c>
      <c r="S655" s="152" t="s">
        <v>3022</v>
      </c>
      <c r="T655" s="152" t="s">
        <v>786</v>
      </c>
    </row>
    <row r="656" spans="3:20">
      <c r="C656" s="152" t="s">
        <v>2821</v>
      </c>
      <c r="D656" s="152"/>
      <c r="F656" s="474" t="s">
        <v>660</v>
      </c>
      <c r="G656" s="210" t="s">
        <v>661</v>
      </c>
      <c r="H656" s="210"/>
      <c r="I656" s="513">
        <v>-299729.59999999998</v>
      </c>
      <c r="J656" s="513">
        <v>-202.52</v>
      </c>
      <c r="K656" s="513">
        <v>1480</v>
      </c>
      <c r="L656" s="513" t="s">
        <v>2827</v>
      </c>
      <c r="M656" s="513" t="s">
        <v>780</v>
      </c>
      <c r="N656" s="513" t="s">
        <v>1407</v>
      </c>
      <c r="O656" s="518" t="s">
        <v>2932</v>
      </c>
      <c r="P656" s="152" t="s">
        <v>892</v>
      </c>
      <c r="Q656" s="152" t="s">
        <v>2933</v>
      </c>
      <c r="R656" s="152" t="s">
        <v>3027</v>
      </c>
      <c r="S656" s="152" t="s">
        <v>2935</v>
      </c>
      <c r="T656" s="152" t="s">
        <v>786</v>
      </c>
    </row>
    <row r="657" spans="3:20">
      <c r="C657" s="152" t="s">
        <v>2821</v>
      </c>
      <c r="D657" s="152"/>
      <c r="F657" s="474" t="s">
        <v>660</v>
      </c>
      <c r="G657" s="210" t="s">
        <v>661</v>
      </c>
      <c r="H657" s="210"/>
      <c r="I657" s="513">
        <v>-180560</v>
      </c>
      <c r="J657" s="513">
        <v>-122</v>
      </c>
      <c r="K657" s="513">
        <v>1480</v>
      </c>
      <c r="L657" s="513" t="s">
        <v>2859</v>
      </c>
      <c r="M657" s="513" t="s">
        <v>780</v>
      </c>
      <c r="N657" s="513" t="s">
        <v>1407</v>
      </c>
      <c r="O657" s="518" t="s">
        <v>2921</v>
      </c>
      <c r="P657" s="152" t="s">
        <v>892</v>
      </c>
      <c r="Q657" s="152" t="s">
        <v>2922</v>
      </c>
      <c r="R657" s="152" t="s">
        <v>3029</v>
      </c>
      <c r="S657" s="152" t="s">
        <v>2924</v>
      </c>
      <c r="T657" s="152" t="s">
        <v>786</v>
      </c>
    </row>
    <row r="658" spans="3:20">
      <c r="C658" s="152" t="s">
        <v>2821</v>
      </c>
      <c r="D658" s="152"/>
      <c r="F658" s="474" t="s">
        <v>660</v>
      </c>
      <c r="G658" s="210" t="s">
        <v>661</v>
      </c>
      <c r="H658" s="210"/>
      <c r="I658" s="513">
        <v>-888000</v>
      </c>
      <c r="J658" s="513">
        <v>-600</v>
      </c>
      <c r="K658" s="513">
        <v>1480</v>
      </c>
      <c r="L658" s="513" t="s">
        <v>2827</v>
      </c>
      <c r="M658" s="513" t="s">
        <v>780</v>
      </c>
      <c r="N658" s="513" t="s">
        <v>1407</v>
      </c>
      <c r="O658" s="518" t="s">
        <v>2932</v>
      </c>
      <c r="P658" s="152" t="s">
        <v>892</v>
      </c>
      <c r="Q658" s="152" t="s">
        <v>2933</v>
      </c>
      <c r="R658" s="152" t="s">
        <v>3034</v>
      </c>
      <c r="S658" s="152" t="s">
        <v>2935</v>
      </c>
      <c r="T658" s="152" t="s">
        <v>786</v>
      </c>
    </row>
    <row r="659" spans="3:20">
      <c r="C659" s="152" t="s">
        <v>2821</v>
      </c>
      <c r="D659" s="152"/>
      <c r="F659" s="474" t="s">
        <v>660</v>
      </c>
      <c r="G659" s="210" t="s">
        <v>661</v>
      </c>
      <c r="H659" s="210"/>
      <c r="I659" s="513">
        <v>-3223928.4</v>
      </c>
      <c r="J659" s="513">
        <v>-2178.33</v>
      </c>
      <c r="K659" s="513">
        <v>1480</v>
      </c>
      <c r="L659" s="513" t="s">
        <v>2827</v>
      </c>
      <c r="M659" s="513" t="s">
        <v>780</v>
      </c>
      <c r="N659" s="513" t="s">
        <v>1407</v>
      </c>
      <c r="O659" s="518" t="s">
        <v>2932</v>
      </c>
      <c r="P659" s="152" t="s">
        <v>892</v>
      </c>
      <c r="Q659" s="152" t="s">
        <v>2933</v>
      </c>
      <c r="R659" s="152" t="s">
        <v>3035</v>
      </c>
      <c r="S659" s="152" t="s">
        <v>2935</v>
      </c>
      <c r="T659" s="152" t="s">
        <v>786</v>
      </c>
    </row>
    <row r="660" spans="3:20">
      <c r="C660" s="152" t="s">
        <v>2821</v>
      </c>
      <c r="D660" s="152"/>
      <c r="F660" s="474" t="s">
        <v>660</v>
      </c>
      <c r="G660" s="210" t="s">
        <v>661</v>
      </c>
      <c r="H660" s="210"/>
      <c r="I660" s="513">
        <v>-152440</v>
      </c>
      <c r="J660" s="513">
        <v>-103</v>
      </c>
      <c r="K660" s="513">
        <v>1480</v>
      </c>
      <c r="L660" s="513" t="s">
        <v>2827</v>
      </c>
      <c r="M660" s="513" t="s">
        <v>780</v>
      </c>
      <c r="N660" s="513" t="s">
        <v>1407</v>
      </c>
      <c r="O660" s="518" t="s">
        <v>2932</v>
      </c>
      <c r="P660" s="152" t="s">
        <v>892</v>
      </c>
      <c r="Q660" s="152" t="s">
        <v>2933</v>
      </c>
      <c r="R660" s="152" t="s">
        <v>3036</v>
      </c>
      <c r="S660" s="152" t="s">
        <v>2935</v>
      </c>
      <c r="T660" s="152" t="s">
        <v>786</v>
      </c>
    </row>
    <row r="661" spans="3:20">
      <c r="C661" s="152" t="s">
        <v>2821</v>
      </c>
      <c r="D661" s="152"/>
      <c r="F661" s="474" t="s">
        <v>660</v>
      </c>
      <c r="G661" s="210" t="s">
        <v>661</v>
      </c>
      <c r="H661" s="210"/>
      <c r="I661" s="513">
        <v>-984288.8</v>
      </c>
      <c r="J661" s="513">
        <v>-665.06</v>
      </c>
      <c r="K661" s="513">
        <v>1480</v>
      </c>
      <c r="L661" s="513" t="s">
        <v>2827</v>
      </c>
      <c r="M661" s="513" t="s">
        <v>780</v>
      </c>
      <c r="N661" s="513" t="s">
        <v>1407</v>
      </c>
      <c r="O661" s="518" t="s">
        <v>2932</v>
      </c>
      <c r="P661" s="152" t="s">
        <v>892</v>
      </c>
      <c r="Q661" s="152" t="s">
        <v>2933</v>
      </c>
      <c r="R661" s="152" t="s">
        <v>3041</v>
      </c>
      <c r="S661" s="152" t="s">
        <v>2935</v>
      </c>
      <c r="T661" s="152" t="s">
        <v>786</v>
      </c>
    </row>
    <row r="662" spans="3:20">
      <c r="C662" s="152" t="s">
        <v>2821</v>
      </c>
      <c r="D662" s="152"/>
      <c r="F662" s="474" t="s">
        <v>660</v>
      </c>
      <c r="G662" s="210" t="s">
        <v>661</v>
      </c>
      <c r="H662" s="210"/>
      <c r="I662" s="513">
        <v>-30932</v>
      </c>
      <c r="J662" s="513">
        <v>-20.9</v>
      </c>
      <c r="K662" s="513">
        <v>1480</v>
      </c>
      <c r="L662" s="513" t="s">
        <v>2859</v>
      </c>
      <c r="M662" s="513" t="s">
        <v>780</v>
      </c>
      <c r="N662" s="513" t="s">
        <v>1407</v>
      </c>
      <c r="O662" s="518" t="s">
        <v>2921</v>
      </c>
      <c r="P662" s="152" t="s">
        <v>892</v>
      </c>
      <c r="Q662" s="152" t="s">
        <v>2922</v>
      </c>
      <c r="R662" s="152" t="s">
        <v>1499</v>
      </c>
      <c r="S662" s="152" t="s">
        <v>2924</v>
      </c>
      <c r="T662" s="152" t="s">
        <v>786</v>
      </c>
    </row>
    <row r="663" spans="3:20">
      <c r="C663" s="152" t="s">
        <v>2821</v>
      </c>
      <c r="D663" s="152"/>
      <c r="F663" s="474" t="s">
        <v>660</v>
      </c>
      <c r="G663" s="210" t="s">
        <v>661</v>
      </c>
      <c r="H663" s="210"/>
      <c r="I663" s="513">
        <v>-2116400</v>
      </c>
      <c r="J663" s="513">
        <v>-1430</v>
      </c>
      <c r="K663" s="513">
        <v>1480</v>
      </c>
      <c r="L663" s="513" t="s">
        <v>2827</v>
      </c>
      <c r="M663" s="513" t="s">
        <v>780</v>
      </c>
      <c r="N663" s="513" t="s">
        <v>1407</v>
      </c>
      <c r="O663" s="518" t="s">
        <v>2932</v>
      </c>
      <c r="P663" s="152" t="s">
        <v>892</v>
      </c>
      <c r="Q663" s="152" t="s">
        <v>2933</v>
      </c>
      <c r="R663" s="152" t="s">
        <v>3051</v>
      </c>
      <c r="S663" s="152" t="s">
        <v>2935</v>
      </c>
      <c r="T663" s="152" t="s">
        <v>786</v>
      </c>
    </row>
    <row r="664" spans="3:20">
      <c r="C664" s="152" t="s">
        <v>2821</v>
      </c>
      <c r="D664" s="152"/>
      <c r="F664" s="474" t="s">
        <v>660</v>
      </c>
      <c r="G664" s="210" t="s">
        <v>661</v>
      </c>
      <c r="H664" s="210"/>
      <c r="I664" s="513">
        <v>-2139280.7999999998</v>
      </c>
      <c r="J664" s="513">
        <v>-1445.46</v>
      </c>
      <c r="K664" s="513">
        <v>1480</v>
      </c>
      <c r="L664" s="513" t="s">
        <v>2859</v>
      </c>
      <c r="M664" s="513" t="s">
        <v>780</v>
      </c>
      <c r="N664" s="513" t="s">
        <v>1407</v>
      </c>
      <c r="O664" s="518" t="s">
        <v>2921</v>
      </c>
      <c r="P664" s="152" t="s">
        <v>892</v>
      </c>
      <c r="Q664" s="152" t="s">
        <v>2922</v>
      </c>
      <c r="R664" s="152" t="s">
        <v>3052</v>
      </c>
      <c r="S664" s="152" t="s">
        <v>2924</v>
      </c>
      <c r="T664" s="152" t="s">
        <v>786</v>
      </c>
    </row>
    <row r="665" spans="3:20">
      <c r="C665" s="152" t="s">
        <v>2821</v>
      </c>
      <c r="D665" s="152"/>
      <c r="F665" s="474" t="s">
        <v>660</v>
      </c>
      <c r="G665" s="210" t="s">
        <v>661</v>
      </c>
      <c r="H665" s="210"/>
      <c r="I665" s="513">
        <v>-407873.2</v>
      </c>
      <c r="J665" s="513">
        <v>-275.58999999999997</v>
      </c>
      <c r="K665" s="513">
        <v>1480</v>
      </c>
      <c r="L665" s="513" t="s">
        <v>2827</v>
      </c>
      <c r="M665" s="513" t="s">
        <v>780</v>
      </c>
      <c r="N665" s="513" t="s">
        <v>1407</v>
      </c>
      <c r="O665" s="518" t="s">
        <v>2932</v>
      </c>
      <c r="P665" s="152" t="s">
        <v>892</v>
      </c>
      <c r="Q665" s="152" t="s">
        <v>2933</v>
      </c>
      <c r="R665" s="152" t="s">
        <v>3055</v>
      </c>
      <c r="S665" s="152" t="s">
        <v>2935</v>
      </c>
      <c r="T665" s="152" t="s">
        <v>786</v>
      </c>
    </row>
    <row r="666" spans="3:20">
      <c r="C666" s="152" t="s">
        <v>2821</v>
      </c>
      <c r="D666" s="152"/>
      <c r="F666" s="474" t="s">
        <v>660</v>
      </c>
      <c r="G666" s="210" t="s">
        <v>661</v>
      </c>
      <c r="H666" s="210"/>
      <c r="I666" s="513">
        <v>-553520</v>
      </c>
      <c r="J666" s="513">
        <v>-374</v>
      </c>
      <c r="K666" s="513">
        <v>1480</v>
      </c>
      <c r="L666" s="513" t="s">
        <v>2859</v>
      </c>
      <c r="M666" s="513" t="s">
        <v>780</v>
      </c>
      <c r="N666" s="513" t="s">
        <v>1407</v>
      </c>
      <c r="O666" s="518" t="s">
        <v>2921</v>
      </c>
      <c r="P666" s="152" t="s">
        <v>892</v>
      </c>
      <c r="Q666" s="152" t="s">
        <v>2922</v>
      </c>
      <c r="R666" s="152" t="s">
        <v>3056</v>
      </c>
      <c r="S666" s="152" t="s">
        <v>2924</v>
      </c>
      <c r="T666" s="152" t="s">
        <v>786</v>
      </c>
    </row>
    <row r="667" spans="3:20">
      <c r="C667" s="152" t="s">
        <v>2821</v>
      </c>
      <c r="D667" s="152"/>
      <c r="F667" s="474" t="s">
        <v>660</v>
      </c>
      <c r="G667" s="210" t="s">
        <v>661</v>
      </c>
      <c r="H667" s="210"/>
      <c r="I667" s="513">
        <v>-1466680</v>
      </c>
      <c r="J667" s="513">
        <v>-991</v>
      </c>
      <c r="K667" s="513">
        <v>1480</v>
      </c>
      <c r="L667" s="513" t="s">
        <v>2827</v>
      </c>
      <c r="M667" s="513" t="s">
        <v>780</v>
      </c>
      <c r="N667" s="513" t="s">
        <v>1407</v>
      </c>
      <c r="O667" s="518" t="s">
        <v>2932</v>
      </c>
      <c r="P667" s="152" t="s">
        <v>892</v>
      </c>
      <c r="Q667" s="152" t="s">
        <v>2933</v>
      </c>
      <c r="R667" s="152" t="s">
        <v>3060</v>
      </c>
      <c r="S667" s="152" t="s">
        <v>2935</v>
      </c>
      <c r="T667" s="152" t="s">
        <v>786</v>
      </c>
    </row>
    <row r="668" spans="3:20">
      <c r="C668" s="152" t="s">
        <v>2821</v>
      </c>
      <c r="D668" s="152"/>
      <c r="F668" s="474" t="s">
        <v>660</v>
      </c>
      <c r="G668" s="210" t="s">
        <v>661</v>
      </c>
      <c r="H668" s="210"/>
      <c r="I668" s="513">
        <v>-501705.2</v>
      </c>
      <c r="J668" s="513">
        <v>-338.99</v>
      </c>
      <c r="K668" s="513">
        <v>1480</v>
      </c>
      <c r="L668" s="513" t="s">
        <v>2827</v>
      </c>
      <c r="M668" s="513" t="s">
        <v>780</v>
      </c>
      <c r="N668" s="513" t="s">
        <v>1407</v>
      </c>
      <c r="O668" s="518" t="s">
        <v>2932</v>
      </c>
      <c r="P668" s="152" t="s">
        <v>892</v>
      </c>
      <c r="Q668" s="152" t="s">
        <v>2933</v>
      </c>
      <c r="R668" s="152" t="s">
        <v>3061</v>
      </c>
      <c r="S668" s="152" t="s">
        <v>2935</v>
      </c>
      <c r="T668" s="152" t="s">
        <v>786</v>
      </c>
    </row>
    <row r="669" spans="3:20">
      <c r="C669" s="152" t="s">
        <v>2821</v>
      </c>
      <c r="D669" s="152"/>
      <c r="F669" s="474" t="s">
        <v>660</v>
      </c>
      <c r="G669" s="210" t="s">
        <v>661</v>
      </c>
      <c r="H669" s="210"/>
      <c r="I669" s="513">
        <v>-74000</v>
      </c>
      <c r="J669" s="513">
        <v>-50</v>
      </c>
      <c r="K669" s="513">
        <v>1480</v>
      </c>
      <c r="L669" s="513" t="s">
        <v>2859</v>
      </c>
      <c r="M669" s="513" t="s">
        <v>780</v>
      </c>
      <c r="N669" s="513" t="s">
        <v>1407</v>
      </c>
      <c r="O669" s="518" t="s">
        <v>2921</v>
      </c>
      <c r="P669" s="152" t="s">
        <v>892</v>
      </c>
      <c r="Q669" s="152" t="s">
        <v>2922</v>
      </c>
      <c r="R669" s="152" t="s">
        <v>3062</v>
      </c>
      <c r="S669" s="152" t="s">
        <v>2924</v>
      </c>
      <c r="T669" s="152" t="s">
        <v>786</v>
      </c>
    </row>
    <row r="670" spans="3:20">
      <c r="C670" s="152" t="s">
        <v>2821</v>
      </c>
      <c r="D670" s="152"/>
      <c r="F670" s="474" t="s">
        <v>660</v>
      </c>
      <c r="G670" s="210" t="s">
        <v>661</v>
      </c>
      <c r="H670" s="210"/>
      <c r="I670" s="513">
        <v>-2029080</v>
      </c>
      <c r="J670" s="513">
        <v>-1371</v>
      </c>
      <c r="K670" s="513">
        <v>1480</v>
      </c>
      <c r="L670" s="513" t="s">
        <v>2827</v>
      </c>
      <c r="M670" s="513" t="s">
        <v>780</v>
      </c>
      <c r="N670" s="513" t="s">
        <v>1407</v>
      </c>
      <c r="O670" s="518" t="s">
        <v>2932</v>
      </c>
      <c r="P670" s="152" t="s">
        <v>892</v>
      </c>
      <c r="Q670" s="152" t="s">
        <v>2933</v>
      </c>
      <c r="R670" s="152" t="s">
        <v>3065</v>
      </c>
      <c r="S670" s="152" t="s">
        <v>2935</v>
      </c>
      <c r="T670" s="152" t="s">
        <v>786</v>
      </c>
    </row>
    <row r="671" spans="3:20">
      <c r="C671" s="152" t="s">
        <v>2821</v>
      </c>
      <c r="D671" s="152"/>
      <c r="F671" s="474" t="s">
        <v>660</v>
      </c>
      <c r="G671" s="210" t="s">
        <v>661</v>
      </c>
      <c r="H671" s="210"/>
      <c r="I671" s="513">
        <v>-1322217.2</v>
      </c>
      <c r="J671" s="513">
        <v>-893.39</v>
      </c>
      <c r="K671" s="513">
        <v>1480</v>
      </c>
      <c r="L671" s="513" t="s">
        <v>2827</v>
      </c>
      <c r="M671" s="513" t="s">
        <v>780</v>
      </c>
      <c r="N671" s="513" t="s">
        <v>1407</v>
      </c>
      <c r="O671" s="518" t="s">
        <v>2932</v>
      </c>
      <c r="P671" s="152" t="s">
        <v>892</v>
      </c>
      <c r="Q671" s="152" t="s">
        <v>2933</v>
      </c>
      <c r="R671" s="152" t="s">
        <v>3066</v>
      </c>
      <c r="S671" s="152" t="s">
        <v>2935</v>
      </c>
      <c r="T671" s="152" t="s">
        <v>786</v>
      </c>
    </row>
    <row r="672" spans="3:20">
      <c r="C672" s="152" t="s">
        <v>2821</v>
      </c>
      <c r="D672" s="152"/>
      <c r="F672" s="474" t="s">
        <v>660</v>
      </c>
      <c r="G672" s="210" t="s">
        <v>661</v>
      </c>
      <c r="H672" s="210"/>
      <c r="I672" s="513">
        <v>-1297545.6000000001</v>
      </c>
      <c r="J672" s="513">
        <v>-876.72</v>
      </c>
      <c r="K672" s="513">
        <v>1480</v>
      </c>
      <c r="L672" s="513" t="s">
        <v>2827</v>
      </c>
      <c r="M672" s="513" t="s">
        <v>780</v>
      </c>
      <c r="N672" s="513" t="s">
        <v>1407</v>
      </c>
      <c r="O672" s="518" t="s">
        <v>2932</v>
      </c>
      <c r="P672" s="152" t="s">
        <v>892</v>
      </c>
      <c r="Q672" s="152" t="s">
        <v>2933</v>
      </c>
      <c r="R672" s="152" t="s">
        <v>3067</v>
      </c>
      <c r="S672" s="152" t="s">
        <v>2935</v>
      </c>
      <c r="T672" s="152" t="s">
        <v>786</v>
      </c>
    </row>
    <row r="673" spans="3:20">
      <c r="C673" s="152" t="s">
        <v>2821</v>
      </c>
      <c r="D673" s="152"/>
      <c r="F673" s="474" t="s">
        <v>660</v>
      </c>
      <c r="G673" s="210" t="s">
        <v>661</v>
      </c>
      <c r="H673" s="210"/>
      <c r="I673" s="513">
        <v>-1322217.2</v>
      </c>
      <c r="J673" s="513">
        <v>-893.39</v>
      </c>
      <c r="K673" s="513">
        <v>1480</v>
      </c>
      <c r="L673" s="513" t="s">
        <v>2827</v>
      </c>
      <c r="M673" s="513" t="s">
        <v>780</v>
      </c>
      <c r="N673" s="513" t="s">
        <v>1407</v>
      </c>
      <c r="O673" s="518" t="s">
        <v>2932</v>
      </c>
      <c r="P673" s="152" t="s">
        <v>892</v>
      </c>
      <c r="Q673" s="152" t="s">
        <v>2933</v>
      </c>
      <c r="R673" s="152" t="s">
        <v>3068</v>
      </c>
      <c r="S673" s="152" t="s">
        <v>2935</v>
      </c>
      <c r="T673" s="152" t="s">
        <v>786</v>
      </c>
    </row>
    <row r="674" spans="3:20">
      <c r="C674" s="152" t="s">
        <v>2821</v>
      </c>
      <c r="D674" s="152"/>
      <c r="F674" s="474" t="s">
        <v>660</v>
      </c>
      <c r="G674" s="210" t="s">
        <v>661</v>
      </c>
      <c r="H674" s="210"/>
      <c r="I674" s="513">
        <v>-1297545.6000000001</v>
      </c>
      <c r="J674" s="513">
        <v>-876.72</v>
      </c>
      <c r="K674" s="513">
        <v>1480</v>
      </c>
      <c r="L674" s="513" t="s">
        <v>2827</v>
      </c>
      <c r="M674" s="513" t="s">
        <v>780</v>
      </c>
      <c r="N674" s="513" t="s">
        <v>1407</v>
      </c>
      <c r="O674" s="518" t="s">
        <v>2932</v>
      </c>
      <c r="P674" s="152" t="s">
        <v>892</v>
      </c>
      <c r="Q674" s="152" t="s">
        <v>2933</v>
      </c>
      <c r="R674" s="152" t="s">
        <v>3069</v>
      </c>
      <c r="S674" s="152" t="s">
        <v>2935</v>
      </c>
      <c r="T674" s="152" t="s">
        <v>786</v>
      </c>
    </row>
    <row r="675" spans="3:20">
      <c r="C675" s="152" t="s">
        <v>2821</v>
      </c>
      <c r="D675" s="152"/>
      <c r="F675" s="474" t="s">
        <v>660</v>
      </c>
      <c r="G675" s="210" t="s">
        <v>661</v>
      </c>
      <c r="H675" s="210"/>
      <c r="I675" s="513">
        <v>-2368000</v>
      </c>
      <c r="J675" s="513">
        <v>-1600</v>
      </c>
      <c r="K675" s="513">
        <v>1480</v>
      </c>
      <c r="L675" s="513" t="s">
        <v>2827</v>
      </c>
      <c r="M675" s="513" t="s">
        <v>780</v>
      </c>
      <c r="N675" s="513" t="s">
        <v>1407</v>
      </c>
      <c r="O675" s="518" t="s">
        <v>2932</v>
      </c>
      <c r="P675" s="152" t="s">
        <v>892</v>
      </c>
      <c r="Q675" s="152" t="s">
        <v>2933</v>
      </c>
      <c r="R675" s="152" t="s">
        <v>3075</v>
      </c>
      <c r="S675" s="152" t="s">
        <v>2935</v>
      </c>
      <c r="T675" s="152" t="s">
        <v>786</v>
      </c>
    </row>
    <row r="676" spans="3:20">
      <c r="C676" s="152" t="s">
        <v>2821</v>
      </c>
      <c r="D676" s="152"/>
      <c r="F676" s="474" t="s">
        <v>660</v>
      </c>
      <c r="G676" s="210" t="s">
        <v>661</v>
      </c>
      <c r="H676" s="210"/>
      <c r="I676" s="513">
        <v>7400000</v>
      </c>
      <c r="J676" s="513">
        <v>5000</v>
      </c>
      <c r="K676" s="513">
        <v>1480</v>
      </c>
      <c r="L676" s="513" t="s">
        <v>3019</v>
      </c>
      <c r="M676" s="513" t="s">
        <v>780</v>
      </c>
      <c r="N676" s="513" t="s">
        <v>1407</v>
      </c>
      <c r="O676" s="518" t="s">
        <v>3020</v>
      </c>
      <c r="P676" s="152" t="s">
        <v>892</v>
      </c>
      <c r="Q676" s="152" t="s">
        <v>3021</v>
      </c>
      <c r="R676" s="152" t="s">
        <v>2318</v>
      </c>
      <c r="S676" s="152" t="s">
        <v>3022</v>
      </c>
      <c r="T676" s="152" t="s">
        <v>786</v>
      </c>
    </row>
    <row r="677" spans="3:20">
      <c r="C677" s="152" t="s">
        <v>2821</v>
      </c>
      <c r="D677" s="152"/>
      <c r="F677" s="474" t="s">
        <v>660</v>
      </c>
      <c r="G677" s="210" t="s">
        <v>661</v>
      </c>
      <c r="H677" s="210"/>
      <c r="I677" s="513">
        <v>-264698</v>
      </c>
      <c r="J677" s="513">
        <v>-178.85</v>
      </c>
      <c r="K677" s="513">
        <v>1480</v>
      </c>
      <c r="L677" s="513" t="s">
        <v>2827</v>
      </c>
      <c r="M677" s="513" t="s">
        <v>780</v>
      </c>
      <c r="N677" s="513" t="s">
        <v>1407</v>
      </c>
      <c r="O677" s="518" t="s">
        <v>2932</v>
      </c>
      <c r="P677" s="152" t="s">
        <v>892</v>
      </c>
      <c r="Q677" s="152" t="s">
        <v>2933</v>
      </c>
      <c r="R677" s="152" t="s">
        <v>2335</v>
      </c>
      <c r="S677" s="152" t="s">
        <v>2935</v>
      </c>
      <c r="T677" s="152" t="s">
        <v>786</v>
      </c>
    </row>
    <row r="678" spans="3:20">
      <c r="C678" s="152" t="s">
        <v>2821</v>
      </c>
      <c r="D678" s="152"/>
      <c r="F678" s="474" t="s">
        <v>660</v>
      </c>
      <c r="G678" s="210" t="s">
        <v>661</v>
      </c>
      <c r="H678" s="210"/>
      <c r="I678" s="513">
        <v>-1019779.2</v>
      </c>
      <c r="J678" s="513">
        <v>-689.04</v>
      </c>
      <c r="K678" s="513">
        <v>1480</v>
      </c>
      <c r="L678" s="513" t="s">
        <v>2827</v>
      </c>
      <c r="M678" s="513" t="s">
        <v>780</v>
      </c>
      <c r="N678" s="513" t="s">
        <v>1407</v>
      </c>
      <c r="O678" s="518" t="s">
        <v>2932</v>
      </c>
      <c r="P678" s="152" t="s">
        <v>892</v>
      </c>
      <c r="Q678" s="152" t="s">
        <v>2933</v>
      </c>
      <c r="R678" s="152" t="s">
        <v>3078</v>
      </c>
      <c r="S678" s="152" t="s">
        <v>2935</v>
      </c>
      <c r="T678" s="152" t="s">
        <v>786</v>
      </c>
    </row>
    <row r="679" spans="3:20">
      <c r="C679" s="152" t="s">
        <v>2821</v>
      </c>
      <c r="D679" s="152"/>
      <c r="F679" s="474" t="s">
        <v>660</v>
      </c>
      <c r="G679" s="210" t="s">
        <v>661</v>
      </c>
      <c r="H679" s="210"/>
      <c r="I679" s="513">
        <v>4025.6</v>
      </c>
      <c r="J679" s="513">
        <v>2.72</v>
      </c>
      <c r="K679" s="513">
        <v>1480</v>
      </c>
      <c r="L679" s="513" t="s">
        <v>3019</v>
      </c>
      <c r="M679" s="513" t="s">
        <v>780</v>
      </c>
      <c r="N679" s="513" t="s">
        <v>1407</v>
      </c>
      <c r="O679" s="518" t="s">
        <v>3020</v>
      </c>
      <c r="P679" s="152" t="s">
        <v>892</v>
      </c>
      <c r="Q679" s="152" t="s">
        <v>3021</v>
      </c>
      <c r="R679" s="152" t="s">
        <v>2330</v>
      </c>
      <c r="S679" s="152" t="s">
        <v>3022</v>
      </c>
      <c r="T679" s="152" t="s">
        <v>786</v>
      </c>
    </row>
    <row r="680" spans="3:20">
      <c r="C680" s="152" t="s">
        <v>2821</v>
      </c>
      <c r="D680" s="152"/>
      <c r="F680" s="474" t="s">
        <v>660</v>
      </c>
      <c r="G680" s="210" t="s">
        <v>661</v>
      </c>
      <c r="H680" s="210"/>
      <c r="I680" s="513">
        <v>-3905009.6</v>
      </c>
      <c r="J680" s="513">
        <v>-2638.52</v>
      </c>
      <c r="K680" s="513">
        <v>1480</v>
      </c>
      <c r="L680" s="513" t="s">
        <v>3019</v>
      </c>
      <c r="M680" s="513" t="s">
        <v>780</v>
      </c>
      <c r="N680" s="513" t="s">
        <v>1407</v>
      </c>
      <c r="O680" s="518" t="s">
        <v>3271</v>
      </c>
      <c r="P680" s="152" t="s">
        <v>892</v>
      </c>
      <c r="Q680" s="152" t="s">
        <v>3272</v>
      </c>
      <c r="R680" s="152" t="s">
        <v>3272</v>
      </c>
      <c r="S680" s="152" t="s">
        <v>3273</v>
      </c>
      <c r="T680" s="152" t="s">
        <v>786</v>
      </c>
    </row>
    <row r="681" spans="3:20">
      <c r="C681" s="152" t="s">
        <v>2821</v>
      </c>
      <c r="D681" s="152"/>
      <c r="F681" s="474" t="s">
        <v>660</v>
      </c>
      <c r="G681" s="210" t="s">
        <v>661</v>
      </c>
      <c r="H681" s="210"/>
      <c r="I681" s="513">
        <v>-23680000</v>
      </c>
      <c r="J681" s="513">
        <v>-16000</v>
      </c>
      <c r="K681" s="513">
        <v>1480</v>
      </c>
      <c r="L681" s="513" t="s">
        <v>2859</v>
      </c>
      <c r="M681" s="513" t="s">
        <v>780</v>
      </c>
      <c r="N681" s="513" t="s">
        <v>1407</v>
      </c>
      <c r="O681" s="518" t="s">
        <v>3274</v>
      </c>
      <c r="P681" s="152" t="s">
        <v>892</v>
      </c>
      <c r="Q681" s="152" t="s">
        <v>3275</v>
      </c>
      <c r="R681" s="152" t="s">
        <v>3275</v>
      </c>
      <c r="S681" s="152" t="s">
        <v>3276</v>
      </c>
      <c r="T681" s="152" t="s">
        <v>786</v>
      </c>
    </row>
    <row r="682" spans="3:20">
      <c r="C682" s="152" t="s">
        <v>2821</v>
      </c>
      <c r="D682" s="152"/>
      <c r="F682" s="474" t="s">
        <v>373</v>
      </c>
      <c r="G682" s="210" t="s">
        <v>374</v>
      </c>
      <c r="H682" s="210"/>
      <c r="I682" s="513">
        <v>-370000</v>
      </c>
      <c r="J682" s="513">
        <v>-250</v>
      </c>
      <c r="K682" s="513">
        <v>1480</v>
      </c>
      <c r="L682" s="513" t="s">
        <v>2827</v>
      </c>
      <c r="M682" s="513" t="s">
        <v>1540</v>
      </c>
      <c r="N682" s="513" t="s">
        <v>1272</v>
      </c>
      <c r="O682" s="518" t="s">
        <v>3265</v>
      </c>
      <c r="P682" s="152" t="s">
        <v>1832</v>
      </c>
      <c r="Q682" s="152" t="s">
        <v>3266</v>
      </c>
      <c r="R682" s="152" t="s">
        <v>3266</v>
      </c>
      <c r="S682" s="152" t="s">
        <v>3267</v>
      </c>
      <c r="T682" s="152" t="s">
        <v>786</v>
      </c>
    </row>
    <row r="683" spans="3:20">
      <c r="C683" s="152" t="s">
        <v>2821</v>
      </c>
      <c r="D683" s="152"/>
      <c r="F683" s="474" t="s">
        <v>373</v>
      </c>
      <c r="G683" s="210" t="s">
        <v>374</v>
      </c>
      <c r="H683" s="210"/>
      <c r="I683" s="513">
        <v>370000</v>
      </c>
      <c r="J683" s="513">
        <v>250</v>
      </c>
      <c r="K683" s="513">
        <v>1480</v>
      </c>
      <c r="L683" s="513" t="s">
        <v>2827</v>
      </c>
      <c r="M683" s="513" t="s">
        <v>1540</v>
      </c>
      <c r="N683" s="513" t="s">
        <v>1272</v>
      </c>
      <c r="O683" s="518" t="s">
        <v>3268</v>
      </c>
      <c r="P683" s="152" t="s">
        <v>1832</v>
      </c>
      <c r="Q683" s="152" t="s">
        <v>3269</v>
      </c>
      <c r="R683" s="152" t="s">
        <v>3269</v>
      </c>
      <c r="S683" s="152" t="s">
        <v>3270</v>
      </c>
      <c r="T683" s="152" t="s">
        <v>786</v>
      </c>
    </row>
    <row r="684" spans="3:20">
      <c r="C684" s="152" t="s">
        <v>2821</v>
      </c>
      <c r="D684" s="152"/>
      <c r="F684" s="474" t="s">
        <v>373</v>
      </c>
      <c r="G684" s="210" t="s">
        <v>374</v>
      </c>
      <c r="H684" s="210"/>
      <c r="I684" s="513">
        <v>7400000</v>
      </c>
      <c r="J684" s="513">
        <v>5000</v>
      </c>
      <c r="K684" s="513">
        <v>1480</v>
      </c>
      <c r="L684" s="513" t="s">
        <v>3138</v>
      </c>
      <c r="M684" s="513" t="s">
        <v>1566</v>
      </c>
      <c r="N684" s="513" t="s">
        <v>1407</v>
      </c>
      <c r="O684" s="518" t="s">
        <v>3139</v>
      </c>
      <c r="P684" s="152" t="s">
        <v>1881</v>
      </c>
      <c r="Q684" s="152" t="s">
        <v>3140</v>
      </c>
      <c r="R684" s="152" t="s">
        <v>3141</v>
      </c>
      <c r="S684" s="152" t="s">
        <v>3142</v>
      </c>
      <c r="T684" s="152" t="s">
        <v>786</v>
      </c>
    </row>
    <row r="685" spans="3:20">
      <c r="C685" s="152" t="s">
        <v>2821</v>
      </c>
      <c r="D685" s="152"/>
      <c r="F685" s="474" t="s">
        <v>373</v>
      </c>
      <c r="G685" s="210" t="s">
        <v>374</v>
      </c>
      <c r="H685" s="210"/>
      <c r="I685" s="513">
        <v>3796200</v>
      </c>
      <c r="J685" s="513">
        <v>2565</v>
      </c>
      <c r="K685" s="513">
        <v>1480</v>
      </c>
      <c r="L685" s="513" t="s">
        <v>2845</v>
      </c>
      <c r="M685" s="513" t="s">
        <v>1566</v>
      </c>
      <c r="N685" s="513" t="s">
        <v>1407</v>
      </c>
      <c r="O685" s="518" t="s">
        <v>3145</v>
      </c>
      <c r="P685" s="152" t="s">
        <v>1881</v>
      </c>
      <c r="Q685" s="152" t="s">
        <v>3146</v>
      </c>
      <c r="R685" s="152" t="s">
        <v>3141</v>
      </c>
      <c r="S685" s="152" t="s">
        <v>3147</v>
      </c>
      <c r="T685" s="152" t="s">
        <v>786</v>
      </c>
    </row>
    <row r="686" spans="3:20">
      <c r="C686" s="152" t="s">
        <v>2821</v>
      </c>
      <c r="D686" s="152"/>
      <c r="F686" s="474" t="s">
        <v>373</v>
      </c>
      <c r="G686" s="210" t="s">
        <v>374</v>
      </c>
      <c r="H686" s="210"/>
      <c r="I686" s="513">
        <v>3768820</v>
      </c>
      <c r="J686" s="513">
        <v>2546.5</v>
      </c>
      <c r="K686" s="513">
        <v>1480</v>
      </c>
      <c r="L686" s="513" t="s">
        <v>2859</v>
      </c>
      <c r="M686" s="513" t="s">
        <v>1566</v>
      </c>
      <c r="N686" s="513" t="s">
        <v>1407</v>
      </c>
      <c r="O686" s="518" t="s">
        <v>3148</v>
      </c>
      <c r="P686" s="152" t="s">
        <v>1881</v>
      </c>
      <c r="Q686" s="152" t="s">
        <v>3149</v>
      </c>
      <c r="R686" s="152" t="s">
        <v>3141</v>
      </c>
      <c r="S686" s="152" t="s">
        <v>3150</v>
      </c>
      <c r="T686" s="152" t="s">
        <v>786</v>
      </c>
    </row>
    <row r="687" spans="3:20">
      <c r="C687" s="152" t="s">
        <v>2821</v>
      </c>
      <c r="D687" s="152"/>
      <c r="F687" s="474" t="s">
        <v>373</v>
      </c>
      <c r="G687" s="210" t="s">
        <v>374</v>
      </c>
      <c r="H687" s="210"/>
      <c r="I687" s="513">
        <v>185000</v>
      </c>
      <c r="J687" s="513">
        <v>125</v>
      </c>
      <c r="K687" s="513">
        <v>1480</v>
      </c>
      <c r="L687" s="513" t="s">
        <v>2845</v>
      </c>
      <c r="M687" s="513" t="s">
        <v>1566</v>
      </c>
      <c r="N687" s="513" t="s">
        <v>1407</v>
      </c>
      <c r="O687" s="518" t="s">
        <v>3151</v>
      </c>
      <c r="P687" s="152" t="s">
        <v>1881</v>
      </c>
      <c r="Q687" s="152" t="s">
        <v>3152</v>
      </c>
      <c r="R687" s="152" t="s">
        <v>3153</v>
      </c>
      <c r="S687" s="152" t="s">
        <v>3154</v>
      </c>
      <c r="T687" s="152" t="s">
        <v>786</v>
      </c>
    </row>
    <row r="688" spans="3:20">
      <c r="C688" s="152" t="s">
        <v>2821</v>
      </c>
      <c r="D688" s="152"/>
      <c r="F688" s="474" t="s">
        <v>373</v>
      </c>
      <c r="G688" s="210" t="s">
        <v>374</v>
      </c>
      <c r="H688" s="210"/>
      <c r="I688" s="513">
        <v>185000</v>
      </c>
      <c r="J688" s="513">
        <v>125</v>
      </c>
      <c r="K688" s="513">
        <v>1480</v>
      </c>
      <c r="L688" s="513" t="s">
        <v>3155</v>
      </c>
      <c r="M688" s="513" t="s">
        <v>1566</v>
      </c>
      <c r="N688" s="513" t="s">
        <v>1407</v>
      </c>
      <c r="O688" s="518" t="s">
        <v>3156</v>
      </c>
      <c r="P688" s="152" t="s">
        <v>1881</v>
      </c>
      <c r="Q688" s="152" t="s">
        <v>3157</v>
      </c>
      <c r="R688" s="152" t="s">
        <v>3158</v>
      </c>
      <c r="S688" s="152" t="s">
        <v>3159</v>
      </c>
      <c r="T688" s="152" t="s">
        <v>786</v>
      </c>
    </row>
    <row r="689" spans="3:20">
      <c r="C689" s="152" t="s">
        <v>2821</v>
      </c>
      <c r="D689" s="152"/>
      <c r="F689" s="474" t="s">
        <v>373</v>
      </c>
      <c r="G689" s="210" t="s">
        <v>374</v>
      </c>
      <c r="H689" s="210"/>
      <c r="I689" s="513">
        <v>185000</v>
      </c>
      <c r="J689" s="513">
        <v>125</v>
      </c>
      <c r="K689" s="513">
        <v>1480</v>
      </c>
      <c r="L689" s="513" t="s">
        <v>3160</v>
      </c>
      <c r="M689" s="513" t="s">
        <v>1566</v>
      </c>
      <c r="N689" s="513" t="s">
        <v>1407</v>
      </c>
      <c r="O689" s="518" t="s">
        <v>3161</v>
      </c>
      <c r="P689" s="152" t="s">
        <v>1881</v>
      </c>
      <c r="Q689" s="152" t="s">
        <v>3162</v>
      </c>
      <c r="R689" s="152" t="s">
        <v>3158</v>
      </c>
      <c r="S689" s="152" t="s">
        <v>3163</v>
      </c>
      <c r="T689" s="152" t="s">
        <v>786</v>
      </c>
    </row>
    <row r="690" spans="3:20">
      <c r="C690" s="152" t="s">
        <v>2821</v>
      </c>
      <c r="D690" s="152"/>
      <c r="F690" s="474" t="s">
        <v>373</v>
      </c>
      <c r="G690" s="210" t="s">
        <v>374</v>
      </c>
      <c r="H690" s="210"/>
      <c r="I690" s="513">
        <v>370000</v>
      </c>
      <c r="J690" s="513">
        <v>250</v>
      </c>
      <c r="K690" s="513">
        <v>1480</v>
      </c>
      <c r="L690" s="513" t="s">
        <v>3160</v>
      </c>
      <c r="M690" s="513" t="s">
        <v>1566</v>
      </c>
      <c r="N690" s="513" t="s">
        <v>1407</v>
      </c>
      <c r="O690" s="518" t="s">
        <v>3164</v>
      </c>
      <c r="P690" s="152" t="s">
        <v>1881</v>
      </c>
      <c r="Q690" s="152" t="s">
        <v>3165</v>
      </c>
      <c r="R690" s="152" t="s">
        <v>3158</v>
      </c>
      <c r="S690" s="152" t="s">
        <v>3166</v>
      </c>
      <c r="T690" s="152" t="s">
        <v>786</v>
      </c>
    </row>
    <row r="691" spans="3:20">
      <c r="C691" s="152" t="s">
        <v>2821</v>
      </c>
      <c r="D691" s="152"/>
      <c r="F691" s="474" t="s">
        <v>373</v>
      </c>
      <c r="G691" s="210" t="s">
        <v>374</v>
      </c>
      <c r="H691" s="210"/>
      <c r="I691" s="513">
        <v>3079880</v>
      </c>
      <c r="J691" s="513">
        <v>2081</v>
      </c>
      <c r="K691" s="513">
        <v>1480</v>
      </c>
      <c r="L691" s="513" t="s">
        <v>2827</v>
      </c>
      <c r="M691" s="513" t="s">
        <v>1566</v>
      </c>
      <c r="N691" s="513" t="s">
        <v>1407</v>
      </c>
      <c r="O691" s="518" t="s">
        <v>3167</v>
      </c>
      <c r="P691" s="152" t="s">
        <v>1881</v>
      </c>
      <c r="Q691" s="152" t="s">
        <v>3168</v>
      </c>
      <c r="R691" s="152" t="s">
        <v>3169</v>
      </c>
      <c r="S691" s="152" t="s">
        <v>3170</v>
      </c>
      <c r="T691" s="152" t="s">
        <v>786</v>
      </c>
    </row>
    <row r="692" spans="3:20">
      <c r="C692" s="152" t="s">
        <v>2821</v>
      </c>
      <c r="D692" s="152"/>
      <c r="F692" s="474" t="s">
        <v>373</v>
      </c>
      <c r="G692" s="210" t="s">
        <v>374</v>
      </c>
      <c r="H692" s="210"/>
      <c r="I692" s="513">
        <v>2909680</v>
      </c>
      <c r="J692" s="513">
        <v>1966</v>
      </c>
      <c r="K692" s="513">
        <v>1480</v>
      </c>
      <c r="L692" s="513" t="s">
        <v>2827</v>
      </c>
      <c r="M692" s="513" t="s">
        <v>1566</v>
      </c>
      <c r="N692" s="513" t="s">
        <v>1407</v>
      </c>
      <c r="O692" s="518" t="s">
        <v>3171</v>
      </c>
      <c r="P692" s="152" t="s">
        <v>1881</v>
      </c>
      <c r="Q692" s="152" t="s">
        <v>3172</v>
      </c>
      <c r="R692" s="152" t="s">
        <v>3169</v>
      </c>
      <c r="S692" s="152" t="s">
        <v>3173</v>
      </c>
      <c r="T692" s="152" t="s">
        <v>786</v>
      </c>
    </row>
    <row r="693" spans="3:20">
      <c r="C693" s="152" t="s">
        <v>2821</v>
      </c>
      <c r="D693" s="152"/>
      <c r="F693" s="474" t="s">
        <v>373</v>
      </c>
      <c r="G693" s="210" t="s">
        <v>374</v>
      </c>
      <c r="H693" s="210"/>
      <c r="I693" s="513">
        <v>2878600</v>
      </c>
      <c r="J693" s="513">
        <v>1945</v>
      </c>
      <c r="K693" s="513">
        <v>1480</v>
      </c>
      <c r="L693" s="513" t="s">
        <v>2827</v>
      </c>
      <c r="M693" s="513" t="s">
        <v>1566</v>
      </c>
      <c r="N693" s="513" t="s">
        <v>1407</v>
      </c>
      <c r="O693" s="518" t="s">
        <v>3174</v>
      </c>
      <c r="P693" s="152" t="s">
        <v>1881</v>
      </c>
      <c r="Q693" s="152" t="s">
        <v>3175</v>
      </c>
      <c r="R693" s="152" t="s">
        <v>3169</v>
      </c>
      <c r="S693" s="152" t="s">
        <v>3176</v>
      </c>
      <c r="T693" s="152" t="s">
        <v>786</v>
      </c>
    </row>
    <row r="694" spans="3:20">
      <c r="C694" s="152" t="s">
        <v>2821</v>
      </c>
      <c r="D694" s="152"/>
      <c r="F694" s="474" t="s">
        <v>373</v>
      </c>
      <c r="G694" s="210" t="s">
        <v>374</v>
      </c>
      <c r="H694" s="210"/>
      <c r="I694" s="513">
        <v>5579600</v>
      </c>
      <c r="J694" s="513">
        <v>3770</v>
      </c>
      <c r="K694" s="513">
        <v>1480</v>
      </c>
      <c r="L694" s="513" t="s">
        <v>3177</v>
      </c>
      <c r="M694" s="513" t="s">
        <v>1566</v>
      </c>
      <c r="N694" s="513" t="s">
        <v>1407</v>
      </c>
      <c r="O694" s="518" t="s">
        <v>3178</v>
      </c>
      <c r="P694" s="152" t="s">
        <v>1881</v>
      </c>
      <c r="Q694" s="152" t="s">
        <v>3179</v>
      </c>
      <c r="R694" s="152" t="s">
        <v>3180</v>
      </c>
      <c r="S694" s="152" t="s">
        <v>3181</v>
      </c>
      <c r="T694" s="152" t="s">
        <v>786</v>
      </c>
    </row>
    <row r="695" spans="3:20">
      <c r="C695" s="152" t="s">
        <v>2821</v>
      </c>
      <c r="D695" s="152"/>
      <c r="F695" s="474" t="s">
        <v>373</v>
      </c>
      <c r="G695" s="210" t="s">
        <v>374</v>
      </c>
      <c r="H695" s="210"/>
      <c r="I695" s="513">
        <v>1984680</v>
      </c>
      <c r="J695" s="513">
        <v>1341</v>
      </c>
      <c r="K695" s="513">
        <v>1480</v>
      </c>
      <c r="L695" s="513" t="s">
        <v>3182</v>
      </c>
      <c r="M695" s="513" t="s">
        <v>1566</v>
      </c>
      <c r="N695" s="513" t="s">
        <v>1407</v>
      </c>
      <c r="O695" s="518" t="s">
        <v>3183</v>
      </c>
      <c r="P695" s="152" t="s">
        <v>1881</v>
      </c>
      <c r="Q695" s="152" t="s">
        <v>3184</v>
      </c>
      <c r="R695" s="152" t="s">
        <v>3185</v>
      </c>
      <c r="S695" s="152" t="s">
        <v>3186</v>
      </c>
      <c r="T695" s="152" t="s">
        <v>786</v>
      </c>
    </row>
    <row r="696" spans="3:20">
      <c r="C696" s="152" t="s">
        <v>2821</v>
      </c>
      <c r="D696" s="152"/>
      <c r="F696" s="474" t="s">
        <v>373</v>
      </c>
      <c r="G696" s="210" t="s">
        <v>374</v>
      </c>
      <c r="H696" s="210"/>
      <c r="I696" s="513">
        <v>185000</v>
      </c>
      <c r="J696" s="513">
        <v>125</v>
      </c>
      <c r="K696" s="513">
        <v>1480</v>
      </c>
      <c r="L696" s="513" t="s">
        <v>3138</v>
      </c>
      <c r="M696" s="513" t="s">
        <v>1566</v>
      </c>
      <c r="N696" s="513" t="s">
        <v>1407</v>
      </c>
      <c r="O696" s="518" t="s">
        <v>3187</v>
      </c>
      <c r="P696" s="152" t="s">
        <v>1881</v>
      </c>
      <c r="Q696" s="152" t="s">
        <v>3188</v>
      </c>
      <c r="R696" s="152" t="s">
        <v>3189</v>
      </c>
      <c r="S696" s="152" t="s">
        <v>3190</v>
      </c>
      <c r="T696" s="152" t="s">
        <v>786</v>
      </c>
    </row>
    <row r="697" spans="3:20">
      <c r="C697" s="152" t="s">
        <v>2821</v>
      </c>
      <c r="D697" s="152"/>
      <c r="F697" s="474" t="s">
        <v>373</v>
      </c>
      <c r="G697" s="210" t="s">
        <v>374</v>
      </c>
      <c r="H697" s="210"/>
      <c r="I697" s="513">
        <v>2422760</v>
      </c>
      <c r="J697" s="513">
        <v>1637</v>
      </c>
      <c r="K697" s="513">
        <v>1480</v>
      </c>
      <c r="L697" s="513" t="s">
        <v>3182</v>
      </c>
      <c r="M697" s="513" t="s">
        <v>1566</v>
      </c>
      <c r="N697" s="513" t="s">
        <v>1407</v>
      </c>
      <c r="O697" s="518" t="s">
        <v>3191</v>
      </c>
      <c r="P697" s="152" t="s">
        <v>1881</v>
      </c>
      <c r="Q697" s="152" t="s">
        <v>3192</v>
      </c>
      <c r="R697" s="152" t="s">
        <v>3193</v>
      </c>
      <c r="S697" s="152" t="s">
        <v>3194</v>
      </c>
      <c r="T697" s="152" t="s">
        <v>786</v>
      </c>
    </row>
    <row r="698" spans="3:20">
      <c r="C698" s="152" t="s">
        <v>2821</v>
      </c>
      <c r="D698" s="152"/>
      <c r="F698" s="474" t="s">
        <v>373</v>
      </c>
      <c r="G698" s="210" t="s">
        <v>374</v>
      </c>
      <c r="H698" s="210"/>
      <c r="I698" s="513">
        <v>-3796200</v>
      </c>
      <c r="J698" s="513">
        <v>-2565</v>
      </c>
      <c r="K698" s="513">
        <v>1480</v>
      </c>
      <c r="L698" s="513" t="s">
        <v>2859</v>
      </c>
      <c r="M698" s="513" t="s">
        <v>1540</v>
      </c>
      <c r="N698" s="513" t="s">
        <v>1407</v>
      </c>
      <c r="O698" s="518" t="s">
        <v>3277</v>
      </c>
      <c r="P698" s="152" t="s">
        <v>1832</v>
      </c>
      <c r="Q698" s="152" t="s">
        <v>3278</v>
      </c>
      <c r="R698" s="152" t="s">
        <v>3278</v>
      </c>
      <c r="S698" s="152" t="s">
        <v>3279</v>
      </c>
      <c r="T698" s="152" t="s">
        <v>786</v>
      </c>
    </row>
    <row r="699" spans="3:20">
      <c r="C699" s="152" t="s">
        <v>2821</v>
      </c>
      <c r="D699" s="152"/>
      <c r="F699" s="474" t="s">
        <v>373</v>
      </c>
      <c r="G699" s="210" t="s">
        <v>374</v>
      </c>
      <c r="H699" s="210"/>
      <c r="I699" s="513">
        <v>-4440000</v>
      </c>
      <c r="J699" s="513">
        <v>-3000</v>
      </c>
      <c r="K699" s="513">
        <v>1480</v>
      </c>
      <c r="L699" s="513" t="s">
        <v>2859</v>
      </c>
      <c r="M699" s="513" t="s">
        <v>1540</v>
      </c>
      <c r="N699" s="513" t="s">
        <v>1407</v>
      </c>
      <c r="O699" s="518" t="s">
        <v>3280</v>
      </c>
      <c r="P699" s="152" t="s">
        <v>1832</v>
      </c>
      <c r="Q699" s="152" t="s">
        <v>3281</v>
      </c>
      <c r="R699" s="152" t="s">
        <v>3281</v>
      </c>
      <c r="S699" s="152" t="s">
        <v>3282</v>
      </c>
      <c r="T699" s="152" t="s">
        <v>786</v>
      </c>
    </row>
    <row r="700" spans="3:20">
      <c r="C700" s="152" t="s">
        <v>2821</v>
      </c>
      <c r="D700" s="152"/>
      <c r="F700" s="474" t="s">
        <v>373</v>
      </c>
      <c r="G700" s="210" t="s">
        <v>374</v>
      </c>
      <c r="H700" s="210"/>
      <c r="I700" s="513">
        <v>-2960000</v>
      </c>
      <c r="J700" s="513">
        <v>-2000</v>
      </c>
      <c r="K700" s="513">
        <v>1480</v>
      </c>
      <c r="L700" s="513" t="s">
        <v>2859</v>
      </c>
      <c r="M700" s="513" t="s">
        <v>1540</v>
      </c>
      <c r="N700" s="513" t="s">
        <v>1407</v>
      </c>
      <c r="O700" s="518" t="s">
        <v>3283</v>
      </c>
      <c r="P700" s="152" t="s">
        <v>1832</v>
      </c>
      <c r="Q700" s="152" t="s">
        <v>3284</v>
      </c>
      <c r="R700" s="152" t="s">
        <v>3284</v>
      </c>
      <c r="S700" s="152" t="s">
        <v>3285</v>
      </c>
      <c r="T700" s="152" t="s">
        <v>786</v>
      </c>
    </row>
    <row r="701" spans="3:20">
      <c r="C701" s="152" t="s">
        <v>2821</v>
      </c>
      <c r="D701" s="152"/>
      <c r="F701" s="474" t="s">
        <v>373</v>
      </c>
      <c r="G701" s="210" t="s">
        <v>374</v>
      </c>
      <c r="H701" s="210"/>
      <c r="I701" s="513">
        <v>-3324820</v>
      </c>
      <c r="J701" s="513">
        <v>-2246.5</v>
      </c>
      <c r="K701" s="513">
        <v>1480</v>
      </c>
      <c r="L701" s="513" t="s">
        <v>2859</v>
      </c>
      <c r="M701" s="513" t="s">
        <v>1540</v>
      </c>
      <c r="N701" s="513" t="s">
        <v>1407</v>
      </c>
      <c r="O701" s="518" t="s">
        <v>3286</v>
      </c>
      <c r="P701" s="152" t="s">
        <v>1832</v>
      </c>
      <c r="Q701" s="152" t="s">
        <v>3287</v>
      </c>
      <c r="R701" s="152" t="s">
        <v>3287</v>
      </c>
      <c r="S701" s="152" t="s">
        <v>3288</v>
      </c>
      <c r="T701" s="152" t="s">
        <v>786</v>
      </c>
    </row>
    <row r="702" spans="3:20">
      <c r="C702" s="152" t="s">
        <v>2821</v>
      </c>
      <c r="D702" s="152"/>
      <c r="F702" s="474" t="s">
        <v>373</v>
      </c>
      <c r="G702" s="210" t="s">
        <v>374</v>
      </c>
      <c r="H702" s="210"/>
      <c r="I702" s="513">
        <v>-3094680</v>
      </c>
      <c r="J702" s="513">
        <v>-2091</v>
      </c>
      <c r="K702" s="513">
        <v>1480</v>
      </c>
      <c r="L702" s="513" t="s">
        <v>2859</v>
      </c>
      <c r="M702" s="513" t="s">
        <v>1540</v>
      </c>
      <c r="N702" s="513" t="s">
        <v>1407</v>
      </c>
      <c r="O702" s="518" t="s">
        <v>3289</v>
      </c>
      <c r="P702" s="152" t="s">
        <v>1832</v>
      </c>
      <c r="Q702" s="152" t="s">
        <v>3290</v>
      </c>
      <c r="R702" s="152" t="s">
        <v>3290</v>
      </c>
      <c r="S702" s="152" t="s">
        <v>3291</v>
      </c>
      <c r="T702" s="152" t="s">
        <v>786</v>
      </c>
    </row>
    <row r="703" spans="3:20">
      <c r="C703" s="152" t="s">
        <v>2821</v>
      </c>
      <c r="D703" s="152"/>
      <c r="F703" s="474" t="s">
        <v>373</v>
      </c>
      <c r="G703" s="210" t="s">
        <v>374</v>
      </c>
      <c r="H703" s="210"/>
      <c r="I703" s="513">
        <v>-3264880</v>
      </c>
      <c r="J703" s="513">
        <v>-2206</v>
      </c>
      <c r="K703" s="513">
        <v>1480</v>
      </c>
      <c r="L703" s="513" t="s">
        <v>2859</v>
      </c>
      <c r="M703" s="513" t="s">
        <v>1540</v>
      </c>
      <c r="N703" s="513" t="s">
        <v>1407</v>
      </c>
      <c r="O703" s="518" t="s">
        <v>3292</v>
      </c>
      <c r="P703" s="152" t="s">
        <v>1832</v>
      </c>
      <c r="Q703" s="152" t="s">
        <v>3293</v>
      </c>
      <c r="R703" s="152" t="s">
        <v>3293</v>
      </c>
      <c r="S703" s="152" t="s">
        <v>3294</v>
      </c>
      <c r="T703" s="152" t="s">
        <v>786</v>
      </c>
    </row>
    <row r="704" spans="3:20">
      <c r="C704" s="152" t="s">
        <v>2821</v>
      </c>
      <c r="D704" s="152"/>
      <c r="F704" s="474" t="s">
        <v>373</v>
      </c>
      <c r="G704" s="210" t="s">
        <v>374</v>
      </c>
      <c r="H704" s="210"/>
      <c r="I704" s="513">
        <v>-3248600</v>
      </c>
      <c r="J704" s="513">
        <v>-2195</v>
      </c>
      <c r="K704" s="513">
        <v>1480</v>
      </c>
      <c r="L704" s="513" t="s">
        <v>2859</v>
      </c>
      <c r="M704" s="513" t="s">
        <v>1540</v>
      </c>
      <c r="N704" s="513" t="s">
        <v>1407</v>
      </c>
      <c r="O704" s="518" t="s">
        <v>3295</v>
      </c>
      <c r="P704" s="152" t="s">
        <v>1832</v>
      </c>
      <c r="Q704" s="152" t="s">
        <v>3296</v>
      </c>
      <c r="R704" s="152" t="s">
        <v>3296</v>
      </c>
      <c r="S704" s="152" t="s">
        <v>3297</v>
      </c>
      <c r="T704" s="152" t="s">
        <v>786</v>
      </c>
    </row>
    <row r="705" spans="3:20">
      <c r="C705" s="152" t="s">
        <v>2821</v>
      </c>
      <c r="D705" s="152"/>
      <c r="F705" s="474" t="s">
        <v>373</v>
      </c>
      <c r="G705" s="210" t="s">
        <v>374</v>
      </c>
      <c r="H705" s="210"/>
      <c r="I705" s="513">
        <v>-5209600</v>
      </c>
      <c r="J705" s="513">
        <v>-3520</v>
      </c>
      <c r="K705" s="513">
        <v>1480</v>
      </c>
      <c r="L705" s="513" t="s">
        <v>2859</v>
      </c>
      <c r="M705" s="513" t="s">
        <v>1540</v>
      </c>
      <c r="N705" s="513" t="s">
        <v>1407</v>
      </c>
      <c r="O705" s="518" t="s">
        <v>3298</v>
      </c>
      <c r="P705" s="152" t="s">
        <v>1832</v>
      </c>
      <c r="Q705" s="152" t="s">
        <v>3299</v>
      </c>
      <c r="R705" s="152" t="s">
        <v>3299</v>
      </c>
      <c r="S705" s="152" t="s">
        <v>3300</v>
      </c>
      <c r="T705" s="152" t="s">
        <v>786</v>
      </c>
    </row>
    <row r="706" spans="3:20">
      <c r="C706" s="152" t="s">
        <v>2821</v>
      </c>
      <c r="D706" s="152"/>
      <c r="F706" s="474" t="s">
        <v>373</v>
      </c>
      <c r="G706" s="210" t="s">
        <v>374</v>
      </c>
      <c r="H706" s="210"/>
      <c r="I706" s="513">
        <v>-1659080</v>
      </c>
      <c r="J706" s="513">
        <v>-1121</v>
      </c>
      <c r="K706" s="513">
        <v>1480</v>
      </c>
      <c r="L706" s="513" t="s">
        <v>2859</v>
      </c>
      <c r="M706" s="513" t="s">
        <v>1540</v>
      </c>
      <c r="N706" s="513" t="s">
        <v>1407</v>
      </c>
      <c r="O706" s="518" t="s">
        <v>3301</v>
      </c>
      <c r="P706" s="152" t="s">
        <v>1832</v>
      </c>
      <c r="Q706" s="152" t="s">
        <v>3302</v>
      </c>
      <c r="R706" s="152" t="s">
        <v>3302</v>
      </c>
      <c r="S706" s="152" t="s">
        <v>3303</v>
      </c>
      <c r="T706" s="152" t="s">
        <v>786</v>
      </c>
    </row>
    <row r="707" spans="3:20">
      <c r="C707" s="152" t="s">
        <v>2821</v>
      </c>
      <c r="D707" s="152"/>
      <c r="F707" s="474" t="s">
        <v>373</v>
      </c>
      <c r="G707" s="210" t="s">
        <v>374</v>
      </c>
      <c r="H707" s="210"/>
      <c r="I707" s="513">
        <v>-2097160</v>
      </c>
      <c r="J707" s="513">
        <v>-1417</v>
      </c>
      <c r="K707" s="513">
        <v>1480</v>
      </c>
      <c r="L707" s="513" t="s">
        <v>2859</v>
      </c>
      <c r="M707" s="513" t="s">
        <v>1540</v>
      </c>
      <c r="N707" s="513" t="s">
        <v>1407</v>
      </c>
      <c r="O707" s="518" t="s">
        <v>3304</v>
      </c>
      <c r="P707" s="152" t="s">
        <v>1832</v>
      </c>
      <c r="Q707" s="152" t="s">
        <v>3305</v>
      </c>
      <c r="R707" s="152" t="s">
        <v>3305</v>
      </c>
      <c r="S707" s="152" t="s">
        <v>3306</v>
      </c>
      <c r="T707" s="152" t="s">
        <v>786</v>
      </c>
    </row>
    <row r="708" spans="3:20">
      <c r="C708" s="152" t="s">
        <v>2821</v>
      </c>
      <c r="D708" s="152"/>
      <c r="F708" s="474" t="s">
        <v>373</v>
      </c>
      <c r="G708" s="210" t="s">
        <v>374</v>
      </c>
      <c r="H708" s="210"/>
      <c r="I708" s="513">
        <v>-370000</v>
      </c>
      <c r="J708" s="513">
        <v>-250</v>
      </c>
      <c r="K708" s="513">
        <v>1480</v>
      </c>
      <c r="L708" s="513" t="s">
        <v>2859</v>
      </c>
      <c r="M708" s="513" t="s">
        <v>1540</v>
      </c>
      <c r="N708" s="513" t="s">
        <v>1407</v>
      </c>
      <c r="O708" s="518" t="s">
        <v>3307</v>
      </c>
      <c r="P708" s="152" t="s">
        <v>1832</v>
      </c>
      <c r="Q708" s="152" t="s">
        <v>3308</v>
      </c>
      <c r="R708" s="152" t="s">
        <v>3308</v>
      </c>
      <c r="S708" s="152" t="s">
        <v>3309</v>
      </c>
      <c r="T708" s="152" t="s">
        <v>786</v>
      </c>
    </row>
    <row r="709" spans="3:20">
      <c r="C709" s="152" t="s">
        <v>2821</v>
      </c>
      <c r="D709" s="152"/>
      <c r="F709" s="474" t="s">
        <v>360</v>
      </c>
      <c r="G709" s="210" t="s">
        <v>361</v>
      </c>
      <c r="H709" s="210"/>
      <c r="I709" s="513">
        <v>2812</v>
      </c>
      <c r="J709" s="513">
        <v>1.9</v>
      </c>
      <c r="K709" s="513">
        <v>1480</v>
      </c>
      <c r="L709" s="513" t="s">
        <v>2827</v>
      </c>
      <c r="M709" s="513" t="s">
        <v>780</v>
      </c>
      <c r="N709" s="513" t="s">
        <v>781</v>
      </c>
      <c r="O709" s="518" t="s">
        <v>3204</v>
      </c>
      <c r="P709" s="152" t="s">
        <v>892</v>
      </c>
      <c r="Q709" s="152" t="s">
        <v>3205</v>
      </c>
      <c r="R709" s="152" t="s">
        <v>953</v>
      </c>
      <c r="S709" s="152" t="s">
        <v>3206</v>
      </c>
      <c r="T709" s="152" t="s">
        <v>786</v>
      </c>
    </row>
    <row r="710" spans="3:20">
      <c r="C710" s="152" t="s">
        <v>2821</v>
      </c>
      <c r="D710" s="152"/>
      <c r="F710" s="474" t="s">
        <v>360</v>
      </c>
      <c r="G710" s="210" t="s">
        <v>361</v>
      </c>
      <c r="H710" s="210"/>
      <c r="I710" s="513">
        <v>289813.59999999998</v>
      </c>
      <c r="J710" s="513">
        <v>195.82</v>
      </c>
      <c r="K710" s="513">
        <v>1480</v>
      </c>
      <c r="L710" s="513" t="s">
        <v>2827</v>
      </c>
      <c r="M710" s="513" t="s">
        <v>780</v>
      </c>
      <c r="N710" s="513" t="s">
        <v>781</v>
      </c>
      <c r="O710" s="518" t="s">
        <v>3204</v>
      </c>
      <c r="P710" s="152" t="s">
        <v>892</v>
      </c>
      <c r="Q710" s="152" t="s">
        <v>3205</v>
      </c>
      <c r="R710" s="152" t="s">
        <v>3216</v>
      </c>
      <c r="S710" s="152" t="s">
        <v>3206</v>
      </c>
      <c r="T710" s="152" t="s">
        <v>786</v>
      </c>
    </row>
    <row r="711" spans="3:20">
      <c r="C711" s="152" t="s">
        <v>2821</v>
      </c>
      <c r="D711" s="152"/>
      <c r="F711" s="474" t="s">
        <v>362</v>
      </c>
      <c r="G711" s="210" t="s">
        <v>363</v>
      </c>
      <c r="H711" s="210"/>
      <c r="I711" s="513">
        <v>20764.400000000001</v>
      </c>
      <c r="J711" s="513">
        <v>14.03</v>
      </c>
      <c r="K711" s="513">
        <v>1480</v>
      </c>
      <c r="L711" s="513" t="s">
        <v>2827</v>
      </c>
      <c r="M711" s="513" t="s">
        <v>780</v>
      </c>
      <c r="N711" s="513" t="s">
        <v>1407</v>
      </c>
      <c r="O711" s="518" t="s">
        <v>2828</v>
      </c>
      <c r="P711" s="152" t="s">
        <v>892</v>
      </c>
      <c r="Q711" s="152" t="s">
        <v>2829</v>
      </c>
      <c r="R711" s="152" t="s">
        <v>3004</v>
      </c>
      <c r="S711" s="152" t="s">
        <v>2831</v>
      </c>
      <c r="T711" s="152" t="s">
        <v>786</v>
      </c>
    </row>
    <row r="712" spans="3:20">
      <c r="C712" s="152" t="s">
        <v>2821</v>
      </c>
      <c r="D712" s="152"/>
      <c r="F712" s="474" t="s">
        <v>364</v>
      </c>
      <c r="G712" s="210" t="s">
        <v>365</v>
      </c>
      <c r="H712" s="210"/>
      <c r="I712" s="513">
        <v>-3741150</v>
      </c>
      <c r="J712" s="513">
        <v>-2545</v>
      </c>
      <c r="K712" s="513">
        <v>1470</v>
      </c>
      <c r="L712" s="513" t="s">
        <v>2822</v>
      </c>
      <c r="M712" s="513" t="s">
        <v>780</v>
      </c>
      <c r="N712" s="513" t="s">
        <v>1407</v>
      </c>
      <c r="O712" s="518" t="s">
        <v>2823</v>
      </c>
      <c r="P712" s="152" t="s">
        <v>892</v>
      </c>
      <c r="Q712" s="152" t="s">
        <v>2824</v>
      </c>
      <c r="R712" s="152" t="s">
        <v>2825</v>
      </c>
      <c r="S712" s="152" t="s">
        <v>2826</v>
      </c>
      <c r="T712" s="152" t="s">
        <v>786</v>
      </c>
    </row>
    <row r="713" spans="3:20">
      <c r="C713" s="152" t="s">
        <v>2821</v>
      </c>
      <c r="D713" s="152"/>
      <c r="F713" s="474" t="s">
        <v>364</v>
      </c>
      <c r="G713" s="210" t="s">
        <v>365</v>
      </c>
      <c r="H713" s="210"/>
      <c r="I713" s="513">
        <v>-3741150</v>
      </c>
      <c r="J713" s="513">
        <v>-2545</v>
      </c>
      <c r="K713" s="513">
        <v>1470</v>
      </c>
      <c r="L713" s="513" t="s">
        <v>2822</v>
      </c>
      <c r="M713" s="513" t="s">
        <v>780</v>
      </c>
      <c r="N713" s="513" t="s">
        <v>1407</v>
      </c>
      <c r="O713" s="518" t="s">
        <v>2823</v>
      </c>
      <c r="P713" s="152" t="s">
        <v>892</v>
      </c>
      <c r="Q713" s="152" t="s">
        <v>2824</v>
      </c>
      <c r="R713" s="152" t="s">
        <v>2834</v>
      </c>
      <c r="S713" s="152" t="s">
        <v>2826</v>
      </c>
      <c r="T713" s="152" t="s">
        <v>786</v>
      </c>
    </row>
    <row r="714" spans="3:20">
      <c r="C714" s="152" t="s">
        <v>2821</v>
      </c>
      <c r="D714" s="152"/>
      <c r="F714" s="474" t="s">
        <v>364</v>
      </c>
      <c r="G714" s="210" t="s">
        <v>365</v>
      </c>
      <c r="H714" s="210"/>
      <c r="I714" s="513">
        <v>-3741150</v>
      </c>
      <c r="J714" s="513">
        <v>-2545</v>
      </c>
      <c r="K714" s="513">
        <v>1470</v>
      </c>
      <c r="L714" s="513" t="s">
        <v>2835</v>
      </c>
      <c r="M714" s="513" t="s">
        <v>780</v>
      </c>
      <c r="N714" s="513" t="s">
        <v>1407</v>
      </c>
      <c r="O714" s="518" t="s">
        <v>2836</v>
      </c>
      <c r="P714" s="152" t="s">
        <v>892</v>
      </c>
      <c r="Q714" s="152" t="s">
        <v>2837</v>
      </c>
      <c r="R714" s="152" t="s">
        <v>2838</v>
      </c>
      <c r="S714" s="152" t="s">
        <v>2839</v>
      </c>
      <c r="T714" s="152" t="s">
        <v>786</v>
      </c>
    </row>
    <row r="715" spans="3:20">
      <c r="C715" s="152" t="s">
        <v>2821</v>
      </c>
      <c r="D715" s="152"/>
      <c r="F715" s="474" t="s">
        <v>364</v>
      </c>
      <c r="G715" s="210" t="s">
        <v>365</v>
      </c>
      <c r="H715" s="210"/>
      <c r="I715" s="513">
        <v>-1953600</v>
      </c>
      <c r="J715" s="513">
        <v>-1320</v>
      </c>
      <c r="K715" s="513">
        <v>1480</v>
      </c>
      <c r="L715" s="513" t="s">
        <v>2845</v>
      </c>
      <c r="M715" s="513" t="s">
        <v>780</v>
      </c>
      <c r="N715" s="513" t="s">
        <v>1407</v>
      </c>
      <c r="O715" s="518" t="s">
        <v>2846</v>
      </c>
      <c r="P715" s="152" t="s">
        <v>892</v>
      </c>
      <c r="Q715" s="152" t="s">
        <v>2847</v>
      </c>
      <c r="R715" s="152" t="s">
        <v>2848</v>
      </c>
      <c r="S715" s="152" t="s">
        <v>2849</v>
      </c>
      <c r="T715" s="152" t="s">
        <v>786</v>
      </c>
    </row>
    <row r="716" spans="3:20">
      <c r="C716" s="152" t="s">
        <v>2821</v>
      </c>
      <c r="D716" s="152"/>
      <c r="F716" s="474" t="s">
        <v>364</v>
      </c>
      <c r="G716" s="210" t="s">
        <v>365</v>
      </c>
      <c r="H716" s="210"/>
      <c r="I716" s="513">
        <v>-3880800</v>
      </c>
      <c r="J716" s="513">
        <v>-2640</v>
      </c>
      <c r="K716" s="513">
        <v>1470</v>
      </c>
      <c r="L716" s="513" t="s">
        <v>2840</v>
      </c>
      <c r="M716" s="513" t="s">
        <v>780</v>
      </c>
      <c r="N716" s="513" t="s">
        <v>1407</v>
      </c>
      <c r="O716" s="518" t="s">
        <v>2850</v>
      </c>
      <c r="P716" s="152" t="s">
        <v>892</v>
      </c>
      <c r="Q716" s="152" t="s">
        <v>2851</v>
      </c>
      <c r="R716" s="152" t="s">
        <v>2852</v>
      </c>
      <c r="S716" s="152" t="s">
        <v>2853</v>
      </c>
      <c r="T716" s="152" t="s">
        <v>786</v>
      </c>
    </row>
    <row r="717" spans="3:20">
      <c r="C717" s="152" t="s">
        <v>2821</v>
      </c>
      <c r="D717" s="152"/>
      <c r="F717" s="474" t="s">
        <v>364</v>
      </c>
      <c r="G717" s="210" t="s">
        <v>365</v>
      </c>
      <c r="H717" s="210"/>
      <c r="I717" s="513">
        <v>-5100900</v>
      </c>
      <c r="J717" s="513">
        <v>-3470</v>
      </c>
      <c r="K717" s="513">
        <v>1470</v>
      </c>
      <c r="L717" s="513" t="s">
        <v>2835</v>
      </c>
      <c r="M717" s="513" t="s">
        <v>780</v>
      </c>
      <c r="N717" s="513" t="s">
        <v>1407</v>
      </c>
      <c r="O717" s="518" t="s">
        <v>2836</v>
      </c>
      <c r="P717" s="152" t="s">
        <v>892</v>
      </c>
      <c r="Q717" s="152" t="s">
        <v>2837</v>
      </c>
      <c r="R717" s="152" t="s">
        <v>2854</v>
      </c>
      <c r="S717" s="152" t="s">
        <v>2839</v>
      </c>
      <c r="T717" s="152" t="s">
        <v>786</v>
      </c>
    </row>
    <row r="718" spans="3:20">
      <c r="C718" s="152" t="s">
        <v>2821</v>
      </c>
      <c r="D718" s="152"/>
      <c r="F718" s="474" t="s">
        <v>364</v>
      </c>
      <c r="G718" s="210" t="s">
        <v>365</v>
      </c>
      <c r="H718" s="210"/>
      <c r="I718" s="513">
        <v>-5342800</v>
      </c>
      <c r="J718" s="513">
        <v>-3610</v>
      </c>
      <c r="K718" s="513">
        <v>1480</v>
      </c>
      <c r="L718" s="513" t="s">
        <v>2845</v>
      </c>
      <c r="M718" s="513" t="s">
        <v>780</v>
      </c>
      <c r="N718" s="513" t="s">
        <v>1407</v>
      </c>
      <c r="O718" s="518" t="s">
        <v>2846</v>
      </c>
      <c r="P718" s="152" t="s">
        <v>892</v>
      </c>
      <c r="Q718" s="152" t="s">
        <v>2847</v>
      </c>
      <c r="R718" s="152" t="s">
        <v>2855</v>
      </c>
      <c r="S718" s="152" t="s">
        <v>2849</v>
      </c>
      <c r="T718" s="152" t="s">
        <v>786</v>
      </c>
    </row>
    <row r="719" spans="3:20">
      <c r="C719" s="152" t="s">
        <v>2821</v>
      </c>
      <c r="D719" s="152"/>
      <c r="F719" s="474" t="s">
        <v>364</v>
      </c>
      <c r="G719" s="210" t="s">
        <v>365</v>
      </c>
      <c r="H719" s="210"/>
      <c r="I719" s="513">
        <v>-5306700</v>
      </c>
      <c r="J719" s="513">
        <v>-3610</v>
      </c>
      <c r="K719" s="513">
        <v>1470</v>
      </c>
      <c r="L719" s="513" t="s">
        <v>2822</v>
      </c>
      <c r="M719" s="513" t="s">
        <v>780</v>
      </c>
      <c r="N719" s="513" t="s">
        <v>1407</v>
      </c>
      <c r="O719" s="518" t="s">
        <v>2823</v>
      </c>
      <c r="P719" s="152" t="s">
        <v>892</v>
      </c>
      <c r="Q719" s="152" t="s">
        <v>2824</v>
      </c>
      <c r="R719" s="152" t="s">
        <v>2856</v>
      </c>
      <c r="S719" s="152" t="s">
        <v>2826</v>
      </c>
      <c r="T719" s="152" t="s">
        <v>786</v>
      </c>
    </row>
    <row r="720" spans="3:20">
      <c r="C720" s="152" t="s">
        <v>2821</v>
      </c>
      <c r="D720" s="152"/>
      <c r="F720" s="474" t="s">
        <v>364</v>
      </c>
      <c r="G720" s="210" t="s">
        <v>365</v>
      </c>
      <c r="H720" s="210"/>
      <c r="I720" s="513">
        <v>-4084800</v>
      </c>
      <c r="J720" s="513">
        <v>-2760</v>
      </c>
      <c r="K720" s="513">
        <v>1480</v>
      </c>
      <c r="L720" s="513" t="s">
        <v>2845</v>
      </c>
      <c r="M720" s="513" t="s">
        <v>780</v>
      </c>
      <c r="N720" s="513" t="s">
        <v>1407</v>
      </c>
      <c r="O720" s="518" t="s">
        <v>2846</v>
      </c>
      <c r="P720" s="152" t="s">
        <v>892</v>
      </c>
      <c r="Q720" s="152" t="s">
        <v>2847</v>
      </c>
      <c r="R720" s="152" t="s">
        <v>2857</v>
      </c>
      <c r="S720" s="152" t="s">
        <v>2849</v>
      </c>
      <c r="T720" s="152" t="s">
        <v>786</v>
      </c>
    </row>
    <row r="721" spans="3:20">
      <c r="C721" s="152" t="s">
        <v>2821</v>
      </c>
      <c r="D721" s="152"/>
      <c r="F721" s="474" t="s">
        <v>364</v>
      </c>
      <c r="G721" s="210" t="s">
        <v>365</v>
      </c>
      <c r="H721" s="210"/>
      <c r="I721" s="513">
        <v>-4084800</v>
      </c>
      <c r="J721" s="513">
        <v>-2760</v>
      </c>
      <c r="K721" s="513">
        <v>1480</v>
      </c>
      <c r="L721" s="513" t="s">
        <v>2845</v>
      </c>
      <c r="M721" s="513" t="s">
        <v>780</v>
      </c>
      <c r="N721" s="513" t="s">
        <v>1407</v>
      </c>
      <c r="O721" s="518" t="s">
        <v>2846</v>
      </c>
      <c r="P721" s="152" t="s">
        <v>892</v>
      </c>
      <c r="Q721" s="152" t="s">
        <v>2847</v>
      </c>
      <c r="R721" s="152" t="s">
        <v>2858</v>
      </c>
      <c r="S721" s="152" t="s">
        <v>2849</v>
      </c>
      <c r="T721" s="152" t="s">
        <v>786</v>
      </c>
    </row>
    <row r="722" spans="3:20">
      <c r="C722" s="152" t="s">
        <v>2821</v>
      </c>
      <c r="D722" s="152"/>
      <c r="F722" s="474" t="s">
        <v>364</v>
      </c>
      <c r="G722" s="210" t="s">
        <v>365</v>
      </c>
      <c r="H722" s="210"/>
      <c r="I722" s="513">
        <v>-4084800</v>
      </c>
      <c r="J722" s="513">
        <v>-2760</v>
      </c>
      <c r="K722" s="513">
        <v>1480</v>
      </c>
      <c r="L722" s="513" t="s">
        <v>2859</v>
      </c>
      <c r="M722" s="513" t="s">
        <v>780</v>
      </c>
      <c r="N722" s="513" t="s">
        <v>1407</v>
      </c>
      <c r="O722" s="518" t="s">
        <v>2860</v>
      </c>
      <c r="P722" s="152" t="s">
        <v>892</v>
      </c>
      <c r="Q722" s="152" t="s">
        <v>2861</v>
      </c>
      <c r="R722" s="152" t="s">
        <v>2862</v>
      </c>
      <c r="S722" s="152" t="s">
        <v>2863</v>
      </c>
      <c r="T722" s="152" t="s">
        <v>786</v>
      </c>
    </row>
    <row r="723" spans="3:20">
      <c r="C723" s="152" t="s">
        <v>2821</v>
      </c>
      <c r="D723" s="152"/>
      <c r="F723" s="474" t="s">
        <v>364</v>
      </c>
      <c r="G723" s="210" t="s">
        <v>365</v>
      </c>
      <c r="H723" s="210"/>
      <c r="I723" s="513">
        <v>-5292000</v>
      </c>
      <c r="J723" s="513">
        <v>-3600</v>
      </c>
      <c r="K723" s="513">
        <v>1470</v>
      </c>
      <c r="L723" s="513" t="s">
        <v>2845</v>
      </c>
      <c r="M723" s="513" t="s">
        <v>780</v>
      </c>
      <c r="N723" s="513" t="s">
        <v>1407</v>
      </c>
      <c r="O723" s="518" t="s">
        <v>2846</v>
      </c>
      <c r="P723" s="152" t="s">
        <v>892</v>
      </c>
      <c r="Q723" s="152" t="s">
        <v>2847</v>
      </c>
      <c r="R723" s="152" t="s">
        <v>2896</v>
      </c>
      <c r="S723" s="152" t="s">
        <v>2849</v>
      </c>
      <c r="T723" s="152" t="s">
        <v>786</v>
      </c>
    </row>
    <row r="724" spans="3:20">
      <c r="C724" s="152" t="s">
        <v>2821</v>
      </c>
      <c r="D724" s="152"/>
      <c r="F724" s="474" t="s">
        <v>364</v>
      </c>
      <c r="G724" s="210" t="s">
        <v>365</v>
      </c>
      <c r="H724" s="210"/>
      <c r="I724" s="513">
        <v>-2537460</v>
      </c>
      <c r="J724" s="513">
        <v>-1714.5</v>
      </c>
      <c r="K724" s="513">
        <v>1480</v>
      </c>
      <c r="L724" s="513" t="s">
        <v>2859</v>
      </c>
      <c r="M724" s="513" t="s">
        <v>780</v>
      </c>
      <c r="N724" s="513" t="s">
        <v>1407</v>
      </c>
      <c r="O724" s="518" t="s">
        <v>2878</v>
      </c>
      <c r="P724" s="152" t="s">
        <v>2865</v>
      </c>
      <c r="Q724" s="152" t="s">
        <v>2879</v>
      </c>
      <c r="R724" s="152" t="s">
        <v>2897</v>
      </c>
      <c r="S724" s="152" t="s">
        <v>2881</v>
      </c>
      <c r="T724" s="152" t="s">
        <v>786</v>
      </c>
    </row>
    <row r="725" spans="3:20">
      <c r="C725" s="152" t="s">
        <v>2821</v>
      </c>
      <c r="D725" s="152"/>
      <c r="F725" s="474" t="s">
        <v>3143</v>
      </c>
      <c r="G725" s="210" t="s">
        <v>3144</v>
      </c>
      <c r="H725" s="210"/>
      <c r="I725" s="513">
        <v>-113960</v>
      </c>
      <c r="J725" s="513">
        <v>-77</v>
      </c>
      <c r="K725" s="513">
        <v>1480</v>
      </c>
      <c r="L725" s="513" t="s">
        <v>3138</v>
      </c>
      <c r="M725" s="513" t="s">
        <v>1566</v>
      </c>
      <c r="N725" s="513" t="s">
        <v>1407</v>
      </c>
      <c r="O725" s="518" t="s">
        <v>3139</v>
      </c>
      <c r="P725" s="152" t="s">
        <v>1881</v>
      </c>
      <c r="Q725" s="152" t="s">
        <v>3140</v>
      </c>
      <c r="R725" s="152" t="s">
        <v>3141</v>
      </c>
      <c r="S725" s="152" t="s">
        <v>3142</v>
      </c>
      <c r="T725" s="152" t="s">
        <v>786</v>
      </c>
    </row>
    <row r="726" spans="3:20">
      <c r="C726" s="152" t="s">
        <v>2821</v>
      </c>
      <c r="D726" s="152"/>
      <c r="F726" s="474" t="s">
        <v>289</v>
      </c>
      <c r="G726" s="210" t="s">
        <v>290</v>
      </c>
      <c r="H726" s="210"/>
      <c r="I726" s="513">
        <v>-9327150</v>
      </c>
      <c r="J726" s="513">
        <v>-6345</v>
      </c>
      <c r="K726" s="513">
        <v>1470</v>
      </c>
      <c r="L726" s="513" t="s">
        <v>2835</v>
      </c>
      <c r="M726" s="513" t="s">
        <v>780</v>
      </c>
      <c r="N726" s="513" t="s">
        <v>781</v>
      </c>
      <c r="O726" s="518" t="s">
        <v>2836</v>
      </c>
      <c r="P726" s="152" t="s">
        <v>892</v>
      </c>
      <c r="Q726" s="152" t="s">
        <v>2837</v>
      </c>
      <c r="R726" s="152" t="s">
        <v>3232</v>
      </c>
      <c r="S726" s="152" t="s">
        <v>2839</v>
      </c>
      <c r="T726" s="152" t="s">
        <v>786</v>
      </c>
    </row>
    <row r="727" spans="3:20">
      <c r="C727" s="152" t="s">
        <v>2821</v>
      </c>
      <c r="D727" s="152"/>
      <c r="F727" s="474" t="s">
        <v>289</v>
      </c>
      <c r="G727" s="210" t="s">
        <v>290</v>
      </c>
      <c r="H727" s="210"/>
      <c r="I727" s="513">
        <v>-3893880</v>
      </c>
      <c r="J727" s="513">
        <v>-2631</v>
      </c>
      <c r="K727" s="513">
        <v>1480</v>
      </c>
      <c r="L727" s="513" t="s">
        <v>2845</v>
      </c>
      <c r="M727" s="513" t="s">
        <v>780</v>
      </c>
      <c r="N727" s="513" t="s">
        <v>781</v>
      </c>
      <c r="O727" s="518" t="s">
        <v>2846</v>
      </c>
      <c r="P727" s="152" t="s">
        <v>892</v>
      </c>
      <c r="Q727" s="152" t="s">
        <v>2847</v>
      </c>
      <c r="R727" s="152" t="s">
        <v>3233</v>
      </c>
      <c r="S727" s="152" t="s">
        <v>2849</v>
      </c>
      <c r="T727" s="152" t="s">
        <v>786</v>
      </c>
    </row>
    <row r="728" spans="3:20">
      <c r="C728" s="152" t="s">
        <v>2821</v>
      </c>
      <c r="D728" s="152"/>
      <c r="F728" s="474" t="s">
        <v>289</v>
      </c>
      <c r="G728" s="210" t="s">
        <v>290</v>
      </c>
      <c r="H728" s="210"/>
      <c r="I728" s="513">
        <v>-3893880</v>
      </c>
      <c r="J728" s="513">
        <v>-2631</v>
      </c>
      <c r="K728" s="513">
        <v>1480</v>
      </c>
      <c r="L728" s="513" t="s">
        <v>2859</v>
      </c>
      <c r="M728" s="513" t="s">
        <v>780</v>
      </c>
      <c r="N728" s="513" t="s">
        <v>781</v>
      </c>
      <c r="O728" s="518" t="s">
        <v>2860</v>
      </c>
      <c r="P728" s="152" t="s">
        <v>892</v>
      </c>
      <c r="Q728" s="152" t="s">
        <v>2861</v>
      </c>
      <c r="R728" s="152" t="s">
        <v>3234</v>
      </c>
      <c r="S728" s="152" t="s">
        <v>2863</v>
      </c>
      <c r="T728" s="152" t="s">
        <v>786</v>
      </c>
    </row>
    <row r="729" spans="3:20">
      <c r="C729" s="152" t="s">
        <v>2821</v>
      </c>
      <c r="D729" s="152"/>
      <c r="F729" s="474" t="s">
        <v>289</v>
      </c>
      <c r="G729" s="210" t="s">
        <v>290</v>
      </c>
      <c r="H729" s="210"/>
      <c r="I729" s="513">
        <v>-12134850</v>
      </c>
      <c r="J729" s="513">
        <v>-8255</v>
      </c>
      <c r="K729" s="513">
        <v>1470</v>
      </c>
      <c r="L729" s="513" t="s">
        <v>2835</v>
      </c>
      <c r="M729" s="513" t="s">
        <v>780</v>
      </c>
      <c r="N729" s="513" t="s">
        <v>1272</v>
      </c>
      <c r="O729" s="518" t="s">
        <v>2836</v>
      </c>
      <c r="P729" s="152" t="s">
        <v>892</v>
      </c>
      <c r="Q729" s="152" t="s">
        <v>2837</v>
      </c>
      <c r="R729" s="152" t="s">
        <v>3239</v>
      </c>
      <c r="S729" s="152" t="s">
        <v>2839</v>
      </c>
      <c r="T729" s="152" t="s">
        <v>786</v>
      </c>
    </row>
    <row r="730" spans="3:20">
      <c r="C730" s="152" t="s">
        <v>2821</v>
      </c>
      <c r="D730" s="152"/>
      <c r="F730" s="474" t="s">
        <v>289</v>
      </c>
      <c r="G730" s="210" t="s">
        <v>290</v>
      </c>
      <c r="H730" s="210"/>
      <c r="I730" s="513">
        <v>3880800</v>
      </c>
      <c r="J730" s="513">
        <v>2640</v>
      </c>
      <c r="K730" s="513">
        <v>1470</v>
      </c>
      <c r="L730" s="513" t="s">
        <v>2840</v>
      </c>
      <c r="M730" s="513" t="s">
        <v>780</v>
      </c>
      <c r="N730" s="513" t="s">
        <v>1407</v>
      </c>
      <c r="O730" s="518" t="s">
        <v>2841</v>
      </c>
      <c r="P730" s="152" t="s">
        <v>892</v>
      </c>
      <c r="Q730" s="152" t="s">
        <v>2842</v>
      </c>
      <c r="R730" s="152" t="s">
        <v>2843</v>
      </c>
      <c r="S730" s="152" t="s">
        <v>2844</v>
      </c>
      <c r="T730" s="152" t="s">
        <v>786</v>
      </c>
    </row>
    <row r="731" spans="3:20">
      <c r="C731" s="152" t="s">
        <v>2821</v>
      </c>
      <c r="D731" s="152"/>
      <c r="F731" s="474" t="s">
        <v>289</v>
      </c>
      <c r="G731" s="210" t="s">
        <v>290</v>
      </c>
      <c r="H731" s="210"/>
      <c r="I731" s="513">
        <v>-3880800</v>
      </c>
      <c r="J731" s="513">
        <v>-2640</v>
      </c>
      <c r="K731" s="513">
        <v>1470</v>
      </c>
      <c r="L731" s="513" t="s">
        <v>2822</v>
      </c>
      <c r="M731" s="513" t="s">
        <v>780</v>
      </c>
      <c r="N731" s="513" t="s">
        <v>1407</v>
      </c>
      <c r="O731" s="518" t="s">
        <v>2823</v>
      </c>
      <c r="P731" s="152" t="s">
        <v>892</v>
      </c>
      <c r="Q731" s="152" t="s">
        <v>2824</v>
      </c>
      <c r="R731" s="152" t="s">
        <v>2843</v>
      </c>
      <c r="S731" s="152" t="s">
        <v>2826</v>
      </c>
      <c r="T731" s="152" t="s">
        <v>786</v>
      </c>
    </row>
    <row r="732" spans="3:20">
      <c r="C732" s="152" t="s">
        <v>2821</v>
      </c>
      <c r="D732" s="152"/>
      <c r="F732" s="474" t="s">
        <v>289</v>
      </c>
      <c r="G732" s="210" t="s">
        <v>290</v>
      </c>
      <c r="H732" s="210"/>
      <c r="I732" s="513">
        <v>-2998800</v>
      </c>
      <c r="J732" s="513">
        <v>-2040</v>
      </c>
      <c r="K732" s="513">
        <v>1470</v>
      </c>
      <c r="L732" s="513" t="s">
        <v>2835</v>
      </c>
      <c r="M732" s="513" t="s">
        <v>780</v>
      </c>
      <c r="N732" s="513" t="s">
        <v>1407</v>
      </c>
      <c r="O732" s="518" t="s">
        <v>2836</v>
      </c>
      <c r="P732" s="152" t="s">
        <v>892</v>
      </c>
      <c r="Q732" s="152" t="s">
        <v>2837</v>
      </c>
      <c r="R732" s="152" t="s">
        <v>2877</v>
      </c>
      <c r="S732" s="152" t="s">
        <v>2839</v>
      </c>
      <c r="T732" s="152" t="s">
        <v>786</v>
      </c>
    </row>
    <row r="733" spans="3:20">
      <c r="C733" s="152" t="s">
        <v>2821</v>
      </c>
      <c r="D733" s="152"/>
      <c r="F733" s="474" t="s">
        <v>289</v>
      </c>
      <c r="G733" s="210" t="s">
        <v>290</v>
      </c>
      <c r="H733" s="210"/>
      <c r="I733" s="513">
        <v>-8521840</v>
      </c>
      <c r="J733" s="513">
        <v>-5758</v>
      </c>
      <c r="K733" s="513">
        <v>1480</v>
      </c>
      <c r="L733" s="513" t="s">
        <v>2859</v>
      </c>
      <c r="M733" s="513" t="s">
        <v>780</v>
      </c>
      <c r="N733" s="513" t="s">
        <v>1407</v>
      </c>
      <c r="O733" s="518" t="s">
        <v>2878</v>
      </c>
      <c r="P733" s="152" t="s">
        <v>2865</v>
      </c>
      <c r="Q733" s="152" t="s">
        <v>2879</v>
      </c>
      <c r="R733" s="152" t="s">
        <v>2880</v>
      </c>
      <c r="S733" s="152" t="s">
        <v>2881</v>
      </c>
      <c r="T733" s="152" t="s">
        <v>786</v>
      </c>
    </row>
    <row r="734" spans="3:20">
      <c r="C734" s="152" t="s">
        <v>2821</v>
      </c>
      <c r="D734" s="152"/>
      <c r="F734" s="474" t="s">
        <v>289</v>
      </c>
      <c r="G734" s="210" t="s">
        <v>290</v>
      </c>
      <c r="H734" s="210"/>
      <c r="I734" s="513">
        <v>-14288400</v>
      </c>
      <c r="J734" s="513">
        <v>-9720</v>
      </c>
      <c r="K734" s="513">
        <v>1470</v>
      </c>
      <c r="L734" s="513" t="s">
        <v>2822</v>
      </c>
      <c r="M734" s="513" t="s">
        <v>780</v>
      </c>
      <c r="N734" s="513" t="s">
        <v>1407</v>
      </c>
      <c r="O734" s="518" t="s">
        <v>2823</v>
      </c>
      <c r="P734" s="152" t="s">
        <v>892</v>
      </c>
      <c r="Q734" s="152" t="s">
        <v>2824</v>
      </c>
      <c r="R734" s="152" t="s">
        <v>2889</v>
      </c>
      <c r="S734" s="152" t="s">
        <v>2826</v>
      </c>
      <c r="T734" s="152" t="s">
        <v>786</v>
      </c>
    </row>
    <row r="735" spans="3:20">
      <c r="C735" s="152" t="s">
        <v>2821</v>
      </c>
      <c r="D735" s="152"/>
      <c r="F735" s="474" t="s">
        <v>289</v>
      </c>
      <c r="G735" s="210" t="s">
        <v>290</v>
      </c>
      <c r="H735" s="210"/>
      <c r="I735" s="513">
        <v>-1968400</v>
      </c>
      <c r="J735" s="513">
        <v>-1330</v>
      </c>
      <c r="K735" s="513">
        <v>1480</v>
      </c>
      <c r="L735" s="513" t="s">
        <v>2859</v>
      </c>
      <c r="M735" s="513" t="s">
        <v>780</v>
      </c>
      <c r="N735" s="513" t="s">
        <v>1407</v>
      </c>
      <c r="O735" s="518" t="s">
        <v>2860</v>
      </c>
      <c r="P735" s="152" t="s">
        <v>892</v>
      </c>
      <c r="Q735" s="152" t="s">
        <v>2861</v>
      </c>
      <c r="R735" s="152" t="s">
        <v>2890</v>
      </c>
      <c r="S735" s="152" t="s">
        <v>2863</v>
      </c>
      <c r="T735" s="152" t="s">
        <v>786</v>
      </c>
    </row>
    <row r="736" spans="3:20">
      <c r="C736" s="152" t="s">
        <v>2821</v>
      </c>
      <c r="D736" s="152"/>
      <c r="F736" s="474" t="s">
        <v>289</v>
      </c>
      <c r="G736" s="210" t="s">
        <v>290</v>
      </c>
      <c r="H736" s="210"/>
      <c r="I736" s="513">
        <v>-4188400</v>
      </c>
      <c r="J736" s="513">
        <v>-2830</v>
      </c>
      <c r="K736" s="513">
        <v>1480</v>
      </c>
      <c r="L736" s="513" t="s">
        <v>2845</v>
      </c>
      <c r="M736" s="513" t="s">
        <v>780</v>
      </c>
      <c r="N736" s="513" t="s">
        <v>1407</v>
      </c>
      <c r="O736" s="518" t="s">
        <v>2846</v>
      </c>
      <c r="P736" s="152" t="s">
        <v>892</v>
      </c>
      <c r="Q736" s="152" t="s">
        <v>2847</v>
      </c>
      <c r="R736" s="152" t="s">
        <v>2891</v>
      </c>
      <c r="S736" s="152" t="s">
        <v>2849</v>
      </c>
      <c r="T736" s="152" t="s">
        <v>786</v>
      </c>
    </row>
    <row r="737" spans="3:20">
      <c r="C737" s="152" t="s">
        <v>2821</v>
      </c>
      <c r="D737" s="152"/>
      <c r="F737" s="474" t="s">
        <v>289</v>
      </c>
      <c r="G737" s="210" t="s">
        <v>290</v>
      </c>
      <c r="H737" s="210"/>
      <c r="I737" s="513">
        <v>-4188400</v>
      </c>
      <c r="J737" s="513">
        <v>-2830</v>
      </c>
      <c r="K737" s="513">
        <v>1480</v>
      </c>
      <c r="L737" s="513" t="s">
        <v>2845</v>
      </c>
      <c r="M737" s="513" t="s">
        <v>780</v>
      </c>
      <c r="N737" s="513" t="s">
        <v>1407</v>
      </c>
      <c r="O737" s="518" t="s">
        <v>2846</v>
      </c>
      <c r="P737" s="152" t="s">
        <v>892</v>
      </c>
      <c r="Q737" s="152" t="s">
        <v>2847</v>
      </c>
      <c r="R737" s="152" t="s">
        <v>2892</v>
      </c>
      <c r="S737" s="152" t="s">
        <v>2849</v>
      </c>
      <c r="T737" s="152" t="s">
        <v>786</v>
      </c>
    </row>
    <row r="738" spans="3:20">
      <c r="C738" s="152" t="s">
        <v>2821</v>
      </c>
      <c r="D738" s="152"/>
      <c r="F738" s="474" t="s">
        <v>289</v>
      </c>
      <c r="G738" s="210" t="s">
        <v>290</v>
      </c>
      <c r="H738" s="210"/>
      <c r="I738" s="513">
        <v>-2167460</v>
      </c>
      <c r="J738" s="513">
        <v>-1464.5</v>
      </c>
      <c r="K738" s="513">
        <v>1480</v>
      </c>
      <c r="L738" s="513" t="s">
        <v>2859</v>
      </c>
      <c r="M738" s="513" t="s">
        <v>780</v>
      </c>
      <c r="N738" s="513" t="s">
        <v>1407</v>
      </c>
      <c r="O738" s="518" t="s">
        <v>2878</v>
      </c>
      <c r="P738" s="152" t="s">
        <v>2865</v>
      </c>
      <c r="Q738" s="152" t="s">
        <v>2879</v>
      </c>
      <c r="R738" s="152" t="s">
        <v>2893</v>
      </c>
      <c r="S738" s="152" t="s">
        <v>2881</v>
      </c>
      <c r="T738" s="152" t="s">
        <v>786</v>
      </c>
    </row>
    <row r="739" spans="3:20">
      <c r="C739" s="152" t="s">
        <v>2821</v>
      </c>
      <c r="D739" s="152"/>
      <c r="F739" s="474" t="s">
        <v>289</v>
      </c>
      <c r="G739" s="210" t="s">
        <v>290</v>
      </c>
      <c r="H739" s="210"/>
      <c r="I739" s="513">
        <v>-8702400</v>
      </c>
      <c r="J739" s="513">
        <v>-5880</v>
      </c>
      <c r="K739" s="513">
        <v>1480</v>
      </c>
      <c r="L739" s="513" t="s">
        <v>2859</v>
      </c>
      <c r="M739" s="513" t="s">
        <v>780</v>
      </c>
      <c r="N739" s="513" t="s">
        <v>1407</v>
      </c>
      <c r="O739" s="518" t="s">
        <v>2860</v>
      </c>
      <c r="P739" s="152" t="s">
        <v>892</v>
      </c>
      <c r="Q739" s="152" t="s">
        <v>2861</v>
      </c>
      <c r="R739" s="152" t="s">
        <v>2895</v>
      </c>
      <c r="S739" s="152" t="s">
        <v>2863</v>
      </c>
      <c r="T739" s="152" t="s">
        <v>786</v>
      </c>
    </row>
    <row r="740" spans="3:20">
      <c r="C740" s="152" t="s">
        <v>2821</v>
      </c>
      <c r="D740" s="152"/>
      <c r="F740" s="474" t="s">
        <v>289</v>
      </c>
      <c r="G740" s="210" t="s">
        <v>290</v>
      </c>
      <c r="H740" s="210"/>
      <c r="I740" s="513">
        <v>-3142125</v>
      </c>
      <c r="J740" s="513">
        <v>-2137.5</v>
      </c>
      <c r="K740" s="513">
        <v>1470</v>
      </c>
      <c r="L740" s="513" t="s">
        <v>2835</v>
      </c>
      <c r="M740" s="513" t="s">
        <v>780</v>
      </c>
      <c r="N740" s="513" t="s">
        <v>1407</v>
      </c>
      <c r="O740" s="518" t="s">
        <v>2836</v>
      </c>
      <c r="P740" s="152" t="s">
        <v>892</v>
      </c>
      <c r="Q740" s="152" t="s">
        <v>2837</v>
      </c>
      <c r="R740" s="152" t="s">
        <v>3086</v>
      </c>
      <c r="S740" s="152" t="s">
        <v>2839</v>
      </c>
      <c r="T740" s="152" t="s">
        <v>786</v>
      </c>
    </row>
    <row r="741" spans="3:20">
      <c r="C741" s="152" t="s">
        <v>2821</v>
      </c>
      <c r="D741" s="152"/>
      <c r="F741" s="474" t="s">
        <v>289</v>
      </c>
      <c r="G741" s="210" t="s">
        <v>290</v>
      </c>
      <c r="H741" s="210"/>
      <c r="I741" s="513">
        <v>-3142125</v>
      </c>
      <c r="J741" s="513">
        <v>-2137.5</v>
      </c>
      <c r="K741" s="513">
        <v>1470</v>
      </c>
      <c r="L741" s="513" t="s">
        <v>2835</v>
      </c>
      <c r="M741" s="513" t="s">
        <v>780</v>
      </c>
      <c r="N741" s="513" t="s">
        <v>1407</v>
      </c>
      <c r="O741" s="518" t="s">
        <v>2836</v>
      </c>
      <c r="P741" s="152" t="s">
        <v>892</v>
      </c>
      <c r="Q741" s="152" t="s">
        <v>2837</v>
      </c>
      <c r="R741" s="152" t="s">
        <v>3087</v>
      </c>
      <c r="S741" s="152" t="s">
        <v>2839</v>
      </c>
      <c r="T741" s="152" t="s">
        <v>786</v>
      </c>
    </row>
    <row r="742" spans="3:20">
      <c r="C742" s="152" t="s">
        <v>2821</v>
      </c>
      <c r="D742" s="152"/>
      <c r="F742" s="474" t="s">
        <v>289</v>
      </c>
      <c r="G742" s="210" t="s">
        <v>290</v>
      </c>
      <c r="H742" s="210"/>
      <c r="I742" s="513">
        <v>-2017575</v>
      </c>
      <c r="J742" s="513">
        <v>-1372.5</v>
      </c>
      <c r="K742" s="513">
        <v>1470</v>
      </c>
      <c r="L742" s="513" t="s">
        <v>2835</v>
      </c>
      <c r="M742" s="513" t="s">
        <v>780</v>
      </c>
      <c r="N742" s="513" t="s">
        <v>1407</v>
      </c>
      <c r="O742" s="518" t="s">
        <v>2836</v>
      </c>
      <c r="P742" s="152" t="s">
        <v>892</v>
      </c>
      <c r="Q742" s="152" t="s">
        <v>2837</v>
      </c>
      <c r="R742" s="152" t="s">
        <v>3088</v>
      </c>
      <c r="S742" s="152" t="s">
        <v>2839</v>
      </c>
      <c r="T742" s="152" t="s">
        <v>786</v>
      </c>
    </row>
    <row r="743" spans="3:20">
      <c r="C743" s="152" t="s">
        <v>2821</v>
      </c>
      <c r="D743" s="152"/>
      <c r="F743" s="474" t="s">
        <v>289</v>
      </c>
      <c r="G743" s="210" t="s">
        <v>290</v>
      </c>
      <c r="H743" s="210"/>
      <c r="I743" s="513">
        <v>-3142125</v>
      </c>
      <c r="J743" s="513">
        <v>-2137.5</v>
      </c>
      <c r="K743" s="513">
        <v>1470</v>
      </c>
      <c r="L743" s="513" t="s">
        <v>2835</v>
      </c>
      <c r="M743" s="513" t="s">
        <v>780</v>
      </c>
      <c r="N743" s="513" t="s">
        <v>1407</v>
      </c>
      <c r="O743" s="518" t="s">
        <v>2836</v>
      </c>
      <c r="P743" s="152" t="s">
        <v>892</v>
      </c>
      <c r="Q743" s="152" t="s">
        <v>2837</v>
      </c>
      <c r="R743" s="152" t="s">
        <v>3089</v>
      </c>
      <c r="S743" s="152" t="s">
        <v>2839</v>
      </c>
      <c r="T743" s="152" t="s">
        <v>786</v>
      </c>
    </row>
    <row r="744" spans="3:20">
      <c r="C744" s="152" t="s">
        <v>2821</v>
      </c>
      <c r="D744" s="152"/>
      <c r="F744" s="474" t="s">
        <v>289</v>
      </c>
      <c r="G744" s="210" t="s">
        <v>290</v>
      </c>
      <c r="H744" s="210"/>
      <c r="I744" s="513">
        <v>-3142125</v>
      </c>
      <c r="J744" s="513">
        <v>-2137.5</v>
      </c>
      <c r="K744" s="513">
        <v>1470</v>
      </c>
      <c r="L744" s="513" t="s">
        <v>2835</v>
      </c>
      <c r="M744" s="513" t="s">
        <v>780</v>
      </c>
      <c r="N744" s="513" t="s">
        <v>1407</v>
      </c>
      <c r="O744" s="518" t="s">
        <v>2836</v>
      </c>
      <c r="P744" s="152" t="s">
        <v>892</v>
      </c>
      <c r="Q744" s="152" t="s">
        <v>2837</v>
      </c>
      <c r="R744" s="152" t="s">
        <v>3090</v>
      </c>
      <c r="S744" s="152" t="s">
        <v>2839</v>
      </c>
      <c r="T744" s="152" t="s">
        <v>786</v>
      </c>
    </row>
    <row r="745" spans="3:20">
      <c r="C745" s="152" t="s">
        <v>2821</v>
      </c>
      <c r="D745" s="152"/>
      <c r="F745" s="474" t="s">
        <v>289</v>
      </c>
      <c r="G745" s="210" t="s">
        <v>290</v>
      </c>
      <c r="H745" s="210"/>
      <c r="I745" s="513">
        <v>-4321800</v>
      </c>
      <c r="J745" s="513">
        <v>-2940</v>
      </c>
      <c r="K745" s="513">
        <v>1470</v>
      </c>
      <c r="L745" s="513" t="s">
        <v>2822</v>
      </c>
      <c r="M745" s="513" t="s">
        <v>780</v>
      </c>
      <c r="N745" s="513" t="s">
        <v>1407</v>
      </c>
      <c r="O745" s="518" t="s">
        <v>2823</v>
      </c>
      <c r="P745" s="152" t="s">
        <v>892</v>
      </c>
      <c r="Q745" s="152" t="s">
        <v>2824</v>
      </c>
      <c r="R745" s="152" t="s">
        <v>3095</v>
      </c>
      <c r="S745" s="152" t="s">
        <v>2826</v>
      </c>
      <c r="T745" s="152" t="s">
        <v>786</v>
      </c>
    </row>
    <row r="746" spans="3:20">
      <c r="C746" s="152" t="s">
        <v>2821</v>
      </c>
      <c r="D746" s="152"/>
      <c r="F746" s="474" t="s">
        <v>289</v>
      </c>
      <c r="G746" s="210" t="s">
        <v>290</v>
      </c>
      <c r="H746" s="210"/>
      <c r="I746" s="513">
        <v>-2473080</v>
      </c>
      <c r="J746" s="513">
        <v>-1671</v>
      </c>
      <c r="K746" s="513">
        <v>1480</v>
      </c>
      <c r="L746" s="513" t="s">
        <v>2859</v>
      </c>
      <c r="M746" s="513" t="s">
        <v>780</v>
      </c>
      <c r="N746" s="513" t="s">
        <v>1407</v>
      </c>
      <c r="O746" s="518" t="s">
        <v>2878</v>
      </c>
      <c r="P746" s="152" t="s">
        <v>2865</v>
      </c>
      <c r="Q746" s="152" t="s">
        <v>2879</v>
      </c>
      <c r="R746" s="152" t="s">
        <v>3098</v>
      </c>
      <c r="S746" s="152" t="s">
        <v>2881</v>
      </c>
      <c r="T746" s="152" t="s">
        <v>786</v>
      </c>
    </row>
    <row r="747" spans="3:20">
      <c r="C747" s="152" t="s">
        <v>2821</v>
      </c>
      <c r="D747" s="152"/>
      <c r="F747" s="474" t="s">
        <v>289</v>
      </c>
      <c r="G747" s="210" t="s">
        <v>290</v>
      </c>
      <c r="H747" s="210"/>
      <c r="I747" s="513">
        <v>-39553000</v>
      </c>
      <c r="J747" s="513">
        <v>-26725</v>
      </c>
      <c r="K747" s="513">
        <v>1480</v>
      </c>
      <c r="L747" s="513" t="s">
        <v>2845</v>
      </c>
      <c r="M747" s="513" t="s">
        <v>780</v>
      </c>
      <c r="N747" s="513" t="s">
        <v>1407</v>
      </c>
      <c r="O747" s="518" t="s">
        <v>2846</v>
      </c>
      <c r="P747" s="152" t="s">
        <v>892</v>
      </c>
      <c r="Q747" s="152" t="s">
        <v>2847</v>
      </c>
      <c r="R747" s="152" t="s">
        <v>3100</v>
      </c>
      <c r="S747" s="152" t="s">
        <v>2849</v>
      </c>
      <c r="T747" s="152" t="s">
        <v>786</v>
      </c>
    </row>
    <row r="748" spans="3:20">
      <c r="C748" s="152" t="s">
        <v>2821</v>
      </c>
      <c r="D748" s="152"/>
      <c r="F748" s="474" t="s">
        <v>289</v>
      </c>
      <c r="G748" s="210" t="s">
        <v>290</v>
      </c>
      <c r="H748" s="210"/>
      <c r="I748" s="513">
        <v>-6475000</v>
      </c>
      <c r="J748" s="513">
        <v>-4375</v>
      </c>
      <c r="K748" s="513">
        <v>1480</v>
      </c>
      <c r="L748" s="513" t="s">
        <v>2859</v>
      </c>
      <c r="M748" s="513" t="s">
        <v>780</v>
      </c>
      <c r="N748" s="513" t="s">
        <v>1407</v>
      </c>
      <c r="O748" s="518" t="s">
        <v>2878</v>
      </c>
      <c r="P748" s="152" t="s">
        <v>2865</v>
      </c>
      <c r="Q748" s="152" t="s">
        <v>2879</v>
      </c>
      <c r="R748" s="152" t="s">
        <v>3101</v>
      </c>
      <c r="S748" s="152" t="s">
        <v>2881</v>
      </c>
      <c r="T748" s="152" t="s">
        <v>786</v>
      </c>
    </row>
    <row r="749" spans="3:20">
      <c r="C749" s="152" t="s">
        <v>2821</v>
      </c>
      <c r="D749" s="152"/>
      <c r="F749" s="474" t="s">
        <v>289</v>
      </c>
      <c r="G749" s="210" t="s">
        <v>290</v>
      </c>
      <c r="H749" s="210"/>
      <c r="I749" s="513">
        <v>-4403000</v>
      </c>
      <c r="J749" s="513">
        <v>-2975</v>
      </c>
      <c r="K749" s="513">
        <v>1480</v>
      </c>
      <c r="L749" s="513" t="s">
        <v>2859</v>
      </c>
      <c r="M749" s="513" t="s">
        <v>780</v>
      </c>
      <c r="N749" s="513" t="s">
        <v>1407</v>
      </c>
      <c r="O749" s="518" t="s">
        <v>2878</v>
      </c>
      <c r="P749" s="152" t="s">
        <v>2865</v>
      </c>
      <c r="Q749" s="152" t="s">
        <v>2879</v>
      </c>
      <c r="R749" s="152" t="s">
        <v>3103</v>
      </c>
      <c r="S749" s="152" t="s">
        <v>2881</v>
      </c>
      <c r="T749" s="152" t="s">
        <v>786</v>
      </c>
    </row>
    <row r="750" spans="3:20">
      <c r="C750" s="152" t="s">
        <v>2821</v>
      </c>
      <c r="D750" s="152"/>
      <c r="F750" s="474" t="s">
        <v>289</v>
      </c>
      <c r="G750" s="210" t="s">
        <v>290</v>
      </c>
      <c r="H750" s="210"/>
      <c r="I750" s="513">
        <v>-1010625</v>
      </c>
      <c r="J750" s="513">
        <v>-687.5</v>
      </c>
      <c r="K750" s="513">
        <v>1470</v>
      </c>
      <c r="L750" s="513" t="s">
        <v>2835</v>
      </c>
      <c r="M750" s="513" t="s">
        <v>780</v>
      </c>
      <c r="N750" s="513" t="s">
        <v>1407</v>
      </c>
      <c r="O750" s="518" t="s">
        <v>2836</v>
      </c>
      <c r="P750" s="152" t="s">
        <v>892</v>
      </c>
      <c r="Q750" s="152" t="s">
        <v>2837</v>
      </c>
      <c r="R750" s="152" t="s">
        <v>3105</v>
      </c>
      <c r="S750" s="152" t="s">
        <v>2839</v>
      </c>
      <c r="T750" s="152" t="s">
        <v>786</v>
      </c>
    </row>
    <row r="751" spans="3:20">
      <c r="C751" s="152" t="s">
        <v>2821</v>
      </c>
      <c r="D751" s="152"/>
      <c r="F751" s="474" t="s">
        <v>295</v>
      </c>
      <c r="G751" s="210" t="s">
        <v>296</v>
      </c>
      <c r="H751" s="210"/>
      <c r="I751" s="513">
        <v>-4000440</v>
      </c>
      <c r="J751" s="513">
        <v>-2703</v>
      </c>
      <c r="K751" s="513">
        <v>1480</v>
      </c>
      <c r="L751" s="513" t="s">
        <v>3138</v>
      </c>
      <c r="M751" s="513" t="s">
        <v>1566</v>
      </c>
      <c r="N751" s="513" t="s">
        <v>1407</v>
      </c>
      <c r="O751" s="518" t="s">
        <v>3139</v>
      </c>
      <c r="P751" s="152" t="s">
        <v>1881</v>
      </c>
      <c r="Q751" s="152" t="s">
        <v>3140</v>
      </c>
      <c r="R751" s="152" t="s">
        <v>3141</v>
      </c>
      <c r="S751" s="152" t="s">
        <v>3142</v>
      </c>
      <c r="T751" s="152" t="s">
        <v>786</v>
      </c>
    </row>
    <row r="752" spans="3:20">
      <c r="C752" s="152" t="s">
        <v>2821</v>
      </c>
      <c r="D752" s="152"/>
      <c r="F752" s="474" t="s">
        <v>295</v>
      </c>
      <c r="G752" s="210" t="s">
        <v>296</v>
      </c>
      <c r="H752" s="210"/>
      <c r="I752" s="513">
        <v>-2353200</v>
      </c>
      <c r="J752" s="513">
        <v>-1590</v>
      </c>
      <c r="K752" s="513">
        <v>1480</v>
      </c>
      <c r="L752" s="513" t="s">
        <v>2845</v>
      </c>
      <c r="M752" s="513" t="s">
        <v>1566</v>
      </c>
      <c r="N752" s="513" t="s">
        <v>1407</v>
      </c>
      <c r="O752" s="518" t="s">
        <v>3145</v>
      </c>
      <c r="P752" s="152" t="s">
        <v>1881</v>
      </c>
      <c r="Q752" s="152" t="s">
        <v>3146</v>
      </c>
      <c r="R752" s="152" t="s">
        <v>3141</v>
      </c>
      <c r="S752" s="152" t="s">
        <v>3147</v>
      </c>
      <c r="T752" s="152" t="s">
        <v>786</v>
      </c>
    </row>
    <row r="753" spans="3:20">
      <c r="C753" s="152" t="s">
        <v>2821</v>
      </c>
      <c r="D753" s="152"/>
      <c r="F753" s="474" t="s">
        <v>295</v>
      </c>
      <c r="G753" s="210" t="s">
        <v>296</v>
      </c>
      <c r="H753" s="210"/>
      <c r="I753" s="513">
        <v>-2392420</v>
      </c>
      <c r="J753" s="513">
        <v>-1616.5</v>
      </c>
      <c r="K753" s="513">
        <v>1480</v>
      </c>
      <c r="L753" s="513" t="s">
        <v>2859</v>
      </c>
      <c r="M753" s="513" t="s">
        <v>1566</v>
      </c>
      <c r="N753" s="513" t="s">
        <v>1407</v>
      </c>
      <c r="O753" s="518" t="s">
        <v>3148</v>
      </c>
      <c r="P753" s="152" t="s">
        <v>1881</v>
      </c>
      <c r="Q753" s="152" t="s">
        <v>3149</v>
      </c>
      <c r="R753" s="152" t="s">
        <v>3141</v>
      </c>
      <c r="S753" s="152" t="s">
        <v>3150</v>
      </c>
      <c r="T753" s="152" t="s">
        <v>786</v>
      </c>
    </row>
    <row r="754" spans="3:20">
      <c r="C754" s="152" t="s">
        <v>2821</v>
      </c>
      <c r="D754" s="152"/>
      <c r="F754" s="474" t="s">
        <v>295</v>
      </c>
      <c r="G754" s="210" t="s">
        <v>296</v>
      </c>
      <c r="H754" s="210"/>
      <c r="I754" s="513">
        <v>-1333480</v>
      </c>
      <c r="J754" s="513">
        <v>-901</v>
      </c>
      <c r="K754" s="513">
        <v>1480</v>
      </c>
      <c r="L754" s="513" t="s">
        <v>2827</v>
      </c>
      <c r="M754" s="513" t="s">
        <v>1566</v>
      </c>
      <c r="N754" s="513" t="s">
        <v>1407</v>
      </c>
      <c r="O754" s="518" t="s">
        <v>3167</v>
      </c>
      <c r="P754" s="152" t="s">
        <v>1881</v>
      </c>
      <c r="Q754" s="152" t="s">
        <v>3168</v>
      </c>
      <c r="R754" s="152" t="s">
        <v>3169</v>
      </c>
      <c r="S754" s="152" t="s">
        <v>3170</v>
      </c>
      <c r="T754" s="152" t="s">
        <v>786</v>
      </c>
    </row>
    <row r="755" spans="3:20">
      <c r="C755" s="152" t="s">
        <v>2821</v>
      </c>
      <c r="D755" s="152"/>
      <c r="F755" s="474" t="s">
        <v>295</v>
      </c>
      <c r="G755" s="210" t="s">
        <v>296</v>
      </c>
      <c r="H755" s="210"/>
      <c r="I755" s="513">
        <v>-1725680</v>
      </c>
      <c r="J755" s="513">
        <v>-1166</v>
      </c>
      <c r="K755" s="513">
        <v>1480</v>
      </c>
      <c r="L755" s="513" t="s">
        <v>2827</v>
      </c>
      <c r="M755" s="513" t="s">
        <v>1566</v>
      </c>
      <c r="N755" s="513" t="s">
        <v>1407</v>
      </c>
      <c r="O755" s="518" t="s">
        <v>3171</v>
      </c>
      <c r="P755" s="152" t="s">
        <v>1881</v>
      </c>
      <c r="Q755" s="152" t="s">
        <v>3172</v>
      </c>
      <c r="R755" s="152" t="s">
        <v>3169</v>
      </c>
      <c r="S755" s="152" t="s">
        <v>3173</v>
      </c>
      <c r="T755" s="152" t="s">
        <v>786</v>
      </c>
    </row>
    <row r="756" spans="3:20">
      <c r="C756" s="152" t="s">
        <v>2821</v>
      </c>
      <c r="D756" s="152"/>
      <c r="F756" s="474" t="s">
        <v>295</v>
      </c>
      <c r="G756" s="210" t="s">
        <v>296</v>
      </c>
      <c r="H756" s="210"/>
      <c r="I756" s="513">
        <v>-1568800</v>
      </c>
      <c r="J756" s="513">
        <v>-1060</v>
      </c>
      <c r="K756" s="513">
        <v>1480</v>
      </c>
      <c r="L756" s="513" t="s">
        <v>2827</v>
      </c>
      <c r="M756" s="513" t="s">
        <v>1566</v>
      </c>
      <c r="N756" s="513" t="s">
        <v>1407</v>
      </c>
      <c r="O756" s="518" t="s">
        <v>3174</v>
      </c>
      <c r="P756" s="152" t="s">
        <v>1881</v>
      </c>
      <c r="Q756" s="152" t="s">
        <v>3175</v>
      </c>
      <c r="R756" s="152" t="s">
        <v>3169</v>
      </c>
      <c r="S756" s="152" t="s">
        <v>3176</v>
      </c>
      <c r="T756" s="152" t="s">
        <v>786</v>
      </c>
    </row>
    <row r="757" spans="3:20">
      <c r="C757" s="152" t="s">
        <v>2821</v>
      </c>
      <c r="D757" s="152"/>
      <c r="F757" s="474" t="s">
        <v>295</v>
      </c>
      <c r="G757" s="210" t="s">
        <v>296</v>
      </c>
      <c r="H757" s="210"/>
      <c r="I757" s="513">
        <v>-3922000</v>
      </c>
      <c r="J757" s="513">
        <v>-2650</v>
      </c>
      <c r="K757" s="513">
        <v>1480</v>
      </c>
      <c r="L757" s="513" t="s">
        <v>3177</v>
      </c>
      <c r="M757" s="513" t="s">
        <v>1566</v>
      </c>
      <c r="N757" s="513" t="s">
        <v>1407</v>
      </c>
      <c r="O757" s="518" t="s">
        <v>3178</v>
      </c>
      <c r="P757" s="152" t="s">
        <v>1881</v>
      </c>
      <c r="Q757" s="152" t="s">
        <v>3179</v>
      </c>
      <c r="R757" s="152" t="s">
        <v>3180</v>
      </c>
      <c r="S757" s="152" t="s">
        <v>3181</v>
      </c>
      <c r="T757" s="152" t="s">
        <v>786</v>
      </c>
    </row>
    <row r="758" spans="3:20">
      <c r="C758" s="152" t="s">
        <v>2821</v>
      </c>
      <c r="D758" s="152"/>
      <c r="F758" s="474" t="s">
        <v>295</v>
      </c>
      <c r="G758" s="210" t="s">
        <v>296</v>
      </c>
      <c r="H758" s="210"/>
      <c r="I758" s="513">
        <v>-862840</v>
      </c>
      <c r="J758" s="513">
        <v>-583</v>
      </c>
      <c r="K758" s="513">
        <v>1480</v>
      </c>
      <c r="L758" s="513" t="s">
        <v>3182</v>
      </c>
      <c r="M758" s="513" t="s">
        <v>1566</v>
      </c>
      <c r="N758" s="513" t="s">
        <v>1407</v>
      </c>
      <c r="O758" s="518" t="s">
        <v>3183</v>
      </c>
      <c r="P758" s="152" t="s">
        <v>1881</v>
      </c>
      <c r="Q758" s="152" t="s">
        <v>3184</v>
      </c>
      <c r="R758" s="152" t="s">
        <v>3185</v>
      </c>
      <c r="S758" s="152" t="s">
        <v>3186</v>
      </c>
      <c r="T758" s="152" t="s">
        <v>786</v>
      </c>
    </row>
    <row r="759" spans="3:20">
      <c r="C759" s="152" t="s">
        <v>2821</v>
      </c>
      <c r="D759" s="152"/>
      <c r="F759" s="474" t="s">
        <v>295</v>
      </c>
      <c r="G759" s="210" t="s">
        <v>296</v>
      </c>
      <c r="H759" s="210"/>
      <c r="I759" s="513">
        <v>-1098160</v>
      </c>
      <c r="J759" s="513">
        <v>-742</v>
      </c>
      <c r="K759" s="513">
        <v>1480</v>
      </c>
      <c r="L759" s="513" t="s">
        <v>3182</v>
      </c>
      <c r="M759" s="513" t="s">
        <v>1566</v>
      </c>
      <c r="N759" s="513" t="s">
        <v>1407</v>
      </c>
      <c r="O759" s="518" t="s">
        <v>3191</v>
      </c>
      <c r="P759" s="152" t="s">
        <v>1881</v>
      </c>
      <c r="Q759" s="152" t="s">
        <v>3192</v>
      </c>
      <c r="R759" s="152" t="s">
        <v>3193</v>
      </c>
      <c r="S759" s="152" t="s">
        <v>3194</v>
      </c>
      <c r="T759" s="152" t="s">
        <v>786</v>
      </c>
    </row>
    <row r="760" spans="3:20">
      <c r="C760" s="152" t="s">
        <v>2821</v>
      </c>
      <c r="D760" s="152"/>
      <c r="F760" s="474" t="s">
        <v>305</v>
      </c>
      <c r="G760" s="210" t="s">
        <v>306</v>
      </c>
      <c r="H760" s="210"/>
      <c r="I760" s="513">
        <v>437369.59999999998</v>
      </c>
      <c r="J760" s="513">
        <v>295.52</v>
      </c>
      <c r="K760" s="513">
        <v>1480</v>
      </c>
      <c r="L760" s="513" t="s">
        <v>2859</v>
      </c>
      <c r="M760" s="513" t="s">
        <v>780</v>
      </c>
      <c r="N760" s="513" t="s">
        <v>781</v>
      </c>
      <c r="O760" s="518" t="s">
        <v>3211</v>
      </c>
      <c r="P760" s="152" t="s">
        <v>892</v>
      </c>
      <c r="Q760" s="152" t="s">
        <v>3212</v>
      </c>
      <c r="R760" s="152" t="s">
        <v>941</v>
      </c>
      <c r="S760" s="152" t="s">
        <v>3214</v>
      </c>
      <c r="T760" s="152" t="s">
        <v>786</v>
      </c>
    </row>
    <row r="761" spans="3:20">
      <c r="C761" s="152" t="s">
        <v>2821</v>
      </c>
      <c r="D761" s="152"/>
      <c r="F761" s="474" t="s">
        <v>305</v>
      </c>
      <c r="G761" s="210" t="s">
        <v>306</v>
      </c>
      <c r="H761" s="210"/>
      <c r="I761" s="513">
        <v>478883.6</v>
      </c>
      <c r="J761" s="513">
        <v>323.57</v>
      </c>
      <c r="K761" s="513">
        <v>1480</v>
      </c>
      <c r="L761" s="513" t="s">
        <v>2859</v>
      </c>
      <c r="M761" s="513" t="s">
        <v>780</v>
      </c>
      <c r="N761" s="513" t="s">
        <v>781</v>
      </c>
      <c r="O761" s="518" t="s">
        <v>3211</v>
      </c>
      <c r="P761" s="152" t="s">
        <v>892</v>
      </c>
      <c r="Q761" s="152" t="s">
        <v>3212</v>
      </c>
      <c r="R761" s="152" t="s">
        <v>941</v>
      </c>
      <c r="S761" s="152" t="s">
        <v>3214</v>
      </c>
      <c r="T761" s="152" t="s">
        <v>786</v>
      </c>
    </row>
    <row r="762" spans="3:20">
      <c r="C762" s="152" t="s">
        <v>2821</v>
      </c>
      <c r="D762" s="152"/>
      <c r="F762" s="474" t="s">
        <v>47</v>
      </c>
      <c r="G762" s="210" t="s">
        <v>46</v>
      </c>
      <c r="H762" s="210"/>
      <c r="I762" s="513">
        <v>444000</v>
      </c>
      <c r="J762" s="513">
        <v>300</v>
      </c>
      <c r="K762" s="513">
        <v>1480</v>
      </c>
      <c r="L762" s="513" t="s">
        <v>2859</v>
      </c>
      <c r="M762" s="513" t="s">
        <v>780</v>
      </c>
      <c r="N762" s="513" t="s">
        <v>1407</v>
      </c>
      <c r="O762" s="518" t="s">
        <v>2907</v>
      </c>
      <c r="P762" s="152" t="s">
        <v>892</v>
      </c>
      <c r="Q762" s="152" t="s">
        <v>2908</v>
      </c>
      <c r="R762" s="152" t="s">
        <v>3076</v>
      </c>
      <c r="S762" s="152" t="s">
        <v>2910</v>
      </c>
      <c r="T762" s="152" t="s">
        <v>786</v>
      </c>
    </row>
    <row r="763" spans="3:20">
      <c r="C763" s="152" t="s">
        <v>2821</v>
      </c>
      <c r="D763" s="152"/>
      <c r="F763" s="474" t="s">
        <v>47</v>
      </c>
      <c r="G763" s="210" t="s">
        <v>46</v>
      </c>
      <c r="H763" s="210"/>
      <c r="I763" s="513">
        <v>74000</v>
      </c>
      <c r="J763" s="513">
        <v>50</v>
      </c>
      <c r="K763" s="513">
        <v>1480</v>
      </c>
      <c r="L763" s="513" t="s">
        <v>2827</v>
      </c>
      <c r="M763" s="513" t="s">
        <v>780</v>
      </c>
      <c r="N763" s="513" t="s">
        <v>1407</v>
      </c>
      <c r="O763" s="518" t="s">
        <v>2828</v>
      </c>
      <c r="P763" s="152" t="s">
        <v>892</v>
      </c>
      <c r="Q763" s="152" t="s">
        <v>2829</v>
      </c>
      <c r="R763" s="152" t="s">
        <v>3077</v>
      </c>
      <c r="S763" s="152" t="s">
        <v>2831</v>
      </c>
      <c r="T763" s="152" t="s">
        <v>786</v>
      </c>
    </row>
    <row r="764" spans="3:20">
      <c r="C764" s="152" t="s">
        <v>2821</v>
      </c>
      <c r="D764" s="152"/>
      <c r="F764" s="474" t="s">
        <v>341</v>
      </c>
      <c r="G764" s="210" t="s">
        <v>342</v>
      </c>
      <c r="H764" s="210"/>
      <c r="I764" s="513">
        <v>47360</v>
      </c>
      <c r="J764" s="513">
        <v>32</v>
      </c>
      <c r="K764" s="513">
        <v>1480</v>
      </c>
      <c r="L764" s="513" t="s">
        <v>2827</v>
      </c>
      <c r="M764" s="513" t="s">
        <v>780</v>
      </c>
      <c r="N764" s="513" t="s">
        <v>781</v>
      </c>
      <c r="O764" s="518" t="s">
        <v>3204</v>
      </c>
      <c r="P764" s="152" t="s">
        <v>892</v>
      </c>
      <c r="Q764" s="152" t="s">
        <v>3205</v>
      </c>
      <c r="R764" s="152" t="s">
        <v>851</v>
      </c>
      <c r="S764" s="152" t="s">
        <v>3206</v>
      </c>
      <c r="T764" s="152" t="s">
        <v>786</v>
      </c>
    </row>
    <row r="765" spans="3:20">
      <c r="C765" s="152" t="s">
        <v>2821</v>
      </c>
      <c r="D765" s="152"/>
      <c r="F765" s="474" t="s">
        <v>341</v>
      </c>
      <c r="G765" s="210" t="s">
        <v>342</v>
      </c>
      <c r="H765" s="210"/>
      <c r="I765" s="513">
        <v>29600</v>
      </c>
      <c r="J765" s="513">
        <v>20</v>
      </c>
      <c r="K765" s="513">
        <v>1480</v>
      </c>
      <c r="L765" s="513" t="s">
        <v>2827</v>
      </c>
      <c r="M765" s="513" t="s">
        <v>780</v>
      </c>
      <c r="N765" s="513" t="s">
        <v>781</v>
      </c>
      <c r="O765" s="518" t="s">
        <v>3204</v>
      </c>
      <c r="P765" s="152" t="s">
        <v>892</v>
      </c>
      <c r="Q765" s="152" t="s">
        <v>3205</v>
      </c>
      <c r="R765" s="152" t="s">
        <v>1163</v>
      </c>
      <c r="S765" s="152" t="s">
        <v>3206</v>
      </c>
      <c r="T765" s="152" t="s">
        <v>786</v>
      </c>
    </row>
    <row r="766" spans="3:20">
      <c r="C766" s="152" t="s">
        <v>2821</v>
      </c>
      <c r="D766" s="152"/>
      <c r="F766" s="474" t="s">
        <v>341</v>
      </c>
      <c r="G766" s="210" t="s">
        <v>342</v>
      </c>
      <c r="H766" s="210"/>
      <c r="I766" s="513">
        <v>32634</v>
      </c>
      <c r="J766" s="513">
        <v>22.05</v>
      </c>
      <c r="K766" s="513">
        <v>1480</v>
      </c>
      <c r="L766" s="513" t="s">
        <v>2827</v>
      </c>
      <c r="M766" s="513" t="s">
        <v>780</v>
      </c>
      <c r="N766" s="513" t="s">
        <v>1272</v>
      </c>
      <c r="O766" s="518" t="s">
        <v>3240</v>
      </c>
      <c r="P766" s="152" t="s">
        <v>892</v>
      </c>
      <c r="Q766" s="152" t="s">
        <v>3241</v>
      </c>
      <c r="R766" s="152" t="s">
        <v>3243</v>
      </c>
      <c r="S766" s="152" t="s">
        <v>3242</v>
      </c>
      <c r="T766" s="152" t="s">
        <v>786</v>
      </c>
    </row>
    <row r="767" spans="3:20">
      <c r="C767" s="152" t="s">
        <v>2821</v>
      </c>
      <c r="D767" s="152"/>
      <c r="F767" s="474" t="s">
        <v>341</v>
      </c>
      <c r="G767" s="210" t="s">
        <v>342</v>
      </c>
      <c r="H767" s="210"/>
      <c r="I767" s="513">
        <v>29600</v>
      </c>
      <c r="J767" s="513">
        <v>20</v>
      </c>
      <c r="K767" s="513">
        <v>1480</v>
      </c>
      <c r="L767" s="513" t="s">
        <v>3019</v>
      </c>
      <c r="M767" s="513" t="s">
        <v>780</v>
      </c>
      <c r="N767" s="513" t="s">
        <v>1272</v>
      </c>
      <c r="O767" s="518" t="s">
        <v>3244</v>
      </c>
      <c r="P767" s="152" t="s">
        <v>892</v>
      </c>
      <c r="Q767" s="152" t="s">
        <v>3245</v>
      </c>
      <c r="R767" s="152" t="s">
        <v>3243</v>
      </c>
      <c r="S767" s="152" t="s">
        <v>3246</v>
      </c>
      <c r="T767" s="152" t="s">
        <v>786</v>
      </c>
    </row>
    <row r="768" spans="3:20">
      <c r="C768" s="152" t="s">
        <v>2821</v>
      </c>
      <c r="D768" s="152"/>
      <c r="F768" s="474" t="s">
        <v>341</v>
      </c>
      <c r="G768" s="210" t="s">
        <v>342</v>
      </c>
      <c r="H768" s="210"/>
      <c r="I768" s="513">
        <v>47360</v>
      </c>
      <c r="J768" s="513">
        <v>32</v>
      </c>
      <c r="K768" s="513">
        <v>1480</v>
      </c>
      <c r="L768" s="513" t="s">
        <v>2827</v>
      </c>
      <c r="M768" s="513" t="s">
        <v>780</v>
      </c>
      <c r="N768" s="513" t="s">
        <v>1407</v>
      </c>
      <c r="O768" s="518" t="s">
        <v>2932</v>
      </c>
      <c r="P768" s="152" t="s">
        <v>892</v>
      </c>
      <c r="Q768" s="152" t="s">
        <v>2933</v>
      </c>
      <c r="R768" s="152" t="s">
        <v>1474</v>
      </c>
      <c r="S768" s="152" t="s">
        <v>2935</v>
      </c>
      <c r="T768" s="152" t="s">
        <v>786</v>
      </c>
    </row>
    <row r="769" spans="3:20">
      <c r="C769" s="152" t="s">
        <v>2821</v>
      </c>
      <c r="D769" s="152"/>
      <c r="F769" s="474" t="s">
        <v>341</v>
      </c>
      <c r="G769" s="210" t="s">
        <v>342</v>
      </c>
      <c r="H769" s="210"/>
      <c r="I769" s="513">
        <v>82051.199999999997</v>
      </c>
      <c r="J769" s="513">
        <v>55.44</v>
      </c>
      <c r="K769" s="513">
        <v>1480</v>
      </c>
      <c r="L769" s="513" t="s">
        <v>2827</v>
      </c>
      <c r="M769" s="513" t="s">
        <v>780</v>
      </c>
      <c r="N769" s="513" t="s">
        <v>1407</v>
      </c>
      <c r="O769" s="518" t="s">
        <v>2932</v>
      </c>
      <c r="P769" s="152" t="s">
        <v>892</v>
      </c>
      <c r="Q769" s="152" t="s">
        <v>2933</v>
      </c>
      <c r="R769" s="152" t="s">
        <v>2997</v>
      </c>
      <c r="S769" s="152" t="s">
        <v>2935</v>
      </c>
      <c r="T769" s="152" t="s">
        <v>786</v>
      </c>
    </row>
    <row r="770" spans="3:20">
      <c r="C770" s="152" t="s">
        <v>2821</v>
      </c>
      <c r="D770" s="152"/>
      <c r="F770" s="474" t="s">
        <v>343</v>
      </c>
      <c r="G770" s="210" t="s">
        <v>344</v>
      </c>
      <c r="H770" s="210"/>
      <c r="I770" s="513">
        <v>535108.80000000005</v>
      </c>
      <c r="J770" s="513">
        <v>361.56</v>
      </c>
      <c r="K770" s="513">
        <v>1480</v>
      </c>
      <c r="L770" s="513" t="s">
        <v>2827</v>
      </c>
      <c r="M770" s="513" t="s">
        <v>780</v>
      </c>
      <c r="N770" s="513" t="s">
        <v>781</v>
      </c>
      <c r="O770" s="518" t="s">
        <v>3204</v>
      </c>
      <c r="P770" s="152" t="s">
        <v>892</v>
      </c>
      <c r="Q770" s="152" t="s">
        <v>3205</v>
      </c>
      <c r="R770" s="152" t="s">
        <v>1251</v>
      </c>
      <c r="S770" s="152" t="s">
        <v>3206</v>
      </c>
      <c r="T770" s="152" t="s">
        <v>786</v>
      </c>
    </row>
    <row r="771" spans="3:20">
      <c r="C771" s="152" t="s">
        <v>2821</v>
      </c>
      <c r="D771" s="152"/>
      <c r="F771" s="474" t="s">
        <v>343</v>
      </c>
      <c r="G771" s="210" t="s">
        <v>344</v>
      </c>
      <c r="H771" s="210"/>
      <c r="I771" s="513">
        <v>407873.2</v>
      </c>
      <c r="J771" s="513">
        <v>275.58999999999997</v>
      </c>
      <c r="K771" s="513">
        <v>1480</v>
      </c>
      <c r="L771" s="513" t="s">
        <v>2827</v>
      </c>
      <c r="M771" s="513" t="s">
        <v>780</v>
      </c>
      <c r="N771" s="513" t="s">
        <v>1407</v>
      </c>
      <c r="O771" s="518" t="s">
        <v>2932</v>
      </c>
      <c r="P771" s="152" t="s">
        <v>892</v>
      </c>
      <c r="Q771" s="152" t="s">
        <v>2933</v>
      </c>
      <c r="R771" s="152" t="s">
        <v>3055</v>
      </c>
      <c r="S771" s="152" t="s">
        <v>2935</v>
      </c>
      <c r="T771" s="152" t="s">
        <v>786</v>
      </c>
    </row>
    <row r="772" spans="3:20">
      <c r="C772" s="152" t="s">
        <v>2821</v>
      </c>
      <c r="D772" s="152"/>
      <c r="F772" s="474" t="s">
        <v>2747</v>
      </c>
      <c r="G772" s="210" t="s">
        <v>2748</v>
      </c>
      <c r="H772" s="210"/>
      <c r="I772" s="513">
        <v>2.4</v>
      </c>
      <c r="J772" s="513">
        <v>0</v>
      </c>
      <c r="K772" s="513">
        <v>1</v>
      </c>
      <c r="L772" s="513" t="s">
        <v>2822</v>
      </c>
      <c r="M772" s="513" t="s">
        <v>780</v>
      </c>
      <c r="N772" s="513" t="s">
        <v>2705</v>
      </c>
      <c r="O772" s="518" t="s">
        <v>3310</v>
      </c>
      <c r="P772" s="152" t="s">
        <v>892</v>
      </c>
      <c r="Q772" s="152" t="s">
        <v>3311</v>
      </c>
      <c r="R772" s="152" t="s">
        <v>3311</v>
      </c>
      <c r="S772" s="152" t="s">
        <v>3312</v>
      </c>
      <c r="T772" s="152" t="s">
        <v>786</v>
      </c>
    </row>
    <row r="773" spans="3:20">
      <c r="C773" s="152" t="s">
        <v>2821</v>
      </c>
      <c r="D773" s="152"/>
      <c r="F773" s="474" t="s">
        <v>2747</v>
      </c>
      <c r="G773" s="210" t="s">
        <v>2748</v>
      </c>
      <c r="H773" s="210"/>
      <c r="I773" s="513">
        <v>0</v>
      </c>
      <c r="J773" s="513">
        <v>1.6000000000000001E-3</v>
      </c>
      <c r="K773" s="513">
        <v>1</v>
      </c>
      <c r="L773" s="513" t="s">
        <v>2822</v>
      </c>
      <c r="M773" s="513" t="s">
        <v>780</v>
      </c>
      <c r="N773" s="513" t="s">
        <v>2705</v>
      </c>
      <c r="O773" s="518" t="s">
        <v>3310</v>
      </c>
      <c r="P773" s="152" t="s">
        <v>892</v>
      </c>
      <c r="Q773" s="152" t="s">
        <v>3311</v>
      </c>
      <c r="R773" s="152" t="s">
        <v>3311</v>
      </c>
      <c r="S773" s="152" t="s">
        <v>3312</v>
      </c>
      <c r="T773" s="152" t="s">
        <v>786</v>
      </c>
    </row>
    <row r="774" spans="3:20">
      <c r="C774" s="152" t="s">
        <v>2821</v>
      </c>
      <c r="D774" s="152"/>
      <c r="F774" s="474" t="s">
        <v>2747</v>
      </c>
      <c r="G774" s="210" t="s">
        <v>2748</v>
      </c>
      <c r="H774" s="210"/>
      <c r="I774" s="513">
        <v>3.6</v>
      </c>
      <c r="J774" s="513">
        <v>0</v>
      </c>
      <c r="K774" s="513">
        <v>1</v>
      </c>
      <c r="L774" s="513" t="s">
        <v>2840</v>
      </c>
      <c r="M774" s="513" t="s">
        <v>780</v>
      </c>
      <c r="N774" s="513" t="s">
        <v>2705</v>
      </c>
      <c r="O774" s="518" t="s">
        <v>3313</v>
      </c>
      <c r="P774" s="152" t="s">
        <v>892</v>
      </c>
      <c r="Q774" s="152" t="s">
        <v>3314</v>
      </c>
      <c r="R774" s="152" t="s">
        <v>3314</v>
      </c>
      <c r="S774" s="152" t="s">
        <v>3315</v>
      </c>
      <c r="T774" s="152" t="s">
        <v>786</v>
      </c>
    </row>
    <row r="775" spans="3:20">
      <c r="C775" s="152" t="s">
        <v>2821</v>
      </c>
      <c r="D775" s="152"/>
      <c r="F775" s="474" t="s">
        <v>2747</v>
      </c>
      <c r="G775" s="210" t="s">
        <v>2748</v>
      </c>
      <c r="H775" s="210"/>
      <c r="I775" s="513">
        <v>0</v>
      </c>
      <c r="J775" s="513">
        <v>2.3999999999999998E-3</v>
      </c>
      <c r="K775" s="513">
        <v>1</v>
      </c>
      <c r="L775" s="513" t="s">
        <v>2840</v>
      </c>
      <c r="M775" s="513" t="s">
        <v>780</v>
      </c>
      <c r="N775" s="513" t="s">
        <v>2705</v>
      </c>
      <c r="O775" s="518" t="s">
        <v>3313</v>
      </c>
      <c r="P775" s="152" t="s">
        <v>892</v>
      </c>
      <c r="Q775" s="152" t="s">
        <v>3314</v>
      </c>
      <c r="R775" s="152" t="s">
        <v>3314</v>
      </c>
      <c r="S775" s="152" t="s">
        <v>3315</v>
      </c>
      <c r="T775" s="152" t="s">
        <v>786</v>
      </c>
    </row>
    <row r="776" spans="3:20">
      <c r="C776" s="152" t="s">
        <v>2821</v>
      </c>
      <c r="D776" s="152"/>
      <c r="F776" s="474" t="s">
        <v>2747</v>
      </c>
      <c r="G776" s="210" t="s">
        <v>2748</v>
      </c>
      <c r="H776" s="210"/>
      <c r="I776" s="513">
        <v>0</v>
      </c>
      <c r="J776" s="513">
        <v>2.2000000000000001E-3</v>
      </c>
      <c r="K776" s="513">
        <v>1</v>
      </c>
      <c r="L776" s="513" t="s">
        <v>2845</v>
      </c>
      <c r="M776" s="513" t="s">
        <v>780</v>
      </c>
      <c r="N776" s="513" t="s">
        <v>2705</v>
      </c>
      <c r="O776" s="518" t="s">
        <v>3316</v>
      </c>
      <c r="P776" s="152" t="s">
        <v>892</v>
      </c>
      <c r="Q776" s="152" t="s">
        <v>3317</v>
      </c>
      <c r="R776" s="152" t="s">
        <v>3317</v>
      </c>
      <c r="S776" s="152" t="s">
        <v>3318</v>
      </c>
      <c r="T776" s="152" t="s">
        <v>786</v>
      </c>
    </row>
    <row r="777" spans="3:20">
      <c r="C777" s="152" t="s">
        <v>2821</v>
      </c>
      <c r="D777" s="152"/>
      <c r="F777" s="474" t="s">
        <v>2747</v>
      </c>
      <c r="G777" s="210" t="s">
        <v>2748</v>
      </c>
      <c r="H777" s="210"/>
      <c r="I777" s="513">
        <v>3.2</v>
      </c>
      <c r="J777" s="513">
        <v>0</v>
      </c>
      <c r="K777" s="513">
        <v>1</v>
      </c>
      <c r="L777" s="513" t="s">
        <v>2845</v>
      </c>
      <c r="M777" s="513" t="s">
        <v>780</v>
      </c>
      <c r="N777" s="513" t="s">
        <v>2705</v>
      </c>
      <c r="O777" s="518" t="s">
        <v>3316</v>
      </c>
      <c r="P777" s="152" t="s">
        <v>892</v>
      </c>
      <c r="Q777" s="152" t="s">
        <v>3317</v>
      </c>
      <c r="R777" s="152" t="s">
        <v>3317</v>
      </c>
      <c r="S777" s="152" t="s">
        <v>3318</v>
      </c>
      <c r="T777" s="152" t="s">
        <v>786</v>
      </c>
    </row>
    <row r="778" spans="3:20">
      <c r="C778" s="152" t="s">
        <v>2821</v>
      </c>
      <c r="D778" s="152"/>
      <c r="F778" s="474" t="s">
        <v>2225</v>
      </c>
      <c r="G778" s="210" t="s">
        <v>2226</v>
      </c>
      <c r="H778" s="210"/>
      <c r="I778" s="513">
        <v>325718.40000000002</v>
      </c>
      <c r="J778" s="513">
        <v>220.08</v>
      </c>
      <c r="K778" s="513">
        <v>1480</v>
      </c>
      <c r="L778" s="513" t="s">
        <v>2859</v>
      </c>
      <c r="M778" s="513" t="s">
        <v>780</v>
      </c>
      <c r="N778" s="513" t="s">
        <v>1407</v>
      </c>
      <c r="O778" s="518" t="s">
        <v>2921</v>
      </c>
      <c r="P778" s="152" t="s">
        <v>892</v>
      </c>
      <c r="Q778" s="152" t="s">
        <v>2922</v>
      </c>
      <c r="R778" s="152" t="s">
        <v>3000</v>
      </c>
      <c r="S778" s="152" t="s">
        <v>2924</v>
      </c>
      <c r="T778" s="152" t="s">
        <v>786</v>
      </c>
    </row>
    <row r="779" spans="3:20">
      <c r="C779" s="152" t="s">
        <v>2821</v>
      </c>
      <c r="D779" s="152"/>
      <c r="F779" s="474" t="s">
        <v>2225</v>
      </c>
      <c r="G779" s="210" t="s">
        <v>2226</v>
      </c>
      <c r="H779" s="210"/>
      <c r="I779" s="513">
        <v>-4025.6</v>
      </c>
      <c r="J779" s="513">
        <v>-2.72</v>
      </c>
      <c r="K779" s="513">
        <v>1480</v>
      </c>
      <c r="L779" s="513" t="s">
        <v>3019</v>
      </c>
      <c r="M779" s="513" t="s">
        <v>780</v>
      </c>
      <c r="N779" s="513" t="s">
        <v>1407</v>
      </c>
      <c r="O779" s="518" t="s">
        <v>3020</v>
      </c>
      <c r="P779" s="152" t="s">
        <v>892</v>
      </c>
      <c r="Q779" s="152" t="s">
        <v>3021</v>
      </c>
      <c r="R779" s="152" t="s">
        <v>2330</v>
      </c>
      <c r="S779" s="152" t="s">
        <v>3022</v>
      </c>
      <c r="T779" s="152" t="s">
        <v>786</v>
      </c>
    </row>
    <row r="780" spans="3:20">
      <c r="C780" s="152" t="s">
        <v>2821</v>
      </c>
      <c r="D780" s="152"/>
      <c r="F780" s="474" t="s">
        <v>354</v>
      </c>
      <c r="G780" s="210" t="s">
        <v>355</v>
      </c>
      <c r="H780" s="210"/>
      <c r="I780" s="513">
        <v>1332000</v>
      </c>
      <c r="J780" s="513">
        <v>900</v>
      </c>
      <c r="K780" s="513">
        <v>1480</v>
      </c>
      <c r="L780" s="513" t="s">
        <v>2845</v>
      </c>
      <c r="M780" s="513" t="s">
        <v>780</v>
      </c>
      <c r="N780" s="513" t="s">
        <v>2705</v>
      </c>
      <c r="O780" s="518" t="s">
        <v>3110</v>
      </c>
      <c r="P780" s="152" t="s">
        <v>892</v>
      </c>
      <c r="Q780" s="152" t="s">
        <v>3111</v>
      </c>
      <c r="R780" s="152" t="s">
        <v>3261</v>
      </c>
      <c r="S780" s="152" t="s">
        <v>3113</v>
      </c>
      <c r="T780" s="152" t="s">
        <v>786</v>
      </c>
    </row>
    <row r="781" spans="3:20">
      <c r="C781" s="152" t="s">
        <v>2821</v>
      </c>
      <c r="D781" s="152"/>
      <c r="F781" s="474" t="s">
        <v>354</v>
      </c>
      <c r="G781" s="210" t="s">
        <v>355</v>
      </c>
      <c r="H781" s="210"/>
      <c r="I781" s="513">
        <v>-132874.4</v>
      </c>
      <c r="J781" s="513">
        <v>-89.78</v>
      </c>
      <c r="K781" s="513">
        <v>1480</v>
      </c>
      <c r="L781" s="513" t="s">
        <v>2859</v>
      </c>
      <c r="M781" s="513" t="s">
        <v>780</v>
      </c>
      <c r="N781" s="513" t="s">
        <v>1407</v>
      </c>
      <c r="O781" s="518" t="s">
        <v>2864</v>
      </c>
      <c r="P781" s="152" t="s">
        <v>2865</v>
      </c>
      <c r="Q781" s="152" t="s">
        <v>2866</v>
      </c>
      <c r="R781" s="152" t="s">
        <v>2867</v>
      </c>
      <c r="S781" s="152" t="s">
        <v>2868</v>
      </c>
      <c r="T781" s="152" t="s">
        <v>786</v>
      </c>
    </row>
    <row r="782" spans="3:20">
      <c r="C782" s="152" t="s">
        <v>2821</v>
      </c>
      <c r="D782" s="152"/>
      <c r="F782" s="474" t="s">
        <v>354</v>
      </c>
      <c r="G782" s="210" t="s">
        <v>355</v>
      </c>
      <c r="H782" s="210"/>
      <c r="I782" s="513">
        <v>137521.60000000001</v>
      </c>
      <c r="J782" s="513">
        <v>92.92</v>
      </c>
      <c r="K782" s="513">
        <v>1480</v>
      </c>
      <c r="L782" s="513" t="s">
        <v>2859</v>
      </c>
      <c r="M782" s="513" t="s">
        <v>780</v>
      </c>
      <c r="N782" s="513" t="s">
        <v>1407</v>
      </c>
      <c r="O782" s="518" t="s">
        <v>2869</v>
      </c>
      <c r="P782" s="152" t="s">
        <v>2865</v>
      </c>
      <c r="Q782" s="152" t="s">
        <v>2870</v>
      </c>
      <c r="R782" s="152" t="s">
        <v>2871</v>
      </c>
      <c r="S782" s="152" t="s">
        <v>2872</v>
      </c>
      <c r="T782" s="152" t="s">
        <v>786</v>
      </c>
    </row>
    <row r="783" spans="3:20">
      <c r="C783" s="152" t="s">
        <v>2821</v>
      </c>
      <c r="D783" s="152"/>
      <c r="F783" s="474" t="s">
        <v>354</v>
      </c>
      <c r="G783" s="210" t="s">
        <v>355</v>
      </c>
      <c r="H783" s="210"/>
      <c r="I783" s="513">
        <v>-155400</v>
      </c>
      <c r="J783" s="513">
        <v>-105</v>
      </c>
      <c r="K783" s="513">
        <v>1480</v>
      </c>
      <c r="L783" s="513" t="s">
        <v>2859</v>
      </c>
      <c r="M783" s="513" t="s">
        <v>780</v>
      </c>
      <c r="N783" s="513" t="s">
        <v>1407</v>
      </c>
      <c r="O783" s="518" t="s">
        <v>2864</v>
      </c>
      <c r="P783" s="152" t="s">
        <v>2865</v>
      </c>
      <c r="Q783" s="152" t="s">
        <v>2866</v>
      </c>
      <c r="R783" s="152" t="s">
        <v>2873</v>
      </c>
      <c r="S783" s="152" t="s">
        <v>2868</v>
      </c>
      <c r="T783" s="152" t="s">
        <v>786</v>
      </c>
    </row>
    <row r="784" spans="3:20">
      <c r="C784" s="152" t="s">
        <v>2821</v>
      </c>
      <c r="D784" s="152"/>
      <c r="F784" s="474" t="s">
        <v>354</v>
      </c>
      <c r="G784" s="210" t="s">
        <v>355</v>
      </c>
      <c r="H784" s="210"/>
      <c r="I784" s="513">
        <v>-103600</v>
      </c>
      <c r="J784" s="513">
        <v>-70</v>
      </c>
      <c r="K784" s="513">
        <v>1480</v>
      </c>
      <c r="L784" s="513" t="s">
        <v>2859</v>
      </c>
      <c r="M784" s="513" t="s">
        <v>780</v>
      </c>
      <c r="N784" s="513" t="s">
        <v>1407</v>
      </c>
      <c r="O784" s="518" t="s">
        <v>2864</v>
      </c>
      <c r="P784" s="152" t="s">
        <v>2865</v>
      </c>
      <c r="Q784" s="152" t="s">
        <v>2866</v>
      </c>
      <c r="R784" s="152" t="s">
        <v>2873</v>
      </c>
      <c r="S784" s="152" t="s">
        <v>2868</v>
      </c>
      <c r="T784" s="152" t="s">
        <v>786</v>
      </c>
    </row>
    <row r="785" spans="3:20">
      <c r="C785" s="152" t="s">
        <v>2821</v>
      </c>
      <c r="D785" s="152"/>
      <c r="F785" s="474" t="s">
        <v>354</v>
      </c>
      <c r="G785" s="210" t="s">
        <v>355</v>
      </c>
      <c r="H785" s="210"/>
      <c r="I785" s="513">
        <v>160846.39999999999</v>
      </c>
      <c r="J785" s="513">
        <v>108.68</v>
      </c>
      <c r="K785" s="513">
        <v>1480</v>
      </c>
      <c r="L785" s="513" t="s">
        <v>2859</v>
      </c>
      <c r="M785" s="513" t="s">
        <v>780</v>
      </c>
      <c r="N785" s="513" t="s">
        <v>1407</v>
      </c>
      <c r="O785" s="518" t="s">
        <v>2869</v>
      </c>
      <c r="P785" s="152" t="s">
        <v>2865</v>
      </c>
      <c r="Q785" s="152" t="s">
        <v>2870</v>
      </c>
      <c r="R785" s="152" t="s">
        <v>2874</v>
      </c>
      <c r="S785" s="152" t="s">
        <v>2872</v>
      </c>
      <c r="T785" s="152" t="s">
        <v>786</v>
      </c>
    </row>
    <row r="786" spans="3:20">
      <c r="C786" s="152" t="s">
        <v>2821</v>
      </c>
      <c r="D786" s="152"/>
      <c r="F786" s="474" t="s">
        <v>354</v>
      </c>
      <c r="G786" s="210" t="s">
        <v>355</v>
      </c>
      <c r="H786" s="210"/>
      <c r="I786" s="513">
        <v>107226</v>
      </c>
      <c r="J786" s="513">
        <v>72.45</v>
      </c>
      <c r="K786" s="513">
        <v>1480</v>
      </c>
      <c r="L786" s="513" t="s">
        <v>2859</v>
      </c>
      <c r="M786" s="513" t="s">
        <v>780</v>
      </c>
      <c r="N786" s="513" t="s">
        <v>1407</v>
      </c>
      <c r="O786" s="518" t="s">
        <v>2869</v>
      </c>
      <c r="P786" s="152" t="s">
        <v>2865</v>
      </c>
      <c r="Q786" s="152" t="s">
        <v>2870</v>
      </c>
      <c r="R786" s="152" t="s">
        <v>2874</v>
      </c>
      <c r="S786" s="152" t="s">
        <v>2872</v>
      </c>
      <c r="T786" s="152" t="s">
        <v>786</v>
      </c>
    </row>
    <row r="787" spans="3:20">
      <c r="C787" s="152" t="s">
        <v>2821</v>
      </c>
      <c r="D787" s="152"/>
      <c r="F787" s="474" t="s">
        <v>354</v>
      </c>
      <c r="G787" s="210" t="s">
        <v>355</v>
      </c>
      <c r="H787" s="210"/>
      <c r="I787" s="513">
        <v>-116372.4</v>
      </c>
      <c r="J787" s="513">
        <v>-78.63</v>
      </c>
      <c r="K787" s="513">
        <v>1480</v>
      </c>
      <c r="L787" s="513" t="s">
        <v>2859</v>
      </c>
      <c r="M787" s="513" t="s">
        <v>780</v>
      </c>
      <c r="N787" s="513" t="s">
        <v>1407</v>
      </c>
      <c r="O787" s="518" t="s">
        <v>2864</v>
      </c>
      <c r="P787" s="152" t="s">
        <v>2865</v>
      </c>
      <c r="Q787" s="152" t="s">
        <v>2866</v>
      </c>
      <c r="R787" s="152" t="s">
        <v>2875</v>
      </c>
      <c r="S787" s="152" t="s">
        <v>2868</v>
      </c>
      <c r="T787" s="152" t="s">
        <v>786</v>
      </c>
    </row>
    <row r="788" spans="3:20">
      <c r="C788" s="152" t="s">
        <v>2821</v>
      </c>
      <c r="D788" s="152"/>
      <c r="F788" s="474" t="s">
        <v>354</v>
      </c>
      <c r="G788" s="210" t="s">
        <v>355</v>
      </c>
      <c r="H788" s="210"/>
      <c r="I788" s="513">
        <v>120442.4</v>
      </c>
      <c r="J788" s="513">
        <v>81.38</v>
      </c>
      <c r="K788" s="513">
        <v>1480</v>
      </c>
      <c r="L788" s="513" t="s">
        <v>2859</v>
      </c>
      <c r="M788" s="513" t="s">
        <v>780</v>
      </c>
      <c r="N788" s="513" t="s">
        <v>1407</v>
      </c>
      <c r="O788" s="518" t="s">
        <v>2869</v>
      </c>
      <c r="P788" s="152" t="s">
        <v>2865</v>
      </c>
      <c r="Q788" s="152" t="s">
        <v>2870</v>
      </c>
      <c r="R788" s="152" t="s">
        <v>2876</v>
      </c>
      <c r="S788" s="152" t="s">
        <v>2872</v>
      </c>
      <c r="T788" s="152" t="s">
        <v>786</v>
      </c>
    </row>
    <row r="789" spans="3:20">
      <c r="C789" s="152" t="s">
        <v>2821</v>
      </c>
      <c r="D789" s="152"/>
      <c r="F789" s="474" t="s">
        <v>354</v>
      </c>
      <c r="G789" s="210" t="s">
        <v>355</v>
      </c>
      <c r="H789" s="210"/>
      <c r="I789" s="513">
        <v>298264.40000000002</v>
      </c>
      <c r="J789" s="513">
        <v>201.53</v>
      </c>
      <c r="K789" s="513">
        <v>1480</v>
      </c>
      <c r="L789" s="513" t="s">
        <v>2859</v>
      </c>
      <c r="M789" s="513" t="s">
        <v>780</v>
      </c>
      <c r="N789" s="513" t="s">
        <v>1407</v>
      </c>
      <c r="O789" s="518" t="s">
        <v>2869</v>
      </c>
      <c r="P789" s="152" t="s">
        <v>2865</v>
      </c>
      <c r="Q789" s="152" t="s">
        <v>2870</v>
      </c>
      <c r="R789" s="152" t="s">
        <v>2882</v>
      </c>
      <c r="S789" s="152" t="s">
        <v>2872</v>
      </c>
      <c r="T789" s="152" t="s">
        <v>786</v>
      </c>
    </row>
    <row r="790" spans="3:20">
      <c r="C790" s="152" t="s">
        <v>2821</v>
      </c>
      <c r="D790" s="152"/>
      <c r="F790" s="474" t="s">
        <v>354</v>
      </c>
      <c r="G790" s="210" t="s">
        <v>355</v>
      </c>
      <c r="H790" s="210"/>
      <c r="I790" s="513">
        <v>-108321.2</v>
      </c>
      <c r="J790" s="513">
        <v>-73.19</v>
      </c>
      <c r="K790" s="513">
        <v>1480</v>
      </c>
      <c r="L790" s="513" t="s">
        <v>2859</v>
      </c>
      <c r="M790" s="513" t="s">
        <v>780</v>
      </c>
      <c r="N790" s="513" t="s">
        <v>1407</v>
      </c>
      <c r="O790" s="518" t="s">
        <v>2864</v>
      </c>
      <c r="P790" s="152" t="s">
        <v>2865</v>
      </c>
      <c r="Q790" s="152" t="s">
        <v>2866</v>
      </c>
      <c r="R790" s="152" t="s">
        <v>2883</v>
      </c>
      <c r="S790" s="152" t="s">
        <v>2868</v>
      </c>
      <c r="T790" s="152" t="s">
        <v>786</v>
      </c>
    </row>
    <row r="791" spans="3:20">
      <c r="C791" s="152" t="s">
        <v>2821</v>
      </c>
      <c r="D791" s="152"/>
      <c r="F791" s="474" t="s">
        <v>354</v>
      </c>
      <c r="G791" s="210" t="s">
        <v>355</v>
      </c>
      <c r="H791" s="210"/>
      <c r="I791" s="513">
        <v>112110</v>
      </c>
      <c r="J791" s="513">
        <v>75.75</v>
      </c>
      <c r="K791" s="513">
        <v>1480</v>
      </c>
      <c r="L791" s="513" t="s">
        <v>2859</v>
      </c>
      <c r="M791" s="513" t="s">
        <v>780</v>
      </c>
      <c r="N791" s="513" t="s">
        <v>1407</v>
      </c>
      <c r="O791" s="518" t="s">
        <v>2869</v>
      </c>
      <c r="P791" s="152" t="s">
        <v>2865</v>
      </c>
      <c r="Q791" s="152" t="s">
        <v>2870</v>
      </c>
      <c r="R791" s="152" t="s">
        <v>2884</v>
      </c>
      <c r="S791" s="152" t="s">
        <v>2872</v>
      </c>
      <c r="T791" s="152" t="s">
        <v>786</v>
      </c>
    </row>
    <row r="792" spans="3:20">
      <c r="C792" s="152" t="s">
        <v>2821</v>
      </c>
      <c r="D792" s="152"/>
      <c r="F792" s="474" t="s">
        <v>354</v>
      </c>
      <c r="G792" s="210" t="s">
        <v>355</v>
      </c>
      <c r="H792" s="210"/>
      <c r="I792" s="513">
        <v>-114270.8</v>
      </c>
      <c r="J792" s="513">
        <v>-77.209999999999994</v>
      </c>
      <c r="K792" s="513">
        <v>1480</v>
      </c>
      <c r="L792" s="513" t="s">
        <v>2859</v>
      </c>
      <c r="M792" s="513" t="s">
        <v>780</v>
      </c>
      <c r="N792" s="513" t="s">
        <v>1407</v>
      </c>
      <c r="O792" s="518" t="s">
        <v>2864</v>
      </c>
      <c r="P792" s="152" t="s">
        <v>2865</v>
      </c>
      <c r="Q792" s="152" t="s">
        <v>2866</v>
      </c>
      <c r="R792" s="152" t="s">
        <v>2885</v>
      </c>
      <c r="S792" s="152" t="s">
        <v>2868</v>
      </c>
      <c r="T792" s="152" t="s">
        <v>786</v>
      </c>
    </row>
    <row r="793" spans="3:20">
      <c r="C793" s="152" t="s">
        <v>2821</v>
      </c>
      <c r="D793" s="152"/>
      <c r="F793" s="474" t="s">
        <v>354</v>
      </c>
      <c r="G793" s="210" t="s">
        <v>355</v>
      </c>
      <c r="H793" s="210"/>
      <c r="I793" s="513">
        <v>118266.8</v>
      </c>
      <c r="J793" s="513">
        <v>79.91</v>
      </c>
      <c r="K793" s="513">
        <v>1480</v>
      </c>
      <c r="L793" s="513" t="s">
        <v>2859</v>
      </c>
      <c r="M793" s="513" t="s">
        <v>780</v>
      </c>
      <c r="N793" s="513" t="s">
        <v>1407</v>
      </c>
      <c r="O793" s="518" t="s">
        <v>2869</v>
      </c>
      <c r="P793" s="152" t="s">
        <v>2865</v>
      </c>
      <c r="Q793" s="152" t="s">
        <v>2870</v>
      </c>
      <c r="R793" s="152" t="s">
        <v>2886</v>
      </c>
      <c r="S793" s="152" t="s">
        <v>2872</v>
      </c>
      <c r="T793" s="152" t="s">
        <v>786</v>
      </c>
    </row>
    <row r="794" spans="3:20">
      <c r="C794" s="152" t="s">
        <v>2821</v>
      </c>
      <c r="D794" s="152"/>
      <c r="F794" s="474" t="s">
        <v>354</v>
      </c>
      <c r="G794" s="210" t="s">
        <v>355</v>
      </c>
      <c r="H794" s="210"/>
      <c r="I794" s="513">
        <v>-113708.4</v>
      </c>
      <c r="J794" s="513">
        <v>-76.83</v>
      </c>
      <c r="K794" s="513">
        <v>1480</v>
      </c>
      <c r="L794" s="513" t="s">
        <v>2859</v>
      </c>
      <c r="M794" s="513" t="s">
        <v>780</v>
      </c>
      <c r="N794" s="513" t="s">
        <v>1407</v>
      </c>
      <c r="O794" s="518" t="s">
        <v>2864</v>
      </c>
      <c r="P794" s="152" t="s">
        <v>2865</v>
      </c>
      <c r="Q794" s="152" t="s">
        <v>2866</v>
      </c>
      <c r="R794" s="152" t="s">
        <v>2887</v>
      </c>
      <c r="S794" s="152" t="s">
        <v>2868</v>
      </c>
      <c r="T794" s="152" t="s">
        <v>786</v>
      </c>
    </row>
    <row r="795" spans="3:20">
      <c r="C795" s="152" t="s">
        <v>2821</v>
      </c>
      <c r="D795" s="152"/>
      <c r="F795" s="474" t="s">
        <v>354</v>
      </c>
      <c r="G795" s="210" t="s">
        <v>355</v>
      </c>
      <c r="H795" s="210"/>
      <c r="I795" s="513">
        <v>117674.8</v>
      </c>
      <c r="J795" s="513">
        <v>79.510000000000005</v>
      </c>
      <c r="K795" s="513">
        <v>1480</v>
      </c>
      <c r="L795" s="513" t="s">
        <v>2859</v>
      </c>
      <c r="M795" s="513" t="s">
        <v>780</v>
      </c>
      <c r="N795" s="513" t="s">
        <v>1407</v>
      </c>
      <c r="O795" s="518" t="s">
        <v>2869</v>
      </c>
      <c r="P795" s="152" t="s">
        <v>2865</v>
      </c>
      <c r="Q795" s="152" t="s">
        <v>2870</v>
      </c>
      <c r="R795" s="152" t="s">
        <v>2888</v>
      </c>
      <c r="S795" s="152" t="s">
        <v>2872</v>
      </c>
      <c r="T795" s="152" t="s">
        <v>786</v>
      </c>
    </row>
    <row r="796" spans="3:20">
      <c r="C796" s="152" t="s">
        <v>2821</v>
      </c>
      <c r="D796" s="152"/>
      <c r="F796" s="474" t="s">
        <v>354</v>
      </c>
      <c r="G796" s="210" t="s">
        <v>355</v>
      </c>
      <c r="H796" s="210"/>
      <c r="I796" s="513">
        <v>75864.800000000003</v>
      </c>
      <c r="J796" s="513">
        <v>51.26</v>
      </c>
      <c r="K796" s="513">
        <v>1480</v>
      </c>
      <c r="L796" s="513" t="s">
        <v>2859</v>
      </c>
      <c r="M796" s="513" t="s">
        <v>780</v>
      </c>
      <c r="N796" s="513" t="s">
        <v>1407</v>
      </c>
      <c r="O796" s="518" t="s">
        <v>2869</v>
      </c>
      <c r="P796" s="152" t="s">
        <v>2865</v>
      </c>
      <c r="Q796" s="152" t="s">
        <v>2870</v>
      </c>
      <c r="R796" s="152" t="s">
        <v>2894</v>
      </c>
      <c r="S796" s="152" t="s">
        <v>2872</v>
      </c>
      <c r="T796" s="152" t="s">
        <v>786</v>
      </c>
    </row>
    <row r="797" spans="3:20">
      <c r="C797" s="152" t="s">
        <v>2821</v>
      </c>
      <c r="D797" s="152"/>
      <c r="F797" s="474" t="s">
        <v>354</v>
      </c>
      <c r="G797" s="210" t="s">
        <v>355</v>
      </c>
      <c r="H797" s="210"/>
      <c r="I797" s="513">
        <v>88814.8</v>
      </c>
      <c r="J797" s="513">
        <v>60.01</v>
      </c>
      <c r="K797" s="513">
        <v>1480</v>
      </c>
      <c r="L797" s="513" t="s">
        <v>2859</v>
      </c>
      <c r="M797" s="513" t="s">
        <v>780</v>
      </c>
      <c r="N797" s="513" t="s">
        <v>1407</v>
      </c>
      <c r="O797" s="518" t="s">
        <v>2869</v>
      </c>
      <c r="P797" s="152" t="s">
        <v>2865</v>
      </c>
      <c r="Q797" s="152" t="s">
        <v>2870</v>
      </c>
      <c r="R797" s="152" t="s">
        <v>2898</v>
      </c>
      <c r="S797" s="152" t="s">
        <v>2872</v>
      </c>
      <c r="T797" s="152" t="s">
        <v>786</v>
      </c>
    </row>
    <row r="798" spans="3:20">
      <c r="C798" s="152" t="s">
        <v>2821</v>
      </c>
      <c r="D798" s="152"/>
      <c r="F798" s="474" t="s">
        <v>354</v>
      </c>
      <c r="G798" s="210" t="s">
        <v>355</v>
      </c>
      <c r="H798" s="210"/>
      <c r="I798" s="513">
        <v>-182336</v>
      </c>
      <c r="J798" s="513">
        <v>-123.2</v>
      </c>
      <c r="K798" s="513">
        <v>1480</v>
      </c>
      <c r="L798" s="513" t="s">
        <v>2859</v>
      </c>
      <c r="M798" s="513" t="s">
        <v>780</v>
      </c>
      <c r="N798" s="513" t="s">
        <v>1407</v>
      </c>
      <c r="O798" s="518" t="s">
        <v>2864</v>
      </c>
      <c r="P798" s="152" t="s">
        <v>2865</v>
      </c>
      <c r="Q798" s="152" t="s">
        <v>2866</v>
      </c>
      <c r="R798" s="152" t="s">
        <v>3091</v>
      </c>
      <c r="S798" s="152" t="s">
        <v>2868</v>
      </c>
      <c r="T798" s="152" t="s">
        <v>786</v>
      </c>
    </row>
    <row r="799" spans="3:20">
      <c r="C799" s="152" t="s">
        <v>2821</v>
      </c>
      <c r="D799" s="152"/>
      <c r="F799" s="474" t="s">
        <v>354</v>
      </c>
      <c r="G799" s="210" t="s">
        <v>355</v>
      </c>
      <c r="H799" s="210"/>
      <c r="I799" s="513">
        <v>188714.8</v>
      </c>
      <c r="J799" s="513">
        <v>127.51</v>
      </c>
      <c r="K799" s="513">
        <v>1480</v>
      </c>
      <c r="L799" s="513" t="s">
        <v>2859</v>
      </c>
      <c r="M799" s="513" t="s">
        <v>780</v>
      </c>
      <c r="N799" s="513" t="s">
        <v>1407</v>
      </c>
      <c r="O799" s="518" t="s">
        <v>2869</v>
      </c>
      <c r="P799" s="152" t="s">
        <v>2865</v>
      </c>
      <c r="Q799" s="152" t="s">
        <v>2870</v>
      </c>
      <c r="R799" s="152" t="s">
        <v>3092</v>
      </c>
      <c r="S799" s="152" t="s">
        <v>2872</v>
      </c>
      <c r="T799" s="152" t="s">
        <v>786</v>
      </c>
    </row>
    <row r="800" spans="3:20">
      <c r="C800" s="152" t="s">
        <v>2821</v>
      </c>
      <c r="D800" s="152"/>
      <c r="F800" s="474" t="s">
        <v>354</v>
      </c>
      <c r="G800" s="210" t="s">
        <v>355</v>
      </c>
      <c r="H800" s="210"/>
      <c r="I800" s="513">
        <v>-58075.199999999997</v>
      </c>
      <c r="J800" s="513">
        <v>-39.24</v>
      </c>
      <c r="K800" s="513">
        <v>1480</v>
      </c>
      <c r="L800" s="513" t="s">
        <v>2859</v>
      </c>
      <c r="M800" s="513" t="s">
        <v>780</v>
      </c>
      <c r="N800" s="513" t="s">
        <v>1407</v>
      </c>
      <c r="O800" s="518" t="s">
        <v>2864</v>
      </c>
      <c r="P800" s="152" t="s">
        <v>2865</v>
      </c>
      <c r="Q800" s="152" t="s">
        <v>2866</v>
      </c>
      <c r="R800" s="152" t="s">
        <v>3093</v>
      </c>
      <c r="S800" s="152" t="s">
        <v>2868</v>
      </c>
      <c r="T800" s="152" t="s">
        <v>786</v>
      </c>
    </row>
    <row r="801" spans="1:20">
      <c r="C801" s="152" t="s">
        <v>2821</v>
      </c>
      <c r="D801" s="152"/>
      <c r="F801" s="474" t="s">
        <v>354</v>
      </c>
      <c r="G801" s="210" t="s">
        <v>355</v>
      </c>
      <c r="H801" s="210"/>
      <c r="I801" s="513">
        <v>60102.8</v>
      </c>
      <c r="J801" s="513">
        <v>40.61</v>
      </c>
      <c r="K801" s="513">
        <v>1480</v>
      </c>
      <c r="L801" s="513" t="s">
        <v>2859</v>
      </c>
      <c r="M801" s="513" t="s">
        <v>780</v>
      </c>
      <c r="N801" s="513" t="s">
        <v>1407</v>
      </c>
      <c r="O801" s="518" t="s">
        <v>2869</v>
      </c>
      <c r="P801" s="152" t="s">
        <v>2865</v>
      </c>
      <c r="Q801" s="152" t="s">
        <v>2870</v>
      </c>
      <c r="R801" s="152" t="s">
        <v>3094</v>
      </c>
      <c r="S801" s="152" t="s">
        <v>2872</v>
      </c>
      <c r="T801" s="152" t="s">
        <v>786</v>
      </c>
    </row>
    <row r="802" spans="1:20">
      <c r="C802" s="152" t="s">
        <v>2821</v>
      </c>
      <c r="D802" s="152"/>
      <c r="F802" s="474" t="s">
        <v>354</v>
      </c>
      <c r="G802" s="210" t="s">
        <v>355</v>
      </c>
      <c r="H802" s="210"/>
      <c r="I802" s="513">
        <v>-73408</v>
      </c>
      <c r="J802" s="513">
        <v>-49.6</v>
      </c>
      <c r="K802" s="513">
        <v>1480</v>
      </c>
      <c r="L802" s="513" t="s">
        <v>2859</v>
      </c>
      <c r="M802" s="513" t="s">
        <v>780</v>
      </c>
      <c r="N802" s="513" t="s">
        <v>1407</v>
      </c>
      <c r="O802" s="518" t="s">
        <v>2864</v>
      </c>
      <c r="P802" s="152" t="s">
        <v>2865</v>
      </c>
      <c r="Q802" s="152" t="s">
        <v>2866</v>
      </c>
      <c r="R802" s="152" t="s">
        <v>3096</v>
      </c>
      <c r="S802" s="152" t="s">
        <v>2868</v>
      </c>
      <c r="T802" s="152" t="s">
        <v>786</v>
      </c>
    </row>
    <row r="803" spans="1:20">
      <c r="C803" s="152" t="s">
        <v>2821</v>
      </c>
      <c r="D803" s="152"/>
      <c r="F803" s="474" t="s">
        <v>354</v>
      </c>
      <c r="G803" s="210" t="s">
        <v>355</v>
      </c>
      <c r="H803" s="210"/>
      <c r="I803" s="513">
        <v>75968.399999999994</v>
      </c>
      <c r="J803" s="513">
        <v>51.33</v>
      </c>
      <c r="K803" s="513">
        <v>1480</v>
      </c>
      <c r="L803" s="513" t="s">
        <v>2859</v>
      </c>
      <c r="M803" s="513" t="s">
        <v>780</v>
      </c>
      <c r="N803" s="513" t="s">
        <v>1407</v>
      </c>
      <c r="O803" s="518" t="s">
        <v>2869</v>
      </c>
      <c r="P803" s="152" t="s">
        <v>2865</v>
      </c>
      <c r="Q803" s="152" t="s">
        <v>2870</v>
      </c>
      <c r="R803" s="152" t="s">
        <v>3097</v>
      </c>
      <c r="S803" s="152" t="s">
        <v>2872</v>
      </c>
      <c r="T803" s="152" t="s">
        <v>786</v>
      </c>
    </row>
    <row r="804" spans="1:20">
      <c r="C804" s="152" t="s">
        <v>2821</v>
      </c>
      <c r="D804" s="152"/>
      <c r="F804" s="474" t="s">
        <v>354</v>
      </c>
      <c r="G804" s="210" t="s">
        <v>355</v>
      </c>
      <c r="H804" s="210"/>
      <c r="I804" s="513">
        <v>86565.2</v>
      </c>
      <c r="J804" s="513">
        <v>58.49</v>
      </c>
      <c r="K804" s="513">
        <v>1480</v>
      </c>
      <c r="L804" s="513" t="s">
        <v>2859</v>
      </c>
      <c r="M804" s="513" t="s">
        <v>780</v>
      </c>
      <c r="N804" s="513" t="s">
        <v>1407</v>
      </c>
      <c r="O804" s="518" t="s">
        <v>2869</v>
      </c>
      <c r="P804" s="152" t="s">
        <v>2865</v>
      </c>
      <c r="Q804" s="152" t="s">
        <v>2870</v>
      </c>
      <c r="R804" s="152" t="s">
        <v>3099</v>
      </c>
      <c r="S804" s="152" t="s">
        <v>2872</v>
      </c>
      <c r="T804" s="152" t="s">
        <v>786</v>
      </c>
    </row>
    <row r="805" spans="1:20">
      <c r="C805" s="152" t="s">
        <v>2821</v>
      </c>
      <c r="D805" s="152"/>
      <c r="F805" s="474" t="s">
        <v>354</v>
      </c>
      <c r="G805" s="210" t="s">
        <v>355</v>
      </c>
      <c r="H805" s="210"/>
      <c r="I805" s="513">
        <v>226632.4</v>
      </c>
      <c r="J805" s="513">
        <v>153.13</v>
      </c>
      <c r="K805" s="513">
        <v>1480</v>
      </c>
      <c r="L805" s="513" t="s">
        <v>2859</v>
      </c>
      <c r="M805" s="513" t="s">
        <v>780</v>
      </c>
      <c r="N805" s="513" t="s">
        <v>1407</v>
      </c>
      <c r="O805" s="518" t="s">
        <v>2869</v>
      </c>
      <c r="P805" s="152" t="s">
        <v>2865</v>
      </c>
      <c r="Q805" s="152" t="s">
        <v>2870</v>
      </c>
      <c r="R805" s="152" t="s">
        <v>3102</v>
      </c>
      <c r="S805" s="152" t="s">
        <v>2872</v>
      </c>
      <c r="T805" s="152" t="s">
        <v>786</v>
      </c>
    </row>
    <row r="806" spans="1:20">
      <c r="C806" s="152" t="s">
        <v>2821</v>
      </c>
      <c r="D806" s="152"/>
      <c r="F806" s="474" t="s">
        <v>354</v>
      </c>
      <c r="G806" s="210" t="s">
        <v>355</v>
      </c>
      <c r="H806" s="210"/>
      <c r="I806" s="513">
        <v>154112.4</v>
      </c>
      <c r="J806" s="513">
        <v>104.13</v>
      </c>
      <c r="K806" s="513">
        <v>1480</v>
      </c>
      <c r="L806" s="513" t="s">
        <v>2859</v>
      </c>
      <c r="M806" s="513" t="s">
        <v>780</v>
      </c>
      <c r="N806" s="513" t="s">
        <v>1407</v>
      </c>
      <c r="O806" s="518" t="s">
        <v>2869</v>
      </c>
      <c r="P806" s="152" t="s">
        <v>2865</v>
      </c>
      <c r="Q806" s="152" t="s">
        <v>2870</v>
      </c>
      <c r="R806" s="152" t="s">
        <v>3104</v>
      </c>
      <c r="S806" s="152" t="s">
        <v>2872</v>
      </c>
      <c r="T806" s="152" t="s">
        <v>786</v>
      </c>
    </row>
    <row r="807" spans="1:20">
      <c r="C807" s="152" t="s">
        <v>2821</v>
      </c>
      <c r="D807" s="152"/>
      <c r="F807" s="474" t="s">
        <v>354</v>
      </c>
      <c r="G807" s="210" t="s">
        <v>355</v>
      </c>
      <c r="H807" s="210"/>
      <c r="I807" s="513">
        <v>311939.59999999998</v>
      </c>
      <c r="J807" s="513">
        <v>210.77</v>
      </c>
      <c r="K807" s="513">
        <v>1480</v>
      </c>
      <c r="L807" s="513" t="s">
        <v>2859</v>
      </c>
      <c r="M807" s="513" t="s">
        <v>780</v>
      </c>
      <c r="N807" s="513" t="s">
        <v>1407</v>
      </c>
      <c r="O807" s="518" t="s">
        <v>2869</v>
      </c>
      <c r="P807" s="152" t="s">
        <v>2865</v>
      </c>
      <c r="Q807" s="152" t="s">
        <v>2870</v>
      </c>
      <c r="R807" s="152" t="s">
        <v>3136</v>
      </c>
      <c r="S807" s="152" t="s">
        <v>2872</v>
      </c>
      <c r="T807" s="152" t="s">
        <v>786</v>
      </c>
    </row>
    <row r="808" spans="1:20">
      <c r="D808" s="152"/>
      <c r="F808" s="474"/>
      <c r="G808" s="210"/>
      <c r="H808" s="210"/>
      <c r="L808" s="513"/>
      <c r="M808" s="513"/>
      <c r="N808" s="513"/>
      <c r="O808" s="518"/>
    </row>
    <row r="809" spans="1:20" ht="13">
      <c r="A809" s="750" t="s">
        <v>5845</v>
      </c>
      <c r="B809" s="750"/>
      <c r="C809" s="751" t="s">
        <v>2821</v>
      </c>
      <c r="D809" s="751"/>
      <c r="F809" s="752" t="s">
        <v>358</v>
      </c>
      <c r="G809" s="750" t="s">
        <v>359</v>
      </c>
      <c r="H809" s="808"/>
      <c r="I809" s="470">
        <v>37000</v>
      </c>
      <c r="J809" s="470">
        <v>25</v>
      </c>
      <c r="K809" s="470">
        <v>1480</v>
      </c>
      <c r="L809" s="470" t="s">
        <v>2827</v>
      </c>
      <c r="M809" s="470" t="s">
        <v>780</v>
      </c>
      <c r="N809" s="470" t="s">
        <v>781</v>
      </c>
      <c r="O809" s="756" t="s">
        <v>3204</v>
      </c>
      <c r="P809" s="751" t="s">
        <v>892</v>
      </c>
      <c r="Q809" s="751" t="s">
        <v>3205</v>
      </c>
      <c r="R809" s="751" t="s">
        <v>852</v>
      </c>
      <c r="S809" s="751" t="s">
        <v>3206</v>
      </c>
      <c r="T809" s="751" t="s">
        <v>786</v>
      </c>
    </row>
    <row r="810" spans="1:20">
      <c r="D810" s="152"/>
      <c r="F810" s="474"/>
      <c r="G810" s="210"/>
      <c r="H810" s="806"/>
      <c r="L810" s="513"/>
      <c r="M810" s="513"/>
      <c r="N810" s="513"/>
      <c r="O810" s="518"/>
    </row>
    <row r="811" spans="1:20" ht="13">
      <c r="A811" s="800" t="s">
        <v>382</v>
      </c>
      <c r="B811" s="800"/>
      <c r="C811" s="801" t="s">
        <v>2821</v>
      </c>
      <c r="D811" s="801"/>
      <c r="F811" s="802" t="s">
        <v>358</v>
      </c>
      <c r="G811" s="800" t="s">
        <v>359</v>
      </c>
      <c r="H811" s="809"/>
      <c r="I811" s="804">
        <v>-9264.7999999999993</v>
      </c>
      <c r="J811" s="804">
        <v>-6.26</v>
      </c>
      <c r="K811" s="804">
        <v>1480</v>
      </c>
      <c r="L811" s="804" t="s">
        <v>3019</v>
      </c>
      <c r="M811" s="804" t="s">
        <v>780</v>
      </c>
      <c r="N811" s="804" t="s">
        <v>1272</v>
      </c>
      <c r="O811" s="805" t="s">
        <v>3252</v>
      </c>
      <c r="P811" s="801" t="s">
        <v>892</v>
      </c>
      <c r="Q811" s="801" t="s">
        <v>3253</v>
      </c>
      <c r="R811" s="801" t="s">
        <v>3260</v>
      </c>
      <c r="S811" s="801" t="s">
        <v>3255</v>
      </c>
      <c r="T811" s="801" t="s">
        <v>786</v>
      </c>
    </row>
    <row r="812" spans="1:20" ht="13">
      <c r="A812" s="800" t="s">
        <v>382</v>
      </c>
      <c r="B812" s="800"/>
      <c r="C812" s="801" t="s">
        <v>2821</v>
      </c>
      <c r="D812" s="801"/>
      <c r="F812" s="802" t="s">
        <v>358</v>
      </c>
      <c r="G812" s="800" t="s">
        <v>359</v>
      </c>
      <c r="H812" s="809"/>
      <c r="I812" s="804">
        <v>9264.7999999999993</v>
      </c>
      <c r="J812" s="804">
        <v>6.26</v>
      </c>
      <c r="K812" s="804">
        <v>1480</v>
      </c>
      <c r="L812" s="804" t="s">
        <v>2827</v>
      </c>
      <c r="M812" s="804" t="s">
        <v>780</v>
      </c>
      <c r="N812" s="804" t="s">
        <v>781</v>
      </c>
      <c r="O812" s="805" t="s">
        <v>3207</v>
      </c>
      <c r="P812" s="801" t="s">
        <v>892</v>
      </c>
      <c r="Q812" s="801" t="s">
        <v>3208</v>
      </c>
      <c r="R812" s="801" t="s">
        <v>3229</v>
      </c>
      <c r="S812" s="801" t="s">
        <v>3210</v>
      </c>
      <c r="T812" s="801" t="s">
        <v>786</v>
      </c>
    </row>
    <row r="813" spans="1:20" ht="13">
      <c r="A813" s="800" t="s">
        <v>382</v>
      </c>
      <c r="B813" s="800"/>
      <c r="C813" s="801" t="s">
        <v>2821</v>
      </c>
      <c r="D813" s="801"/>
      <c r="F813" s="802" t="s">
        <v>358</v>
      </c>
      <c r="G813" s="800" t="s">
        <v>359</v>
      </c>
      <c r="H813" s="809"/>
      <c r="I813" s="804">
        <v>-29600</v>
      </c>
      <c r="J813" s="804">
        <v>-20</v>
      </c>
      <c r="K813" s="804">
        <v>1480</v>
      </c>
      <c r="L813" s="804" t="s">
        <v>3019</v>
      </c>
      <c r="M813" s="804" t="s">
        <v>780</v>
      </c>
      <c r="N813" s="804" t="s">
        <v>1272</v>
      </c>
      <c r="O813" s="805" t="s">
        <v>3247</v>
      </c>
      <c r="P813" s="801" t="s">
        <v>892</v>
      </c>
      <c r="Q813" s="801" t="s">
        <v>3248</v>
      </c>
      <c r="R813" s="801" t="s">
        <v>3249</v>
      </c>
      <c r="S813" s="801" t="s">
        <v>3250</v>
      </c>
      <c r="T813" s="801" t="s">
        <v>786</v>
      </c>
    </row>
    <row r="814" spans="1:20" ht="13">
      <c r="A814" s="800" t="s">
        <v>382</v>
      </c>
      <c r="B814" s="800"/>
      <c r="C814" s="801" t="s">
        <v>2821</v>
      </c>
      <c r="D814" s="801"/>
      <c r="F814" s="802" t="s">
        <v>358</v>
      </c>
      <c r="G814" s="800" t="s">
        <v>359</v>
      </c>
      <c r="H814" s="809"/>
      <c r="I814" s="804">
        <v>29600</v>
      </c>
      <c r="J814" s="804">
        <v>20</v>
      </c>
      <c r="K814" s="804">
        <v>1480</v>
      </c>
      <c r="L814" s="804" t="s">
        <v>2827</v>
      </c>
      <c r="M814" s="804" t="s">
        <v>780</v>
      </c>
      <c r="N814" s="804" t="s">
        <v>781</v>
      </c>
      <c r="O814" s="805" t="s">
        <v>3204</v>
      </c>
      <c r="P814" s="801" t="s">
        <v>892</v>
      </c>
      <c r="Q814" s="801" t="s">
        <v>3205</v>
      </c>
      <c r="R814" s="801" t="s">
        <v>1146</v>
      </c>
      <c r="S814" s="801" t="s">
        <v>3206</v>
      </c>
      <c r="T814" s="801" t="s">
        <v>786</v>
      </c>
    </row>
    <row r="815" spans="1:20" ht="13">
      <c r="A815" s="800" t="s">
        <v>382</v>
      </c>
      <c r="B815" s="800"/>
      <c r="C815" s="801" t="s">
        <v>2821</v>
      </c>
      <c r="D815" s="801"/>
      <c r="F815" s="802" t="s">
        <v>358</v>
      </c>
      <c r="G815" s="800" t="s">
        <v>359</v>
      </c>
      <c r="H815" s="809"/>
      <c r="I815" s="804">
        <v>-7400000</v>
      </c>
      <c r="J815" s="804">
        <v>-5000</v>
      </c>
      <c r="K815" s="804">
        <v>1480</v>
      </c>
      <c r="L815" s="804" t="s">
        <v>3019</v>
      </c>
      <c r="M815" s="804" t="s">
        <v>780</v>
      </c>
      <c r="N815" s="804" t="s">
        <v>1407</v>
      </c>
      <c r="O815" s="805" t="s">
        <v>3020</v>
      </c>
      <c r="P815" s="801" t="s">
        <v>892</v>
      </c>
      <c r="Q815" s="801" t="s">
        <v>3021</v>
      </c>
      <c r="R815" s="801" t="s">
        <v>2318</v>
      </c>
      <c r="S815" s="801" t="s">
        <v>3022</v>
      </c>
      <c r="T815" s="801" t="s">
        <v>786</v>
      </c>
    </row>
    <row r="816" spans="1:20" ht="13">
      <c r="A816" s="800" t="s">
        <v>382</v>
      </c>
      <c r="B816" s="800"/>
      <c r="C816" s="801" t="s">
        <v>2821</v>
      </c>
      <c r="D816" s="801"/>
      <c r="F816" s="802" t="s">
        <v>358</v>
      </c>
      <c r="G816" s="800" t="s">
        <v>359</v>
      </c>
      <c r="H816" s="809"/>
      <c r="I816" s="804">
        <v>7400000</v>
      </c>
      <c r="J816" s="804">
        <v>5000</v>
      </c>
      <c r="K816" s="804">
        <v>1480</v>
      </c>
      <c r="L816" s="804" t="s">
        <v>2827</v>
      </c>
      <c r="M816" s="804" t="s">
        <v>780</v>
      </c>
      <c r="N816" s="804" t="s">
        <v>781</v>
      </c>
      <c r="O816" s="805" t="s">
        <v>3204</v>
      </c>
      <c r="P816" s="801" t="s">
        <v>892</v>
      </c>
      <c r="Q816" s="801" t="s">
        <v>3205</v>
      </c>
      <c r="R816" s="801" t="s">
        <v>1143</v>
      </c>
      <c r="S816" s="801" t="s">
        <v>3206</v>
      </c>
      <c r="T816" s="801" t="s">
        <v>786</v>
      </c>
    </row>
    <row r="817" spans="1:40" ht="13">
      <c r="A817" s="800" t="s">
        <v>382</v>
      </c>
      <c r="B817" s="800"/>
      <c r="C817" s="801" t="s">
        <v>2821</v>
      </c>
      <c r="D817" s="801"/>
      <c r="F817" s="802" t="s">
        <v>358</v>
      </c>
      <c r="G817" s="800" t="s">
        <v>359</v>
      </c>
      <c r="H817" s="809"/>
      <c r="I817" s="804">
        <v>-29400000</v>
      </c>
      <c r="J817" s="804">
        <v>-20000</v>
      </c>
      <c r="K817" s="804">
        <v>1470</v>
      </c>
      <c r="L817" s="804" t="s">
        <v>2899</v>
      </c>
      <c r="M817" s="804" t="s">
        <v>780</v>
      </c>
      <c r="N817" s="804" t="s">
        <v>1407</v>
      </c>
      <c r="O817" s="805" t="s">
        <v>3023</v>
      </c>
      <c r="P817" s="801" t="s">
        <v>892</v>
      </c>
      <c r="Q817" s="801" t="s">
        <v>3024</v>
      </c>
      <c r="R817" s="801" t="s">
        <v>3025</v>
      </c>
      <c r="S817" s="801" t="s">
        <v>3026</v>
      </c>
      <c r="T817" s="801" t="s">
        <v>786</v>
      </c>
    </row>
    <row r="818" spans="1:40" ht="13">
      <c r="A818" s="800" t="s">
        <v>382</v>
      </c>
      <c r="B818" s="800"/>
      <c r="C818" s="801" t="s">
        <v>2821</v>
      </c>
      <c r="D818" s="801"/>
      <c r="F818" s="802" t="s">
        <v>358</v>
      </c>
      <c r="G818" s="800" t="s">
        <v>359</v>
      </c>
      <c r="H818" s="809"/>
      <c r="I818" s="804">
        <v>29400000</v>
      </c>
      <c r="J818" s="804">
        <v>20000</v>
      </c>
      <c r="K818" s="804">
        <v>1470</v>
      </c>
      <c r="L818" s="804" t="s">
        <v>2835</v>
      </c>
      <c r="M818" s="804" t="s">
        <v>780</v>
      </c>
      <c r="N818" s="804" t="s">
        <v>1407</v>
      </c>
      <c r="O818" s="805" t="s">
        <v>3106</v>
      </c>
      <c r="P818" s="801" t="s">
        <v>892</v>
      </c>
      <c r="Q818" s="801" t="s">
        <v>3107</v>
      </c>
      <c r="R818" s="801" t="s">
        <v>3108</v>
      </c>
      <c r="S818" s="801" t="s">
        <v>3109</v>
      </c>
      <c r="T818" s="801" t="s">
        <v>786</v>
      </c>
    </row>
    <row r="819" spans="1:40">
      <c r="D819" s="152"/>
      <c r="F819" s="474"/>
      <c r="G819" s="210"/>
      <c r="H819" s="806"/>
      <c r="L819" s="513"/>
      <c r="M819" s="513"/>
      <c r="N819" s="513"/>
      <c r="O819" s="518"/>
    </row>
    <row r="820" spans="1:40" ht="13">
      <c r="A820" s="794" t="s">
        <v>5843</v>
      </c>
      <c r="B820" s="794"/>
      <c r="C820" s="795" t="s">
        <v>2821</v>
      </c>
      <c r="D820" s="795"/>
      <c r="E820" s="794"/>
      <c r="F820" s="796" t="s">
        <v>358</v>
      </c>
      <c r="G820" s="794" t="s">
        <v>359</v>
      </c>
      <c r="H820" s="807"/>
      <c r="I820" s="465">
        <v>-390498</v>
      </c>
      <c r="J820" s="465">
        <v>-263.85000000000002</v>
      </c>
      <c r="K820" s="465">
        <v>1480</v>
      </c>
      <c r="L820" s="465" t="s">
        <v>2845</v>
      </c>
      <c r="M820" s="465" t="s">
        <v>780</v>
      </c>
      <c r="N820" s="465" t="s">
        <v>1272</v>
      </c>
      <c r="O820" s="798" t="s">
        <v>3235</v>
      </c>
      <c r="P820" s="795" t="s">
        <v>892</v>
      </c>
      <c r="Q820" s="795" t="s">
        <v>3236</v>
      </c>
      <c r="R820" s="795" t="s">
        <v>3237</v>
      </c>
      <c r="S820" s="795" t="s">
        <v>3238</v>
      </c>
      <c r="T820" s="795" t="s">
        <v>786</v>
      </c>
    </row>
    <row r="821" spans="1:40" ht="13">
      <c r="A821" s="794" t="s">
        <v>5843</v>
      </c>
      <c r="B821" s="794"/>
      <c r="C821" s="795" t="s">
        <v>2821</v>
      </c>
      <c r="D821" s="795"/>
      <c r="E821" s="794"/>
      <c r="F821" s="796" t="s">
        <v>358</v>
      </c>
      <c r="G821" s="794" t="s">
        <v>359</v>
      </c>
      <c r="H821" s="807"/>
      <c r="I821" s="465">
        <v>391534</v>
      </c>
      <c r="J821" s="465">
        <v>264.55</v>
      </c>
      <c r="K821" s="465">
        <v>1480</v>
      </c>
      <c r="L821" s="465" t="s">
        <v>2859</v>
      </c>
      <c r="M821" s="465" t="s">
        <v>780</v>
      </c>
      <c r="N821" s="465" t="s">
        <v>781</v>
      </c>
      <c r="O821" s="798" t="s">
        <v>3211</v>
      </c>
      <c r="P821" s="795" t="s">
        <v>892</v>
      </c>
      <c r="Q821" s="795" t="s">
        <v>3212</v>
      </c>
      <c r="R821" s="795" t="s">
        <v>936</v>
      </c>
      <c r="S821" s="795" t="s">
        <v>3214</v>
      </c>
      <c r="T821" s="795" t="s">
        <v>786</v>
      </c>
    </row>
    <row r="822" spans="1:40" ht="13">
      <c r="A822" s="794" t="s">
        <v>5843</v>
      </c>
      <c r="B822" s="794"/>
      <c r="C822" s="795" t="s">
        <v>2821</v>
      </c>
      <c r="D822" s="795"/>
      <c r="E822" s="794"/>
      <c r="F822" s="796" t="s">
        <v>358</v>
      </c>
      <c r="G822" s="794" t="s">
        <v>359</v>
      </c>
      <c r="H822" s="807"/>
      <c r="I822" s="465">
        <v>-8843000</v>
      </c>
      <c r="J822" s="465">
        <v>-5975</v>
      </c>
      <c r="K822" s="465">
        <v>1480</v>
      </c>
      <c r="L822" s="465" t="s">
        <v>3019</v>
      </c>
      <c r="M822" s="465" t="s">
        <v>780</v>
      </c>
      <c r="N822" s="465" t="s">
        <v>781</v>
      </c>
      <c r="O822" s="798" t="s">
        <v>3217</v>
      </c>
      <c r="P822" s="795" t="s">
        <v>892</v>
      </c>
      <c r="Q822" s="795" t="s">
        <v>3218</v>
      </c>
      <c r="R822" s="795" t="s">
        <v>3219</v>
      </c>
      <c r="S822" s="795" t="s">
        <v>3220</v>
      </c>
      <c r="T822" s="795" t="s">
        <v>786</v>
      </c>
    </row>
    <row r="823" spans="1:40" ht="13">
      <c r="A823" s="794" t="s">
        <v>5843</v>
      </c>
      <c r="B823" s="794"/>
      <c r="C823" s="795" t="s">
        <v>2821</v>
      </c>
      <c r="D823" s="795"/>
      <c r="E823" s="794"/>
      <c r="F823" s="796" t="s">
        <v>358</v>
      </c>
      <c r="G823" s="794" t="s">
        <v>359</v>
      </c>
      <c r="H823" s="807"/>
      <c r="I823" s="465">
        <v>8880000</v>
      </c>
      <c r="J823" s="465">
        <v>6000</v>
      </c>
      <c r="K823" s="465">
        <v>1480</v>
      </c>
      <c r="L823" s="465" t="s">
        <v>2822</v>
      </c>
      <c r="M823" s="465" t="s">
        <v>780</v>
      </c>
      <c r="N823" s="465" t="s">
        <v>781</v>
      </c>
      <c r="O823" s="798" t="s">
        <v>3082</v>
      </c>
      <c r="P823" s="795" t="s">
        <v>892</v>
      </c>
      <c r="Q823" s="795" t="s">
        <v>3083</v>
      </c>
      <c r="R823" s="795" t="s">
        <v>3231</v>
      </c>
      <c r="S823" s="795" t="s">
        <v>3085</v>
      </c>
      <c r="T823" s="795" t="s">
        <v>786</v>
      </c>
    </row>
    <row r="824" spans="1:40" ht="13">
      <c r="A824" s="794" t="s">
        <v>5843</v>
      </c>
      <c r="B824" s="794"/>
      <c r="C824" s="795" t="s">
        <v>2821</v>
      </c>
      <c r="D824" s="795"/>
      <c r="E824" s="794"/>
      <c r="F824" s="796" t="s">
        <v>358</v>
      </c>
      <c r="G824" s="794" t="s">
        <v>359</v>
      </c>
      <c r="H824" s="807"/>
      <c r="I824" s="465">
        <v>-54708200</v>
      </c>
      <c r="J824" s="465">
        <v>-36965</v>
      </c>
      <c r="K824" s="465">
        <v>1480</v>
      </c>
      <c r="L824" s="465" t="s">
        <v>3019</v>
      </c>
      <c r="M824" s="465" t="s">
        <v>780</v>
      </c>
      <c r="N824" s="465" t="s">
        <v>1407</v>
      </c>
      <c r="O824" s="798" t="s">
        <v>3020</v>
      </c>
      <c r="P824" s="795" t="s">
        <v>892</v>
      </c>
      <c r="Q824" s="795" t="s">
        <v>3021</v>
      </c>
      <c r="R824" s="795" t="s">
        <v>1432</v>
      </c>
      <c r="S824" s="795" t="s">
        <v>3022</v>
      </c>
      <c r="T824" s="795" t="s">
        <v>786</v>
      </c>
    </row>
    <row r="825" spans="1:40" ht="13">
      <c r="A825" s="794" t="s">
        <v>5843</v>
      </c>
      <c r="B825" s="794"/>
      <c r="C825" s="795" t="s">
        <v>2821</v>
      </c>
      <c r="D825" s="795"/>
      <c r="E825" s="794"/>
      <c r="F825" s="796" t="s">
        <v>358</v>
      </c>
      <c r="G825" s="794" t="s">
        <v>359</v>
      </c>
      <c r="H825" s="807"/>
      <c r="I825" s="465">
        <v>54760000</v>
      </c>
      <c r="J825" s="465">
        <v>37000</v>
      </c>
      <c r="K825" s="465">
        <v>1480</v>
      </c>
      <c r="L825" s="465" t="s">
        <v>2822</v>
      </c>
      <c r="M825" s="465" t="s">
        <v>780</v>
      </c>
      <c r="N825" s="465" t="s">
        <v>1407</v>
      </c>
      <c r="O825" s="798" t="s">
        <v>3082</v>
      </c>
      <c r="P825" s="795" t="s">
        <v>892</v>
      </c>
      <c r="Q825" s="795" t="s">
        <v>3083</v>
      </c>
      <c r="R825" s="795" t="s">
        <v>3084</v>
      </c>
      <c r="S825" s="795" t="s">
        <v>3085</v>
      </c>
      <c r="T825" s="795" t="s">
        <v>786</v>
      </c>
    </row>
    <row r="826" spans="1:40">
      <c r="D826" s="152"/>
      <c r="F826" s="474"/>
      <c r="G826" s="210"/>
      <c r="H826" s="806"/>
      <c r="L826" s="513"/>
      <c r="M826" s="513"/>
      <c r="N826" s="513"/>
      <c r="O826" s="518"/>
    </row>
    <row r="829" spans="1:40">
      <c r="A829" s="452" t="s">
        <v>84</v>
      </c>
      <c r="B829" s="452" t="s">
        <v>84</v>
      </c>
      <c r="C829" s="452" t="s">
        <v>84</v>
      </c>
      <c r="D829" s="11" t="s">
        <v>84</v>
      </c>
      <c r="E829" s="452" t="s">
        <v>84</v>
      </c>
      <c r="F829" s="453" t="s">
        <v>84</v>
      </c>
      <c r="G829" s="453" t="s">
        <v>84</v>
      </c>
      <c r="H829" s="453" t="s">
        <v>84</v>
      </c>
      <c r="I829" s="187" t="s">
        <v>84</v>
      </c>
      <c r="J829" s="187" t="s">
        <v>84</v>
      </c>
      <c r="K829" s="187" t="s">
        <v>84</v>
      </c>
      <c r="L829" s="457" t="s">
        <v>84</v>
      </c>
      <c r="M829" s="453" t="s">
        <v>84</v>
      </c>
      <c r="N829" s="453" t="s">
        <v>84</v>
      </c>
      <c r="O829" s="453" t="s">
        <v>84</v>
      </c>
      <c r="P829" s="453" t="s">
        <v>84</v>
      </c>
      <c r="Q829" s="453" t="s">
        <v>84</v>
      </c>
      <c r="R829" s="453" t="s">
        <v>84</v>
      </c>
      <c r="S829" s="453" t="s">
        <v>84</v>
      </c>
      <c r="T829" s="453" t="s">
        <v>84</v>
      </c>
      <c r="U829" s="453" t="s">
        <v>84</v>
      </c>
      <c r="V829" s="453" t="s">
        <v>84</v>
      </c>
      <c r="W829" s="453" t="s">
        <v>84</v>
      </c>
      <c r="X829" s="453" t="s">
        <v>84</v>
      </c>
      <c r="Y829" s="453" t="s">
        <v>84</v>
      </c>
      <c r="Z829" s="453" t="s">
        <v>84</v>
      </c>
      <c r="AA829" s="453" t="s">
        <v>84</v>
      </c>
      <c r="AB829" s="453" t="s">
        <v>84</v>
      </c>
      <c r="AC829" s="453" t="s">
        <v>84</v>
      </c>
      <c r="AD829" s="453" t="s">
        <v>84</v>
      </c>
      <c r="AE829" s="453" t="s">
        <v>84</v>
      </c>
      <c r="AF829" s="453" t="s">
        <v>84</v>
      </c>
      <c r="AG829" s="453" t="s">
        <v>84</v>
      </c>
      <c r="AH829" s="453" t="s">
        <v>84</v>
      </c>
      <c r="AI829" s="453" t="s">
        <v>84</v>
      </c>
      <c r="AJ829" s="453" t="s">
        <v>84</v>
      </c>
      <c r="AK829" s="453" t="s">
        <v>84</v>
      </c>
      <c r="AL829" s="453" t="s">
        <v>84</v>
      </c>
      <c r="AM829" s="453" t="s">
        <v>84</v>
      </c>
      <c r="AN829" s="453" t="s">
        <v>84</v>
      </c>
    </row>
  </sheetData>
  <autoFilter ref="A10:AA829"/>
  <sortState ref="A810:AN825">
    <sortCondition ref="H810"/>
  </sortState>
  <conditionalFormatting sqref="G7:G8">
    <cfRule type="cellIs" dxfId="188" priority="1" stopIfTrue="1" operator="equal">
      <formula>"Check"</formula>
    </cfRule>
  </conditionalFormatting>
  <pageMargins left="0.75" right="0.75" top="1" bottom="1" header="0.3" footer="0.3"/>
  <pageSetup paperSize="9" orientation="portrait" r:id="rId1"/>
</worksheet>
</file>

<file path=xl/worksheets/sheet14.xml><?xml version="1.0" encoding="utf-8"?>
<worksheet xmlns="http://schemas.openxmlformats.org/spreadsheetml/2006/main" xmlns:r="http://schemas.openxmlformats.org/officeDocument/2006/relationships">
  <sheetPr codeName="Hoja1"/>
  <dimension ref="A1:AN3520"/>
  <sheetViews>
    <sheetView zoomScale="70" zoomScaleNormal="70" workbookViewId="0">
      <pane xSplit="7" ySplit="10" topLeftCell="H19" activePane="bottomRight" state="frozen"/>
      <selection pane="topRight" activeCell="H1" sqref="H1"/>
      <selection pane="bottomLeft" activeCell="A11" sqref="A11"/>
      <selection pane="bottomRight" activeCell="A19" sqref="A19"/>
    </sheetView>
  </sheetViews>
  <sheetFormatPr baseColWidth="10" defaultColWidth="10.81640625" defaultRowHeight="12.5"/>
  <cols>
    <col min="1" max="1" width="26.81640625" style="210" bestFit="1" customWidth="1"/>
    <col min="2" max="2" width="35.453125" style="210" bestFit="1" customWidth="1"/>
    <col min="3" max="3" width="8.1796875" style="152" bestFit="1" customWidth="1"/>
    <col min="4" max="4" width="12.453125" style="474" bestFit="1" customWidth="1"/>
    <col min="5" max="5" width="22.1796875" style="210" customWidth="1"/>
    <col min="6" max="6" width="13.453125" style="152" bestFit="1" customWidth="1"/>
    <col min="7" max="7" width="29.1796875" style="152" bestFit="1" customWidth="1"/>
    <col min="8" max="8" width="16.453125" style="152" customWidth="1"/>
    <col min="9" max="9" width="22.453125" style="513" bestFit="1" customWidth="1"/>
    <col min="10" max="10" width="18.1796875" style="513" customWidth="1"/>
    <col min="11" max="11" width="15" style="513" bestFit="1" customWidth="1"/>
    <col min="12" max="12" width="12.453125" style="518" customWidth="1"/>
    <col min="13" max="13" width="20.453125" style="152" bestFit="1" customWidth="1"/>
    <col min="14" max="14" width="11.81640625" style="152" bestFit="1" customWidth="1"/>
    <col min="15" max="15" width="26.453125" style="152" bestFit="1" customWidth="1"/>
    <col min="16" max="16" width="39.1796875" style="152" bestFit="1" customWidth="1"/>
    <col min="17" max="17" width="139.453125" style="152" bestFit="1" customWidth="1"/>
    <col min="18" max="18" width="30.453125" style="152" bestFit="1" customWidth="1"/>
    <col min="19" max="19" width="21.453125" style="152" bestFit="1" customWidth="1"/>
    <col min="20" max="20" width="27.453125" style="152" bestFit="1" customWidth="1"/>
    <col min="21" max="21" width="76.1796875" style="152" bestFit="1" customWidth="1"/>
    <col min="22" max="22" width="33.453125" style="152" bestFit="1" customWidth="1"/>
    <col min="23" max="23" width="13.453125" style="152" bestFit="1" customWidth="1"/>
    <col min="24" max="24" width="14.453125" style="152" bestFit="1" customWidth="1"/>
    <col min="25" max="25" width="10.81640625" style="152"/>
    <col min="26" max="26" width="16.453125" style="152" bestFit="1" customWidth="1"/>
    <col min="27" max="27" width="8.81640625" style="152" bestFit="1" customWidth="1"/>
    <col min="28" max="28" width="11.453125" style="152" bestFit="1" customWidth="1"/>
    <col min="29" max="29" width="11.1796875" style="152" bestFit="1" customWidth="1"/>
    <col min="30" max="30" width="16.453125" style="152" bestFit="1" customWidth="1"/>
    <col min="31" max="31" width="3.453125" style="152" bestFit="1" customWidth="1"/>
    <col min="32" max="32" width="20.453125" style="152" bestFit="1" customWidth="1"/>
    <col min="33" max="33" width="39.1796875" style="152" bestFit="1" customWidth="1"/>
    <col min="34" max="34" width="13.453125" style="152" bestFit="1" customWidth="1"/>
    <col min="35" max="35" width="30.453125" style="152" bestFit="1" customWidth="1"/>
    <col min="36" max="36" width="15.1796875" style="152" bestFit="1" customWidth="1"/>
    <col min="37" max="37" width="21.1796875" style="152" bestFit="1" customWidth="1"/>
    <col min="38" max="38" width="33.1796875" style="152" bestFit="1" customWidth="1"/>
    <col min="39" max="39" width="34.453125" style="152" bestFit="1" customWidth="1"/>
    <col min="40" max="40" width="7.81640625" style="152" bestFit="1" customWidth="1"/>
    <col min="41" max="16384" width="10.81640625" style="152"/>
  </cols>
  <sheetData>
    <row r="1" spans="1:40">
      <c r="K1" s="152"/>
      <c r="L1" s="670"/>
    </row>
    <row r="2" spans="1:40" ht="13">
      <c r="G2" s="305" t="s">
        <v>140</v>
      </c>
      <c r="K2" s="152"/>
      <c r="L2" s="670"/>
    </row>
    <row r="3" spans="1:40" ht="13">
      <c r="G3" s="305" t="s">
        <v>152</v>
      </c>
      <c r="K3" s="152"/>
      <c r="L3" s="670"/>
    </row>
    <row r="4" spans="1:40" ht="13">
      <c r="G4" s="305" t="s">
        <v>155</v>
      </c>
      <c r="K4" s="152"/>
      <c r="L4" s="670"/>
    </row>
    <row r="5" spans="1:40" ht="13">
      <c r="G5" s="305" t="s">
        <v>161</v>
      </c>
      <c r="K5" s="152"/>
      <c r="L5" s="670"/>
    </row>
    <row r="6" spans="1:40" ht="13" thickBot="1">
      <c r="K6" s="152"/>
      <c r="L6" s="670"/>
    </row>
    <row r="7" spans="1:40" ht="13.5" thickBot="1">
      <c r="C7" s="210"/>
      <c r="D7" s="9"/>
      <c r="G7" s="110" t="str">
        <f>+IF(I7+J7=0,"Ok","Check")</f>
        <v>Ok</v>
      </c>
      <c r="I7" s="6">
        <f>ROUND(SUM(I10:I3520),0)</f>
        <v>0</v>
      </c>
      <c r="J7" s="6">
        <f>ROUND(SUM(J10:J3520),0)</f>
        <v>0</v>
      </c>
      <c r="K7" s="152"/>
      <c r="L7" s="670"/>
    </row>
    <row r="8" spans="1:40" ht="13.5" thickBot="1">
      <c r="C8" s="210"/>
      <c r="D8" s="9" t="s">
        <v>77</v>
      </c>
      <c r="E8" s="210" t="s">
        <v>142</v>
      </c>
      <c r="G8" s="110" t="str">
        <f ca="1">+Resumen_Base!D1</f>
        <v>Ok</v>
      </c>
      <c r="K8" s="152"/>
      <c r="L8" s="670"/>
    </row>
    <row r="9" spans="1:40" ht="13.5" thickBot="1">
      <c r="B9" s="210" t="str">
        <f>+F9&amp;$C$9&amp;G9</f>
        <v xml:space="preserve"> </v>
      </c>
      <c r="C9" s="210" t="s">
        <v>87</v>
      </c>
      <c r="D9" s="474" t="e">
        <f>+VLOOKUP(F9,Resumen_Base!$C$8:$F$26,4,0)</f>
        <v>#N/A</v>
      </c>
      <c r="E9" s="684" t="e">
        <f>+VLOOKUP(F9,Resumen_Base!$C$8:$G$156,5,0)</f>
        <v>#N/A</v>
      </c>
      <c r="G9" s="474"/>
      <c r="H9" s="152" t="e">
        <f>+D9&amp;F9</f>
        <v>#N/A</v>
      </c>
      <c r="I9" s="6">
        <f>SUM(I10:I1378)</f>
        <v>100776935.88000007</v>
      </c>
      <c r="J9" s="6">
        <f>SUM(J10:J1378)</f>
        <v>103144.35799604248</v>
      </c>
      <c r="K9" s="152"/>
      <c r="L9" s="670"/>
    </row>
    <row r="10" spans="1:40" s="474" customFormat="1" ht="25">
      <c r="A10" s="683" t="s">
        <v>774</v>
      </c>
      <c r="B10" s="515" t="s">
        <v>126</v>
      </c>
      <c r="C10" s="9"/>
      <c r="D10" s="515" t="s">
        <v>75</v>
      </c>
      <c r="E10" s="515" t="s">
        <v>76</v>
      </c>
      <c r="F10" s="153" t="s">
        <v>24</v>
      </c>
      <c r="G10" s="153" t="s">
        <v>23</v>
      </c>
      <c r="H10" s="153"/>
      <c r="I10" s="671" t="s">
        <v>22</v>
      </c>
      <c r="J10" s="671" t="s">
        <v>20</v>
      </c>
      <c r="K10" s="671" t="s">
        <v>74</v>
      </c>
      <c r="L10" s="517" t="s">
        <v>18</v>
      </c>
      <c r="M10" s="153" t="s">
        <v>17</v>
      </c>
      <c r="N10" s="153" t="s">
        <v>16</v>
      </c>
      <c r="O10" s="153" t="s">
        <v>15</v>
      </c>
      <c r="P10" s="153" t="s">
        <v>14</v>
      </c>
      <c r="Q10" s="153" t="s">
        <v>13</v>
      </c>
      <c r="R10" s="153" t="s">
        <v>12</v>
      </c>
      <c r="S10" s="153" t="s">
        <v>11</v>
      </c>
      <c r="T10" s="153" t="s">
        <v>10</v>
      </c>
      <c r="U10" s="153" t="s">
        <v>9</v>
      </c>
      <c r="V10" s="153" t="s">
        <v>8</v>
      </c>
      <c r="W10" s="153" t="s">
        <v>7</v>
      </c>
      <c r="X10" s="671" t="s">
        <v>21</v>
      </c>
      <c r="Y10" s="153"/>
      <c r="Z10" s="153" t="s">
        <v>20</v>
      </c>
      <c r="AA10" s="153" t="s">
        <v>19</v>
      </c>
      <c r="AC10" s="672" t="s">
        <v>18</v>
      </c>
      <c r="AD10" s="672" t="s">
        <v>17</v>
      </c>
      <c r="AE10" s="672" t="s">
        <v>16</v>
      </c>
      <c r="AF10" s="672" t="s">
        <v>15</v>
      </c>
      <c r="AG10" s="672" t="s">
        <v>14</v>
      </c>
      <c r="AH10" s="672" t="s">
        <v>13</v>
      </c>
      <c r="AI10" s="672" t="s">
        <v>12</v>
      </c>
      <c r="AJ10" s="672" t="s">
        <v>11</v>
      </c>
      <c r="AK10" s="672" t="s">
        <v>10</v>
      </c>
      <c r="AL10" s="673" t="s">
        <v>9</v>
      </c>
      <c r="AM10" s="672" t="s">
        <v>8</v>
      </c>
      <c r="AN10" s="672" t="s">
        <v>7</v>
      </c>
    </row>
    <row r="11" spans="1:40" ht="14.5">
      <c r="C11" s="508"/>
      <c r="F11" s="522"/>
      <c r="G11" s="520"/>
      <c r="H11" s="520"/>
      <c r="I11" s="523"/>
      <c r="J11" s="523"/>
      <c r="K11" s="523"/>
      <c r="M11" s="519"/>
      <c r="X11" s="513"/>
      <c r="AC11" s="524"/>
      <c r="AD11" s="520"/>
      <c r="AE11" s="520"/>
      <c r="AF11" s="520"/>
      <c r="AG11" s="520"/>
      <c r="AH11" s="522"/>
      <c r="AI11" s="520"/>
      <c r="AJ11" s="520"/>
      <c r="AK11" s="520"/>
      <c r="AL11" s="520"/>
      <c r="AM11" s="520"/>
      <c r="AN11" s="520"/>
    </row>
    <row r="13" spans="1:40" ht="50">
      <c r="C13" s="152" t="s">
        <v>2821</v>
      </c>
      <c r="D13" s="474" t="s">
        <v>670</v>
      </c>
      <c r="E13" s="684" t="str">
        <f>+VLOOKUP(F13,Resumen_Base!$C$8:$G$156,5,0)</f>
        <v>Fixed Asset's Payments (Investments) Mejoras/equipamiento Lodge</v>
      </c>
      <c r="F13" s="152" t="s">
        <v>50</v>
      </c>
      <c r="G13" s="152" t="s">
        <v>51</v>
      </c>
      <c r="H13" s="152" t="str">
        <f t="shared" ref="H13:H76" si="0">+D13&amp;F13</f>
        <v>SJ12020103</v>
      </c>
      <c r="I13" s="513">
        <v>2707.5</v>
      </c>
      <c r="J13" s="513">
        <v>1.9</v>
      </c>
      <c r="K13" s="513">
        <v>1425</v>
      </c>
      <c r="L13" s="518" t="s">
        <v>3637</v>
      </c>
      <c r="M13" s="152" t="s">
        <v>780</v>
      </c>
      <c r="N13" s="152" t="s">
        <v>781</v>
      </c>
      <c r="O13" s="152" t="s">
        <v>4770</v>
      </c>
      <c r="P13" s="152" t="s">
        <v>2865</v>
      </c>
      <c r="Q13" s="152" t="s">
        <v>4771</v>
      </c>
      <c r="R13" s="152" t="s">
        <v>953</v>
      </c>
      <c r="S13" s="152" t="s">
        <v>4773</v>
      </c>
      <c r="T13" s="152" t="s">
        <v>786</v>
      </c>
    </row>
    <row r="14" spans="1:40" ht="50">
      <c r="C14" s="152" t="s">
        <v>2821</v>
      </c>
      <c r="D14" s="474" t="s">
        <v>670</v>
      </c>
      <c r="E14" s="684" t="str">
        <f>+VLOOKUP(F14,Resumen_Base!$C$8:$G$156,5,0)</f>
        <v>Fixed Asset's Payments (Investments) Mejoras/equipamiento Lodge</v>
      </c>
      <c r="F14" s="152" t="s">
        <v>50</v>
      </c>
      <c r="G14" s="152" t="s">
        <v>51</v>
      </c>
      <c r="H14" s="152" t="str">
        <f t="shared" si="0"/>
        <v>SJ12020103</v>
      </c>
      <c r="I14" s="513">
        <v>370614</v>
      </c>
      <c r="J14" s="513">
        <v>260.08</v>
      </c>
      <c r="K14" s="513">
        <v>1425</v>
      </c>
      <c r="L14" s="518" t="s">
        <v>3637</v>
      </c>
      <c r="M14" s="152" t="s">
        <v>780</v>
      </c>
      <c r="N14" s="152" t="s">
        <v>781</v>
      </c>
      <c r="O14" s="152" t="s">
        <v>4770</v>
      </c>
      <c r="P14" s="152" t="s">
        <v>2865</v>
      </c>
      <c r="Q14" s="152" t="s">
        <v>4771</v>
      </c>
      <c r="R14" s="152" t="s">
        <v>4835</v>
      </c>
      <c r="S14" s="152" t="s">
        <v>4773</v>
      </c>
      <c r="T14" s="152" t="s">
        <v>786</v>
      </c>
    </row>
    <row r="15" spans="1:40" ht="50">
      <c r="A15" s="684" t="s">
        <v>5853</v>
      </c>
      <c r="C15" s="152" t="s">
        <v>2821</v>
      </c>
      <c r="D15" s="474" t="s">
        <v>675</v>
      </c>
      <c r="E15" s="684" t="str">
        <f>+VLOOKUP(F15,Resumen_Base!$C$8:$G$156,5,0)</f>
        <v>Fixed Asset's Payments (Investments) Mejoras/equipamiento Lodge</v>
      </c>
      <c r="F15" s="152" t="s">
        <v>50</v>
      </c>
      <c r="G15" s="152" t="s">
        <v>51</v>
      </c>
      <c r="H15" s="152" t="str">
        <f t="shared" si="0"/>
        <v>UL12020103</v>
      </c>
      <c r="I15" s="513">
        <v>6300395.25</v>
      </c>
      <c r="J15" s="513">
        <v>4421.33</v>
      </c>
      <c r="K15" s="513">
        <v>1425</v>
      </c>
      <c r="L15" s="518" t="s">
        <v>3637</v>
      </c>
      <c r="M15" s="152" t="s">
        <v>780</v>
      </c>
      <c r="N15" s="152" t="s">
        <v>781</v>
      </c>
      <c r="O15" s="152" t="s">
        <v>4770</v>
      </c>
      <c r="P15" s="152" t="s">
        <v>2865</v>
      </c>
      <c r="Q15" s="152" t="s">
        <v>4771</v>
      </c>
      <c r="R15" s="152" t="s">
        <v>4836</v>
      </c>
      <c r="S15" s="152" t="s">
        <v>4773</v>
      </c>
      <c r="T15" s="152" t="s">
        <v>786</v>
      </c>
    </row>
    <row r="16" spans="1:40" ht="50">
      <c r="C16" s="152" t="s">
        <v>2821</v>
      </c>
      <c r="D16" s="474" t="s">
        <v>676</v>
      </c>
      <c r="E16" s="684" t="str">
        <f>+VLOOKUP(F16,Resumen_Base!$C$8:$G$156,5,0)</f>
        <v>Fixed Asset's Payments (Investments) Mejoras/equipamiento Lodge</v>
      </c>
      <c r="F16" s="152" t="s">
        <v>50</v>
      </c>
      <c r="G16" s="152" t="s">
        <v>51</v>
      </c>
      <c r="H16" s="152" t="str">
        <f t="shared" si="0"/>
        <v>CAR12020103</v>
      </c>
      <c r="I16" s="513">
        <v>52725</v>
      </c>
      <c r="J16" s="513">
        <v>37</v>
      </c>
      <c r="K16" s="513">
        <v>1425</v>
      </c>
      <c r="L16" s="518" t="s">
        <v>3504</v>
      </c>
      <c r="M16" s="152" t="s">
        <v>780</v>
      </c>
      <c r="N16" s="152" t="s">
        <v>1407</v>
      </c>
      <c r="O16" s="152" t="s">
        <v>3505</v>
      </c>
      <c r="P16" s="152" t="s">
        <v>3489</v>
      </c>
      <c r="Q16" s="152" t="s">
        <v>3506</v>
      </c>
      <c r="R16" s="152" t="s">
        <v>3507</v>
      </c>
      <c r="S16" s="152" t="s">
        <v>3508</v>
      </c>
      <c r="T16" s="152" t="s">
        <v>786</v>
      </c>
    </row>
    <row r="17" spans="1:20" ht="50">
      <c r="C17" s="152" t="s">
        <v>2821</v>
      </c>
      <c r="D17" s="474" t="s">
        <v>676</v>
      </c>
      <c r="E17" s="684" t="str">
        <f>+VLOOKUP(F17,Resumen_Base!$C$8:$G$156,5,0)</f>
        <v>Fixed Asset's Payments (Investments) Mejoras/equipamiento Lodge</v>
      </c>
      <c r="F17" s="152" t="s">
        <v>50</v>
      </c>
      <c r="G17" s="152" t="s">
        <v>51</v>
      </c>
      <c r="H17" s="152" t="str">
        <f t="shared" si="0"/>
        <v>CAR12020103</v>
      </c>
      <c r="I17" s="513">
        <v>81225</v>
      </c>
      <c r="J17" s="513">
        <v>57</v>
      </c>
      <c r="K17" s="513">
        <v>1425</v>
      </c>
      <c r="L17" s="518" t="s">
        <v>3637</v>
      </c>
      <c r="M17" s="152" t="s">
        <v>780</v>
      </c>
      <c r="N17" s="152" t="s">
        <v>1407</v>
      </c>
      <c r="O17" s="152" t="s">
        <v>3638</v>
      </c>
      <c r="P17" s="152" t="s">
        <v>2865</v>
      </c>
      <c r="Q17" s="152" t="s">
        <v>3639</v>
      </c>
      <c r="R17" s="152" t="s">
        <v>3784</v>
      </c>
      <c r="S17" s="152" t="s">
        <v>3641</v>
      </c>
      <c r="T17" s="152" t="s">
        <v>786</v>
      </c>
    </row>
    <row r="18" spans="1:20" ht="50">
      <c r="C18" s="152" t="s">
        <v>2821</v>
      </c>
      <c r="D18" s="474" t="s">
        <v>676</v>
      </c>
      <c r="E18" s="684" t="str">
        <f>+VLOOKUP(F18,Resumen_Base!$C$8:$G$156,5,0)</f>
        <v>Fixed Asset's Payments (Investments) Mejoras/equipamiento Lodge</v>
      </c>
      <c r="F18" s="152" t="s">
        <v>50</v>
      </c>
      <c r="G18" s="152" t="s">
        <v>51</v>
      </c>
      <c r="H18" s="152" t="str">
        <f t="shared" si="0"/>
        <v>CAR12020103</v>
      </c>
      <c r="I18" s="513">
        <v>728175</v>
      </c>
      <c r="J18" s="513">
        <v>511</v>
      </c>
      <c r="K18" s="513">
        <v>1425</v>
      </c>
      <c r="L18" s="518" t="s">
        <v>3504</v>
      </c>
      <c r="M18" s="152" t="s">
        <v>780</v>
      </c>
      <c r="N18" s="152" t="s">
        <v>1407</v>
      </c>
      <c r="O18" s="152" t="s">
        <v>3505</v>
      </c>
      <c r="P18" s="152" t="s">
        <v>3489</v>
      </c>
      <c r="Q18" s="152" t="s">
        <v>3506</v>
      </c>
      <c r="R18" s="152" t="s">
        <v>3805</v>
      </c>
      <c r="S18" s="152" t="s">
        <v>3508</v>
      </c>
      <c r="T18" s="152" t="s">
        <v>786</v>
      </c>
    </row>
    <row r="19" spans="1:20" ht="50">
      <c r="C19" s="152" t="s">
        <v>2821</v>
      </c>
      <c r="D19" s="474" t="s">
        <v>676</v>
      </c>
      <c r="E19" s="684" t="str">
        <f>+VLOOKUP(F19,Resumen_Base!$C$8:$G$156,5,0)</f>
        <v>Fixed Asset's Payments (Investments) Mejoras/equipamiento Lodge</v>
      </c>
      <c r="F19" s="152" t="s">
        <v>50</v>
      </c>
      <c r="G19" s="152" t="s">
        <v>51</v>
      </c>
      <c r="H19" s="152" t="str">
        <f t="shared" si="0"/>
        <v>CAR12020103</v>
      </c>
      <c r="I19" s="513">
        <v>145350</v>
      </c>
      <c r="J19" s="513">
        <v>102</v>
      </c>
      <c r="K19" s="513">
        <v>1425</v>
      </c>
      <c r="L19" s="518" t="s">
        <v>3511</v>
      </c>
      <c r="M19" s="152" t="s">
        <v>780</v>
      </c>
      <c r="N19" s="152" t="s">
        <v>1407</v>
      </c>
      <c r="O19" s="152" t="s">
        <v>3512</v>
      </c>
      <c r="P19" s="152" t="s">
        <v>3489</v>
      </c>
      <c r="Q19" s="152" t="s">
        <v>3513</v>
      </c>
      <c r="R19" s="152" t="s">
        <v>3817</v>
      </c>
      <c r="S19" s="152" t="s">
        <v>3515</v>
      </c>
      <c r="T19" s="152" t="s">
        <v>786</v>
      </c>
    </row>
    <row r="20" spans="1:20" ht="50">
      <c r="C20" s="152" t="s">
        <v>2821</v>
      </c>
      <c r="D20" s="474" t="s">
        <v>676</v>
      </c>
      <c r="E20" s="684" t="str">
        <f>+VLOOKUP(F20,Resumen_Base!$C$8:$G$156,5,0)</f>
        <v>Fixed Asset's Payments (Investments) Mejoras/equipamiento Lodge</v>
      </c>
      <c r="F20" s="152" t="s">
        <v>50</v>
      </c>
      <c r="G20" s="152" t="s">
        <v>51</v>
      </c>
      <c r="H20" s="152" t="str">
        <f t="shared" si="0"/>
        <v>CAR12020103</v>
      </c>
      <c r="I20" s="513">
        <v>85372</v>
      </c>
      <c r="J20" s="513">
        <v>60.98</v>
      </c>
      <c r="K20" s="513">
        <v>1400</v>
      </c>
      <c r="L20" s="518" t="s">
        <v>3659</v>
      </c>
      <c r="M20" s="152" t="s">
        <v>780</v>
      </c>
      <c r="N20" s="152" t="s">
        <v>1407</v>
      </c>
      <c r="O20" s="152" t="s">
        <v>3795</v>
      </c>
      <c r="P20" s="152" t="s">
        <v>3489</v>
      </c>
      <c r="Q20" s="152" t="s">
        <v>3796</v>
      </c>
      <c r="R20" s="152" t="s">
        <v>3826</v>
      </c>
      <c r="S20" s="152" t="s">
        <v>3798</v>
      </c>
      <c r="T20" s="152" t="s">
        <v>786</v>
      </c>
    </row>
    <row r="21" spans="1:20" ht="50">
      <c r="C21" s="152" t="s">
        <v>2821</v>
      </c>
      <c r="D21" s="474" t="s">
        <v>676</v>
      </c>
      <c r="E21" s="684" t="str">
        <f>+VLOOKUP(F21,Resumen_Base!$C$8:$G$156,5,0)</f>
        <v>Fixed Asset's Payments (Investments) Mejoras/equipamiento Lodge</v>
      </c>
      <c r="F21" s="152" t="s">
        <v>50</v>
      </c>
      <c r="G21" s="152" t="s">
        <v>51</v>
      </c>
      <c r="H21" s="152" t="str">
        <f t="shared" si="0"/>
        <v>CAR12020103</v>
      </c>
      <c r="I21" s="513">
        <v>12825</v>
      </c>
      <c r="J21" s="513">
        <v>9</v>
      </c>
      <c r="K21" s="513">
        <v>1425</v>
      </c>
      <c r="L21" s="518" t="s">
        <v>3504</v>
      </c>
      <c r="M21" s="152" t="s">
        <v>780</v>
      </c>
      <c r="N21" s="152" t="s">
        <v>1407</v>
      </c>
      <c r="O21" s="152" t="s">
        <v>3505</v>
      </c>
      <c r="P21" s="152" t="s">
        <v>3489</v>
      </c>
      <c r="Q21" s="152" t="s">
        <v>3506</v>
      </c>
      <c r="R21" s="152" t="s">
        <v>3835</v>
      </c>
      <c r="S21" s="152" t="s">
        <v>3508</v>
      </c>
      <c r="T21" s="152" t="s">
        <v>786</v>
      </c>
    </row>
    <row r="22" spans="1:20" ht="50">
      <c r="A22" s="530" t="s">
        <v>5868</v>
      </c>
      <c r="C22" s="152" t="s">
        <v>2821</v>
      </c>
      <c r="D22" s="474" t="s">
        <v>676</v>
      </c>
      <c r="E22" s="684" t="str">
        <f>+VLOOKUP(F22,Resumen_Base!$C$8:$G$156,5,0)</f>
        <v>Fixed Asset's Payments (Investments) Mejoras/equipamiento Lodge</v>
      </c>
      <c r="F22" s="152" t="s">
        <v>50</v>
      </c>
      <c r="G22" s="152" t="s">
        <v>51</v>
      </c>
      <c r="H22" s="152" t="str">
        <f t="shared" si="0"/>
        <v>CAR12020103</v>
      </c>
      <c r="I22" s="513">
        <v>882960</v>
      </c>
      <c r="J22" s="513">
        <v>624</v>
      </c>
      <c r="K22" s="513">
        <v>1415</v>
      </c>
      <c r="L22" s="518" t="s">
        <v>3632</v>
      </c>
      <c r="M22" s="152" t="s">
        <v>780</v>
      </c>
      <c r="N22" s="152" t="s">
        <v>1407</v>
      </c>
      <c r="O22" s="152" t="s">
        <v>3633</v>
      </c>
      <c r="P22" s="152" t="s">
        <v>3489</v>
      </c>
      <c r="Q22" s="152" t="s">
        <v>3634</v>
      </c>
      <c r="R22" s="152" t="s">
        <v>3836</v>
      </c>
      <c r="S22" s="152" t="s">
        <v>3636</v>
      </c>
      <c r="T22" s="152" t="s">
        <v>786</v>
      </c>
    </row>
    <row r="23" spans="1:20" ht="50">
      <c r="A23" s="530" t="s">
        <v>5868</v>
      </c>
      <c r="C23" s="152" t="s">
        <v>2821</v>
      </c>
      <c r="D23" s="474" t="s">
        <v>676</v>
      </c>
      <c r="E23" s="684" t="str">
        <f>+VLOOKUP(F23,Resumen_Base!$C$8:$G$156,5,0)</f>
        <v>Fixed Asset's Payments (Investments) Mejoras/equipamiento Lodge</v>
      </c>
      <c r="F23" s="152" t="s">
        <v>50</v>
      </c>
      <c r="G23" s="152" t="s">
        <v>51</v>
      </c>
      <c r="H23" s="152" t="str">
        <f t="shared" si="0"/>
        <v>CAR12020103</v>
      </c>
      <c r="I23" s="513">
        <v>732005</v>
      </c>
      <c r="J23" s="513">
        <v>521</v>
      </c>
      <c r="K23" s="513">
        <v>1405</v>
      </c>
      <c r="L23" s="518" t="s">
        <v>3493</v>
      </c>
      <c r="M23" s="152" t="s">
        <v>780</v>
      </c>
      <c r="N23" s="152" t="s">
        <v>1407</v>
      </c>
      <c r="O23" s="152" t="s">
        <v>3677</v>
      </c>
      <c r="P23" s="152" t="s">
        <v>3489</v>
      </c>
      <c r="Q23" s="152" t="s">
        <v>3678</v>
      </c>
      <c r="R23" s="152" t="s">
        <v>3836</v>
      </c>
      <c r="S23" s="152" t="s">
        <v>3679</v>
      </c>
      <c r="T23" s="152" t="s">
        <v>786</v>
      </c>
    </row>
    <row r="24" spans="1:20" ht="50">
      <c r="A24" s="530" t="s">
        <v>5868</v>
      </c>
      <c r="C24" s="152" t="s">
        <v>2821</v>
      </c>
      <c r="D24" s="474" t="s">
        <v>676</v>
      </c>
      <c r="E24" s="684" t="str">
        <f>+VLOOKUP(F24,Resumen_Base!$C$8:$G$156,5,0)</f>
        <v>Fixed Asset's Payments (Investments) Mejoras/equipamiento Lodge</v>
      </c>
      <c r="F24" s="152" t="s">
        <v>50</v>
      </c>
      <c r="G24" s="152" t="s">
        <v>51</v>
      </c>
      <c r="H24" s="152" t="str">
        <f t="shared" si="0"/>
        <v>CAR12020103</v>
      </c>
      <c r="I24" s="513">
        <v>1050000</v>
      </c>
      <c r="J24" s="513">
        <v>750</v>
      </c>
      <c r="K24" s="513">
        <v>1400</v>
      </c>
      <c r="L24" s="518" t="s">
        <v>3659</v>
      </c>
      <c r="M24" s="152" t="s">
        <v>780</v>
      </c>
      <c r="N24" s="152" t="s">
        <v>1407</v>
      </c>
      <c r="O24" s="152" t="s">
        <v>3795</v>
      </c>
      <c r="P24" s="152" t="s">
        <v>3489</v>
      </c>
      <c r="Q24" s="152" t="s">
        <v>3796</v>
      </c>
      <c r="R24" s="152" t="s">
        <v>3837</v>
      </c>
      <c r="S24" s="152" t="s">
        <v>3798</v>
      </c>
      <c r="T24" s="152" t="s">
        <v>786</v>
      </c>
    </row>
    <row r="25" spans="1:20" ht="50">
      <c r="A25" s="530" t="s">
        <v>5868</v>
      </c>
      <c r="C25" s="152" t="s">
        <v>2821</v>
      </c>
      <c r="D25" s="474" t="s">
        <v>676</v>
      </c>
      <c r="E25" s="684" t="str">
        <f>+VLOOKUP(F25,Resumen_Base!$C$8:$G$156,5,0)</f>
        <v>Fixed Asset's Payments (Investments) Mejoras/equipamiento Lodge</v>
      </c>
      <c r="F25" s="152" t="s">
        <v>50</v>
      </c>
      <c r="G25" s="152" t="s">
        <v>51</v>
      </c>
      <c r="H25" s="152" t="str">
        <f t="shared" si="0"/>
        <v>CAR12020103</v>
      </c>
      <c r="I25" s="513">
        <v>747120</v>
      </c>
      <c r="J25" s="513">
        <v>528</v>
      </c>
      <c r="K25" s="513">
        <v>1415</v>
      </c>
      <c r="L25" s="518" t="s">
        <v>3511</v>
      </c>
      <c r="M25" s="152" t="s">
        <v>780</v>
      </c>
      <c r="N25" s="152" t="s">
        <v>1407</v>
      </c>
      <c r="O25" s="152" t="s">
        <v>3512</v>
      </c>
      <c r="P25" s="152" t="s">
        <v>3489</v>
      </c>
      <c r="Q25" s="152" t="s">
        <v>3513</v>
      </c>
      <c r="R25" s="152" t="s">
        <v>3849</v>
      </c>
      <c r="S25" s="152" t="s">
        <v>3515</v>
      </c>
      <c r="T25" s="152" t="s">
        <v>786</v>
      </c>
    </row>
    <row r="26" spans="1:20" ht="50">
      <c r="A26" s="530" t="s">
        <v>5868</v>
      </c>
      <c r="C26" s="152" t="s">
        <v>2821</v>
      </c>
      <c r="D26" s="474" t="s">
        <v>676</v>
      </c>
      <c r="E26" s="684" t="str">
        <f>+VLOOKUP(F26,Resumen_Base!$C$8:$G$156,5,0)</f>
        <v>Fixed Asset's Payments (Investments) Mejoras/equipamiento Lodge</v>
      </c>
      <c r="F26" s="152" t="s">
        <v>50</v>
      </c>
      <c r="G26" s="152" t="s">
        <v>51</v>
      </c>
      <c r="H26" s="152" t="str">
        <f t="shared" si="0"/>
        <v>CAR12020103</v>
      </c>
      <c r="I26" s="513">
        <v>2186175</v>
      </c>
      <c r="J26" s="513">
        <v>1545</v>
      </c>
      <c r="K26" s="513">
        <v>1415</v>
      </c>
      <c r="L26" s="518" t="s">
        <v>3511</v>
      </c>
      <c r="M26" s="152" t="s">
        <v>780</v>
      </c>
      <c r="N26" s="152" t="s">
        <v>1407</v>
      </c>
      <c r="O26" s="152" t="s">
        <v>3512</v>
      </c>
      <c r="P26" s="152" t="s">
        <v>3489</v>
      </c>
      <c r="Q26" s="152" t="s">
        <v>3513</v>
      </c>
      <c r="R26" s="152" t="s">
        <v>3856</v>
      </c>
      <c r="S26" s="152" t="s">
        <v>3515</v>
      </c>
      <c r="T26" s="152" t="s">
        <v>786</v>
      </c>
    </row>
    <row r="27" spans="1:20" ht="50">
      <c r="A27" s="530" t="s">
        <v>5868</v>
      </c>
      <c r="C27" s="152" t="s">
        <v>2821</v>
      </c>
      <c r="D27" s="474" t="s">
        <v>676</v>
      </c>
      <c r="E27" s="684" t="str">
        <f>+VLOOKUP(F27,Resumen_Base!$C$8:$G$156,5,0)</f>
        <v>Fixed Asset's Payments (Investments) Mejoras/equipamiento Lodge</v>
      </c>
      <c r="F27" s="152" t="s">
        <v>50</v>
      </c>
      <c r="G27" s="152" t="s">
        <v>51</v>
      </c>
      <c r="H27" s="152" t="str">
        <f t="shared" si="0"/>
        <v>CAR12020103</v>
      </c>
      <c r="I27" s="513">
        <v>1264500</v>
      </c>
      <c r="J27" s="513">
        <v>900</v>
      </c>
      <c r="K27" s="513">
        <v>1405</v>
      </c>
      <c r="L27" s="518" t="s">
        <v>3493</v>
      </c>
      <c r="M27" s="152" t="s">
        <v>780</v>
      </c>
      <c r="N27" s="152" t="s">
        <v>1407</v>
      </c>
      <c r="O27" s="152" t="s">
        <v>3677</v>
      </c>
      <c r="P27" s="152" t="s">
        <v>3489</v>
      </c>
      <c r="Q27" s="152" t="s">
        <v>3678</v>
      </c>
      <c r="R27" s="152" t="s">
        <v>3942</v>
      </c>
      <c r="S27" s="152" t="s">
        <v>3679</v>
      </c>
      <c r="T27" s="152" t="s">
        <v>786</v>
      </c>
    </row>
    <row r="28" spans="1:20" ht="50">
      <c r="A28" s="530" t="s">
        <v>5868</v>
      </c>
      <c r="C28" s="152" t="s">
        <v>2821</v>
      </c>
      <c r="D28" s="474" t="s">
        <v>676</v>
      </c>
      <c r="E28" s="684" t="str">
        <f>+VLOOKUP(F28,Resumen_Base!$C$8:$G$156,5,0)</f>
        <v>Fixed Asset's Payments (Investments) Mejoras/equipamiento Lodge</v>
      </c>
      <c r="F28" s="152" t="s">
        <v>50</v>
      </c>
      <c r="G28" s="152" t="s">
        <v>51</v>
      </c>
      <c r="H28" s="152" t="str">
        <f t="shared" si="0"/>
        <v>CAR12020103</v>
      </c>
      <c r="I28" s="513">
        <v>171820.79999999999</v>
      </c>
      <c r="J28" s="513">
        <v>119.32</v>
      </c>
      <c r="K28" s="513">
        <v>1440</v>
      </c>
      <c r="L28" s="518" t="s">
        <v>3517</v>
      </c>
      <c r="M28" s="152" t="s">
        <v>780</v>
      </c>
      <c r="N28" s="152" t="s">
        <v>1407</v>
      </c>
      <c r="O28" s="152" t="s">
        <v>3518</v>
      </c>
      <c r="P28" s="152" t="s">
        <v>892</v>
      </c>
      <c r="Q28" s="152" t="s">
        <v>3519</v>
      </c>
      <c r="R28" s="152" t="s">
        <v>3954</v>
      </c>
      <c r="S28" s="152" t="s">
        <v>3521</v>
      </c>
      <c r="T28" s="152" t="s">
        <v>786</v>
      </c>
    </row>
    <row r="29" spans="1:20" ht="50">
      <c r="A29" s="530" t="s">
        <v>5868</v>
      </c>
      <c r="C29" s="152" t="s">
        <v>2821</v>
      </c>
      <c r="D29" s="474" t="s">
        <v>676</v>
      </c>
      <c r="E29" s="684" t="str">
        <f>+VLOOKUP(F29,Resumen_Base!$C$8:$G$156,5,0)</f>
        <v>Fixed Asset's Payments (Investments) Mejoras/equipamiento Lodge</v>
      </c>
      <c r="F29" s="152" t="s">
        <v>50</v>
      </c>
      <c r="G29" s="152" t="s">
        <v>51</v>
      </c>
      <c r="H29" s="152" t="str">
        <f t="shared" si="0"/>
        <v>CAR12020103</v>
      </c>
      <c r="I29" s="513">
        <v>2448000</v>
      </c>
      <c r="J29" s="513">
        <v>1700</v>
      </c>
      <c r="K29" s="513">
        <v>1440</v>
      </c>
      <c r="L29" s="518" t="s">
        <v>3517</v>
      </c>
      <c r="M29" s="152" t="s">
        <v>780</v>
      </c>
      <c r="N29" s="152" t="s">
        <v>1407</v>
      </c>
      <c r="O29" s="152" t="s">
        <v>3518</v>
      </c>
      <c r="P29" s="152" t="s">
        <v>892</v>
      </c>
      <c r="Q29" s="152" t="s">
        <v>3519</v>
      </c>
      <c r="R29" s="152" t="s">
        <v>3954</v>
      </c>
      <c r="S29" s="152" t="s">
        <v>3521</v>
      </c>
      <c r="T29" s="152" t="s">
        <v>786</v>
      </c>
    </row>
    <row r="30" spans="1:20" ht="50">
      <c r="A30" s="530" t="s">
        <v>5868</v>
      </c>
      <c r="C30" s="152" t="s">
        <v>2821</v>
      </c>
      <c r="D30" s="474" t="s">
        <v>676</v>
      </c>
      <c r="E30" s="684" t="str">
        <f>+VLOOKUP(F30,Resumen_Base!$C$8:$G$156,5,0)</f>
        <v>Fixed Asset's Payments (Investments) Mejoras/equipamiento Lodge</v>
      </c>
      <c r="F30" s="152" t="s">
        <v>50</v>
      </c>
      <c r="G30" s="152" t="s">
        <v>51</v>
      </c>
      <c r="H30" s="152" t="str">
        <f t="shared" si="0"/>
        <v>CAR12020103</v>
      </c>
      <c r="I30" s="513">
        <v>118275</v>
      </c>
      <c r="J30" s="513">
        <v>83</v>
      </c>
      <c r="K30" s="513">
        <v>1425</v>
      </c>
      <c r="L30" s="518" t="s">
        <v>3637</v>
      </c>
      <c r="M30" s="152" t="s">
        <v>780</v>
      </c>
      <c r="N30" s="152" t="s">
        <v>1407</v>
      </c>
      <c r="O30" s="152" t="s">
        <v>3638</v>
      </c>
      <c r="P30" s="152" t="s">
        <v>2865</v>
      </c>
      <c r="Q30" s="152" t="s">
        <v>3639</v>
      </c>
      <c r="R30" s="152" t="s">
        <v>3954</v>
      </c>
      <c r="S30" s="152" t="s">
        <v>3641</v>
      </c>
      <c r="T30" s="152" t="s">
        <v>786</v>
      </c>
    </row>
    <row r="31" spans="1:20" ht="50">
      <c r="A31" s="530" t="s">
        <v>5868</v>
      </c>
      <c r="C31" s="152" t="s">
        <v>2821</v>
      </c>
      <c r="D31" s="474" t="s">
        <v>676</v>
      </c>
      <c r="E31" s="684" t="str">
        <f>+VLOOKUP(F31,Resumen_Base!$C$8:$G$156,5,0)</f>
        <v>Fixed Asset's Payments (Investments) Mejoras/equipamiento Lodge</v>
      </c>
      <c r="F31" s="152" t="s">
        <v>50</v>
      </c>
      <c r="G31" s="152" t="s">
        <v>51</v>
      </c>
      <c r="H31" s="152" t="str">
        <f t="shared" si="0"/>
        <v>CAR12020103</v>
      </c>
      <c r="I31" s="513">
        <v>936000</v>
      </c>
      <c r="J31" s="513">
        <v>650</v>
      </c>
      <c r="K31" s="513">
        <v>1440</v>
      </c>
      <c r="L31" s="518" t="s">
        <v>3637</v>
      </c>
      <c r="M31" s="152" t="s">
        <v>780</v>
      </c>
      <c r="N31" s="152" t="s">
        <v>1407</v>
      </c>
      <c r="O31" s="152" t="s">
        <v>3638</v>
      </c>
      <c r="P31" s="152" t="s">
        <v>2865</v>
      </c>
      <c r="Q31" s="152" t="s">
        <v>3639</v>
      </c>
      <c r="R31" s="152" t="s">
        <v>3956</v>
      </c>
      <c r="S31" s="152" t="s">
        <v>3641</v>
      </c>
      <c r="T31" s="152" t="s">
        <v>786</v>
      </c>
    </row>
    <row r="32" spans="1:20" ht="50">
      <c r="A32" s="530" t="s">
        <v>5868</v>
      </c>
      <c r="C32" s="152" t="s">
        <v>2821</v>
      </c>
      <c r="D32" s="474" t="s">
        <v>676</v>
      </c>
      <c r="E32" s="684" t="str">
        <f>+VLOOKUP(F32,Resumen_Base!$C$8:$G$156,5,0)</f>
        <v>Fixed Asset's Payments (Investments) Mejoras/equipamiento Lodge</v>
      </c>
      <c r="F32" s="152" t="s">
        <v>50</v>
      </c>
      <c r="G32" s="152" t="s">
        <v>51</v>
      </c>
      <c r="H32" s="152" t="str">
        <f t="shared" si="0"/>
        <v>CAR12020103</v>
      </c>
      <c r="I32" s="513">
        <v>2880000</v>
      </c>
      <c r="J32" s="513">
        <v>2000</v>
      </c>
      <c r="K32" s="513">
        <v>1440</v>
      </c>
      <c r="L32" s="518" t="s">
        <v>3637</v>
      </c>
      <c r="M32" s="152" t="s">
        <v>780</v>
      </c>
      <c r="N32" s="152" t="s">
        <v>1407</v>
      </c>
      <c r="O32" s="152" t="s">
        <v>3638</v>
      </c>
      <c r="P32" s="152" t="s">
        <v>2865</v>
      </c>
      <c r="Q32" s="152" t="s">
        <v>3639</v>
      </c>
      <c r="R32" s="152" t="s">
        <v>3963</v>
      </c>
      <c r="S32" s="152" t="s">
        <v>3641</v>
      </c>
      <c r="T32" s="152" t="s">
        <v>786</v>
      </c>
    </row>
    <row r="33" spans="1:20" ht="50">
      <c r="A33" s="530" t="s">
        <v>5868</v>
      </c>
      <c r="C33" s="152" t="s">
        <v>2821</v>
      </c>
      <c r="D33" s="474" t="s">
        <v>676</v>
      </c>
      <c r="E33" s="684" t="str">
        <f>+VLOOKUP(F33,Resumen_Base!$C$8:$G$156,5,0)</f>
        <v>Fixed Asset's Payments (Investments) Mejoras/equipamiento Lodge</v>
      </c>
      <c r="F33" s="152" t="s">
        <v>50</v>
      </c>
      <c r="G33" s="152" t="s">
        <v>51</v>
      </c>
      <c r="H33" s="152" t="str">
        <f t="shared" si="0"/>
        <v>CAR12020103</v>
      </c>
      <c r="I33" s="513">
        <v>1140000</v>
      </c>
      <c r="J33" s="513">
        <v>800</v>
      </c>
      <c r="K33" s="513">
        <v>1425</v>
      </c>
      <c r="L33" s="518" t="s">
        <v>3504</v>
      </c>
      <c r="M33" s="152" t="s">
        <v>780</v>
      </c>
      <c r="N33" s="152" t="s">
        <v>1407</v>
      </c>
      <c r="O33" s="152" t="s">
        <v>3505</v>
      </c>
      <c r="P33" s="152" t="s">
        <v>3489</v>
      </c>
      <c r="Q33" s="152" t="s">
        <v>3506</v>
      </c>
      <c r="R33" s="152" t="s">
        <v>3991</v>
      </c>
      <c r="S33" s="152" t="s">
        <v>3508</v>
      </c>
      <c r="T33" s="152" t="s">
        <v>786</v>
      </c>
    </row>
    <row r="34" spans="1:20" ht="50">
      <c r="A34" s="530" t="s">
        <v>5868</v>
      </c>
      <c r="C34" s="152" t="s">
        <v>2821</v>
      </c>
      <c r="D34" s="474" t="s">
        <v>676</v>
      </c>
      <c r="E34" s="684" t="str">
        <f>+VLOOKUP(F34,Resumen_Base!$C$8:$G$156,5,0)</f>
        <v>Fixed Asset's Payments (Investments) Mejoras/equipamiento Lodge</v>
      </c>
      <c r="F34" s="152" t="s">
        <v>50</v>
      </c>
      <c r="G34" s="152" t="s">
        <v>51</v>
      </c>
      <c r="H34" s="152" t="str">
        <f t="shared" si="0"/>
        <v>CAR12020103</v>
      </c>
      <c r="I34" s="513">
        <v>1140000</v>
      </c>
      <c r="J34" s="513">
        <v>800</v>
      </c>
      <c r="K34" s="513">
        <v>1425</v>
      </c>
      <c r="L34" s="518" t="s">
        <v>3637</v>
      </c>
      <c r="M34" s="152" t="s">
        <v>780</v>
      </c>
      <c r="N34" s="152" t="s">
        <v>1407</v>
      </c>
      <c r="O34" s="152" t="s">
        <v>3638</v>
      </c>
      <c r="P34" s="152" t="s">
        <v>2865</v>
      </c>
      <c r="Q34" s="152" t="s">
        <v>3639</v>
      </c>
      <c r="R34" s="152" t="s">
        <v>3992</v>
      </c>
      <c r="S34" s="152" t="s">
        <v>3641</v>
      </c>
      <c r="T34" s="152" t="s">
        <v>786</v>
      </c>
    </row>
    <row r="35" spans="1:20" ht="50">
      <c r="A35" s="530" t="s">
        <v>5868</v>
      </c>
      <c r="C35" s="152" t="s">
        <v>2821</v>
      </c>
      <c r="D35" s="474" t="s">
        <v>676</v>
      </c>
      <c r="E35" s="684" t="str">
        <f>+VLOOKUP(F35,Resumen_Base!$C$8:$G$156,5,0)</f>
        <v>Fixed Asset's Payments (Investments) Mejoras/equipamiento Lodge</v>
      </c>
      <c r="F35" s="152" t="s">
        <v>50</v>
      </c>
      <c r="G35" s="152" t="s">
        <v>51</v>
      </c>
      <c r="H35" s="152" t="str">
        <f t="shared" si="0"/>
        <v>CAR12020103</v>
      </c>
      <c r="I35" s="513">
        <v>1269000</v>
      </c>
      <c r="J35" s="513">
        <v>900</v>
      </c>
      <c r="K35" s="513">
        <v>1410</v>
      </c>
      <c r="L35" s="518" t="s">
        <v>3498</v>
      </c>
      <c r="M35" s="152" t="s">
        <v>780</v>
      </c>
      <c r="N35" s="152" t="s">
        <v>1407</v>
      </c>
      <c r="O35" s="152" t="s">
        <v>3499</v>
      </c>
      <c r="P35" s="152" t="s">
        <v>3489</v>
      </c>
      <c r="Q35" s="152" t="s">
        <v>3500</v>
      </c>
      <c r="R35" s="152" t="s">
        <v>3992</v>
      </c>
      <c r="S35" s="152" t="s">
        <v>3502</v>
      </c>
      <c r="T35" s="152" t="s">
        <v>786</v>
      </c>
    </row>
    <row r="36" spans="1:20" ht="50">
      <c r="A36" s="530" t="s">
        <v>5868</v>
      </c>
      <c r="C36" s="152" t="s">
        <v>2821</v>
      </c>
      <c r="D36" s="474" t="s">
        <v>676</v>
      </c>
      <c r="E36" s="684" t="str">
        <f>+VLOOKUP(F36,Resumen_Base!$C$8:$G$156,5,0)</f>
        <v>Fixed Asset's Payments (Investments) Mejoras/equipamiento Lodge</v>
      </c>
      <c r="F36" s="152" t="s">
        <v>50</v>
      </c>
      <c r="G36" s="152" t="s">
        <v>51</v>
      </c>
      <c r="H36" s="152" t="str">
        <f t="shared" si="0"/>
        <v>CAR12020103</v>
      </c>
      <c r="I36" s="513">
        <v>1120000</v>
      </c>
      <c r="J36" s="513">
        <v>800</v>
      </c>
      <c r="K36" s="513">
        <v>1400</v>
      </c>
      <c r="L36" s="518" t="s">
        <v>3659</v>
      </c>
      <c r="M36" s="152" t="s">
        <v>780</v>
      </c>
      <c r="N36" s="152" t="s">
        <v>1407</v>
      </c>
      <c r="O36" s="152" t="s">
        <v>3795</v>
      </c>
      <c r="P36" s="152" t="s">
        <v>3489</v>
      </c>
      <c r="Q36" s="152" t="s">
        <v>3796</v>
      </c>
      <c r="R36" s="152" t="s">
        <v>3992</v>
      </c>
      <c r="S36" s="152" t="s">
        <v>3798</v>
      </c>
      <c r="T36" s="152" t="s">
        <v>786</v>
      </c>
    </row>
    <row r="37" spans="1:20" ht="50">
      <c r="A37" s="530" t="s">
        <v>5868</v>
      </c>
      <c r="C37" s="152" t="s">
        <v>2821</v>
      </c>
      <c r="D37" s="474" t="s">
        <v>676</v>
      </c>
      <c r="E37" s="684" t="str">
        <f>+VLOOKUP(F37,Resumen_Base!$C$8:$G$156,5,0)</f>
        <v>Fixed Asset's Payments (Investments) Mejoras/equipamiento Lodge</v>
      </c>
      <c r="F37" s="152" t="s">
        <v>50</v>
      </c>
      <c r="G37" s="152" t="s">
        <v>51</v>
      </c>
      <c r="H37" s="152" t="str">
        <f t="shared" si="0"/>
        <v>CAR12020103</v>
      </c>
      <c r="I37" s="513">
        <v>1132000</v>
      </c>
      <c r="J37" s="513">
        <v>800</v>
      </c>
      <c r="K37" s="513">
        <v>1415</v>
      </c>
      <c r="L37" s="518" t="s">
        <v>3511</v>
      </c>
      <c r="M37" s="152" t="s">
        <v>780</v>
      </c>
      <c r="N37" s="152" t="s">
        <v>1407</v>
      </c>
      <c r="O37" s="152" t="s">
        <v>3512</v>
      </c>
      <c r="P37" s="152" t="s">
        <v>3489</v>
      </c>
      <c r="Q37" s="152" t="s">
        <v>3513</v>
      </c>
      <c r="R37" s="152" t="s">
        <v>3993</v>
      </c>
      <c r="S37" s="152" t="s">
        <v>3515</v>
      </c>
      <c r="T37" s="152" t="s">
        <v>786</v>
      </c>
    </row>
    <row r="38" spans="1:20" ht="50">
      <c r="A38" s="530" t="s">
        <v>5868</v>
      </c>
      <c r="C38" s="152" t="s">
        <v>2821</v>
      </c>
      <c r="D38" s="474" t="s">
        <v>676</v>
      </c>
      <c r="E38" s="684" t="str">
        <f>+VLOOKUP(F38,Resumen_Base!$C$8:$G$156,5,0)</f>
        <v>Fixed Asset's Payments (Investments) Mejoras/equipamiento Lodge</v>
      </c>
      <c r="F38" s="152" t="s">
        <v>50</v>
      </c>
      <c r="G38" s="152" t="s">
        <v>51</v>
      </c>
      <c r="H38" s="152" t="str">
        <f t="shared" si="0"/>
        <v>CAR12020103</v>
      </c>
      <c r="I38" s="513">
        <v>846450</v>
      </c>
      <c r="J38" s="513">
        <v>594</v>
      </c>
      <c r="K38" s="513">
        <v>1425</v>
      </c>
      <c r="L38" s="518" t="s">
        <v>3504</v>
      </c>
      <c r="M38" s="152" t="s">
        <v>780</v>
      </c>
      <c r="N38" s="152" t="s">
        <v>1407</v>
      </c>
      <c r="O38" s="152" t="s">
        <v>3505</v>
      </c>
      <c r="P38" s="152" t="s">
        <v>3489</v>
      </c>
      <c r="Q38" s="152" t="s">
        <v>3506</v>
      </c>
      <c r="R38" s="152" t="s">
        <v>3995</v>
      </c>
      <c r="S38" s="152" t="s">
        <v>3508</v>
      </c>
      <c r="T38" s="152" t="s">
        <v>786</v>
      </c>
    </row>
    <row r="39" spans="1:20" ht="50">
      <c r="C39" s="152" t="s">
        <v>2821</v>
      </c>
      <c r="D39" s="474" t="s">
        <v>676</v>
      </c>
      <c r="E39" s="684" t="str">
        <f>+VLOOKUP(F39,Resumen_Base!$C$8:$G$156,5,0)</f>
        <v>Fixed Asset's Payments (Investments) Mejoras/equipamiento Lodge</v>
      </c>
      <c r="F39" s="152" t="s">
        <v>50</v>
      </c>
      <c r="G39" s="152" t="s">
        <v>51</v>
      </c>
      <c r="H39" s="152" t="str">
        <f t="shared" si="0"/>
        <v>CAR12020103</v>
      </c>
      <c r="I39" s="513">
        <v>-83237375</v>
      </c>
      <c r="J39" s="513">
        <v>-58825</v>
      </c>
      <c r="K39" s="513">
        <v>1415</v>
      </c>
      <c r="L39" s="518" t="s">
        <v>3511</v>
      </c>
      <c r="M39" s="152" t="s">
        <v>780</v>
      </c>
      <c r="N39" s="152" t="s">
        <v>1407</v>
      </c>
      <c r="O39" s="152" t="s">
        <v>4120</v>
      </c>
      <c r="P39" s="152" t="s">
        <v>3489</v>
      </c>
      <c r="Q39" s="152" t="s">
        <v>4121</v>
      </c>
      <c r="R39" s="152" t="s">
        <v>4122</v>
      </c>
      <c r="S39" s="152" t="s">
        <v>4123</v>
      </c>
      <c r="T39" s="152" t="s">
        <v>786</v>
      </c>
    </row>
    <row r="40" spans="1:20" ht="50">
      <c r="C40" s="152" t="s">
        <v>2821</v>
      </c>
      <c r="D40" s="474" t="s">
        <v>670</v>
      </c>
      <c r="E40" s="684" t="str">
        <f>+VLOOKUP(F40,Resumen_Base!$C$8:$G$156,5,0)</f>
        <v>Fixed Asset's Payments (Investments) Mejoras/equipamiento Lodge</v>
      </c>
      <c r="F40" s="152" t="s">
        <v>6</v>
      </c>
      <c r="G40" s="152" t="s">
        <v>5</v>
      </c>
      <c r="H40" s="152" t="str">
        <f t="shared" si="0"/>
        <v>SJ12020301</v>
      </c>
      <c r="I40" s="513">
        <v>-88008</v>
      </c>
      <c r="J40" s="513">
        <v>-61.76</v>
      </c>
      <c r="K40" s="513">
        <v>1425</v>
      </c>
      <c r="L40" s="518" t="s">
        <v>3637</v>
      </c>
      <c r="M40" s="152" t="s">
        <v>780</v>
      </c>
      <c r="N40" s="152" t="s">
        <v>781</v>
      </c>
      <c r="O40" s="152" t="s">
        <v>4785</v>
      </c>
      <c r="P40" s="152" t="s">
        <v>2865</v>
      </c>
      <c r="Q40" s="152" t="s">
        <v>4786</v>
      </c>
      <c r="R40" s="152" t="s">
        <v>4787</v>
      </c>
      <c r="S40" s="152" t="s">
        <v>4788</v>
      </c>
      <c r="T40" s="152" t="s">
        <v>786</v>
      </c>
    </row>
    <row r="41" spans="1:20" ht="50">
      <c r="C41" s="152" t="s">
        <v>2821</v>
      </c>
      <c r="D41" s="474" t="s">
        <v>670</v>
      </c>
      <c r="E41" s="684" t="str">
        <f>+VLOOKUP(F41,Resumen_Base!$C$8:$G$156,5,0)</f>
        <v>Fixed Asset's Payments (Investments) Mejoras/equipamiento Lodge</v>
      </c>
      <c r="F41" s="152" t="s">
        <v>6</v>
      </c>
      <c r="G41" s="152" t="s">
        <v>5</v>
      </c>
      <c r="H41" s="152" t="str">
        <f t="shared" si="0"/>
        <v>SJ12020301</v>
      </c>
      <c r="I41" s="513">
        <v>835161.3</v>
      </c>
      <c r="J41" s="513">
        <v>590.22</v>
      </c>
      <c r="K41" s="513">
        <v>1415</v>
      </c>
      <c r="L41" s="518" t="s">
        <v>3493</v>
      </c>
      <c r="M41" s="152" t="s">
        <v>780</v>
      </c>
      <c r="N41" s="152" t="s">
        <v>781</v>
      </c>
      <c r="O41" s="152" t="s">
        <v>4124</v>
      </c>
      <c r="P41" s="152" t="s">
        <v>3489</v>
      </c>
      <c r="Q41" s="152" t="s">
        <v>4125</v>
      </c>
      <c r="R41" s="152" t="s">
        <v>4863</v>
      </c>
      <c r="S41" s="152" t="s">
        <v>4127</v>
      </c>
      <c r="T41" s="152" t="s">
        <v>786</v>
      </c>
    </row>
    <row r="42" spans="1:20" ht="50">
      <c r="C42" s="152" t="s">
        <v>2821</v>
      </c>
      <c r="D42" s="474" t="s">
        <v>675</v>
      </c>
      <c r="E42" s="684" t="str">
        <f>+VLOOKUP(F42,Resumen_Base!$C$8:$G$156,5,0)</f>
        <v>Fixed Asset's Payments (Investments) Mejoras/equipamiento Lodge</v>
      </c>
      <c r="F42" s="152" t="s">
        <v>6</v>
      </c>
      <c r="G42" s="152" t="s">
        <v>5</v>
      </c>
      <c r="H42" s="152" t="str">
        <f t="shared" si="0"/>
        <v>UL12020301</v>
      </c>
      <c r="I42" s="513">
        <v>177030</v>
      </c>
      <c r="J42" s="513">
        <v>126</v>
      </c>
      <c r="K42" s="513">
        <v>1405</v>
      </c>
      <c r="L42" s="518" t="s">
        <v>3493</v>
      </c>
      <c r="M42" s="152" t="s">
        <v>780</v>
      </c>
      <c r="N42" s="152" t="s">
        <v>1272</v>
      </c>
      <c r="O42" s="152" t="s">
        <v>4197</v>
      </c>
      <c r="P42" s="152" t="s">
        <v>3489</v>
      </c>
      <c r="Q42" s="152" t="s">
        <v>4198</v>
      </c>
      <c r="R42" s="152" t="s">
        <v>4933</v>
      </c>
      <c r="S42" s="152" t="s">
        <v>4200</v>
      </c>
      <c r="T42" s="152" t="s">
        <v>786</v>
      </c>
    </row>
    <row r="43" spans="1:20" ht="50">
      <c r="C43" s="152" t="s">
        <v>2821</v>
      </c>
      <c r="D43" s="474" t="s">
        <v>676</v>
      </c>
      <c r="E43" s="684" t="str">
        <f>+VLOOKUP(F43,Resumen_Base!$C$8:$G$156,5,0)</f>
        <v>Fixed Asset's Payments (Investments) Mejoras/equipamiento Lodge</v>
      </c>
      <c r="F43" s="152" t="s">
        <v>6</v>
      </c>
      <c r="G43" s="152" t="s">
        <v>5</v>
      </c>
      <c r="H43" s="152" t="str">
        <f t="shared" si="0"/>
        <v>CAR12020301</v>
      </c>
      <c r="I43" s="513">
        <v>715680</v>
      </c>
      <c r="J43" s="513">
        <v>497</v>
      </c>
      <c r="K43" s="513">
        <v>1440</v>
      </c>
      <c r="L43" s="518" t="s">
        <v>3517</v>
      </c>
      <c r="M43" s="152" t="s">
        <v>780</v>
      </c>
      <c r="N43" s="152" t="s">
        <v>1407</v>
      </c>
      <c r="O43" s="152" t="s">
        <v>3518</v>
      </c>
      <c r="P43" s="152" t="s">
        <v>892</v>
      </c>
      <c r="Q43" s="152" t="s">
        <v>3519</v>
      </c>
      <c r="R43" s="152" t="s">
        <v>3789</v>
      </c>
      <c r="S43" s="152" t="s">
        <v>3521</v>
      </c>
      <c r="T43" s="152" t="s">
        <v>786</v>
      </c>
    </row>
    <row r="44" spans="1:20" ht="50">
      <c r="C44" s="152" t="s">
        <v>2821</v>
      </c>
      <c r="D44" s="474" t="s">
        <v>676</v>
      </c>
      <c r="E44" s="684" t="str">
        <f>+VLOOKUP(F44,Resumen_Base!$C$8:$G$156,5,0)</f>
        <v>Fixed Asset's Payments (Investments) Mejoras/equipamiento Lodge</v>
      </c>
      <c r="F44" s="152" t="s">
        <v>6</v>
      </c>
      <c r="G44" s="152" t="s">
        <v>5</v>
      </c>
      <c r="H44" s="152" t="str">
        <f t="shared" si="0"/>
        <v>CAR12020301</v>
      </c>
      <c r="I44" s="513">
        <v>591470</v>
      </c>
      <c r="J44" s="513">
        <v>418</v>
      </c>
      <c r="K44" s="513">
        <v>1415</v>
      </c>
      <c r="L44" s="518" t="s">
        <v>3511</v>
      </c>
      <c r="M44" s="152" t="s">
        <v>780</v>
      </c>
      <c r="N44" s="152" t="s">
        <v>1407</v>
      </c>
      <c r="O44" s="152" t="s">
        <v>3512</v>
      </c>
      <c r="P44" s="152" t="s">
        <v>3489</v>
      </c>
      <c r="Q44" s="152" t="s">
        <v>3513</v>
      </c>
      <c r="R44" s="152" t="s">
        <v>3820</v>
      </c>
      <c r="S44" s="152" t="s">
        <v>3515</v>
      </c>
      <c r="T44" s="152" t="s">
        <v>786</v>
      </c>
    </row>
    <row r="45" spans="1:20" ht="50">
      <c r="C45" s="152" t="s">
        <v>2821</v>
      </c>
      <c r="D45" s="474" t="s">
        <v>676</v>
      </c>
      <c r="E45" s="684" t="str">
        <f>+VLOOKUP(F45,Resumen_Base!$C$8:$G$156,5,0)</f>
        <v>Fixed Asset's Payments (Investments) Mejoras/equipamiento Lodge</v>
      </c>
      <c r="F45" s="152" t="s">
        <v>6</v>
      </c>
      <c r="G45" s="152" t="s">
        <v>5</v>
      </c>
      <c r="H45" s="152" t="str">
        <f t="shared" si="0"/>
        <v>CAR12020301</v>
      </c>
      <c r="I45" s="513">
        <v>3189340</v>
      </c>
      <c r="J45" s="513">
        <v>2278.1</v>
      </c>
      <c r="K45" s="513">
        <v>1400</v>
      </c>
      <c r="L45" s="518" t="s">
        <v>3659</v>
      </c>
      <c r="M45" s="152" t="s">
        <v>780</v>
      </c>
      <c r="N45" s="152" t="s">
        <v>1407</v>
      </c>
      <c r="O45" s="152" t="s">
        <v>3795</v>
      </c>
      <c r="P45" s="152" t="s">
        <v>3489</v>
      </c>
      <c r="Q45" s="152" t="s">
        <v>3796</v>
      </c>
      <c r="R45" s="152" t="s">
        <v>3829</v>
      </c>
      <c r="S45" s="152" t="s">
        <v>3798</v>
      </c>
      <c r="T45" s="152" t="s">
        <v>786</v>
      </c>
    </row>
    <row r="46" spans="1:20" ht="50">
      <c r="C46" s="152" t="s">
        <v>2821</v>
      </c>
      <c r="D46" s="474" t="s">
        <v>676</v>
      </c>
      <c r="E46" s="684" t="str">
        <f>+VLOOKUP(F46,Resumen_Base!$C$8:$G$156,5,0)</f>
        <v>Fixed Asset's Payments (Investments) Mejoras/equipamiento Lodge</v>
      </c>
      <c r="F46" s="152" t="s">
        <v>6</v>
      </c>
      <c r="G46" s="152" t="s">
        <v>5</v>
      </c>
      <c r="H46" s="152" t="str">
        <f t="shared" si="0"/>
        <v>CAR12020301</v>
      </c>
      <c r="I46" s="513">
        <v>2653350</v>
      </c>
      <c r="J46" s="513">
        <v>1862</v>
      </c>
      <c r="K46" s="513">
        <v>1425</v>
      </c>
      <c r="L46" s="518" t="s">
        <v>3637</v>
      </c>
      <c r="N46" s="152" t="s">
        <v>1407</v>
      </c>
      <c r="P46" s="152" t="s">
        <v>5051</v>
      </c>
      <c r="Q46" s="152" t="s">
        <v>5056</v>
      </c>
      <c r="R46" s="152" t="s">
        <v>5056</v>
      </c>
      <c r="S46" s="152" t="s">
        <v>5053</v>
      </c>
      <c r="T46" s="152" t="s">
        <v>786</v>
      </c>
    </row>
    <row r="47" spans="1:20" ht="50">
      <c r="C47" s="152" t="s">
        <v>2821</v>
      </c>
      <c r="D47" s="474" t="s">
        <v>676</v>
      </c>
      <c r="E47" s="684" t="str">
        <f>+VLOOKUP(F47,Resumen_Base!$C$8:$G$156,5,0)</f>
        <v>Fixed Asset's Payments (Investments) Mejoras/equipamiento Lodge</v>
      </c>
      <c r="F47" s="152" t="s">
        <v>6</v>
      </c>
      <c r="G47" s="152" t="s">
        <v>5</v>
      </c>
      <c r="H47" s="152" t="str">
        <f t="shared" si="0"/>
        <v>CAR12020301</v>
      </c>
      <c r="I47" s="513">
        <v>2707.5</v>
      </c>
      <c r="J47" s="513">
        <v>1.9</v>
      </c>
      <c r="K47" s="513">
        <v>1425</v>
      </c>
      <c r="L47" s="518" t="s">
        <v>3637</v>
      </c>
      <c r="N47" s="152" t="s">
        <v>1407</v>
      </c>
      <c r="P47" s="152" t="s">
        <v>5051</v>
      </c>
      <c r="Q47" s="152" t="s">
        <v>5055</v>
      </c>
      <c r="R47" s="152" t="s">
        <v>5055</v>
      </c>
      <c r="S47" s="152" t="s">
        <v>5053</v>
      </c>
      <c r="T47" s="152" t="s">
        <v>786</v>
      </c>
    </row>
    <row r="48" spans="1:20" ht="50">
      <c r="C48" s="152" t="s">
        <v>2821</v>
      </c>
      <c r="D48" s="474" t="s">
        <v>676</v>
      </c>
      <c r="E48" s="684" t="str">
        <f>+VLOOKUP(F48,Resumen_Base!$C$8:$G$156,5,0)</f>
        <v>Fixed Asset's Payments (Investments) Mejoras/equipamiento Lodge</v>
      </c>
      <c r="F48" s="152" t="s">
        <v>6</v>
      </c>
      <c r="G48" s="152" t="s">
        <v>5</v>
      </c>
      <c r="H48" s="152" t="str">
        <f t="shared" si="0"/>
        <v>CAR12020301</v>
      </c>
      <c r="I48" s="513">
        <v>29953.5</v>
      </c>
      <c r="J48" s="513">
        <v>21.02</v>
      </c>
      <c r="K48" s="513">
        <v>1425</v>
      </c>
      <c r="L48" s="518" t="s">
        <v>3637</v>
      </c>
      <c r="N48" s="152" t="s">
        <v>1407</v>
      </c>
      <c r="P48" s="152" t="s">
        <v>5051</v>
      </c>
      <c r="Q48" s="152" t="s">
        <v>5063</v>
      </c>
      <c r="R48" s="152" t="s">
        <v>5063</v>
      </c>
      <c r="S48" s="152" t="s">
        <v>5053</v>
      </c>
      <c r="T48" s="152" t="s">
        <v>786</v>
      </c>
    </row>
    <row r="49" spans="3:20" ht="50">
      <c r="C49" s="152" t="s">
        <v>2821</v>
      </c>
      <c r="D49" s="474" t="s">
        <v>676</v>
      </c>
      <c r="E49" s="684" t="str">
        <f>+VLOOKUP(F49,Resumen_Base!$C$8:$G$156,5,0)</f>
        <v>Fixed Asset's Payments (Investments) Mejoras/equipamiento Lodge</v>
      </c>
      <c r="F49" s="152" t="s">
        <v>6</v>
      </c>
      <c r="G49" s="152" t="s">
        <v>5</v>
      </c>
      <c r="H49" s="152" t="str">
        <f t="shared" si="0"/>
        <v>CAR12020301</v>
      </c>
      <c r="I49" s="513">
        <v>-88008</v>
      </c>
      <c r="J49" s="513">
        <v>-61.76</v>
      </c>
      <c r="K49" s="513">
        <v>1425</v>
      </c>
      <c r="L49" s="518" t="s">
        <v>3637</v>
      </c>
      <c r="N49" s="152" t="s">
        <v>1407</v>
      </c>
      <c r="P49" s="152" t="s">
        <v>5051</v>
      </c>
      <c r="Q49" s="152" t="s">
        <v>5052</v>
      </c>
      <c r="R49" s="152" t="s">
        <v>5052</v>
      </c>
      <c r="S49" s="152" t="s">
        <v>5053</v>
      </c>
      <c r="T49" s="152" t="s">
        <v>786</v>
      </c>
    </row>
    <row r="50" spans="3:20" ht="50">
      <c r="C50" s="152" t="s">
        <v>2821</v>
      </c>
      <c r="D50" s="474" t="s">
        <v>676</v>
      </c>
      <c r="E50" s="684" t="str">
        <f>+VLOOKUP(F50,Resumen_Base!$C$8:$G$156,5,0)</f>
        <v>Fixed Asset's Payments (Investments) Mejoras/equipamiento Lodge</v>
      </c>
      <c r="F50" s="152" t="s">
        <v>131</v>
      </c>
      <c r="G50" s="152" t="s">
        <v>132</v>
      </c>
      <c r="H50" s="152" t="str">
        <f t="shared" si="0"/>
        <v>CAR12020601</v>
      </c>
      <c r="I50" s="513">
        <v>2736</v>
      </c>
      <c r="J50" s="513">
        <v>1.9</v>
      </c>
      <c r="K50" s="513">
        <v>1440</v>
      </c>
      <c r="L50" s="518" t="s">
        <v>3517</v>
      </c>
      <c r="M50" s="152" t="s">
        <v>780</v>
      </c>
      <c r="N50" s="152" t="s">
        <v>1407</v>
      </c>
      <c r="O50" s="152" t="s">
        <v>3862</v>
      </c>
      <c r="P50" s="152" t="s">
        <v>892</v>
      </c>
      <c r="Q50" s="152" t="s">
        <v>3863</v>
      </c>
      <c r="R50" s="152" t="s">
        <v>1515</v>
      </c>
      <c r="S50" s="152" t="s">
        <v>3864</v>
      </c>
      <c r="T50" s="152" t="s">
        <v>786</v>
      </c>
    </row>
    <row r="51" spans="3:20" ht="50">
      <c r="C51" s="152" t="s">
        <v>2821</v>
      </c>
      <c r="D51" s="474" t="s">
        <v>676</v>
      </c>
      <c r="E51" s="684" t="str">
        <f>+VLOOKUP(F51,Resumen_Base!$C$8:$G$156,5,0)</f>
        <v>Fixed Asset's Payments (Investments) Mejoras/equipamiento Lodge</v>
      </c>
      <c r="F51" s="152" t="s">
        <v>131</v>
      </c>
      <c r="G51" s="152" t="s">
        <v>132</v>
      </c>
      <c r="H51" s="152" t="str">
        <f t="shared" si="0"/>
        <v>CAR12020601</v>
      </c>
      <c r="I51" s="513">
        <v>8178.7</v>
      </c>
      <c r="J51" s="513">
        <v>5.78</v>
      </c>
      <c r="K51" s="513">
        <v>1415</v>
      </c>
      <c r="L51" s="518" t="s">
        <v>3511</v>
      </c>
      <c r="M51" s="152" t="s">
        <v>780</v>
      </c>
      <c r="N51" s="152" t="s">
        <v>1407</v>
      </c>
      <c r="O51" s="152" t="s">
        <v>3512</v>
      </c>
      <c r="P51" s="152" t="s">
        <v>3489</v>
      </c>
      <c r="Q51" s="152" t="s">
        <v>3513</v>
      </c>
      <c r="R51" s="152" t="s">
        <v>3965</v>
      </c>
      <c r="S51" s="152" t="s">
        <v>3515</v>
      </c>
      <c r="T51" s="152" t="s">
        <v>786</v>
      </c>
    </row>
    <row r="52" spans="3:20" ht="50">
      <c r="C52" s="152" t="s">
        <v>2821</v>
      </c>
      <c r="D52" s="474" t="s">
        <v>676</v>
      </c>
      <c r="E52" s="684" t="str">
        <f>+VLOOKUP(F52,Resumen_Base!$C$8:$G$156,5,0)</f>
        <v>Fixed Asset's Payments (Investments) Mejoras/equipamiento Lodge</v>
      </c>
      <c r="F52" s="152" t="s">
        <v>131</v>
      </c>
      <c r="G52" s="152" t="s">
        <v>132</v>
      </c>
      <c r="H52" s="152" t="str">
        <f t="shared" si="0"/>
        <v>CAR12020601</v>
      </c>
      <c r="I52" s="513">
        <v>2514240</v>
      </c>
      <c r="J52" s="513">
        <v>1746</v>
      </c>
      <c r="K52" s="513">
        <v>1440</v>
      </c>
      <c r="L52" s="518" t="s">
        <v>3517</v>
      </c>
      <c r="M52" s="152" t="s">
        <v>780</v>
      </c>
      <c r="N52" s="152" t="s">
        <v>1407</v>
      </c>
      <c r="O52" s="152" t="s">
        <v>3862</v>
      </c>
      <c r="P52" s="152" t="s">
        <v>892</v>
      </c>
      <c r="Q52" s="152" t="s">
        <v>3863</v>
      </c>
      <c r="R52" s="152" t="s">
        <v>4027</v>
      </c>
      <c r="S52" s="152" t="s">
        <v>3864</v>
      </c>
      <c r="T52" s="152" t="s">
        <v>786</v>
      </c>
    </row>
    <row r="53" spans="3:20" ht="50">
      <c r="C53" s="152" t="s">
        <v>2821</v>
      </c>
      <c r="D53" s="474" t="s">
        <v>676</v>
      </c>
      <c r="E53" s="684" t="str">
        <f>+VLOOKUP(F53,Resumen_Base!$C$8:$G$156,5,0)</f>
        <v>Fixed Asset's Payments (Investments) Mejoras/equipamiento Lodge</v>
      </c>
      <c r="F53" s="152" t="s">
        <v>129</v>
      </c>
      <c r="G53" s="152" t="s">
        <v>130</v>
      </c>
      <c r="H53" s="152" t="str">
        <f t="shared" si="0"/>
        <v>CAR12020901</v>
      </c>
      <c r="I53" s="513">
        <v>120499.2</v>
      </c>
      <c r="J53" s="513">
        <v>83.68</v>
      </c>
      <c r="K53" s="513">
        <v>1440</v>
      </c>
      <c r="L53" s="518" t="s">
        <v>3517</v>
      </c>
      <c r="M53" s="152" t="s">
        <v>780</v>
      </c>
      <c r="N53" s="152" t="s">
        <v>1407</v>
      </c>
      <c r="O53" s="152" t="s">
        <v>3518</v>
      </c>
      <c r="P53" s="152" t="s">
        <v>892</v>
      </c>
      <c r="Q53" s="152" t="s">
        <v>3519</v>
      </c>
      <c r="R53" s="152" t="s">
        <v>3643</v>
      </c>
      <c r="S53" s="152" t="s">
        <v>3521</v>
      </c>
      <c r="T53" s="152" t="s">
        <v>786</v>
      </c>
    </row>
    <row r="54" spans="3:20">
      <c r="C54" s="152" t="s">
        <v>2821</v>
      </c>
      <c r="D54" s="474" t="s">
        <v>676</v>
      </c>
      <c r="E54" s="684" t="str">
        <f>+VLOOKUP(F54,Resumen_Base!$C$8:$G$156,5,0)</f>
        <v>Tips</v>
      </c>
      <c r="F54" s="152" t="s">
        <v>366</v>
      </c>
      <c r="G54" s="152" t="s">
        <v>367</v>
      </c>
      <c r="H54" s="152" t="str">
        <f t="shared" si="0"/>
        <v>CAR210609</v>
      </c>
      <c r="I54" s="513">
        <v>-570000</v>
      </c>
      <c r="J54" s="513">
        <v>-400</v>
      </c>
      <c r="K54" s="513">
        <v>1425</v>
      </c>
      <c r="L54" s="518" t="s">
        <v>3637</v>
      </c>
      <c r="M54" s="152" t="s">
        <v>1566</v>
      </c>
      <c r="N54" s="152" t="s">
        <v>1407</v>
      </c>
      <c r="O54" s="152" t="s">
        <v>4256</v>
      </c>
      <c r="P54" s="152" t="s">
        <v>1881</v>
      </c>
      <c r="Q54" s="152" t="s">
        <v>4257</v>
      </c>
      <c r="R54" s="152" t="s">
        <v>4258</v>
      </c>
      <c r="S54" s="152" t="s">
        <v>4259</v>
      </c>
      <c r="T54" s="152" t="s">
        <v>786</v>
      </c>
    </row>
    <row r="55" spans="3:20">
      <c r="C55" s="152" t="s">
        <v>2821</v>
      </c>
      <c r="D55" s="474" t="s">
        <v>676</v>
      </c>
      <c r="E55" s="684" t="str">
        <f>+VLOOKUP(F55,Resumen_Base!$C$8:$G$156,5,0)</f>
        <v>Tips</v>
      </c>
      <c r="F55" s="152" t="s">
        <v>366</v>
      </c>
      <c r="G55" s="152" t="s">
        <v>367</v>
      </c>
      <c r="H55" s="152" t="str">
        <f t="shared" si="0"/>
        <v>CAR210609</v>
      </c>
      <c r="I55" s="513">
        <v>-712500</v>
      </c>
      <c r="J55" s="513">
        <v>-500</v>
      </c>
      <c r="K55" s="513">
        <v>1425</v>
      </c>
      <c r="L55" s="518" t="s">
        <v>3637</v>
      </c>
      <c r="M55" s="152" t="s">
        <v>1566</v>
      </c>
      <c r="N55" s="152" t="s">
        <v>1407</v>
      </c>
      <c r="O55" s="152" t="s">
        <v>4256</v>
      </c>
      <c r="P55" s="152" t="s">
        <v>1881</v>
      </c>
      <c r="Q55" s="152" t="s">
        <v>4257</v>
      </c>
      <c r="R55" s="152" t="s">
        <v>4258</v>
      </c>
      <c r="S55" s="152" t="s">
        <v>4259</v>
      </c>
      <c r="T55" s="152" t="s">
        <v>786</v>
      </c>
    </row>
    <row r="56" spans="3:20">
      <c r="C56" s="152" t="s">
        <v>2821</v>
      </c>
      <c r="D56" s="474" t="s">
        <v>676</v>
      </c>
      <c r="E56" s="684" t="str">
        <f>+VLOOKUP(F56,Resumen_Base!$C$8:$G$156,5,0)</f>
        <v>Tips</v>
      </c>
      <c r="F56" s="152" t="s">
        <v>366</v>
      </c>
      <c r="G56" s="152" t="s">
        <v>367</v>
      </c>
      <c r="H56" s="152" t="str">
        <f t="shared" si="0"/>
        <v>CAR210609</v>
      </c>
      <c r="I56" s="513">
        <v>-912000</v>
      </c>
      <c r="J56" s="513">
        <v>-640</v>
      </c>
      <c r="K56" s="513">
        <v>1425</v>
      </c>
      <c r="L56" s="518" t="s">
        <v>3637</v>
      </c>
      <c r="M56" s="152" t="s">
        <v>1566</v>
      </c>
      <c r="N56" s="152" t="s">
        <v>1407</v>
      </c>
      <c r="O56" s="152" t="s">
        <v>4260</v>
      </c>
      <c r="P56" s="152" t="s">
        <v>1881</v>
      </c>
      <c r="Q56" s="152" t="s">
        <v>4261</v>
      </c>
      <c r="R56" s="152" t="s">
        <v>4258</v>
      </c>
      <c r="S56" s="152" t="s">
        <v>4262</v>
      </c>
      <c r="T56" s="152" t="s">
        <v>786</v>
      </c>
    </row>
    <row r="57" spans="3:20">
      <c r="C57" s="152" t="s">
        <v>2821</v>
      </c>
      <c r="D57" s="474" t="s">
        <v>676</v>
      </c>
      <c r="E57" s="684" t="str">
        <f>+VLOOKUP(F57,Resumen_Base!$C$8:$G$156,5,0)</f>
        <v>Tips</v>
      </c>
      <c r="F57" s="152" t="s">
        <v>366</v>
      </c>
      <c r="G57" s="152" t="s">
        <v>367</v>
      </c>
      <c r="H57" s="152" t="str">
        <f t="shared" si="0"/>
        <v>CAR210609</v>
      </c>
      <c r="I57" s="513">
        <v>-684000</v>
      </c>
      <c r="J57" s="513">
        <v>-480</v>
      </c>
      <c r="K57" s="513">
        <v>1425</v>
      </c>
      <c r="L57" s="518" t="s">
        <v>3637</v>
      </c>
      <c r="M57" s="152" t="s">
        <v>1566</v>
      </c>
      <c r="N57" s="152" t="s">
        <v>1407</v>
      </c>
      <c r="O57" s="152" t="s">
        <v>4260</v>
      </c>
      <c r="P57" s="152" t="s">
        <v>1881</v>
      </c>
      <c r="Q57" s="152" t="s">
        <v>4261</v>
      </c>
      <c r="R57" s="152" t="s">
        <v>4258</v>
      </c>
      <c r="S57" s="152" t="s">
        <v>4262</v>
      </c>
      <c r="T57" s="152" t="s">
        <v>786</v>
      </c>
    </row>
    <row r="58" spans="3:20">
      <c r="C58" s="152" t="s">
        <v>2821</v>
      </c>
      <c r="D58" s="474" t="s">
        <v>676</v>
      </c>
      <c r="E58" s="684" t="str">
        <f>+VLOOKUP(F58,Resumen_Base!$C$8:$G$156,5,0)</f>
        <v>Tips</v>
      </c>
      <c r="F58" s="152" t="s">
        <v>366</v>
      </c>
      <c r="G58" s="152" t="s">
        <v>367</v>
      </c>
      <c r="H58" s="152" t="str">
        <f t="shared" si="0"/>
        <v>CAR210609</v>
      </c>
      <c r="I58" s="513">
        <v>-855000</v>
      </c>
      <c r="J58" s="513">
        <v>-600</v>
      </c>
      <c r="K58" s="513">
        <v>1425</v>
      </c>
      <c r="L58" s="518" t="s">
        <v>3637</v>
      </c>
      <c r="M58" s="152" t="s">
        <v>1566</v>
      </c>
      <c r="N58" s="152" t="s">
        <v>1407</v>
      </c>
      <c r="O58" s="152" t="s">
        <v>4263</v>
      </c>
      <c r="P58" s="152" t="s">
        <v>1881</v>
      </c>
      <c r="Q58" s="152" t="s">
        <v>4264</v>
      </c>
      <c r="R58" s="152" t="s">
        <v>4258</v>
      </c>
      <c r="S58" s="152" t="s">
        <v>4265</v>
      </c>
      <c r="T58" s="152" t="s">
        <v>786</v>
      </c>
    </row>
    <row r="59" spans="3:20">
      <c r="C59" s="152" t="s">
        <v>2821</v>
      </c>
      <c r="D59" s="474" t="s">
        <v>676</v>
      </c>
      <c r="E59" s="684" t="str">
        <f>+VLOOKUP(F59,Resumen_Base!$C$8:$G$156,5,0)</f>
        <v>Tips</v>
      </c>
      <c r="F59" s="152" t="s">
        <v>366</v>
      </c>
      <c r="G59" s="152" t="s">
        <v>367</v>
      </c>
      <c r="H59" s="152" t="str">
        <f t="shared" si="0"/>
        <v>CAR210609</v>
      </c>
      <c r="I59" s="513">
        <v>-570000</v>
      </c>
      <c r="J59" s="513">
        <v>-400</v>
      </c>
      <c r="K59" s="513">
        <v>1425</v>
      </c>
      <c r="L59" s="518" t="s">
        <v>3637</v>
      </c>
      <c r="M59" s="152" t="s">
        <v>1566</v>
      </c>
      <c r="N59" s="152" t="s">
        <v>1407</v>
      </c>
      <c r="O59" s="152" t="s">
        <v>4263</v>
      </c>
      <c r="P59" s="152" t="s">
        <v>1881</v>
      </c>
      <c r="Q59" s="152" t="s">
        <v>4264</v>
      </c>
      <c r="R59" s="152" t="s">
        <v>4258</v>
      </c>
      <c r="S59" s="152" t="s">
        <v>4265</v>
      </c>
      <c r="T59" s="152" t="s">
        <v>786</v>
      </c>
    </row>
    <row r="60" spans="3:20">
      <c r="C60" s="152" t="s">
        <v>2821</v>
      </c>
      <c r="D60" s="474" t="s">
        <v>676</v>
      </c>
      <c r="E60" s="684" t="str">
        <f>+VLOOKUP(F60,Resumen_Base!$C$8:$G$156,5,0)</f>
        <v>Tips</v>
      </c>
      <c r="F60" s="152" t="s">
        <v>366</v>
      </c>
      <c r="G60" s="152" t="s">
        <v>367</v>
      </c>
      <c r="H60" s="152" t="str">
        <f t="shared" si="0"/>
        <v>CAR210609</v>
      </c>
      <c r="I60" s="513">
        <v>-855000</v>
      </c>
      <c r="J60" s="513">
        <v>-600</v>
      </c>
      <c r="K60" s="513">
        <v>1425</v>
      </c>
      <c r="L60" s="518" t="s">
        <v>3637</v>
      </c>
      <c r="M60" s="152" t="s">
        <v>1566</v>
      </c>
      <c r="N60" s="152" t="s">
        <v>1407</v>
      </c>
      <c r="O60" s="152" t="s">
        <v>4266</v>
      </c>
      <c r="P60" s="152" t="s">
        <v>1881</v>
      </c>
      <c r="Q60" s="152" t="s">
        <v>4267</v>
      </c>
      <c r="R60" s="152" t="s">
        <v>4258</v>
      </c>
      <c r="S60" s="152" t="s">
        <v>4268</v>
      </c>
      <c r="T60" s="152" t="s">
        <v>786</v>
      </c>
    </row>
    <row r="61" spans="3:20">
      <c r="C61" s="152" t="s">
        <v>2821</v>
      </c>
      <c r="D61" s="474" t="s">
        <v>676</v>
      </c>
      <c r="E61" s="684" t="str">
        <f>+VLOOKUP(F61,Resumen_Base!$C$8:$G$156,5,0)</f>
        <v>Tips</v>
      </c>
      <c r="F61" s="152" t="s">
        <v>366</v>
      </c>
      <c r="G61" s="152" t="s">
        <v>367</v>
      </c>
      <c r="H61" s="152" t="str">
        <f t="shared" si="0"/>
        <v>CAR210609</v>
      </c>
      <c r="I61" s="513">
        <v>-997500</v>
      </c>
      <c r="J61" s="513">
        <v>-700</v>
      </c>
      <c r="K61" s="513">
        <v>1425</v>
      </c>
      <c r="L61" s="518" t="s">
        <v>3637</v>
      </c>
      <c r="M61" s="152" t="s">
        <v>1566</v>
      </c>
      <c r="N61" s="152" t="s">
        <v>1407</v>
      </c>
      <c r="O61" s="152" t="s">
        <v>4266</v>
      </c>
      <c r="P61" s="152" t="s">
        <v>1881</v>
      </c>
      <c r="Q61" s="152" t="s">
        <v>4267</v>
      </c>
      <c r="R61" s="152" t="s">
        <v>4258</v>
      </c>
      <c r="S61" s="152" t="s">
        <v>4268</v>
      </c>
      <c r="T61" s="152" t="s">
        <v>786</v>
      </c>
    </row>
    <row r="62" spans="3:20">
      <c r="C62" s="152" t="s">
        <v>2821</v>
      </c>
      <c r="D62" s="474" t="s">
        <v>676</v>
      </c>
      <c r="E62" s="684" t="str">
        <f>+VLOOKUP(F62,Resumen_Base!$C$8:$G$156,5,0)</f>
        <v>Tips</v>
      </c>
      <c r="F62" s="152" t="s">
        <v>366</v>
      </c>
      <c r="G62" s="152" t="s">
        <v>367</v>
      </c>
      <c r="H62" s="152" t="str">
        <f t="shared" si="0"/>
        <v>CAR210609</v>
      </c>
      <c r="I62" s="513">
        <v>-783750</v>
      </c>
      <c r="J62" s="513">
        <v>-550</v>
      </c>
      <c r="K62" s="513">
        <v>1425</v>
      </c>
      <c r="L62" s="518" t="s">
        <v>3637</v>
      </c>
      <c r="M62" s="152" t="s">
        <v>1566</v>
      </c>
      <c r="N62" s="152" t="s">
        <v>1407</v>
      </c>
      <c r="O62" s="152" t="s">
        <v>4269</v>
      </c>
      <c r="P62" s="152" t="s">
        <v>1881</v>
      </c>
      <c r="Q62" s="152" t="s">
        <v>4270</v>
      </c>
      <c r="R62" s="152" t="s">
        <v>4258</v>
      </c>
      <c r="S62" s="152" t="s">
        <v>4271</v>
      </c>
      <c r="T62" s="152" t="s">
        <v>786</v>
      </c>
    </row>
    <row r="63" spans="3:20">
      <c r="C63" s="152" t="s">
        <v>2821</v>
      </c>
      <c r="D63" s="474" t="s">
        <v>676</v>
      </c>
      <c r="E63" s="684" t="str">
        <f>+VLOOKUP(F63,Resumen_Base!$C$8:$G$156,5,0)</f>
        <v>Tips</v>
      </c>
      <c r="F63" s="152" t="s">
        <v>366</v>
      </c>
      <c r="G63" s="152" t="s">
        <v>367</v>
      </c>
      <c r="H63" s="152" t="str">
        <f t="shared" si="0"/>
        <v>CAR210609</v>
      </c>
      <c r="I63" s="513">
        <v>-490200</v>
      </c>
      <c r="J63" s="513">
        <v>-344</v>
      </c>
      <c r="K63" s="513">
        <v>1425</v>
      </c>
      <c r="L63" s="518" t="s">
        <v>3637</v>
      </c>
      <c r="M63" s="152" t="s">
        <v>1566</v>
      </c>
      <c r="N63" s="152" t="s">
        <v>1407</v>
      </c>
      <c r="O63" s="152" t="s">
        <v>4269</v>
      </c>
      <c r="P63" s="152" t="s">
        <v>1881</v>
      </c>
      <c r="Q63" s="152" t="s">
        <v>4270</v>
      </c>
      <c r="R63" s="152" t="s">
        <v>4258</v>
      </c>
      <c r="S63" s="152" t="s">
        <v>4271</v>
      </c>
      <c r="T63" s="152" t="s">
        <v>786</v>
      </c>
    </row>
    <row r="64" spans="3:20">
      <c r="C64" s="152" t="s">
        <v>2821</v>
      </c>
      <c r="D64" s="474" t="s">
        <v>676</v>
      </c>
      <c r="E64" s="684" t="str">
        <f>+VLOOKUP(F64,Resumen_Base!$C$8:$G$156,5,0)</f>
        <v>Tips</v>
      </c>
      <c r="F64" s="152" t="s">
        <v>366</v>
      </c>
      <c r="G64" s="152" t="s">
        <v>367</v>
      </c>
      <c r="H64" s="152" t="str">
        <f t="shared" si="0"/>
        <v>CAR210609</v>
      </c>
      <c r="I64" s="513">
        <v>-570000</v>
      </c>
      <c r="J64" s="513">
        <v>-400</v>
      </c>
      <c r="K64" s="513">
        <v>1425</v>
      </c>
      <c r="L64" s="518" t="s">
        <v>3637</v>
      </c>
      <c r="M64" s="152" t="s">
        <v>1566</v>
      </c>
      <c r="N64" s="152" t="s">
        <v>1407</v>
      </c>
      <c r="O64" s="152" t="s">
        <v>4272</v>
      </c>
      <c r="P64" s="152" t="s">
        <v>1881</v>
      </c>
      <c r="Q64" s="152" t="s">
        <v>4273</v>
      </c>
      <c r="R64" s="152" t="s">
        <v>4258</v>
      </c>
      <c r="S64" s="152" t="s">
        <v>4274</v>
      </c>
      <c r="T64" s="152" t="s">
        <v>786</v>
      </c>
    </row>
    <row r="65" spans="3:20">
      <c r="C65" s="152" t="s">
        <v>2821</v>
      </c>
      <c r="D65" s="474" t="s">
        <v>676</v>
      </c>
      <c r="E65" s="684" t="str">
        <f>+VLOOKUP(F65,Resumen_Base!$C$8:$G$156,5,0)</f>
        <v>Tips</v>
      </c>
      <c r="F65" s="152" t="s">
        <v>366</v>
      </c>
      <c r="G65" s="152" t="s">
        <v>367</v>
      </c>
      <c r="H65" s="152" t="str">
        <f t="shared" si="0"/>
        <v>CAR210609</v>
      </c>
      <c r="I65" s="513">
        <v>-570000</v>
      </c>
      <c r="J65" s="513">
        <v>-400</v>
      </c>
      <c r="K65" s="513">
        <v>1425</v>
      </c>
      <c r="L65" s="518" t="s">
        <v>3637</v>
      </c>
      <c r="M65" s="152" t="s">
        <v>1566</v>
      </c>
      <c r="N65" s="152" t="s">
        <v>1407</v>
      </c>
      <c r="O65" s="152" t="s">
        <v>4272</v>
      </c>
      <c r="P65" s="152" t="s">
        <v>1881</v>
      </c>
      <c r="Q65" s="152" t="s">
        <v>4273</v>
      </c>
      <c r="R65" s="152" t="s">
        <v>4258</v>
      </c>
      <c r="S65" s="152" t="s">
        <v>4274</v>
      </c>
      <c r="T65" s="152" t="s">
        <v>786</v>
      </c>
    </row>
    <row r="66" spans="3:20">
      <c r="C66" s="152" t="s">
        <v>2821</v>
      </c>
      <c r="D66" s="474" t="s">
        <v>676</v>
      </c>
      <c r="E66" s="684" t="str">
        <f>+VLOOKUP(F66,Resumen_Base!$C$8:$G$156,5,0)</f>
        <v>Tips</v>
      </c>
      <c r="F66" s="152" t="s">
        <v>366</v>
      </c>
      <c r="G66" s="152" t="s">
        <v>367</v>
      </c>
      <c r="H66" s="152" t="str">
        <f t="shared" si="0"/>
        <v>CAR210609</v>
      </c>
      <c r="I66" s="513">
        <v>-684000</v>
      </c>
      <c r="J66" s="513">
        <v>-480</v>
      </c>
      <c r="K66" s="513">
        <v>1425</v>
      </c>
      <c r="L66" s="518" t="s">
        <v>3637</v>
      </c>
      <c r="M66" s="152" t="s">
        <v>1566</v>
      </c>
      <c r="N66" s="152" t="s">
        <v>1407</v>
      </c>
      <c r="O66" s="152" t="s">
        <v>4275</v>
      </c>
      <c r="P66" s="152" t="s">
        <v>1881</v>
      </c>
      <c r="Q66" s="152" t="s">
        <v>4276</v>
      </c>
      <c r="R66" s="152" t="s">
        <v>4258</v>
      </c>
      <c r="S66" s="152" t="s">
        <v>4277</v>
      </c>
      <c r="T66" s="152" t="s">
        <v>786</v>
      </c>
    </row>
    <row r="67" spans="3:20">
      <c r="C67" s="152" t="s">
        <v>2821</v>
      </c>
      <c r="D67" s="474" t="s">
        <v>676</v>
      </c>
      <c r="E67" s="684" t="str">
        <f>+VLOOKUP(F67,Resumen_Base!$C$8:$G$156,5,0)</f>
        <v>Tips</v>
      </c>
      <c r="F67" s="152" t="s">
        <v>366</v>
      </c>
      <c r="G67" s="152" t="s">
        <v>367</v>
      </c>
      <c r="H67" s="152" t="str">
        <f t="shared" si="0"/>
        <v>CAR210609</v>
      </c>
      <c r="I67" s="513">
        <v>-456000</v>
      </c>
      <c r="J67" s="513">
        <v>-320</v>
      </c>
      <c r="K67" s="513">
        <v>1425</v>
      </c>
      <c r="L67" s="518" t="s">
        <v>3637</v>
      </c>
      <c r="M67" s="152" t="s">
        <v>1566</v>
      </c>
      <c r="N67" s="152" t="s">
        <v>1407</v>
      </c>
      <c r="O67" s="152" t="s">
        <v>4275</v>
      </c>
      <c r="P67" s="152" t="s">
        <v>1881</v>
      </c>
      <c r="Q67" s="152" t="s">
        <v>4276</v>
      </c>
      <c r="R67" s="152" t="s">
        <v>4258</v>
      </c>
      <c r="S67" s="152" t="s">
        <v>4277</v>
      </c>
      <c r="T67" s="152" t="s">
        <v>786</v>
      </c>
    </row>
    <row r="68" spans="3:20">
      <c r="C68" s="152" t="s">
        <v>2821</v>
      </c>
      <c r="D68" s="474" t="s">
        <v>676</v>
      </c>
      <c r="E68" s="684" t="str">
        <f>+VLOOKUP(F68,Resumen_Base!$C$8:$G$156,5,0)</f>
        <v>Tips</v>
      </c>
      <c r="F68" s="152" t="s">
        <v>366</v>
      </c>
      <c r="G68" s="152" t="s">
        <v>367</v>
      </c>
      <c r="H68" s="152" t="str">
        <f t="shared" si="0"/>
        <v>CAR210609</v>
      </c>
      <c r="I68" s="513">
        <v>-672000</v>
      </c>
      <c r="J68" s="513">
        <v>-480</v>
      </c>
      <c r="K68" s="513">
        <v>1400</v>
      </c>
      <c r="L68" s="518" t="s">
        <v>3659</v>
      </c>
      <c r="M68" s="152" t="s">
        <v>1566</v>
      </c>
      <c r="N68" s="152" t="s">
        <v>1407</v>
      </c>
      <c r="O68" s="152" t="s">
        <v>4278</v>
      </c>
      <c r="P68" s="152" t="s">
        <v>4279</v>
      </c>
      <c r="Q68" s="152" t="s">
        <v>4280</v>
      </c>
      <c r="R68" s="152" t="s">
        <v>4281</v>
      </c>
      <c r="S68" s="152" t="s">
        <v>4282</v>
      </c>
      <c r="T68" s="152" t="s">
        <v>786</v>
      </c>
    </row>
    <row r="69" spans="3:20">
      <c r="C69" s="152" t="s">
        <v>2821</v>
      </c>
      <c r="D69" s="474" t="s">
        <v>676</v>
      </c>
      <c r="E69" s="684" t="str">
        <f>+VLOOKUP(F69,Resumen_Base!$C$8:$G$156,5,0)</f>
        <v>Tips</v>
      </c>
      <c r="F69" s="152" t="s">
        <v>366</v>
      </c>
      <c r="G69" s="152" t="s">
        <v>367</v>
      </c>
      <c r="H69" s="152" t="str">
        <f t="shared" si="0"/>
        <v>CAR210609</v>
      </c>
      <c r="I69" s="513">
        <v>-672000</v>
      </c>
      <c r="J69" s="513">
        <v>-480</v>
      </c>
      <c r="K69" s="513">
        <v>1400</v>
      </c>
      <c r="L69" s="518" t="s">
        <v>3659</v>
      </c>
      <c r="M69" s="152" t="s">
        <v>1566</v>
      </c>
      <c r="N69" s="152" t="s">
        <v>1407</v>
      </c>
      <c r="O69" s="152" t="s">
        <v>4278</v>
      </c>
      <c r="P69" s="152" t="s">
        <v>4279</v>
      </c>
      <c r="Q69" s="152" t="s">
        <v>4280</v>
      </c>
      <c r="R69" s="152" t="s">
        <v>4281</v>
      </c>
      <c r="S69" s="152" t="s">
        <v>4282</v>
      </c>
      <c r="T69" s="152" t="s">
        <v>786</v>
      </c>
    </row>
    <row r="70" spans="3:20">
      <c r="C70" s="152" t="s">
        <v>2821</v>
      </c>
      <c r="D70" s="474" t="s">
        <v>676</v>
      </c>
      <c r="E70" s="684" t="str">
        <f>+VLOOKUP(F70,Resumen_Base!$C$8:$G$156,5,0)</f>
        <v>Tips</v>
      </c>
      <c r="F70" s="152" t="s">
        <v>366</v>
      </c>
      <c r="G70" s="152" t="s">
        <v>367</v>
      </c>
      <c r="H70" s="152" t="str">
        <f t="shared" si="0"/>
        <v>CAR210609</v>
      </c>
      <c r="I70" s="513">
        <v>-672000</v>
      </c>
      <c r="J70" s="513">
        <v>-480</v>
      </c>
      <c r="K70" s="513">
        <v>1400</v>
      </c>
      <c r="L70" s="518" t="s">
        <v>3659</v>
      </c>
      <c r="M70" s="152" t="s">
        <v>1566</v>
      </c>
      <c r="N70" s="152" t="s">
        <v>1407</v>
      </c>
      <c r="O70" s="152" t="s">
        <v>4283</v>
      </c>
      <c r="P70" s="152" t="s">
        <v>4279</v>
      </c>
      <c r="Q70" s="152" t="s">
        <v>4284</v>
      </c>
      <c r="R70" s="152" t="s">
        <v>4281</v>
      </c>
      <c r="S70" s="152" t="s">
        <v>4285</v>
      </c>
      <c r="T70" s="152" t="s">
        <v>786</v>
      </c>
    </row>
    <row r="71" spans="3:20">
      <c r="C71" s="152" t="s">
        <v>2821</v>
      </c>
      <c r="D71" s="474" t="s">
        <v>676</v>
      </c>
      <c r="E71" s="684" t="str">
        <f>+VLOOKUP(F71,Resumen_Base!$C$8:$G$156,5,0)</f>
        <v>Tips</v>
      </c>
      <c r="F71" s="152" t="s">
        <v>366</v>
      </c>
      <c r="G71" s="152" t="s">
        <v>367</v>
      </c>
      <c r="H71" s="152" t="str">
        <f t="shared" si="0"/>
        <v>CAR210609</v>
      </c>
      <c r="I71" s="513">
        <v>-672000</v>
      </c>
      <c r="J71" s="513">
        <v>-480</v>
      </c>
      <c r="K71" s="513">
        <v>1400</v>
      </c>
      <c r="L71" s="518" t="s">
        <v>3659</v>
      </c>
      <c r="M71" s="152" t="s">
        <v>1566</v>
      </c>
      <c r="N71" s="152" t="s">
        <v>1407</v>
      </c>
      <c r="O71" s="152" t="s">
        <v>4283</v>
      </c>
      <c r="P71" s="152" t="s">
        <v>4279</v>
      </c>
      <c r="Q71" s="152" t="s">
        <v>4284</v>
      </c>
      <c r="R71" s="152" t="s">
        <v>4281</v>
      </c>
      <c r="S71" s="152" t="s">
        <v>4285</v>
      </c>
      <c r="T71" s="152" t="s">
        <v>786</v>
      </c>
    </row>
    <row r="72" spans="3:20">
      <c r="C72" s="152" t="s">
        <v>2821</v>
      </c>
      <c r="D72" s="474" t="s">
        <v>676</v>
      </c>
      <c r="E72" s="684" t="str">
        <f>+VLOOKUP(F72,Resumen_Base!$C$8:$G$156,5,0)</f>
        <v>Tips</v>
      </c>
      <c r="F72" s="152" t="s">
        <v>366</v>
      </c>
      <c r="G72" s="152" t="s">
        <v>367</v>
      </c>
      <c r="H72" s="152" t="str">
        <f t="shared" si="0"/>
        <v>CAR210609</v>
      </c>
      <c r="I72" s="513">
        <v>-700000</v>
      </c>
      <c r="J72" s="513">
        <v>-500</v>
      </c>
      <c r="K72" s="513">
        <v>1400</v>
      </c>
      <c r="L72" s="518" t="s">
        <v>3659</v>
      </c>
      <c r="M72" s="152" t="s">
        <v>1566</v>
      </c>
      <c r="N72" s="152" t="s">
        <v>1407</v>
      </c>
      <c r="O72" s="152" t="s">
        <v>4286</v>
      </c>
      <c r="P72" s="152" t="s">
        <v>4279</v>
      </c>
      <c r="Q72" s="152" t="s">
        <v>4287</v>
      </c>
      <c r="R72" s="152" t="s">
        <v>4281</v>
      </c>
      <c r="S72" s="152" t="s">
        <v>4288</v>
      </c>
      <c r="T72" s="152" t="s">
        <v>786</v>
      </c>
    </row>
    <row r="73" spans="3:20">
      <c r="C73" s="152" t="s">
        <v>2821</v>
      </c>
      <c r="D73" s="474" t="s">
        <v>676</v>
      </c>
      <c r="E73" s="684" t="str">
        <f>+VLOOKUP(F73,Resumen_Base!$C$8:$G$156,5,0)</f>
        <v>Tips</v>
      </c>
      <c r="F73" s="152" t="s">
        <v>366</v>
      </c>
      <c r="G73" s="152" t="s">
        <v>367</v>
      </c>
      <c r="H73" s="152" t="str">
        <f t="shared" si="0"/>
        <v>CAR210609</v>
      </c>
      <c r="I73" s="513">
        <v>-644000</v>
      </c>
      <c r="J73" s="513">
        <v>-460</v>
      </c>
      <c r="K73" s="513">
        <v>1400</v>
      </c>
      <c r="L73" s="518" t="s">
        <v>3659</v>
      </c>
      <c r="M73" s="152" t="s">
        <v>1566</v>
      </c>
      <c r="N73" s="152" t="s">
        <v>1407</v>
      </c>
      <c r="O73" s="152" t="s">
        <v>4286</v>
      </c>
      <c r="P73" s="152" t="s">
        <v>4279</v>
      </c>
      <c r="Q73" s="152" t="s">
        <v>4287</v>
      </c>
      <c r="R73" s="152" t="s">
        <v>4281</v>
      </c>
      <c r="S73" s="152" t="s">
        <v>4288</v>
      </c>
      <c r="T73" s="152" t="s">
        <v>786</v>
      </c>
    </row>
    <row r="74" spans="3:20">
      <c r="C74" s="152" t="s">
        <v>2821</v>
      </c>
      <c r="D74" s="474" t="s">
        <v>676</v>
      </c>
      <c r="E74" s="684" t="str">
        <f>+VLOOKUP(F74,Resumen_Base!$C$8:$G$156,5,0)</f>
        <v>Tips</v>
      </c>
      <c r="F74" s="152" t="s">
        <v>366</v>
      </c>
      <c r="G74" s="152" t="s">
        <v>367</v>
      </c>
      <c r="H74" s="152" t="str">
        <f t="shared" si="0"/>
        <v>CAR210609</v>
      </c>
      <c r="I74" s="513">
        <v>-491750</v>
      </c>
      <c r="J74" s="513">
        <v>-350</v>
      </c>
      <c r="K74" s="513">
        <v>1405</v>
      </c>
      <c r="L74" s="518" t="s">
        <v>3493</v>
      </c>
      <c r="M74" s="152" t="s">
        <v>1566</v>
      </c>
      <c r="N74" s="152" t="s">
        <v>1407</v>
      </c>
      <c r="O74" s="152" t="s">
        <v>4289</v>
      </c>
      <c r="P74" s="152" t="s">
        <v>4279</v>
      </c>
      <c r="Q74" s="152" t="s">
        <v>4290</v>
      </c>
      <c r="R74" s="152" t="s">
        <v>4291</v>
      </c>
      <c r="S74" s="152" t="s">
        <v>4292</v>
      </c>
      <c r="T74" s="152" t="s">
        <v>786</v>
      </c>
    </row>
    <row r="75" spans="3:20">
      <c r="C75" s="152" t="s">
        <v>2821</v>
      </c>
      <c r="D75" s="474" t="s">
        <v>676</v>
      </c>
      <c r="E75" s="684" t="str">
        <f>+VLOOKUP(F75,Resumen_Base!$C$8:$G$156,5,0)</f>
        <v>Tips</v>
      </c>
      <c r="F75" s="152" t="s">
        <v>366</v>
      </c>
      <c r="G75" s="152" t="s">
        <v>367</v>
      </c>
      <c r="H75" s="152" t="str">
        <f t="shared" si="0"/>
        <v>CAR210609</v>
      </c>
      <c r="I75" s="513">
        <v>-562000</v>
      </c>
      <c r="J75" s="513">
        <v>-400</v>
      </c>
      <c r="K75" s="513">
        <v>1405</v>
      </c>
      <c r="L75" s="518" t="s">
        <v>3493</v>
      </c>
      <c r="M75" s="152" t="s">
        <v>1566</v>
      </c>
      <c r="N75" s="152" t="s">
        <v>1407</v>
      </c>
      <c r="O75" s="152" t="s">
        <v>4289</v>
      </c>
      <c r="P75" s="152" t="s">
        <v>4279</v>
      </c>
      <c r="Q75" s="152" t="s">
        <v>4290</v>
      </c>
      <c r="R75" s="152" t="s">
        <v>4291</v>
      </c>
      <c r="S75" s="152" t="s">
        <v>4292</v>
      </c>
      <c r="T75" s="152" t="s">
        <v>786</v>
      </c>
    </row>
    <row r="76" spans="3:20">
      <c r="C76" s="152" t="s">
        <v>2821</v>
      </c>
      <c r="D76" s="474" t="s">
        <v>676</v>
      </c>
      <c r="E76" s="684" t="str">
        <f>+VLOOKUP(F76,Resumen_Base!$C$8:$G$156,5,0)</f>
        <v>Tips</v>
      </c>
      <c r="F76" s="152" t="s">
        <v>366</v>
      </c>
      <c r="G76" s="152" t="s">
        <v>367</v>
      </c>
      <c r="H76" s="152" t="str">
        <f t="shared" si="0"/>
        <v>CAR210609</v>
      </c>
      <c r="I76" s="513">
        <v>-491750</v>
      </c>
      <c r="J76" s="513">
        <v>-350</v>
      </c>
      <c r="K76" s="513">
        <v>1405</v>
      </c>
      <c r="L76" s="518" t="s">
        <v>3493</v>
      </c>
      <c r="M76" s="152" t="s">
        <v>1566</v>
      </c>
      <c r="N76" s="152" t="s">
        <v>1407</v>
      </c>
      <c r="O76" s="152" t="s">
        <v>4293</v>
      </c>
      <c r="P76" s="152" t="s">
        <v>4279</v>
      </c>
      <c r="Q76" s="152" t="s">
        <v>4294</v>
      </c>
      <c r="R76" s="152" t="s">
        <v>4291</v>
      </c>
      <c r="S76" s="152" t="s">
        <v>4295</v>
      </c>
      <c r="T76" s="152" t="s">
        <v>786</v>
      </c>
    </row>
    <row r="77" spans="3:20">
      <c r="C77" s="152" t="s">
        <v>2821</v>
      </c>
      <c r="D77" s="474" t="s">
        <v>676</v>
      </c>
      <c r="E77" s="684" t="str">
        <f>+VLOOKUP(F77,Resumen_Base!$C$8:$G$156,5,0)</f>
        <v>Tips</v>
      </c>
      <c r="F77" s="152" t="s">
        <v>366</v>
      </c>
      <c r="G77" s="152" t="s">
        <v>367</v>
      </c>
      <c r="H77" s="152" t="str">
        <f t="shared" ref="H77:H140" si="1">+D77&amp;F77</f>
        <v>CAR210609</v>
      </c>
      <c r="I77" s="513">
        <v>-351250</v>
      </c>
      <c r="J77" s="513">
        <v>-250</v>
      </c>
      <c r="K77" s="513">
        <v>1405</v>
      </c>
      <c r="L77" s="518" t="s">
        <v>3493</v>
      </c>
      <c r="M77" s="152" t="s">
        <v>1566</v>
      </c>
      <c r="N77" s="152" t="s">
        <v>1407</v>
      </c>
      <c r="O77" s="152" t="s">
        <v>4293</v>
      </c>
      <c r="P77" s="152" t="s">
        <v>4279</v>
      </c>
      <c r="Q77" s="152" t="s">
        <v>4294</v>
      </c>
      <c r="R77" s="152" t="s">
        <v>4291</v>
      </c>
      <c r="S77" s="152" t="s">
        <v>4295</v>
      </c>
      <c r="T77" s="152" t="s">
        <v>786</v>
      </c>
    </row>
    <row r="78" spans="3:20">
      <c r="C78" s="152" t="s">
        <v>2821</v>
      </c>
      <c r="D78" s="474" t="s">
        <v>676</v>
      </c>
      <c r="E78" s="684" t="str">
        <f>+VLOOKUP(F78,Resumen_Base!$C$8:$G$156,5,0)</f>
        <v>Tips</v>
      </c>
      <c r="F78" s="152" t="s">
        <v>366</v>
      </c>
      <c r="G78" s="152" t="s">
        <v>367</v>
      </c>
      <c r="H78" s="152" t="str">
        <f t="shared" si="1"/>
        <v>CAR210609</v>
      </c>
      <c r="I78" s="513">
        <v>-491750</v>
      </c>
      <c r="J78" s="513">
        <v>-350</v>
      </c>
      <c r="K78" s="513">
        <v>1405</v>
      </c>
      <c r="L78" s="518" t="s">
        <v>3493</v>
      </c>
      <c r="M78" s="152" t="s">
        <v>1566</v>
      </c>
      <c r="N78" s="152" t="s">
        <v>1407</v>
      </c>
      <c r="O78" s="152" t="s">
        <v>4296</v>
      </c>
      <c r="P78" s="152" t="s">
        <v>4279</v>
      </c>
      <c r="Q78" s="152" t="s">
        <v>4297</v>
      </c>
      <c r="R78" s="152" t="s">
        <v>4291</v>
      </c>
      <c r="S78" s="152" t="s">
        <v>4298</v>
      </c>
      <c r="T78" s="152" t="s">
        <v>786</v>
      </c>
    </row>
    <row r="79" spans="3:20">
      <c r="C79" s="152" t="s">
        <v>2821</v>
      </c>
      <c r="D79" s="474" t="s">
        <v>676</v>
      </c>
      <c r="E79" s="684" t="str">
        <f>+VLOOKUP(F79,Resumen_Base!$C$8:$G$156,5,0)</f>
        <v>Tips</v>
      </c>
      <c r="F79" s="152" t="s">
        <v>366</v>
      </c>
      <c r="G79" s="152" t="s">
        <v>367</v>
      </c>
      <c r="H79" s="152" t="str">
        <f t="shared" si="1"/>
        <v>CAR210609</v>
      </c>
      <c r="I79" s="513">
        <v>-491750</v>
      </c>
      <c r="J79" s="513">
        <v>-350</v>
      </c>
      <c r="K79" s="513">
        <v>1405</v>
      </c>
      <c r="L79" s="518" t="s">
        <v>3493</v>
      </c>
      <c r="M79" s="152" t="s">
        <v>1566</v>
      </c>
      <c r="N79" s="152" t="s">
        <v>1407</v>
      </c>
      <c r="O79" s="152" t="s">
        <v>4296</v>
      </c>
      <c r="P79" s="152" t="s">
        <v>4279</v>
      </c>
      <c r="Q79" s="152" t="s">
        <v>4297</v>
      </c>
      <c r="R79" s="152" t="s">
        <v>4291</v>
      </c>
      <c r="S79" s="152" t="s">
        <v>4298</v>
      </c>
      <c r="T79" s="152" t="s">
        <v>786</v>
      </c>
    </row>
    <row r="80" spans="3:20">
      <c r="C80" s="152" t="s">
        <v>2821</v>
      </c>
      <c r="D80" s="474" t="s">
        <v>676</v>
      </c>
      <c r="E80" s="684" t="str">
        <f>+VLOOKUP(F80,Resumen_Base!$C$8:$G$156,5,0)</f>
        <v>Tips</v>
      </c>
      <c r="F80" s="152" t="s">
        <v>366</v>
      </c>
      <c r="G80" s="152" t="s">
        <v>367</v>
      </c>
      <c r="H80" s="152" t="str">
        <f t="shared" si="1"/>
        <v>CAR210609</v>
      </c>
      <c r="I80" s="513">
        <v>-421500</v>
      </c>
      <c r="J80" s="513">
        <v>-300</v>
      </c>
      <c r="K80" s="513">
        <v>1405</v>
      </c>
      <c r="L80" s="518" t="s">
        <v>3493</v>
      </c>
      <c r="M80" s="152" t="s">
        <v>1566</v>
      </c>
      <c r="N80" s="152" t="s">
        <v>1407</v>
      </c>
      <c r="O80" s="152" t="s">
        <v>4299</v>
      </c>
      <c r="P80" s="152" t="s">
        <v>4279</v>
      </c>
      <c r="Q80" s="152" t="s">
        <v>4300</v>
      </c>
      <c r="R80" s="152" t="s">
        <v>4291</v>
      </c>
      <c r="S80" s="152" t="s">
        <v>4301</v>
      </c>
      <c r="T80" s="152" t="s">
        <v>786</v>
      </c>
    </row>
    <row r="81" spans="3:20">
      <c r="C81" s="152" t="s">
        <v>2821</v>
      </c>
      <c r="D81" s="474" t="s">
        <v>676</v>
      </c>
      <c r="E81" s="684" t="str">
        <f>+VLOOKUP(F81,Resumen_Base!$C$8:$G$156,5,0)</f>
        <v>Tips</v>
      </c>
      <c r="F81" s="152" t="s">
        <v>366</v>
      </c>
      <c r="G81" s="152" t="s">
        <v>367</v>
      </c>
      <c r="H81" s="152" t="str">
        <f t="shared" si="1"/>
        <v>CAR210609</v>
      </c>
      <c r="I81" s="513">
        <v>-421500</v>
      </c>
      <c r="J81" s="513">
        <v>-300</v>
      </c>
      <c r="K81" s="513">
        <v>1405</v>
      </c>
      <c r="L81" s="518" t="s">
        <v>3493</v>
      </c>
      <c r="M81" s="152" t="s">
        <v>1566</v>
      </c>
      <c r="N81" s="152" t="s">
        <v>1407</v>
      </c>
      <c r="O81" s="152" t="s">
        <v>4299</v>
      </c>
      <c r="P81" s="152" t="s">
        <v>4279</v>
      </c>
      <c r="Q81" s="152" t="s">
        <v>4300</v>
      </c>
      <c r="R81" s="152" t="s">
        <v>4291</v>
      </c>
      <c r="S81" s="152" t="s">
        <v>4301</v>
      </c>
      <c r="T81" s="152" t="s">
        <v>786</v>
      </c>
    </row>
    <row r="82" spans="3:20">
      <c r="C82" s="152" t="s">
        <v>2821</v>
      </c>
      <c r="D82" s="474" t="s">
        <v>676</v>
      </c>
      <c r="E82" s="684" t="str">
        <f>+VLOOKUP(F82,Resumen_Base!$C$8:$G$156,5,0)</f>
        <v>Tips</v>
      </c>
      <c r="F82" s="152" t="s">
        <v>366</v>
      </c>
      <c r="G82" s="152" t="s">
        <v>367</v>
      </c>
      <c r="H82" s="152" t="str">
        <f t="shared" si="1"/>
        <v>CAR210609</v>
      </c>
      <c r="I82" s="513">
        <v>-423000</v>
      </c>
      <c r="J82" s="513">
        <v>-300</v>
      </c>
      <c r="K82" s="513">
        <v>1410</v>
      </c>
      <c r="L82" s="518" t="s">
        <v>3498</v>
      </c>
      <c r="M82" s="152" t="s">
        <v>1566</v>
      </c>
      <c r="N82" s="152" t="s">
        <v>1407</v>
      </c>
      <c r="O82" s="152" t="s">
        <v>4302</v>
      </c>
      <c r="P82" s="152" t="s">
        <v>4279</v>
      </c>
      <c r="Q82" s="152" t="s">
        <v>4303</v>
      </c>
      <c r="R82" s="152" t="s">
        <v>4304</v>
      </c>
      <c r="S82" s="152" t="s">
        <v>4305</v>
      </c>
      <c r="T82" s="152" t="s">
        <v>786</v>
      </c>
    </row>
    <row r="83" spans="3:20">
      <c r="C83" s="152" t="s">
        <v>2821</v>
      </c>
      <c r="D83" s="474" t="s">
        <v>676</v>
      </c>
      <c r="E83" s="684" t="str">
        <f>+VLOOKUP(F83,Resumen_Base!$C$8:$G$156,5,0)</f>
        <v>Tips</v>
      </c>
      <c r="F83" s="152" t="s">
        <v>366</v>
      </c>
      <c r="G83" s="152" t="s">
        <v>367</v>
      </c>
      <c r="H83" s="152" t="str">
        <f t="shared" si="1"/>
        <v>CAR210609</v>
      </c>
      <c r="I83" s="513">
        <v>-705000</v>
      </c>
      <c r="J83" s="513">
        <v>-500</v>
      </c>
      <c r="K83" s="513">
        <v>1410</v>
      </c>
      <c r="L83" s="518" t="s">
        <v>3498</v>
      </c>
      <c r="M83" s="152" t="s">
        <v>1566</v>
      </c>
      <c r="N83" s="152" t="s">
        <v>1407</v>
      </c>
      <c r="O83" s="152" t="s">
        <v>4302</v>
      </c>
      <c r="P83" s="152" t="s">
        <v>4279</v>
      </c>
      <c r="Q83" s="152" t="s">
        <v>4303</v>
      </c>
      <c r="R83" s="152" t="s">
        <v>4304</v>
      </c>
      <c r="S83" s="152" t="s">
        <v>4305</v>
      </c>
      <c r="T83" s="152" t="s">
        <v>786</v>
      </c>
    </row>
    <row r="84" spans="3:20">
      <c r="C84" s="152" t="s">
        <v>2821</v>
      </c>
      <c r="D84" s="474" t="s">
        <v>676</v>
      </c>
      <c r="E84" s="684" t="str">
        <f>+VLOOKUP(F84,Resumen_Base!$C$8:$G$156,5,0)</f>
        <v>Tips</v>
      </c>
      <c r="F84" s="152" t="s">
        <v>366</v>
      </c>
      <c r="G84" s="152" t="s">
        <v>367</v>
      </c>
      <c r="H84" s="152" t="str">
        <f t="shared" si="1"/>
        <v>CAR210609</v>
      </c>
      <c r="I84" s="513">
        <v>-493500</v>
      </c>
      <c r="J84" s="513">
        <v>-350</v>
      </c>
      <c r="K84" s="513">
        <v>1410</v>
      </c>
      <c r="L84" s="518" t="s">
        <v>3498</v>
      </c>
      <c r="M84" s="152" t="s">
        <v>1566</v>
      </c>
      <c r="N84" s="152" t="s">
        <v>1407</v>
      </c>
      <c r="O84" s="152" t="s">
        <v>4306</v>
      </c>
      <c r="P84" s="152" t="s">
        <v>4279</v>
      </c>
      <c r="Q84" s="152" t="s">
        <v>4307</v>
      </c>
      <c r="R84" s="152" t="s">
        <v>4304</v>
      </c>
      <c r="S84" s="152" t="s">
        <v>4308</v>
      </c>
      <c r="T84" s="152" t="s">
        <v>786</v>
      </c>
    </row>
    <row r="85" spans="3:20">
      <c r="C85" s="152" t="s">
        <v>2821</v>
      </c>
      <c r="D85" s="474" t="s">
        <v>676</v>
      </c>
      <c r="E85" s="684" t="str">
        <f>+VLOOKUP(F85,Resumen_Base!$C$8:$G$156,5,0)</f>
        <v>Tips</v>
      </c>
      <c r="F85" s="152" t="s">
        <v>366</v>
      </c>
      <c r="G85" s="152" t="s">
        <v>367</v>
      </c>
      <c r="H85" s="152" t="str">
        <f t="shared" si="1"/>
        <v>CAR210609</v>
      </c>
      <c r="I85" s="513">
        <v>-634500</v>
      </c>
      <c r="J85" s="513">
        <v>-450</v>
      </c>
      <c r="K85" s="513">
        <v>1410</v>
      </c>
      <c r="L85" s="518" t="s">
        <v>3498</v>
      </c>
      <c r="M85" s="152" t="s">
        <v>1566</v>
      </c>
      <c r="N85" s="152" t="s">
        <v>1407</v>
      </c>
      <c r="O85" s="152" t="s">
        <v>4306</v>
      </c>
      <c r="P85" s="152" t="s">
        <v>4279</v>
      </c>
      <c r="Q85" s="152" t="s">
        <v>4307</v>
      </c>
      <c r="R85" s="152" t="s">
        <v>4304</v>
      </c>
      <c r="S85" s="152" t="s">
        <v>4308</v>
      </c>
      <c r="T85" s="152" t="s">
        <v>786</v>
      </c>
    </row>
    <row r="86" spans="3:20">
      <c r="C86" s="152" t="s">
        <v>2821</v>
      </c>
      <c r="D86" s="474" t="s">
        <v>676</v>
      </c>
      <c r="E86" s="684" t="str">
        <f>+VLOOKUP(F86,Resumen_Base!$C$8:$G$156,5,0)</f>
        <v>Tips</v>
      </c>
      <c r="F86" s="152" t="s">
        <v>366</v>
      </c>
      <c r="G86" s="152" t="s">
        <v>367</v>
      </c>
      <c r="H86" s="152" t="str">
        <f t="shared" si="1"/>
        <v>CAR210609</v>
      </c>
      <c r="I86" s="513">
        <v>-475875</v>
      </c>
      <c r="J86" s="513">
        <v>-337.5</v>
      </c>
      <c r="K86" s="513">
        <v>1410</v>
      </c>
      <c r="L86" s="518" t="s">
        <v>3498</v>
      </c>
      <c r="M86" s="152" t="s">
        <v>1566</v>
      </c>
      <c r="N86" s="152" t="s">
        <v>1407</v>
      </c>
      <c r="O86" s="152" t="s">
        <v>4311</v>
      </c>
      <c r="P86" s="152" t="s">
        <v>4279</v>
      </c>
      <c r="Q86" s="152" t="s">
        <v>4312</v>
      </c>
      <c r="R86" s="152" t="s">
        <v>4304</v>
      </c>
      <c r="S86" s="152" t="s">
        <v>4313</v>
      </c>
      <c r="T86" s="152" t="s">
        <v>786</v>
      </c>
    </row>
    <row r="87" spans="3:20">
      <c r="C87" s="152" t="s">
        <v>2821</v>
      </c>
      <c r="D87" s="474" t="s">
        <v>676</v>
      </c>
      <c r="E87" s="684" t="str">
        <f>+VLOOKUP(F87,Resumen_Base!$C$8:$G$156,5,0)</f>
        <v>Tips</v>
      </c>
      <c r="F87" s="152" t="s">
        <v>366</v>
      </c>
      <c r="G87" s="152" t="s">
        <v>367</v>
      </c>
      <c r="H87" s="152" t="str">
        <f t="shared" si="1"/>
        <v>CAR210609</v>
      </c>
      <c r="I87" s="513">
        <v>-634500</v>
      </c>
      <c r="J87" s="513">
        <v>-450</v>
      </c>
      <c r="K87" s="513">
        <v>1410</v>
      </c>
      <c r="L87" s="518" t="s">
        <v>3498</v>
      </c>
      <c r="M87" s="152" t="s">
        <v>1566</v>
      </c>
      <c r="N87" s="152" t="s">
        <v>1407</v>
      </c>
      <c r="O87" s="152" t="s">
        <v>4311</v>
      </c>
      <c r="P87" s="152" t="s">
        <v>4279</v>
      </c>
      <c r="Q87" s="152" t="s">
        <v>4312</v>
      </c>
      <c r="R87" s="152" t="s">
        <v>4304</v>
      </c>
      <c r="S87" s="152" t="s">
        <v>4313</v>
      </c>
      <c r="T87" s="152" t="s">
        <v>786</v>
      </c>
    </row>
    <row r="88" spans="3:20">
      <c r="C88" s="152" t="s">
        <v>2821</v>
      </c>
      <c r="D88" s="474" t="s">
        <v>676</v>
      </c>
      <c r="E88" s="684" t="str">
        <f>+VLOOKUP(F88,Resumen_Base!$C$8:$G$156,5,0)</f>
        <v>Tips</v>
      </c>
      <c r="F88" s="152" t="s">
        <v>366</v>
      </c>
      <c r="G88" s="152" t="s">
        <v>367</v>
      </c>
      <c r="H88" s="152" t="str">
        <f t="shared" si="1"/>
        <v>CAR210609</v>
      </c>
      <c r="I88" s="513">
        <v>-282000</v>
      </c>
      <c r="J88" s="513">
        <v>-200</v>
      </c>
      <c r="K88" s="513">
        <v>1410</v>
      </c>
      <c r="L88" s="518" t="s">
        <v>3498</v>
      </c>
      <c r="M88" s="152" t="s">
        <v>1566</v>
      </c>
      <c r="N88" s="152" t="s">
        <v>1407</v>
      </c>
      <c r="O88" s="152" t="s">
        <v>4314</v>
      </c>
      <c r="P88" s="152" t="s">
        <v>4279</v>
      </c>
      <c r="Q88" s="152" t="s">
        <v>4315</v>
      </c>
      <c r="R88" s="152" t="s">
        <v>4304</v>
      </c>
      <c r="S88" s="152" t="s">
        <v>4316</v>
      </c>
      <c r="T88" s="152" t="s">
        <v>786</v>
      </c>
    </row>
    <row r="89" spans="3:20">
      <c r="C89" s="152" t="s">
        <v>2821</v>
      </c>
      <c r="D89" s="474" t="s">
        <v>676</v>
      </c>
      <c r="E89" s="684" t="str">
        <f>+VLOOKUP(F89,Resumen_Base!$C$8:$G$156,5,0)</f>
        <v>Tips</v>
      </c>
      <c r="F89" s="152" t="s">
        <v>366</v>
      </c>
      <c r="G89" s="152" t="s">
        <v>367</v>
      </c>
      <c r="H89" s="152" t="str">
        <f t="shared" si="1"/>
        <v>CAR210609</v>
      </c>
      <c r="I89" s="513">
        <v>-423000</v>
      </c>
      <c r="J89" s="513">
        <v>-300</v>
      </c>
      <c r="K89" s="513">
        <v>1410</v>
      </c>
      <c r="L89" s="518" t="s">
        <v>3498</v>
      </c>
      <c r="M89" s="152" t="s">
        <v>1566</v>
      </c>
      <c r="N89" s="152" t="s">
        <v>1407</v>
      </c>
      <c r="O89" s="152" t="s">
        <v>4314</v>
      </c>
      <c r="P89" s="152" t="s">
        <v>4279</v>
      </c>
      <c r="Q89" s="152" t="s">
        <v>4315</v>
      </c>
      <c r="R89" s="152" t="s">
        <v>4304</v>
      </c>
      <c r="S89" s="152" t="s">
        <v>4316</v>
      </c>
      <c r="T89" s="152" t="s">
        <v>786</v>
      </c>
    </row>
    <row r="90" spans="3:20">
      <c r="C90" s="152" t="s">
        <v>2821</v>
      </c>
      <c r="D90" s="474" t="s">
        <v>676</v>
      </c>
      <c r="E90" s="684" t="str">
        <f>+VLOOKUP(F90,Resumen_Base!$C$8:$G$156,5,0)</f>
        <v>Tips</v>
      </c>
      <c r="F90" s="152" t="s">
        <v>366</v>
      </c>
      <c r="G90" s="152" t="s">
        <v>367</v>
      </c>
      <c r="H90" s="152" t="str">
        <f t="shared" si="1"/>
        <v>CAR210609</v>
      </c>
      <c r="I90" s="513">
        <v>-562000</v>
      </c>
      <c r="J90" s="513">
        <v>-400</v>
      </c>
      <c r="K90" s="513">
        <v>1405</v>
      </c>
      <c r="L90" s="518" t="s">
        <v>3493</v>
      </c>
      <c r="M90" s="152" t="s">
        <v>1566</v>
      </c>
      <c r="N90" s="152" t="s">
        <v>1407</v>
      </c>
      <c r="O90" s="152" t="s">
        <v>4321</v>
      </c>
      <c r="P90" s="152" t="s">
        <v>4279</v>
      </c>
      <c r="Q90" s="152" t="s">
        <v>4322</v>
      </c>
      <c r="R90" s="152" t="s">
        <v>4323</v>
      </c>
      <c r="S90" s="152" t="s">
        <v>4324</v>
      </c>
      <c r="T90" s="152" t="s">
        <v>786</v>
      </c>
    </row>
    <row r="91" spans="3:20">
      <c r="C91" s="152" t="s">
        <v>2821</v>
      </c>
      <c r="D91" s="474" t="s">
        <v>676</v>
      </c>
      <c r="E91" s="684" t="str">
        <f>+VLOOKUP(F91,Resumen_Base!$C$8:$G$156,5,0)</f>
        <v>Tips</v>
      </c>
      <c r="F91" s="152" t="s">
        <v>366</v>
      </c>
      <c r="G91" s="152" t="s">
        <v>367</v>
      </c>
      <c r="H91" s="152" t="str">
        <f t="shared" si="1"/>
        <v>CAR210609</v>
      </c>
      <c r="I91" s="513">
        <v>-491750</v>
      </c>
      <c r="J91" s="513">
        <v>-350</v>
      </c>
      <c r="K91" s="513">
        <v>1405</v>
      </c>
      <c r="L91" s="518" t="s">
        <v>3493</v>
      </c>
      <c r="M91" s="152" t="s">
        <v>1566</v>
      </c>
      <c r="N91" s="152" t="s">
        <v>1407</v>
      </c>
      <c r="O91" s="152" t="s">
        <v>4321</v>
      </c>
      <c r="P91" s="152" t="s">
        <v>4279</v>
      </c>
      <c r="Q91" s="152" t="s">
        <v>4322</v>
      </c>
      <c r="R91" s="152" t="s">
        <v>4323</v>
      </c>
      <c r="S91" s="152" t="s">
        <v>4324</v>
      </c>
      <c r="T91" s="152" t="s">
        <v>786</v>
      </c>
    </row>
    <row r="92" spans="3:20">
      <c r="C92" s="152" t="s">
        <v>2821</v>
      </c>
      <c r="D92" s="474" t="s">
        <v>676</v>
      </c>
      <c r="E92" s="684" t="str">
        <f>+VLOOKUP(F92,Resumen_Base!$C$8:$G$156,5,0)</f>
        <v>Tips</v>
      </c>
      <c r="F92" s="152" t="s">
        <v>366</v>
      </c>
      <c r="G92" s="152" t="s">
        <v>367</v>
      </c>
      <c r="H92" s="152" t="str">
        <f t="shared" si="1"/>
        <v>CAR210609</v>
      </c>
      <c r="I92" s="513">
        <v>-562000</v>
      </c>
      <c r="J92" s="513">
        <v>-400</v>
      </c>
      <c r="K92" s="513">
        <v>1405</v>
      </c>
      <c r="L92" s="518" t="s">
        <v>3493</v>
      </c>
      <c r="M92" s="152" t="s">
        <v>1566</v>
      </c>
      <c r="N92" s="152" t="s">
        <v>1407</v>
      </c>
      <c r="O92" s="152" t="s">
        <v>4325</v>
      </c>
      <c r="P92" s="152" t="s">
        <v>4279</v>
      </c>
      <c r="Q92" s="152" t="s">
        <v>4326</v>
      </c>
      <c r="R92" s="152" t="s">
        <v>4323</v>
      </c>
      <c r="S92" s="152" t="s">
        <v>4327</v>
      </c>
      <c r="T92" s="152" t="s">
        <v>786</v>
      </c>
    </row>
    <row r="93" spans="3:20">
      <c r="C93" s="152" t="s">
        <v>2821</v>
      </c>
      <c r="D93" s="474" t="s">
        <v>676</v>
      </c>
      <c r="E93" s="684" t="str">
        <f>+VLOOKUP(F93,Resumen_Base!$C$8:$G$156,5,0)</f>
        <v>Tips</v>
      </c>
      <c r="F93" s="152" t="s">
        <v>366</v>
      </c>
      <c r="G93" s="152" t="s">
        <v>367</v>
      </c>
      <c r="H93" s="152" t="str">
        <f t="shared" si="1"/>
        <v>CAR210609</v>
      </c>
      <c r="I93" s="513">
        <v>-562000</v>
      </c>
      <c r="J93" s="513">
        <v>-400</v>
      </c>
      <c r="K93" s="513">
        <v>1405</v>
      </c>
      <c r="L93" s="518" t="s">
        <v>3493</v>
      </c>
      <c r="M93" s="152" t="s">
        <v>1566</v>
      </c>
      <c r="N93" s="152" t="s">
        <v>1407</v>
      </c>
      <c r="O93" s="152" t="s">
        <v>4325</v>
      </c>
      <c r="P93" s="152" t="s">
        <v>4279</v>
      </c>
      <c r="Q93" s="152" t="s">
        <v>4326</v>
      </c>
      <c r="R93" s="152" t="s">
        <v>4323</v>
      </c>
      <c r="S93" s="152" t="s">
        <v>4327</v>
      </c>
      <c r="T93" s="152" t="s">
        <v>786</v>
      </c>
    </row>
    <row r="94" spans="3:20">
      <c r="C94" s="152" t="s">
        <v>2821</v>
      </c>
      <c r="D94" s="474" t="s">
        <v>676</v>
      </c>
      <c r="E94" s="684" t="str">
        <f>+VLOOKUP(F94,Resumen_Base!$C$8:$G$156,5,0)</f>
        <v>Tips</v>
      </c>
      <c r="F94" s="152" t="s">
        <v>366</v>
      </c>
      <c r="G94" s="152" t="s">
        <v>367</v>
      </c>
      <c r="H94" s="152" t="str">
        <f t="shared" si="1"/>
        <v>CAR210609</v>
      </c>
      <c r="I94" s="513">
        <v>-632250</v>
      </c>
      <c r="J94" s="513">
        <v>-450</v>
      </c>
      <c r="K94" s="513">
        <v>1405</v>
      </c>
      <c r="L94" s="518" t="s">
        <v>3493</v>
      </c>
      <c r="M94" s="152" t="s">
        <v>1566</v>
      </c>
      <c r="N94" s="152" t="s">
        <v>1407</v>
      </c>
      <c r="O94" s="152" t="s">
        <v>4328</v>
      </c>
      <c r="P94" s="152" t="s">
        <v>4279</v>
      </c>
      <c r="Q94" s="152" t="s">
        <v>4329</v>
      </c>
      <c r="R94" s="152" t="s">
        <v>4323</v>
      </c>
      <c r="S94" s="152" t="s">
        <v>4330</v>
      </c>
      <c r="T94" s="152" t="s">
        <v>786</v>
      </c>
    </row>
    <row r="95" spans="3:20">
      <c r="C95" s="152" t="s">
        <v>2821</v>
      </c>
      <c r="D95" s="474" t="s">
        <v>676</v>
      </c>
      <c r="E95" s="684" t="str">
        <f>+VLOOKUP(F95,Resumen_Base!$C$8:$G$156,5,0)</f>
        <v>Tips</v>
      </c>
      <c r="F95" s="152" t="s">
        <v>366</v>
      </c>
      <c r="G95" s="152" t="s">
        <v>367</v>
      </c>
      <c r="H95" s="152" t="str">
        <f t="shared" si="1"/>
        <v>CAR210609</v>
      </c>
      <c r="I95" s="513">
        <v>-772750</v>
      </c>
      <c r="J95" s="513">
        <v>-550</v>
      </c>
      <c r="K95" s="513">
        <v>1405</v>
      </c>
      <c r="L95" s="518" t="s">
        <v>3493</v>
      </c>
      <c r="M95" s="152" t="s">
        <v>1566</v>
      </c>
      <c r="N95" s="152" t="s">
        <v>1407</v>
      </c>
      <c r="O95" s="152" t="s">
        <v>4328</v>
      </c>
      <c r="P95" s="152" t="s">
        <v>4279</v>
      </c>
      <c r="Q95" s="152" t="s">
        <v>4329</v>
      </c>
      <c r="R95" s="152" t="s">
        <v>4323</v>
      </c>
      <c r="S95" s="152" t="s">
        <v>4330</v>
      </c>
      <c r="T95" s="152" t="s">
        <v>786</v>
      </c>
    </row>
    <row r="96" spans="3:20">
      <c r="C96" s="152" t="s">
        <v>2821</v>
      </c>
      <c r="D96" s="474" t="s">
        <v>676</v>
      </c>
      <c r="E96" s="684" t="str">
        <f>+VLOOKUP(F96,Resumen_Base!$C$8:$G$156,5,0)</f>
        <v>Tips</v>
      </c>
      <c r="F96" s="152" t="s">
        <v>366</v>
      </c>
      <c r="G96" s="152" t="s">
        <v>367</v>
      </c>
      <c r="H96" s="152" t="str">
        <f t="shared" si="1"/>
        <v>CAR210609</v>
      </c>
      <c r="I96" s="513">
        <v>-351250</v>
      </c>
      <c r="J96" s="513">
        <v>-250</v>
      </c>
      <c r="K96" s="513">
        <v>1405</v>
      </c>
      <c r="L96" s="518" t="s">
        <v>3493</v>
      </c>
      <c r="M96" s="152" t="s">
        <v>1566</v>
      </c>
      <c r="N96" s="152" t="s">
        <v>1407</v>
      </c>
      <c r="O96" s="152" t="s">
        <v>4331</v>
      </c>
      <c r="P96" s="152" t="s">
        <v>4279</v>
      </c>
      <c r="Q96" s="152" t="s">
        <v>4332</v>
      </c>
      <c r="R96" s="152" t="s">
        <v>4323</v>
      </c>
      <c r="S96" s="152" t="s">
        <v>4333</v>
      </c>
      <c r="T96" s="152" t="s">
        <v>786</v>
      </c>
    </row>
    <row r="97" spans="3:20">
      <c r="C97" s="152" t="s">
        <v>2821</v>
      </c>
      <c r="D97" s="474" t="s">
        <v>676</v>
      </c>
      <c r="E97" s="684" t="str">
        <f>+VLOOKUP(F97,Resumen_Base!$C$8:$G$156,5,0)</f>
        <v>Tips</v>
      </c>
      <c r="F97" s="152" t="s">
        <v>366</v>
      </c>
      <c r="G97" s="152" t="s">
        <v>367</v>
      </c>
      <c r="H97" s="152" t="str">
        <f t="shared" si="1"/>
        <v>CAR210609</v>
      </c>
      <c r="I97" s="513">
        <v>-491750</v>
      </c>
      <c r="J97" s="513">
        <v>-350</v>
      </c>
      <c r="K97" s="513">
        <v>1405</v>
      </c>
      <c r="L97" s="518" t="s">
        <v>3493</v>
      </c>
      <c r="M97" s="152" t="s">
        <v>1566</v>
      </c>
      <c r="N97" s="152" t="s">
        <v>1407</v>
      </c>
      <c r="O97" s="152" t="s">
        <v>4331</v>
      </c>
      <c r="P97" s="152" t="s">
        <v>4279</v>
      </c>
      <c r="Q97" s="152" t="s">
        <v>4332</v>
      </c>
      <c r="R97" s="152" t="s">
        <v>4323</v>
      </c>
      <c r="S97" s="152" t="s">
        <v>4333</v>
      </c>
      <c r="T97" s="152" t="s">
        <v>786</v>
      </c>
    </row>
    <row r="98" spans="3:20">
      <c r="C98" s="152" t="s">
        <v>2821</v>
      </c>
      <c r="D98" s="474" t="s">
        <v>676</v>
      </c>
      <c r="E98" s="684" t="str">
        <f>+VLOOKUP(F98,Resumen_Base!$C$8:$G$156,5,0)</f>
        <v>Tips</v>
      </c>
      <c r="F98" s="152" t="s">
        <v>366</v>
      </c>
      <c r="G98" s="152" t="s">
        <v>367</v>
      </c>
      <c r="H98" s="152" t="str">
        <f t="shared" si="1"/>
        <v>CAR210609</v>
      </c>
      <c r="I98" s="513">
        <v>-562000</v>
      </c>
      <c r="J98" s="513">
        <v>-400</v>
      </c>
      <c r="K98" s="513">
        <v>1405</v>
      </c>
      <c r="L98" s="518" t="s">
        <v>3493</v>
      </c>
      <c r="M98" s="152" t="s">
        <v>1566</v>
      </c>
      <c r="N98" s="152" t="s">
        <v>1407</v>
      </c>
      <c r="O98" s="152" t="s">
        <v>4334</v>
      </c>
      <c r="P98" s="152" t="s">
        <v>4279</v>
      </c>
      <c r="Q98" s="152" t="s">
        <v>4335</v>
      </c>
      <c r="R98" s="152" t="s">
        <v>4323</v>
      </c>
      <c r="S98" s="152" t="s">
        <v>4336</v>
      </c>
      <c r="T98" s="152" t="s">
        <v>786</v>
      </c>
    </row>
    <row r="99" spans="3:20">
      <c r="C99" s="152" t="s">
        <v>2821</v>
      </c>
      <c r="D99" s="474" t="s">
        <v>676</v>
      </c>
      <c r="E99" s="684" t="str">
        <f>+VLOOKUP(F99,Resumen_Base!$C$8:$G$156,5,0)</f>
        <v>Tips</v>
      </c>
      <c r="F99" s="152" t="s">
        <v>366</v>
      </c>
      <c r="G99" s="152" t="s">
        <v>367</v>
      </c>
      <c r="H99" s="152" t="str">
        <f t="shared" si="1"/>
        <v>CAR210609</v>
      </c>
      <c r="I99" s="513">
        <v>-421500</v>
      </c>
      <c r="J99" s="513">
        <v>-300</v>
      </c>
      <c r="K99" s="513">
        <v>1405</v>
      </c>
      <c r="L99" s="518" t="s">
        <v>3493</v>
      </c>
      <c r="M99" s="152" t="s">
        <v>1566</v>
      </c>
      <c r="N99" s="152" t="s">
        <v>1407</v>
      </c>
      <c r="O99" s="152" t="s">
        <v>4334</v>
      </c>
      <c r="P99" s="152" t="s">
        <v>4279</v>
      </c>
      <c r="Q99" s="152" t="s">
        <v>4335</v>
      </c>
      <c r="R99" s="152" t="s">
        <v>4323</v>
      </c>
      <c r="S99" s="152" t="s">
        <v>4336</v>
      </c>
      <c r="T99" s="152" t="s">
        <v>786</v>
      </c>
    </row>
    <row r="100" spans="3:20">
      <c r="C100" s="152" t="s">
        <v>2821</v>
      </c>
      <c r="D100" s="474" t="s">
        <v>676</v>
      </c>
      <c r="E100" s="684" t="str">
        <f>+VLOOKUP(F100,Resumen_Base!$C$8:$G$156,5,0)</f>
        <v>Tips</v>
      </c>
      <c r="F100" s="152" t="s">
        <v>366</v>
      </c>
      <c r="G100" s="152" t="s">
        <v>367</v>
      </c>
      <c r="H100" s="152" t="str">
        <f t="shared" si="1"/>
        <v>CAR210609</v>
      </c>
      <c r="I100" s="513">
        <v>-505800</v>
      </c>
      <c r="J100" s="513">
        <v>-360</v>
      </c>
      <c r="K100" s="513">
        <v>1405</v>
      </c>
      <c r="L100" s="518" t="s">
        <v>3493</v>
      </c>
      <c r="M100" s="152" t="s">
        <v>1566</v>
      </c>
      <c r="N100" s="152" t="s">
        <v>1407</v>
      </c>
      <c r="O100" s="152" t="s">
        <v>4337</v>
      </c>
      <c r="P100" s="152" t="s">
        <v>4279</v>
      </c>
      <c r="Q100" s="152" t="s">
        <v>4338</v>
      </c>
      <c r="R100" s="152" t="s">
        <v>4323</v>
      </c>
      <c r="S100" s="152" t="s">
        <v>4339</v>
      </c>
      <c r="T100" s="152" t="s">
        <v>786</v>
      </c>
    </row>
    <row r="101" spans="3:20">
      <c r="C101" s="152" t="s">
        <v>2821</v>
      </c>
      <c r="D101" s="474" t="s">
        <v>676</v>
      </c>
      <c r="E101" s="684" t="str">
        <f>+VLOOKUP(F101,Resumen_Base!$C$8:$G$156,5,0)</f>
        <v>Tips</v>
      </c>
      <c r="F101" s="152" t="s">
        <v>366</v>
      </c>
      <c r="G101" s="152" t="s">
        <v>367</v>
      </c>
      <c r="H101" s="152" t="str">
        <f t="shared" si="1"/>
        <v>CAR210609</v>
      </c>
      <c r="I101" s="513">
        <v>-421500</v>
      </c>
      <c r="J101" s="513">
        <v>-300</v>
      </c>
      <c r="K101" s="513">
        <v>1405</v>
      </c>
      <c r="L101" s="518" t="s">
        <v>3493</v>
      </c>
      <c r="M101" s="152" t="s">
        <v>1566</v>
      </c>
      <c r="N101" s="152" t="s">
        <v>1407</v>
      </c>
      <c r="O101" s="152" t="s">
        <v>4337</v>
      </c>
      <c r="P101" s="152" t="s">
        <v>4279</v>
      </c>
      <c r="Q101" s="152" t="s">
        <v>4338</v>
      </c>
      <c r="R101" s="152" t="s">
        <v>4323</v>
      </c>
      <c r="S101" s="152" t="s">
        <v>4339</v>
      </c>
      <c r="T101" s="152" t="s">
        <v>786</v>
      </c>
    </row>
    <row r="102" spans="3:20">
      <c r="C102" s="152" t="s">
        <v>2821</v>
      </c>
      <c r="D102" s="474" t="s">
        <v>676</v>
      </c>
      <c r="E102" s="684" t="str">
        <f>+VLOOKUP(F102,Resumen_Base!$C$8:$G$156,5,0)</f>
        <v>Tips</v>
      </c>
      <c r="F102" s="152" t="s">
        <v>366</v>
      </c>
      <c r="G102" s="152" t="s">
        <v>367</v>
      </c>
      <c r="H102" s="152" t="str">
        <f t="shared" si="1"/>
        <v>CAR210609</v>
      </c>
      <c r="I102" s="513">
        <v>-764100</v>
      </c>
      <c r="J102" s="513">
        <v>-540</v>
      </c>
      <c r="K102" s="513">
        <v>1415</v>
      </c>
      <c r="L102" s="518" t="s">
        <v>3632</v>
      </c>
      <c r="M102" s="152" t="s">
        <v>1566</v>
      </c>
      <c r="N102" s="152" t="s">
        <v>1407</v>
      </c>
      <c r="O102" s="152" t="s">
        <v>4340</v>
      </c>
      <c r="P102" s="152" t="s">
        <v>4279</v>
      </c>
      <c r="Q102" s="152" t="s">
        <v>4341</v>
      </c>
      <c r="R102" s="152" t="s">
        <v>4342</v>
      </c>
      <c r="S102" s="152" t="s">
        <v>4343</v>
      </c>
      <c r="T102" s="152" t="s">
        <v>786</v>
      </c>
    </row>
    <row r="103" spans="3:20">
      <c r="C103" s="152" t="s">
        <v>2821</v>
      </c>
      <c r="D103" s="474" t="s">
        <v>676</v>
      </c>
      <c r="E103" s="684" t="str">
        <f>+VLOOKUP(F103,Resumen_Base!$C$8:$G$156,5,0)</f>
        <v>Tips</v>
      </c>
      <c r="F103" s="152" t="s">
        <v>366</v>
      </c>
      <c r="G103" s="152" t="s">
        <v>367</v>
      </c>
      <c r="H103" s="152" t="str">
        <f t="shared" si="1"/>
        <v>CAR210609</v>
      </c>
      <c r="I103" s="513">
        <v>-509400</v>
      </c>
      <c r="J103" s="513">
        <v>-360</v>
      </c>
      <c r="K103" s="513">
        <v>1415</v>
      </c>
      <c r="L103" s="518" t="s">
        <v>3632</v>
      </c>
      <c r="M103" s="152" t="s">
        <v>1566</v>
      </c>
      <c r="N103" s="152" t="s">
        <v>1407</v>
      </c>
      <c r="O103" s="152" t="s">
        <v>4340</v>
      </c>
      <c r="P103" s="152" t="s">
        <v>4279</v>
      </c>
      <c r="Q103" s="152" t="s">
        <v>4341</v>
      </c>
      <c r="R103" s="152" t="s">
        <v>4342</v>
      </c>
      <c r="S103" s="152" t="s">
        <v>4343</v>
      </c>
      <c r="T103" s="152" t="s">
        <v>786</v>
      </c>
    </row>
    <row r="104" spans="3:20">
      <c r="C104" s="152" t="s">
        <v>2821</v>
      </c>
      <c r="D104" s="474" t="s">
        <v>676</v>
      </c>
      <c r="E104" s="684" t="str">
        <f>+VLOOKUP(F104,Resumen_Base!$C$8:$G$156,5,0)</f>
        <v>Tips</v>
      </c>
      <c r="F104" s="152" t="s">
        <v>366</v>
      </c>
      <c r="G104" s="152" t="s">
        <v>367</v>
      </c>
      <c r="H104" s="152" t="str">
        <f t="shared" si="1"/>
        <v>CAR210609</v>
      </c>
      <c r="I104" s="513">
        <v>-764100</v>
      </c>
      <c r="J104" s="513">
        <v>-540</v>
      </c>
      <c r="K104" s="513">
        <v>1415</v>
      </c>
      <c r="L104" s="518" t="s">
        <v>3632</v>
      </c>
      <c r="M104" s="152" t="s">
        <v>1566</v>
      </c>
      <c r="N104" s="152" t="s">
        <v>1407</v>
      </c>
      <c r="O104" s="152" t="s">
        <v>4344</v>
      </c>
      <c r="P104" s="152" t="s">
        <v>4279</v>
      </c>
      <c r="Q104" s="152" t="s">
        <v>4345</v>
      </c>
      <c r="R104" s="152" t="s">
        <v>4342</v>
      </c>
      <c r="S104" s="152" t="s">
        <v>4346</v>
      </c>
      <c r="T104" s="152" t="s">
        <v>786</v>
      </c>
    </row>
    <row r="105" spans="3:20">
      <c r="C105" s="152" t="s">
        <v>2821</v>
      </c>
      <c r="D105" s="474" t="s">
        <v>676</v>
      </c>
      <c r="E105" s="684" t="str">
        <f>+VLOOKUP(F105,Resumen_Base!$C$8:$G$156,5,0)</f>
        <v>Tips</v>
      </c>
      <c r="F105" s="152" t="s">
        <v>366</v>
      </c>
      <c r="G105" s="152" t="s">
        <v>367</v>
      </c>
      <c r="H105" s="152" t="str">
        <f t="shared" si="1"/>
        <v>CAR210609</v>
      </c>
      <c r="I105" s="513">
        <v>-509400</v>
      </c>
      <c r="J105" s="513">
        <v>-360</v>
      </c>
      <c r="K105" s="513">
        <v>1415</v>
      </c>
      <c r="L105" s="518" t="s">
        <v>3632</v>
      </c>
      <c r="M105" s="152" t="s">
        <v>1566</v>
      </c>
      <c r="N105" s="152" t="s">
        <v>1407</v>
      </c>
      <c r="O105" s="152" t="s">
        <v>4344</v>
      </c>
      <c r="P105" s="152" t="s">
        <v>4279</v>
      </c>
      <c r="Q105" s="152" t="s">
        <v>4345</v>
      </c>
      <c r="R105" s="152" t="s">
        <v>4342</v>
      </c>
      <c r="S105" s="152" t="s">
        <v>4346</v>
      </c>
      <c r="T105" s="152" t="s">
        <v>786</v>
      </c>
    </row>
    <row r="106" spans="3:20">
      <c r="C106" s="152" t="s">
        <v>2821</v>
      </c>
      <c r="D106" s="474" t="s">
        <v>676</v>
      </c>
      <c r="E106" s="684" t="str">
        <f>+VLOOKUP(F106,Resumen_Base!$C$8:$G$156,5,0)</f>
        <v>Tips</v>
      </c>
      <c r="F106" s="152" t="s">
        <v>366</v>
      </c>
      <c r="G106" s="152" t="s">
        <v>367</v>
      </c>
      <c r="H106" s="152" t="str">
        <f t="shared" si="1"/>
        <v>CAR210609</v>
      </c>
      <c r="I106" s="513">
        <v>-849000</v>
      </c>
      <c r="J106" s="513">
        <v>-600</v>
      </c>
      <c r="K106" s="513">
        <v>1415</v>
      </c>
      <c r="L106" s="518" t="s">
        <v>3632</v>
      </c>
      <c r="M106" s="152" t="s">
        <v>1566</v>
      </c>
      <c r="N106" s="152" t="s">
        <v>1407</v>
      </c>
      <c r="O106" s="152" t="s">
        <v>4347</v>
      </c>
      <c r="P106" s="152" t="s">
        <v>4279</v>
      </c>
      <c r="Q106" s="152" t="s">
        <v>4348</v>
      </c>
      <c r="R106" s="152" t="s">
        <v>4342</v>
      </c>
      <c r="S106" s="152" t="s">
        <v>4349</v>
      </c>
      <c r="T106" s="152" t="s">
        <v>786</v>
      </c>
    </row>
    <row r="107" spans="3:20">
      <c r="C107" s="152" t="s">
        <v>2821</v>
      </c>
      <c r="D107" s="474" t="s">
        <v>676</v>
      </c>
      <c r="E107" s="684" t="str">
        <f>+VLOOKUP(F107,Resumen_Base!$C$8:$G$156,5,0)</f>
        <v>Tips</v>
      </c>
      <c r="F107" s="152" t="s">
        <v>366</v>
      </c>
      <c r="G107" s="152" t="s">
        <v>367</v>
      </c>
      <c r="H107" s="152" t="str">
        <f t="shared" si="1"/>
        <v>CAR210609</v>
      </c>
      <c r="I107" s="513">
        <v>-424500</v>
      </c>
      <c r="J107" s="513">
        <v>-300</v>
      </c>
      <c r="K107" s="513">
        <v>1415</v>
      </c>
      <c r="L107" s="518" t="s">
        <v>3632</v>
      </c>
      <c r="M107" s="152" t="s">
        <v>1566</v>
      </c>
      <c r="N107" s="152" t="s">
        <v>1407</v>
      </c>
      <c r="O107" s="152" t="s">
        <v>4347</v>
      </c>
      <c r="P107" s="152" t="s">
        <v>4279</v>
      </c>
      <c r="Q107" s="152" t="s">
        <v>4348</v>
      </c>
      <c r="R107" s="152" t="s">
        <v>4342</v>
      </c>
      <c r="S107" s="152" t="s">
        <v>4349</v>
      </c>
      <c r="T107" s="152" t="s">
        <v>786</v>
      </c>
    </row>
    <row r="108" spans="3:20">
      <c r="C108" s="152" t="s">
        <v>2821</v>
      </c>
      <c r="D108" s="474" t="s">
        <v>676</v>
      </c>
      <c r="E108" s="684" t="str">
        <f>+VLOOKUP(F108,Resumen_Base!$C$8:$G$156,5,0)</f>
        <v>Tips</v>
      </c>
      <c r="F108" s="152" t="s">
        <v>366</v>
      </c>
      <c r="G108" s="152" t="s">
        <v>367</v>
      </c>
      <c r="H108" s="152" t="str">
        <f t="shared" si="1"/>
        <v>CAR210609</v>
      </c>
      <c r="I108" s="513">
        <v>-318375</v>
      </c>
      <c r="J108" s="513">
        <v>-225</v>
      </c>
      <c r="K108" s="513">
        <v>1415</v>
      </c>
      <c r="L108" s="518" t="s">
        <v>3632</v>
      </c>
      <c r="M108" s="152" t="s">
        <v>1566</v>
      </c>
      <c r="N108" s="152" t="s">
        <v>1407</v>
      </c>
      <c r="O108" s="152" t="s">
        <v>4350</v>
      </c>
      <c r="P108" s="152" t="s">
        <v>4279</v>
      </c>
      <c r="Q108" s="152" t="s">
        <v>4351</v>
      </c>
      <c r="R108" s="152" t="s">
        <v>4342</v>
      </c>
      <c r="S108" s="152" t="s">
        <v>4352</v>
      </c>
      <c r="T108" s="152" t="s">
        <v>786</v>
      </c>
    </row>
    <row r="109" spans="3:20">
      <c r="C109" s="152" t="s">
        <v>2821</v>
      </c>
      <c r="D109" s="474" t="s">
        <v>676</v>
      </c>
      <c r="E109" s="684" t="str">
        <f>+VLOOKUP(F109,Resumen_Base!$C$8:$G$156,5,0)</f>
        <v>Tips</v>
      </c>
      <c r="F109" s="152" t="s">
        <v>366</v>
      </c>
      <c r="G109" s="152" t="s">
        <v>367</v>
      </c>
      <c r="H109" s="152" t="str">
        <f t="shared" si="1"/>
        <v>CAR210609</v>
      </c>
      <c r="I109" s="513">
        <v>-955125</v>
      </c>
      <c r="J109" s="513">
        <v>-675</v>
      </c>
      <c r="K109" s="513">
        <v>1415</v>
      </c>
      <c r="L109" s="518" t="s">
        <v>3632</v>
      </c>
      <c r="M109" s="152" t="s">
        <v>1566</v>
      </c>
      <c r="N109" s="152" t="s">
        <v>1407</v>
      </c>
      <c r="O109" s="152" t="s">
        <v>4350</v>
      </c>
      <c r="P109" s="152" t="s">
        <v>4279</v>
      </c>
      <c r="Q109" s="152" t="s">
        <v>4351</v>
      </c>
      <c r="R109" s="152" t="s">
        <v>4342</v>
      </c>
      <c r="S109" s="152" t="s">
        <v>4352</v>
      </c>
      <c r="T109" s="152" t="s">
        <v>786</v>
      </c>
    </row>
    <row r="110" spans="3:20">
      <c r="C110" s="152" t="s">
        <v>2821</v>
      </c>
      <c r="D110" s="474" t="s">
        <v>676</v>
      </c>
      <c r="E110" s="684" t="str">
        <f>+VLOOKUP(F110,Resumen_Base!$C$8:$G$156,5,0)</f>
        <v>Tips</v>
      </c>
      <c r="F110" s="152" t="s">
        <v>366</v>
      </c>
      <c r="G110" s="152" t="s">
        <v>367</v>
      </c>
      <c r="H110" s="152" t="str">
        <f t="shared" si="1"/>
        <v>CAR210609</v>
      </c>
      <c r="I110" s="513">
        <v>-1296000</v>
      </c>
      <c r="J110" s="513">
        <v>-900</v>
      </c>
      <c r="K110" s="513">
        <v>1440</v>
      </c>
      <c r="L110" s="518" t="s">
        <v>3517</v>
      </c>
      <c r="M110" s="152" t="s">
        <v>1566</v>
      </c>
      <c r="N110" s="152" t="s">
        <v>1407</v>
      </c>
      <c r="O110" s="152" t="s">
        <v>4353</v>
      </c>
      <c r="P110" s="152" t="s">
        <v>1881</v>
      </c>
      <c r="Q110" s="152" t="s">
        <v>4354</v>
      </c>
      <c r="R110" s="152" t="s">
        <v>4355</v>
      </c>
      <c r="S110" s="152" t="s">
        <v>4356</v>
      </c>
      <c r="T110" s="152" t="s">
        <v>786</v>
      </c>
    </row>
    <row r="111" spans="3:20">
      <c r="C111" s="152" t="s">
        <v>2821</v>
      </c>
      <c r="D111" s="474" t="s">
        <v>676</v>
      </c>
      <c r="E111" s="684" t="str">
        <f>+VLOOKUP(F111,Resumen_Base!$C$8:$G$156,5,0)</f>
        <v>Tips</v>
      </c>
      <c r="F111" s="152" t="s">
        <v>366</v>
      </c>
      <c r="G111" s="152" t="s">
        <v>367</v>
      </c>
      <c r="H111" s="152" t="str">
        <f t="shared" si="1"/>
        <v>CAR210609</v>
      </c>
      <c r="I111" s="513">
        <v>-691200</v>
      </c>
      <c r="J111" s="513">
        <v>-480</v>
      </c>
      <c r="K111" s="513">
        <v>1440</v>
      </c>
      <c r="L111" s="518" t="s">
        <v>3517</v>
      </c>
      <c r="M111" s="152" t="s">
        <v>1566</v>
      </c>
      <c r="N111" s="152" t="s">
        <v>1407</v>
      </c>
      <c r="O111" s="152" t="s">
        <v>4353</v>
      </c>
      <c r="P111" s="152" t="s">
        <v>1881</v>
      </c>
      <c r="Q111" s="152" t="s">
        <v>4354</v>
      </c>
      <c r="R111" s="152" t="s">
        <v>4355</v>
      </c>
      <c r="S111" s="152" t="s">
        <v>4356</v>
      </c>
      <c r="T111" s="152" t="s">
        <v>786</v>
      </c>
    </row>
    <row r="112" spans="3:20">
      <c r="C112" s="152" t="s">
        <v>2821</v>
      </c>
      <c r="D112" s="474" t="s">
        <v>676</v>
      </c>
      <c r="E112" s="684" t="str">
        <f>+VLOOKUP(F112,Resumen_Base!$C$8:$G$156,5,0)</f>
        <v>Tips</v>
      </c>
      <c r="F112" s="152" t="s">
        <v>366</v>
      </c>
      <c r="G112" s="152" t="s">
        <v>367</v>
      </c>
      <c r="H112" s="152" t="str">
        <f t="shared" si="1"/>
        <v>CAR210609</v>
      </c>
      <c r="I112" s="513">
        <v>-1036800</v>
      </c>
      <c r="J112" s="513">
        <v>-720</v>
      </c>
      <c r="K112" s="513">
        <v>1440</v>
      </c>
      <c r="L112" s="518" t="s">
        <v>3517</v>
      </c>
      <c r="M112" s="152" t="s">
        <v>1566</v>
      </c>
      <c r="N112" s="152" t="s">
        <v>1407</v>
      </c>
      <c r="O112" s="152" t="s">
        <v>4357</v>
      </c>
      <c r="P112" s="152" t="s">
        <v>1881</v>
      </c>
      <c r="Q112" s="152" t="s">
        <v>4358</v>
      </c>
      <c r="R112" s="152" t="s">
        <v>4355</v>
      </c>
      <c r="S112" s="152" t="s">
        <v>4359</v>
      </c>
      <c r="T112" s="152" t="s">
        <v>786</v>
      </c>
    </row>
    <row r="113" spans="3:20">
      <c r="C113" s="152" t="s">
        <v>2821</v>
      </c>
      <c r="D113" s="474" t="s">
        <v>676</v>
      </c>
      <c r="E113" s="684" t="str">
        <f>+VLOOKUP(F113,Resumen_Base!$C$8:$G$156,5,0)</f>
        <v>Tips</v>
      </c>
      <c r="F113" s="152" t="s">
        <v>366</v>
      </c>
      <c r="G113" s="152" t="s">
        <v>367</v>
      </c>
      <c r="H113" s="152" t="str">
        <f t="shared" si="1"/>
        <v>CAR210609</v>
      </c>
      <c r="I113" s="513">
        <v>-691200</v>
      </c>
      <c r="J113" s="513">
        <v>-480</v>
      </c>
      <c r="K113" s="513">
        <v>1440</v>
      </c>
      <c r="L113" s="518" t="s">
        <v>3517</v>
      </c>
      <c r="M113" s="152" t="s">
        <v>1566</v>
      </c>
      <c r="N113" s="152" t="s">
        <v>1407</v>
      </c>
      <c r="O113" s="152" t="s">
        <v>4357</v>
      </c>
      <c r="P113" s="152" t="s">
        <v>1881</v>
      </c>
      <c r="Q113" s="152" t="s">
        <v>4358</v>
      </c>
      <c r="R113" s="152" t="s">
        <v>4355</v>
      </c>
      <c r="S113" s="152" t="s">
        <v>4359</v>
      </c>
      <c r="T113" s="152" t="s">
        <v>786</v>
      </c>
    </row>
    <row r="114" spans="3:20">
      <c r="C114" s="152" t="s">
        <v>2821</v>
      </c>
      <c r="D114" s="474" t="s">
        <v>676</v>
      </c>
      <c r="E114" s="684" t="str">
        <f>+VLOOKUP(F114,Resumen_Base!$C$8:$G$156,5,0)</f>
        <v>Tips</v>
      </c>
      <c r="F114" s="152" t="s">
        <v>366</v>
      </c>
      <c r="G114" s="152" t="s">
        <v>367</v>
      </c>
      <c r="H114" s="152" t="str">
        <f t="shared" si="1"/>
        <v>CAR210609</v>
      </c>
      <c r="I114" s="513">
        <v>-1365000</v>
      </c>
      <c r="J114" s="513">
        <v>-975</v>
      </c>
      <c r="K114" s="513">
        <v>1400</v>
      </c>
      <c r="L114" s="518" t="s">
        <v>3659</v>
      </c>
      <c r="M114" s="152" t="s">
        <v>1566</v>
      </c>
      <c r="N114" s="152" t="s">
        <v>1407</v>
      </c>
      <c r="O114" s="152" t="s">
        <v>4360</v>
      </c>
      <c r="P114" s="152" t="s">
        <v>4279</v>
      </c>
      <c r="Q114" s="152" t="s">
        <v>4361</v>
      </c>
      <c r="R114" s="152" t="s">
        <v>4362</v>
      </c>
      <c r="S114" s="152" t="s">
        <v>4363</v>
      </c>
      <c r="T114" s="152" t="s">
        <v>786</v>
      </c>
    </row>
    <row r="115" spans="3:20">
      <c r="C115" s="152" t="s">
        <v>2821</v>
      </c>
      <c r="D115" s="474" t="s">
        <v>676</v>
      </c>
      <c r="E115" s="684" t="str">
        <f>+VLOOKUP(F115,Resumen_Base!$C$8:$G$156,5,0)</f>
        <v>Tips</v>
      </c>
      <c r="F115" s="152" t="s">
        <v>366</v>
      </c>
      <c r="G115" s="152" t="s">
        <v>367</v>
      </c>
      <c r="H115" s="152" t="str">
        <f t="shared" si="1"/>
        <v>CAR210609</v>
      </c>
      <c r="I115" s="513">
        <v>-2135000</v>
      </c>
      <c r="J115" s="513">
        <v>-1525</v>
      </c>
      <c r="K115" s="513">
        <v>1400</v>
      </c>
      <c r="L115" s="518" t="s">
        <v>3659</v>
      </c>
      <c r="M115" s="152" t="s">
        <v>1566</v>
      </c>
      <c r="N115" s="152" t="s">
        <v>1407</v>
      </c>
      <c r="O115" s="152" t="s">
        <v>4360</v>
      </c>
      <c r="P115" s="152" t="s">
        <v>4279</v>
      </c>
      <c r="Q115" s="152" t="s">
        <v>4361</v>
      </c>
      <c r="R115" s="152" t="s">
        <v>4362</v>
      </c>
      <c r="S115" s="152" t="s">
        <v>4363</v>
      </c>
      <c r="T115" s="152" t="s">
        <v>786</v>
      </c>
    </row>
    <row r="116" spans="3:20">
      <c r="C116" s="152" t="s">
        <v>2821</v>
      </c>
      <c r="D116" s="474" t="s">
        <v>676</v>
      </c>
      <c r="E116" s="684" t="str">
        <f>+VLOOKUP(F116,Resumen_Base!$C$8:$G$156,5,0)</f>
        <v>Tips</v>
      </c>
      <c r="F116" s="152" t="s">
        <v>366</v>
      </c>
      <c r="G116" s="152" t="s">
        <v>367</v>
      </c>
      <c r="H116" s="152" t="str">
        <f t="shared" si="1"/>
        <v>CAR210609</v>
      </c>
      <c r="I116" s="513">
        <v>-630000</v>
      </c>
      <c r="J116" s="513">
        <v>-450</v>
      </c>
      <c r="K116" s="513">
        <v>1400</v>
      </c>
      <c r="L116" s="518" t="s">
        <v>3659</v>
      </c>
      <c r="M116" s="152" t="s">
        <v>1566</v>
      </c>
      <c r="N116" s="152" t="s">
        <v>1407</v>
      </c>
      <c r="O116" s="152" t="s">
        <v>4364</v>
      </c>
      <c r="P116" s="152" t="s">
        <v>4279</v>
      </c>
      <c r="Q116" s="152" t="s">
        <v>4365</v>
      </c>
      <c r="R116" s="152" t="s">
        <v>4362</v>
      </c>
      <c r="S116" s="152" t="s">
        <v>4366</v>
      </c>
      <c r="T116" s="152" t="s">
        <v>786</v>
      </c>
    </row>
    <row r="117" spans="3:20">
      <c r="C117" s="152" t="s">
        <v>2821</v>
      </c>
      <c r="D117" s="474" t="s">
        <v>676</v>
      </c>
      <c r="E117" s="684" t="str">
        <f>+VLOOKUP(F117,Resumen_Base!$C$8:$G$156,5,0)</f>
        <v>Tips</v>
      </c>
      <c r="F117" s="152" t="s">
        <v>366</v>
      </c>
      <c r="G117" s="152" t="s">
        <v>367</v>
      </c>
      <c r="H117" s="152" t="str">
        <f t="shared" si="1"/>
        <v>CAR210609</v>
      </c>
      <c r="I117" s="513">
        <v>-1050000</v>
      </c>
      <c r="J117" s="513">
        <v>-750</v>
      </c>
      <c r="K117" s="513">
        <v>1400</v>
      </c>
      <c r="L117" s="518" t="s">
        <v>3659</v>
      </c>
      <c r="M117" s="152" t="s">
        <v>1566</v>
      </c>
      <c r="N117" s="152" t="s">
        <v>1407</v>
      </c>
      <c r="O117" s="152" t="s">
        <v>4364</v>
      </c>
      <c r="P117" s="152" t="s">
        <v>4279</v>
      </c>
      <c r="Q117" s="152" t="s">
        <v>4365</v>
      </c>
      <c r="R117" s="152" t="s">
        <v>4362</v>
      </c>
      <c r="S117" s="152" t="s">
        <v>4366</v>
      </c>
      <c r="T117" s="152" t="s">
        <v>786</v>
      </c>
    </row>
    <row r="118" spans="3:20">
      <c r="C118" s="152" t="s">
        <v>2821</v>
      </c>
      <c r="D118" s="474" t="s">
        <v>676</v>
      </c>
      <c r="E118" s="684" t="str">
        <f>+VLOOKUP(F118,Resumen_Base!$C$8:$G$156,5,0)</f>
        <v>Tips</v>
      </c>
      <c r="F118" s="152" t="s">
        <v>366</v>
      </c>
      <c r="G118" s="152" t="s">
        <v>367</v>
      </c>
      <c r="H118" s="152" t="str">
        <f t="shared" si="1"/>
        <v>CAR210609</v>
      </c>
      <c r="I118" s="513">
        <v>-282000</v>
      </c>
      <c r="J118" s="513">
        <v>-200</v>
      </c>
      <c r="K118" s="513">
        <v>1410</v>
      </c>
      <c r="L118" s="518" t="s">
        <v>3498</v>
      </c>
      <c r="M118" s="152" t="s">
        <v>1566</v>
      </c>
      <c r="N118" s="152" t="s">
        <v>1407</v>
      </c>
      <c r="O118" s="152" t="s">
        <v>4367</v>
      </c>
      <c r="P118" s="152" t="s">
        <v>4279</v>
      </c>
      <c r="Q118" s="152" t="s">
        <v>4368</v>
      </c>
      <c r="R118" s="152" t="s">
        <v>4369</v>
      </c>
      <c r="S118" s="152" t="s">
        <v>4370</v>
      </c>
      <c r="T118" s="152" t="s">
        <v>786</v>
      </c>
    </row>
    <row r="119" spans="3:20">
      <c r="C119" s="152" t="s">
        <v>2821</v>
      </c>
      <c r="D119" s="474" t="s">
        <v>676</v>
      </c>
      <c r="E119" s="684" t="str">
        <f>+VLOOKUP(F119,Resumen_Base!$C$8:$G$156,5,0)</f>
        <v>Tips</v>
      </c>
      <c r="F119" s="152" t="s">
        <v>366</v>
      </c>
      <c r="G119" s="152" t="s">
        <v>367</v>
      </c>
      <c r="H119" s="152" t="str">
        <f t="shared" si="1"/>
        <v>CAR210609</v>
      </c>
      <c r="I119" s="513">
        <v>-423000</v>
      </c>
      <c r="J119" s="513">
        <v>-300</v>
      </c>
      <c r="K119" s="513">
        <v>1410</v>
      </c>
      <c r="L119" s="518" t="s">
        <v>3498</v>
      </c>
      <c r="M119" s="152" t="s">
        <v>1566</v>
      </c>
      <c r="N119" s="152" t="s">
        <v>1407</v>
      </c>
      <c r="O119" s="152" t="s">
        <v>4367</v>
      </c>
      <c r="P119" s="152" t="s">
        <v>4279</v>
      </c>
      <c r="Q119" s="152" t="s">
        <v>4368</v>
      </c>
      <c r="R119" s="152" t="s">
        <v>4369</v>
      </c>
      <c r="S119" s="152" t="s">
        <v>4370</v>
      </c>
      <c r="T119" s="152" t="s">
        <v>786</v>
      </c>
    </row>
    <row r="120" spans="3:20">
      <c r="C120" s="152" t="s">
        <v>2821</v>
      </c>
      <c r="D120" s="474" t="s">
        <v>676</v>
      </c>
      <c r="E120" s="684" t="str">
        <f>+VLOOKUP(F120,Resumen_Base!$C$8:$G$156,5,0)</f>
        <v>Tips</v>
      </c>
      <c r="F120" s="152" t="s">
        <v>366</v>
      </c>
      <c r="G120" s="152" t="s">
        <v>367</v>
      </c>
      <c r="H120" s="152" t="str">
        <f t="shared" si="1"/>
        <v>CAR210609</v>
      </c>
      <c r="I120" s="513">
        <v>-282000</v>
      </c>
      <c r="J120" s="513">
        <v>-200</v>
      </c>
      <c r="K120" s="513">
        <v>1410</v>
      </c>
      <c r="L120" s="518" t="s">
        <v>3498</v>
      </c>
      <c r="M120" s="152" t="s">
        <v>1566</v>
      </c>
      <c r="N120" s="152" t="s">
        <v>1407</v>
      </c>
      <c r="O120" s="152" t="s">
        <v>4371</v>
      </c>
      <c r="P120" s="152" t="s">
        <v>4279</v>
      </c>
      <c r="Q120" s="152" t="s">
        <v>4372</v>
      </c>
      <c r="R120" s="152" t="s">
        <v>4369</v>
      </c>
      <c r="S120" s="152" t="s">
        <v>4373</v>
      </c>
      <c r="T120" s="152" t="s">
        <v>786</v>
      </c>
    </row>
    <row r="121" spans="3:20">
      <c r="C121" s="152" t="s">
        <v>2821</v>
      </c>
      <c r="D121" s="474" t="s">
        <v>676</v>
      </c>
      <c r="E121" s="684" t="str">
        <f>+VLOOKUP(F121,Resumen_Base!$C$8:$G$156,5,0)</f>
        <v>Tips</v>
      </c>
      <c r="F121" s="152" t="s">
        <v>366</v>
      </c>
      <c r="G121" s="152" t="s">
        <v>367</v>
      </c>
      <c r="H121" s="152" t="str">
        <f t="shared" si="1"/>
        <v>CAR210609</v>
      </c>
      <c r="I121" s="513">
        <v>-423000</v>
      </c>
      <c r="J121" s="513">
        <v>-300</v>
      </c>
      <c r="K121" s="513">
        <v>1410</v>
      </c>
      <c r="L121" s="518" t="s">
        <v>3498</v>
      </c>
      <c r="M121" s="152" t="s">
        <v>1566</v>
      </c>
      <c r="N121" s="152" t="s">
        <v>1407</v>
      </c>
      <c r="O121" s="152" t="s">
        <v>4371</v>
      </c>
      <c r="P121" s="152" t="s">
        <v>4279</v>
      </c>
      <c r="Q121" s="152" t="s">
        <v>4372</v>
      </c>
      <c r="R121" s="152" t="s">
        <v>4369</v>
      </c>
      <c r="S121" s="152" t="s">
        <v>4373</v>
      </c>
      <c r="T121" s="152" t="s">
        <v>786</v>
      </c>
    </row>
    <row r="122" spans="3:20">
      <c r="C122" s="152" t="s">
        <v>2821</v>
      </c>
      <c r="D122" s="474" t="s">
        <v>676</v>
      </c>
      <c r="E122" s="684" t="str">
        <f>+VLOOKUP(F122,Resumen_Base!$C$8:$G$156,5,0)</f>
        <v>Tips</v>
      </c>
      <c r="F122" s="152" t="s">
        <v>366</v>
      </c>
      <c r="G122" s="152" t="s">
        <v>367</v>
      </c>
      <c r="H122" s="152" t="str">
        <f t="shared" si="1"/>
        <v>CAR210609</v>
      </c>
      <c r="I122" s="513">
        <v>-620400</v>
      </c>
      <c r="J122" s="513">
        <v>-440</v>
      </c>
      <c r="K122" s="513">
        <v>1410</v>
      </c>
      <c r="L122" s="518" t="s">
        <v>3498</v>
      </c>
      <c r="M122" s="152" t="s">
        <v>1566</v>
      </c>
      <c r="N122" s="152" t="s">
        <v>1407</v>
      </c>
      <c r="O122" s="152" t="s">
        <v>4374</v>
      </c>
      <c r="P122" s="152" t="s">
        <v>4279</v>
      </c>
      <c r="Q122" s="152" t="s">
        <v>4375</v>
      </c>
      <c r="R122" s="152" t="s">
        <v>4369</v>
      </c>
      <c r="S122" s="152" t="s">
        <v>4376</v>
      </c>
      <c r="T122" s="152" t="s">
        <v>786</v>
      </c>
    </row>
    <row r="123" spans="3:20">
      <c r="C123" s="152" t="s">
        <v>2821</v>
      </c>
      <c r="D123" s="474" t="s">
        <v>676</v>
      </c>
      <c r="E123" s="684" t="str">
        <f>+VLOOKUP(F123,Resumen_Base!$C$8:$G$156,5,0)</f>
        <v>Tips</v>
      </c>
      <c r="F123" s="152" t="s">
        <v>366</v>
      </c>
      <c r="G123" s="152" t="s">
        <v>367</v>
      </c>
      <c r="H123" s="152" t="str">
        <f t="shared" si="1"/>
        <v>CAR210609</v>
      </c>
      <c r="I123" s="513">
        <v>-902400</v>
      </c>
      <c r="J123" s="513">
        <v>-640</v>
      </c>
      <c r="K123" s="513">
        <v>1410</v>
      </c>
      <c r="L123" s="518" t="s">
        <v>3498</v>
      </c>
      <c r="M123" s="152" t="s">
        <v>1566</v>
      </c>
      <c r="N123" s="152" t="s">
        <v>1407</v>
      </c>
      <c r="O123" s="152" t="s">
        <v>4374</v>
      </c>
      <c r="P123" s="152" t="s">
        <v>4279</v>
      </c>
      <c r="Q123" s="152" t="s">
        <v>4375</v>
      </c>
      <c r="R123" s="152" t="s">
        <v>4369</v>
      </c>
      <c r="S123" s="152" t="s">
        <v>4376</v>
      </c>
      <c r="T123" s="152" t="s">
        <v>786</v>
      </c>
    </row>
    <row r="124" spans="3:20">
      <c r="C124" s="152" t="s">
        <v>2821</v>
      </c>
      <c r="D124" s="474" t="s">
        <v>676</v>
      </c>
      <c r="E124" s="684" t="str">
        <f>+VLOOKUP(F124,Resumen_Base!$C$8:$G$156,5,0)</f>
        <v>Tips</v>
      </c>
      <c r="F124" s="152" t="s">
        <v>366</v>
      </c>
      <c r="G124" s="152" t="s">
        <v>367</v>
      </c>
      <c r="H124" s="152" t="str">
        <f t="shared" si="1"/>
        <v>CAR210609</v>
      </c>
      <c r="I124" s="513">
        <v>-1036800</v>
      </c>
      <c r="J124" s="513">
        <v>-720</v>
      </c>
      <c r="K124" s="513">
        <v>1440</v>
      </c>
      <c r="L124" s="518" t="s">
        <v>3517</v>
      </c>
      <c r="M124" s="152" t="s">
        <v>1566</v>
      </c>
      <c r="N124" s="152" t="s">
        <v>1407</v>
      </c>
      <c r="O124" s="152" t="s">
        <v>4381</v>
      </c>
      <c r="P124" s="152" t="s">
        <v>1881</v>
      </c>
      <c r="Q124" s="152" t="s">
        <v>4382</v>
      </c>
      <c r="R124" s="152" t="s">
        <v>4383</v>
      </c>
      <c r="S124" s="152" t="s">
        <v>4384</v>
      </c>
      <c r="T124" s="152" t="s">
        <v>786</v>
      </c>
    </row>
    <row r="125" spans="3:20">
      <c r="C125" s="152" t="s">
        <v>2821</v>
      </c>
      <c r="D125" s="474" t="s">
        <v>676</v>
      </c>
      <c r="E125" s="684" t="str">
        <f>+VLOOKUP(F125,Resumen_Base!$C$8:$G$156,5,0)</f>
        <v>Tips</v>
      </c>
      <c r="F125" s="152" t="s">
        <v>366</v>
      </c>
      <c r="G125" s="152" t="s">
        <v>367</v>
      </c>
      <c r="H125" s="152" t="str">
        <f t="shared" si="1"/>
        <v>CAR210609</v>
      </c>
      <c r="I125" s="513">
        <v>-1036800</v>
      </c>
      <c r="J125" s="513">
        <v>-720</v>
      </c>
      <c r="K125" s="513">
        <v>1440</v>
      </c>
      <c r="L125" s="518" t="s">
        <v>3517</v>
      </c>
      <c r="M125" s="152" t="s">
        <v>1566</v>
      </c>
      <c r="N125" s="152" t="s">
        <v>1407</v>
      </c>
      <c r="O125" s="152" t="s">
        <v>4381</v>
      </c>
      <c r="P125" s="152" t="s">
        <v>1881</v>
      </c>
      <c r="Q125" s="152" t="s">
        <v>4382</v>
      </c>
      <c r="R125" s="152" t="s">
        <v>4383</v>
      </c>
      <c r="S125" s="152" t="s">
        <v>4384</v>
      </c>
      <c r="T125" s="152" t="s">
        <v>786</v>
      </c>
    </row>
    <row r="126" spans="3:20">
      <c r="C126" s="152" t="s">
        <v>2821</v>
      </c>
      <c r="D126" s="474" t="s">
        <v>676</v>
      </c>
      <c r="E126" s="684" t="str">
        <f>+VLOOKUP(F126,Resumen_Base!$C$8:$G$156,5,0)</f>
        <v>Tips</v>
      </c>
      <c r="F126" s="152" t="s">
        <v>366</v>
      </c>
      <c r="G126" s="152" t="s">
        <v>367</v>
      </c>
      <c r="H126" s="152" t="str">
        <f t="shared" si="1"/>
        <v>CAR210609</v>
      </c>
      <c r="I126" s="513">
        <v>-432000</v>
      </c>
      <c r="J126" s="513">
        <v>-300</v>
      </c>
      <c r="K126" s="513">
        <v>1440</v>
      </c>
      <c r="L126" s="518" t="s">
        <v>3517</v>
      </c>
      <c r="M126" s="152" t="s">
        <v>1566</v>
      </c>
      <c r="N126" s="152" t="s">
        <v>1407</v>
      </c>
      <c r="O126" s="152" t="s">
        <v>4385</v>
      </c>
      <c r="P126" s="152" t="s">
        <v>1881</v>
      </c>
      <c r="Q126" s="152" t="s">
        <v>4386</v>
      </c>
      <c r="R126" s="152" t="s">
        <v>4383</v>
      </c>
      <c r="S126" s="152" t="s">
        <v>4387</v>
      </c>
      <c r="T126" s="152" t="s">
        <v>786</v>
      </c>
    </row>
    <row r="127" spans="3:20">
      <c r="C127" s="152" t="s">
        <v>2821</v>
      </c>
      <c r="D127" s="474" t="s">
        <v>676</v>
      </c>
      <c r="E127" s="684" t="str">
        <f>+VLOOKUP(F127,Resumen_Base!$C$8:$G$156,5,0)</f>
        <v>Tips</v>
      </c>
      <c r="F127" s="152" t="s">
        <v>366</v>
      </c>
      <c r="G127" s="152" t="s">
        <v>367</v>
      </c>
      <c r="H127" s="152" t="str">
        <f t="shared" si="1"/>
        <v>CAR210609</v>
      </c>
      <c r="I127" s="513">
        <v>-432000</v>
      </c>
      <c r="J127" s="513">
        <v>-300</v>
      </c>
      <c r="K127" s="513">
        <v>1440</v>
      </c>
      <c r="L127" s="518" t="s">
        <v>3517</v>
      </c>
      <c r="M127" s="152" t="s">
        <v>1566</v>
      </c>
      <c r="N127" s="152" t="s">
        <v>1407</v>
      </c>
      <c r="O127" s="152" t="s">
        <v>4385</v>
      </c>
      <c r="P127" s="152" t="s">
        <v>1881</v>
      </c>
      <c r="Q127" s="152" t="s">
        <v>4386</v>
      </c>
      <c r="R127" s="152" t="s">
        <v>4383</v>
      </c>
      <c r="S127" s="152" t="s">
        <v>4387</v>
      </c>
      <c r="T127" s="152" t="s">
        <v>786</v>
      </c>
    </row>
    <row r="128" spans="3:20">
      <c r="C128" s="152" t="s">
        <v>2821</v>
      </c>
      <c r="D128" s="474" t="s">
        <v>676</v>
      </c>
      <c r="E128" s="684" t="str">
        <f>+VLOOKUP(F128,Resumen_Base!$C$8:$G$156,5,0)</f>
        <v>Tips</v>
      </c>
      <c r="F128" s="152" t="s">
        <v>366</v>
      </c>
      <c r="G128" s="152" t="s">
        <v>367</v>
      </c>
      <c r="H128" s="152" t="str">
        <f t="shared" si="1"/>
        <v>CAR210609</v>
      </c>
      <c r="I128" s="513">
        <v>-432000</v>
      </c>
      <c r="J128" s="513">
        <v>-300</v>
      </c>
      <c r="K128" s="513">
        <v>1440</v>
      </c>
      <c r="L128" s="518" t="s">
        <v>3517</v>
      </c>
      <c r="M128" s="152" t="s">
        <v>1566</v>
      </c>
      <c r="N128" s="152" t="s">
        <v>1407</v>
      </c>
      <c r="O128" s="152" t="s">
        <v>4388</v>
      </c>
      <c r="P128" s="152" t="s">
        <v>1881</v>
      </c>
      <c r="Q128" s="152" t="s">
        <v>4389</v>
      </c>
      <c r="R128" s="152" t="s">
        <v>4383</v>
      </c>
      <c r="S128" s="152" t="s">
        <v>4390</v>
      </c>
      <c r="T128" s="152" t="s">
        <v>786</v>
      </c>
    </row>
    <row r="129" spans="3:20">
      <c r="C129" s="152" t="s">
        <v>2821</v>
      </c>
      <c r="D129" s="474" t="s">
        <v>676</v>
      </c>
      <c r="E129" s="684" t="str">
        <f>+VLOOKUP(F129,Resumen_Base!$C$8:$G$156,5,0)</f>
        <v>Tips</v>
      </c>
      <c r="F129" s="152" t="s">
        <v>366</v>
      </c>
      <c r="G129" s="152" t="s">
        <v>367</v>
      </c>
      <c r="H129" s="152" t="str">
        <f t="shared" si="1"/>
        <v>CAR210609</v>
      </c>
      <c r="I129" s="513">
        <v>-432000</v>
      </c>
      <c r="J129" s="513">
        <v>-300</v>
      </c>
      <c r="K129" s="513">
        <v>1440</v>
      </c>
      <c r="L129" s="518" t="s">
        <v>3517</v>
      </c>
      <c r="M129" s="152" t="s">
        <v>1566</v>
      </c>
      <c r="N129" s="152" t="s">
        <v>1407</v>
      </c>
      <c r="O129" s="152" t="s">
        <v>4388</v>
      </c>
      <c r="P129" s="152" t="s">
        <v>1881</v>
      </c>
      <c r="Q129" s="152" t="s">
        <v>4389</v>
      </c>
      <c r="R129" s="152" t="s">
        <v>4383</v>
      </c>
      <c r="S129" s="152" t="s">
        <v>4390</v>
      </c>
      <c r="T129" s="152" t="s">
        <v>786</v>
      </c>
    </row>
    <row r="130" spans="3:20">
      <c r="C130" s="152" t="s">
        <v>2821</v>
      </c>
      <c r="D130" s="474" t="s">
        <v>676</v>
      </c>
      <c r="E130" s="684" t="str">
        <f>+VLOOKUP(F130,Resumen_Base!$C$8:$G$156,5,0)</f>
        <v>Tips</v>
      </c>
      <c r="F130" s="152" t="s">
        <v>366</v>
      </c>
      <c r="G130" s="152" t="s">
        <v>367</v>
      </c>
      <c r="H130" s="152" t="str">
        <f t="shared" si="1"/>
        <v>CAR210609</v>
      </c>
      <c r="I130" s="513">
        <v>-458250</v>
      </c>
      <c r="J130" s="513">
        <v>-325</v>
      </c>
      <c r="K130" s="513">
        <v>1410</v>
      </c>
      <c r="L130" s="518" t="s">
        <v>3498</v>
      </c>
      <c r="M130" s="152" t="s">
        <v>1566</v>
      </c>
      <c r="N130" s="152" t="s">
        <v>1407</v>
      </c>
      <c r="O130" s="152" t="s">
        <v>4391</v>
      </c>
      <c r="P130" s="152" t="s">
        <v>4279</v>
      </c>
      <c r="Q130" s="152" t="s">
        <v>4392</v>
      </c>
      <c r="R130" s="152" t="s">
        <v>4393</v>
      </c>
      <c r="S130" s="152" t="s">
        <v>4394</v>
      </c>
      <c r="T130" s="152" t="s">
        <v>786</v>
      </c>
    </row>
    <row r="131" spans="3:20">
      <c r="C131" s="152" t="s">
        <v>2821</v>
      </c>
      <c r="D131" s="474" t="s">
        <v>676</v>
      </c>
      <c r="E131" s="684" t="str">
        <f>+VLOOKUP(F131,Resumen_Base!$C$8:$G$156,5,0)</f>
        <v>Tips</v>
      </c>
      <c r="F131" s="152" t="s">
        <v>366</v>
      </c>
      <c r="G131" s="152" t="s">
        <v>367</v>
      </c>
      <c r="H131" s="152" t="str">
        <f t="shared" si="1"/>
        <v>CAR210609</v>
      </c>
      <c r="I131" s="513">
        <v>-810750</v>
      </c>
      <c r="J131" s="513">
        <v>-575</v>
      </c>
      <c r="K131" s="513">
        <v>1410</v>
      </c>
      <c r="L131" s="518" t="s">
        <v>3498</v>
      </c>
      <c r="M131" s="152" t="s">
        <v>1566</v>
      </c>
      <c r="N131" s="152" t="s">
        <v>1407</v>
      </c>
      <c r="O131" s="152" t="s">
        <v>4391</v>
      </c>
      <c r="P131" s="152" t="s">
        <v>4279</v>
      </c>
      <c r="Q131" s="152" t="s">
        <v>4392</v>
      </c>
      <c r="R131" s="152" t="s">
        <v>4393</v>
      </c>
      <c r="S131" s="152" t="s">
        <v>4394</v>
      </c>
      <c r="T131" s="152" t="s">
        <v>786</v>
      </c>
    </row>
    <row r="132" spans="3:20">
      <c r="C132" s="152" t="s">
        <v>2821</v>
      </c>
      <c r="D132" s="474" t="s">
        <v>676</v>
      </c>
      <c r="E132" s="684" t="str">
        <f>+VLOOKUP(F132,Resumen_Base!$C$8:$G$156,5,0)</f>
        <v>Tips</v>
      </c>
      <c r="F132" s="152" t="s">
        <v>366</v>
      </c>
      <c r="G132" s="152" t="s">
        <v>367</v>
      </c>
      <c r="H132" s="152" t="str">
        <f t="shared" si="1"/>
        <v>CAR210609</v>
      </c>
      <c r="I132" s="513">
        <v>-775500</v>
      </c>
      <c r="J132" s="513">
        <v>-550</v>
      </c>
      <c r="K132" s="513">
        <v>1410</v>
      </c>
      <c r="L132" s="518" t="s">
        <v>3498</v>
      </c>
      <c r="M132" s="152" t="s">
        <v>1566</v>
      </c>
      <c r="N132" s="152" t="s">
        <v>1407</v>
      </c>
      <c r="O132" s="152" t="s">
        <v>4395</v>
      </c>
      <c r="P132" s="152" t="s">
        <v>4279</v>
      </c>
      <c r="Q132" s="152" t="s">
        <v>4396</v>
      </c>
      <c r="R132" s="152" t="s">
        <v>4393</v>
      </c>
      <c r="S132" s="152" t="s">
        <v>4397</v>
      </c>
      <c r="T132" s="152" t="s">
        <v>786</v>
      </c>
    </row>
    <row r="133" spans="3:20">
      <c r="C133" s="152" t="s">
        <v>2821</v>
      </c>
      <c r="D133" s="474" t="s">
        <v>676</v>
      </c>
      <c r="E133" s="684" t="str">
        <f>+VLOOKUP(F133,Resumen_Base!$C$8:$G$156,5,0)</f>
        <v>Tips</v>
      </c>
      <c r="F133" s="152" t="s">
        <v>366</v>
      </c>
      <c r="G133" s="152" t="s">
        <v>367</v>
      </c>
      <c r="H133" s="152" t="str">
        <f t="shared" si="1"/>
        <v>CAR210609</v>
      </c>
      <c r="I133" s="513">
        <v>-423000</v>
      </c>
      <c r="J133" s="513">
        <v>-300</v>
      </c>
      <c r="K133" s="513">
        <v>1410</v>
      </c>
      <c r="L133" s="518" t="s">
        <v>3498</v>
      </c>
      <c r="M133" s="152" t="s">
        <v>1566</v>
      </c>
      <c r="N133" s="152" t="s">
        <v>1407</v>
      </c>
      <c r="O133" s="152" t="s">
        <v>4395</v>
      </c>
      <c r="P133" s="152" t="s">
        <v>4279</v>
      </c>
      <c r="Q133" s="152" t="s">
        <v>4396</v>
      </c>
      <c r="R133" s="152" t="s">
        <v>4393</v>
      </c>
      <c r="S133" s="152" t="s">
        <v>4397</v>
      </c>
      <c r="T133" s="152" t="s">
        <v>786</v>
      </c>
    </row>
    <row r="134" spans="3:20">
      <c r="C134" s="152" t="s">
        <v>2821</v>
      </c>
      <c r="D134" s="474" t="s">
        <v>676</v>
      </c>
      <c r="E134" s="684" t="str">
        <f>+VLOOKUP(F134,Resumen_Base!$C$8:$G$156,5,0)</f>
        <v>Tips</v>
      </c>
      <c r="F134" s="152" t="s">
        <v>366</v>
      </c>
      <c r="G134" s="152" t="s">
        <v>367</v>
      </c>
      <c r="H134" s="152" t="str">
        <f t="shared" si="1"/>
        <v>CAR210609</v>
      </c>
      <c r="I134" s="513">
        <v>-564000</v>
      </c>
      <c r="J134" s="513">
        <v>-400</v>
      </c>
      <c r="K134" s="513">
        <v>1410</v>
      </c>
      <c r="L134" s="518" t="s">
        <v>3498</v>
      </c>
      <c r="M134" s="152" t="s">
        <v>1566</v>
      </c>
      <c r="N134" s="152" t="s">
        <v>1407</v>
      </c>
      <c r="O134" s="152" t="s">
        <v>4398</v>
      </c>
      <c r="P134" s="152" t="s">
        <v>4279</v>
      </c>
      <c r="Q134" s="152" t="s">
        <v>4399</v>
      </c>
      <c r="R134" s="152" t="s">
        <v>4393</v>
      </c>
      <c r="S134" s="152" t="s">
        <v>4400</v>
      </c>
      <c r="T134" s="152" t="s">
        <v>786</v>
      </c>
    </row>
    <row r="135" spans="3:20">
      <c r="C135" s="152" t="s">
        <v>2821</v>
      </c>
      <c r="D135" s="474" t="s">
        <v>676</v>
      </c>
      <c r="E135" s="684" t="str">
        <f>+VLOOKUP(F135,Resumen_Base!$C$8:$G$156,5,0)</f>
        <v>Tips</v>
      </c>
      <c r="F135" s="152" t="s">
        <v>366</v>
      </c>
      <c r="G135" s="152" t="s">
        <v>367</v>
      </c>
      <c r="H135" s="152" t="str">
        <f t="shared" si="1"/>
        <v>CAR210609</v>
      </c>
      <c r="I135" s="513">
        <v>-423000</v>
      </c>
      <c r="J135" s="513">
        <v>-300</v>
      </c>
      <c r="K135" s="513">
        <v>1410</v>
      </c>
      <c r="L135" s="518" t="s">
        <v>3498</v>
      </c>
      <c r="M135" s="152" t="s">
        <v>1566</v>
      </c>
      <c r="N135" s="152" t="s">
        <v>1407</v>
      </c>
      <c r="O135" s="152" t="s">
        <v>4398</v>
      </c>
      <c r="P135" s="152" t="s">
        <v>4279</v>
      </c>
      <c r="Q135" s="152" t="s">
        <v>4399</v>
      </c>
      <c r="R135" s="152" t="s">
        <v>4393</v>
      </c>
      <c r="S135" s="152" t="s">
        <v>4400</v>
      </c>
      <c r="T135" s="152" t="s">
        <v>786</v>
      </c>
    </row>
    <row r="136" spans="3:20">
      <c r="C136" s="152" t="s">
        <v>2821</v>
      </c>
      <c r="D136" s="474" t="s">
        <v>676</v>
      </c>
      <c r="E136" s="684" t="str">
        <f>+VLOOKUP(F136,Resumen_Base!$C$8:$G$156,5,0)</f>
        <v>Tips</v>
      </c>
      <c r="F136" s="152" t="s">
        <v>366</v>
      </c>
      <c r="G136" s="152" t="s">
        <v>367</v>
      </c>
      <c r="H136" s="152" t="str">
        <f t="shared" si="1"/>
        <v>CAR210609</v>
      </c>
      <c r="I136" s="513">
        <v>-669750</v>
      </c>
      <c r="J136" s="513">
        <v>-475</v>
      </c>
      <c r="K136" s="513">
        <v>1410</v>
      </c>
      <c r="L136" s="518" t="s">
        <v>3498</v>
      </c>
      <c r="M136" s="152" t="s">
        <v>1566</v>
      </c>
      <c r="N136" s="152" t="s">
        <v>1407</v>
      </c>
      <c r="O136" s="152" t="s">
        <v>4401</v>
      </c>
      <c r="P136" s="152" t="s">
        <v>4279</v>
      </c>
      <c r="Q136" s="152" t="s">
        <v>4402</v>
      </c>
      <c r="R136" s="152" t="s">
        <v>4393</v>
      </c>
      <c r="S136" s="152" t="s">
        <v>4403</v>
      </c>
      <c r="T136" s="152" t="s">
        <v>786</v>
      </c>
    </row>
    <row r="137" spans="3:20">
      <c r="C137" s="152" t="s">
        <v>2821</v>
      </c>
      <c r="D137" s="474" t="s">
        <v>676</v>
      </c>
      <c r="E137" s="684" t="str">
        <f>+VLOOKUP(F137,Resumen_Base!$C$8:$G$156,5,0)</f>
        <v>Tips</v>
      </c>
      <c r="F137" s="152" t="s">
        <v>366</v>
      </c>
      <c r="G137" s="152" t="s">
        <v>367</v>
      </c>
      <c r="H137" s="152" t="str">
        <f t="shared" si="1"/>
        <v>CAR210609</v>
      </c>
      <c r="I137" s="513">
        <v>-387750</v>
      </c>
      <c r="J137" s="513">
        <v>-275</v>
      </c>
      <c r="K137" s="513">
        <v>1410</v>
      </c>
      <c r="L137" s="518" t="s">
        <v>3498</v>
      </c>
      <c r="M137" s="152" t="s">
        <v>1566</v>
      </c>
      <c r="N137" s="152" t="s">
        <v>1407</v>
      </c>
      <c r="O137" s="152" t="s">
        <v>4401</v>
      </c>
      <c r="P137" s="152" t="s">
        <v>4279</v>
      </c>
      <c r="Q137" s="152" t="s">
        <v>4402</v>
      </c>
      <c r="R137" s="152" t="s">
        <v>4393</v>
      </c>
      <c r="S137" s="152" t="s">
        <v>4403</v>
      </c>
      <c r="T137" s="152" t="s">
        <v>786</v>
      </c>
    </row>
    <row r="138" spans="3:20">
      <c r="C138" s="152" t="s">
        <v>2821</v>
      </c>
      <c r="D138" s="474" t="s">
        <v>676</v>
      </c>
      <c r="E138" s="684" t="str">
        <f>+VLOOKUP(F138,Resumen_Base!$C$8:$G$156,5,0)</f>
        <v>Tips</v>
      </c>
      <c r="F138" s="152" t="s">
        <v>366</v>
      </c>
      <c r="G138" s="152" t="s">
        <v>367</v>
      </c>
      <c r="H138" s="152" t="str">
        <f t="shared" si="1"/>
        <v>CAR210609</v>
      </c>
      <c r="I138" s="513">
        <v>-491750</v>
      </c>
      <c r="J138" s="513">
        <v>-350</v>
      </c>
      <c r="K138" s="513">
        <v>1405</v>
      </c>
      <c r="L138" s="518" t="s">
        <v>3493</v>
      </c>
      <c r="M138" s="152" t="s">
        <v>1566</v>
      </c>
      <c r="N138" s="152" t="s">
        <v>1407</v>
      </c>
      <c r="O138" s="152" t="s">
        <v>4417</v>
      </c>
      <c r="P138" s="152" t="s">
        <v>4279</v>
      </c>
      <c r="Q138" s="152" t="s">
        <v>4418</v>
      </c>
      <c r="R138" s="152" t="s">
        <v>4419</v>
      </c>
      <c r="S138" s="152" t="s">
        <v>4420</v>
      </c>
      <c r="T138" s="152" t="s">
        <v>786</v>
      </c>
    </row>
    <row r="139" spans="3:20">
      <c r="C139" s="152" t="s">
        <v>2821</v>
      </c>
      <c r="D139" s="474" t="s">
        <v>676</v>
      </c>
      <c r="E139" s="684" t="str">
        <f>+VLOOKUP(F139,Resumen_Base!$C$8:$G$156,5,0)</f>
        <v>Tips</v>
      </c>
      <c r="F139" s="152" t="s">
        <v>366</v>
      </c>
      <c r="G139" s="152" t="s">
        <v>367</v>
      </c>
      <c r="H139" s="152" t="str">
        <f t="shared" si="1"/>
        <v>CAR210609</v>
      </c>
      <c r="I139" s="513">
        <v>-351250</v>
      </c>
      <c r="J139" s="513">
        <v>-250</v>
      </c>
      <c r="K139" s="513">
        <v>1405</v>
      </c>
      <c r="L139" s="518" t="s">
        <v>3493</v>
      </c>
      <c r="M139" s="152" t="s">
        <v>1566</v>
      </c>
      <c r="N139" s="152" t="s">
        <v>1407</v>
      </c>
      <c r="O139" s="152" t="s">
        <v>4417</v>
      </c>
      <c r="P139" s="152" t="s">
        <v>4279</v>
      </c>
      <c r="Q139" s="152" t="s">
        <v>4418</v>
      </c>
      <c r="R139" s="152" t="s">
        <v>4419</v>
      </c>
      <c r="S139" s="152" t="s">
        <v>4420</v>
      </c>
      <c r="T139" s="152" t="s">
        <v>786</v>
      </c>
    </row>
    <row r="140" spans="3:20">
      <c r="C140" s="152" t="s">
        <v>2821</v>
      </c>
      <c r="D140" s="474" t="s">
        <v>676</v>
      </c>
      <c r="E140" s="684" t="str">
        <f>+VLOOKUP(F140,Resumen_Base!$C$8:$G$156,5,0)</f>
        <v>Tips</v>
      </c>
      <c r="F140" s="152" t="s">
        <v>366</v>
      </c>
      <c r="G140" s="152" t="s">
        <v>367</v>
      </c>
      <c r="H140" s="152" t="str">
        <f t="shared" si="1"/>
        <v>CAR210609</v>
      </c>
      <c r="I140" s="513">
        <v>-351250</v>
      </c>
      <c r="J140" s="513">
        <v>-250</v>
      </c>
      <c r="K140" s="513">
        <v>1405</v>
      </c>
      <c r="L140" s="518" t="s">
        <v>3493</v>
      </c>
      <c r="M140" s="152" t="s">
        <v>1566</v>
      </c>
      <c r="N140" s="152" t="s">
        <v>1407</v>
      </c>
      <c r="O140" s="152" t="s">
        <v>4421</v>
      </c>
      <c r="P140" s="152" t="s">
        <v>4279</v>
      </c>
      <c r="Q140" s="152" t="s">
        <v>4422</v>
      </c>
      <c r="R140" s="152" t="s">
        <v>4419</v>
      </c>
      <c r="S140" s="152" t="s">
        <v>4423</v>
      </c>
      <c r="T140" s="152" t="s">
        <v>786</v>
      </c>
    </row>
    <row r="141" spans="3:20">
      <c r="C141" s="152" t="s">
        <v>2821</v>
      </c>
      <c r="D141" s="474" t="s">
        <v>676</v>
      </c>
      <c r="E141" s="684" t="str">
        <f>+VLOOKUP(F141,Resumen_Base!$C$8:$G$156,5,0)</f>
        <v>Tips</v>
      </c>
      <c r="F141" s="152" t="s">
        <v>366</v>
      </c>
      <c r="G141" s="152" t="s">
        <v>367</v>
      </c>
      <c r="H141" s="152" t="str">
        <f t="shared" ref="H141:H204" si="2">+D141&amp;F141</f>
        <v>CAR210609</v>
      </c>
      <c r="I141" s="513">
        <v>-491750</v>
      </c>
      <c r="J141" s="513">
        <v>-350</v>
      </c>
      <c r="K141" s="513">
        <v>1405</v>
      </c>
      <c r="L141" s="518" t="s">
        <v>3493</v>
      </c>
      <c r="M141" s="152" t="s">
        <v>1566</v>
      </c>
      <c r="N141" s="152" t="s">
        <v>1407</v>
      </c>
      <c r="O141" s="152" t="s">
        <v>4421</v>
      </c>
      <c r="P141" s="152" t="s">
        <v>4279</v>
      </c>
      <c r="Q141" s="152" t="s">
        <v>4422</v>
      </c>
      <c r="R141" s="152" t="s">
        <v>4419</v>
      </c>
      <c r="S141" s="152" t="s">
        <v>4423</v>
      </c>
      <c r="T141" s="152" t="s">
        <v>786</v>
      </c>
    </row>
    <row r="142" spans="3:20">
      <c r="C142" s="152" t="s">
        <v>2821</v>
      </c>
      <c r="D142" s="474" t="s">
        <v>676</v>
      </c>
      <c r="E142" s="684" t="str">
        <f>+VLOOKUP(F142,Resumen_Base!$C$8:$G$156,5,0)</f>
        <v>Tips</v>
      </c>
      <c r="F142" s="152" t="s">
        <v>366</v>
      </c>
      <c r="G142" s="152" t="s">
        <v>367</v>
      </c>
      <c r="H142" s="152" t="str">
        <f t="shared" si="2"/>
        <v>CAR210609</v>
      </c>
      <c r="I142" s="513">
        <v>-351250</v>
      </c>
      <c r="J142" s="513">
        <v>-250</v>
      </c>
      <c r="K142" s="513">
        <v>1405</v>
      </c>
      <c r="L142" s="518" t="s">
        <v>3493</v>
      </c>
      <c r="M142" s="152" t="s">
        <v>1566</v>
      </c>
      <c r="N142" s="152" t="s">
        <v>1407</v>
      </c>
      <c r="O142" s="152" t="s">
        <v>4424</v>
      </c>
      <c r="P142" s="152" t="s">
        <v>4279</v>
      </c>
      <c r="Q142" s="152" t="s">
        <v>4425</v>
      </c>
      <c r="R142" s="152" t="s">
        <v>4419</v>
      </c>
      <c r="S142" s="152" t="s">
        <v>4426</v>
      </c>
      <c r="T142" s="152" t="s">
        <v>786</v>
      </c>
    </row>
    <row r="143" spans="3:20">
      <c r="C143" s="152" t="s">
        <v>2821</v>
      </c>
      <c r="D143" s="474" t="s">
        <v>676</v>
      </c>
      <c r="E143" s="684" t="str">
        <f>+VLOOKUP(F143,Resumen_Base!$C$8:$G$156,5,0)</f>
        <v>Tips</v>
      </c>
      <c r="F143" s="152" t="s">
        <v>366</v>
      </c>
      <c r="G143" s="152" t="s">
        <v>367</v>
      </c>
      <c r="H143" s="152" t="str">
        <f t="shared" si="2"/>
        <v>CAR210609</v>
      </c>
      <c r="I143" s="513">
        <v>-491750</v>
      </c>
      <c r="J143" s="513">
        <v>-350</v>
      </c>
      <c r="K143" s="513">
        <v>1405</v>
      </c>
      <c r="L143" s="518" t="s">
        <v>3493</v>
      </c>
      <c r="M143" s="152" t="s">
        <v>1566</v>
      </c>
      <c r="N143" s="152" t="s">
        <v>1407</v>
      </c>
      <c r="O143" s="152" t="s">
        <v>4424</v>
      </c>
      <c r="P143" s="152" t="s">
        <v>4279</v>
      </c>
      <c r="Q143" s="152" t="s">
        <v>4425</v>
      </c>
      <c r="R143" s="152" t="s">
        <v>4419</v>
      </c>
      <c r="S143" s="152" t="s">
        <v>4426</v>
      </c>
      <c r="T143" s="152" t="s">
        <v>786</v>
      </c>
    </row>
    <row r="144" spans="3:20">
      <c r="C144" s="152" t="s">
        <v>2821</v>
      </c>
      <c r="D144" s="474" t="s">
        <v>676</v>
      </c>
      <c r="E144" s="684" t="str">
        <f>+VLOOKUP(F144,Resumen_Base!$C$8:$G$156,5,0)</f>
        <v>Tips</v>
      </c>
      <c r="F144" s="152" t="s">
        <v>366</v>
      </c>
      <c r="G144" s="152" t="s">
        <v>367</v>
      </c>
      <c r="H144" s="152" t="str">
        <f t="shared" si="2"/>
        <v>CAR210609</v>
      </c>
      <c r="I144" s="513">
        <v>-518400</v>
      </c>
      <c r="J144" s="513">
        <v>-360</v>
      </c>
      <c r="K144" s="513">
        <v>1440</v>
      </c>
      <c r="L144" s="518" t="s">
        <v>3517</v>
      </c>
      <c r="M144" s="152" t="s">
        <v>1566</v>
      </c>
      <c r="N144" s="152" t="s">
        <v>1407</v>
      </c>
      <c r="O144" s="152" t="s">
        <v>4427</v>
      </c>
      <c r="P144" s="152" t="s">
        <v>1881</v>
      </c>
      <c r="Q144" s="152" t="s">
        <v>4428</v>
      </c>
      <c r="R144" s="152" t="s">
        <v>4429</v>
      </c>
      <c r="S144" s="152" t="s">
        <v>4430</v>
      </c>
      <c r="T144" s="152" t="s">
        <v>786</v>
      </c>
    </row>
    <row r="145" spans="3:20">
      <c r="C145" s="152" t="s">
        <v>2821</v>
      </c>
      <c r="D145" s="474" t="s">
        <v>676</v>
      </c>
      <c r="E145" s="684" t="str">
        <f>+VLOOKUP(F145,Resumen_Base!$C$8:$G$156,5,0)</f>
        <v>Tips</v>
      </c>
      <c r="F145" s="152" t="s">
        <v>366</v>
      </c>
      <c r="G145" s="152" t="s">
        <v>367</v>
      </c>
      <c r="H145" s="152" t="str">
        <f t="shared" si="2"/>
        <v>CAR210609</v>
      </c>
      <c r="I145" s="513">
        <v>-633600</v>
      </c>
      <c r="J145" s="513">
        <v>-440</v>
      </c>
      <c r="K145" s="513">
        <v>1440</v>
      </c>
      <c r="L145" s="518" t="s">
        <v>3517</v>
      </c>
      <c r="M145" s="152" t="s">
        <v>1566</v>
      </c>
      <c r="N145" s="152" t="s">
        <v>1407</v>
      </c>
      <c r="O145" s="152" t="s">
        <v>4427</v>
      </c>
      <c r="P145" s="152" t="s">
        <v>1881</v>
      </c>
      <c r="Q145" s="152" t="s">
        <v>4428</v>
      </c>
      <c r="R145" s="152" t="s">
        <v>4429</v>
      </c>
      <c r="S145" s="152" t="s">
        <v>4430</v>
      </c>
      <c r="T145" s="152" t="s">
        <v>786</v>
      </c>
    </row>
    <row r="146" spans="3:20">
      <c r="C146" s="152" t="s">
        <v>2821</v>
      </c>
      <c r="D146" s="474" t="s">
        <v>676</v>
      </c>
      <c r="E146" s="684" t="str">
        <f>+VLOOKUP(F146,Resumen_Base!$C$8:$G$156,5,0)</f>
        <v>Tips</v>
      </c>
      <c r="F146" s="152" t="s">
        <v>366</v>
      </c>
      <c r="G146" s="152" t="s">
        <v>367</v>
      </c>
      <c r="H146" s="152" t="str">
        <f t="shared" si="2"/>
        <v>CAR210609</v>
      </c>
      <c r="I146" s="513">
        <v>-518400</v>
      </c>
      <c r="J146" s="513">
        <v>-360</v>
      </c>
      <c r="K146" s="513">
        <v>1440</v>
      </c>
      <c r="L146" s="518" t="s">
        <v>3517</v>
      </c>
      <c r="M146" s="152" t="s">
        <v>1566</v>
      </c>
      <c r="N146" s="152" t="s">
        <v>1407</v>
      </c>
      <c r="O146" s="152" t="s">
        <v>4431</v>
      </c>
      <c r="P146" s="152" t="s">
        <v>1881</v>
      </c>
      <c r="Q146" s="152" t="s">
        <v>4432</v>
      </c>
      <c r="R146" s="152" t="s">
        <v>4429</v>
      </c>
      <c r="S146" s="152" t="s">
        <v>4433</v>
      </c>
      <c r="T146" s="152" t="s">
        <v>786</v>
      </c>
    </row>
    <row r="147" spans="3:20">
      <c r="C147" s="152" t="s">
        <v>2821</v>
      </c>
      <c r="D147" s="474" t="s">
        <v>676</v>
      </c>
      <c r="E147" s="684" t="str">
        <f>+VLOOKUP(F147,Resumen_Base!$C$8:$G$156,5,0)</f>
        <v>Tips</v>
      </c>
      <c r="F147" s="152" t="s">
        <v>366</v>
      </c>
      <c r="G147" s="152" t="s">
        <v>367</v>
      </c>
      <c r="H147" s="152" t="str">
        <f t="shared" si="2"/>
        <v>CAR210609</v>
      </c>
      <c r="I147" s="513">
        <v>-619200</v>
      </c>
      <c r="J147" s="513">
        <v>-430</v>
      </c>
      <c r="K147" s="513">
        <v>1440</v>
      </c>
      <c r="L147" s="518" t="s">
        <v>3517</v>
      </c>
      <c r="M147" s="152" t="s">
        <v>1566</v>
      </c>
      <c r="N147" s="152" t="s">
        <v>1407</v>
      </c>
      <c r="O147" s="152" t="s">
        <v>4431</v>
      </c>
      <c r="P147" s="152" t="s">
        <v>1881</v>
      </c>
      <c r="Q147" s="152" t="s">
        <v>4432</v>
      </c>
      <c r="R147" s="152" t="s">
        <v>4429</v>
      </c>
      <c r="S147" s="152" t="s">
        <v>4433</v>
      </c>
      <c r="T147" s="152" t="s">
        <v>786</v>
      </c>
    </row>
    <row r="148" spans="3:20">
      <c r="C148" s="152" t="s">
        <v>2821</v>
      </c>
      <c r="D148" s="474" t="s">
        <v>676</v>
      </c>
      <c r="E148" s="684" t="str">
        <f>+VLOOKUP(F148,Resumen_Base!$C$8:$G$156,5,0)</f>
        <v>Tips</v>
      </c>
      <c r="F148" s="152" t="s">
        <v>366</v>
      </c>
      <c r="G148" s="152" t="s">
        <v>367</v>
      </c>
      <c r="H148" s="152" t="str">
        <f t="shared" si="2"/>
        <v>CAR210609</v>
      </c>
      <c r="I148" s="513">
        <v>-561600</v>
      </c>
      <c r="J148" s="513">
        <v>-390</v>
      </c>
      <c r="K148" s="513">
        <v>1440</v>
      </c>
      <c r="L148" s="518" t="s">
        <v>3517</v>
      </c>
      <c r="M148" s="152" t="s">
        <v>1566</v>
      </c>
      <c r="N148" s="152" t="s">
        <v>1407</v>
      </c>
      <c r="O148" s="152" t="s">
        <v>4434</v>
      </c>
      <c r="P148" s="152" t="s">
        <v>1881</v>
      </c>
      <c r="Q148" s="152" t="s">
        <v>4435</v>
      </c>
      <c r="R148" s="152" t="s">
        <v>4429</v>
      </c>
      <c r="S148" s="152" t="s">
        <v>4436</v>
      </c>
      <c r="T148" s="152" t="s">
        <v>786</v>
      </c>
    </row>
    <row r="149" spans="3:20">
      <c r="C149" s="152" t="s">
        <v>2821</v>
      </c>
      <c r="D149" s="474" t="s">
        <v>676</v>
      </c>
      <c r="E149" s="684" t="str">
        <f>+VLOOKUP(F149,Resumen_Base!$C$8:$G$156,5,0)</f>
        <v>Tips</v>
      </c>
      <c r="F149" s="152" t="s">
        <v>366</v>
      </c>
      <c r="G149" s="152" t="s">
        <v>367</v>
      </c>
      <c r="H149" s="152" t="str">
        <f t="shared" si="2"/>
        <v>CAR210609</v>
      </c>
      <c r="I149" s="513">
        <v>-518400</v>
      </c>
      <c r="J149" s="513">
        <v>-360</v>
      </c>
      <c r="K149" s="513">
        <v>1440</v>
      </c>
      <c r="L149" s="518" t="s">
        <v>3517</v>
      </c>
      <c r="M149" s="152" t="s">
        <v>1566</v>
      </c>
      <c r="N149" s="152" t="s">
        <v>1407</v>
      </c>
      <c r="O149" s="152" t="s">
        <v>4434</v>
      </c>
      <c r="P149" s="152" t="s">
        <v>1881</v>
      </c>
      <c r="Q149" s="152" t="s">
        <v>4435</v>
      </c>
      <c r="R149" s="152" t="s">
        <v>4429</v>
      </c>
      <c r="S149" s="152" t="s">
        <v>4436</v>
      </c>
      <c r="T149" s="152" t="s">
        <v>786</v>
      </c>
    </row>
    <row r="150" spans="3:20">
      <c r="C150" s="152" t="s">
        <v>2821</v>
      </c>
      <c r="D150" s="474" t="s">
        <v>676</v>
      </c>
      <c r="E150" s="684" t="str">
        <f>+VLOOKUP(F150,Resumen_Base!$C$8:$G$156,5,0)</f>
        <v>Tips</v>
      </c>
      <c r="F150" s="152" t="s">
        <v>366</v>
      </c>
      <c r="G150" s="152" t="s">
        <v>367</v>
      </c>
      <c r="H150" s="152" t="str">
        <f t="shared" si="2"/>
        <v>CAR210609</v>
      </c>
      <c r="I150" s="513">
        <v>-633600</v>
      </c>
      <c r="J150" s="513">
        <v>-440</v>
      </c>
      <c r="K150" s="513">
        <v>1440</v>
      </c>
      <c r="L150" s="518" t="s">
        <v>3517</v>
      </c>
      <c r="M150" s="152" t="s">
        <v>1566</v>
      </c>
      <c r="N150" s="152" t="s">
        <v>1407</v>
      </c>
      <c r="O150" s="152" t="s">
        <v>4437</v>
      </c>
      <c r="P150" s="152" t="s">
        <v>1881</v>
      </c>
      <c r="Q150" s="152" t="s">
        <v>4438</v>
      </c>
      <c r="R150" s="152" t="s">
        <v>4429</v>
      </c>
      <c r="S150" s="152" t="s">
        <v>4439</v>
      </c>
      <c r="T150" s="152" t="s">
        <v>786</v>
      </c>
    </row>
    <row r="151" spans="3:20">
      <c r="C151" s="152" t="s">
        <v>2821</v>
      </c>
      <c r="D151" s="474" t="s">
        <v>676</v>
      </c>
      <c r="E151" s="684" t="str">
        <f>+VLOOKUP(F151,Resumen_Base!$C$8:$G$156,5,0)</f>
        <v>Tips</v>
      </c>
      <c r="F151" s="152" t="s">
        <v>366</v>
      </c>
      <c r="G151" s="152" t="s">
        <v>367</v>
      </c>
      <c r="H151" s="152" t="str">
        <f t="shared" si="2"/>
        <v>CAR210609</v>
      </c>
      <c r="I151" s="513">
        <v>-518400</v>
      </c>
      <c r="J151" s="513">
        <v>-360</v>
      </c>
      <c r="K151" s="513">
        <v>1440</v>
      </c>
      <c r="L151" s="518" t="s">
        <v>3517</v>
      </c>
      <c r="M151" s="152" t="s">
        <v>1566</v>
      </c>
      <c r="N151" s="152" t="s">
        <v>1407</v>
      </c>
      <c r="O151" s="152" t="s">
        <v>4437</v>
      </c>
      <c r="P151" s="152" t="s">
        <v>1881</v>
      </c>
      <c r="Q151" s="152" t="s">
        <v>4438</v>
      </c>
      <c r="R151" s="152" t="s">
        <v>4429</v>
      </c>
      <c r="S151" s="152" t="s">
        <v>4439</v>
      </c>
      <c r="T151" s="152" t="s">
        <v>786</v>
      </c>
    </row>
    <row r="152" spans="3:20">
      <c r="C152" s="152" t="s">
        <v>2821</v>
      </c>
      <c r="D152" s="474" t="s">
        <v>676</v>
      </c>
      <c r="E152" s="684" t="str">
        <f>+VLOOKUP(F152,Resumen_Base!$C$8:$G$156,5,0)</f>
        <v>Tips</v>
      </c>
      <c r="F152" s="152" t="s">
        <v>366</v>
      </c>
      <c r="G152" s="152" t="s">
        <v>367</v>
      </c>
      <c r="H152" s="152" t="str">
        <f t="shared" si="2"/>
        <v>CAR210609</v>
      </c>
      <c r="I152" s="513">
        <v>-421500</v>
      </c>
      <c r="J152" s="513">
        <v>-300</v>
      </c>
      <c r="K152" s="513">
        <v>1405</v>
      </c>
      <c r="L152" s="518" t="s">
        <v>3493</v>
      </c>
      <c r="M152" s="152" t="s">
        <v>1566</v>
      </c>
      <c r="N152" s="152" t="s">
        <v>1407</v>
      </c>
      <c r="O152" s="152" t="s">
        <v>4440</v>
      </c>
      <c r="P152" s="152" t="s">
        <v>4279</v>
      </c>
      <c r="Q152" s="152" t="s">
        <v>4441</v>
      </c>
      <c r="R152" s="152" t="s">
        <v>4442</v>
      </c>
      <c r="S152" s="152" t="s">
        <v>4443</v>
      </c>
      <c r="T152" s="152" t="s">
        <v>786</v>
      </c>
    </row>
    <row r="153" spans="3:20">
      <c r="C153" s="152" t="s">
        <v>2821</v>
      </c>
      <c r="D153" s="474" t="s">
        <v>676</v>
      </c>
      <c r="E153" s="684" t="str">
        <f>+VLOOKUP(F153,Resumen_Base!$C$8:$G$156,5,0)</f>
        <v>Tips</v>
      </c>
      <c r="F153" s="152" t="s">
        <v>366</v>
      </c>
      <c r="G153" s="152" t="s">
        <v>367</v>
      </c>
      <c r="H153" s="152" t="str">
        <f t="shared" si="2"/>
        <v>CAR210609</v>
      </c>
      <c r="I153" s="513">
        <v>-421500</v>
      </c>
      <c r="J153" s="513">
        <v>-300</v>
      </c>
      <c r="K153" s="513">
        <v>1405</v>
      </c>
      <c r="L153" s="518" t="s">
        <v>3493</v>
      </c>
      <c r="M153" s="152" t="s">
        <v>1566</v>
      </c>
      <c r="N153" s="152" t="s">
        <v>1407</v>
      </c>
      <c r="O153" s="152" t="s">
        <v>4440</v>
      </c>
      <c r="P153" s="152" t="s">
        <v>4279</v>
      </c>
      <c r="Q153" s="152" t="s">
        <v>4441</v>
      </c>
      <c r="R153" s="152" t="s">
        <v>4442</v>
      </c>
      <c r="S153" s="152" t="s">
        <v>4443</v>
      </c>
      <c r="T153" s="152" t="s">
        <v>786</v>
      </c>
    </row>
    <row r="154" spans="3:20">
      <c r="C154" s="152" t="s">
        <v>2821</v>
      </c>
      <c r="D154" s="474" t="s">
        <v>676</v>
      </c>
      <c r="E154" s="684" t="str">
        <f>+VLOOKUP(F154,Resumen_Base!$C$8:$G$156,5,0)</f>
        <v>Tips</v>
      </c>
      <c r="F154" s="152" t="s">
        <v>366</v>
      </c>
      <c r="G154" s="152" t="s">
        <v>367</v>
      </c>
      <c r="H154" s="152" t="str">
        <f t="shared" si="2"/>
        <v>CAR210609</v>
      </c>
      <c r="I154" s="513">
        <v>-702500</v>
      </c>
      <c r="J154" s="513">
        <v>-500</v>
      </c>
      <c r="K154" s="513">
        <v>1405</v>
      </c>
      <c r="L154" s="518" t="s">
        <v>3493</v>
      </c>
      <c r="M154" s="152" t="s">
        <v>1566</v>
      </c>
      <c r="N154" s="152" t="s">
        <v>1407</v>
      </c>
      <c r="O154" s="152" t="s">
        <v>4444</v>
      </c>
      <c r="P154" s="152" t="s">
        <v>4279</v>
      </c>
      <c r="Q154" s="152" t="s">
        <v>4445</v>
      </c>
      <c r="R154" s="152" t="s">
        <v>4442</v>
      </c>
      <c r="S154" s="152" t="s">
        <v>4446</v>
      </c>
      <c r="T154" s="152" t="s">
        <v>786</v>
      </c>
    </row>
    <row r="155" spans="3:20">
      <c r="C155" s="152" t="s">
        <v>2821</v>
      </c>
      <c r="D155" s="474" t="s">
        <v>676</v>
      </c>
      <c r="E155" s="684" t="str">
        <f>+VLOOKUP(F155,Resumen_Base!$C$8:$G$156,5,0)</f>
        <v>Tips</v>
      </c>
      <c r="F155" s="152" t="s">
        <v>366</v>
      </c>
      <c r="G155" s="152" t="s">
        <v>367</v>
      </c>
      <c r="H155" s="152" t="str">
        <f t="shared" si="2"/>
        <v>CAR210609</v>
      </c>
      <c r="I155" s="513">
        <v>-140500</v>
      </c>
      <c r="J155" s="513">
        <v>-100</v>
      </c>
      <c r="K155" s="513">
        <v>1405</v>
      </c>
      <c r="L155" s="518" t="s">
        <v>3493</v>
      </c>
      <c r="M155" s="152" t="s">
        <v>1566</v>
      </c>
      <c r="N155" s="152" t="s">
        <v>1407</v>
      </c>
      <c r="O155" s="152" t="s">
        <v>4444</v>
      </c>
      <c r="P155" s="152" t="s">
        <v>4279</v>
      </c>
      <c r="Q155" s="152" t="s">
        <v>4445</v>
      </c>
      <c r="R155" s="152" t="s">
        <v>4442</v>
      </c>
      <c r="S155" s="152" t="s">
        <v>4446</v>
      </c>
      <c r="T155" s="152" t="s">
        <v>786</v>
      </c>
    </row>
    <row r="156" spans="3:20">
      <c r="C156" s="152" t="s">
        <v>2821</v>
      </c>
      <c r="D156" s="474" t="s">
        <v>676</v>
      </c>
      <c r="E156" s="684" t="str">
        <f>+VLOOKUP(F156,Resumen_Base!$C$8:$G$156,5,0)</f>
        <v>Tips</v>
      </c>
      <c r="F156" s="152" t="s">
        <v>366</v>
      </c>
      <c r="G156" s="152" t="s">
        <v>367</v>
      </c>
      <c r="H156" s="152" t="str">
        <f t="shared" si="2"/>
        <v>CAR210609</v>
      </c>
      <c r="I156" s="513">
        <v>-281000</v>
      </c>
      <c r="J156" s="513">
        <v>-200</v>
      </c>
      <c r="K156" s="513">
        <v>1405</v>
      </c>
      <c r="L156" s="518" t="s">
        <v>3493</v>
      </c>
      <c r="M156" s="152" t="s">
        <v>1566</v>
      </c>
      <c r="N156" s="152" t="s">
        <v>1407</v>
      </c>
      <c r="O156" s="152" t="s">
        <v>4447</v>
      </c>
      <c r="P156" s="152" t="s">
        <v>4279</v>
      </c>
      <c r="Q156" s="152" t="s">
        <v>4448</v>
      </c>
      <c r="R156" s="152" t="s">
        <v>4442</v>
      </c>
      <c r="S156" s="152" t="s">
        <v>4449</v>
      </c>
      <c r="T156" s="152" t="s">
        <v>786</v>
      </c>
    </row>
    <row r="157" spans="3:20">
      <c r="C157" s="152" t="s">
        <v>2821</v>
      </c>
      <c r="D157" s="474" t="s">
        <v>676</v>
      </c>
      <c r="E157" s="684" t="str">
        <f>+VLOOKUP(F157,Resumen_Base!$C$8:$G$156,5,0)</f>
        <v>Tips</v>
      </c>
      <c r="F157" s="152" t="s">
        <v>366</v>
      </c>
      <c r="G157" s="152" t="s">
        <v>367</v>
      </c>
      <c r="H157" s="152" t="str">
        <f t="shared" si="2"/>
        <v>CAR210609</v>
      </c>
      <c r="I157" s="513">
        <v>-562000</v>
      </c>
      <c r="J157" s="513">
        <v>-400</v>
      </c>
      <c r="K157" s="513">
        <v>1405</v>
      </c>
      <c r="L157" s="518" t="s">
        <v>3493</v>
      </c>
      <c r="M157" s="152" t="s">
        <v>1566</v>
      </c>
      <c r="N157" s="152" t="s">
        <v>1407</v>
      </c>
      <c r="O157" s="152" t="s">
        <v>4447</v>
      </c>
      <c r="P157" s="152" t="s">
        <v>4279</v>
      </c>
      <c r="Q157" s="152" t="s">
        <v>4448</v>
      </c>
      <c r="R157" s="152" t="s">
        <v>4442</v>
      </c>
      <c r="S157" s="152" t="s">
        <v>4449</v>
      </c>
      <c r="T157" s="152" t="s">
        <v>786</v>
      </c>
    </row>
    <row r="158" spans="3:20">
      <c r="C158" s="152" t="s">
        <v>2821</v>
      </c>
      <c r="D158" s="474" t="s">
        <v>676</v>
      </c>
      <c r="E158" s="684" t="str">
        <f>+VLOOKUP(F158,Resumen_Base!$C$8:$G$156,5,0)</f>
        <v>Tips</v>
      </c>
      <c r="F158" s="152" t="s">
        <v>366</v>
      </c>
      <c r="G158" s="152" t="s">
        <v>367</v>
      </c>
      <c r="H158" s="152" t="str">
        <f t="shared" si="2"/>
        <v>CAR210609</v>
      </c>
      <c r="I158" s="513">
        <v>-281000</v>
      </c>
      <c r="J158" s="513">
        <v>-200</v>
      </c>
      <c r="K158" s="513">
        <v>1405</v>
      </c>
      <c r="L158" s="518" t="s">
        <v>3493</v>
      </c>
      <c r="M158" s="152" t="s">
        <v>1566</v>
      </c>
      <c r="N158" s="152" t="s">
        <v>1407</v>
      </c>
      <c r="O158" s="152" t="s">
        <v>4450</v>
      </c>
      <c r="P158" s="152" t="s">
        <v>4279</v>
      </c>
      <c r="Q158" s="152" t="s">
        <v>4451</v>
      </c>
      <c r="R158" s="152" t="s">
        <v>4442</v>
      </c>
      <c r="S158" s="152" t="s">
        <v>4452</v>
      </c>
      <c r="T158" s="152" t="s">
        <v>786</v>
      </c>
    </row>
    <row r="159" spans="3:20">
      <c r="C159" s="152" t="s">
        <v>2821</v>
      </c>
      <c r="D159" s="474" t="s">
        <v>676</v>
      </c>
      <c r="E159" s="684" t="str">
        <f>+VLOOKUP(F159,Resumen_Base!$C$8:$G$156,5,0)</f>
        <v>Tips</v>
      </c>
      <c r="F159" s="152" t="s">
        <v>366</v>
      </c>
      <c r="G159" s="152" t="s">
        <v>367</v>
      </c>
      <c r="H159" s="152" t="str">
        <f t="shared" si="2"/>
        <v>CAR210609</v>
      </c>
      <c r="I159" s="513">
        <v>-562000</v>
      </c>
      <c r="J159" s="513">
        <v>-400</v>
      </c>
      <c r="K159" s="513">
        <v>1405</v>
      </c>
      <c r="L159" s="518" t="s">
        <v>3493</v>
      </c>
      <c r="M159" s="152" t="s">
        <v>1566</v>
      </c>
      <c r="N159" s="152" t="s">
        <v>1407</v>
      </c>
      <c r="O159" s="152" t="s">
        <v>4450</v>
      </c>
      <c r="P159" s="152" t="s">
        <v>4279</v>
      </c>
      <c r="Q159" s="152" t="s">
        <v>4451</v>
      </c>
      <c r="R159" s="152" t="s">
        <v>4442</v>
      </c>
      <c r="S159" s="152" t="s">
        <v>4452</v>
      </c>
      <c r="T159" s="152" t="s">
        <v>786</v>
      </c>
    </row>
    <row r="160" spans="3:20">
      <c r="C160" s="152" t="s">
        <v>2821</v>
      </c>
      <c r="D160" s="474" t="s">
        <v>676</v>
      </c>
      <c r="E160" s="684" t="str">
        <f>+VLOOKUP(F160,Resumen_Base!$C$8:$G$156,5,0)</f>
        <v>Tips</v>
      </c>
      <c r="F160" s="152" t="s">
        <v>366</v>
      </c>
      <c r="G160" s="152" t="s">
        <v>367</v>
      </c>
      <c r="H160" s="152" t="str">
        <f t="shared" si="2"/>
        <v>CAR210609</v>
      </c>
      <c r="I160" s="513">
        <v>-424500</v>
      </c>
      <c r="J160" s="513">
        <v>-300</v>
      </c>
      <c r="K160" s="513">
        <v>1415</v>
      </c>
      <c r="L160" s="518" t="s">
        <v>3511</v>
      </c>
      <c r="M160" s="152" t="s">
        <v>1566</v>
      </c>
      <c r="N160" s="152" t="s">
        <v>1407</v>
      </c>
      <c r="O160" s="152" t="s">
        <v>4453</v>
      </c>
      <c r="P160" s="152" t="s">
        <v>4279</v>
      </c>
      <c r="Q160" s="152" t="s">
        <v>4454</v>
      </c>
      <c r="R160" s="152" t="s">
        <v>4455</v>
      </c>
      <c r="S160" s="152" t="s">
        <v>4456</v>
      </c>
      <c r="T160" s="152" t="s">
        <v>786</v>
      </c>
    </row>
    <row r="161" spans="3:20">
      <c r="C161" s="152" t="s">
        <v>2821</v>
      </c>
      <c r="D161" s="474" t="s">
        <v>676</v>
      </c>
      <c r="E161" s="684" t="str">
        <f>+VLOOKUP(F161,Resumen_Base!$C$8:$G$156,5,0)</f>
        <v>Tips</v>
      </c>
      <c r="F161" s="152" t="s">
        <v>366</v>
      </c>
      <c r="G161" s="152" t="s">
        <v>367</v>
      </c>
      <c r="H161" s="152" t="str">
        <f t="shared" si="2"/>
        <v>CAR210609</v>
      </c>
      <c r="I161" s="513">
        <v>-566000</v>
      </c>
      <c r="J161" s="513">
        <v>-400</v>
      </c>
      <c r="K161" s="513">
        <v>1415</v>
      </c>
      <c r="L161" s="518" t="s">
        <v>3511</v>
      </c>
      <c r="M161" s="152" t="s">
        <v>1566</v>
      </c>
      <c r="N161" s="152" t="s">
        <v>1407</v>
      </c>
      <c r="O161" s="152" t="s">
        <v>4453</v>
      </c>
      <c r="P161" s="152" t="s">
        <v>4279</v>
      </c>
      <c r="Q161" s="152" t="s">
        <v>4454</v>
      </c>
      <c r="R161" s="152" t="s">
        <v>4455</v>
      </c>
      <c r="S161" s="152" t="s">
        <v>4456</v>
      </c>
      <c r="T161" s="152" t="s">
        <v>786</v>
      </c>
    </row>
    <row r="162" spans="3:20">
      <c r="C162" s="152" t="s">
        <v>2821</v>
      </c>
      <c r="D162" s="474" t="s">
        <v>676</v>
      </c>
      <c r="E162" s="684" t="str">
        <f>+VLOOKUP(F162,Resumen_Base!$C$8:$G$156,5,0)</f>
        <v>Tips</v>
      </c>
      <c r="F162" s="152" t="s">
        <v>366</v>
      </c>
      <c r="G162" s="152" t="s">
        <v>367</v>
      </c>
      <c r="H162" s="152" t="str">
        <f t="shared" si="2"/>
        <v>CAR210609</v>
      </c>
      <c r="I162" s="513">
        <v>-566000</v>
      </c>
      <c r="J162" s="513">
        <v>-400</v>
      </c>
      <c r="K162" s="513">
        <v>1415</v>
      </c>
      <c r="L162" s="518" t="s">
        <v>3511</v>
      </c>
      <c r="M162" s="152" t="s">
        <v>1566</v>
      </c>
      <c r="N162" s="152" t="s">
        <v>1407</v>
      </c>
      <c r="O162" s="152" t="s">
        <v>4457</v>
      </c>
      <c r="P162" s="152" t="s">
        <v>4279</v>
      </c>
      <c r="Q162" s="152" t="s">
        <v>4458</v>
      </c>
      <c r="R162" s="152" t="s">
        <v>4455</v>
      </c>
      <c r="S162" s="152" t="s">
        <v>4459</v>
      </c>
      <c r="T162" s="152" t="s">
        <v>786</v>
      </c>
    </row>
    <row r="163" spans="3:20">
      <c r="C163" s="152" t="s">
        <v>2821</v>
      </c>
      <c r="D163" s="474" t="s">
        <v>676</v>
      </c>
      <c r="E163" s="684" t="str">
        <f>+VLOOKUP(F163,Resumen_Base!$C$8:$G$156,5,0)</f>
        <v>Tips</v>
      </c>
      <c r="F163" s="152" t="s">
        <v>366</v>
      </c>
      <c r="G163" s="152" t="s">
        <v>367</v>
      </c>
      <c r="H163" s="152" t="str">
        <f t="shared" si="2"/>
        <v>CAR210609</v>
      </c>
      <c r="I163" s="513">
        <v>-424500</v>
      </c>
      <c r="J163" s="513">
        <v>-300</v>
      </c>
      <c r="K163" s="513">
        <v>1415</v>
      </c>
      <c r="L163" s="518" t="s">
        <v>3511</v>
      </c>
      <c r="M163" s="152" t="s">
        <v>1566</v>
      </c>
      <c r="N163" s="152" t="s">
        <v>1407</v>
      </c>
      <c r="O163" s="152" t="s">
        <v>4457</v>
      </c>
      <c r="P163" s="152" t="s">
        <v>4279</v>
      </c>
      <c r="Q163" s="152" t="s">
        <v>4458</v>
      </c>
      <c r="R163" s="152" t="s">
        <v>4455</v>
      </c>
      <c r="S163" s="152" t="s">
        <v>4459</v>
      </c>
      <c r="T163" s="152" t="s">
        <v>786</v>
      </c>
    </row>
    <row r="164" spans="3:20">
      <c r="C164" s="152" t="s">
        <v>2821</v>
      </c>
      <c r="D164" s="474" t="s">
        <v>676</v>
      </c>
      <c r="E164" s="684" t="str">
        <f>+VLOOKUP(F164,Resumen_Base!$C$8:$G$156,5,0)</f>
        <v>Tips</v>
      </c>
      <c r="F164" s="152" t="s">
        <v>366</v>
      </c>
      <c r="G164" s="152" t="s">
        <v>367</v>
      </c>
      <c r="H164" s="152" t="str">
        <f t="shared" si="2"/>
        <v>CAR210609</v>
      </c>
      <c r="I164" s="513">
        <v>-424500</v>
      </c>
      <c r="J164" s="513">
        <v>-300</v>
      </c>
      <c r="K164" s="513">
        <v>1415</v>
      </c>
      <c r="L164" s="518" t="s">
        <v>3511</v>
      </c>
      <c r="M164" s="152" t="s">
        <v>1566</v>
      </c>
      <c r="N164" s="152" t="s">
        <v>1407</v>
      </c>
      <c r="O164" s="152" t="s">
        <v>4460</v>
      </c>
      <c r="P164" s="152" t="s">
        <v>4279</v>
      </c>
      <c r="Q164" s="152" t="s">
        <v>4461</v>
      </c>
      <c r="R164" s="152" t="s">
        <v>4455</v>
      </c>
      <c r="S164" s="152" t="s">
        <v>4462</v>
      </c>
      <c r="T164" s="152" t="s">
        <v>786</v>
      </c>
    </row>
    <row r="165" spans="3:20">
      <c r="C165" s="152" t="s">
        <v>2821</v>
      </c>
      <c r="D165" s="474" t="s">
        <v>676</v>
      </c>
      <c r="E165" s="684" t="str">
        <f>+VLOOKUP(F165,Resumen_Base!$C$8:$G$156,5,0)</f>
        <v>Tips</v>
      </c>
      <c r="F165" s="152" t="s">
        <v>366</v>
      </c>
      <c r="G165" s="152" t="s">
        <v>367</v>
      </c>
      <c r="H165" s="152" t="str">
        <f t="shared" si="2"/>
        <v>CAR210609</v>
      </c>
      <c r="I165" s="513">
        <v>-566000</v>
      </c>
      <c r="J165" s="513">
        <v>-400</v>
      </c>
      <c r="K165" s="513">
        <v>1415</v>
      </c>
      <c r="L165" s="518" t="s">
        <v>3511</v>
      </c>
      <c r="M165" s="152" t="s">
        <v>1566</v>
      </c>
      <c r="N165" s="152" t="s">
        <v>1407</v>
      </c>
      <c r="O165" s="152" t="s">
        <v>4460</v>
      </c>
      <c r="P165" s="152" t="s">
        <v>4279</v>
      </c>
      <c r="Q165" s="152" t="s">
        <v>4461</v>
      </c>
      <c r="R165" s="152" t="s">
        <v>4455</v>
      </c>
      <c r="S165" s="152" t="s">
        <v>4462</v>
      </c>
      <c r="T165" s="152" t="s">
        <v>786</v>
      </c>
    </row>
    <row r="166" spans="3:20">
      <c r="C166" s="152" t="s">
        <v>2821</v>
      </c>
      <c r="D166" s="474" t="s">
        <v>676</v>
      </c>
      <c r="E166" s="684" t="str">
        <f>+VLOOKUP(F166,Resumen_Base!$C$8:$G$156,5,0)</f>
        <v>Tips</v>
      </c>
      <c r="F166" s="152" t="s">
        <v>366</v>
      </c>
      <c r="G166" s="152" t="s">
        <v>367</v>
      </c>
      <c r="H166" s="152" t="str">
        <f t="shared" si="2"/>
        <v>CAR210609</v>
      </c>
      <c r="I166" s="513">
        <v>-566000</v>
      </c>
      <c r="J166" s="513">
        <v>-400</v>
      </c>
      <c r="K166" s="513">
        <v>1415</v>
      </c>
      <c r="L166" s="518" t="s">
        <v>3511</v>
      </c>
      <c r="M166" s="152" t="s">
        <v>1566</v>
      </c>
      <c r="N166" s="152" t="s">
        <v>1407</v>
      </c>
      <c r="O166" s="152" t="s">
        <v>4463</v>
      </c>
      <c r="P166" s="152" t="s">
        <v>4279</v>
      </c>
      <c r="Q166" s="152" t="s">
        <v>4464</v>
      </c>
      <c r="R166" s="152" t="s">
        <v>4455</v>
      </c>
      <c r="S166" s="152" t="s">
        <v>4465</v>
      </c>
      <c r="T166" s="152" t="s">
        <v>786</v>
      </c>
    </row>
    <row r="167" spans="3:20">
      <c r="C167" s="152" t="s">
        <v>2821</v>
      </c>
      <c r="D167" s="474" t="s">
        <v>676</v>
      </c>
      <c r="E167" s="684" t="str">
        <f>+VLOOKUP(F167,Resumen_Base!$C$8:$G$156,5,0)</f>
        <v>Tips</v>
      </c>
      <c r="F167" s="152" t="s">
        <v>366</v>
      </c>
      <c r="G167" s="152" t="s">
        <v>367</v>
      </c>
      <c r="H167" s="152" t="str">
        <f t="shared" si="2"/>
        <v>CAR210609</v>
      </c>
      <c r="I167" s="513">
        <v>-424500</v>
      </c>
      <c r="J167" s="513">
        <v>-300</v>
      </c>
      <c r="K167" s="513">
        <v>1415</v>
      </c>
      <c r="L167" s="518" t="s">
        <v>3511</v>
      </c>
      <c r="M167" s="152" t="s">
        <v>1566</v>
      </c>
      <c r="N167" s="152" t="s">
        <v>1407</v>
      </c>
      <c r="O167" s="152" t="s">
        <v>4463</v>
      </c>
      <c r="P167" s="152" t="s">
        <v>4279</v>
      </c>
      <c r="Q167" s="152" t="s">
        <v>4464</v>
      </c>
      <c r="R167" s="152" t="s">
        <v>4455</v>
      </c>
      <c r="S167" s="152" t="s">
        <v>4465</v>
      </c>
      <c r="T167" s="152" t="s">
        <v>786</v>
      </c>
    </row>
    <row r="168" spans="3:20">
      <c r="C168" s="152" t="s">
        <v>2821</v>
      </c>
      <c r="D168" s="474" t="s">
        <v>676</v>
      </c>
      <c r="E168" s="684" t="str">
        <f>+VLOOKUP(F168,Resumen_Base!$C$8:$G$156,5,0)</f>
        <v>Tips</v>
      </c>
      <c r="F168" s="152" t="s">
        <v>366</v>
      </c>
      <c r="G168" s="152" t="s">
        <v>367</v>
      </c>
      <c r="H168" s="152" t="str">
        <f t="shared" si="2"/>
        <v>CAR210609</v>
      </c>
      <c r="I168" s="513">
        <v>-849000</v>
      </c>
      <c r="J168" s="513">
        <v>-600</v>
      </c>
      <c r="K168" s="513">
        <v>1415</v>
      </c>
      <c r="L168" s="518" t="s">
        <v>3511</v>
      </c>
      <c r="M168" s="152" t="s">
        <v>1566</v>
      </c>
      <c r="N168" s="152" t="s">
        <v>1407</v>
      </c>
      <c r="O168" s="152" t="s">
        <v>4470</v>
      </c>
      <c r="P168" s="152" t="s">
        <v>4279</v>
      </c>
      <c r="Q168" s="152" t="s">
        <v>4471</v>
      </c>
      <c r="R168" s="152" t="s">
        <v>4472</v>
      </c>
      <c r="S168" s="152" t="s">
        <v>4473</v>
      </c>
      <c r="T168" s="152" t="s">
        <v>786</v>
      </c>
    </row>
    <row r="169" spans="3:20">
      <c r="C169" s="152" t="s">
        <v>2821</v>
      </c>
      <c r="D169" s="474" t="s">
        <v>676</v>
      </c>
      <c r="E169" s="684" t="str">
        <f>+VLOOKUP(F169,Resumen_Base!$C$8:$G$156,5,0)</f>
        <v>Tips</v>
      </c>
      <c r="F169" s="152" t="s">
        <v>366</v>
      </c>
      <c r="G169" s="152" t="s">
        <v>367</v>
      </c>
      <c r="H169" s="152" t="str">
        <f t="shared" si="2"/>
        <v>CAR210609</v>
      </c>
      <c r="I169" s="513">
        <v>-566000</v>
      </c>
      <c r="J169" s="513">
        <v>-400</v>
      </c>
      <c r="K169" s="513">
        <v>1415</v>
      </c>
      <c r="L169" s="518" t="s">
        <v>3511</v>
      </c>
      <c r="M169" s="152" t="s">
        <v>1566</v>
      </c>
      <c r="N169" s="152" t="s">
        <v>1407</v>
      </c>
      <c r="O169" s="152" t="s">
        <v>4470</v>
      </c>
      <c r="P169" s="152" t="s">
        <v>4279</v>
      </c>
      <c r="Q169" s="152" t="s">
        <v>4471</v>
      </c>
      <c r="R169" s="152" t="s">
        <v>4472</v>
      </c>
      <c r="S169" s="152" t="s">
        <v>4473</v>
      </c>
      <c r="T169" s="152" t="s">
        <v>786</v>
      </c>
    </row>
    <row r="170" spans="3:20">
      <c r="C170" s="152" t="s">
        <v>2821</v>
      </c>
      <c r="D170" s="474" t="s">
        <v>676</v>
      </c>
      <c r="E170" s="684" t="str">
        <f>+VLOOKUP(F170,Resumen_Base!$C$8:$G$156,5,0)</f>
        <v>Tips</v>
      </c>
      <c r="F170" s="152" t="s">
        <v>366</v>
      </c>
      <c r="G170" s="152" t="s">
        <v>367</v>
      </c>
      <c r="H170" s="152" t="str">
        <f t="shared" si="2"/>
        <v>CAR210609</v>
      </c>
      <c r="I170" s="513">
        <v>-636750</v>
      </c>
      <c r="J170" s="513">
        <v>-450</v>
      </c>
      <c r="K170" s="513">
        <v>1415</v>
      </c>
      <c r="L170" s="518" t="s">
        <v>3511</v>
      </c>
      <c r="M170" s="152" t="s">
        <v>1566</v>
      </c>
      <c r="N170" s="152" t="s">
        <v>1407</v>
      </c>
      <c r="O170" s="152" t="s">
        <v>4474</v>
      </c>
      <c r="P170" s="152" t="s">
        <v>4279</v>
      </c>
      <c r="Q170" s="152" t="s">
        <v>4475</v>
      </c>
      <c r="R170" s="152" t="s">
        <v>4472</v>
      </c>
      <c r="S170" s="152" t="s">
        <v>4476</v>
      </c>
      <c r="T170" s="152" t="s">
        <v>786</v>
      </c>
    </row>
    <row r="171" spans="3:20">
      <c r="C171" s="152" t="s">
        <v>2821</v>
      </c>
      <c r="D171" s="474" t="s">
        <v>676</v>
      </c>
      <c r="E171" s="684" t="str">
        <f>+VLOOKUP(F171,Resumen_Base!$C$8:$G$156,5,0)</f>
        <v>Tips</v>
      </c>
      <c r="F171" s="152" t="s">
        <v>366</v>
      </c>
      <c r="G171" s="152" t="s">
        <v>367</v>
      </c>
      <c r="H171" s="152" t="str">
        <f t="shared" si="2"/>
        <v>CAR210609</v>
      </c>
      <c r="I171" s="513">
        <v>-636750</v>
      </c>
      <c r="J171" s="513">
        <v>-450</v>
      </c>
      <c r="K171" s="513">
        <v>1415</v>
      </c>
      <c r="L171" s="518" t="s">
        <v>3511</v>
      </c>
      <c r="M171" s="152" t="s">
        <v>1566</v>
      </c>
      <c r="N171" s="152" t="s">
        <v>1407</v>
      </c>
      <c r="O171" s="152" t="s">
        <v>4474</v>
      </c>
      <c r="P171" s="152" t="s">
        <v>4279</v>
      </c>
      <c r="Q171" s="152" t="s">
        <v>4475</v>
      </c>
      <c r="R171" s="152" t="s">
        <v>4472</v>
      </c>
      <c r="S171" s="152" t="s">
        <v>4476</v>
      </c>
      <c r="T171" s="152" t="s">
        <v>786</v>
      </c>
    </row>
    <row r="172" spans="3:20">
      <c r="C172" s="152" t="s">
        <v>2821</v>
      </c>
      <c r="D172" s="474" t="s">
        <v>676</v>
      </c>
      <c r="E172" s="684" t="str">
        <f>+VLOOKUP(F172,Resumen_Base!$C$8:$G$156,5,0)</f>
        <v>Tips</v>
      </c>
      <c r="F172" s="152" t="s">
        <v>366</v>
      </c>
      <c r="G172" s="152" t="s">
        <v>367</v>
      </c>
      <c r="H172" s="152" t="str">
        <f t="shared" si="2"/>
        <v>CAR210609</v>
      </c>
      <c r="I172" s="513">
        <v>-636750</v>
      </c>
      <c r="J172" s="513">
        <v>-450</v>
      </c>
      <c r="K172" s="513">
        <v>1415</v>
      </c>
      <c r="L172" s="518" t="s">
        <v>3511</v>
      </c>
      <c r="M172" s="152" t="s">
        <v>1566</v>
      </c>
      <c r="N172" s="152" t="s">
        <v>1407</v>
      </c>
      <c r="O172" s="152" t="s">
        <v>4477</v>
      </c>
      <c r="P172" s="152" t="s">
        <v>4279</v>
      </c>
      <c r="Q172" s="152" t="s">
        <v>4478</v>
      </c>
      <c r="R172" s="152" t="s">
        <v>4472</v>
      </c>
      <c r="S172" s="152" t="s">
        <v>4479</v>
      </c>
      <c r="T172" s="152" t="s">
        <v>786</v>
      </c>
    </row>
    <row r="173" spans="3:20">
      <c r="C173" s="152" t="s">
        <v>2821</v>
      </c>
      <c r="D173" s="474" t="s">
        <v>676</v>
      </c>
      <c r="E173" s="684" t="str">
        <f>+VLOOKUP(F173,Resumen_Base!$C$8:$G$156,5,0)</f>
        <v>Tips</v>
      </c>
      <c r="F173" s="152" t="s">
        <v>366</v>
      </c>
      <c r="G173" s="152" t="s">
        <v>367</v>
      </c>
      <c r="H173" s="152" t="str">
        <f t="shared" si="2"/>
        <v>CAR210609</v>
      </c>
      <c r="I173" s="513">
        <v>-636750</v>
      </c>
      <c r="J173" s="513">
        <v>-450</v>
      </c>
      <c r="K173" s="513">
        <v>1415</v>
      </c>
      <c r="L173" s="518" t="s">
        <v>3511</v>
      </c>
      <c r="M173" s="152" t="s">
        <v>1566</v>
      </c>
      <c r="N173" s="152" t="s">
        <v>1407</v>
      </c>
      <c r="O173" s="152" t="s">
        <v>4477</v>
      </c>
      <c r="P173" s="152" t="s">
        <v>4279</v>
      </c>
      <c r="Q173" s="152" t="s">
        <v>4478</v>
      </c>
      <c r="R173" s="152" t="s">
        <v>4472</v>
      </c>
      <c r="S173" s="152" t="s">
        <v>4479</v>
      </c>
      <c r="T173" s="152" t="s">
        <v>786</v>
      </c>
    </row>
    <row r="174" spans="3:20">
      <c r="C174" s="152" t="s">
        <v>2821</v>
      </c>
      <c r="D174" s="474" t="s">
        <v>676</v>
      </c>
      <c r="E174" s="684" t="str">
        <f>+VLOOKUP(F174,Resumen_Base!$C$8:$G$156,5,0)</f>
        <v>Tips</v>
      </c>
      <c r="F174" s="152" t="s">
        <v>366</v>
      </c>
      <c r="G174" s="152" t="s">
        <v>367</v>
      </c>
      <c r="H174" s="152" t="str">
        <f t="shared" si="2"/>
        <v>CAR210609</v>
      </c>
      <c r="I174" s="513">
        <v>-778250</v>
      </c>
      <c r="J174" s="513">
        <v>-550</v>
      </c>
      <c r="K174" s="513">
        <v>1415</v>
      </c>
      <c r="L174" s="518" t="s">
        <v>3511</v>
      </c>
      <c r="M174" s="152" t="s">
        <v>1566</v>
      </c>
      <c r="N174" s="152" t="s">
        <v>1407</v>
      </c>
      <c r="O174" s="152" t="s">
        <v>4480</v>
      </c>
      <c r="P174" s="152" t="s">
        <v>4279</v>
      </c>
      <c r="Q174" s="152" t="s">
        <v>4481</v>
      </c>
      <c r="R174" s="152" t="s">
        <v>4472</v>
      </c>
      <c r="S174" s="152" t="s">
        <v>4482</v>
      </c>
      <c r="T174" s="152" t="s">
        <v>786</v>
      </c>
    </row>
    <row r="175" spans="3:20">
      <c r="C175" s="152" t="s">
        <v>2821</v>
      </c>
      <c r="D175" s="474" t="s">
        <v>676</v>
      </c>
      <c r="E175" s="684" t="str">
        <f>+VLOOKUP(F175,Resumen_Base!$C$8:$G$156,5,0)</f>
        <v>Tips</v>
      </c>
      <c r="F175" s="152" t="s">
        <v>366</v>
      </c>
      <c r="G175" s="152" t="s">
        <v>367</v>
      </c>
      <c r="H175" s="152" t="str">
        <f t="shared" si="2"/>
        <v>CAR210609</v>
      </c>
      <c r="I175" s="513">
        <v>-778250</v>
      </c>
      <c r="J175" s="513">
        <v>-550</v>
      </c>
      <c r="K175" s="513">
        <v>1415</v>
      </c>
      <c r="L175" s="518" t="s">
        <v>3511</v>
      </c>
      <c r="M175" s="152" t="s">
        <v>1566</v>
      </c>
      <c r="N175" s="152" t="s">
        <v>1407</v>
      </c>
      <c r="O175" s="152" t="s">
        <v>4480</v>
      </c>
      <c r="P175" s="152" t="s">
        <v>4279</v>
      </c>
      <c r="Q175" s="152" t="s">
        <v>4481</v>
      </c>
      <c r="R175" s="152" t="s">
        <v>4472</v>
      </c>
      <c r="S175" s="152" t="s">
        <v>4482</v>
      </c>
      <c r="T175" s="152" t="s">
        <v>786</v>
      </c>
    </row>
    <row r="176" spans="3:20">
      <c r="C176" s="152" t="s">
        <v>2821</v>
      </c>
      <c r="D176" s="474" t="s">
        <v>676</v>
      </c>
      <c r="E176" s="684" t="str">
        <f>+VLOOKUP(F176,Resumen_Base!$C$8:$G$156,5,0)</f>
        <v>Tips</v>
      </c>
      <c r="F176" s="152" t="s">
        <v>366</v>
      </c>
      <c r="G176" s="152" t="s">
        <v>367</v>
      </c>
      <c r="H176" s="152" t="str">
        <f t="shared" si="2"/>
        <v>CAR210609</v>
      </c>
      <c r="I176" s="513">
        <v>-1152000</v>
      </c>
      <c r="J176" s="513">
        <v>-800</v>
      </c>
      <c r="K176" s="513">
        <v>1440</v>
      </c>
      <c r="L176" s="518" t="s">
        <v>3517</v>
      </c>
      <c r="M176" s="152" t="s">
        <v>1566</v>
      </c>
      <c r="N176" s="152" t="s">
        <v>1407</v>
      </c>
      <c r="O176" s="152" t="s">
        <v>4483</v>
      </c>
      <c r="P176" s="152" t="s">
        <v>1881</v>
      </c>
      <c r="Q176" s="152" t="s">
        <v>4484</v>
      </c>
      <c r="R176" s="152" t="s">
        <v>4485</v>
      </c>
      <c r="S176" s="152" t="s">
        <v>4486</v>
      </c>
      <c r="T176" s="152" t="s">
        <v>786</v>
      </c>
    </row>
    <row r="177" spans="3:20">
      <c r="C177" s="152" t="s">
        <v>2821</v>
      </c>
      <c r="D177" s="474" t="s">
        <v>676</v>
      </c>
      <c r="E177" s="684" t="str">
        <f>+VLOOKUP(F177,Resumen_Base!$C$8:$G$156,5,0)</f>
        <v>Tips</v>
      </c>
      <c r="F177" s="152" t="s">
        <v>366</v>
      </c>
      <c r="G177" s="152" t="s">
        <v>367</v>
      </c>
      <c r="H177" s="152" t="str">
        <f t="shared" si="2"/>
        <v>CAR210609</v>
      </c>
      <c r="I177" s="513">
        <v>-576000</v>
      </c>
      <c r="J177" s="513">
        <v>-400</v>
      </c>
      <c r="K177" s="513">
        <v>1440</v>
      </c>
      <c r="L177" s="518" t="s">
        <v>3517</v>
      </c>
      <c r="M177" s="152" t="s">
        <v>1566</v>
      </c>
      <c r="N177" s="152" t="s">
        <v>1407</v>
      </c>
      <c r="O177" s="152" t="s">
        <v>4483</v>
      </c>
      <c r="P177" s="152" t="s">
        <v>1881</v>
      </c>
      <c r="Q177" s="152" t="s">
        <v>4484</v>
      </c>
      <c r="R177" s="152" t="s">
        <v>4485</v>
      </c>
      <c r="S177" s="152" t="s">
        <v>4486</v>
      </c>
      <c r="T177" s="152" t="s">
        <v>786</v>
      </c>
    </row>
    <row r="178" spans="3:20">
      <c r="C178" s="152" t="s">
        <v>2821</v>
      </c>
      <c r="D178" s="474" t="s">
        <v>676</v>
      </c>
      <c r="E178" s="684" t="str">
        <f>+VLOOKUP(F178,Resumen_Base!$C$8:$G$156,5,0)</f>
        <v>Tips</v>
      </c>
      <c r="F178" s="152" t="s">
        <v>366</v>
      </c>
      <c r="G178" s="152" t="s">
        <v>367</v>
      </c>
      <c r="H178" s="152" t="str">
        <f t="shared" si="2"/>
        <v>CAR210609</v>
      </c>
      <c r="I178" s="513">
        <v>-288000</v>
      </c>
      <c r="J178" s="513">
        <v>-200</v>
      </c>
      <c r="K178" s="513">
        <v>1440</v>
      </c>
      <c r="L178" s="518" t="s">
        <v>3517</v>
      </c>
      <c r="M178" s="152" t="s">
        <v>1566</v>
      </c>
      <c r="N178" s="152" t="s">
        <v>1407</v>
      </c>
      <c r="O178" s="152" t="s">
        <v>4487</v>
      </c>
      <c r="P178" s="152" t="s">
        <v>1881</v>
      </c>
      <c r="Q178" s="152" t="s">
        <v>4488</v>
      </c>
      <c r="R178" s="152" t="s">
        <v>4485</v>
      </c>
      <c r="S178" s="152" t="s">
        <v>4489</v>
      </c>
      <c r="T178" s="152" t="s">
        <v>786</v>
      </c>
    </row>
    <row r="179" spans="3:20">
      <c r="C179" s="152" t="s">
        <v>2821</v>
      </c>
      <c r="D179" s="474" t="s">
        <v>676</v>
      </c>
      <c r="E179" s="684" t="str">
        <f>+VLOOKUP(F179,Resumen_Base!$C$8:$G$156,5,0)</f>
        <v>Tips</v>
      </c>
      <c r="F179" s="152" t="s">
        <v>366</v>
      </c>
      <c r="G179" s="152" t="s">
        <v>367</v>
      </c>
      <c r="H179" s="152" t="str">
        <f t="shared" si="2"/>
        <v>CAR210609</v>
      </c>
      <c r="I179" s="513">
        <v>-288000</v>
      </c>
      <c r="J179" s="513">
        <v>-200</v>
      </c>
      <c r="K179" s="513">
        <v>1440</v>
      </c>
      <c r="L179" s="518" t="s">
        <v>3517</v>
      </c>
      <c r="M179" s="152" t="s">
        <v>1566</v>
      </c>
      <c r="N179" s="152" t="s">
        <v>1407</v>
      </c>
      <c r="O179" s="152" t="s">
        <v>4487</v>
      </c>
      <c r="P179" s="152" t="s">
        <v>1881</v>
      </c>
      <c r="Q179" s="152" t="s">
        <v>4488</v>
      </c>
      <c r="R179" s="152" t="s">
        <v>4485</v>
      </c>
      <c r="S179" s="152" t="s">
        <v>4489</v>
      </c>
      <c r="T179" s="152" t="s">
        <v>786</v>
      </c>
    </row>
    <row r="180" spans="3:20">
      <c r="C180" s="152" t="s">
        <v>2821</v>
      </c>
      <c r="D180" s="474" t="s">
        <v>676</v>
      </c>
      <c r="E180" s="684" t="str">
        <f>+VLOOKUP(F180,Resumen_Base!$C$8:$G$156,5,0)</f>
        <v>Tips</v>
      </c>
      <c r="F180" s="152" t="s">
        <v>366</v>
      </c>
      <c r="G180" s="152" t="s">
        <v>367</v>
      </c>
      <c r="H180" s="152" t="str">
        <f t="shared" si="2"/>
        <v>CAR210609</v>
      </c>
      <c r="I180" s="513">
        <v>-345600</v>
      </c>
      <c r="J180" s="513">
        <v>-240</v>
      </c>
      <c r="K180" s="513">
        <v>1440</v>
      </c>
      <c r="L180" s="518" t="s">
        <v>3517</v>
      </c>
      <c r="M180" s="152" t="s">
        <v>1566</v>
      </c>
      <c r="N180" s="152" t="s">
        <v>1407</v>
      </c>
      <c r="O180" s="152" t="s">
        <v>4490</v>
      </c>
      <c r="P180" s="152" t="s">
        <v>1881</v>
      </c>
      <c r="Q180" s="152" t="s">
        <v>4491</v>
      </c>
      <c r="R180" s="152" t="s">
        <v>4485</v>
      </c>
      <c r="S180" s="152" t="s">
        <v>4492</v>
      </c>
      <c r="T180" s="152" t="s">
        <v>786</v>
      </c>
    </row>
    <row r="181" spans="3:20">
      <c r="C181" s="152" t="s">
        <v>2821</v>
      </c>
      <c r="D181" s="474" t="s">
        <v>676</v>
      </c>
      <c r="E181" s="684" t="str">
        <f>+VLOOKUP(F181,Resumen_Base!$C$8:$G$156,5,0)</f>
        <v>Tips</v>
      </c>
      <c r="F181" s="152" t="s">
        <v>366</v>
      </c>
      <c r="G181" s="152" t="s">
        <v>367</v>
      </c>
      <c r="H181" s="152" t="str">
        <f t="shared" si="2"/>
        <v>CAR210609</v>
      </c>
      <c r="I181" s="513">
        <v>-662400</v>
      </c>
      <c r="J181" s="513">
        <v>-460</v>
      </c>
      <c r="K181" s="513">
        <v>1440</v>
      </c>
      <c r="L181" s="518" t="s">
        <v>3517</v>
      </c>
      <c r="M181" s="152" t="s">
        <v>1566</v>
      </c>
      <c r="N181" s="152" t="s">
        <v>1407</v>
      </c>
      <c r="O181" s="152" t="s">
        <v>4490</v>
      </c>
      <c r="P181" s="152" t="s">
        <v>1881</v>
      </c>
      <c r="Q181" s="152" t="s">
        <v>4491</v>
      </c>
      <c r="R181" s="152" t="s">
        <v>4485</v>
      </c>
      <c r="S181" s="152" t="s">
        <v>4492</v>
      </c>
      <c r="T181" s="152" t="s">
        <v>786</v>
      </c>
    </row>
    <row r="182" spans="3:20">
      <c r="C182" s="152" t="s">
        <v>2821</v>
      </c>
      <c r="D182" s="474" t="s">
        <v>676</v>
      </c>
      <c r="E182" s="684" t="str">
        <f>+VLOOKUP(F182,Resumen_Base!$C$8:$G$156,5,0)</f>
        <v>Tips</v>
      </c>
      <c r="F182" s="152" t="s">
        <v>366</v>
      </c>
      <c r="G182" s="152" t="s">
        <v>367</v>
      </c>
      <c r="H182" s="152" t="str">
        <f t="shared" si="2"/>
        <v>CAR210609</v>
      </c>
      <c r="I182" s="513">
        <v>-432000</v>
      </c>
      <c r="J182" s="513">
        <v>-300</v>
      </c>
      <c r="K182" s="513">
        <v>1440</v>
      </c>
      <c r="L182" s="518" t="s">
        <v>3517</v>
      </c>
      <c r="M182" s="152" t="s">
        <v>1566</v>
      </c>
      <c r="N182" s="152" t="s">
        <v>1407</v>
      </c>
      <c r="O182" s="152" t="s">
        <v>4493</v>
      </c>
      <c r="P182" s="152" t="s">
        <v>1881</v>
      </c>
      <c r="Q182" s="152" t="s">
        <v>4494</v>
      </c>
      <c r="R182" s="152" t="s">
        <v>4485</v>
      </c>
      <c r="S182" s="152" t="s">
        <v>4495</v>
      </c>
      <c r="T182" s="152" t="s">
        <v>786</v>
      </c>
    </row>
    <row r="183" spans="3:20">
      <c r="C183" s="152" t="s">
        <v>2821</v>
      </c>
      <c r="D183" s="474" t="s">
        <v>676</v>
      </c>
      <c r="E183" s="684" t="str">
        <f>+VLOOKUP(F183,Resumen_Base!$C$8:$G$156,5,0)</f>
        <v>Tips</v>
      </c>
      <c r="F183" s="152" t="s">
        <v>366</v>
      </c>
      <c r="G183" s="152" t="s">
        <v>367</v>
      </c>
      <c r="H183" s="152" t="str">
        <f t="shared" si="2"/>
        <v>CAR210609</v>
      </c>
      <c r="I183" s="513">
        <v>-432000</v>
      </c>
      <c r="J183" s="513">
        <v>-300</v>
      </c>
      <c r="K183" s="513">
        <v>1440</v>
      </c>
      <c r="L183" s="518" t="s">
        <v>3517</v>
      </c>
      <c r="M183" s="152" t="s">
        <v>1566</v>
      </c>
      <c r="N183" s="152" t="s">
        <v>1407</v>
      </c>
      <c r="O183" s="152" t="s">
        <v>4493</v>
      </c>
      <c r="P183" s="152" t="s">
        <v>1881</v>
      </c>
      <c r="Q183" s="152" t="s">
        <v>4494</v>
      </c>
      <c r="R183" s="152" t="s">
        <v>4485</v>
      </c>
      <c r="S183" s="152" t="s">
        <v>4495</v>
      </c>
      <c r="T183" s="152" t="s">
        <v>786</v>
      </c>
    </row>
    <row r="184" spans="3:20">
      <c r="C184" s="152" t="s">
        <v>2821</v>
      </c>
      <c r="D184" s="474" t="s">
        <v>676</v>
      </c>
      <c r="E184" s="684" t="str">
        <f>+VLOOKUP(F184,Resumen_Base!$C$8:$G$156,5,0)</f>
        <v>Tips</v>
      </c>
      <c r="F184" s="152" t="s">
        <v>366</v>
      </c>
      <c r="G184" s="152" t="s">
        <v>367</v>
      </c>
      <c r="H184" s="152" t="str">
        <f t="shared" si="2"/>
        <v>CAR210609</v>
      </c>
      <c r="I184" s="513">
        <v>-421500</v>
      </c>
      <c r="J184" s="513">
        <v>-300</v>
      </c>
      <c r="K184" s="513">
        <v>1405</v>
      </c>
      <c r="L184" s="518" t="s">
        <v>3493</v>
      </c>
      <c r="M184" s="152" t="s">
        <v>1566</v>
      </c>
      <c r="N184" s="152" t="s">
        <v>1407</v>
      </c>
      <c r="O184" s="152" t="s">
        <v>4496</v>
      </c>
      <c r="P184" s="152" t="s">
        <v>4279</v>
      </c>
      <c r="Q184" s="152" t="s">
        <v>4497</v>
      </c>
      <c r="R184" s="152" t="s">
        <v>4498</v>
      </c>
      <c r="S184" s="152" t="s">
        <v>4499</v>
      </c>
      <c r="T184" s="152" t="s">
        <v>786</v>
      </c>
    </row>
    <row r="185" spans="3:20">
      <c r="C185" s="152" t="s">
        <v>2821</v>
      </c>
      <c r="D185" s="474" t="s">
        <v>676</v>
      </c>
      <c r="E185" s="684" t="str">
        <f>+VLOOKUP(F185,Resumen_Base!$C$8:$G$156,5,0)</f>
        <v>Tips</v>
      </c>
      <c r="F185" s="152" t="s">
        <v>366</v>
      </c>
      <c r="G185" s="152" t="s">
        <v>367</v>
      </c>
      <c r="H185" s="152" t="str">
        <f t="shared" si="2"/>
        <v>CAR210609</v>
      </c>
      <c r="I185" s="513">
        <v>-421500</v>
      </c>
      <c r="J185" s="513">
        <v>-300</v>
      </c>
      <c r="K185" s="513">
        <v>1405</v>
      </c>
      <c r="L185" s="518" t="s">
        <v>3493</v>
      </c>
      <c r="M185" s="152" t="s">
        <v>1566</v>
      </c>
      <c r="N185" s="152" t="s">
        <v>1407</v>
      </c>
      <c r="O185" s="152" t="s">
        <v>4496</v>
      </c>
      <c r="P185" s="152" t="s">
        <v>4279</v>
      </c>
      <c r="Q185" s="152" t="s">
        <v>4497</v>
      </c>
      <c r="R185" s="152" t="s">
        <v>4498</v>
      </c>
      <c r="S185" s="152" t="s">
        <v>4499</v>
      </c>
      <c r="T185" s="152" t="s">
        <v>786</v>
      </c>
    </row>
    <row r="186" spans="3:20">
      <c r="C186" s="152" t="s">
        <v>2821</v>
      </c>
      <c r="D186" s="474" t="s">
        <v>676</v>
      </c>
      <c r="E186" s="684" t="str">
        <f>+VLOOKUP(F186,Resumen_Base!$C$8:$G$156,5,0)</f>
        <v>Tips</v>
      </c>
      <c r="F186" s="152" t="s">
        <v>366</v>
      </c>
      <c r="G186" s="152" t="s">
        <v>367</v>
      </c>
      <c r="H186" s="152" t="str">
        <f t="shared" si="2"/>
        <v>CAR210609</v>
      </c>
      <c r="I186" s="513">
        <v>-421500</v>
      </c>
      <c r="J186" s="513">
        <v>-300</v>
      </c>
      <c r="K186" s="513">
        <v>1405</v>
      </c>
      <c r="L186" s="518" t="s">
        <v>3493</v>
      </c>
      <c r="M186" s="152" t="s">
        <v>1566</v>
      </c>
      <c r="N186" s="152" t="s">
        <v>1407</v>
      </c>
      <c r="O186" s="152" t="s">
        <v>4500</v>
      </c>
      <c r="P186" s="152" t="s">
        <v>4279</v>
      </c>
      <c r="Q186" s="152" t="s">
        <v>4501</v>
      </c>
      <c r="R186" s="152" t="s">
        <v>4498</v>
      </c>
      <c r="S186" s="152" t="s">
        <v>4502</v>
      </c>
      <c r="T186" s="152" t="s">
        <v>786</v>
      </c>
    </row>
    <row r="187" spans="3:20">
      <c r="C187" s="152" t="s">
        <v>2821</v>
      </c>
      <c r="D187" s="474" t="s">
        <v>676</v>
      </c>
      <c r="E187" s="684" t="str">
        <f>+VLOOKUP(F187,Resumen_Base!$C$8:$G$156,5,0)</f>
        <v>Tips</v>
      </c>
      <c r="F187" s="152" t="s">
        <v>366</v>
      </c>
      <c r="G187" s="152" t="s">
        <v>367</v>
      </c>
      <c r="H187" s="152" t="str">
        <f t="shared" si="2"/>
        <v>CAR210609</v>
      </c>
      <c r="I187" s="513">
        <v>-421500</v>
      </c>
      <c r="J187" s="513">
        <v>-300</v>
      </c>
      <c r="K187" s="513">
        <v>1405</v>
      </c>
      <c r="L187" s="518" t="s">
        <v>3493</v>
      </c>
      <c r="M187" s="152" t="s">
        <v>1566</v>
      </c>
      <c r="N187" s="152" t="s">
        <v>1407</v>
      </c>
      <c r="O187" s="152" t="s">
        <v>4500</v>
      </c>
      <c r="P187" s="152" t="s">
        <v>4279</v>
      </c>
      <c r="Q187" s="152" t="s">
        <v>4501</v>
      </c>
      <c r="R187" s="152" t="s">
        <v>4498</v>
      </c>
      <c r="S187" s="152" t="s">
        <v>4502</v>
      </c>
      <c r="T187" s="152" t="s">
        <v>786</v>
      </c>
    </row>
    <row r="188" spans="3:20">
      <c r="C188" s="152" t="s">
        <v>2821</v>
      </c>
      <c r="D188" s="474" t="s">
        <v>676</v>
      </c>
      <c r="E188" s="684" t="str">
        <f>+VLOOKUP(F188,Resumen_Base!$C$8:$G$156,5,0)</f>
        <v>Tips</v>
      </c>
      <c r="F188" s="152" t="s">
        <v>366</v>
      </c>
      <c r="G188" s="152" t="s">
        <v>367</v>
      </c>
      <c r="H188" s="152" t="str">
        <f t="shared" si="2"/>
        <v>CAR210609</v>
      </c>
      <c r="I188" s="513">
        <v>-365300</v>
      </c>
      <c r="J188" s="513">
        <v>-260</v>
      </c>
      <c r="K188" s="513">
        <v>1405</v>
      </c>
      <c r="L188" s="518" t="s">
        <v>3493</v>
      </c>
      <c r="M188" s="152" t="s">
        <v>1566</v>
      </c>
      <c r="N188" s="152" t="s">
        <v>1407</v>
      </c>
      <c r="O188" s="152" t="s">
        <v>4503</v>
      </c>
      <c r="P188" s="152" t="s">
        <v>4279</v>
      </c>
      <c r="Q188" s="152" t="s">
        <v>4504</v>
      </c>
      <c r="R188" s="152" t="s">
        <v>4498</v>
      </c>
      <c r="S188" s="152" t="s">
        <v>4505</v>
      </c>
      <c r="T188" s="152" t="s">
        <v>786</v>
      </c>
    </row>
    <row r="189" spans="3:20">
      <c r="C189" s="152" t="s">
        <v>2821</v>
      </c>
      <c r="D189" s="474" t="s">
        <v>676</v>
      </c>
      <c r="E189" s="684" t="str">
        <f>+VLOOKUP(F189,Resumen_Base!$C$8:$G$156,5,0)</f>
        <v>Tips</v>
      </c>
      <c r="F189" s="152" t="s">
        <v>366</v>
      </c>
      <c r="G189" s="152" t="s">
        <v>367</v>
      </c>
      <c r="H189" s="152" t="str">
        <f t="shared" si="2"/>
        <v>CAR210609</v>
      </c>
      <c r="I189" s="513">
        <v>-477700</v>
      </c>
      <c r="J189" s="513">
        <v>-340</v>
      </c>
      <c r="K189" s="513">
        <v>1405</v>
      </c>
      <c r="L189" s="518" t="s">
        <v>3493</v>
      </c>
      <c r="M189" s="152" t="s">
        <v>1566</v>
      </c>
      <c r="N189" s="152" t="s">
        <v>1407</v>
      </c>
      <c r="O189" s="152" t="s">
        <v>4503</v>
      </c>
      <c r="P189" s="152" t="s">
        <v>4279</v>
      </c>
      <c r="Q189" s="152" t="s">
        <v>4504</v>
      </c>
      <c r="R189" s="152" t="s">
        <v>4498</v>
      </c>
      <c r="S189" s="152" t="s">
        <v>4505</v>
      </c>
      <c r="T189" s="152" t="s">
        <v>786</v>
      </c>
    </row>
    <row r="190" spans="3:20">
      <c r="C190" s="152" t="s">
        <v>2821</v>
      </c>
      <c r="D190" s="474" t="s">
        <v>676</v>
      </c>
      <c r="E190" s="684" t="str">
        <f>+VLOOKUP(F190,Resumen_Base!$C$8:$G$156,5,0)</f>
        <v>Tips</v>
      </c>
      <c r="F190" s="152" t="s">
        <v>366</v>
      </c>
      <c r="G190" s="152" t="s">
        <v>367</v>
      </c>
      <c r="H190" s="152" t="str">
        <f t="shared" si="2"/>
        <v>CAR210609</v>
      </c>
      <c r="I190" s="513">
        <v>-562000</v>
      </c>
      <c r="J190" s="513">
        <v>-400</v>
      </c>
      <c r="K190" s="513">
        <v>1405</v>
      </c>
      <c r="L190" s="518" t="s">
        <v>3493</v>
      </c>
      <c r="M190" s="152" t="s">
        <v>1566</v>
      </c>
      <c r="N190" s="152" t="s">
        <v>1407</v>
      </c>
      <c r="O190" s="152" t="s">
        <v>4506</v>
      </c>
      <c r="P190" s="152" t="s">
        <v>4279</v>
      </c>
      <c r="Q190" s="152" t="s">
        <v>4507</v>
      </c>
      <c r="R190" s="152" t="s">
        <v>4498</v>
      </c>
      <c r="S190" s="152" t="s">
        <v>4508</v>
      </c>
      <c r="T190" s="152" t="s">
        <v>786</v>
      </c>
    </row>
    <row r="191" spans="3:20">
      <c r="C191" s="152" t="s">
        <v>2821</v>
      </c>
      <c r="D191" s="474" t="s">
        <v>676</v>
      </c>
      <c r="E191" s="684" t="str">
        <f>+VLOOKUP(F191,Resumen_Base!$C$8:$G$156,5,0)</f>
        <v>Tips</v>
      </c>
      <c r="F191" s="152" t="s">
        <v>366</v>
      </c>
      <c r="G191" s="152" t="s">
        <v>367</v>
      </c>
      <c r="H191" s="152" t="str">
        <f t="shared" si="2"/>
        <v>CAR210609</v>
      </c>
      <c r="I191" s="513">
        <v>-786800</v>
      </c>
      <c r="J191" s="513">
        <v>-560</v>
      </c>
      <c r="K191" s="513">
        <v>1405</v>
      </c>
      <c r="L191" s="518" t="s">
        <v>3493</v>
      </c>
      <c r="M191" s="152" t="s">
        <v>1566</v>
      </c>
      <c r="N191" s="152" t="s">
        <v>1407</v>
      </c>
      <c r="O191" s="152" t="s">
        <v>4506</v>
      </c>
      <c r="P191" s="152" t="s">
        <v>4279</v>
      </c>
      <c r="Q191" s="152" t="s">
        <v>4507</v>
      </c>
      <c r="R191" s="152" t="s">
        <v>4498</v>
      </c>
      <c r="S191" s="152" t="s">
        <v>4508</v>
      </c>
      <c r="T191" s="152" t="s">
        <v>786</v>
      </c>
    </row>
    <row r="192" spans="3:20">
      <c r="C192" s="152" t="s">
        <v>2821</v>
      </c>
      <c r="D192" s="474" t="s">
        <v>676</v>
      </c>
      <c r="E192" s="684" t="str">
        <f>+VLOOKUP(F192,Resumen_Base!$C$8:$G$156,5,0)</f>
        <v>Tips</v>
      </c>
      <c r="F192" s="152" t="s">
        <v>366</v>
      </c>
      <c r="G192" s="152" t="s">
        <v>367</v>
      </c>
      <c r="H192" s="152" t="str">
        <f t="shared" si="2"/>
        <v>CAR210609</v>
      </c>
      <c r="I192" s="513">
        <v>-1456000</v>
      </c>
      <c r="J192" s="513">
        <v>-1040</v>
      </c>
      <c r="K192" s="513">
        <v>1400</v>
      </c>
      <c r="L192" s="518" t="s">
        <v>3659</v>
      </c>
      <c r="M192" s="152" t="s">
        <v>1566</v>
      </c>
      <c r="N192" s="152" t="s">
        <v>1407</v>
      </c>
      <c r="O192" s="152" t="s">
        <v>4509</v>
      </c>
      <c r="P192" s="152" t="s">
        <v>4279</v>
      </c>
      <c r="Q192" s="152" t="s">
        <v>4510</v>
      </c>
      <c r="R192" s="152" t="s">
        <v>4511</v>
      </c>
      <c r="S192" s="152" t="s">
        <v>4512</v>
      </c>
      <c r="T192" s="152" t="s">
        <v>786</v>
      </c>
    </row>
    <row r="193" spans="3:20">
      <c r="C193" s="152" t="s">
        <v>2821</v>
      </c>
      <c r="D193" s="474" t="s">
        <v>676</v>
      </c>
      <c r="E193" s="684" t="str">
        <f>+VLOOKUP(F193,Resumen_Base!$C$8:$G$156,5,0)</f>
        <v>Tips</v>
      </c>
      <c r="F193" s="152" t="s">
        <v>366</v>
      </c>
      <c r="G193" s="152" t="s">
        <v>367</v>
      </c>
      <c r="H193" s="152" t="str">
        <f t="shared" si="2"/>
        <v>CAR210609</v>
      </c>
      <c r="I193" s="513">
        <v>-1344000</v>
      </c>
      <c r="J193" s="513">
        <v>-960</v>
      </c>
      <c r="K193" s="513">
        <v>1400</v>
      </c>
      <c r="L193" s="518" t="s">
        <v>3659</v>
      </c>
      <c r="M193" s="152" t="s">
        <v>1566</v>
      </c>
      <c r="N193" s="152" t="s">
        <v>1407</v>
      </c>
      <c r="O193" s="152" t="s">
        <v>4509</v>
      </c>
      <c r="P193" s="152" t="s">
        <v>4279</v>
      </c>
      <c r="Q193" s="152" t="s">
        <v>4510</v>
      </c>
      <c r="R193" s="152" t="s">
        <v>4511</v>
      </c>
      <c r="S193" s="152" t="s">
        <v>4512</v>
      </c>
      <c r="T193" s="152" t="s">
        <v>786</v>
      </c>
    </row>
    <row r="194" spans="3:20">
      <c r="C194" s="152" t="s">
        <v>2821</v>
      </c>
      <c r="D194" s="474" t="s">
        <v>676</v>
      </c>
      <c r="E194" s="684" t="str">
        <f>+VLOOKUP(F194,Resumen_Base!$C$8:$G$156,5,0)</f>
        <v>Tips</v>
      </c>
      <c r="F194" s="152" t="s">
        <v>366</v>
      </c>
      <c r="G194" s="152" t="s">
        <v>367</v>
      </c>
      <c r="H194" s="152" t="str">
        <f t="shared" si="2"/>
        <v>CAR210609</v>
      </c>
      <c r="I194" s="513">
        <v>-2310000</v>
      </c>
      <c r="J194" s="513">
        <v>-1650</v>
      </c>
      <c r="K194" s="513">
        <v>1400</v>
      </c>
      <c r="L194" s="518" t="s">
        <v>3659</v>
      </c>
      <c r="M194" s="152" t="s">
        <v>1566</v>
      </c>
      <c r="N194" s="152" t="s">
        <v>1407</v>
      </c>
      <c r="O194" s="152" t="s">
        <v>4513</v>
      </c>
      <c r="P194" s="152" t="s">
        <v>4279</v>
      </c>
      <c r="Q194" s="152" t="s">
        <v>4514</v>
      </c>
      <c r="R194" s="152" t="s">
        <v>4511</v>
      </c>
      <c r="S194" s="152" t="s">
        <v>4515</v>
      </c>
      <c r="T194" s="152" t="s">
        <v>786</v>
      </c>
    </row>
    <row r="195" spans="3:20">
      <c r="C195" s="152" t="s">
        <v>2821</v>
      </c>
      <c r="D195" s="474" t="s">
        <v>676</v>
      </c>
      <c r="E195" s="684" t="str">
        <f>+VLOOKUP(F195,Resumen_Base!$C$8:$G$156,5,0)</f>
        <v>Tips</v>
      </c>
      <c r="F195" s="152" t="s">
        <v>366</v>
      </c>
      <c r="G195" s="152" t="s">
        <v>367</v>
      </c>
      <c r="H195" s="152" t="str">
        <f t="shared" si="2"/>
        <v>CAR210609</v>
      </c>
      <c r="I195" s="513">
        <v>-1036000</v>
      </c>
      <c r="J195" s="513">
        <v>-740</v>
      </c>
      <c r="K195" s="513">
        <v>1400</v>
      </c>
      <c r="L195" s="518" t="s">
        <v>3659</v>
      </c>
      <c r="M195" s="152" t="s">
        <v>1566</v>
      </c>
      <c r="N195" s="152" t="s">
        <v>1407</v>
      </c>
      <c r="O195" s="152" t="s">
        <v>4513</v>
      </c>
      <c r="P195" s="152" t="s">
        <v>4279</v>
      </c>
      <c r="Q195" s="152" t="s">
        <v>4514</v>
      </c>
      <c r="R195" s="152" t="s">
        <v>4511</v>
      </c>
      <c r="S195" s="152" t="s">
        <v>4515</v>
      </c>
      <c r="T195" s="152" t="s">
        <v>786</v>
      </c>
    </row>
    <row r="196" spans="3:20">
      <c r="C196" s="152" t="s">
        <v>2821</v>
      </c>
      <c r="D196" s="474" t="s">
        <v>676</v>
      </c>
      <c r="E196" s="684" t="str">
        <f>+VLOOKUP(F196,Resumen_Base!$C$8:$G$156,5,0)</f>
        <v>Tips</v>
      </c>
      <c r="F196" s="152" t="s">
        <v>366</v>
      </c>
      <c r="G196" s="152" t="s">
        <v>367</v>
      </c>
      <c r="H196" s="152" t="str">
        <f t="shared" si="2"/>
        <v>CAR210609</v>
      </c>
      <c r="I196" s="513">
        <v>-1344250</v>
      </c>
      <c r="J196" s="513">
        <v>-950</v>
      </c>
      <c r="K196" s="513">
        <v>1415</v>
      </c>
      <c r="L196" s="518" t="s">
        <v>3632</v>
      </c>
      <c r="M196" s="152" t="s">
        <v>1566</v>
      </c>
      <c r="N196" s="152" t="s">
        <v>1407</v>
      </c>
      <c r="O196" s="152" t="s">
        <v>4516</v>
      </c>
      <c r="P196" s="152" t="s">
        <v>4279</v>
      </c>
      <c r="Q196" s="152" t="s">
        <v>4517</v>
      </c>
      <c r="R196" s="152" t="s">
        <v>4518</v>
      </c>
      <c r="S196" s="152" t="s">
        <v>4519</v>
      </c>
      <c r="T196" s="152" t="s">
        <v>786</v>
      </c>
    </row>
    <row r="197" spans="3:20">
      <c r="C197" s="152" t="s">
        <v>2821</v>
      </c>
      <c r="D197" s="474" t="s">
        <v>676</v>
      </c>
      <c r="E197" s="684" t="str">
        <f>+VLOOKUP(F197,Resumen_Base!$C$8:$G$156,5,0)</f>
        <v>Tips</v>
      </c>
      <c r="F197" s="152" t="s">
        <v>366</v>
      </c>
      <c r="G197" s="152" t="s">
        <v>367</v>
      </c>
      <c r="H197" s="152" t="str">
        <f t="shared" si="2"/>
        <v>CAR210609</v>
      </c>
      <c r="I197" s="513">
        <v>-543360</v>
      </c>
      <c r="J197" s="513">
        <v>-384</v>
      </c>
      <c r="K197" s="513">
        <v>1415</v>
      </c>
      <c r="L197" s="518" t="s">
        <v>3632</v>
      </c>
      <c r="M197" s="152" t="s">
        <v>1566</v>
      </c>
      <c r="N197" s="152" t="s">
        <v>1407</v>
      </c>
      <c r="O197" s="152" t="s">
        <v>4516</v>
      </c>
      <c r="P197" s="152" t="s">
        <v>4279</v>
      </c>
      <c r="Q197" s="152" t="s">
        <v>4517</v>
      </c>
      <c r="R197" s="152" t="s">
        <v>4518</v>
      </c>
      <c r="S197" s="152" t="s">
        <v>4519</v>
      </c>
      <c r="T197" s="152" t="s">
        <v>786</v>
      </c>
    </row>
    <row r="198" spans="3:20">
      <c r="C198" s="152" t="s">
        <v>2821</v>
      </c>
      <c r="D198" s="474" t="s">
        <v>676</v>
      </c>
      <c r="E198" s="684" t="str">
        <f>+VLOOKUP(F198,Resumen_Base!$C$8:$G$156,5,0)</f>
        <v>Tips</v>
      </c>
      <c r="F198" s="152" t="s">
        <v>366</v>
      </c>
      <c r="G198" s="152" t="s">
        <v>367</v>
      </c>
      <c r="H198" s="152" t="str">
        <f t="shared" si="2"/>
        <v>CAR210609</v>
      </c>
      <c r="I198" s="513">
        <v>-541945</v>
      </c>
      <c r="J198" s="513">
        <v>-383</v>
      </c>
      <c r="K198" s="513">
        <v>1415</v>
      </c>
      <c r="L198" s="518" t="s">
        <v>3632</v>
      </c>
      <c r="M198" s="152" t="s">
        <v>1566</v>
      </c>
      <c r="N198" s="152" t="s">
        <v>1407</v>
      </c>
      <c r="O198" s="152" t="s">
        <v>4520</v>
      </c>
      <c r="P198" s="152" t="s">
        <v>4279</v>
      </c>
      <c r="Q198" s="152" t="s">
        <v>4521</v>
      </c>
      <c r="R198" s="152" t="s">
        <v>4518</v>
      </c>
      <c r="S198" s="152" t="s">
        <v>4522</v>
      </c>
      <c r="T198" s="152" t="s">
        <v>786</v>
      </c>
    </row>
    <row r="199" spans="3:20">
      <c r="C199" s="152" t="s">
        <v>2821</v>
      </c>
      <c r="D199" s="474" t="s">
        <v>676</v>
      </c>
      <c r="E199" s="684" t="str">
        <f>+VLOOKUP(F199,Resumen_Base!$C$8:$G$156,5,0)</f>
        <v>Tips</v>
      </c>
      <c r="F199" s="152" t="s">
        <v>366</v>
      </c>
      <c r="G199" s="152" t="s">
        <v>367</v>
      </c>
      <c r="H199" s="152" t="str">
        <f t="shared" si="2"/>
        <v>CAR210609</v>
      </c>
      <c r="I199" s="513">
        <v>-1344250</v>
      </c>
      <c r="J199" s="513">
        <v>-950</v>
      </c>
      <c r="K199" s="513">
        <v>1415</v>
      </c>
      <c r="L199" s="518" t="s">
        <v>3632</v>
      </c>
      <c r="M199" s="152" t="s">
        <v>1566</v>
      </c>
      <c r="N199" s="152" t="s">
        <v>1407</v>
      </c>
      <c r="O199" s="152" t="s">
        <v>4520</v>
      </c>
      <c r="P199" s="152" t="s">
        <v>4279</v>
      </c>
      <c r="Q199" s="152" t="s">
        <v>4521</v>
      </c>
      <c r="R199" s="152" t="s">
        <v>4518</v>
      </c>
      <c r="S199" s="152" t="s">
        <v>4522</v>
      </c>
      <c r="T199" s="152" t="s">
        <v>786</v>
      </c>
    </row>
    <row r="200" spans="3:20">
      <c r="C200" s="152" t="s">
        <v>2821</v>
      </c>
      <c r="D200" s="474" t="s">
        <v>676</v>
      </c>
      <c r="E200" s="684" t="str">
        <f>+VLOOKUP(F200,Resumen_Base!$C$8:$G$156,5,0)</f>
        <v>Tips</v>
      </c>
      <c r="F200" s="152" t="s">
        <v>366</v>
      </c>
      <c r="G200" s="152" t="s">
        <v>367</v>
      </c>
      <c r="H200" s="152" t="str">
        <f t="shared" si="2"/>
        <v>CAR210609</v>
      </c>
      <c r="I200" s="513">
        <v>-1344250</v>
      </c>
      <c r="J200" s="513">
        <v>-950</v>
      </c>
      <c r="K200" s="513">
        <v>1415</v>
      </c>
      <c r="L200" s="518" t="s">
        <v>3632</v>
      </c>
      <c r="M200" s="152" t="s">
        <v>1566</v>
      </c>
      <c r="N200" s="152" t="s">
        <v>1407</v>
      </c>
      <c r="O200" s="152" t="s">
        <v>4523</v>
      </c>
      <c r="P200" s="152" t="s">
        <v>4279</v>
      </c>
      <c r="Q200" s="152" t="s">
        <v>4524</v>
      </c>
      <c r="R200" s="152" t="s">
        <v>4518</v>
      </c>
      <c r="S200" s="152" t="s">
        <v>4525</v>
      </c>
      <c r="T200" s="152" t="s">
        <v>786</v>
      </c>
    </row>
    <row r="201" spans="3:20">
      <c r="C201" s="152" t="s">
        <v>2821</v>
      </c>
      <c r="D201" s="474" t="s">
        <v>676</v>
      </c>
      <c r="E201" s="684" t="str">
        <f>+VLOOKUP(F201,Resumen_Base!$C$8:$G$156,5,0)</f>
        <v>Tips</v>
      </c>
      <c r="F201" s="152" t="s">
        <v>366</v>
      </c>
      <c r="G201" s="152" t="s">
        <v>367</v>
      </c>
      <c r="H201" s="152" t="str">
        <f t="shared" si="2"/>
        <v>CAR210609</v>
      </c>
      <c r="I201" s="513">
        <v>-541945</v>
      </c>
      <c r="J201" s="513">
        <v>-383</v>
      </c>
      <c r="K201" s="513">
        <v>1415</v>
      </c>
      <c r="L201" s="518" t="s">
        <v>3632</v>
      </c>
      <c r="M201" s="152" t="s">
        <v>1566</v>
      </c>
      <c r="N201" s="152" t="s">
        <v>1407</v>
      </c>
      <c r="O201" s="152" t="s">
        <v>4523</v>
      </c>
      <c r="P201" s="152" t="s">
        <v>4279</v>
      </c>
      <c r="Q201" s="152" t="s">
        <v>4524</v>
      </c>
      <c r="R201" s="152" t="s">
        <v>4518</v>
      </c>
      <c r="S201" s="152" t="s">
        <v>4525</v>
      </c>
      <c r="T201" s="152" t="s">
        <v>786</v>
      </c>
    </row>
    <row r="202" spans="3:20">
      <c r="C202" s="152" t="s">
        <v>2821</v>
      </c>
      <c r="D202" s="474" t="s">
        <v>676</v>
      </c>
      <c r="E202" s="684" t="str">
        <f>+VLOOKUP(F202,Resumen_Base!$C$8:$G$156,5,0)</f>
        <v>Tips</v>
      </c>
      <c r="F202" s="152" t="s">
        <v>366</v>
      </c>
      <c r="G202" s="152" t="s">
        <v>367</v>
      </c>
      <c r="H202" s="152" t="str">
        <f t="shared" si="2"/>
        <v>CAR210609</v>
      </c>
      <c r="I202" s="513">
        <v>-849000</v>
      </c>
      <c r="J202" s="513">
        <v>-600</v>
      </c>
      <c r="K202" s="513">
        <v>1415</v>
      </c>
      <c r="L202" s="518" t="s">
        <v>3632</v>
      </c>
      <c r="M202" s="152" t="s">
        <v>1566</v>
      </c>
      <c r="N202" s="152" t="s">
        <v>1407</v>
      </c>
      <c r="O202" s="152" t="s">
        <v>4526</v>
      </c>
      <c r="P202" s="152" t="s">
        <v>4279</v>
      </c>
      <c r="Q202" s="152" t="s">
        <v>4527</v>
      </c>
      <c r="R202" s="152" t="s">
        <v>4518</v>
      </c>
      <c r="S202" s="152" t="s">
        <v>4528</v>
      </c>
      <c r="T202" s="152" t="s">
        <v>786</v>
      </c>
    </row>
    <row r="203" spans="3:20">
      <c r="C203" s="152" t="s">
        <v>2821</v>
      </c>
      <c r="D203" s="474" t="s">
        <v>676</v>
      </c>
      <c r="E203" s="684" t="str">
        <f>+VLOOKUP(F203,Resumen_Base!$C$8:$G$156,5,0)</f>
        <v>Tips</v>
      </c>
      <c r="F203" s="152" t="s">
        <v>366</v>
      </c>
      <c r="G203" s="152" t="s">
        <v>367</v>
      </c>
      <c r="H203" s="152" t="str">
        <f t="shared" si="2"/>
        <v>CAR210609</v>
      </c>
      <c r="I203" s="513">
        <v>-353750</v>
      </c>
      <c r="J203" s="513">
        <v>-250</v>
      </c>
      <c r="K203" s="513">
        <v>1415</v>
      </c>
      <c r="L203" s="518" t="s">
        <v>3632</v>
      </c>
      <c r="M203" s="152" t="s">
        <v>1566</v>
      </c>
      <c r="N203" s="152" t="s">
        <v>1407</v>
      </c>
      <c r="O203" s="152" t="s">
        <v>4526</v>
      </c>
      <c r="P203" s="152" t="s">
        <v>4279</v>
      </c>
      <c r="Q203" s="152" t="s">
        <v>4527</v>
      </c>
      <c r="R203" s="152" t="s">
        <v>4518</v>
      </c>
      <c r="S203" s="152" t="s">
        <v>4528</v>
      </c>
      <c r="T203" s="152" t="s">
        <v>786</v>
      </c>
    </row>
    <row r="204" spans="3:20">
      <c r="C204" s="152" t="s">
        <v>2821</v>
      </c>
      <c r="D204" s="474" t="s">
        <v>676</v>
      </c>
      <c r="E204" s="684" t="str">
        <f>+VLOOKUP(F204,Resumen_Base!$C$8:$G$156,5,0)</f>
        <v>Tips</v>
      </c>
      <c r="F204" s="152" t="s">
        <v>366</v>
      </c>
      <c r="G204" s="152" t="s">
        <v>367</v>
      </c>
      <c r="H204" s="152" t="str">
        <f t="shared" si="2"/>
        <v>CAR210609</v>
      </c>
      <c r="I204" s="513">
        <v>-669750</v>
      </c>
      <c r="J204" s="513">
        <v>-475</v>
      </c>
      <c r="K204" s="513">
        <v>1410</v>
      </c>
      <c r="L204" s="518" t="s">
        <v>3498</v>
      </c>
      <c r="M204" s="152" t="s">
        <v>1566</v>
      </c>
      <c r="N204" s="152" t="s">
        <v>1407</v>
      </c>
      <c r="O204" s="152" t="s">
        <v>4529</v>
      </c>
      <c r="P204" s="152" t="s">
        <v>4279</v>
      </c>
      <c r="Q204" s="152" t="s">
        <v>4530</v>
      </c>
      <c r="R204" s="152" t="s">
        <v>4531</v>
      </c>
      <c r="S204" s="152" t="s">
        <v>4532</v>
      </c>
      <c r="T204" s="152" t="s">
        <v>786</v>
      </c>
    </row>
    <row r="205" spans="3:20">
      <c r="C205" s="152" t="s">
        <v>2821</v>
      </c>
      <c r="D205" s="474" t="s">
        <v>676</v>
      </c>
      <c r="E205" s="684" t="str">
        <f>+VLOOKUP(F205,Resumen_Base!$C$8:$G$156,5,0)</f>
        <v>Tips</v>
      </c>
      <c r="F205" s="152" t="s">
        <v>366</v>
      </c>
      <c r="G205" s="152" t="s">
        <v>367</v>
      </c>
      <c r="H205" s="152" t="str">
        <f t="shared" ref="H205:H268" si="3">+D205&amp;F205</f>
        <v>CAR210609</v>
      </c>
      <c r="I205" s="513">
        <v>-387750</v>
      </c>
      <c r="J205" s="513">
        <v>-275</v>
      </c>
      <c r="K205" s="513">
        <v>1410</v>
      </c>
      <c r="L205" s="518" t="s">
        <v>3498</v>
      </c>
      <c r="M205" s="152" t="s">
        <v>1566</v>
      </c>
      <c r="N205" s="152" t="s">
        <v>1407</v>
      </c>
      <c r="O205" s="152" t="s">
        <v>4529</v>
      </c>
      <c r="P205" s="152" t="s">
        <v>4279</v>
      </c>
      <c r="Q205" s="152" t="s">
        <v>4530</v>
      </c>
      <c r="R205" s="152" t="s">
        <v>4531</v>
      </c>
      <c r="S205" s="152" t="s">
        <v>4532</v>
      </c>
      <c r="T205" s="152" t="s">
        <v>786</v>
      </c>
    </row>
    <row r="206" spans="3:20">
      <c r="C206" s="152" t="s">
        <v>2821</v>
      </c>
      <c r="D206" s="474" t="s">
        <v>676</v>
      </c>
      <c r="E206" s="684" t="str">
        <f>+VLOOKUP(F206,Resumen_Base!$C$8:$G$156,5,0)</f>
        <v>Tips</v>
      </c>
      <c r="F206" s="152" t="s">
        <v>366</v>
      </c>
      <c r="G206" s="152" t="s">
        <v>367</v>
      </c>
      <c r="H206" s="152" t="str">
        <f t="shared" si="3"/>
        <v>CAR210609</v>
      </c>
      <c r="I206" s="513">
        <v>-387750</v>
      </c>
      <c r="J206" s="513">
        <v>-275</v>
      </c>
      <c r="K206" s="513">
        <v>1410</v>
      </c>
      <c r="L206" s="518" t="s">
        <v>3498</v>
      </c>
      <c r="M206" s="152" t="s">
        <v>1566</v>
      </c>
      <c r="N206" s="152" t="s">
        <v>1407</v>
      </c>
      <c r="O206" s="152" t="s">
        <v>4533</v>
      </c>
      <c r="P206" s="152" t="s">
        <v>4279</v>
      </c>
      <c r="Q206" s="152" t="s">
        <v>4534</v>
      </c>
      <c r="R206" s="152" t="s">
        <v>4531</v>
      </c>
      <c r="S206" s="152" t="s">
        <v>4535</v>
      </c>
      <c r="T206" s="152" t="s">
        <v>786</v>
      </c>
    </row>
    <row r="207" spans="3:20">
      <c r="C207" s="152" t="s">
        <v>2821</v>
      </c>
      <c r="D207" s="474" t="s">
        <v>676</v>
      </c>
      <c r="E207" s="684" t="str">
        <f>+VLOOKUP(F207,Resumen_Base!$C$8:$G$156,5,0)</f>
        <v>Tips</v>
      </c>
      <c r="F207" s="152" t="s">
        <v>366</v>
      </c>
      <c r="G207" s="152" t="s">
        <v>367</v>
      </c>
      <c r="H207" s="152" t="str">
        <f t="shared" si="3"/>
        <v>CAR210609</v>
      </c>
      <c r="I207" s="513">
        <v>-669750</v>
      </c>
      <c r="J207" s="513">
        <v>-475</v>
      </c>
      <c r="K207" s="513">
        <v>1410</v>
      </c>
      <c r="L207" s="518" t="s">
        <v>3498</v>
      </c>
      <c r="M207" s="152" t="s">
        <v>1566</v>
      </c>
      <c r="N207" s="152" t="s">
        <v>1407</v>
      </c>
      <c r="O207" s="152" t="s">
        <v>4533</v>
      </c>
      <c r="P207" s="152" t="s">
        <v>4279</v>
      </c>
      <c r="Q207" s="152" t="s">
        <v>4534</v>
      </c>
      <c r="R207" s="152" t="s">
        <v>4531</v>
      </c>
      <c r="S207" s="152" t="s">
        <v>4535</v>
      </c>
      <c r="T207" s="152" t="s">
        <v>786</v>
      </c>
    </row>
    <row r="208" spans="3:20">
      <c r="C208" s="152" t="s">
        <v>2821</v>
      </c>
      <c r="D208" s="474" t="s">
        <v>676</v>
      </c>
      <c r="E208" s="684" t="str">
        <f>+VLOOKUP(F208,Resumen_Base!$C$8:$G$156,5,0)</f>
        <v>Tips</v>
      </c>
      <c r="F208" s="152" t="s">
        <v>366</v>
      </c>
      <c r="G208" s="152" t="s">
        <v>367</v>
      </c>
      <c r="H208" s="152" t="str">
        <f t="shared" si="3"/>
        <v>CAR210609</v>
      </c>
      <c r="I208" s="513">
        <v>-1008150</v>
      </c>
      <c r="J208" s="513">
        <v>-715</v>
      </c>
      <c r="K208" s="513">
        <v>1410</v>
      </c>
      <c r="L208" s="518" t="s">
        <v>3498</v>
      </c>
      <c r="M208" s="152" t="s">
        <v>1566</v>
      </c>
      <c r="N208" s="152" t="s">
        <v>1407</v>
      </c>
      <c r="O208" s="152" t="s">
        <v>4536</v>
      </c>
      <c r="P208" s="152" t="s">
        <v>4279</v>
      </c>
      <c r="Q208" s="152" t="s">
        <v>4537</v>
      </c>
      <c r="R208" s="152" t="s">
        <v>4531</v>
      </c>
      <c r="S208" s="152" t="s">
        <v>4538</v>
      </c>
      <c r="T208" s="152" t="s">
        <v>786</v>
      </c>
    </row>
    <row r="209" spans="3:20">
      <c r="C209" s="152" t="s">
        <v>2821</v>
      </c>
      <c r="D209" s="474" t="s">
        <v>676</v>
      </c>
      <c r="E209" s="684" t="str">
        <f>+VLOOKUP(F209,Resumen_Base!$C$8:$G$156,5,0)</f>
        <v>Tips</v>
      </c>
      <c r="F209" s="152" t="s">
        <v>366</v>
      </c>
      <c r="G209" s="152" t="s">
        <v>367</v>
      </c>
      <c r="H209" s="152" t="str">
        <f t="shared" si="3"/>
        <v>CAR210609</v>
      </c>
      <c r="I209" s="513">
        <v>-387750</v>
      </c>
      <c r="J209" s="513">
        <v>-275</v>
      </c>
      <c r="K209" s="513">
        <v>1410</v>
      </c>
      <c r="L209" s="518" t="s">
        <v>3498</v>
      </c>
      <c r="M209" s="152" t="s">
        <v>1566</v>
      </c>
      <c r="N209" s="152" t="s">
        <v>1407</v>
      </c>
      <c r="O209" s="152" t="s">
        <v>4536</v>
      </c>
      <c r="P209" s="152" t="s">
        <v>4279</v>
      </c>
      <c r="Q209" s="152" t="s">
        <v>4537</v>
      </c>
      <c r="R209" s="152" t="s">
        <v>4531</v>
      </c>
      <c r="S209" s="152" t="s">
        <v>4538</v>
      </c>
      <c r="T209" s="152" t="s">
        <v>786</v>
      </c>
    </row>
    <row r="210" spans="3:20">
      <c r="C210" s="152" t="s">
        <v>2821</v>
      </c>
      <c r="D210" s="474" t="s">
        <v>676</v>
      </c>
      <c r="E210" s="684" t="str">
        <f>+VLOOKUP(F210,Resumen_Base!$C$8:$G$156,5,0)</f>
        <v>Tips</v>
      </c>
      <c r="F210" s="152" t="s">
        <v>366</v>
      </c>
      <c r="G210" s="152" t="s">
        <v>367</v>
      </c>
      <c r="H210" s="152" t="str">
        <f t="shared" si="3"/>
        <v>CAR210609</v>
      </c>
      <c r="I210" s="513">
        <v>-564000</v>
      </c>
      <c r="J210" s="513">
        <v>-400</v>
      </c>
      <c r="K210" s="513">
        <v>1410</v>
      </c>
      <c r="L210" s="518" t="s">
        <v>3498</v>
      </c>
      <c r="M210" s="152" t="s">
        <v>1566</v>
      </c>
      <c r="N210" s="152" t="s">
        <v>1407</v>
      </c>
      <c r="O210" s="152" t="s">
        <v>4546</v>
      </c>
      <c r="P210" s="152" t="s">
        <v>4279</v>
      </c>
      <c r="Q210" s="152" t="s">
        <v>4547</v>
      </c>
      <c r="R210" s="152" t="s">
        <v>4548</v>
      </c>
      <c r="S210" s="152" t="s">
        <v>4549</v>
      </c>
      <c r="T210" s="152" t="s">
        <v>786</v>
      </c>
    </row>
    <row r="211" spans="3:20">
      <c r="C211" s="152" t="s">
        <v>2821</v>
      </c>
      <c r="D211" s="474" t="s">
        <v>676</v>
      </c>
      <c r="E211" s="684" t="str">
        <f>+VLOOKUP(F211,Resumen_Base!$C$8:$G$156,5,0)</f>
        <v>Tips</v>
      </c>
      <c r="F211" s="152" t="s">
        <v>366</v>
      </c>
      <c r="G211" s="152" t="s">
        <v>367</v>
      </c>
      <c r="H211" s="152" t="str">
        <f t="shared" si="3"/>
        <v>CAR210609</v>
      </c>
      <c r="I211" s="513">
        <v>-493500</v>
      </c>
      <c r="J211" s="513">
        <v>-350</v>
      </c>
      <c r="K211" s="513">
        <v>1410</v>
      </c>
      <c r="L211" s="518" t="s">
        <v>3498</v>
      </c>
      <c r="M211" s="152" t="s">
        <v>1566</v>
      </c>
      <c r="N211" s="152" t="s">
        <v>1407</v>
      </c>
      <c r="O211" s="152" t="s">
        <v>4546</v>
      </c>
      <c r="P211" s="152" t="s">
        <v>4279</v>
      </c>
      <c r="Q211" s="152" t="s">
        <v>4547</v>
      </c>
      <c r="R211" s="152" t="s">
        <v>4548</v>
      </c>
      <c r="S211" s="152" t="s">
        <v>4549</v>
      </c>
      <c r="T211" s="152" t="s">
        <v>786</v>
      </c>
    </row>
    <row r="212" spans="3:20">
      <c r="C212" s="152" t="s">
        <v>2821</v>
      </c>
      <c r="D212" s="474" t="s">
        <v>676</v>
      </c>
      <c r="E212" s="684" t="str">
        <f>+VLOOKUP(F212,Resumen_Base!$C$8:$G$156,5,0)</f>
        <v>Tips</v>
      </c>
      <c r="F212" s="152" t="s">
        <v>366</v>
      </c>
      <c r="G212" s="152" t="s">
        <v>367</v>
      </c>
      <c r="H212" s="152" t="str">
        <f t="shared" si="3"/>
        <v>CAR210609</v>
      </c>
      <c r="I212" s="513">
        <v>-493500</v>
      </c>
      <c r="J212" s="513">
        <v>-350</v>
      </c>
      <c r="K212" s="513">
        <v>1410</v>
      </c>
      <c r="L212" s="518" t="s">
        <v>3498</v>
      </c>
      <c r="M212" s="152" t="s">
        <v>1566</v>
      </c>
      <c r="N212" s="152" t="s">
        <v>1407</v>
      </c>
      <c r="O212" s="152" t="s">
        <v>4550</v>
      </c>
      <c r="P212" s="152" t="s">
        <v>4279</v>
      </c>
      <c r="Q212" s="152" t="s">
        <v>4551</v>
      </c>
      <c r="R212" s="152" t="s">
        <v>4548</v>
      </c>
      <c r="S212" s="152" t="s">
        <v>4552</v>
      </c>
      <c r="T212" s="152" t="s">
        <v>786</v>
      </c>
    </row>
    <row r="213" spans="3:20">
      <c r="C213" s="152" t="s">
        <v>2821</v>
      </c>
      <c r="D213" s="474" t="s">
        <v>676</v>
      </c>
      <c r="E213" s="684" t="str">
        <f>+VLOOKUP(F213,Resumen_Base!$C$8:$G$156,5,0)</f>
        <v>Tips</v>
      </c>
      <c r="F213" s="152" t="s">
        <v>366</v>
      </c>
      <c r="G213" s="152" t="s">
        <v>367</v>
      </c>
      <c r="H213" s="152" t="str">
        <f t="shared" si="3"/>
        <v>CAR210609</v>
      </c>
      <c r="I213" s="513">
        <v>-564000</v>
      </c>
      <c r="J213" s="513">
        <v>-400</v>
      </c>
      <c r="K213" s="513">
        <v>1410</v>
      </c>
      <c r="L213" s="518" t="s">
        <v>3498</v>
      </c>
      <c r="M213" s="152" t="s">
        <v>1566</v>
      </c>
      <c r="N213" s="152" t="s">
        <v>1407</v>
      </c>
      <c r="O213" s="152" t="s">
        <v>4550</v>
      </c>
      <c r="P213" s="152" t="s">
        <v>4279</v>
      </c>
      <c r="Q213" s="152" t="s">
        <v>4551</v>
      </c>
      <c r="R213" s="152" t="s">
        <v>4548</v>
      </c>
      <c r="S213" s="152" t="s">
        <v>4552</v>
      </c>
      <c r="T213" s="152" t="s">
        <v>786</v>
      </c>
    </row>
    <row r="214" spans="3:20">
      <c r="C214" s="152" t="s">
        <v>2821</v>
      </c>
      <c r="D214" s="474" t="s">
        <v>676</v>
      </c>
      <c r="E214" s="684" t="str">
        <f>+VLOOKUP(F214,Resumen_Base!$C$8:$G$156,5,0)</f>
        <v>Tips</v>
      </c>
      <c r="F214" s="152" t="s">
        <v>366</v>
      </c>
      <c r="G214" s="152" t="s">
        <v>367</v>
      </c>
      <c r="H214" s="152" t="str">
        <f t="shared" si="3"/>
        <v>CAR210609</v>
      </c>
      <c r="I214" s="513">
        <v>-564000</v>
      </c>
      <c r="J214" s="513">
        <v>-400</v>
      </c>
      <c r="K214" s="513">
        <v>1410</v>
      </c>
      <c r="L214" s="518" t="s">
        <v>3498</v>
      </c>
      <c r="M214" s="152" t="s">
        <v>1566</v>
      </c>
      <c r="N214" s="152" t="s">
        <v>1407</v>
      </c>
      <c r="O214" s="152" t="s">
        <v>4553</v>
      </c>
      <c r="P214" s="152" t="s">
        <v>4279</v>
      </c>
      <c r="Q214" s="152" t="s">
        <v>4554</v>
      </c>
      <c r="R214" s="152" t="s">
        <v>4548</v>
      </c>
      <c r="S214" s="152" t="s">
        <v>4555</v>
      </c>
      <c r="T214" s="152" t="s">
        <v>786</v>
      </c>
    </row>
    <row r="215" spans="3:20">
      <c r="C215" s="152" t="s">
        <v>2821</v>
      </c>
      <c r="D215" s="474" t="s">
        <v>676</v>
      </c>
      <c r="E215" s="684" t="str">
        <f>+VLOOKUP(F215,Resumen_Base!$C$8:$G$156,5,0)</f>
        <v>Tips</v>
      </c>
      <c r="F215" s="152" t="s">
        <v>366</v>
      </c>
      <c r="G215" s="152" t="s">
        <v>367</v>
      </c>
      <c r="H215" s="152" t="str">
        <f t="shared" si="3"/>
        <v>CAR210609</v>
      </c>
      <c r="I215" s="513">
        <v>-846000</v>
      </c>
      <c r="J215" s="513">
        <v>-600</v>
      </c>
      <c r="K215" s="513">
        <v>1410</v>
      </c>
      <c r="L215" s="518" t="s">
        <v>3498</v>
      </c>
      <c r="M215" s="152" t="s">
        <v>1566</v>
      </c>
      <c r="N215" s="152" t="s">
        <v>1407</v>
      </c>
      <c r="O215" s="152" t="s">
        <v>4553</v>
      </c>
      <c r="P215" s="152" t="s">
        <v>4279</v>
      </c>
      <c r="Q215" s="152" t="s">
        <v>4554</v>
      </c>
      <c r="R215" s="152" t="s">
        <v>4548</v>
      </c>
      <c r="S215" s="152" t="s">
        <v>4555</v>
      </c>
      <c r="T215" s="152" t="s">
        <v>786</v>
      </c>
    </row>
    <row r="216" spans="3:20">
      <c r="C216" s="152" t="s">
        <v>2821</v>
      </c>
      <c r="D216" s="474" t="s">
        <v>676</v>
      </c>
      <c r="E216" s="684" t="str">
        <f>+VLOOKUP(F216,Resumen_Base!$C$8:$G$156,5,0)</f>
        <v>Tips</v>
      </c>
      <c r="F216" s="152" t="s">
        <v>366</v>
      </c>
      <c r="G216" s="152" t="s">
        <v>367</v>
      </c>
      <c r="H216" s="152" t="str">
        <f t="shared" si="3"/>
        <v>CAR210609</v>
      </c>
      <c r="I216" s="513">
        <v>-705000</v>
      </c>
      <c r="J216" s="513">
        <v>-500</v>
      </c>
      <c r="K216" s="513">
        <v>1410</v>
      </c>
      <c r="L216" s="518" t="s">
        <v>3498</v>
      </c>
      <c r="M216" s="152" t="s">
        <v>1566</v>
      </c>
      <c r="N216" s="152" t="s">
        <v>1407</v>
      </c>
      <c r="O216" s="152" t="s">
        <v>4556</v>
      </c>
      <c r="P216" s="152" t="s">
        <v>4279</v>
      </c>
      <c r="Q216" s="152" t="s">
        <v>4557</v>
      </c>
      <c r="R216" s="152" t="s">
        <v>4548</v>
      </c>
      <c r="S216" s="152" t="s">
        <v>4558</v>
      </c>
      <c r="T216" s="152" t="s">
        <v>786</v>
      </c>
    </row>
    <row r="217" spans="3:20">
      <c r="C217" s="152" t="s">
        <v>2821</v>
      </c>
      <c r="D217" s="474" t="s">
        <v>676</v>
      </c>
      <c r="E217" s="684" t="str">
        <f>+VLOOKUP(F217,Resumen_Base!$C$8:$G$156,5,0)</f>
        <v>Tips</v>
      </c>
      <c r="F217" s="152" t="s">
        <v>366</v>
      </c>
      <c r="G217" s="152" t="s">
        <v>367</v>
      </c>
      <c r="H217" s="152" t="str">
        <f t="shared" si="3"/>
        <v>CAR210609</v>
      </c>
      <c r="I217" s="513">
        <v>-705000</v>
      </c>
      <c r="J217" s="513">
        <v>-500</v>
      </c>
      <c r="K217" s="513">
        <v>1410</v>
      </c>
      <c r="L217" s="518" t="s">
        <v>3498</v>
      </c>
      <c r="M217" s="152" t="s">
        <v>1566</v>
      </c>
      <c r="N217" s="152" t="s">
        <v>1407</v>
      </c>
      <c r="O217" s="152" t="s">
        <v>4556</v>
      </c>
      <c r="P217" s="152" t="s">
        <v>4279</v>
      </c>
      <c r="Q217" s="152" t="s">
        <v>4557</v>
      </c>
      <c r="R217" s="152" t="s">
        <v>4548</v>
      </c>
      <c r="S217" s="152" t="s">
        <v>4558</v>
      </c>
      <c r="T217" s="152" t="s">
        <v>786</v>
      </c>
    </row>
    <row r="218" spans="3:20">
      <c r="C218" s="152" t="s">
        <v>2821</v>
      </c>
      <c r="D218" s="474" t="s">
        <v>676</v>
      </c>
      <c r="E218" s="684" t="str">
        <f>+VLOOKUP(F218,Resumen_Base!$C$8:$G$156,5,0)</f>
        <v>Tips</v>
      </c>
      <c r="F218" s="152" t="s">
        <v>366</v>
      </c>
      <c r="G218" s="152" t="s">
        <v>367</v>
      </c>
      <c r="H218" s="152" t="str">
        <f t="shared" si="3"/>
        <v>CAR210609</v>
      </c>
      <c r="I218" s="513">
        <v>-336000</v>
      </c>
      <c r="J218" s="513">
        <v>-240</v>
      </c>
      <c r="K218" s="513">
        <v>1400</v>
      </c>
      <c r="L218" s="518" t="s">
        <v>3659</v>
      </c>
      <c r="M218" s="152" t="s">
        <v>1566</v>
      </c>
      <c r="N218" s="152" t="s">
        <v>1407</v>
      </c>
      <c r="O218" s="152" t="s">
        <v>4559</v>
      </c>
      <c r="P218" s="152" t="s">
        <v>4279</v>
      </c>
      <c r="Q218" s="152" t="s">
        <v>4560</v>
      </c>
      <c r="R218" s="152" t="s">
        <v>4561</v>
      </c>
      <c r="S218" s="152" t="s">
        <v>4562</v>
      </c>
      <c r="T218" s="152" t="s">
        <v>786</v>
      </c>
    </row>
    <row r="219" spans="3:20">
      <c r="C219" s="152" t="s">
        <v>2821</v>
      </c>
      <c r="D219" s="474" t="s">
        <v>676</v>
      </c>
      <c r="E219" s="684" t="str">
        <f>+VLOOKUP(F219,Resumen_Base!$C$8:$G$156,5,0)</f>
        <v>Tips</v>
      </c>
      <c r="F219" s="152" t="s">
        <v>366</v>
      </c>
      <c r="G219" s="152" t="s">
        <v>367</v>
      </c>
      <c r="H219" s="152" t="str">
        <f t="shared" si="3"/>
        <v>CAR210609</v>
      </c>
      <c r="I219" s="513">
        <v>-504000</v>
      </c>
      <c r="J219" s="513">
        <v>-360</v>
      </c>
      <c r="K219" s="513">
        <v>1400</v>
      </c>
      <c r="L219" s="518" t="s">
        <v>3659</v>
      </c>
      <c r="M219" s="152" t="s">
        <v>1566</v>
      </c>
      <c r="N219" s="152" t="s">
        <v>1407</v>
      </c>
      <c r="O219" s="152" t="s">
        <v>4559</v>
      </c>
      <c r="P219" s="152" t="s">
        <v>4279</v>
      </c>
      <c r="Q219" s="152" t="s">
        <v>4560</v>
      </c>
      <c r="R219" s="152" t="s">
        <v>4561</v>
      </c>
      <c r="S219" s="152" t="s">
        <v>4562</v>
      </c>
      <c r="T219" s="152" t="s">
        <v>786</v>
      </c>
    </row>
    <row r="220" spans="3:20">
      <c r="C220" s="152" t="s">
        <v>2821</v>
      </c>
      <c r="D220" s="474" t="s">
        <v>676</v>
      </c>
      <c r="E220" s="684" t="str">
        <f>+VLOOKUP(F220,Resumen_Base!$C$8:$G$156,5,0)</f>
        <v>Tips</v>
      </c>
      <c r="F220" s="152" t="s">
        <v>366</v>
      </c>
      <c r="G220" s="152" t="s">
        <v>367</v>
      </c>
      <c r="H220" s="152" t="str">
        <f t="shared" si="3"/>
        <v>CAR210609</v>
      </c>
      <c r="I220" s="513">
        <v>-504000</v>
      </c>
      <c r="J220" s="513">
        <v>-360</v>
      </c>
      <c r="K220" s="513">
        <v>1400</v>
      </c>
      <c r="L220" s="518" t="s">
        <v>3659</v>
      </c>
      <c r="M220" s="152" t="s">
        <v>1566</v>
      </c>
      <c r="N220" s="152" t="s">
        <v>1407</v>
      </c>
      <c r="O220" s="152" t="s">
        <v>4563</v>
      </c>
      <c r="P220" s="152" t="s">
        <v>4279</v>
      </c>
      <c r="Q220" s="152" t="s">
        <v>4564</v>
      </c>
      <c r="R220" s="152" t="s">
        <v>4561</v>
      </c>
      <c r="S220" s="152" t="s">
        <v>4565</v>
      </c>
      <c r="T220" s="152" t="s">
        <v>786</v>
      </c>
    </row>
    <row r="221" spans="3:20">
      <c r="C221" s="152" t="s">
        <v>2821</v>
      </c>
      <c r="D221" s="474" t="s">
        <v>676</v>
      </c>
      <c r="E221" s="684" t="str">
        <f>+VLOOKUP(F221,Resumen_Base!$C$8:$G$156,5,0)</f>
        <v>Tips</v>
      </c>
      <c r="F221" s="152" t="s">
        <v>366</v>
      </c>
      <c r="G221" s="152" t="s">
        <v>367</v>
      </c>
      <c r="H221" s="152" t="str">
        <f t="shared" si="3"/>
        <v>CAR210609</v>
      </c>
      <c r="I221" s="513">
        <v>-336000</v>
      </c>
      <c r="J221" s="513">
        <v>-240</v>
      </c>
      <c r="K221" s="513">
        <v>1400</v>
      </c>
      <c r="L221" s="518" t="s">
        <v>3659</v>
      </c>
      <c r="M221" s="152" t="s">
        <v>1566</v>
      </c>
      <c r="N221" s="152" t="s">
        <v>1407</v>
      </c>
      <c r="O221" s="152" t="s">
        <v>4563</v>
      </c>
      <c r="P221" s="152" t="s">
        <v>4279</v>
      </c>
      <c r="Q221" s="152" t="s">
        <v>4564</v>
      </c>
      <c r="R221" s="152" t="s">
        <v>4561</v>
      </c>
      <c r="S221" s="152" t="s">
        <v>4565</v>
      </c>
      <c r="T221" s="152" t="s">
        <v>786</v>
      </c>
    </row>
    <row r="222" spans="3:20">
      <c r="C222" s="152" t="s">
        <v>2821</v>
      </c>
      <c r="D222" s="474" t="s">
        <v>676</v>
      </c>
      <c r="E222" s="684" t="str">
        <f>+VLOOKUP(F222,Resumen_Base!$C$8:$G$156,5,0)</f>
        <v>Tips</v>
      </c>
      <c r="F222" s="152" t="s">
        <v>366</v>
      </c>
      <c r="G222" s="152" t="s">
        <v>367</v>
      </c>
      <c r="H222" s="152" t="str">
        <f t="shared" si="3"/>
        <v>CAR210609</v>
      </c>
      <c r="I222" s="513">
        <v>-336000</v>
      </c>
      <c r="J222" s="513">
        <v>-240</v>
      </c>
      <c r="K222" s="513">
        <v>1400</v>
      </c>
      <c r="L222" s="518" t="s">
        <v>3659</v>
      </c>
      <c r="M222" s="152" t="s">
        <v>1566</v>
      </c>
      <c r="N222" s="152" t="s">
        <v>1407</v>
      </c>
      <c r="O222" s="152" t="s">
        <v>4566</v>
      </c>
      <c r="P222" s="152" t="s">
        <v>4279</v>
      </c>
      <c r="Q222" s="152" t="s">
        <v>4567</v>
      </c>
      <c r="R222" s="152" t="s">
        <v>4561</v>
      </c>
      <c r="S222" s="152" t="s">
        <v>4568</v>
      </c>
      <c r="T222" s="152" t="s">
        <v>786</v>
      </c>
    </row>
    <row r="223" spans="3:20">
      <c r="C223" s="152" t="s">
        <v>2821</v>
      </c>
      <c r="D223" s="474" t="s">
        <v>676</v>
      </c>
      <c r="E223" s="684" t="str">
        <f>+VLOOKUP(F223,Resumen_Base!$C$8:$G$156,5,0)</f>
        <v>Tips</v>
      </c>
      <c r="F223" s="152" t="s">
        <v>366</v>
      </c>
      <c r="G223" s="152" t="s">
        <v>367</v>
      </c>
      <c r="H223" s="152" t="str">
        <f t="shared" si="3"/>
        <v>CAR210609</v>
      </c>
      <c r="I223" s="513">
        <v>-504000</v>
      </c>
      <c r="J223" s="513">
        <v>-360</v>
      </c>
      <c r="K223" s="513">
        <v>1400</v>
      </c>
      <c r="L223" s="518" t="s">
        <v>3659</v>
      </c>
      <c r="M223" s="152" t="s">
        <v>1566</v>
      </c>
      <c r="N223" s="152" t="s">
        <v>1407</v>
      </c>
      <c r="O223" s="152" t="s">
        <v>4566</v>
      </c>
      <c r="P223" s="152" t="s">
        <v>4279</v>
      </c>
      <c r="Q223" s="152" t="s">
        <v>4567</v>
      </c>
      <c r="R223" s="152" t="s">
        <v>4561</v>
      </c>
      <c r="S223" s="152" t="s">
        <v>4568</v>
      </c>
      <c r="T223" s="152" t="s">
        <v>786</v>
      </c>
    </row>
    <row r="224" spans="3:20">
      <c r="C224" s="152" t="s">
        <v>2821</v>
      </c>
      <c r="D224" s="474" t="s">
        <v>676</v>
      </c>
      <c r="E224" s="684" t="str">
        <f>+VLOOKUP(F224,Resumen_Base!$C$8:$G$156,5,0)</f>
        <v>Tips</v>
      </c>
      <c r="F224" s="152" t="s">
        <v>366</v>
      </c>
      <c r="G224" s="152" t="s">
        <v>367</v>
      </c>
      <c r="H224" s="152" t="str">
        <f t="shared" si="3"/>
        <v>CAR210609</v>
      </c>
      <c r="I224" s="513">
        <v>-504000</v>
      </c>
      <c r="J224" s="513">
        <v>-360</v>
      </c>
      <c r="K224" s="513">
        <v>1400</v>
      </c>
      <c r="L224" s="518" t="s">
        <v>3659</v>
      </c>
      <c r="M224" s="152" t="s">
        <v>1566</v>
      </c>
      <c r="N224" s="152" t="s">
        <v>1407</v>
      </c>
      <c r="O224" s="152" t="s">
        <v>4569</v>
      </c>
      <c r="P224" s="152" t="s">
        <v>4279</v>
      </c>
      <c r="Q224" s="152" t="s">
        <v>4570</v>
      </c>
      <c r="R224" s="152" t="s">
        <v>4561</v>
      </c>
      <c r="S224" s="152" t="s">
        <v>4571</v>
      </c>
      <c r="T224" s="152" t="s">
        <v>786</v>
      </c>
    </row>
    <row r="225" spans="3:20">
      <c r="C225" s="152" t="s">
        <v>2821</v>
      </c>
      <c r="D225" s="474" t="s">
        <v>676</v>
      </c>
      <c r="E225" s="684" t="str">
        <f>+VLOOKUP(F225,Resumen_Base!$C$8:$G$156,5,0)</f>
        <v>Tips</v>
      </c>
      <c r="F225" s="152" t="s">
        <v>366</v>
      </c>
      <c r="G225" s="152" t="s">
        <v>367</v>
      </c>
      <c r="H225" s="152" t="str">
        <f t="shared" si="3"/>
        <v>CAR210609</v>
      </c>
      <c r="I225" s="513">
        <v>-336000</v>
      </c>
      <c r="J225" s="513">
        <v>-240</v>
      </c>
      <c r="K225" s="513">
        <v>1400</v>
      </c>
      <c r="L225" s="518" t="s">
        <v>3659</v>
      </c>
      <c r="M225" s="152" t="s">
        <v>1566</v>
      </c>
      <c r="N225" s="152" t="s">
        <v>1407</v>
      </c>
      <c r="O225" s="152" t="s">
        <v>4569</v>
      </c>
      <c r="P225" s="152" t="s">
        <v>4279</v>
      </c>
      <c r="Q225" s="152" t="s">
        <v>4570</v>
      </c>
      <c r="R225" s="152" t="s">
        <v>4561</v>
      </c>
      <c r="S225" s="152" t="s">
        <v>4571</v>
      </c>
      <c r="T225" s="152" t="s">
        <v>786</v>
      </c>
    </row>
    <row r="226" spans="3:20">
      <c r="C226" s="152" t="s">
        <v>2821</v>
      </c>
      <c r="D226" s="474" t="s">
        <v>676</v>
      </c>
      <c r="E226" s="684" t="str">
        <f>+VLOOKUP(F226,Resumen_Base!$C$8:$G$156,5,0)</f>
        <v>Tips</v>
      </c>
      <c r="F226" s="152" t="s">
        <v>366</v>
      </c>
      <c r="G226" s="152" t="s">
        <v>367</v>
      </c>
      <c r="H226" s="152" t="str">
        <f t="shared" si="3"/>
        <v>CAR210609</v>
      </c>
      <c r="I226" s="513">
        <v>-504000</v>
      </c>
      <c r="J226" s="513">
        <v>-360</v>
      </c>
      <c r="K226" s="513">
        <v>1400</v>
      </c>
      <c r="L226" s="518" t="s">
        <v>3659</v>
      </c>
      <c r="M226" s="152" t="s">
        <v>1566</v>
      </c>
      <c r="N226" s="152" t="s">
        <v>1407</v>
      </c>
      <c r="O226" s="152" t="s">
        <v>4572</v>
      </c>
      <c r="P226" s="152" t="s">
        <v>4279</v>
      </c>
      <c r="Q226" s="152" t="s">
        <v>4573</v>
      </c>
      <c r="R226" s="152" t="s">
        <v>4561</v>
      </c>
      <c r="S226" s="152" t="s">
        <v>4574</v>
      </c>
      <c r="T226" s="152" t="s">
        <v>786</v>
      </c>
    </row>
    <row r="227" spans="3:20">
      <c r="C227" s="152" t="s">
        <v>2821</v>
      </c>
      <c r="D227" s="474" t="s">
        <v>676</v>
      </c>
      <c r="E227" s="684" t="str">
        <f>+VLOOKUP(F227,Resumen_Base!$C$8:$G$156,5,0)</f>
        <v>Tips</v>
      </c>
      <c r="F227" s="152" t="s">
        <v>366</v>
      </c>
      <c r="G227" s="152" t="s">
        <v>367</v>
      </c>
      <c r="H227" s="152" t="str">
        <f t="shared" si="3"/>
        <v>CAR210609</v>
      </c>
      <c r="I227" s="513">
        <v>-336000</v>
      </c>
      <c r="J227" s="513">
        <v>-240</v>
      </c>
      <c r="K227" s="513">
        <v>1400</v>
      </c>
      <c r="L227" s="518" t="s">
        <v>3659</v>
      </c>
      <c r="M227" s="152" t="s">
        <v>1566</v>
      </c>
      <c r="N227" s="152" t="s">
        <v>1407</v>
      </c>
      <c r="O227" s="152" t="s">
        <v>4572</v>
      </c>
      <c r="P227" s="152" t="s">
        <v>4279</v>
      </c>
      <c r="Q227" s="152" t="s">
        <v>4573</v>
      </c>
      <c r="R227" s="152" t="s">
        <v>4561</v>
      </c>
      <c r="S227" s="152" t="s">
        <v>4574</v>
      </c>
      <c r="T227" s="152" t="s">
        <v>786</v>
      </c>
    </row>
    <row r="228" spans="3:20">
      <c r="C228" s="152" t="s">
        <v>2821</v>
      </c>
      <c r="D228" s="474" t="s">
        <v>676</v>
      </c>
      <c r="E228" s="684" t="str">
        <f>+VLOOKUP(F228,Resumen_Base!$C$8:$G$156,5,0)</f>
        <v>Tips</v>
      </c>
      <c r="F228" s="152" t="s">
        <v>366</v>
      </c>
      <c r="G228" s="152" t="s">
        <v>367</v>
      </c>
      <c r="H228" s="152" t="str">
        <f t="shared" si="3"/>
        <v>CAR210609</v>
      </c>
      <c r="I228" s="513">
        <v>-336000</v>
      </c>
      <c r="J228" s="513">
        <v>-240</v>
      </c>
      <c r="K228" s="513">
        <v>1400</v>
      </c>
      <c r="L228" s="518" t="s">
        <v>3659</v>
      </c>
      <c r="M228" s="152" t="s">
        <v>1566</v>
      </c>
      <c r="N228" s="152" t="s">
        <v>1407</v>
      </c>
      <c r="O228" s="152" t="s">
        <v>4575</v>
      </c>
      <c r="P228" s="152" t="s">
        <v>4279</v>
      </c>
      <c r="Q228" s="152" t="s">
        <v>4576</v>
      </c>
      <c r="R228" s="152" t="s">
        <v>4561</v>
      </c>
      <c r="S228" s="152" t="s">
        <v>4577</v>
      </c>
      <c r="T228" s="152" t="s">
        <v>786</v>
      </c>
    </row>
    <row r="229" spans="3:20">
      <c r="C229" s="152" t="s">
        <v>2821</v>
      </c>
      <c r="D229" s="474" t="s">
        <v>676</v>
      </c>
      <c r="E229" s="684" t="str">
        <f>+VLOOKUP(F229,Resumen_Base!$C$8:$G$156,5,0)</f>
        <v>Tips</v>
      </c>
      <c r="F229" s="152" t="s">
        <v>366</v>
      </c>
      <c r="G229" s="152" t="s">
        <v>367</v>
      </c>
      <c r="H229" s="152" t="str">
        <f t="shared" si="3"/>
        <v>CAR210609</v>
      </c>
      <c r="I229" s="513">
        <v>-504000</v>
      </c>
      <c r="J229" s="513">
        <v>-360</v>
      </c>
      <c r="K229" s="513">
        <v>1400</v>
      </c>
      <c r="L229" s="518" t="s">
        <v>3659</v>
      </c>
      <c r="M229" s="152" t="s">
        <v>1566</v>
      </c>
      <c r="N229" s="152" t="s">
        <v>1407</v>
      </c>
      <c r="O229" s="152" t="s">
        <v>4575</v>
      </c>
      <c r="P229" s="152" t="s">
        <v>4279</v>
      </c>
      <c r="Q229" s="152" t="s">
        <v>4576</v>
      </c>
      <c r="R229" s="152" t="s">
        <v>4561</v>
      </c>
      <c r="S229" s="152" t="s">
        <v>4577</v>
      </c>
      <c r="T229" s="152" t="s">
        <v>786</v>
      </c>
    </row>
    <row r="230" spans="3:20">
      <c r="C230" s="152" t="s">
        <v>2821</v>
      </c>
      <c r="D230" s="474" t="s">
        <v>676</v>
      </c>
      <c r="E230" s="684" t="str">
        <f>+VLOOKUP(F230,Resumen_Base!$C$8:$G$156,5,0)</f>
        <v>Tips</v>
      </c>
      <c r="F230" s="152" t="s">
        <v>366</v>
      </c>
      <c r="G230" s="152" t="s">
        <v>367</v>
      </c>
      <c r="H230" s="152" t="str">
        <f t="shared" si="3"/>
        <v>CAR210609</v>
      </c>
      <c r="I230" s="513">
        <v>-336000</v>
      </c>
      <c r="J230" s="513">
        <v>-240</v>
      </c>
      <c r="K230" s="513">
        <v>1400</v>
      </c>
      <c r="L230" s="518" t="s">
        <v>3659</v>
      </c>
      <c r="M230" s="152" t="s">
        <v>1566</v>
      </c>
      <c r="N230" s="152" t="s">
        <v>1407</v>
      </c>
      <c r="O230" s="152" t="s">
        <v>4578</v>
      </c>
      <c r="P230" s="152" t="s">
        <v>4279</v>
      </c>
      <c r="Q230" s="152" t="s">
        <v>4579</v>
      </c>
      <c r="R230" s="152" t="s">
        <v>4561</v>
      </c>
      <c r="S230" s="152" t="s">
        <v>4580</v>
      </c>
      <c r="T230" s="152" t="s">
        <v>786</v>
      </c>
    </row>
    <row r="231" spans="3:20">
      <c r="C231" s="152" t="s">
        <v>2821</v>
      </c>
      <c r="D231" s="474" t="s">
        <v>676</v>
      </c>
      <c r="E231" s="684" t="str">
        <f>+VLOOKUP(F231,Resumen_Base!$C$8:$G$156,5,0)</f>
        <v>Tips</v>
      </c>
      <c r="F231" s="152" t="s">
        <v>366</v>
      </c>
      <c r="G231" s="152" t="s">
        <v>367</v>
      </c>
      <c r="H231" s="152" t="str">
        <f t="shared" si="3"/>
        <v>CAR210609</v>
      </c>
      <c r="I231" s="513">
        <v>-504000</v>
      </c>
      <c r="J231" s="513">
        <v>-360</v>
      </c>
      <c r="K231" s="513">
        <v>1400</v>
      </c>
      <c r="L231" s="518" t="s">
        <v>3659</v>
      </c>
      <c r="M231" s="152" t="s">
        <v>1566</v>
      </c>
      <c r="N231" s="152" t="s">
        <v>1407</v>
      </c>
      <c r="O231" s="152" t="s">
        <v>4578</v>
      </c>
      <c r="P231" s="152" t="s">
        <v>4279</v>
      </c>
      <c r="Q231" s="152" t="s">
        <v>4579</v>
      </c>
      <c r="R231" s="152" t="s">
        <v>4561</v>
      </c>
      <c r="S231" s="152" t="s">
        <v>4580</v>
      </c>
      <c r="T231" s="152" t="s">
        <v>786</v>
      </c>
    </row>
    <row r="232" spans="3:20">
      <c r="C232" s="152" t="s">
        <v>2821</v>
      </c>
      <c r="D232" s="474" t="s">
        <v>676</v>
      </c>
      <c r="E232" s="684" t="str">
        <f>+VLOOKUP(F232,Resumen_Base!$C$8:$G$156,5,0)</f>
        <v>Tips</v>
      </c>
      <c r="F232" s="152" t="s">
        <v>366</v>
      </c>
      <c r="G232" s="152" t="s">
        <v>367</v>
      </c>
      <c r="H232" s="152" t="str">
        <f t="shared" si="3"/>
        <v>CAR210609</v>
      </c>
      <c r="I232" s="513">
        <v>-504000</v>
      </c>
      <c r="J232" s="513">
        <v>-360</v>
      </c>
      <c r="K232" s="513">
        <v>1400</v>
      </c>
      <c r="L232" s="518" t="s">
        <v>3659</v>
      </c>
      <c r="M232" s="152" t="s">
        <v>1566</v>
      </c>
      <c r="N232" s="152" t="s">
        <v>1407</v>
      </c>
      <c r="O232" s="152" t="s">
        <v>4581</v>
      </c>
      <c r="P232" s="152" t="s">
        <v>4279</v>
      </c>
      <c r="Q232" s="152" t="s">
        <v>4582</v>
      </c>
      <c r="R232" s="152" t="s">
        <v>4561</v>
      </c>
      <c r="S232" s="152" t="s">
        <v>4583</v>
      </c>
      <c r="T232" s="152" t="s">
        <v>786</v>
      </c>
    </row>
    <row r="233" spans="3:20">
      <c r="C233" s="152" t="s">
        <v>2821</v>
      </c>
      <c r="D233" s="474" t="s">
        <v>676</v>
      </c>
      <c r="E233" s="684" t="str">
        <f>+VLOOKUP(F233,Resumen_Base!$C$8:$G$156,5,0)</f>
        <v>Tips</v>
      </c>
      <c r="F233" s="152" t="s">
        <v>366</v>
      </c>
      <c r="G233" s="152" t="s">
        <v>367</v>
      </c>
      <c r="H233" s="152" t="str">
        <f t="shared" si="3"/>
        <v>CAR210609</v>
      </c>
      <c r="I233" s="513">
        <v>-336000</v>
      </c>
      <c r="J233" s="513">
        <v>-240</v>
      </c>
      <c r="K233" s="513">
        <v>1400</v>
      </c>
      <c r="L233" s="518" t="s">
        <v>3659</v>
      </c>
      <c r="M233" s="152" t="s">
        <v>1566</v>
      </c>
      <c r="N233" s="152" t="s">
        <v>1407</v>
      </c>
      <c r="O233" s="152" t="s">
        <v>4581</v>
      </c>
      <c r="P233" s="152" t="s">
        <v>4279</v>
      </c>
      <c r="Q233" s="152" t="s">
        <v>4582</v>
      </c>
      <c r="R233" s="152" t="s">
        <v>4561</v>
      </c>
      <c r="S233" s="152" t="s">
        <v>4583</v>
      </c>
      <c r="T233" s="152" t="s">
        <v>786</v>
      </c>
    </row>
    <row r="234" spans="3:20">
      <c r="C234" s="152" t="s">
        <v>2821</v>
      </c>
      <c r="D234" s="474" t="s">
        <v>676</v>
      </c>
      <c r="E234" s="684" t="str">
        <f>+VLOOKUP(F234,Resumen_Base!$C$8:$G$156,5,0)</f>
        <v>Tips</v>
      </c>
      <c r="F234" s="152" t="s">
        <v>366</v>
      </c>
      <c r="G234" s="152" t="s">
        <v>367</v>
      </c>
      <c r="H234" s="152" t="str">
        <f t="shared" si="3"/>
        <v>CAR210609</v>
      </c>
      <c r="I234" s="513">
        <v>-504000</v>
      </c>
      <c r="J234" s="513">
        <v>-360</v>
      </c>
      <c r="K234" s="513">
        <v>1400</v>
      </c>
      <c r="L234" s="518" t="s">
        <v>3659</v>
      </c>
      <c r="M234" s="152" t="s">
        <v>1566</v>
      </c>
      <c r="N234" s="152" t="s">
        <v>1407</v>
      </c>
      <c r="O234" s="152" t="s">
        <v>4584</v>
      </c>
      <c r="P234" s="152" t="s">
        <v>4279</v>
      </c>
      <c r="Q234" s="152" t="s">
        <v>4585</v>
      </c>
      <c r="R234" s="152" t="s">
        <v>4561</v>
      </c>
      <c r="S234" s="152" t="s">
        <v>4586</v>
      </c>
      <c r="T234" s="152" t="s">
        <v>786</v>
      </c>
    </row>
    <row r="235" spans="3:20">
      <c r="C235" s="152" t="s">
        <v>2821</v>
      </c>
      <c r="D235" s="474" t="s">
        <v>676</v>
      </c>
      <c r="E235" s="684" t="str">
        <f>+VLOOKUP(F235,Resumen_Base!$C$8:$G$156,5,0)</f>
        <v>Tips</v>
      </c>
      <c r="F235" s="152" t="s">
        <v>366</v>
      </c>
      <c r="G235" s="152" t="s">
        <v>367</v>
      </c>
      <c r="H235" s="152" t="str">
        <f t="shared" si="3"/>
        <v>CAR210609</v>
      </c>
      <c r="I235" s="513">
        <v>-336000</v>
      </c>
      <c r="J235" s="513">
        <v>-240</v>
      </c>
      <c r="K235" s="513">
        <v>1400</v>
      </c>
      <c r="L235" s="518" t="s">
        <v>3659</v>
      </c>
      <c r="M235" s="152" t="s">
        <v>1566</v>
      </c>
      <c r="N235" s="152" t="s">
        <v>1407</v>
      </c>
      <c r="O235" s="152" t="s">
        <v>4584</v>
      </c>
      <c r="P235" s="152" t="s">
        <v>4279</v>
      </c>
      <c r="Q235" s="152" t="s">
        <v>4585</v>
      </c>
      <c r="R235" s="152" t="s">
        <v>4561</v>
      </c>
      <c r="S235" s="152" t="s">
        <v>4586</v>
      </c>
      <c r="T235" s="152" t="s">
        <v>786</v>
      </c>
    </row>
    <row r="236" spans="3:20">
      <c r="C236" s="152" t="s">
        <v>2821</v>
      </c>
      <c r="D236" s="474" t="s">
        <v>676</v>
      </c>
      <c r="E236" s="684" t="str">
        <f>+VLOOKUP(F236,Resumen_Base!$C$8:$G$156,5,0)</f>
        <v>Tips</v>
      </c>
      <c r="F236" s="152" t="s">
        <v>366</v>
      </c>
      <c r="G236" s="152" t="s">
        <v>367</v>
      </c>
      <c r="H236" s="152" t="str">
        <f t="shared" si="3"/>
        <v>CAR210609</v>
      </c>
      <c r="I236" s="513">
        <v>-504000</v>
      </c>
      <c r="J236" s="513">
        <v>-360</v>
      </c>
      <c r="K236" s="513">
        <v>1400</v>
      </c>
      <c r="L236" s="518" t="s">
        <v>3659</v>
      </c>
      <c r="M236" s="152" t="s">
        <v>1566</v>
      </c>
      <c r="N236" s="152" t="s">
        <v>1407</v>
      </c>
      <c r="O236" s="152" t="s">
        <v>4587</v>
      </c>
      <c r="P236" s="152" t="s">
        <v>4279</v>
      </c>
      <c r="Q236" s="152" t="s">
        <v>4588</v>
      </c>
      <c r="R236" s="152" t="s">
        <v>4561</v>
      </c>
      <c r="S236" s="152" t="s">
        <v>4589</v>
      </c>
      <c r="T236" s="152" t="s">
        <v>786</v>
      </c>
    </row>
    <row r="237" spans="3:20">
      <c r="C237" s="152" t="s">
        <v>2821</v>
      </c>
      <c r="D237" s="474" t="s">
        <v>676</v>
      </c>
      <c r="E237" s="684" t="str">
        <f>+VLOOKUP(F237,Resumen_Base!$C$8:$G$156,5,0)</f>
        <v>Tips</v>
      </c>
      <c r="F237" s="152" t="s">
        <v>366</v>
      </c>
      <c r="G237" s="152" t="s">
        <v>367</v>
      </c>
      <c r="H237" s="152" t="str">
        <f t="shared" si="3"/>
        <v>CAR210609</v>
      </c>
      <c r="I237" s="513">
        <v>-336000</v>
      </c>
      <c r="J237" s="513">
        <v>-240</v>
      </c>
      <c r="K237" s="513">
        <v>1400</v>
      </c>
      <c r="L237" s="518" t="s">
        <v>3659</v>
      </c>
      <c r="M237" s="152" t="s">
        <v>1566</v>
      </c>
      <c r="N237" s="152" t="s">
        <v>1407</v>
      </c>
      <c r="O237" s="152" t="s">
        <v>4587</v>
      </c>
      <c r="P237" s="152" t="s">
        <v>4279</v>
      </c>
      <c r="Q237" s="152" t="s">
        <v>4588</v>
      </c>
      <c r="R237" s="152" t="s">
        <v>4561</v>
      </c>
      <c r="S237" s="152" t="s">
        <v>4589</v>
      </c>
      <c r="T237" s="152" t="s">
        <v>786</v>
      </c>
    </row>
    <row r="238" spans="3:20">
      <c r="C238" s="152" t="s">
        <v>2821</v>
      </c>
      <c r="D238" s="474" t="s">
        <v>676</v>
      </c>
      <c r="E238" s="684" t="str">
        <f>+VLOOKUP(F238,Resumen_Base!$C$8:$G$156,5,0)</f>
        <v>Tips</v>
      </c>
      <c r="F238" s="152" t="s">
        <v>366</v>
      </c>
      <c r="G238" s="152" t="s">
        <v>367</v>
      </c>
      <c r="H238" s="152" t="str">
        <f t="shared" si="3"/>
        <v>CAR210609</v>
      </c>
      <c r="I238" s="513">
        <v>-504000</v>
      </c>
      <c r="J238" s="513">
        <v>-360</v>
      </c>
      <c r="K238" s="513">
        <v>1400</v>
      </c>
      <c r="L238" s="518" t="s">
        <v>3659</v>
      </c>
      <c r="M238" s="152" t="s">
        <v>1566</v>
      </c>
      <c r="N238" s="152" t="s">
        <v>1407</v>
      </c>
      <c r="O238" s="152" t="s">
        <v>4590</v>
      </c>
      <c r="P238" s="152" t="s">
        <v>4279</v>
      </c>
      <c r="Q238" s="152" t="s">
        <v>4591</v>
      </c>
      <c r="R238" s="152" t="s">
        <v>4561</v>
      </c>
      <c r="S238" s="152" t="s">
        <v>4592</v>
      </c>
      <c r="T238" s="152" t="s">
        <v>786</v>
      </c>
    </row>
    <row r="239" spans="3:20">
      <c r="C239" s="152" t="s">
        <v>2821</v>
      </c>
      <c r="D239" s="474" t="s">
        <v>676</v>
      </c>
      <c r="E239" s="684" t="str">
        <f>+VLOOKUP(F239,Resumen_Base!$C$8:$G$156,5,0)</f>
        <v>Tips</v>
      </c>
      <c r="F239" s="152" t="s">
        <v>366</v>
      </c>
      <c r="G239" s="152" t="s">
        <v>367</v>
      </c>
      <c r="H239" s="152" t="str">
        <f t="shared" si="3"/>
        <v>CAR210609</v>
      </c>
      <c r="I239" s="513">
        <v>-336000</v>
      </c>
      <c r="J239" s="513">
        <v>-240</v>
      </c>
      <c r="K239" s="513">
        <v>1400</v>
      </c>
      <c r="L239" s="518" t="s">
        <v>3659</v>
      </c>
      <c r="M239" s="152" t="s">
        <v>1566</v>
      </c>
      <c r="N239" s="152" t="s">
        <v>1407</v>
      </c>
      <c r="O239" s="152" t="s">
        <v>4590</v>
      </c>
      <c r="P239" s="152" t="s">
        <v>4279</v>
      </c>
      <c r="Q239" s="152" t="s">
        <v>4591</v>
      </c>
      <c r="R239" s="152" t="s">
        <v>4561</v>
      </c>
      <c r="S239" s="152" t="s">
        <v>4592</v>
      </c>
      <c r="T239" s="152" t="s">
        <v>786</v>
      </c>
    </row>
    <row r="240" spans="3:20">
      <c r="C240" s="152" t="s">
        <v>2821</v>
      </c>
      <c r="D240" s="474" t="s">
        <v>676</v>
      </c>
      <c r="E240" s="684" t="str">
        <f>+VLOOKUP(F240,Resumen_Base!$C$8:$G$156,5,0)</f>
        <v>Tips</v>
      </c>
      <c r="F240" s="152" t="s">
        <v>366</v>
      </c>
      <c r="G240" s="152" t="s">
        <v>367</v>
      </c>
      <c r="H240" s="152" t="str">
        <f t="shared" si="3"/>
        <v>CAR210609</v>
      </c>
      <c r="I240" s="513">
        <v>-336000</v>
      </c>
      <c r="J240" s="513">
        <v>-240</v>
      </c>
      <c r="K240" s="513">
        <v>1400</v>
      </c>
      <c r="L240" s="518" t="s">
        <v>3659</v>
      </c>
      <c r="M240" s="152" t="s">
        <v>1566</v>
      </c>
      <c r="N240" s="152" t="s">
        <v>1407</v>
      </c>
      <c r="O240" s="152" t="s">
        <v>4593</v>
      </c>
      <c r="P240" s="152" t="s">
        <v>4279</v>
      </c>
      <c r="Q240" s="152" t="s">
        <v>4594</v>
      </c>
      <c r="R240" s="152" t="s">
        <v>4561</v>
      </c>
      <c r="S240" s="152" t="s">
        <v>4595</v>
      </c>
      <c r="T240" s="152" t="s">
        <v>786</v>
      </c>
    </row>
    <row r="241" spans="3:20">
      <c r="C241" s="152" t="s">
        <v>2821</v>
      </c>
      <c r="D241" s="474" t="s">
        <v>676</v>
      </c>
      <c r="E241" s="684" t="str">
        <f>+VLOOKUP(F241,Resumen_Base!$C$8:$G$156,5,0)</f>
        <v>Tips</v>
      </c>
      <c r="F241" s="152" t="s">
        <v>366</v>
      </c>
      <c r="G241" s="152" t="s">
        <v>367</v>
      </c>
      <c r="H241" s="152" t="str">
        <f t="shared" si="3"/>
        <v>CAR210609</v>
      </c>
      <c r="I241" s="513">
        <v>-504000</v>
      </c>
      <c r="J241" s="513">
        <v>-360</v>
      </c>
      <c r="K241" s="513">
        <v>1400</v>
      </c>
      <c r="L241" s="518" t="s">
        <v>3659</v>
      </c>
      <c r="M241" s="152" t="s">
        <v>1566</v>
      </c>
      <c r="N241" s="152" t="s">
        <v>1407</v>
      </c>
      <c r="O241" s="152" t="s">
        <v>4593</v>
      </c>
      <c r="P241" s="152" t="s">
        <v>4279</v>
      </c>
      <c r="Q241" s="152" t="s">
        <v>4594</v>
      </c>
      <c r="R241" s="152" t="s">
        <v>4561</v>
      </c>
      <c r="S241" s="152" t="s">
        <v>4595</v>
      </c>
      <c r="T241" s="152" t="s">
        <v>786</v>
      </c>
    </row>
    <row r="242" spans="3:20">
      <c r="C242" s="152" t="s">
        <v>2821</v>
      </c>
      <c r="D242" s="474" t="s">
        <v>676</v>
      </c>
      <c r="E242" s="684" t="str">
        <f>+VLOOKUP(F242,Resumen_Base!$C$8:$G$156,5,0)</f>
        <v>Tips</v>
      </c>
      <c r="F242" s="152" t="s">
        <v>366</v>
      </c>
      <c r="G242" s="152" t="s">
        <v>367</v>
      </c>
      <c r="H242" s="152" t="str">
        <f t="shared" si="3"/>
        <v>CAR210609</v>
      </c>
      <c r="I242" s="513">
        <v>-712500</v>
      </c>
      <c r="J242" s="513">
        <v>-500</v>
      </c>
      <c r="K242" s="513">
        <v>1425</v>
      </c>
      <c r="L242" s="518" t="s">
        <v>3637</v>
      </c>
      <c r="M242" s="152" t="s">
        <v>1566</v>
      </c>
      <c r="N242" s="152" t="s">
        <v>1407</v>
      </c>
      <c r="O242" s="152" t="s">
        <v>4596</v>
      </c>
      <c r="P242" s="152" t="s">
        <v>1881</v>
      </c>
      <c r="Q242" s="152" t="s">
        <v>4597</v>
      </c>
      <c r="R242" s="152" t="s">
        <v>4598</v>
      </c>
      <c r="S242" s="152" t="s">
        <v>4599</v>
      </c>
      <c r="T242" s="152" t="s">
        <v>786</v>
      </c>
    </row>
    <row r="243" spans="3:20">
      <c r="C243" s="152" t="s">
        <v>2821</v>
      </c>
      <c r="D243" s="474" t="s">
        <v>676</v>
      </c>
      <c r="E243" s="684" t="str">
        <f>+VLOOKUP(F243,Resumen_Base!$C$8:$G$156,5,0)</f>
        <v>Tips</v>
      </c>
      <c r="F243" s="152" t="s">
        <v>366</v>
      </c>
      <c r="G243" s="152" t="s">
        <v>367</v>
      </c>
      <c r="H243" s="152" t="str">
        <f t="shared" si="3"/>
        <v>CAR210609</v>
      </c>
      <c r="I243" s="513">
        <v>-285000</v>
      </c>
      <c r="J243" s="513">
        <v>-200</v>
      </c>
      <c r="K243" s="513">
        <v>1425</v>
      </c>
      <c r="L243" s="518" t="s">
        <v>3637</v>
      </c>
      <c r="M243" s="152" t="s">
        <v>1566</v>
      </c>
      <c r="N243" s="152" t="s">
        <v>1407</v>
      </c>
      <c r="O243" s="152" t="s">
        <v>4596</v>
      </c>
      <c r="P243" s="152" t="s">
        <v>1881</v>
      </c>
      <c r="Q243" s="152" t="s">
        <v>4597</v>
      </c>
      <c r="R243" s="152" t="s">
        <v>4598</v>
      </c>
      <c r="S243" s="152" t="s">
        <v>4599</v>
      </c>
      <c r="T243" s="152" t="s">
        <v>786</v>
      </c>
    </row>
    <row r="244" spans="3:20">
      <c r="C244" s="152" t="s">
        <v>2821</v>
      </c>
      <c r="D244" s="474" t="s">
        <v>676</v>
      </c>
      <c r="E244" s="684" t="str">
        <f>+VLOOKUP(F244,Resumen_Base!$C$8:$G$156,5,0)</f>
        <v>Tips</v>
      </c>
      <c r="F244" s="152" t="s">
        <v>366</v>
      </c>
      <c r="G244" s="152" t="s">
        <v>367</v>
      </c>
      <c r="H244" s="152" t="str">
        <f t="shared" si="3"/>
        <v>CAR210609</v>
      </c>
      <c r="I244" s="513">
        <v>-285000</v>
      </c>
      <c r="J244" s="513">
        <v>-200</v>
      </c>
      <c r="K244" s="513">
        <v>1425</v>
      </c>
      <c r="L244" s="518" t="s">
        <v>3637</v>
      </c>
      <c r="M244" s="152" t="s">
        <v>1566</v>
      </c>
      <c r="N244" s="152" t="s">
        <v>1407</v>
      </c>
      <c r="O244" s="152" t="s">
        <v>4600</v>
      </c>
      <c r="P244" s="152" t="s">
        <v>1881</v>
      </c>
      <c r="Q244" s="152" t="s">
        <v>4601</v>
      </c>
      <c r="R244" s="152" t="s">
        <v>4598</v>
      </c>
      <c r="S244" s="152" t="s">
        <v>4602</v>
      </c>
      <c r="T244" s="152" t="s">
        <v>786</v>
      </c>
    </row>
    <row r="245" spans="3:20">
      <c r="C245" s="152" t="s">
        <v>2821</v>
      </c>
      <c r="D245" s="474" t="s">
        <v>676</v>
      </c>
      <c r="E245" s="684" t="str">
        <f>+VLOOKUP(F245,Resumen_Base!$C$8:$G$156,5,0)</f>
        <v>Tips</v>
      </c>
      <c r="F245" s="152" t="s">
        <v>366</v>
      </c>
      <c r="G245" s="152" t="s">
        <v>367</v>
      </c>
      <c r="H245" s="152" t="str">
        <f t="shared" si="3"/>
        <v>CAR210609</v>
      </c>
      <c r="I245" s="513">
        <v>-527250</v>
      </c>
      <c r="J245" s="513">
        <v>-370</v>
      </c>
      <c r="K245" s="513">
        <v>1425</v>
      </c>
      <c r="L245" s="518" t="s">
        <v>3637</v>
      </c>
      <c r="M245" s="152" t="s">
        <v>1566</v>
      </c>
      <c r="N245" s="152" t="s">
        <v>1407</v>
      </c>
      <c r="O245" s="152" t="s">
        <v>4600</v>
      </c>
      <c r="P245" s="152" t="s">
        <v>1881</v>
      </c>
      <c r="Q245" s="152" t="s">
        <v>4601</v>
      </c>
      <c r="R245" s="152" t="s">
        <v>4598</v>
      </c>
      <c r="S245" s="152" t="s">
        <v>4602</v>
      </c>
      <c r="T245" s="152" t="s">
        <v>786</v>
      </c>
    </row>
    <row r="246" spans="3:20">
      <c r="C246" s="152" t="s">
        <v>2821</v>
      </c>
      <c r="D246" s="474" t="s">
        <v>676</v>
      </c>
      <c r="E246" s="684" t="str">
        <f>+VLOOKUP(F246,Resumen_Base!$C$8:$G$156,5,0)</f>
        <v>Tips</v>
      </c>
      <c r="F246" s="152" t="s">
        <v>366</v>
      </c>
      <c r="G246" s="152" t="s">
        <v>367</v>
      </c>
      <c r="H246" s="152" t="str">
        <f t="shared" si="3"/>
        <v>CAR210609</v>
      </c>
      <c r="I246" s="513">
        <v>-285000</v>
      </c>
      <c r="J246" s="513">
        <v>-200</v>
      </c>
      <c r="K246" s="513">
        <v>1425</v>
      </c>
      <c r="L246" s="518" t="s">
        <v>3637</v>
      </c>
      <c r="M246" s="152" t="s">
        <v>1566</v>
      </c>
      <c r="N246" s="152" t="s">
        <v>1407</v>
      </c>
      <c r="O246" s="152" t="s">
        <v>4603</v>
      </c>
      <c r="P246" s="152" t="s">
        <v>1881</v>
      </c>
      <c r="Q246" s="152" t="s">
        <v>4604</v>
      </c>
      <c r="R246" s="152" t="s">
        <v>4598</v>
      </c>
      <c r="S246" s="152" t="s">
        <v>4605</v>
      </c>
      <c r="T246" s="152" t="s">
        <v>786</v>
      </c>
    </row>
    <row r="247" spans="3:20">
      <c r="C247" s="152" t="s">
        <v>2821</v>
      </c>
      <c r="D247" s="474" t="s">
        <v>676</v>
      </c>
      <c r="E247" s="684" t="str">
        <f>+VLOOKUP(F247,Resumen_Base!$C$8:$G$156,5,0)</f>
        <v>Tips</v>
      </c>
      <c r="F247" s="152" t="s">
        <v>366</v>
      </c>
      <c r="G247" s="152" t="s">
        <v>367</v>
      </c>
      <c r="H247" s="152" t="str">
        <f t="shared" si="3"/>
        <v>CAR210609</v>
      </c>
      <c r="I247" s="513">
        <v>-755250</v>
      </c>
      <c r="J247" s="513">
        <v>-530</v>
      </c>
      <c r="K247" s="513">
        <v>1425</v>
      </c>
      <c r="L247" s="518" t="s">
        <v>3637</v>
      </c>
      <c r="M247" s="152" t="s">
        <v>1566</v>
      </c>
      <c r="N247" s="152" t="s">
        <v>1407</v>
      </c>
      <c r="O247" s="152" t="s">
        <v>4603</v>
      </c>
      <c r="P247" s="152" t="s">
        <v>1881</v>
      </c>
      <c r="Q247" s="152" t="s">
        <v>4604</v>
      </c>
      <c r="R247" s="152" t="s">
        <v>4598</v>
      </c>
      <c r="S247" s="152" t="s">
        <v>4605</v>
      </c>
      <c r="T247" s="152" t="s">
        <v>786</v>
      </c>
    </row>
    <row r="248" spans="3:20">
      <c r="C248" s="152" t="s">
        <v>2821</v>
      </c>
      <c r="D248" s="474" t="s">
        <v>676</v>
      </c>
      <c r="E248" s="684" t="str">
        <f>+VLOOKUP(F248,Resumen_Base!$C$8:$G$156,5,0)</f>
        <v>Tips</v>
      </c>
      <c r="F248" s="152" t="s">
        <v>366</v>
      </c>
      <c r="G248" s="152" t="s">
        <v>367</v>
      </c>
      <c r="H248" s="152" t="str">
        <f t="shared" si="3"/>
        <v>CAR210609</v>
      </c>
      <c r="I248" s="513">
        <v>-256500</v>
      </c>
      <c r="J248" s="513">
        <v>-180</v>
      </c>
      <c r="K248" s="513">
        <v>1425</v>
      </c>
      <c r="L248" s="518" t="s">
        <v>3637</v>
      </c>
      <c r="M248" s="152" t="s">
        <v>1566</v>
      </c>
      <c r="N248" s="152" t="s">
        <v>1407</v>
      </c>
      <c r="O248" s="152" t="s">
        <v>4606</v>
      </c>
      <c r="P248" s="152" t="s">
        <v>1881</v>
      </c>
      <c r="Q248" s="152" t="s">
        <v>4607</v>
      </c>
      <c r="R248" s="152" t="s">
        <v>4598</v>
      </c>
      <c r="S248" s="152" t="s">
        <v>4608</v>
      </c>
      <c r="T248" s="152" t="s">
        <v>786</v>
      </c>
    </row>
    <row r="249" spans="3:20">
      <c r="C249" s="152" t="s">
        <v>2821</v>
      </c>
      <c r="D249" s="474" t="s">
        <v>676</v>
      </c>
      <c r="E249" s="684" t="str">
        <f>+VLOOKUP(F249,Resumen_Base!$C$8:$G$156,5,0)</f>
        <v>Tips</v>
      </c>
      <c r="F249" s="152" t="s">
        <v>366</v>
      </c>
      <c r="G249" s="152" t="s">
        <v>367</v>
      </c>
      <c r="H249" s="152" t="str">
        <f t="shared" si="3"/>
        <v>CAR210609</v>
      </c>
      <c r="I249" s="513">
        <v>-256500</v>
      </c>
      <c r="J249" s="513">
        <v>-180</v>
      </c>
      <c r="K249" s="513">
        <v>1425</v>
      </c>
      <c r="L249" s="518" t="s">
        <v>3637</v>
      </c>
      <c r="M249" s="152" t="s">
        <v>1566</v>
      </c>
      <c r="N249" s="152" t="s">
        <v>1407</v>
      </c>
      <c r="O249" s="152" t="s">
        <v>4606</v>
      </c>
      <c r="P249" s="152" t="s">
        <v>1881</v>
      </c>
      <c r="Q249" s="152" t="s">
        <v>4607</v>
      </c>
      <c r="R249" s="152" t="s">
        <v>4598</v>
      </c>
      <c r="S249" s="152" t="s">
        <v>4608</v>
      </c>
      <c r="T249" s="152" t="s">
        <v>786</v>
      </c>
    </row>
    <row r="250" spans="3:20">
      <c r="C250" s="152" t="s">
        <v>2821</v>
      </c>
      <c r="D250" s="474" t="s">
        <v>676</v>
      </c>
      <c r="E250" s="684" t="str">
        <f>+VLOOKUP(F250,Resumen_Base!$C$8:$G$156,5,0)</f>
        <v>Tips</v>
      </c>
      <c r="F250" s="152" t="s">
        <v>366</v>
      </c>
      <c r="G250" s="152" t="s">
        <v>367</v>
      </c>
      <c r="H250" s="152" t="str">
        <f t="shared" si="3"/>
        <v>CAR210609</v>
      </c>
      <c r="I250" s="513">
        <v>-424500</v>
      </c>
      <c r="J250" s="513">
        <v>-300</v>
      </c>
      <c r="K250" s="513">
        <v>1415</v>
      </c>
      <c r="L250" s="518" t="s">
        <v>3511</v>
      </c>
      <c r="M250" s="152" t="s">
        <v>1566</v>
      </c>
      <c r="N250" s="152" t="s">
        <v>1407</v>
      </c>
      <c r="O250" s="152" t="s">
        <v>4609</v>
      </c>
      <c r="P250" s="152" t="s">
        <v>4279</v>
      </c>
      <c r="Q250" s="152" t="s">
        <v>4610</v>
      </c>
      <c r="R250" s="152" t="s">
        <v>4611</v>
      </c>
      <c r="S250" s="152" t="s">
        <v>4612</v>
      </c>
      <c r="T250" s="152" t="s">
        <v>786</v>
      </c>
    </row>
    <row r="251" spans="3:20">
      <c r="C251" s="152" t="s">
        <v>2821</v>
      </c>
      <c r="D251" s="474" t="s">
        <v>676</v>
      </c>
      <c r="E251" s="684" t="str">
        <f>+VLOOKUP(F251,Resumen_Base!$C$8:$G$156,5,0)</f>
        <v>Tips</v>
      </c>
      <c r="F251" s="152" t="s">
        <v>366</v>
      </c>
      <c r="G251" s="152" t="s">
        <v>367</v>
      </c>
      <c r="H251" s="152" t="str">
        <f t="shared" si="3"/>
        <v>CAR210609</v>
      </c>
      <c r="I251" s="513">
        <v>-283000</v>
      </c>
      <c r="J251" s="513">
        <v>-200</v>
      </c>
      <c r="K251" s="513">
        <v>1415</v>
      </c>
      <c r="L251" s="518" t="s">
        <v>3511</v>
      </c>
      <c r="M251" s="152" t="s">
        <v>1566</v>
      </c>
      <c r="N251" s="152" t="s">
        <v>1407</v>
      </c>
      <c r="O251" s="152" t="s">
        <v>4609</v>
      </c>
      <c r="P251" s="152" t="s">
        <v>4279</v>
      </c>
      <c r="Q251" s="152" t="s">
        <v>4610</v>
      </c>
      <c r="R251" s="152" t="s">
        <v>4611</v>
      </c>
      <c r="S251" s="152" t="s">
        <v>4612</v>
      </c>
      <c r="T251" s="152" t="s">
        <v>786</v>
      </c>
    </row>
    <row r="252" spans="3:20">
      <c r="C252" s="152" t="s">
        <v>2821</v>
      </c>
      <c r="D252" s="474" t="s">
        <v>676</v>
      </c>
      <c r="E252" s="684" t="str">
        <f>+VLOOKUP(F252,Resumen_Base!$C$8:$G$156,5,0)</f>
        <v>Tips</v>
      </c>
      <c r="F252" s="152" t="s">
        <v>366</v>
      </c>
      <c r="G252" s="152" t="s">
        <v>367</v>
      </c>
      <c r="H252" s="152" t="str">
        <f t="shared" si="3"/>
        <v>CAR210609</v>
      </c>
      <c r="I252" s="513">
        <v>-424500</v>
      </c>
      <c r="J252" s="513">
        <v>-300</v>
      </c>
      <c r="K252" s="513">
        <v>1415</v>
      </c>
      <c r="L252" s="518" t="s">
        <v>3511</v>
      </c>
      <c r="M252" s="152" t="s">
        <v>1566</v>
      </c>
      <c r="N252" s="152" t="s">
        <v>1407</v>
      </c>
      <c r="O252" s="152" t="s">
        <v>4613</v>
      </c>
      <c r="P252" s="152" t="s">
        <v>4279</v>
      </c>
      <c r="Q252" s="152" t="s">
        <v>4614</v>
      </c>
      <c r="R252" s="152" t="s">
        <v>4611</v>
      </c>
      <c r="S252" s="152" t="s">
        <v>4615</v>
      </c>
      <c r="T252" s="152" t="s">
        <v>786</v>
      </c>
    </row>
    <row r="253" spans="3:20">
      <c r="C253" s="152" t="s">
        <v>2821</v>
      </c>
      <c r="D253" s="474" t="s">
        <v>676</v>
      </c>
      <c r="E253" s="684" t="str">
        <f>+VLOOKUP(F253,Resumen_Base!$C$8:$G$156,5,0)</f>
        <v>Tips</v>
      </c>
      <c r="F253" s="152" t="s">
        <v>366</v>
      </c>
      <c r="G253" s="152" t="s">
        <v>367</v>
      </c>
      <c r="H253" s="152" t="str">
        <f t="shared" si="3"/>
        <v>CAR210609</v>
      </c>
      <c r="I253" s="513">
        <v>-283000</v>
      </c>
      <c r="J253" s="513">
        <v>-200</v>
      </c>
      <c r="K253" s="513">
        <v>1415</v>
      </c>
      <c r="L253" s="518" t="s">
        <v>3511</v>
      </c>
      <c r="M253" s="152" t="s">
        <v>1566</v>
      </c>
      <c r="N253" s="152" t="s">
        <v>1407</v>
      </c>
      <c r="O253" s="152" t="s">
        <v>4613</v>
      </c>
      <c r="P253" s="152" t="s">
        <v>4279</v>
      </c>
      <c r="Q253" s="152" t="s">
        <v>4614</v>
      </c>
      <c r="R253" s="152" t="s">
        <v>4611</v>
      </c>
      <c r="S253" s="152" t="s">
        <v>4615</v>
      </c>
      <c r="T253" s="152" t="s">
        <v>786</v>
      </c>
    </row>
    <row r="254" spans="3:20">
      <c r="C254" s="152" t="s">
        <v>2821</v>
      </c>
      <c r="D254" s="474" t="s">
        <v>676</v>
      </c>
      <c r="E254" s="684" t="str">
        <f>+VLOOKUP(F254,Resumen_Base!$C$8:$G$156,5,0)</f>
        <v>Tips</v>
      </c>
      <c r="F254" s="152" t="s">
        <v>366</v>
      </c>
      <c r="G254" s="152" t="s">
        <v>367</v>
      </c>
      <c r="H254" s="152" t="str">
        <f t="shared" si="3"/>
        <v>CAR210609</v>
      </c>
      <c r="I254" s="513">
        <v>-1226805</v>
      </c>
      <c r="J254" s="513">
        <v>-867</v>
      </c>
      <c r="K254" s="513">
        <v>1415</v>
      </c>
      <c r="L254" s="518" t="s">
        <v>3511</v>
      </c>
      <c r="M254" s="152" t="s">
        <v>1566</v>
      </c>
      <c r="N254" s="152" t="s">
        <v>1407</v>
      </c>
      <c r="O254" s="152" t="s">
        <v>4616</v>
      </c>
      <c r="P254" s="152" t="s">
        <v>4279</v>
      </c>
      <c r="Q254" s="152" t="s">
        <v>4617</v>
      </c>
      <c r="R254" s="152" t="s">
        <v>4611</v>
      </c>
      <c r="S254" s="152" t="s">
        <v>4618</v>
      </c>
      <c r="T254" s="152" t="s">
        <v>786</v>
      </c>
    </row>
    <row r="255" spans="3:20">
      <c r="C255" s="152" t="s">
        <v>2821</v>
      </c>
      <c r="D255" s="474" t="s">
        <v>676</v>
      </c>
      <c r="E255" s="684" t="str">
        <f>+VLOOKUP(F255,Resumen_Base!$C$8:$G$156,5,0)</f>
        <v>Tips</v>
      </c>
      <c r="F255" s="152" t="s">
        <v>366</v>
      </c>
      <c r="G255" s="152" t="s">
        <v>367</v>
      </c>
      <c r="H255" s="152" t="str">
        <f t="shared" si="3"/>
        <v>CAR210609</v>
      </c>
      <c r="I255" s="513">
        <v>-1981000</v>
      </c>
      <c r="J255" s="513">
        <v>-1400</v>
      </c>
      <c r="K255" s="513">
        <v>1415</v>
      </c>
      <c r="L255" s="518" t="s">
        <v>3511</v>
      </c>
      <c r="M255" s="152" t="s">
        <v>1566</v>
      </c>
      <c r="N255" s="152" t="s">
        <v>1407</v>
      </c>
      <c r="O255" s="152" t="s">
        <v>4616</v>
      </c>
      <c r="P255" s="152" t="s">
        <v>4279</v>
      </c>
      <c r="Q255" s="152" t="s">
        <v>4617</v>
      </c>
      <c r="R255" s="152" t="s">
        <v>4611</v>
      </c>
      <c r="S255" s="152" t="s">
        <v>4618</v>
      </c>
      <c r="T255" s="152" t="s">
        <v>786</v>
      </c>
    </row>
    <row r="256" spans="3:20">
      <c r="C256" s="152" t="s">
        <v>2821</v>
      </c>
      <c r="D256" s="474" t="s">
        <v>676</v>
      </c>
      <c r="E256" s="684" t="str">
        <f>+VLOOKUP(F256,Resumen_Base!$C$8:$G$156,5,0)</f>
        <v>Tips</v>
      </c>
      <c r="F256" s="152" t="s">
        <v>366</v>
      </c>
      <c r="G256" s="152" t="s">
        <v>367</v>
      </c>
      <c r="H256" s="152" t="str">
        <f t="shared" si="3"/>
        <v>CAR210609</v>
      </c>
      <c r="I256" s="513">
        <v>-564000</v>
      </c>
      <c r="J256" s="513">
        <v>-400</v>
      </c>
      <c r="K256" s="513">
        <v>1410</v>
      </c>
      <c r="L256" s="518" t="s">
        <v>3498</v>
      </c>
      <c r="M256" s="152" t="s">
        <v>1566</v>
      </c>
      <c r="N256" s="152" t="s">
        <v>1407</v>
      </c>
      <c r="O256" s="152" t="s">
        <v>4619</v>
      </c>
      <c r="P256" s="152" t="s">
        <v>4279</v>
      </c>
      <c r="Q256" s="152" t="s">
        <v>4620</v>
      </c>
      <c r="R256" s="152" t="s">
        <v>4621</v>
      </c>
      <c r="S256" s="152" t="s">
        <v>4622</v>
      </c>
      <c r="T256" s="152" t="s">
        <v>786</v>
      </c>
    </row>
    <row r="257" spans="3:20">
      <c r="C257" s="152" t="s">
        <v>2821</v>
      </c>
      <c r="D257" s="474" t="s">
        <v>676</v>
      </c>
      <c r="E257" s="684" t="str">
        <f>+VLOOKUP(F257,Resumen_Base!$C$8:$G$156,5,0)</f>
        <v>Tips</v>
      </c>
      <c r="F257" s="152" t="s">
        <v>366</v>
      </c>
      <c r="G257" s="152" t="s">
        <v>367</v>
      </c>
      <c r="H257" s="152" t="str">
        <f t="shared" si="3"/>
        <v>CAR210609</v>
      </c>
      <c r="I257" s="513">
        <v>-465300</v>
      </c>
      <c r="J257" s="513">
        <v>-330</v>
      </c>
      <c r="K257" s="513">
        <v>1410</v>
      </c>
      <c r="L257" s="518" t="s">
        <v>3498</v>
      </c>
      <c r="M257" s="152" t="s">
        <v>1566</v>
      </c>
      <c r="N257" s="152" t="s">
        <v>1407</v>
      </c>
      <c r="O257" s="152" t="s">
        <v>4619</v>
      </c>
      <c r="P257" s="152" t="s">
        <v>4279</v>
      </c>
      <c r="Q257" s="152" t="s">
        <v>4620</v>
      </c>
      <c r="R257" s="152" t="s">
        <v>4621</v>
      </c>
      <c r="S257" s="152" t="s">
        <v>4622</v>
      </c>
      <c r="T257" s="152" t="s">
        <v>786</v>
      </c>
    </row>
    <row r="258" spans="3:20">
      <c r="C258" s="152" t="s">
        <v>2821</v>
      </c>
      <c r="D258" s="474" t="s">
        <v>676</v>
      </c>
      <c r="E258" s="684" t="str">
        <f>+VLOOKUP(F258,Resumen_Base!$C$8:$G$156,5,0)</f>
        <v>Tips</v>
      </c>
      <c r="F258" s="152" t="s">
        <v>366</v>
      </c>
      <c r="G258" s="152" t="s">
        <v>367</v>
      </c>
      <c r="H258" s="152" t="str">
        <f t="shared" si="3"/>
        <v>CAR210609</v>
      </c>
      <c r="I258" s="513">
        <v>-564000</v>
      </c>
      <c r="J258" s="513">
        <v>-400</v>
      </c>
      <c r="K258" s="513">
        <v>1410</v>
      </c>
      <c r="L258" s="518" t="s">
        <v>3498</v>
      </c>
      <c r="M258" s="152" t="s">
        <v>1566</v>
      </c>
      <c r="N258" s="152" t="s">
        <v>1407</v>
      </c>
      <c r="O258" s="152" t="s">
        <v>4623</v>
      </c>
      <c r="P258" s="152" t="s">
        <v>4279</v>
      </c>
      <c r="Q258" s="152" t="s">
        <v>4624</v>
      </c>
      <c r="R258" s="152" t="s">
        <v>4621</v>
      </c>
      <c r="S258" s="152" t="s">
        <v>4625</v>
      </c>
      <c r="T258" s="152" t="s">
        <v>786</v>
      </c>
    </row>
    <row r="259" spans="3:20">
      <c r="C259" s="152" t="s">
        <v>2821</v>
      </c>
      <c r="D259" s="474" t="s">
        <v>676</v>
      </c>
      <c r="E259" s="684" t="str">
        <f>+VLOOKUP(F259,Resumen_Base!$C$8:$G$156,5,0)</f>
        <v>Tips</v>
      </c>
      <c r="F259" s="152" t="s">
        <v>366</v>
      </c>
      <c r="G259" s="152" t="s">
        <v>367</v>
      </c>
      <c r="H259" s="152" t="str">
        <f t="shared" si="3"/>
        <v>CAR210609</v>
      </c>
      <c r="I259" s="513">
        <v>-564000</v>
      </c>
      <c r="J259" s="513">
        <v>-400</v>
      </c>
      <c r="K259" s="513">
        <v>1410</v>
      </c>
      <c r="L259" s="518" t="s">
        <v>3498</v>
      </c>
      <c r="M259" s="152" t="s">
        <v>1566</v>
      </c>
      <c r="N259" s="152" t="s">
        <v>1407</v>
      </c>
      <c r="O259" s="152" t="s">
        <v>4623</v>
      </c>
      <c r="P259" s="152" t="s">
        <v>4279</v>
      </c>
      <c r="Q259" s="152" t="s">
        <v>4624</v>
      </c>
      <c r="R259" s="152" t="s">
        <v>4621</v>
      </c>
      <c r="S259" s="152" t="s">
        <v>4625</v>
      </c>
      <c r="T259" s="152" t="s">
        <v>786</v>
      </c>
    </row>
    <row r="260" spans="3:20">
      <c r="C260" s="152" t="s">
        <v>2821</v>
      </c>
      <c r="D260" s="474" t="s">
        <v>676</v>
      </c>
      <c r="E260" s="684" t="str">
        <f>+VLOOKUP(F260,Resumen_Base!$C$8:$G$156,5,0)</f>
        <v>Tips</v>
      </c>
      <c r="F260" s="152" t="s">
        <v>366</v>
      </c>
      <c r="G260" s="152" t="s">
        <v>367</v>
      </c>
      <c r="H260" s="152" t="str">
        <f t="shared" si="3"/>
        <v>CAR210609</v>
      </c>
      <c r="I260" s="513">
        <v>-423000</v>
      </c>
      <c r="J260" s="513">
        <v>-300</v>
      </c>
      <c r="K260" s="513">
        <v>1410</v>
      </c>
      <c r="L260" s="518" t="s">
        <v>3498</v>
      </c>
      <c r="M260" s="152" t="s">
        <v>1566</v>
      </c>
      <c r="N260" s="152" t="s">
        <v>1407</v>
      </c>
      <c r="O260" s="152" t="s">
        <v>4626</v>
      </c>
      <c r="P260" s="152" t="s">
        <v>4279</v>
      </c>
      <c r="Q260" s="152" t="s">
        <v>4627</v>
      </c>
      <c r="R260" s="152" t="s">
        <v>4621</v>
      </c>
      <c r="S260" s="152" t="s">
        <v>4628</v>
      </c>
      <c r="T260" s="152" t="s">
        <v>786</v>
      </c>
    </row>
    <row r="261" spans="3:20">
      <c r="C261" s="152" t="s">
        <v>2821</v>
      </c>
      <c r="D261" s="474" t="s">
        <v>676</v>
      </c>
      <c r="E261" s="684" t="str">
        <f>+VLOOKUP(F261,Resumen_Base!$C$8:$G$156,5,0)</f>
        <v>Tips</v>
      </c>
      <c r="F261" s="152" t="s">
        <v>366</v>
      </c>
      <c r="G261" s="152" t="s">
        <v>367</v>
      </c>
      <c r="H261" s="152" t="str">
        <f t="shared" si="3"/>
        <v>CAR210609</v>
      </c>
      <c r="I261" s="513">
        <v>-423000</v>
      </c>
      <c r="J261" s="513">
        <v>-300</v>
      </c>
      <c r="K261" s="513">
        <v>1410</v>
      </c>
      <c r="L261" s="518" t="s">
        <v>3498</v>
      </c>
      <c r="M261" s="152" t="s">
        <v>1566</v>
      </c>
      <c r="N261" s="152" t="s">
        <v>1407</v>
      </c>
      <c r="O261" s="152" t="s">
        <v>4626</v>
      </c>
      <c r="P261" s="152" t="s">
        <v>4279</v>
      </c>
      <c r="Q261" s="152" t="s">
        <v>4627</v>
      </c>
      <c r="R261" s="152" t="s">
        <v>4621</v>
      </c>
      <c r="S261" s="152" t="s">
        <v>4628</v>
      </c>
      <c r="T261" s="152" t="s">
        <v>786</v>
      </c>
    </row>
    <row r="262" spans="3:20">
      <c r="C262" s="152" t="s">
        <v>2821</v>
      </c>
      <c r="D262" s="474" t="s">
        <v>676</v>
      </c>
      <c r="E262" s="684" t="str">
        <f>+VLOOKUP(F262,Resumen_Base!$C$8:$G$156,5,0)</f>
        <v>Tips</v>
      </c>
      <c r="F262" s="152" t="s">
        <v>366</v>
      </c>
      <c r="G262" s="152" t="s">
        <v>367</v>
      </c>
      <c r="H262" s="152" t="str">
        <f t="shared" si="3"/>
        <v>CAR210609</v>
      </c>
      <c r="I262" s="513">
        <v>-387750</v>
      </c>
      <c r="J262" s="513">
        <v>-275</v>
      </c>
      <c r="K262" s="513">
        <v>1410</v>
      </c>
      <c r="L262" s="518" t="s">
        <v>3498</v>
      </c>
      <c r="M262" s="152" t="s">
        <v>1566</v>
      </c>
      <c r="N262" s="152" t="s">
        <v>1407</v>
      </c>
      <c r="O262" s="152" t="s">
        <v>4629</v>
      </c>
      <c r="P262" s="152" t="s">
        <v>4279</v>
      </c>
      <c r="Q262" s="152" t="s">
        <v>4630</v>
      </c>
      <c r="R262" s="152" t="s">
        <v>4621</v>
      </c>
      <c r="S262" s="152" t="s">
        <v>4631</v>
      </c>
      <c r="T262" s="152" t="s">
        <v>786</v>
      </c>
    </row>
    <row r="263" spans="3:20">
      <c r="C263" s="152" t="s">
        <v>2821</v>
      </c>
      <c r="D263" s="474" t="s">
        <v>676</v>
      </c>
      <c r="E263" s="684" t="str">
        <f>+VLOOKUP(F263,Resumen_Base!$C$8:$G$156,5,0)</f>
        <v>Tips</v>
      </c>
      <c r="F263" s="152" t="s">
        <v>366</v>
      </c>
      <c r="G263" s="152" t="s">
        <v>367</v>
      </c>
      <c r="H263" s="152" t="str">
        <f t="shared" si="3"/>
        <v>CAR210609</v>
      </c>
      <c r="I263" s="513">
        <v>-458250</v>
      </c>
      <c r="J263" s="513">
        <v>-325</v>
      </c>
      <c r="K263" s="513">
        <v>1410</v>
      </c>
      <c r="L263" s="518" t="s">
        <v>3498</v>
      </c>
      <c r="M263" s="152" t="s">
        <v>1566</v>
      </c>
      <c r="N263" s="152" t="s">
        <v>1407</v>
      </c>
      <c r="O263" s="152" t="s">
        <v>4629</v>
      </c>
      <c r="P263" s="152" t="s">
        <v>4279</v>
      </c>
      <c r="Q263" s="152" t="s">
        <v>4630</v>
      </c>
      <c r="R263" s="152" t="s">
        <v>4621</v>
      </c>
      <c r="S263" s="152" t="s">
        <v>4631</v>
      </c>
      <c r="T263" s="152" t="s">
        <v>786</v>
      </c>
    </row>
    <row r="264" spans="3:20">
      <c r="C264" s="152" t="s">
        <v>2821</v>
      </c>
      <c r="D264" s="474" t="s">
        <v>676</v>
      </c>
      <c r="E264" s="684" t="str">
        <f>+VLOOKUP(F264,Resumen_Base!$C$8:$G$156,5,0)</f>
        <v>Tips</v>
      </c>
      <c r="F264" s="152" t="s">
        <v>366</v>
      </c>
      <c r="G264" s="152" t="s">
        <v>367</v>
      </c>
      <c r="H264" s="152" t="str">
        <f t="shared" si="3"/>
        <v>CAR210609</v>
      </c>
      <c r="I264" s="513">
        <v>-528750</v>
      </c>
      <c r="J264" s="513">
        <v>-375</v>
      </c>
      <c r="K264" s="513">
        <v>1410</v>
      </c>
      <c r="L264" s="518" t="s">
        <v>3498</v>
      </c>
      <c r="M264" s="152" t="s">
        <v>1566</v>
      </c>
      <c r="N264" s="152" t="s">
        <v>1407</v>
      </c>
      <c r="O264" s="152" t="s">
        <v>4632</v>
      </c>
      <c r="P264" s="152" t="s">
        <v>4279</v>
      </c>
      <c r="Q264" s="152" t="s">
        <v>4633</v>
      </c>
      <c r="R264" s="152" t="s">
        <v>4634</v>
      </c>
      <c r="S264" s="152" t="s">
        <v>4635</v>
      </c>
      <c r="T264" s="152" t="s">
        <v>786</v>
      </c>
    </row>
    <row r="265" spans="3:20">
      <c r="C265" s="152" t="s">
        <v>2821</v>
      </c>
      <c r="D265" s="474" t="s">
        <v>676</v>
      </c>
      <c r="E265" s="684" t="str">
        <f>+VLOOKUP(F265,Resumen_Base!$C$8:$G$156,5,0)</f>
        <v>Tips</v>
      </c>
      <c r="F265" s="152" t="s">
        <v>366</v>
      </c>
      <c r="G265" s="152" t="s">
        <v>367</v>
      </c>
      <c r="H265" s="152" t="str">
        <f t="shared" si="3"/>
        <v>CAR210609</v>
      </c>
      <c r="I265" s="513">
        <v>-334875</v>
      </c>
      <c r="J265" s="513">
        <v>-237.5</v>
      </c>
      <c r="K265" s="513">
        <v>1410</v>
      </c>
      <c r="L265" s="518" t="s">
        <v>3498</v>
      </c>
      <c r="M265" s="152" t="s">
        <v>1566</v>
      </c>
      <c r="N265" s="152" t="s">
        <v>1407</v>
      </c>
      <c r="O265" s="152" t="s">
        <v>4632</v>
      </c>
      <c r="P265" s="152" t="s">
        <v>4279</v>
      </c>
      <c r="Q265" s="152" t="s">
        <v>4633</v>
      </c>
      <c r="R265" s="152" t="s">
        <v>4634</v>
      </c>
      <c r="S265" s="152" t="s">
        <v>4635</v>
      </c>
      <c r="T265" s="152" t="s">
        <v>786</v>
      </c>
    </row>
    <row r="266" spans="3:20">
      <c r="C266" s="152" t="s">
        <v>2821</v>
      </c>
      <c r="D266" s="474" t="s">
        <v>676</v>
      </c>
      <c r="E266" s="684" t="str">
        <f>+VLOOKUP(F266,Resumen_Base!$C$8:$G$156,5,0)</f>
        <v>Tips</v>
      </c>
      <c r="F266" s="152" t="s">
        <v>366</v>
      </c>
      <c r="G266" s="152" t="s">
        <v>367</v>
      </c>
      <c r="H266" s="152" t="str">
        <f t="shared" si="3"/>
        <v>CAR210609</v>
      </c>
      <c r="I266" s="513">
        <v>-282000</v>
      </c>
      <c r="J266" s="513">
        <v>-200</v>
      </c>
      <c r="K266" s="513">
        <v>1410</v>
      </c>
      <c r="L266" s="518" t="s">
        <v>3498</v>
      </c>
      <c r="M266" s="152" t="s">
        <v>1566</v>
      </c>
      <c r="N266" s="152" t="s">
        <v>1407</v>
      </c>
      <c r="O266" s="152" t="s">
        <v>4636</v>
      </c>
      <c r="P266" s="152" t="s">
        <v>4279</v>
      </c>
      <c r="Q266" s="152" t="s">
        <v>4637</v>
      </c>
      <c r="R266" s="152" t="s">
        <v>4634</v>
      </c>
      <c r="S266" s="152" t="s">
        <v>4638</v>
      </c>
      <c r="T266" s="152" t="s">
        <v>786</v>
      </c>
    </row>
    <row r="267" spans="3:20">
      <c r="C267" s="152" t="s">
        <v>2821</v>
      </c>
      <c r="D267" s="474" t="s">
        <v>676</v>
      </c>
      <c r="E267" s="684" t="str">
        <f>+VLOOKUP(F267,Resumen_Base!$C$8:$G$156,5,0)</f>
        <v>Tips</v>
      </c>
      <c r="F267" s="152" t="s">
        <v>366</v>
      </c>
      <c r="G267" s="152" t="s">
        <v>367</v>
      </c>
      <c r="H267" s="152" t="str">
        <f t="shared" si="3"/>
        <v>CAR210609</v>
      </c>
      <c r="I267" s="513">
        <v>-419475</v>
      </c>
      <c r="J267" s="513">
        <v>-297.5</v>
      </c>
      <c r="K267" s="513">
        <v>1410</v>
      </c>
      <c r="L267" s="518" t="s">
        <v>3498</v>
      </c>
      <c r="M267" s="152" t="s">
        <v>1566</v>
      </c>
      <c r="N267" s="152" t="s">
        <v>1407</v>
      </c>
      <c r="O267" s="152" t="s">
        <v>4636</v>
      </c>
      <c r="P267" s="152" t="s">
        <v>4279</v>
      </c>
      <c r="Q267" s="152" t="s">
        <v>4637</v>
      </c>
      <c r="R267" s="152" t="s">
        <v>4634</v>
      </c>
      <c r="S267" s="152" t="s">
        <v>4638</v>
      </c>
      <c r="T267" s="152" t="s">
        <v>786</v>
      </c>
    </row>
    <row r="268" spans="3:20">
      <c r="C268" s="152" t="s">
        <v>2821</v>
      </c>
      <c r="D268" s="474" t="s">
        <v>676</v>
      </c>
      <c r="E268" s="684" t="str">
        <f>+VLOOKUP(F268,Resumen_Base!$C$8:$G$156,5,0)</f>
        <v>Tips</v>
      </c>
      <c r="F268" s="152" t="s">
        <v>366</v>
      </c>
      <c r="G268" s="152" t="s">
        <v>367</v>
      </c>
      <c r="H268" s="152" t="str">
        <f t="shared" si="3"/>
        <v>CAR210609</v>
      </c>
      <c r="I268" s="513">
        <v>-353750</v>
      </c>
      <c r="J268" s="513">
        <v>-250</v>
      </c>
      <c r="K268" s="513">
        <v>1415</v>
      </c>
      <c r="L268" s="518" t="s">
        <v>3632</v>
      </c>
      <c r="M268" s="152" t="s">
        <v>1566</v>
      </c>
      <c r="N268" s="152" t="s">
        <v>1407</v>
      </c>
      <c r="O268" s="152" t="s">
        <v>4639</v>
      </c>
      <c r="P268" s="152" t="s">
        <v>4279</v>
      </c>
      <c r="Q268" s="152" t="s">
        <v>4640</v>
      </c>
      <c r="R268" s="152" t="s">
        <v>4641</v>
      </c>
      <c r="S268" s="152" t="s">
        <v>4642</v>
      </c>
      <c r="T268" s="152" t="s">
        <v>786</v>
      </c>
    </row>
    <row r="269" spans="3:20">
      <c r="C269" s="152" t="s">
        <v>2821</v>
      </c>
      <c r="D269" s="474" t="s">
        <v>676</v>
      </c>
      <c r="E269" s="684" t="str">
        <f>+VLOOKUP(F269,Resumen_Base!$C$8:$G$156,5,0)</f>
        <v>Tips</v>
      </c>
      <c r="F269" s="152" t="s">
        <v>366</v>
      </c>
      <c r="G269" s="152" t="s">
        <v>367</v>
      </c>
      <c r="H269" s="152" t="str">
        <f t="shared" ref="H269:H332" si="4">+D269&amp;F269</f>
        <v>CAR210609</v>
      </c>
      <c r="I269" s="513">
        <v>-495250</v>
      </c>
      <c r="J269" s="513">
        <v>-350</v>
      </c>
      <c r="K269" s="513">
        <v>1415</v>
      </c>
      <c r="L269" s="518" t="s">
        <v>3632</v>
      </c>
      <c r="M269" s="152" t="s">
        <v>1566</v>
      </c>
      <c r="N269" s="152" t="s">
        <v>1407</v>
      </c>
      <c r="O269" s="152" t="s">
        <v>4639</v>
      </c>
      <c r="P269" s="152" t="s">
        <v>4279</v>
      </c>
      <c r="Q269" s="152" t="s">
        <v>4640</v>
      </c>
      <c r="R269" s="152" t="s">
        <v>4641</v>
      </c>
      <c r="S269" s="152" t="s">
        <v>4642</v>
      </c>
      <c r="T269" s="152" t="s">
        <v>786</v>
      </c>
    </row>
    <row r="270" spans="3:20">
      <c r="C270" s="152" t="s">
        <v>2821</v>
      </c>
      <c r="D270" s="474" t="s">
        <v>676</v>
      </c>
      <c r="E270" s="684" t="str">
        <f>+VLOOKUP(F270,Resumen_Base!$C$8:$G$156,5,0)</f>
        <v>Tips</v>
      </c>
      <c r="F270" s="152" t="s">
        <v>366</v>
      </c>
      <c r="G270" s="152" t="s">
        <v>367</v>
      </c>
      <c r="H270" s="152" t="str">
        <f t="shared" si="4"/>
        <v>CAR210609</v>
      </c>
      <c r="I270" s="513">
        <v>-353750</v>
      </c>
      <c r="J270" s="513">
        <v>-250</v>
      </c>
      <c r="K270" s="513">
        <v>1415</v>
      </c>
      <c r="L270" s="518" t="s">
        <v>3632</v>
      </c>
      <c r="M270" s="152" t="s">
        <v>1566</v>
      </c>
      <c r="N270" s="152" t="s">
        <v>1407</v>
      </c>
      <c r="O270" s="152" t="s">
        <v>4643</v>
      </c>
      <c r="P270" s="152" t="s">
        <v>4279</v>
      </c>
      <c r="Q270" s="152" t="s">
        <v>4644</v>
      </c>
      <c r="R270" s="152" t="s">
        <v>4641</v>
      </c>
      <c r="S270" s="152" t="s">
        <v>4645</v>
      </c>
      <c r="T270" s="152" t="s">
        <v>786</v>
      </c>
    </row>
    <row r="271" spans="3:20">
      <c r="C271" s="152" t="s">
        <v>2821</v>
      </c>
      <c r="D271" s="474" t="s">
        <v>676</v>
      </c>
      <c r="E271" s="684" t="str">
        <f>+VLOOKUP(F271,Resumen_Base!$C$8:$G$156,5,0)</f>
        <v>Tips</v>
      </c>
      <c r="F271" s="152" t="s">
        <v>366</v>
      </c>
      <c r="G271" s="152" t="s">
        <v>367</v>
      </c>
      <c r="H271" s="152" t="str">
        <f t="shared" si="4"/>
        <v>CAR210609</v>
      </c>
      <c r="I271" s="513">
        <v>-495250</v>
      </c>
      <c r="J271" s="513">
        <v>-350</v>
      </c>
      <c r="K271" s="513">
        <v>1415</v>
      </c>
      <c r="L271" s="518" t="s">
        <v>3632</v>
      </c>
      <c r="M271" s="152" t="s">
        <v>1566</v>
      </c>
      <c r="N271" s="152" t="s">
        <v>1407</v>
      </c>
      <c r="O271" s="152" t="s">
        <v>4643</v>
      </c>
      <c r="P271" s="152" t="s">
        <v>4279</v>
      </c>
      <c r="Q271" s="152" t="s">
        <v>4644</v>
      </c>
      <c r="R271" s="152" t="s">
        <v>4641</v>
      </c>
      <c r="S271" s="152" t="s">
        <v>4645</v>
      </c>
      <c r="T271" s="152" t="s">
        <v>786</v>
      </c>
    </row>
    <row r="272" spans="3:20">
      <c r="C272" s="152" t="s">
        <v>2821</v>
      </c>
      <c r="D272" s="474" t="s">
        <v>676</v>
      </c>
      <c r="E272" s="684" t="str">
        <f>+VLOOKUP(F272,Resumen_Base!$C$8:$G$156,5,0)</f>
        <v>Tips</v>
      </c>
      <c r="F272" s="152" t="s">
        <v>366</v>
      </c>
      <c r="G272" s="152" t="s">
        <v>367</v>
      </c>
      <c r="H272" s="152" t="str">
        <f t="shared" si="4"/>
        <v>CAR210609</v>
      </c>
      <c r="I272" s="513">
        <v>-1152000</v>
      </c>
      <c r="J272" s="513">
        <v>-800</v>
      </c>
      <c r="K272" s="513">
        <v>1440</v>
      </c>
      <c r="L272" s="518" t="s">
        <v>3517</v>
      </c>
      <c r="M272" s="152" t="s">
        <v>1566</v>
      </c>
      <c r="N272" s="152" t="s">
        <v>1407</v>
      </c>
      <c r="O272" s="152" t="s">
        <v>4646</v>
      </c>
      <c r="P272" s="152" t="s">
        <v>1881</v>
      </c>
      <c r="Q272" s="152" t="s">
        <v>4647</v>
      </c>
      <c r="R272" s="152" t="s">
        <v>4648</v>
      </c>
      <c r="S272" s="152" t="s">
        <v>4649</v>
      </c>
      <c r="T272" s="152" t="s">
        <v>786</v>
      </c>
    </row>
    <row r="273" spans="3:20">
      <c r="C273" s="152" t="s">
        <v>2821</v>
      </c>
      <c r="D273" s="474" t="s">
        <v>676</v>
      </c>
      <c r="E273" s="684" t="str">
        <f>+VLOOKUP(F273,Resumen_Base!$C$8:$G$156,5,0)</f>
        <v>Tips</v>
      </c>
      <c r="F273" s="152" t="s">
        <v>366</v>
      </c>
      <c r="G273" s="152" t="s">
        <v>367</v>
      </c>
      <c r="H273" s="152" t="str">
        <f t="shared" si="4"/>
        <v>CAR210609</v>
      </c>
      <c r="I273" s="513">
        <v>-576000</v>
      </c>
      <c r="J273" s="513">
        <v>-400</v>
      </c>
      <c r="K273" s="513">
        <v>1440</v>
      </c>
      <c r="L273" s="518" t="s">
        <v>3517</v>
      </c>
      <c r="M273" s="152" t="s">
        <v>1566</v>
      </c>
      <c r="N273" s="152" t="s">
        <v>1407</v>
      </c>
      <c r="O273" s="152" t="s">
        <v>4646</v>
      </c>
      <c r="P273" s="152" t="s">
        <v>1881</v>
      </c>
      <c r="Q273" s="152" t="s">
        <v>4647</v>
      </c>
      <c r="R273" s="152" t="s">
        <v>4648</v>
      </c>
      <c r="S273" s="152" t="s">
        <v>4649</v>
      </c>
      <c r="T273" s="152" t="s">
        <v>786</v>
      </c>
    </row>
    <row r="274" spans="3:20">
      <c r="C274" s="152" t="s">
        <v>2821</v>
      </c>
      <c r="D274" s="474" t="s">
        <v>676</v>
      </c>
      <c r="E274" s="684" t="str">
        <f>+VLOOKUP(F274,Resumen_Base!$C$8:$G$156,5,0)</f>
        <v>Tips</v>
      </c>
      <c r="F274" s="152" t="s">
        <v>366</v>
      </c>
      <c r="G274" s="152" t="s">
        <v>367</v>
      </c>
      <c r="H274" s="152" t="str">
        <f t="shared" si="4"/>
        <v>CAR210609</v>
      </c>
      <c r="I274" s="513">
        <v>-636750</v>
      </c>
      <c r="J274" s="513">
        <v>-450</v>
      </c>
      <c r="K274" s="513">
        <v>1415</v>
      </c>
      <c r="L274" s="518" t="s">
        <v>3632</v>
      </c>
      <c r="M274" s="152" t="s">
        <v>1566</v>
      </c>
      <c r="N274" s="152" t="s">
        <v>1407</v>
      </c>
      <c r="O274" s="152" t="s">
        <v>4650</v>
      </c>
      <c r="P274" s="152" t="s">
        <v>4279</v>
      </c>
      <c r="Q274" s="152" t="s">
        <v>4651</v>
      </c>
      <c r="R274" s="152" t="s">
        <v>4652</v>
      </c>
      <c r="S274" s="152" t="s">
        <v>4653</v>
      </c>
      <c r="T274" s="152" t="s">
        <v>786</v>
      </c>
    </row>
    <row r="275" spans="3:20">
      <c r="C275" s="152" t="s">
        <v>2821</v>
      </c>
      <c r="D275" s="474" t="s">
        <v>676</v>
      </c>
      <c r="E275" s="684" t="str">
        <f>+VLOOKUP(F275,Resumen_Base!$C$8:$G$156,5,0)</f>
        <v>Tips</v>
      </c>
      <c r="F275" s="152" t="s">
        <v>366</v>
      </c>
      <c r="G275" s="152" t="s">
        <v>367</v>
      </c>
      <c r="H275" s="152" t="str">
        <f t="shared" si="4"/>
        <v>CAR210609</v>
      </c>
      <c r="I275" s="513">
        <v>-566000</v>
      </c>
      <c r="J275" s="513">
        <v>-400</v>
      </c>
      <c r="K275" s="513">
        <v>1415</v>
      </c>
      <c r="L275" s="518" t="s">
        <v>3632</v>
      </c>
      <c r="M275" s="152" t="s">
        <v>1566</v>
      </c>
      <c r="N275" s="152" t="s">
        <v>1407</v>
      </c>
      <c r="O275" s="152" t="s">
        <v>4650</v>
      </c>
      <c r="P275" s="152" t="s">
        <v>4279</v>
      </c>
      <c r="Q275" s="152" t="s">
        <v>4651</v>
      </c>
      <c r="R275" s="152" t="s">
        <v>4652</v>
      </c>
      <c r="S275" s="152" t="s">
        <v>4653</v>
      </c>
      <c r="T275" s="152" t="s">
        <v>786</v>
      </c>
    </row>
    <row r="276" spans="3:20">
      <c r="C276" s="152" t="s">
        <v>2821</v>
      </c>
      <c r="D276" s="474" t="s">
        <v>676</v>
      </c>
      <c r="E276" s="684" t="str">
        <f>+VLOOKUP(F276,Resumen_Base!$C$8:$G$156,5,0)</f>
        <v>Tips</v>
      </c>
      <c r="F276" s="152" t="s">
        <v>366</v>
      </c>
      <c r="G276" s="152" t="s">
        <v>367</v>
      </c>
      <c r="H276" s="152" t="str">
        <f t="shared" si="4"/>
        <v>CAR210609</v>
      </c>
      <c r="I276" s="513">
        <v>-636750</v>
      </c>
      <c r="J276" s="513">
        <v>-450</v>
      </c>
      <c r="K276" s="513">
        <v>1415</v>
      </c>
      <c r="L276" s="518" t="s">
        <v>3632</v>
      </c>
      <c r="M276" s="152" t="s">
        <v>1566</v>
      </c>
      <c r="N276" s="152" t="s">
        <v>1407</v>
      </c>
      <c r="O276" s="152" t="s">
        <v>4654</v>
      </c>
      <c r="P276" s="152" t="s">
        <v>4279</v>
      </c>
      <c r="Q276" s="152" t="s">
        <v>4655</v>
      </c>
      <c r="R276" s="152" t="s">
        <v>4652</v>
      </c>
      <c r="S276" s="152" t="s">
        <v>4656</v>
      </c>
      <c r="T276" s="152" t="s">
        <v>786</v>
      </c>
    </row>
    <row r="277" spans="3:20">
      <c r="C277" s="152" t="s">
        <v>2821</v>
      </c>
      <c r="D277" s="474" t="s">
        <v>676</v>
      </c>
      <c r="E277" s="684" t="str">
        <f>+VLOOKUP(F277,Resumen_Base!$C$8:$G$156,5,0)</f>
        <v>Tips</v>
      </c>
      <c r="F277" s="152" t="s">
        <v>366</v>
      </c>
      <c r="G277" s="152" t="s">
        <v>367</v>
      </c>
      <c r="H277" s="152" t="str">
        <f t="shared" si="4"/>
        <v>CAR210609</v>
      </c>
      <c r="I277" s="513">
        <v>-566000</v>
      </c>
      <c r="J277" s="513">
        <v>-400</v>
      </c>
      <c r="K277" s="513">
        <v>1415</v>
      </c>
      <c r="L277" s="518" t="s">
        <v>3632</v>
      </c>
      <c r="M277" s="152" t="s">
        <v>1566</v>
      </c>
      <c r="N277" s="152" t="s">
        <v>1407</v>
      </c>
      <c r="O277" s="152" t="s">
        <v>4654</v>
      </c>
      <c r="P277" s="152" t="s">
        <v>4279</v>
      </c>
      <c r="Q277" s="152" t="s">
        <v>4655</v>
      </c>
      <c r="R277" s="152" t="s">
        <v>4652</v>
      </c>
      <c r="S277" s="152" t="s">
        <v>4656</v>
      </c>
      <c r="T277" s="152" t="s">
        <v>786</v>
      </c>
    </row>
    <row r="278" spans="3:20">
      <c r="C278" s="152" t="s">
        <v>2821</v>
      </c>
      <c r="D278" s="474" t="s">
        <v>676</v>
      </c>
      <c r="E278" s="684" t="str">
        <f>+VLOOKUP(F278,Resumen_Base!$C$8:$G$156,5,0)</f>
        <v>Tips</v>
      </c>
      <c r="F278" s="152" t="s">
        <v>366</v>
      </c>
      <c r="G278" s="152" t="s">
        <v>367</v>
      </c>
      <c r="H278" s="152" t="str">
        <f t="shared" si="4"/>
        <v>CAR210609</v>
      </c>
      <c r="I278" s="513">
        <v>-1050000</v>
      </c>
      <c r="J278" s="513">
        <v>-750</v>
      </c>
      <c r="K278" s="513">
        <v>1400</v>
      </c>
      <c r="L278" s="518" t="s">
        <v>3659</v>
      </c>
      <c r="M278" s="152" t="s">
        <v>1566</v>
      </c>
      <c r="N278" s="152" t="s">
        <v>1407</v>
      </c>
      <c r="O278" s="152" t="s">
        <v>4661</v>
      </c>
      <c r="P278" s="152" t="s">
        <v>4279</v>
      </c>
      <c r="Q278" s="152" t="s">
        <v>4662</v>
      </c>
      <c r="R278" s="152" t="s">
        <v>4663</v>
      </c>
      <c r="S278" s="152" t="s">
        <v>4664</v>
      </c>
      <c r="T278" s="152" t="s">
        <v>786</v>
      </c>
    </row>
    <row r="279" spans="3:20">
      <c r="C279" s="152" t="s">
        <v>2821</v>
      </c>
      <c r="D279" s="474" t="s">
        <v>676</v>
      </c>
      <c r="E279" s="684" t="str">
        <f>+VLOOKUP(F279,Resumen_Base!$C$8:$G$156,5,0)</f>
        <v>Tips</v>
      </c>
      <c r="F279" s="152" t="s">
        <v>366</v>
      </c>
      <c r="G279" s="152" t="s">
        <v>367</v>
      </c>
      <c r="H279" s="152" t="str">
        <f t="shared" si="4"/>
        <v>CAR210609</v>
      </c>
      <c r="I279" s="513">
        <v>-1050000</v>
      </c>
      <c r="J279" s="513">
        <v>-750</v>
      </c>
      <c r="K279" s="513">
        <v>1400</v>
      </c>
      <c r="L279" s="518" t="s">
        <v>3659</v>
      </c>
      <c r="M279" s="152" t="s">
        <v>1566</v>
      </c>
      <c r="N279" s="152" t="s">
        <v>1407</v>
      </c>
      <c r="O279" s="152" t="s">
        <v>4661</v>
      </c>
      <c r="P279" s="152" t="s">
        <v>4279</v>
      </c>
      <c r="Q279" s="152" t="s">
        <v>4662</v>
      </c>
      <c r="R279" s="152" t="s">
        <v>4663</v>
      </c>
      <c r="S279" s="152" t="s">
        <v>4664</v>
      </c>
      <c r="T279" s="152" t="s">
        <v>786</v>
      </c>
    </row>
    <row r="280" spans="3:20">
      <c r="C280" s="152" t="s">
        <v>2821</v>
      </c>
      <c r="D280" s="474" t="s">
        <v>676</v>
      </c>
      <c r="E280" s="684" t="str">
        <f>+VLOOKUP(F280,Resumen_Base!$C$8:$G$156,5,0)</f>
        <v>Tips</v>
      </c>
      <c r="F280" s="152" t="s">
        <v>366</v>
      </c>
      <c r="G280" s="152" t="s">
        <v>367</v>
      </c>
      <c r="H280" s="152" t="str">
        <f t="shared" si="4"/>
        <v>CAR210609</v>
      </c>
      <c r="I280" s="513">
        <v>-1050000</v>
      </c>
      <c r="J280" s="513">
        <v>-750</v>
      </c>
      <c r="K280" s="513">
        <v>1400</v>
      </c>
      <c r="L280" s="518" t="s">
        <v>3659</v>
      </c>
      <c r="M280" s="152" t="s">
        <v>1566</v>
      </c>
      <c r="N280" s="152" t="s">
        <v>1407</v>
      </c>
      <c r="O280" s="152" t="s">
        <v>4665</v>
      </c>
      <c r="P280" s="152" t="s">
        <v>4279</v>
      </c>
      <c r="Q280" s="152" t="s">
        <v>4666</v>
      </c>
      <c r="R280" s="152" t="s">
        <v>4663</v>
      </c>
      <c r="S280" s="152" t="s">
        <v>4667</v>
      </c>
      <c r="T280" s="152" t="s">
        <v>786</v>
      </c>
    </row>
    <row r="281" spans="3:20">
      <c r="C281" s="152" t="s">
        <v>2821</v>
      </c>
      <c r="D281" s="474" t="s">
        <v>676</v>
      </c>
      <c r="E281" s="684" t="str">
        <f>+VLOOKUP(F281,Resumen_Base!$C$8:$G$156,5,0)</f>
        <v>Tips</v>
      </c>
      <c r="F281" s="152" t="s">
        <v>366</v>
      </c>
      <c r="G281" s="152" t="s">
        <v>367</v>
      </c>
      <c r="H281" s="152" t="str">
        <f t="shared" si="4"/>
        <v>CAR210609</v>
      </c>
      <c r="I281" s="513">
        <v>-1050000</v>
      </c>
      <c r="J281" s="513">
        <v>-750</v>
      </c>
      <c r="K281" s="513">
        <v>1400</v>
      </c>
      <c r="L281" s="518" t="s">
        <v>3659</v>
      </c>
      <c r="M281" s="152" t="s">
        <v>1566</v>
      </c>
      <c r="N281" s="152" t="s">
        <v>1407</v>
      </c>
      <c r="O281" s="152" t="s">
        <v>4665</v>
      </c>
      <c r="P281" s="152" t="s">
        <v>4279</v>
      </c>
      <c r="Q281" s="152" t="s">
        <v>4666</v>
      </c>
      <c r="R281" s="152" t="s">
        <v>4663</v>
      </c>
      <c r="S281" s="152" t="s">
        <v>4667</v>
      </c>
      <c r="T281" s="152" t="s">
        <v>786</v>
      </c>
    </row>
    <row r="282" spans="3:20">
      <c r="C282" s="152" t="s">
        <v>2821</v>
      </c>
      <c r="D282" s="474" t="s">
        <v>676</v>
      </c>
      <c r="E282" s="684" t="str">
        <f>+VLOOKUP(F282,Resumen_Base!$C$8:$G$156,5,0)</f>
        <v>Tips</v>
      </c>
      <c r="F282" s="152" t="s">
        <v>366</v>
      </c>
      <c r="G282" s="152" t="s">
        <v>367</v>
      </c>
      <c r="H282" s="152" t="str">
        <f t="shared" si="4"/>
        <v>CAR210609</v>
      </c>
      <c r="I282" s="513">
        <v>-566000</v>
      </c>
      <c r="J282" s="513">
        <v>-400</v>
      </c>
      <c r="K282" s="513">
        <v>1415</v>
      </c>
      <c r="L282" s="518" t="s">
        <v>3511</v>
      </c>
      <c r="M282" s="152" t="s">
        <v>1566</v>
      </c>
      <c r="N282" s="152" t="s">
        <v>1407</v>
      </c>
      <c r="O282" s="152" t="s">
        <v>4668</v>
      </c>
      <c r="P282" s="152" t="s">
        <v>4279</v>
      </c>
      <c r="Q282" s="152" t="s">
        <v>4669</v>
      </c>
      <c r="R282" s="152" t="s">
        <v>4670</v>
      </c>
      <c r="S282" s="152" t="s">
        <v>4671</v>
      </c>
      <c r="T282" s="152" t="s">
        <v>786</v>
      </c>
    </row>
    <row r="283" spans="3:20">
      <c r="C283" s="152" t="s">
        <v>2821</v>
      </c>
      <c r="D283" s="474" t="s">
        <v>676</v>
      </c>
      <c r="E283" s="684" t="str">
        <f>+VLOOKUP(F283,Resumen_Base!$C$8:$G$156,5,0)</f>
        <v>Tips</v>
      </c>
      <c r="F283" s="152" t="s">
        <v>366</v>
      </c>
      <c r="G283" s="152" t="s">
        <v>367</v>
      </c>
      <c r="H283" s="152" t="str">
        <f t="shared" si="4"/>
        <v>CAR210609</v>
      </c>
      <c r="I283" s="513">
        <v>-283000</v>
      </c>
      <c r="J283" s="513">
        <v>-200</v>
      </c>
      <c r="K283" s="513">
        <v>1415</v>
      </c>
      <c r="L283" s="518" t="s">
        <v>3511</v>
      </c>
      <c r="M283" s="152" t="s">
        <v>1566</v>
      </c>
      <c r="N283" s="152" t="s">
        <v>1407</v>
      </c>
      <c r="O283" s="152" t="s">
        <v>4668</v>
      </c>
      <c r="P283" s="152" t="s">
        <v>4279</v>
      </c>
      <c r="Q283" s="152" t="s">
        <v>4669</v>
      </c>
      <c r="R283" s="152" t="s">
        <v>4670</v>
      </c>
      <c r="S283" s="152" t="s">
        <v>4671</v>
      </c>
      <c r="T283" s="152" t="s">
        <v>786</v>
      </c>
    </row>
    <row r="284" spans="3:20">
      <c r="C284" s="152" t="s">
        <v>2821</v>
      </c>
      <c r="D284" s="474" t="s">
        <v>676</v>
      </c>
      <c r="E284" s="684" t="str">
        <f>+VLOOKUP(F284,Resumen_Base!$C$8:$G$156,5,0)</f>
        <v>Tips</v>
      </c>
      <c r="F284" s="152" t="s">
        <v>366</v>
      </c>
      <c r="G284" s="152" t="s">
        <v>367</v>
      </c>
      <c r="H284" s="152" t="str">
        <f t="shared" si="4"/>
        <v>CAR210609</v>
      </c>
      <c r="I284" s="513">
        <v>-449600</v>
      </c>
      <c r="J284" s="513">
        <v>-320</v>
      </c>
      <c r="K284" s="513">
        <v>1405</v>
      </c>
      <c r="L284" s="518" t="s">
        <v>3493</v>
      </c>
      <c r="M284" s="152" t="s">
        <v>1566</v>
      </c>
      <c r="N284" s="152" t="s">
        <v>1407</v>
      </c>
      <c r="O284" s="152" t="s">
        <v>4672</v>
      </c>
      <c r="P284" s="152" t="s">
        <v>4279</v>
      </c>
      <c r="Q284" s="152" t="s">
        <v>4673</v>
      </c>
      <c r="R284" s="152" t="s">
        <v>4674</v>
      </c>
      <c r="S284" s="152" t="s">
        <v>4675</v>
      </c>
      <c r="T284" s="152" t="s">
        <v>786</v>
      </c>
    </row>
    <row r="285" spans="3:20">
      <c r="C285" s="152" t="s">
        <v>2821</v>
      </c>
      <c r="D285" s="474" t="s">
        <v>676</v>
      </c>
      <c r="E285" s="684" t="str">
        <f>+VLOOKUP(F285,Resumen_Base!$C$8:$G$156,5,0)</f>
        <v>Tips</v>
      </c>
      <c r="F285" s="152" t="s">
        <v>366</v>
      </c>
      <c r="G285" s="152" t="s">
        <v>367</v>
      </c>
      <c r="H285" s="152" t="str">
        <f t="shared" si="4"/>
        <v>CAR210609</v>
      </c>
      <c r="I285" s="513">
        <v>-337200</v>
      </c>
      <c r="J285" s="513">
        <v>-240</v>
      </c>
      <c r="K285" s="513">
        <v>1405</v>
      </c>
      <c r="L285" s="518" t="s">
        <v>3493</v>
      </c>
      <c r="M285" s="152" t="s">
        <v>1566</v>
      </c>
      <c r="N285" s="152" t="s">
        <v>1407</v>
      </c>
      <c r="O285" s="152" t="s">
        <v>4672</v>
      </c>
      <c r="P285" s="152" t="s">
        <v>4279</v>
      </c>
      <c r="Q285" s="152" t="s">
        <v>4673</v>
      </c>
      <c r="R285" s="152" t="s">
        <v>4674</v>
      </c>
      <c r="S285" s="152" t="s">
        <v>4675</v>
      </c>
      <c r="T285" s="152" t="s">
        <v>786</v>
      </c>
    </row>
    <row r="286" spans="3:20">
      <c r="C286" s="152" t="s">
        <v>2821</v>
      </c>
      <c r="D286" s="474" t="s">
        <v>676</v>
      </c>
      <c r="E286" s="684" t="str">
        <f>+VLOOKUP(F286,Resumen_Base!$C$8:$G$156,5,0)</f>
        <v>Tips</v>
      </c>
      <c r="F286" s="152" t="s">
        <v>366</v>
      </c>
      <c r="G286" s="152" t="s">
        <v>367</v>
      </c>
      <c r="H286" s="152" t="str">
        <f t="shared" si="4"/>
        <v>CAR210609</v>
      </c>
      <c r="I286" s="513">
        <v>-449600</v>
      </c>
      <c r="J286" s="513">
        <v>-320</v>
      </c>
      <c r="K286" s="513">
        <v>1405</v>
      </c>
      <c r="L286" s="518" t="s">
        <v>3493</v>
      </c>
      <c r="M286" s="152" t="s">
        <v>1566</v>
      </c>
      <c r="N286" s="152" t="s">
        <v>1407</v>
      </c>
      <c r="O286" s="152" t="s">
        <v>4676</v>
      </c>
      <c r="P286" s="152" t="s">
        <v>4279</v>
      </c>
      <c r="Q286" s="152" t="s">
        <v>4677</v>
      </c>
      <c r="R286" s="152" t="s">
        <v>4674</v>
      </c>
      <c r="S286" s="152" t="s">
        <v>4678</v>
      </c>
      <c r="T286" s="152" t="s">
        <v>786</v>
      </c>
    </row>
    <row r="287" spans="3:20">
      <c r="C287" s="152" t="s">
        <v>2821</v>
      </c>
      <c r="D287" s="474" t="s">
        <v>676</v>
      </c>
      <c r="E287" s="684" t="str">
        <f>+VLOOKUP(F287,Resumen_Base!$C$8:$G$156,5,0)</f>
        <v>Tips</v>
      </c>
      <c r="F287" s="152" t="s">
        <v>366</v>
      </c>
      <c r="G287" s="152" t="s">
        <v>367</v>
      </c>
      <c r="H287" s="152" t="str">
        <f t="shared" si="4"/>
        <v>CAR210609</v>
      </c>
      <c r="I287" s="513">
        <v>-337200</v>
      </c>
      <c r="J287" s="513">
        <v>-240</v>
      </c>
      <c r="K287" s="513">
        <v>1405</v>
      </c>
      <c r="L287" s="518" t="s">
        <v>3493</v>
      </c>
      <c r="M287" s="152" t="s">
        <v>1566</v>
      </c>
      <c r="N287" s="152" t="s">
        <v>1407</v>
      </c>
      <c r="O287" s="152" t="s">
        <v>4676</v>
      </c>
      <c r="P287" s="152" t="s">
        <v>4279</v>
      </c>
      <c r="Q287" s="152" t="s">
        <v>4677</v>
      </c>
      <c r="R287" s="152" t="s">
        <v>4674</v>
      </c>
      <c r="S287" s="152" t="s">
        <v>4678</v>
      </c>
      <c r="T287" s="152" t="s">
        <v>786</v>
      </c>
    </row>
    <row r="288" spans="3:20">
      <c r="C288" s="152" t="s">
        <v>2821</v>
      </c>
      <c r="D288" s="474" t="s">
        <v>676</v>
      </c>
      <c r="E288" s="684" t="str">
        <f>+VLOOKUP(F288,Resumen_Base!$C$8:$G$156,5,0)</f>
        <v>Tips</v>
      </c>
      <c r="F288" s="152" t="s">
        <v>366</v>
      </c>
      <c r="G288" s="152" t="s">
        <v>367</v>
      </c>
      <c r="H288" s="152" t="str">
        <f t="shared" si="4"/>
        <v>CAR210609</v>
      </c>
      <c r="I288" s="513">
        <v>-245875</v>
      </c>
      <c r="J288" s="513">
        <v>-175</v>
      </c>
      <c r="K288" s="513">
        <v>1405</v>
      </c>
      <c r="L288" s="518" t="s">
        <v>3493</v>
      </c>
      <c r="M288" s="152" t="s">
        <v>1566</v>
      </c>
      <c r="N288" s="152" t="s">
        <v>1407</v>
      </c>
      <c r="O288" s="152" t="s">
        <v>4679</v>
      </c>
      <c r="P288" s="152" t="s">
        <v>4279</v>
      </c>
      <c r="Q288" s="152" t="s">
        <v>4680</v>
      </c>
      <c r="R288" s="152" t="s">
        <v>4681</v>
      </c>
      <c r="S288" s="152" t="s">
        <v>4682</v>
      </c>
      <c r="T288" s="152" t="s">
        <v>786</v>
      </c>
    </row>
    <row r="289" spans="3:20">
      <c r="C289" s="152" t="s">
        <v>2821</v>
      </c>
      <c r="D289" s="474" t="s">
        <v>676</v>
      </c>
      <c r="E289" s="684" t="str">
        <f>+VLOOKUP(F289,Resumen_Base!$C$8:$G$156,5,0)</f>
        <v>Tips</v>
      </c>
      <c r="F289" s="152" t="s">
        <v>366</v>
      </c>
      <c r="G289" s="152" t="s">
        <v>367</v>
      </c>
      <c r="H289" s="152" t="str">
        <f t="shared" si="4"/>
        <v>CAR210609</v>
      </c>
      <c r="I289" s="513">
        <v>-245875</v>
      </c>
      <c r="J289" s="513">
        <v>-175</v>
      </c>
      <c r="K289" s="513">
        <v>1405</v>
      </c>
      <c r="L289" s="518" t="s">
        <v>3493</v>
      </c>
      <c r="M289" s="152" t="s">
        <v>1566</v>
      </c>
      <c r="N289" s="152" t="s">
        <v>1407</v>
      </c>
      <c r="O289" s="152" t="s">
        <v>4679</v>
      </c>
      <c r="P289" s="152" t="s">
        <v>4279</v>
      </c>
      <c r="Q289" s="152" t="s">
        <v>4680</v>
      </c>
      <c r="R289" s="152" t="s">
        <v>4681</v>
      </c>
      <c r="S289" s="152" t="s">
        <v>4682</v>
      </c>
      <c r="T289" s="152" t="s">
        <v>786</v>
      </c>
    </row>
    <row r="290" spans="3:20">
      <c r="C290" s="152" t="s">
        <v>2821</v>
      </c>
      <c r="D290" s="474" t="s">
        <v>676</v>
      </c>
      <c r="E290" s="684" t="str">
        <f>+VLOOKUP(F290,Resumen_Base!$C$8:$G$156,5,0)</f>
        <v>Tips</v>
      </c>
      <c r="F290" s="152" t="s">
        <v>366</v>
      </c>
      <c r="G290" s="152" t="s">
        <v>367</v>
      </c>
      <c r="H290" s="152" t="str">
        <f t="shared" si="4"/>
        <v>CAR210609</v>
      </c>
      <c r="I290" s="513">
        <v>-748125</v>
      </c>
      <c r="J290" s="513">
        <v>-525</v>
      </c>
      <c r="K290" s="513">
        <v>1425</v>
      </c>
      <c r="L290" s="518" t="s">
        <v>3504</v>
      </c>
      <c r="M290" s="152" t="s">
        <v>1566</v>
      </c>
      <c r="N290" s="152" t="s">
        <v>1407</v>
      </c>
      <c r="O290" s="152" t="s">
        <v>4683</v>
      </c>
      <c r="P290" s="152" t="s">
        <v>4279</v>
      </c>
      <c r="Q290" s="152" t="s">
        <v>4684</v>
      </c>
      <c r="R290" s="152" t="s">
        <v>4685</v>
      </c>
      <c r="S290" s="152" t="s">
        <v>4686</v>
      </c>
      <c r="T290" s="152" t="s">
        <v>786</v>
      </c>
    </row>
    <row r="291" spans="3:20">
      <c r="C291" s="152" t="s">
        <v>2821</v>
      </c>
      <c r="D291" s="474" t="s">
        <v>676</v>
      </c>
      <c r="E291" s="684" t="str">
        <f>+VLOOKUP(F291,Resumen_Base!$C$8:$G$156,5,0)</f>
        <v>Tips</v>
      </c>
      <c r="F291" s="152" t="s">
        <v>366</v>
      </c>
      <c r="G291" s="152" t="s">
        <v>367</v>
      </c>
      <c r="H291" s="152" t="str">
        <f t="shared" si="4"/>
        <v>CAR210609</v>
      </c>
      <c r="I291" s="513">
        <v>-748125</v>
      </c>
      <c r="J291" s="513">
        <v>-525</v>
      </c>
      <c r="K291" s="513">
        <v>1425</v>
      </c>
      <c r="L291" s="518" t="s">
        <v>3504</v>
      </c>
      <c r="M291" s="152" t="s">
        <v>1566</v>
      </c>
      <c r="N291" s="152" t="s">
        <v>1407</v>
      </c>
      <c r="O291" s="152" t="s">
        <v>4683</v>
      </c>
      <c r="P291" s="152" t="s">
        <v>4279</v>
      </c>
      <c r="Q291" s="152" t="s">
        <v>4684</v>
      </c>
      <c r="R291" s="152" t="s">
        <v>4685</v>
      </c>
      <c r="S291" s="152" t="s">
        <v>4686</v>
      </c>
      <c r="T291" s="152" t="s">
        <v>786</v>
      </c>
    </row>
    <row r="292" spans="3:20">
      <c r="C292" s="152" t="s">
        <v>2821</v>
      </c>
      <c r="D292" s="474" t="s">
        <v>676</v>
      </c>
      <c r="E292" s="684" t="str">
        <f>+VLOOKUP(F292,Resumen_Base!$C$8:$G$156,5,0)</f>
        <v>Tips</v>
      </c>
      <c r="F292" s="152" t="s">
        <v>366</v>
      </c>
      <c r="G292" s="152" t="s">
        <v>367</v>
      </c>
      <c r="H292" s="152" t="str">
        <f t="shared" si="4"/>
        <v>CAR210609</v>
      </c>
      <c r="I292" s="513">
        <v>-783750</v>
      </c>
      <c r="J292" s="513">
        <v>-550</v>
      </c>
      <c r="K292" s="513">
        <v>1425</v>
      </c>
      <c r="L292" s="518" t="s">
        <v>3504</v>
      </c>
      <c r="M292" s="152" t="s">
        <v>1566</v>
      </c>
      <c r="N292" s="152" t="s">
        <v>1407</v>
      </c>
      <c r="O292" s="152" t="s">
        <v>4687</v>
      </c>
      <c r="P292" s="152" t="s">
        <v>4279</v>
      </c>
      <c r="Q292" s="152" t="s">
        <v>4688</v>
      </c>
      <c r="R292" s="152" t="s">
        <v>4685</v>
      </c>
      <c r="S292" s="152" t="s">
        <v>4689</v>
      </c>
      <c r="T292" s="152" t="s">
        <v>786</v>
      </c>
    </row>
    <row r="293" spans="3:20">
      <c r="C293" s="152" t="s">
        <v>2821</v>
      </c>
      <c r="D293" s="474" t="s">
        <v>676</v>
      </c>
      <c r="E293" s="684" t="str">
        <f>+VLOOKUP(F293,Resumen_Base!$C$8:$G$156,5,0)</f>
        <v>Tips</v>
      </c>
      <c r="F293" s="152" t="s">
        <v>366</v>
      </c>
      <c r="G293" s="152" t="s">
        <v>367</v>
      </c>
      <c r="H293" s="152" t="str">
        <f t="shared" si="4"/>
        <v>CAR210609</v>
      </c>
      <c r="I293" s="513">
        <v>-641250</v>
      </c>
      <c r="J293" s="513">
        <v>-450</v>
      </c>
      <c r="K293" s="513">
        <v>1425</v>
      </c>
      <c r="L293" s="518" t="s">
        <v>3504</v>
      </c>
      <c r="M293" s="152" t="s">
        <v>1566</v>
      </c>
      <c r="N293" s="152" t="s">
        <v>1407</v>
      </c>
      <c r="O293" s="152" t="s">
        <v>4687</v>
      </c>
      <c r="P293" s="152" t="s">
        <v>4279</v>
      </c>
      <c r="Q293" s="152" t="s">
        <v>4688</v>
      </c>
      <c r="R293" s="152" t="s">
        <v>4685</v>
      </c>
      <c r="S293" s="152" t="s">
        <v>4689</v>
      </c>
      <c r="T293" s="152" t="s">
        <v>786</v>
      </c>
    </row>
    <row r="294" spans="3:20">
      <c r="C294" s="152" t="s">
        <v>2821</v>
      </c>
      <c r="D294" s="474" t="s">
        <v>676</v>
      </c>
      <c r="E294" s="684" t="str">
        <f>+VLOOKUP(F294,Resumen_Base!$C$8:$G$156,5,0)</f>
        <v>Tips</v>
      </c>
      <c r="F294" s="152" t="s">
        <v>366</v>
      </c>
      <c r="G294" s="152" t="s">
        <v>367</v>
      </c>
      <c r="H294" s="152" t="str">
        <f t="shared" si="4"/>
        <v>CAR210609</v>
      </c>
      <c r="I294" s="513">
        <v>-814031.25</v>
      </c>
      <c r="J294" s="513">
        <v>-571.25</v>
      </c>
      <c r="K294" s="513">
        <v>1425</v>
      </c>
      <c r="L294" s="518" t="s">
        <v>3504</v>
      </c>
      <c r="M294" s="152" t="s">
        <v>1566</v>
      </c>
      <c r="N294" s="152" t="s">
        <v>1407</v>
      </c>
      <c r="O294" s="152" t="s">
        <v>4690</v>
      </c>
      <c r="P294" s="152" t="s">
        <v>4279</v>
      </c>
      <c r="Q294" s="152" t="s">
        <v>4691</v>
      </c>
      <c r="R294" s="152" t="s">
        <v>4685</v>
      </c>
      <c r="S294" s="152" t="s">
        <v>4692</v>
      </c>
      <c r="T294" s="152" t="s">
        <v>786</v>
      </c>
    </row>
    <row r="295" spans="3:20">
      <c r="C295" s="152" t="s">
        <v>2821</v>
      </c>
      <c r="D295" s="474" t="s">
        <v>676</v>
      </c>
      <c r="E295" s="684" t="str">
        <f>+VLOOKUP(F295,Resumen_Base!$C$8:$G$156,5,0)</f>
        <v>Tips</v>
      </c>
      <c r="F295" s="152" t="s">
        <v>366</v>
      </c>
      <c r="G295" s="152" t="s">
        <v>367</v>
      </c>
      <c r="H295" s="152" t="str">
        <f t="shared" si="4"/>
        <v>CAR210609</v>
      </c>
      <c r="I295" s="513">
        <v>-814031.25</v>
      </c>
      <c r="J295" s="513">
        <v>-571.25</v>
      </c>
      <c r="K295" s="513">
        <v>1425</v>
      </c>
      <c r="L295" s="518" t="s">
        <v>3504</v>
      </c>
      <c r="M295" s="152" t="s">
        <v>1566</v>
      </c>
      <c r="N295" s="152" t="s">
        <v>1407</v>
      </c>
      <c r="O295" s="152" t="s">
        <v>4690</v>
      </c>
      <c r="P295" s="152" t="s">
        <v>4279</v>
      </c>
      <c r="Q295" s="152" t="s">
        <v>4691</v>
      </c>
      <c r="R295" s="152" t="s">
        <v>4685</v>
      </c>
      <c r="S295" s="152" t="s">
        <v>4692</v>
      </c>
      <c r="T295" s="152" t="s">
        <v>786</v>
      </c>
    </row>
    <row r="296" spans="3:20">
      <c r="C296" s="152" t="s">
        <v>2821</v>
      </c>
      <c r="D296" s="474" t="s">
        <v>676</v>
      </c>
      <c r="E296" s="684" t="str">
        <f>+VLOOKUP(F296,Resumen_Base!$C$8:$G$156,5,0)</f>
        <v>Tips</v>
      </c>
      <c r="F296" s="152" t="s">
        <v>366</v>
      </c>
      <c r="G296" s="152" t="s">
        <v>367</v>
      </c>
      <c r="H296" s="152" t="str">
        <f t="shared" si="4"/>
        <v>CAR210609</v>
      </c>
      <c r="I296" s="513">
        <v>-997500</v>
      </c>
      <c r="J296" s="513">
        <v>-700</v>
      </c>
      <c r="K296" s="513">
        <v>1425</v>
      </c>
      <c r="L296" s="518" t="s">
        <v>3504</v>
      </c>
      <c r="M296" s="152" t="s">
        <v>1566</v>
      </c>
      <c r="N296" s="152" t="s">
        <v>1407</v>
      </c>
      <c r="O296" s="152" t="s">
        <v>4693</v>
      </c>
      <c r="P296" s="152" t="s">
        <v>4279</v>
      </c>
      <c r="Q296" s="152" t="s">
        <v>4694</v>
      </c>
      <c r="R296" s="152" t="s">
        <v>4685</v>
      </c>
      <c r="S296" s="152" t="s">
        <v>4695</v>
      </c>
      <c r="T296" s="152" t="s">
        <v>786</v>
      </c>
    </row>
    <row r="297" spans="3:20">
      <c r="C297" s="152" t="s">
        <v>2821</v>
      </c>
      <c r="D297" s="474" t="s">
        <v>676</v>
      </c>
      <c r="E297" s="684" t="str">
        <f>+VLOOKUP(F297,Resumen_Base!$C$8:$G$156,5,0)</f>
        <v>Tips</v>
      </c>
      <c r="F297" s="152" t="s">
        <v>366</v>
      </c>
      <c r="G297" s="152" t="s">
        <v>367</v>
      </c>
      <c r="H297" s="152" t="str">
        <f t="shared" si="4"/>
        <v>CAR210609</v>
      </c>
      <c r="I297" s="513">
        <v>-1282500</v>
      </c>
      <c r="J297" s="513">
        <v>-900</v>
      </c>
      <c r="K297" s="513">
        <v>1425</v>
      </c>
      <c r="L297" s="518" t="s">
        <v>3504</v>
      </c>
      <c r="M297" s="152" t="s">
        <v>1566</v>
      </c>
      <c r="N297" s="152" t="s">
        <v>1407</v>
      </c>
      <c r="O297" s="152" t="s">
        <v>4693</v>
      </c>
      <c r="P297" s="152" t="s">
        <v>4279</v>
      </c>
      <c r="Q297" s="152" t="s">
        <v>4694</v>
      </c>
      <c r="R297" s="152" t="s">
        <v>4685</v>
      </c>
      <c r="S297" s="152" t="s">
        <v>4695</v>
      </c>
      <c r="T297" s="152" t="s">
        <v>786</v>
      </c>
    </row>
    <row r="298" spans="3:20">
      <c r="C298" s="152" t="s">
        <v>2821</v>
      </c>
      <c r="D298" s="474" t="s">
        <v>676</v>
      </c>
      <c r="E298" s="684" t="str">
        <f>+VLOOKUP(F298,Resumen_Base!$C$8:$G$156,5,0)</f>
        <v>Tips</v>
      </c>
      <c r="F298" s="152" t="s">
        <v>366</v>
      </c>
      <c r="G298" s="152" t="s">
        <v>367</v>
      </c>
      <c r="H298" s="152" t="str">
        <f t="shared" si="4"/>
        <v>CAR210609</v>
      </c>
      <c r="I298" s="513">
        <v>-712500</v>
      </c>
      <c r="J298" s="513">
        <v>-500</v>
      </c>
      <c r="K298" s="513">
        <v>1425</v>
      </c>
      <c r="L298" s="518" t="s">
        <v>3504</v>
      </c>
      <c r="M298" s="152" t="s">
        <v>1566</v>
      </c>
      <c r="N298" s="152" t="s">
        <v>1407</v>
      </c>
      <c r="O298" s="152" t="s">
        <v>4696</v>
      </c>
      <c r="P298" s="152" t="s">
        <v>4279</v>
      </c>
      <c r="Q298" s="152" t="s">
        <v>4697</v>
      </c>
      <c r="R298" s="152" t="s">
        <v>4685</v>
      </c>
      <c r="S298" s="152" t="s">
        <v>4698</v>
      </c>
      <c r="T298" s="152" t="s">
        <v>786</v>
      </c>
    </row>
    <row r="299" spans="3:20">
      <c r="C299" s="152" t="s">
        <v>2821</v>
      </c>
      <c r="D299" s="474" t="s">
        <v>676</v>
      </c>
      <c r="E299" s="684" t="str">
        <f>+VLOOKUP(F299,Resumen_Base!$C$8:$G$156,5,0)</f>
        <v>Tips</v>
      </c>
      <c r="F299" s="152" t="s">
        <v>366</v>
      </c>
      <c r="G299" s="152" t="s">
        <v>367</v>
      </c>
      <c r="H299" s="152" t="str">
        <f t="shared" si="4"/>
        <v>CAR210609</v>
      </c>
      <c r="I299" s="513">
        <v>-712500</v>
      </c>
      <c r="J299" s="513">
        <v>-500</v>
      </c>
      <c r="K299" s="513">
        <v>1425</v>
      </c>
      <c r="L299" s="518" t="s">
        <v>3504</v>
      </c>
      <c r="M299" s="152" t="s">
        <v>1566</v>
      </c>
      <c r="N299" s="152" t="s">
        <v>1407</v>
      </c>
      <c r="O299" s="152" t="s">
        <v>4696</v>
      </c>
      <c r="P299" s="152" t="s">
        <v>4279</v>
      </c>
      <c r="Q299" s="152" t="s">
        <v>4697</v>
      </c>
      <c r="R299" s="152" t="s">
        <v>4685</v>
      </c>
      <c r="S299" s="152" t="s">
        <v>4698</v>
      </c>
      <c r="T299" s="152" t="s">
        <v>786</v>
      </c>
    </row>
    <row r="300" spans="3:20">
      <c r="C300" s="152" t="s">
        <v>2821</v>
      </c>
      <c r="D300" s="474" t="s">
        <v>676</v>
      </c>
      <c r="E300" s="684" t="str">
        <f>+VLOOKUP(F300,Resumen_Base!$C$8:$G$156,5,0)</f>
        <v>Tips</v>
      </c>
      <c r="F300" s="152" t="s">
        <v>366</v>
      </c>
      <c r="G300" s="152" t="s">
        <v>367</v>
      </c>
      <c r="H300" s="152" t="str">
        <f t="shared" si="4"/>
        <v>CAR210609</v>
      </c>
      <c r="I300" s="513">
        <v>-855000</v>
      </c>
      <c r="J300" s="513">
        <v>-600</v>
      </c>
      <c r="K300" s="513">
        <v>1425</v>
      </c>
      <c r="L300" s="518" t="s">
        <v>3504</v>
      </c>
      <c r="M300" s="152" t="s">
        <v>1566</v>
      </c>
      <c r="N300" s="152" t="s">
        <v>1407</v>
      </c>
      <c r="O300" s="152" t="s">
        <v>4699</v>
      </c>
      <c r="P300" s="152" t="s">
        <v>4279</v>
      </c>
      <c r="Q300" s="152" t="s">
        <v>4700</v>
      </c>
      <c r="R300" s="152" t="s">
        <v>4685</v>
      </c>
      <c r="S300" s="152" t="s">
        <v>4701</v>
      </c>
      <c r="T300" s="152" t="s">
        <v>786</v>
      </c>
    </row>
    <row r="301" spans="3:20">
      <c r="C301" s="152" t="s">
        <v>2821</v>
      </c>
      <c r="D301" s="474" t="s">
        <v>676</v>
      </c>
      <c r="E301" s="684" t="str">
        <f>+VLOOKUP(F301,Resumen_Base!$C$8:$G$156,5,0)</f>
        <v>Tips</v>
      </c>
      <c r="F301" s="152" t="s">
        <v>366</v>
      </c>
      <c r="G301" s="152" t="s">
        <v>367</v>
      </c>
      <c r="H301" s="152" t="str">
        <f t="shared" si="4"/>
        <v>CAR210609</v>
      </c>
      <c r="I301" s="513">
        <v>-712500</v>
      </c>
      <c r="J301" s="513">
        <v>-500</v>
      </c>
      <c r="K301" s="513">
        <v>1425</v>
      </c>
      <c r="L301" s="518" t="s">
        <v>3504</v>
      </c>
      <c r="M301" s="152" t="s">
        <v>1566</v>
      </c>
      <c r="N301" s="152" t="s">
        <v>1407</v>
      </c>
      <c r="O301" s="152" t="s">
        <v>4699</v>
      </c>
      <c r="P301" s="152" t="s">
        <v>4279</v>
      </c>
      <c r="Q301" s="152" t="s">
        <v>4700</v>
      </c>
      <c r="R301" s="152" t="s">
        <v>4685</v>
      </c>
      <c r="S301" s="152" t="s">
        <v>4701</v>
      </c>
      <c r="T301" s="152" t="s">
        <v>786</v>
      </c>
    </row>
    <row r="302" spans="3:20">
      <c r="C302" s="152" t="s">
        <v>2821</v>
      </c>
      <c r="D302" s="474" t="s">
        <v>676</v>
      </c>
      <c r="E302" s="684" t="str">
        <f>+VLOOKUP(F302,Resumen_Base!$C$8:$G$156,5,0)</f>
        <v>Tips</v>
      </c>
      <c r="F302" s="152" t="s">
        <v>366</v>
      </c>
      <c r="G302" s="152" t="s">
        <v>367</v>
      </c>
      <c r="H302" s="152" t="str">
        <f t="shared" si="4"/>
        <v>CAR210609</v>
      </c>
      <c r="I302" s="513">
        <v>-783750</v>
      </c>
      <c r="J302" s="513">
        <v>-550</v>
      </c>
      <c r="K302" s="513">
        <v>1425</v>
      </c>
      <c r="L302" s="518" t="s">
        <v>3504</v>
      </c>
      <c r="M302" s="152" t="s">
        <v>1566</v>
      </c>
      <c r="N302" s="152" t="s">
        <v>1407</v>
      </c>
      <c r="O302" s="152" t="s">
        <v>4702</v>
      </c>
      <c r="P302" s="152" t="s">
        <v>4279</v>
      </c>
      <c r="Q302" s="152" t="s">
        <v>4703</v>
      </c>
      <c r="R302" s="152" t="s">
        <v>4685</v>
      </c>
      <c r="S302" s="152" t="s">
        <v>4704</v>
      </c>
      <c r="T302" s="152" t="s">
        <v>786</v>
      </c>
    </row>
    <row r="303" spans="3:20">
      <c r="C303" s="152" t="s">
        <v>2821</v>
      </c>
      <c r="D303" s="474" t="s">
        <v>676</v>
      </c>
      <c r="E303" s="684" t="str">
        <f>+VLOOKUP(F303,Resumen_Base!$C$8:$G$156,5,0)</f>
        <v>Tips</v>
      </c>
      <c r="F303" s="152" t="s">
        <v>366</v>
      </c>
      <c r="G303" s="152" t="s">
        <v>367</v>
      </c>
      <c r="H303" s="152" t="str">
        <f t="shared" si="4"/>
        <v>CAR210609</v>
      </c>
      <c r="I303" s="513">
        <v>-641250</v>
      </c>
      <c r="J303" s="513">
        <v>-450</v>
      </c>
      <c r="K303" s="513">
        <v>1425</v>
      </c>
      <c r="L303" s="518" t="s">
        <v>3504</v>
      </c>
      <c r="M303" s="152" t="s">
        <v>1566</v>
      </c>
      <c r="N303" s="152" t="s">
        <v>1407</v>
      </c>
      <c r="O303" s="152" t="s">
        <v>4702</v>
      </c>
      <c r="P303" s="152" t="s">
        <v>4279</v>
      </c>
      <c r="Q303" s="152" t="s">
        <v>4703</v>
      </c>
      <c r="R303" s="152" t="s">
        <v>4685</v>
      </c>
      <c r="S303" s="152" t="s">
        <v>4704</v>
      </c>
      <c r="T303" s="152" t="s">
        <v>786</v>
      </c>
    </row>
    <row r="304" spans="3:20">
      <c r="C304" s="152" t="s">
        <v>2821</v>
      </c>
      <c r="D304" s="474" t="s">
        <v>676</v>
      </c>
      <c r="E304" s="684" t="str">
        <f>+VLOOKUP(F304,Resumen_Base!$C$8:$G$156,5,0)</f>
        <v>Tips</v>
      </c>
      <c r="F304" s="152" t="s">
        <v>366</v>
      </c>
      <c r="G304" s="152" t="s">
        <v>367</v>
      </c>
      <c r="H304" s="152" t="str">
        <f t="shared" si="4"/>
        <v>CAR210609</v>
      </c>
      <c r="I304" s="513">
        <v>-570000</v>
      </c>
      <c r="J304" s="513">
        <v>-400</v>
      </c>
      <c r="K304" s="513">
        <v>1425</v>
      </c>
      <c r="L304" s="518" t="s">
        <v>3504</v>
      </c>
      <c r="M304" s="152" t="s">
        <v>1566</v>
      </c>
      <c r="N304" s="152" t="s">
        <v>1407</v>
      </c>
      <c r="O304" s="152" t="s">
        <v>4705</v>
      </c>
      <c r="P304" s="152" t="s">
        <v>4279</v>
      </c>
      <c r="Q304" s="152" t="s">
        <v>4706</v>
      </c>
      <c r="R304" s="152" t="s">
        <v>4707</v>
      </c>
      <c r="S304" s="152" t="s">
        <v>4708</v>
      </c>
      <c r="T304" s="152" t="s">
        <v>786</v>
      </c>
    </row>
    <row r="305" spans="3:20">
      <c r="C305" s="152" t="s">
        <v>2821</v>
      </c>
      <c r="D305" s="474" t="s">
        <v>676</v>
      </c>
      <c r="E305" s="684" t="str">
        <f>+VLOOKUP(F305,Resumen_Base!$C$8:$G$156,5,0)</f>
        <v>Tips</v>
      </c>
      <c r="F305" s="152" t="s">
        <v>366</v>
      </c>
      <c r="G305" s="152" t="s">
        <v>367</v>
      </c>
      <c r="H305" s="152" t="str">
        <f t="shared" si="4"/>
        <v>CAR210609</v>
      </c>
      <c r="I305" s="513">
        <v>-769500</v>
      </c>
      <c r="J305" s="513">
        <v>-540</v>
      </c>
      <c r="K305" s="513">
        <v>1425</v>
      </c>
      <c r="L305" s="518" t="s">
        <v>3504</v>
      </c>
      <c r="M305" s="152" t="s">
        <v>1566</v>
      </c>
      <c r="N305" s="152" t="s">
        <v>1407</v>
      </c>
      <c r="O305" s="152" t="s">
        <v>4705</v>
      </c>
      <c r="P305" s="152" t="s">
        <v>4279</v>
      </c>
      <c r="Q305" s="152" t="s">
        <v>4706</v>
      </c>
      <c r="R305" s="152" t="s">
        <v>4707</v>
      </c>
      <c r="S305" s="152" t="s">
        <v>4708</v>
      </c>
      <c r="T305" s="152" t="s">
        <v>786</v>
      </c>
    </row>
    <row r="306" spans="3:20">
      <c r="C306" s="152" t="s">
        <v>2821</v>
      </c>
      <c r="D306" s="474" t="s">
        <v>676</v>
      </c>
      <c r="E306" s="684" t="str">
        <f>+VLOOKUP(F306,Resumen_Base!$C$8:$G$156,5,0)</f>
        <v>Tips</v>
      </c>
      <c r="F306" s="152" t="s">
        <v>366</v>
      </c>
      <c r="G306" s="152" t="s">
        <v>367</v>
      </c>
      <c r="H306" s="152" t="str">
        <f t="shared" si="4"/>
        <v>CAR210609</v>
      </c>
      <c r="I306" s="513">
        <v>-427500</v>
      </c>
      <c r="J306" s="513">
        <v>-300</v>
      </c>
      <c r="K306" s="513">
        <v>1425</v>
      </c>
      <c r="L306" s="518" t="s">
        <v>3504</v>
      </c>
      <c r="M306" s="152" t="s">
        <v>1566</v>
      </c>
      <c r="N306" s="152" t="s">
        <v>1407</v>
      </c>
      <c r="O306" s="152" t="s">
        <v>4709</v>
      </c>
      <c r="P306" s="152" t="s">
        <v>4279</v>
      </c>
      <c r="Q306" s="152" t="s">
        <v>4710</v>
      </c>
      <c r="R306" s="152" t="s">
        <v>4707</v>
      </c>
      <c r="S306" s="152" t="s">
        <v>4711</v>
      </c>
      <c r="T306" s="152" t="s">
        <v>786</v>
      </c>
    </row>
    <row r="307" spans="3:20">
      <c r="C307" s="152" t="s">
        <v>2821</v>
      </c>
      <c r="D307" s="474" t="s">
        <v>676</v>
      </c>
      <c r="E307" s="684" t="str">
        <f>+VLOOKUP(F307,Resumen_Base!$C$8:$G$156,5,0)</f>
        <v>Tips</v>
      </c>
      <c r="F307" s="152" t="s">
        <v>366</v>
      </c>
      <c r="G307" s="152" t="s">
        <v>367</v>
      </c>
      <c r="H307" s="152" t="str">
        <f t="shared" si="4"/>
        <v>CAR210609</v>
      </c>
      <c r="I307" s="513">
        <v>-285000</v>
      </c>
      <c r="J307" s="513">
        <v>-200</v>
      </c>
      <c r="K307" s="513">
        <v>1425</v>
      </c>
      <c r="L307" s="518" t="s">
        <v>3504</v>
      </c>
      <c r="M307" s="152" t="s">
        <v>1566</v>
      </c>
      <c r="N307" s="152" t="s">
        <v>1407</v>
      </c>
      <c r="O307" s="152" t="s">
        <v>4709</v>
      </c>
      <c r="P307" s="152" t="s">
        <v>4279</v>
      </c>
      <c r="Q307" s="152" t="s">
        <v>4710</v>
      </c>
      <c r="R307" s="152" t="s">
        <v>4707</v>
      </c>
      <c r="S307" s="152" t="s">
        <v>4711</v>
      </c>
      <c r="T307" s="152" t="s">
        <v>786</v>
      </c>
    </row>
    <row r="308" spans="3:20">
      <c r="C308" s="152" t="s">
        <v>2821</v>
      </c>
      <c r="D308" s="474" t="s">
        <v>676</v>
      </c>
      <c r="E308" s="684" t="str">
        <f>+VLOOKUP(F308,Resumen_Base!$C$8:$G$156,5,0)</f>
        <v>Tips</v>
      </c>
      <c r="F308" s="152" t="s">
        <v>366</v>
      </c>
      <c r="G308" s="152" t="s">
        <v>367</v>
      </c>
      <c r="H308" s="152" t="str">
        <f t="shared" si="4"/>
        <v>CAR210609</v>
      </c>
      <c r="I308" s="513">
        <v>-641250</v>
      </c>
      <c r="J308" s="513">
        <v>-450</v>
      </c>
      <c r="K308" s="513">
        <v>1425</v>
      </c>
      <c r="L308" s="518" t="s">
        <v>3504</v>
      </c>
      <c r="M308" s="152" t="s">
        <v>1566</v>
      </c>
      <c r="N308" s="152" t="s">
        <v>1407</v>
      </c>
      <c r="O308" s="152" t="s">
        <v>4712</v>
      </c>
      <c r="P308" s="152" t="s">
        <v>4279</v>
      </c>
      <c r="Q308" s="152" t="s">
        <v>4713</v>
      </c>
      <c r="R308" s="152" t="s">
        <v>4707</v>
      </c>
      <c r="S308" s="152" t="s">
        <v>4714</v>
      </c>
      <c r="T308" s="152" t="s">
        <v>786</v>
      </c>
    </row>
    <row r="309" spans="3:20">
      <c r="C309" s="152" t="s">
        <v>2821</v>
      </c>
      <c r="D309" s="474" t="s">
        <v>676</v>
      </c>
      <c r="E309" s="684" t="str">
        <f>+VLOOKUP(F309,Resumen_Base!$C$8:$G$156,5,0)</f>
        <v>Tips</v>
      </c>
      <c r="F309" s="152" t="s">
        <v>366</v>
      </c>
      <c r="G309" s="152" t="s">
        <v>367</v>
      </c>
      <c r="H309" s="152" t="str">
        <f t="shared" si="4"/>
        <v>CAR210609</v>
      </c>
      <c r="I309" s="513">
        <v>-498750</v>
      </c>
      <c r="J309" s="513">
        <v>-350</v>
      </c>
      <c r="K309" s="513">
        <v>1425</v>
      </c>
      <c r="L309" s="518" t="s">
        <v>3504</v>
      </c>
      <c r="M309" s="152" t="s">
        <v>1566</v>
      </c>
      <c r="N309" s="152" t="s">
        <v>1407</v>
      </c>
      <c r="O309" s="152" t="s">
        <v>4712</v>
      </c>
      <c r="P309" s="152" t="s">
        <v>4279</v>
      </c>
      <c r="Q309" s="152" t="s">
        <v>4713</v>
      </c>
      <c r="R309" s="152" t="s">
        <v>4707</v>
      </c>
      <c r="S309" s="152" t="s">
        <v>4714</v>
      </c>
      <c r="T309" s="152" t="s">
        <v>786</v>
      </c>
    </row>
    <row r="310" spans="3:20">
      <c r="C310" s="152" t="s">
        <v>2821</v>
      </c>
      <c r="D310" s="474" t="s">
        <v>676</v>
      </c>
      <c r="E310" s="684" t="str">
        <f>+VLOOKUP(F310,Resumen_Base!$C$8:$G$156,5,0)</f>
        <v>Tips</v>
      </c>
      <c r="F310" s="152" t="s">
        <v>366</v>
      </c>
      <c r="G310" s="152" t="s">
        <v>367</v>
      </c>
      <c r="H310" s="152" t="str">
        <f t="shared" si="4"/>
        <v>CAR210609</v>
      </c>
      <c r="I310" s="513">
        <v>-356250</v>
      </c>
      <c r="J310" s="513">
        <v>-250</v>
      </c>
      <c r="K310" s="513">
        <v>1425</v>
      </c>
      <c r="L310" s="518" t="s">
        <v>3504</v>
      </c>
      <c r="M310" s="152" t="s">
        <v>1566</v>
      </c>
      <c r="N310" s="152" t="s">
        <v>1407</v>
      </c>
      <c r="O310" s="152" t="s">
        <v>4715</v>
      </c>
      <c r="P310" s="152" t="s">
        <v>4279</v>
      </c>
      <c r="Q310" s="152" t="s">
        <v>4716</v>
      </c>
      <c r="R310" s="152" t="s">
        <v>4707</v>
      </c>
      <c r="S310" s="152" t="s">
        <v>4717</v>
      </c>
      <c r="T310" s="152" t="s">
        <v>786</v>
      </c>
    </row>
    <row r="311" spans="3:20">
      <c r="C311" s="152" t="s">
        <v>2821</v>
      </c>
      <c r="D311" s="474" t="s">
        <v>676</v>
      </c>
      <c r="E311" s="684" t="str">
        <f>+VLOOKUP(F311,Resumen_Base!$C$8:$G$156,5,0)</f>
        <v>Tips</v>
      </c>
      <c r="F311" s="152" t="s">
        <v>366</v>
      </c>
      <c r="G311" s="152" t="s">
        <v>367</v>
      </c>
      <c r="H311" s="152" t="str">
        <f t="shared" si="4"/>
        <v>CAR210609</v>
      </c>
      <c r="I311" s="513">
        <v>-356250</v>
      </c>
      <c r="J311" s="513">
        <v>-250</v>
      </c>
      <c r="K311" s="513">
        <v>1425</v>
      </c>
      <c r="L311" s="518" t="s">
        <v>3504</v>
      </c>
      <c r="M311" s="152" t="s">
        <v>1566</v>
      </c>
      <c r="N311" s="152" t="s">
        <v>1407</v>
      </c>
      <c r="O311" s="152" t="s">
        <v>4715</v>
      </c>
      <c r="P311" s="152" t="s">
        <v>4279</v>
      </c>
      <c r="Q311" s="152" t="s">
        <v>4716</v>
      </c>
      <c r="R311" s="152" t="s">
        <v>4707</v>
      </c>
      <c r="S311" s="152" t="s">
        <v>4717</v>
      </c>
      <c r="T311" s="152" t="s">
        <v>786</v>
      </c>
    </row>
    <row r="312" spans="3:20">
      <c r="C312" s="152" t="s">
        <v>2821</v>
      </c>
      <c r="D312" s="474" t="s">
        <v>676</v>
      </c>
      <c r="E312" s="684" t="str">
        <f>+VLOOKUP(F312,Resumen_Base!$C$8:$G$156,5,0)</f>
        <v>Tips</v>
      </c>
      <c r="F312" s="152" t="s">
        <v>366</v>
      </c>
      <c r="G312" s="152" t="s">
        <v>367</v>
      </c>
      <c r="H312" s="152" t="str">
        <f t="shared" si="4"/>
        <v>CAR210609</v>
      </c>
      <c r="I312" s="513">
        <v>-427500</v>
      </c>
      <c r="J312" s="513">
        <v>-300</v>
      </c>
      <c r="K312" s="513">
        <v>1425</v>
      </c>
      <c r="L312" s="518" t="s">
        <v>3504</v>
      </c>
      <c r="M312" s="152" t="s">
        <v>1566</v>
      </c>
      <c r="N312" s="152" t="s">
        <v>1407</v>
      </c>
      <c r="O312" s="152" t="s">
        <v>4718</v>
      </c>
      <c r="P312" s="152" t="s">
        <v>4279</v>
      </c>
      <c r="Q312" s="152" t="s">
        <v>4719</v>
      </c>
      <c r="R312" s="152" t="s">
        <v>4720</v>
      </c>
      <c r="S312" s="152" t="s">
        <v>4721</v>
      </c>
      <c r="T312" s="152" t="s">
        <v>786</v>
      </c>
    </row>
    <row r="313" spans="3:20">
      <c r="C313" s="152" t="s">
        <v>2821</v>
      </c>
      <c r="D313" s="474" t="s">
        <v>676</v>
      </c>
      <c r="E313" s="684" t="str">
        <f>+VLOOKUP(F313,Resumen_Base!$C$8:$G$156,5,0)</f>
        <v>Tips</v>
      </c>
      <c r="F313" s="152" t="s">
        <v>366</v>
      </c>
      <c r="G313" s="152" t="s">
        <v>367</v>
      </c>
      <c r="H313" s="152" t="str">
        <f t="shared" si="4"/>
        <v>CAR210609</v>
      </c>
      <c r="I313" s="513">
        <v>-570000</v>
      </c>
      <c r="J313" s="513">
        <v>-400</v>
      </c>
      <c r="K313" s="513">
        <v>1425</v>
      </c>
      <c r="L313" s="518" t="s">
        <v>3504</v>
      </c>
      <c r="M313" s="152" t="s">
        <v>1566</v>
      </c>
      <c r="N313" s="152" t="s">
        <v>1407</v>
      </c>
      <c r="O313" s="152" t="s">
        <v>4718</v>
      </c>
      <c r="P313" s="152" t="s">
        <v>4279</v>
      </c>
      <c r="Q313" s="152" t="s">
        <v>4719</v>
      </c>
      <c r="R313" s="152" t="s">
        <v>4720</v>
      </c>
      <c r="S313" s="152" t="s">
        <v>4721</v>
      </c>
      <c r="T313" s="152" t="s">
        <v>786</v>
      </c>
    </row>
    <row r="314" spans="3:20">
      <c r="C314" s="152" t="s">
        <v>2821</v>
      </c>
      <c r="D314" s="474" t="s">
        <v>676</v>
      </c>
      <c r="E314" s="684" t="str">
        <f>+VLOOKUP(F314,Resumen_Base!$C$8:$G$156,5,0)</f>
        <v>Tips</v>
      </c>
      <c r="F314" s="152" t="s">
        <v>366</v>
      </c>
      <c r="G314" s="152" t="s">
        <v>367</v>
      </c>
      <c r="H314" s="152" t="str">
        <f t="shared" si="4"/>
        <v>CAR210609</v>
      </c>
      <c r="I314" s="513">
        <v>-570000</v>
      </c>
      <c r="J314" s="513">
        <v>-400</v>
      </c>
      <c r="K314" s="513">
        <v>1425</v>
      </c>
      <c r="L314" s="518" t="s">
        <v>3504</v>
      </c>
      <c r="M314" s="152" t="s">
        <v>1566</v>
      </c>
      <c r="N314" s="152" t="s">
        <v>1407</v>
      </c>
      <c r="O314" s="152" t="s">
        <v>4722</v>
      </c>
      <c r="P314" s="152" t="s">
        <v>4279</v>
      </c>
      <c r="Q314" s="152" t="s">
        <v>4723</v>
      </c>
      <c r="R314" s="152" t="s">
        <v>4720</v>
      </c>
      <c r="S314" s="152" t="s">
        <v>4724</v>
      </c>
      <c r="T314" s="152" t="s">
        <v>786</v>
      </c>
    </row>
    <row r="315" spans="3:20">
      <c r="C315" s="152" t="s">
        <v>2821</v>
      </c>
      <c r="D315" s="474" t="s">
        <v>676</v>
      </c>
      <c r="E315" s="684" t="str">
        <f>+VLOOKUP(F315,Resumen_Base!$C$8:$G$156,5,0)</f>
        <v>Tips</v>
      </c>
      <c r="F315" s="152" t="s">
        <v>366</v>
      </c>
      <c r="G315" s="152" t="s">
        <v>367</v>
      </c>
      <c r="H315" s="152" t="str">
        <f t="shared" si="4"/>
        <v>CAR210609</v>
      </c>
      <c r="I315" s="513">
        <v>-712500</v>
      </c>
      <c r="J315" s="513">
        <v>-500</v>
      </c>
      <c r="K315" s="513">
        <v>1425</v>
      </c>
      <c r="L315" s="518" t="s">
        <v>3504</v>
      </c>
      <c r="M315" s="152" t="s">
        <v>1566</v>
      </c>
      <c r="N315" s="152" t="s">
        <v>1407</v>
      </c>
      <c r="O315" s="152" t="s">
        <v>4722</v>
      </c>
      <c r="P315" s="152" t="s">
        <v>4279</v>
      </c>
      <c r="Q315" s="152" t="s">
        <v>4723</v>
      </c>
      <c r="R315" s="152" t="s">
        <v>4720</v>
      </c>
      <c r="S315" s="152" t="s">
        <v>4724</v>
      </c>
      <c r="T315" s="152" t="s">
        <v>786</v>
      </c>
    </row>
    <row r="316" spans="3:20">
      <c r="C316" s="152" t="s">
        <v>2821</v>
      </c>
      <c r="D316" s="474" t="s">
        <v>676</v>
      </c>
      <c r="E316" s="684" t="str">
        <f>+VLOOKUP(F316,Resumen_Base!$C$8:$G$156,5,0)</f>
        <v>Tips</v>
      </c>
      <c r="F316" s="152" t="s">
        <v>366</v>
      </c>
      <c r="G316" s="152" t="s">
        <v>367</v>
      </c>
      <c r="H316" s="152" t="str">
        <f t="shared" si="4"/>
        <v>CAR210609</v>
      </c>
      <c r="I316" s="513">
        <v>-783750</v>
      </c>
      <c r="J316" s="513">
        <v>-550</v>
      </c>
      <c r="K316" s="513">
        <v>1425</v>
      </c>
      <c r="L316" s="518" t="s">
        <v>3504</v>
      </c>
      <c r="M316" s="152" t="s">
        <v>1566</v>
      </c>
      <c r="N316" s="152" t="s">
        <v>1407</v>
      </c>
      <c r="O316" s="152" t="s">
        <v>4725</v>
      </c>
      <c r="P316" s="152" t="s">
        <v>4279</v>
      </c>
      <c r="Q316" s="152" t="s">
        <v>4726</v>
      </c>
      <c r="R316" s="152" t="s">
        <v>4720</v>
      </c>
      <c r="S316" s="152" t="s">
        <v>4727</v>
      </c>
      <c r="T316" s="152" t="s">
        <v>786</v>
      </c>
    </row>
    <row r="317" spans="3:20">
      <c r="C317" s="152" t="s">
        <v>2821</v>
      </c>
      <c r="D317" s="474" t="s">
        <v>676</v>
      </c>
      <c r="E317" s="684" t="str">
        <f>+VLOOKUP(F317,Resumen_Base!$C$8:$G$156,5,0)</f>
        <v>Tips</v>
      </c>
      <c r="F317" s="152" t="s">
        <v>366</v>
      </c>
      <c r="G317" s="152" t="s">
        <v>367</v>
      </c>
      <c r="H317" s="152" t="str">
        <f t="shared" si="4"/>
        <v>CAR210609</v>
      </c>
      <c r="I317" s="513">
        <v>-641250</v>
      </c>
      <c r="J317" s="513">
        <v>-450</v>
      </c>
      <c r="K317" s="513">
        <v>1425</v>
      </c>
      <c r="L317" s="518" t="s">
        <v>3504</v>
      </c>
      <c r="M317" s="152" t="s">
        <v>1566</v>
      </c>
      <c r="N317" s="152" t="s">
        <v>1407</v>
      </c>
      <c r="O317" s="152" t="s">
        <v>4725</v>
      </c>
      <c r="P317" s="152" t="s">
        <v>4279</v>
      </c>
      <c r="Q317" s="152" t="s">
        <v>4726</v>
      </c>
      <c r="R317" s="152" t="s">
        <v>4720</v>
      </c>
      <c r="S317" s="152" t="s">
        <v>4727</v>
      </c>
      <c r="T317" s="152" t="s">
        <v>786</v>
      </c>
    </row>
    <row r="318" spans="3:20">
      <c r="C318" s="152" t="s">
        <v>2821</v>
      </c>
      <c r="D318" s="474" t="s">
        <v>676</v>
      </c>
      <c r="E318" s="684" t="str">
        <f>+VLOOKUP(F318,Resumen_Base!$C$8:$G$156,5,0)</f>
        <v>Tips</v>
      </c>
      <c r="F318" s="152" t="s">
        <v>366</v>
      </c>
      <c r="G318" s="152" t="s">
        <v>367</v>
      </c>
      <c r="H318" s="152" t="str">
        <f t="shared" si="4"/>
        <v>CAR210609</v>
      </c>
      <c r="I318" s="513">
        <v>-641250</v>
      </c>
      <c r="J318" s="513">
        <v>-450</v>
      </c>
      <c r="K318" s="513">
        <v>1425</v>
      </c>
      <c r="L318" s="518" t="s">
        <v>3504</v>
      </c>
      <c r="M318" s="152" t="s">
        <v>1566</v>
      </c>
      <c r="N318" s="152" t="s">
        <v>1407</v>
      </c>
      <c r="O318" s="152" t="s">
        <v>4728</v>
      </c>
      <c r="P318" s="152" t="s">
        <v>4279</v>
      </c>
      <c r="Q318" s="152" t="s">
        <v>4729</v>
      </c>
      <c r="R318" s="152" t="s">
        <v>4720</v>
      </c>
      <c r="S318" s="152" t="s">
        <v>4730</v>
      </c>
      <c r="T318" s="152" t="s">
        <v>786</v>
      </c>
    </row>
    <row r="319" spans="3:20">
      <c r="C319" s="152" t="s">
        <v>2821</v>
      </c>
      <c r="D319" s="474" t="s">
        <v>676</v>
      </c>
      <c r="E319" s="684" t="str">
        <f>+VLOOKUP(F319,Resumen_Base!$C$8:$G$156,5,0)</f>
        <v>Tips</v>
      </c>
      <c r="F319" s="152" t="s">
        <v>366</v>
      </c>
      <c r="G319" s="152" t="s">
        <v>367</v>
      </c>
      <c r="H319" s="152" t="str">
        <f t="shared" si="4"/>
        <v>CAR210609</v>
      </c>
      <c r="I319" s="513">
        <v>-783750</v>
      </c>
      <c r="J319" s="513">
        <v>-550</v>
      </c>
      <c r="K319" s="513">
        <v>1425</v>
      </c>
      <c r="L319" s="518" t="s">
        <v>3504</v>
      </c>
      <c r="M319" s="152" t="s">
        <v>1566</v>
      </c>
      <c r="N319" s="152" t="s">
        <v>1407</v>
      </c>
      <c r="O319" s="152" t="s">
        <v>4728</v>
      </c>
      <c r="P319" s="152" t="s">
        <v>4279</v>
      </c>
      <c r="Q319" s="152" t="s">
        <v>4729</v>
      </c>
      <c r="R319" s="152" t="s">
        <v>4720</v>
      </c>
      <c r="S319" s="152" t="s">
        <v>4730</v>
      </c>
      <c r="T319" s="152" t="s">
        <v>786</v>
      </c>
    </row>
    <row r="320" spans="3:20">
      <c r="C320" s="152" t="s">
        <v>2821</v>
      </c>
      <c r="D320" s="474" t="s">
        <v>676</v>
      </c>
      <c r="E320" s="684" t="str">
        <f>+VLOOKUP(F320,Resumen_Base!$C$8:$G$156,5,0)</f>
        <v>Tips</v>
      </c>
      <c r="F320" s="152" t="s">
        <v>366</v>
      </c>
      <c r="G320" s="152" t="s">
        <v>367</v>
      </c>
      <c r="H320" s="152" t="str">
        <f t="shared" si="4"/>
        <v>CAR210609</v>
      </c>
      <c r="I320" s="513">
        <v>-1382400</v>
      </c>
      <c r="J320" s="513">
        <v>-960</v>
      </c>
      <c r="K320" s="513">
        <v>1440</v>
      </c>
      <c r="L320" s="518" t="s">
        <v>3517</v>
      </c>
      <c r="M320" s="152" t="s">
        <v>1566</v>
      </c>
      <c r="N320" s="152" t="s">
        <v>1407</v>
      </c>
      <c r="O320" s="152" t="s">
        <v>4976</v>
      </c>
      <c r="P320" s="152" t="s">
        <v>1881</v>
      </c>
      <c r="Q320" s="152" t="s">
        <v>4977</v>
      </c>
      <c r="R320" s="152" t="s">
        <v>4977</v>
      </c>
      <c r="S320" s="152" t="s">
        <v>4978</v>
      </c>
      <c r="T320" s="152" t="s">
        <v>786</v>
      </c>
    </row>
    <row r="321" spans="3:20">
      <c r="C321" s="152" t="s">
        <v>2821</v>
      </c>
      <c r="D321" s="474" t="s">
        <v>676</v>
      </c>
      <c r="E321" s="684" t="str">
        <f>+VLOOKUP(F321,Resumen_Base!$C$8:$G$156,5,0)</f>
        <v>Tips</v>
      </c>
      <c r="F321" s="152" t="s">
        <v>366</v>
      </c>
      <c r="G321" s="152" t="s">
        <v>367</v>
      </c>
      <c r="H321" s="152" t="str">
        <f t="shared" si="4"/>
        <v>CAR210609</v>
      </c>
      <c r="I321" s="513">
        <v>-691200</v>
      </c>
      <c r="J321" s="513">
        <v>-480</v>
      </c>
      <c r="K321" s="513">
        <v>1440</v>
      </c>
      <c r="L321" s="518" t="s">
        <v>3517</v>
      </c>
      <c r="M321" s="152" t="s">
        <v>1566</v>
      </c>
      <c r="N321" s="152" t="s">
        <v>1407</v>
      </c>
      <c r="O321" s="152" t="s">
        <v>4976</v>
      </c>
      <c r="P321" s="152" t="s">
        <v>1881</v>
      </c>
      <c r="Q321" s="152" t="s">
        <v>4977</v>
      </c>
      <c r="R321" s="152" t="s">
        <v>4977</v>
      </c>
      <c r="S321" s="152" t="s">
        <v>4978</v>
      </c>
      <c r="T321" s="152" t="s">
        <v>786</v>
      </c>
    </row>
    <row r="322" spans="3:20">
      <c r="C322" s="152" t="s">
        <v>2821</v>
      </c>
      <c r="D322" s="474" t="s">
        <v>676</v>
      </c>
      <c r="E322" s="684" t="str">
        <f>+VLOOKUP(F322,Resumen_Base!$C$8:$G$156,5,0)</f>
        <v>Extras</v>
      </c>
      <c r="F322" s="152" t="s">
        <v>291</v>
      </c>
      <c r="G322" s="152" t="s">
        <v>292</v>
      </c>
      <c r="H322" s="152" t="str">
        <f t="shared" si="4"/>
        <v>CAR4103</v>
      </c>
      <c r="I322" s="513">
        <v>-309100</v>
      </c>
      <c r="J322" s="513">
        <v>-220</v>
      </c>
      <c r="K322" s="513">
        <v>1405</v>
      </c>
      <c r="L322" s="518" t="s">
        <v>3493</v>
      </c>
      <c r="M322" s="152" t="s">
        <v>1566</v>
      </c>
      <c r="N322" s="152" t="s">
        <v>1407</v>
      </c>
      <c r="O322" s="152" t="s">
        <v>4289</v>
      </c>
      <c r="P322" s="152" t="s">
        <v>4279</v>
      </c>
      <c r="Q322" s="152" t="s">
        <v>4290</v>
      </c>
      <c r="R322" s="152" t="s">
        <v>4291</v>
      </c>
      <c r="S322" s="152" t="s">
        <v>4292</v>
      </c>
      <c r="T322" s="152" t="s">
        <v>786</v>
      </c>
    </row>
    <row r="323" spans="3:20">
      <c r="C323" s="152" t="s">
        <v>2821</v>
      </c>
      <c r="D323" s="474" t="s">
        <v>676</v>
      </c>
      <c r="E323" s="684" t="str">
        <f>+VLOOKUP(F323,Resumen_Base!$C$8:$G$156,5,0)</f>
        <v>Extras</v>
      </c>
      <c r="F323" s="152" t="s">
        <v>291</v>
      </c>
      <c r="G323" s="152" t="s">
        <v>292</v>
      </c>
      <c r="H323" s="152" t="str">
        <f t="shared" si="4"/>
        <v>CAR4103</v>
      </c>
      <c r="I323" s="513">
        <v>-309100</v>
      </c>
      <c r="J323" s="513">
        <v>-220</v>
      </c>
      <c r="K323" s="513">
        <v>1405</v>
      </c>
      <c r="L323" s="518" t="s">
        <v>3493</v>
      </c>
      <c r="M323" s="152" t="s">
        <v>1566</v>
      </c>
      <c r="N323" s="152" t="s">
        <v>1407</v>
      </c>
      <c r="O323" s="152" t="s">
        <v>4293</v>
      </c>
      <c r="P323" s="152" t="s">
        <v>4279</v>
      </c>
      <c r="Q323" s="152" t="s">
        <v>4294</v>
      </c>
      <c r="R323" s="152" t="s">
        <v>4291</v>
      </c>
      <c r="S323" s="152" t="s">
        <v>4295</v>
      </c>
      <c r="T323" s="152" t="s">
        <v>786</v>
      </c>
    </row>
    <row r="324" spans="3:20">
      <c r="C324" s="152" t="s">
        <v>2821</v>
      </c>
      <c r="D324" s="474" t="s">
        <v>676</v>
      </c>
      <c r="E324" s="684" t="str">
        <f>+VLOOKUP(F324,Resumen_Base!$C$8:$G$156,5,0)</f>
        <v>Extras</v>
      </c>
      <c r="F324" s="152" t="s">
        <v>291</v>
      </c>
      <c r="G324" s="152" t="s">
        <v>292</v>
      </c>
      <c r="H324" s="152" t="str">
        <f t="shared" si="4"/>
        <v>CAR4103</v>
      </c>
      <c r="I324" s="513">
        <v>-309100</v>
      </c>
      <c r="J324" s="513">
        <v>-220</v>
      </c>
      <c r="K324" s="513">
        <v>1405</v>
      </c>
      <c r="L324" s="518" t="s">
        <v>3493</v>
      </c>
      <c r="M324" s="152" t="s">
        <v>1566</v>
      </c>
      <c r="N324" s="152" t="s">
        <v>1407</v>
      </c>
      <c r="O324" s="152" t="s">
        <v>4296</v>
      </c>
      <c r="P324" s="152" t="s">
        <v>4279</v>
      </c>
      <c r="Q324" s="152" t="s">
        <v>4297</v>
      </c>
      <c r="R324" s="152" t="s">
        <v>4291</v>
      </c>
      <c r="S324" s="152" t="s">
        <v>4298</v>
      </c>
      <c r="T324" s="152" t="s">
        <v>786</v>
      </c>
    </row>
    <row r="325" spans="3:20">
      <c r="C325" s="152" t="s">
        <v>2821</v>
      </c>
      <c r="D325" s="474" t="s">
        <v>676</v>
      </c>
      <c r="E325" s="684" t="str">
        <f>+VLOOKUP(F325,Resumen_Base!$C$8:$G$156,5,0)</f>
        <v>Extras</v>
      </c>
      <c r="F325" s="152" t="s">
        <v>291</v>
      </c>
      <c r="G325" s="152" t="s">
        <v>292</v>
      </c>
      <c r="H325" s="152" t="str">
        <f t="shared" si="4"/>
        <v>CAR4103</v>
      </c>
      <c r="I325" s="513">
        <v>-309100</v>
      </c>
      <c r="J325" s="513">
        <v>-220</v>
      </c>
      <c r="K325" s="513">
        <v>1405</v>
      </c>
      <c r="L325" s="518" t="s">
        <v>3493</v>
      </c>
      <c r="M325" s="152" t="s">
        <v>1566</v>
      </c>
      <c r="N325" s="152" t="s">
        <v>1407</v>
      </c>
      <c r="O325" s="152" t="s">
        <v>4299</v>
      </c>
      <c r="P325" s="152" t="s">
        <v>4279</v>
      </c>
      <c r="Q325" s="152" t="s">
        <v>4300</v>
      </c>
      <c r="R325" s="152" t="s">
        <v>4291</v>
      </c>
      <c r="S325" s="152" t="s">
        <v>4301</v>
      </c>
      <c r="T325" s="152" t="s">
        <v>786</v>
      </c>
    </row>
    <row r="326" spans="3:20">
      <c r="C326" s="152" t="s">
        <v>2821</v>
      </c>
      <c r="D326" s="474" t="s">
        <v>676</v>
      </c>
      <c r="E326" s="684" t="str">
        <f>+VLOOKUP(F326,Resumen_Base!$C$8:$G$156,5,0)</f>
        <v>Extras</v>
      </c>
      <c r="F326" s="152" t="s">
        <v>291</v>
      </c>
      <c r="G326" s="152" t="s">
        <v>292</v>
      </c>
      <c r="H326" s="152" t="str">
        <f t="shared" si="4"/>
        <v>CAR4103</v>
      </c>
      <c r="I326" s="513">
        <v>-309100</v>
      </c>
      <c r="J326" s="513">
        <v>-220</v>
      </c>
      <c r="K326" s="513">
        <v>1405</v>
      </c>
      <c r="L326" s="518" t="s">
        <v>3493</v>
      </c>
      <c r="M326" s="152" t="s">
        <v>1566</v>
      </c>
      <c r="N326" s="152" t="s">
        <v>1407</v>
      </c>
      <c r="O326" s="152" t="s">
        <v>4325</v>
      </c>
      <c r="P326" s="152" t="s">
        <v>4279</v>
      </c>
      <c r="Q326" s="152" t="s">
        <v>4326</v>
      </c>
      <c r="R326" s="152" t="s">
        <v>4323</v>
      </c>
      <c r="S326" s="152" t="s">
        <v>4327</v>
      </c>
      <c r="T326" s="152" t="s">
        <v>786</v>
      </c>
    </row>
    <row r="327" spans="3:20">
      <c r="C327" s="152" t="s">
        <v>2821</v>
      </c>
      <c r="D327" s="474" t="s">
        <v>676</v>
      </c>
      <c r="E327" s="684" t="str">
        <f>+VLOOKUP(F327,Resumen_Base!$C$8:$G$156,5,0)</f>
        <v>Extras</v>
      </c>
      <c r="F327" s="152" t="s">
        <v>291</v>
      </c>
      <c r="G327" s="152" t="s">
        <v>292</v>
      </c>
      <c r="H327" s="152" t="str">
        <f t="shared" si="4"/>
        <v>CAR4103</v>
      </c>
      <c r="I327" s="513">
        <v>-309100</v>
      </c>
      <c r="J327" s="513">
        <v>-220</v>
      </c>
      <c r="K327" s="513">
        <v>1405</v>
      </c>
      <c r="L327" s="518" t="s">
        <v>3493</v>
      </c>
      <c r="M327" s="152" t="s">
        <v>1566</v>
      </c>
      <c r="N327" s="152" t="s">
        <v>1407</v>
      </c>
      <c r="O327" s="152" t="s">
        <v>4334</v>
      </c>
      <c r="P327" s="152" t="s">
        <v>4279</v>
      </c>
      <c r="Q327" s="152" t="s">
        <v>4335</v>
      </c>
      <c r="R327" s="152" t="s">
        <v>4323</v>
      </c>
      <c r="S327" s="152" t="s">
        <v>4336</v>
      </c>
      <c r="T327" s="152" t="s">
        <v>786</v>
      </c>
    </row>
    <row r="328" spans="3:20">
      <c r="C328" s="152" t="s">
        <v>2821</v>
      </c>
      <c r="D328" s="474" t="s">
        <v>676</v>
      </c>
      <c r="E328" s="684" t="str">
        <f>+VLOOKUP(F328,Resumen_Base!$C$8:$G$156,5,0)</f>
        <v>Extras</v>
      </c>
      <c r="F328" s="152" t="s">
        <v>291</v>
      </c>
      <c r="G328" s="152" t="s">
        <v>292</v>
      </c>
      <c r="H328" s="152" t="str">
        <f t="shared" si="4"/>
        <v>CAR4103</v>
      </c>
      <c r="I328" s="513">
        <v>-294000</v>
      </c>
      <c r="J328" s="513">
        <v>-210</v>
      </c>
      <c r="K328" s="513">
        <v>1400</v>
      </c>
      <c r="L328" s="518" t="s">
        <v>3659</v>
      </c>
      <c r="M328" s="152" t="s">
        <v>1566</v>
      </c>
      <c r="N328" s="152" t="s">
        <v>1407</v>
      </c>
      <c r="O328" s="152" t="s">
        <v>4509</v>
      </c>
      <c r="P328" s="152" t="s">
        <v>4279</v>
      </c>
      <c r="Q328" s="152" t="s">
        <v>4510</v>
      </c>
      <c r="R328" s="152" t="s">
        <v>4511</v>
      </c>
      <c r="S328" s="152" t="s">
        <v>4512</v>
      </c>
      <c r="T328" s="152" t="s">
        <v>786</v>
      </c>
    </row>
    <row r="329" spans="3:20">
      <c r="C329" s="152" t="s">
        <v>2821</v>
      </c>
      <c r="D329" s="474" t="s">
        <v>676</v>
      </c>
      <c r="E329" s="684" t="str">
        <f>+VLOOKUP(F329,Resumen_Base!$C$8:$G$156,5,0)</f>
        <v>Extras</v>
      </c>
      <c r="F329" s="152" t="s">
        <v>291</v>
      </c>
      <c r="G329" s="152" t="s">
        <v>292</v>
      </c>
      <c r="H329" s="152" t="str">
        <f t="shared" si="4"/>
        <v>CAR4103</v>
      </c>
      <c r="I329" s="513">
        <v>-294000</v>
      </c>
      <c r="J329" s="513">
        <v>-210</v>
      </c>
      <c r="K329" s="513">
        <v>1400</v>
      </c>
      <c r="L329" s="518" t="s">
        <v>3659</v>
      </c>
      <c r="M329" s="152" t="s">
        <v>1566</v>
      </c>
      <c r="N329" s="152" t="s">
        <v>1407</v>
      </c>
      <c r="O329" s="152" t="s">
        <v>4513</v>
      </c>
      <c r="P329" s="152" t="s">
        <v>4279</v>
      </c>
      <c r="Q329" s="152" t="s">
        <v>4514</v>
      </c>
      <c r="R329" s="152" t="s">
        <v>4511</v>
      </c>
      <c r="S329" s="152" t="s">
        <v>4515</v>
      </c>
      <c r="T329" s="152" t="s">
        <v>786</v>
      </c>
    </row>
    <row r="330" spans="3:20">
      <c r="C330" s="152" t="s">
        <v>2821</v>
      </c>
      <c r="D330" s="474" t="s">
        <v>676</v>
      </c>
      <c r="E330" s="684" t="str">
        <f>+VLOOKUP(F330,Resumen_Base!$C$8:$G$156,5,0)</f>
        <v>Extras</v>
      </c>
      <c r="F330" s="152" t="s">
        <v>291</v>
      </c>
      <c r="G330" s="152" t="s">
        <v>292</v>
      </c>
      <c r="H330" s="152" t="str">
        <f t="shared" si="4"/>
        <v>CAR4103</v>
      </c>
      <c r="I330" s="513">
        <v>-118860</v>
      </c>
      <c r="J330" s="513">
        <v>-84</v>
      </c>
      <c r="K330" s="513">
        <v>1415</v>
      </c>
      <c r="L330" s="518" t="s">
        <v>3632</v>
      </c>
      <c r="M330" s="152" t="s">
        <v>1566</v>
      </c>
      <c r="N330" s="152" t="s">
        <v>1407</v>
      </c>
      <c r="O330" s="152" t="s">
        <v>4516</v>
      </c>
      <c r="P330" s="152" t="s">
        <v>4279</v>
      </c>
      <c r="Q330" s="152" t="s">
        <v>4517</v>
      </c>
      <c r="R330" s="152" t="s">
        <v>4518</v>
      </c>
      <c r="S330" s="152" t="s">
        <v>4519</v>
      </c>
      <c r="T330" s="152" t="s">
        <v>786</v>
      </c>
    </row>
    <row r="331" spans="3:20">
      <c r="C331" s="152" t="s">
        <v>2821</v>
      </c>
      <c r="D331" s="474" t="s">
        <v>676</v>
      </c>
      <c r="E331" s="684" t="str">
        <f>+VLOOKUP(F331,Resumen_Base!$C$8:$G$156,5,0)</f>
        <v>Extras</v>
      </c>
      <c r="F331" s="152" t="s">
        <v>291</v>
      </c>
      <c r="G331" s="152" t="s">
        <v>292</v>
      </c>
      <c r="H331" s="152" t="str">
        <f t="shared" si="4"/>
        <v>CAR4103</v>
      </c>
      <c r="I331" s="513">
        <v>-118860</v>
      </c>
      <c r="J331" s="513">
        <v>-84</v>
      </c>
      <c r="K331" s="513">
        <v>1415</v>
      </c>
      <c r="L331" s="518" t="s">
        <v>3632</v>
      </c>
      <c r="M331" s="152" t="s">
        <v>1566</v>
      </c>
      <c r="N331" s="152" t="s">
        <v>1407</v>
      </c>
      <c r="O331" s="152" t="s">
        <v>4520</v>
      </c>
      <c r="P331" s="152" t="s">
        <v>4279</v>
      </c>
      <c r="Q331" s="152" t="s">
        <v>4521</v>
      </c>
      <c r="R331" s="152" t="s">
        <v>4518</v>
      </c>
      <c r="S331" s="152" t="s">
        <v>4522</v>
      </c>
      <c r="T331" s="152" t="s">
        <v>786</v>
      </c>
    </row>
    <row r="332" spans="3:20">
      <c r="C332" s="152" t="s">
        <v>2821</v>
      </c>
      <c r="D332" s="474" t="s">
        <v>676</v>
      </c>
      <c r="E332" s="684" t="str">
        <f>+VLOOKUP(F332,Resumen_Base!$C$8:$G$156,5,0)</f>
        <v>Extras</v>
      </c>
      <c r="F332" s="152" t="s">
        <v>291</v>
      </c>
      <c r="G332" s="152" t="s">
        <v>292</v>
      </c>
      <c r="H332" s="152" t="str">
        <f t="shared" si="4"/>
        <v>CAR4103</v>
      </c>
      <c r="I332" s="513">
        <v>-472610</v>
      </c>
      <c r="J332" s="513">
        <v>-334</v>
      </c>
      <c r="K332" s="513">
        <v>1415</v>
      </c>
      <c r="L332" s="518" t="s">
        <v>3632</v>
      </c>
      <c r="M332" s="152" t="s">
        <v>1566</v>
      </c>
      <c r="N332" s="152" t="s">
        <v>1407</v>
      </c>
      <c r="O332" s="152" t="s">
        <v>4523</v>
      </c>
      <c r="P332" s="152" t="s">
        <v>4279</v>
      </c>
      <c r="Q332" s="152" t="s">
        <v>4524</v>
      </c>
      <c r="R332" s="152" t="s">
        <v>4518</v>
      </c>
      <c r="S332" s="152" t="s">
        <v>4525</v>
      </c>
      <c r="T332" s="152" t="s">
        <v>786</v>
      </c>
    </row>
    <row r="333" spans="3:20">
      <c r="C333" s="152" t="s">
        <v>2821</v>
      </c>
      <c r="D333" s="474" t="s">
        <v>676</v>
      </c>
      <c r="E333" s="684" t="str">
        <f>+VLOOKUP(F333,Resumen_Base!$C$8:$G$156,5,0)</f>
        <v>Extras</v>
      </c>
      <c r="F333" s="152" t="s">
        <v>291</v>
      </c>
      <c r="G333" s="152" t="s">
        <v>292</v>
      </c>
      <c r="H333" s="152" t="str">
        <f t="shared" ref="H333:H396" si="5">+D333&amp;F333</f>
        <v>CAR4103</v>
      </c>
      <c r="I333" s="513">
        <v>-237720</v>
      </c>
      <c r="J333" s="513">
        <v>-168</v>
      </c>
      <c r="K333" s="513">
        <v>1415</v>
      </c>
      <c r="L333" s="518" t="s">
        <v>3632</v>
      </c>
      <c r="M333" s="152" t="s">
        <v>1566</v>
      </c>
      <c r="N333" s="152" t="s">
        <v>1407</v>
      </c>
      <c r="O333" s="152" t="s">
        <v>4526</v>
      </c>
      <c r="P333" s="152" t="s">
        <v>4279</v>
      </c>
      <c r="Q333" s="152" t="s">
        <v>4527</v>
      </c>
      <c r="R333" s="152" t="s">
        <v>4518</v>
      </c>
      <c r="S333" s="152" t="s">
        <v>4528</v>
      </c>
      <c r="T333" s="152" t="s">
        <v>786</v>
      </c>
    </row>
    <row r="334" spans="3:20">
      <c r="C334" s="152" t="s">
        <v>2821</v>
      </c>
      <c r="D334" s="474" t="s">
        <v>676</v>
      </c>
      <c r="E334" s="684" t="str">
        <f>+VLOOKUP(F334,Resumen_Base!$C$8:$G$156,5,0)</f>
        <v>Extras</v>
      </c>
      <c r="F334" s="152" t="s">
        <v>291</v>
      </c>
      <c r="G334" s="152" t="s">
        <v>292</v>
      </c>
      <c r="H334" s="152" t="str">
        <f t="shared" si="5"/>
        <v>CAR4103</v>
      </c>
      <c r="I334" s="513">
        <v>-168000</v>
      </c>
      <c r="J334" s="513">
        <v>-120</v>
      </c>
      <c r="K334" s="513">
        <v>1400</v>
      </c>
      <c r="L334" s="518" t="s">
        <v>3659</v>
      </c>
      <c r="M334" s="152" t="s">
        <v>1566</v>
      </c>
      <c r="N334" s="152" t="s">
        <v>1407</v>
      </c>
      <c r="O334" s="152" t="s">
        <v>4559</v>
      </c>
      <c r="P334" s="152" t="s">
        <v>4279</v>
      </c>
      <c r="Q334" s="152" t="s">
        <v>4560</v>
      </c>
      <c r="R334" s="152" t="s">
        <v>4561</v>
      </c>
      <c r="S334" s="152" t="s">
        <v>4562</v>
      </c>
      <c r="T334" s="152" t="s">
        <v>786</v>
      </c>
    </row>
    <row r="335" spans="3:20">
      <c r="C335" s="152" t="s">
        <v>2821</v>
      </c>
      <c r="D335" s="474" t="s">
        <v>676</v>
      </c>
      <c r="E335" s="684" t="str">
        <f>+VLOOKUP(F335,Resumen_Base!$C$8:$G$156,5,0)</f>
        <v>Extras</v>
      </c>
      <c r="F335" s="152" t="s">
        <v>291</v>
      </c>
      <c r="G335" s="152" t="s">
        <v>292</v>
      </c>
      <c r="H335" s="152" t="str">
        <f t="shared" si="5"/>
        <v>CAR4103</v>
      </c>
      <c r="I335" s="513">
        <v>-168000</v>
      </c>
      <c r="J335" s="513">
        <v>-120</v>
      </c>
      <c r="K335" s="513">
        <v>1400</v>
      </c>
      <c r="L335" s="518" t="s">
        <v>3659</v>
      </c>
      <c r="M335" s="152" t="s">
        <v>1566</v>
      </c>
      <c r="N335" s="152" t="s">
        <v>1407</v>
      </c>
      <c r="O335" s="152" t="s">
        <v>4563</v>
      </c>
      <c r="P335" s="152" t="s">
        <v>4279</v>
      </c>
      <c r="Q335" s="152" t="s">
        <v>4564</v>
      </c>
      <c r="R335" s="152" t="s">
        <v>4561</v>
      </c>
      <c r="S335" s="152" t="s">
        <v>4565</v>
      </c>
      <c r="T335" s="152" t="s">
        <v>786</v>
      </c>
    </row>
    <row r="336" spans="3:20">
      <c r="C336" s="152" t="s">
        <v>2821</v>
      </c>
      <c r="D336" s="474" t="s">
        <v>676</v>
      </c>
      <c r="E336" s="684" t="str">
        <f>+VLOOKUP(F336,Resumen_Base!$C$8:$G$156,5,0)</f>
        <v>Extras</v>
      </c>
      <c r="F336" s="152" t="s">
        <v>291</v>
      </c>
      <c r="G336" s="152" t="s">
        <v>292</v>
      </c>
      <c r="H336" s="152" t="str">
        <f t="shared" si="5"/>
        <v>CAR4103</v>
      </c>
      <c r="I336" s="513">
        <v>-168000</v>
      </c>
      <c r="J336" s="513">
        <v>-120</v>
      </c>
      <c r="K336" s="513">
        <v>1400</v>
      </c>
      <c r="L336" s="518" t="s">
        <v>3659</v>
      </c>
      <c r="M336" s="152" t="s">
        <v>1566</v>
      </c>
      <c r="N336" s="152" t="s">
        <v>1407</v>
      </c>
      <c r="O336" s="152" t="s">
        <v>4572</v>
      </c>
      <c r="P336" s="152" t="s">
        <v>4279</v>
      </c>
      <c r="Q336" s="152" t="s">
        <v>4573</v>
      </c>
      <c r="R336" s="152" t="s">
        <v>4561</v>
      </c>
      <c r="S336" s="152" t="s">
        <v>4574</v>
      </c>
      <c r="T336" s="152" t="s">
        <v>786</v>
      </c>
    </row>
    <row r="337" spans="3:20">
      <c r="C337" s="152" t="s">
        <v>2821</v>
      </c>
      <c r="D337" s="474" t="s">
        <v>676</v>
      </c>
      <c r="E337" s="684" t="str">
        <f>+VLOOKUP(F337,Resumen_Base!$C$8:$G$156,5,0)</f>
        <v>Extras</v>
      </c>
      <c r="F337" s="152" t="s">
        <v>291</v>
      </c>
      <c r="G337" s="152" t="s">
        <v>292</v>
      </c>
      <c r="H337" s="152" t="str">
        <f t="shared" si="5"/>
        <v>CAR4103</v>
      </c>
      <c r="I337" s="513">
        <v>-168000</v>
      </c>
      <c r="J337" s="513">
        <v>-120</v>
      </c>
      <c r="K337" s="513">
        <v>1400</v>
      </c>
      <c r="L337" s="518" t="s">
        <v>3659</v>
      </c>
      <c r="M337" s="152" t="s">
        <v>1566</v>
      </c>
      <c r="N337" s="152" t="s">
        <v>1407</v>
      </c>
      <c r="O337" s="152" t="s">
        <v>4575</v>
      </c>
      <c r="P337" s="152" t="s">
        <v>4279</v>
      </c>
      <c r="Q337" s="152" t="s">
        <v>4576</v>
      </c>
      <c r="R337" s="152" t="s">
        <v>4561</v>
      </c>
      <c r="S337" s="152" t="s">
        <v>4577</v>
      </c>
      <c r="T337" s="152" t="s">
        <v>786</v>
      </c>
    </row>
    <row r="338" spans="3:20">
      <c r="C338" s="152" t="s">
        <v>2821</v>
      </c>
      <c r="D338" s="474" t="s">
        <v>676</v>
      </c>
      <c r="E338" s="684" t="str">
        <f>+VLOOKUP(F338,Resumen_Base!$C$8:$G$156,5,0)</f>
        <v>Extras</v>
      </c>
      <c r="F338" s="152" t="s">
        <v>291</v>
      </c>
      <c r="G338" s="152" t="s">
        <v>292</v>
      </c>
      <c r="H338" s="152" t="str">
        <f t="shared" si="5"/>
        <v>CAR4103</v>
      </c>
      <c r="I338" s="513">
        <v>-168000</v>
      </c>
      <c r="J338" s="513">
        <v>-120</v>
      </c>
      <c r="K338" s="513">
        <v>1400</v>
      </c>
      <c r="L338" s="518" t="s">
        <v>3659</v>
      </c>
      <c r="M338" s="152" t="s">
        <v>1566</v>
      </c>
      <c r="N338" s="152" t="s">
        <v>1407</v>
      </c>
      <c r="O338" s="152" t="s">
        <v>4581</v>
      </c>
      <c r="P338" s="152" t="s">
        <v>4279</v>
      </c>
      <c r="Q338" s="152" t="s">
        <v>4582</v>
      </c>
      <c r="R338" s="152" t="s">
        <v>4561</v>
      </c>
      <c r="S338" s="152" t="s">
        <v>4583</v>
      </c>
      <c r="T338" s="152" t="s">
        <v>786</v>
      </c>
    </row>
    <row r="339" spans="3:20">
      <c r="C339" s="152" t="s">
        <v>2821</v>
      </c>
      <c r="D339" s="474" t="s">
        <v>676</v>
      </c>
      <c r="E339" s="684" t="str">
        <f>+VLOOKUP(F339,Resumen_Base!$C$8:$G$156,5,0)</f>
        <v>Extras</v>
      </c>
      <c r="F339" s="152" t="s">
        <v>291</v>
      </c>
      <c r="G339" s="152" t="s">
        <v>292</v>
      </c>
      <c r="H339" s="152" t="str">
        <f t="shared" si="5"/>
        <v>CAR4103</v>
      </c>
      <c r="I339" s="513">
        <v>-168000</v>
      </c>
      <c r="J339" s="513">
        <v>-120</v>
      </c>
      <c r="K339" s="513">
        <v>1400</v>
      </c>
      <c r="L339" s="518" t="s">
        <v>3659</v>
      </c>
      <c r="M339" s="152" t="s">
        <v>1566</v>
      </c>
      <c r="N339" s="152" t="s">
        <v>1407</v>
      </c>
      <c r="O339" s="152" t="s">
        <v>4587</v>
      </c>
      <c r="P339" s="152" t="s">
        <v>4279</v>
      </c>
      <c r="Q339" s="152" t="s">
        <v>4588</v>
      </c>
      <c r="R339" s="152" t="s">
        <v>4561</v>
      </c>
      <c r="S339" s="152" t="s">
        <v>4589</v>
      </c>
      <c r="T339" s="152" t="s">
        <v>786</v>
      </c>
    </row>
    <row r="340" spans="3:20">
      <c r="C340" s="152" t="s">
        <v>2821</v>
      </c>
      <c r="D340" s="474" t="s">
        <v>676</v>
      </c>
      <c r="E340" s="684" t="str">
        <f>+VLOOKUP(F340,Resumen_Base!$C$8:$G$156,5,0)</f>
        <v>Extras</v>
      </c>
      <c r="F340" s="152" t="s">
        <v>291</v>
      </c>
      <c r="G340" s="152" t="s">
        <v>292</v>
      </c>
      <c r="H340" s="152" t="str">
        <f t="shared" si="5"/>
        <v>CAR4103</v>
      </c>
      <c r="I340" s="513">
        <v>-168000</v>
      </c>
      <c r="J340" s="513">
        <v>-120</v>
      </c>
      <c r="K340" s="513">
        <v>1400</v>
      </c>
      <c r="L340" s="518" t="s">
        <v>3659</v>
      </c>
      <c r="M340" s="152" t="s">
        <v>1566</v>
      </c>
      <c r="N340" s="152" t="s">
        <v>1407</v>
      </c>
      <c r="O340" s="152" t="s">
        <v>4593</v>
      </c>
      <c r="P340" s="152" t="s">
        <v>4279</v>
      </c>
      <c r="Q340" s="152" t="s">
        <v>4594</v>
      </c>
      <c r="R340" s="152" t="s">
        <v>4561</v>
      </c>
      <c r="S340" s="152" t="s">
        <v>4595</v>
      </c>
      <c r="T340" s="152" t="s">
        <v>786</v>
      </c>
    </row>
    <row r="341" spans="3:20">
      <c r="C341" s="152" t="s">
        <v>2821</v>
      </c>
      <c r="D341" s="474" t="s">
        <v>676</v>
      </c>
      <c r="E341" s="684" t="str">
        <f>+VLOOKUP(F341,Resumen_Base!$C$8:$G$156,5,0)</f>
        <v>Extras</v>
      </c>
      <c r="F341" s="152" t="s">
        <v>291</v>
      </c>
      <c r="G341" s="152" t="s">
        <v>292</v>
      </c>
      <c r="H341" s="152" t="str">
        <f t="shared" si="5"/>
        <v>CAR4103</v>
      </c>
      <c r="I341" s="513">
        <v>-304225</v>
      </c>
      <c r="J341" s="513">
        <v>-215</v>
      </c>
      <c r="K341" s="513">
        <v>1415</v>
      </c>
      <c r="L341" s="518" t="s">
        <v>3632</v>
      </c>
      <c r="M341" s="152" t="s">
        <v>1566</v>
      </c>
      <c r="N341" s="152" t="s">
        <v>1407</v>
      </c>
      <c r="O341" s="152" t="s">
        <v>4639</v>
      </c>
      <c r="P341" s="152" t="s">
        <v>4279</v>
      </c>
      <c r="Q341" s="152" t="s">
        <v>4640</v>
      </c>
      <c r="R341" s="152" t="s">
        <v>4641</v>
      </c>
      <c r="S341" s="152" t="s">
        <v>4642</v>
      </c>
      <c r="T341" s="152" t="s">
        <v>786</v>
      </c>
    </row>
    <row r="342" spans="3:20">
      <c r="C342" s="152" t="s">
        <v>2821</v>
      </c>
      <c r="D342" s="474" t="s">
        <v>676</v>
      </c>
      <c r="E342" s="684" t="str">
        <f>+VLOOKUP(F342,Resumen_Base!$C$8:$G$156,5,0)</f>
        <v>Extras</v>
      </c>
      <c r="F342" s="152" t="s">
        <v>291</v>
      </c>
      <c r="G342" s="152" t="s">
        <v>292</v>
      </c>
      <c r="H342" s="152" t="str">
        <f t="shared" si="5"/>
        <v>CAR4103</v>
      </c>
      <c r="I342" s="513">
        <v>-304225</v>
      </c>
      <c r="J342" s="513">
        <v>-215</v>
      </c>
      <c r="K342" s="513">
        <v>1415</v>
      </c>
      <c r="L342" s="518" t="s">
        <v>3632</v>
      </c>
      <c r="M342" s="152" t="s">
        <v>1566</v>
      </c>
      <c r="N342" s="152" t="s">
        <v>1407</v>
      </c>
      <c r="O342" s="152" t="s">
        <v>4643</v>
      </c>
      <c r="P342" s="152" t="s">
        <v>4279</v>
      </c>
      <c r="Q342" s="152" t="s">
        <v>4644</v>
      </c>
      <c r="R342" s="152" t="s">
        <v>4641</v>
      </c>
      <c r="S342" s="152" t="s">
        <v>4645</v>
      </c>
      <c r="T342" s="152" t="s">
        <v>786</v>
      </c>
    </row>
    <row r="343" spans="3:20">
      <c r="C343" s="152" t="s">
        <v>2821</v>
      </c>
      <c r="D343" s="474" t="s">
        <v>676</v>
      </c>
      <c r="E343" s="684" t="str">
        <f>+VLOOKUP(F343,Resumen_Base!$C$8:$G$156,5,0)</f>
        <v>Extras</v>
      </c>
      <c r="F343" s="152" t="s">
        <v>291</v>
      </c>
      <c r="G343" s="152" t="s">
        <v>292</v>
      </c>
      <c r="H343" s="152" t="str">
        <f t="shared" si="5"/>
        <v>CAR4103</v>
      </c>
      <c r="I343" s="513">
        <v>-304225</v>
      </c>
      <c r="J343" s="513">
        <v>-215</v>
      </c>
      <c r="K343" s="513">
        <v>1415</v>
      </c>
      <c r="L343" s="518" t="s">
        <v>3632</v>
      </c>
      <c r="M343" s="152" t="s">
        <v>1566</v>
      </c>
      <c r="N343" s="152" t="s">
        <v>1407</v>
      </c>
      <c r="O343" s="152" t="s">
        <v>4650</v>
      </c>
      <c r="P343" s="152" t="s">
        <v>4279</v>
      </c>
      <c r="Q343" s="152" t="s">
        <v>4651</v>
      </c>
      <c r="R343" s="152" t="s">
        <v>4652</v>
      </c>
      <c r="S343" s="152" t="s">
        <v>4653</v>
      </c>
      <c r="T343" s="152" t="s">
        <v>786</v>
      </c>
    </row>
    <row r="344" spans="3:20">
      <c r="C344" s="152" t="s">
        <v>2821</v>
      </c>
      <c r="D344" s="474" t="s">
        <v>676</v>
      </c>
      <c r="E344" s="684" t="str">
        <f>+VLOOKUP(F344,Resumen_Base!$C$8:$G$156,5,0)</f>
        <v>Shop</v>
      </c>
      <c r="F344" s="152" t="s">
        <v>293</v>
      </c>
      <c r="G344" s="152" t="s">
        <v>294</v>
      </c>
      <c r="H344" s="152" t="str">
        <f t="shared" si="5"/>
        <v>CAR4104</v>
      </c>
      <c r="I344" s="513">
        <v>-129600</v>
      </c>
      <c r="J344" s="513">
        <v>-90</v>
      </c>
      <c r="K344" s="513">
        <v>1440</v>
      </c>
      <c r="L344" s="518" t="s">
        <v>3517</v>
      </c>
      <c r="M344" s="152" t="s">
        <v>1566</v>
      </c>
      <c r="N344" s="152" t="s">
        <v>1407</v>
      </c>
      <c r="O344" s="152" t="s">
        <v>4243</v>
      </c>
      <c r="P344" s="152" t="s">
        <v>1881</v>
      </c>
      <c r="Q344" s="152" t="s">
        <v>4244</v>
      </c>
      <c r="R344" s="152" t="s">
        <v>4241</v>
      </c>
      <c r="S344" s="152" t="s">
        <v>4245</v>
      </c>
      <c r="T344" s="152" t="s">
        <v>786</v>
      </c>
    </row>
    <row r="345" spans="3:20">
      <c r="C345" s="152" t="s">
        <v>2821</v>
      </c>
      <c r="D345" s="474" t="s">
        <v>676</v>
      </c>
      <c r="E345" s="684" t="str">
        <f>+VLOOKUP(F345,Resumen_Base!$C$8:$G$156,5,0)</f>
        <v>Shop</v>
      </c>
      <c r="F345" s="152" t="s">
        <v>293</v>
      </c>
      <c r="G345" s="152" t="s">
        <v>294</v>
      </c>
      <c r="H345" s="152" t="str">
        <f t="shared" si="5"/>
        <v>CAR4104</v>
      </c>
      <c r="I345" s="513">
        <v>-72000</v>
      </c>
      <c r="J345" s="513">
        <v>-50</v>
      </c>
      <c r="K345" s="513">
        <v>1440</v>
      </c>
      <c r="L345" s="518" t="s">
        <v>3517</v>
      </c>
      <c r="M345" s="152" t="s">
        <v>1566</v>
      </c>
      <c r="N345" s="152" t="s">
        <v>1407</v>
      </c>
      <c r="O345" s="152" t="s">
        <v>4249</v>
      </c>
      <c r="P345" s="152" t="s">
        <v>1881</v>
      </c>
      <c r="Q345" s="152" t="s">
        <v>4250</v>
      </c>
      <c r="R345" s="152" t="s">
        <v>4241</v>
      </c>
      <c r="S345" s="152" t="s">
        <v>4251</v>
      </c>
      <c r="T345" s="152" t="s">
        <v>786</v>
      </c>
    </row>
    <row r="346" spans="3:20">
      <c r="C346" s="152" t="s">
        <v>2821</v>
      </c>
      <c r="D346" s="474" t="s">
        <v>676</v>
      </c>
      <c r="E346" s="684" t="str">
        <f>+VLOOKUP(F346,Resumen_Base!$C$8:$G$156,5,0)</f>
        <v>Shop</v>
      </c>
      <c r="F346" s="152" t="s">
        <v>293</v>
      </c>
      <c r="G346" s="152" t="s">
        <v>294</v>
      </c>
      <c r="H346" s="152" t="str">
        <f t="shared" si="5"/>
        <v>CAR4104</v>
      </c>
      <c r="I346" s="513">
        <v>-50400</v>
      </c>
      <c r="J346" s="513">
        <v>-35</v>
      </c>
      <c r="K346" s="513">
        <v>1440</v>
      </c>
      <c r="L346" s="518" t="s">
        <v>3517</v>
      </c>
      <c r="M346" s="152" t="s">
        <v>1566</v>
      </c>
      <c r="N346" s="152" t="s">
        <v>1407</v>
      </c>
      <c r="O346" s="152" t="s">
        <v>4249</v>
      </c>
      <c r="P346" s="152" t="s">
        <v>1881</v>
      </c>
      <c r="Q346" s="152" t="s">
        <v>4250</v>
      </c>
      <c r="R346" s="152" t="s">
        <v>4241</v>
      </c>
      <c r="S346" s="152" t="s">
        <v>4251</v>
      </c>
      <c r="T346" s="152" t="s">
        <v>786</v>
      </c>
    </row>
    <row r="347" spans="3:20">
      <c r="C347" s="152" t="s">
        <v>2821</v>
      </c>
      <c r="D347" s="474" t="s">
        <v>676</v>
      </c>
      <c r="E347" s="684" t="str">
        <f>+VLOOKUP(F347,Resumen_Base!$C$8:$G$156,5,0)</f>
        <v>Shop</v>
      </c>
      <c r="F347" s="152" t="s">
        <v>293</v>
      </c>
      <c r="G347" s="152" t="s">
        <v>294</v>
      </c>
      <c r="H347" s="152" t="str">
        <f t="shared" si="5"/>
        <v>CAR4104</v>
      </c>
      <c r="I347" s="513">
        <v>-136800</v>
      </c>
      <c r="J347" s="513">
        <v>-95</v>
      </c>
      <c r="K347" s="513">
        <v>1440</v>
      </c>
      <c r="L347" s="518" t="s">
        <v>3517</v>
      </c>
      <c r="M347" s="152" t="s">
        <v>1566</v>
      </c>
      <c r="N347" s="152" t="s">
        <v>1407</v>
      </c>
      <c r="O347" s="152" t="s">
        <v>4249</v>
      </c>
      <c r="P347" s="152" t="s">
        <v>1881</v>
      </c>
      <c r="Q347" s="152" t="s">
        <v>4250</v>
      </c>
      <c r="R347" s="152" t="s">
        <v>4241</v>
      </c>
      <c r="S347" s="152" t="s">
        <v>4251</v>
      </c>
      <c r="T347" s="152" t="s">
        <v>786</v>
      </c>
    </row>
    <row r="348" spans="3:20">
      <c r="C348" s="152" t="s">
        <v>2821</v>
      </c>
      <c r="D348" s="474" t="s">
        <v>676</v>
      </c>
      <c r="E348" s="684" t="str">
        <f>+VLOOKUP(F348,Resumen_Base!$C$8:$G$156,5,0)</f>
        <v>Shop</v>
      </c>
      <c r="F348" s="152" t="s">
        <v>293</v>
      </c>
      <c r="G348" s="152" t="s">
        <v>294</v>
      </c>
      <c r="H348" s="152" t="str">
        <f t="shared" si="5"/>
        <v>CAR4104</v>
      </c>
      <c r="I348" s="513">
        <v>-129600</v>
      </c>
      <c r="J348" s="513">
        <v>-90</v>
      </c>
      <c r="K348" s="513">
        <v>1440</v>
      </c>
      <c r="L348" s="518" t="s">
        <v>3517</v>
      </c>
      <c r="M348" s="152" t="s">
        <v>1566</v>
      </c>
      <c r="N348" s="152" t="s">
        <v>1407</v>
      </c>
      <c r="O348" s="152" t="s">
        <v>4249</v>
      </c>
      <c r="P348" s="152" t="s">
        <v>1881</v>
      </c>
      <c r="Q348" s="152" t="s">
        <v>4250</v>
      </c>
      <c r="R348" s="152" t="s">
        <v>4241</v>
      </c>
      <c r="S348" s="152" t="s">
        <v>4251</v>
      </c>
      <c r="T348" s="152" t="s">
        <v>786</v>
      </c>
    </row>
    <row r="349" spans="3:20">
      <c r="C349" s="152" t="s">
        <v>2821</v>
      </c>
      <c r="D349" s="474" t="s">
        <v>676</v>
      </c>
      <c r="E349" s="684" t="str">
        <f>+VLOOKUP(F349,Resumen_Base!$C$8:$G$156,5,0)</f>
        <v>Shop</v>
      </c>
      <c r="F349" s="152" t="s">
        <v>293</v>
      </c>
      <c r="G349" s="152" t="s">
        <v>294</v>
      </c>
      <c r="H349" s="152" t="str">
        <f t="shared" si="5"/>
        <v>CAR4104</v>
      </c>
      <c r="I349" s="513">
        <v>-115200</v>
      </c>
      <c r="J349" s="513">
        <v>-80</v>
      </c>
      <c r="K349" s="513">
        <v>1440</v>
      </c>
      <c r="L349" s="518" t="s">
        <v>3517</v>
      </c>
      <c r="M349" s="152" t="s">
        <v>1566</v>
      </c>
      <c r="N349" s="152" t="s">
        <v>1407</v>
      </c>
      <c r="O349" s="152" t="s">
        <v>4249</v>
      </c>
      <c r="P349" s="152" t="s">
        <v>1881</v>
      </c>
      <c r="Q349" s="152" t="s">
        <v>4250</v>
      </c>
      <c r="R349" s="152" t="s">
        <v>4241</v>
      </c>
      <c r="S349" s="152" t="s">
        <v>4251</v>
      </c>
      <c r="T349" s="152" t="s">
        <v>786</v>
      </c>
    </row>
    <row r="350" spans="3:20">
      <c r="C350" s="152" t="s">
        <v>2821</v>
      </c>
      <c r="D350" s="474" t="s">
        <v>676</v>
      </c>
      <c r="E350" s="684" t="str">
        <f>+VLOOKUP(F350,Resumen_Base!$C$8:$G$156,5,0)</f>
        <v>Shop</v>
      </c>
      <c r="F350" s="152" t="s">
        <v>293</v>
      </c>
      <c r="G350" s="152" t="s">
        <v>294</v>
      </c>
      <c r="H350" s="152" t="str">
        <f t="shared" si="5"/>
        <v>CAR4104</v>
      </c>
      <c r="I350" s="513">
        <v>-129600</v>
      </c>
      <c r="J350" s="513">
        <v>-90</v>
      </c>
      <c r="K350" s="513">
        <v>1440</v>
      </c>
      <c r="L350" s="518" t="s">
        <v>3517</v>
      </c>
      <c r="M350" s="152" t="s">
        <v>1566</v>
      </c>
      <c r="N350" s="152" t="s">
        <v>1407</v>
      </c>
      <c r="O350" s="152" t="s">
        <v>4249</v>
      </c>
      <c r="P350" s="152" t="s">
        <v>1881</v>
      </c>
      <c r="Q350" s="152" t="s">
        <v>4250</v>
      </c>
      <c r="R350" s="152" t="s">
        <v>4241</v>
      </c>
      <c r="S350" s="152" t="s">
        <v>4251</v>
      </c>
      <c r="T350" s="152" t="s">
        <v>786</v>
      </c>
    </row>
    <row r="351" spans="3:20">
      <c r="C351" s="152" t="s">
        <v>2821</v>
      </c>
      <c r="D351" s="474" t="s">
        <v>676</v>
      </c>
      <c r="E351" s="684" t="str">
        <f>+VLOOKUP(F351,Resumen_Base!$C$8:$G$156,5,0)</f>
        <v>Shop</v>
      </c>
      <c r="F351" s="152" t="s">
        <v>293</v>
      </c>
      <c r="G351" s="152" t="s">
        <v>294</v>
      </c>
      <c r="H351" s="152" t="str">
        <f t="shared" si="5"/>
        <v>CAR4104</v>
      </c>
      <c r="I351" s="513">
        <v>-72000</v>
      </c>
      <c r="J351" s="513">
        <v>-50</v>
      </c>
      <c r="K351" s="513">
        <v>1440</v>
      </c>
      <c r="L351" s="518" t="s">
        <v>3517</v>
      </c>
      <c r="M351" s="152" t="s">
        <v>1566</v>
      </c>
      <c r="N351" s="152" t="s">
        <v>1407</v>
      </c>
      <c r="O351" s="152" t="s">
        <v>4249</v>
      </c>
      <c r="P351" s="152" t="s">
        <v>1881</v>
      </c>
      <c r="Q351" s="152" t="s">
        <v>4250</v>
      </c>
      <c r="R351" s="152" t="s">
        <v>4241</v>
      </c>
      <c r="S351" s="152" t="s">
        <v>4251</v>
      </c>
      <c r="T351" s="152" t="s">
        <v>786</v>
      </c>
    </row>
    <row r="352" spans="3:20">
      <c r="C352" s="152" t="s">
        <v>2821</v>
      </c>
      <c r="D352" s="474" t="s">
        <v>676</v>
      </c>
      <c r="E352" s="684" t="str">
        <f>+VLOOKUP(F352,Resumen_Base!$C$8:$G$156,5,0)</f>
        <v>Shop</v>
      </c>
      <c r="F352" s="152" t="s">
        <v>293</v>
      </c>
      <c r="G352" s="152" t="s">
        <v>294</v>
      </c>
      <c r="H352" s="152" t="str">
        <f t="shared" si="5"/>
        <v>CAR4104</v>
      </c>
      <c r="I352" s="513">
        <v>-432000</v>
      </c>
      <c r="J352" s="513">
        <v>-300</v>
      </c>
      <c r="K352" s="513">
        <v>1440</v>
      </c>
      <c r="L352" s="518" t="s">
        <v>3517</v>
      </c>
      <c r="M352" s="152" t="s">
        <v>1566</v>
      </c>
      <c r="N352" s="152" t="s">
        <v>1407</v>
      </c>
      <c r="O352" s="152" t="s">
        <v>4249</v>
      </c>
      <c r="P352" s="152" t="s">
        <v>1881</v>
      </c>
      <c r="Q352" s="152" t="s">
        <v>4250</v>
      </c>
      <c r="R352" s="152" t="s">
        <v>4241</v>
      </c>
      <c r="S352" s="152" t="s">
        <v>4251</v>
      </c>
      <c r="T352" s="152" t="s">
        <v>786</v>
      </c>
    </row>
    <row r="353" spans="3:20">
      <c r="C353" s="152" t="s">
        <v>2821</v>
      </c>
      <c r="D353" s="474" t="s">
        <v>676</v>
      </c>
      <c r="E353" s="684" t="str">
        <f>+VLOOKUP(F353,Resumen_Base!$C$8:$G$156,5,0)</f>
        <v>Shop</v>
      </c>
      <c r="F353" s="152" t="s">
        <v>293</v>
      </c>
      <c r="G353" s="152" t="s">
        <v>294</v>
      </c>
      <c r="H353" s="152" t="str">
        <f t="shared" si="5"/>
        <v>CAR4104</v>
      </c>
      <c r="I353" s="513">
        <v>-135375</v>
      </c>
      <c r="J353" s="513">
        <v>-95</v>
      </c>
      <c r="K353" s="513">
        <v>1425</v>
      </c>
      <c r="L353" s="518" t="s">
        <v>3637</v>
      </c>
      <c r="M353" s="152" t="s">
        <v>1566</v>
      </c>
      <c r="N353" s="152" t="s">
        <v>1407</v>
      </c>
      <c r="O353" s="152" t="s">
        <v>4260</v>
      </c>
      <c r="P353" s="152" t="s">
        <v>1881</v>
      </c>
      <c r="Q353" s="152" t="s">
        <v>4261</v>
      </c>
      <c r="R353" s="152" t="s">
        <v>4258</v>
      </c>
      <c r="S353" s="152" t="s">
        <v>4262</v>
      </c>
      <c r="T353" s="152" t="s">
        <v>786</v>
      </c>
    </row>
    <row r="354" spans="3:20">
      <c r="C354" s="152" t="s">
        <v>2821</v>
      </c>
      <c r="D354" s="474" t="s">
        <v>676</v>
      </c>
      <c r="E354" s="684" t="str">
        <f>+VLOOKUP(F354,Resumen_Base!$C$8:$G$156,5,0)</f>
        <v>Shop</v>
      </c>
      <c r="F354" s="152" t="s">
        <v>293</v>
      </c>
      <c r="G354" s="152" t="s">
        <v>294</v>
      </c>
      <c r="H354" s="152" t="str">
        <f t="shared" si="5"/>
        <v>CAR4104</v>
      </c>
      <c r="I354" s="513">
        <v>-128250</v>
      </c>
      <c r="J354" s="513">
        <v>-90</v>
      </c>
      <c r="K354" s="513">
        <v>1425</v>
      </c>
      <c r="L354" s="518" t="s">
        <v>3637</v>
      </c>
      <c r="M354" s="152" t="s">
        <v>1566</v>
      </c>
      <c r="N354" s="152" t="s">
        <v>1407</v>
      </c>
      <c r="O354" s="152" t="s">
        <v>4260</v>
      </c>
      <c r="P354" s="152" t="s">
        <v>1881</v>
      </c>
      <c r="Q354" s="152" t="s">
        <v>4261</v>
      </c>
      <c r="R354" s="152" t="s">
        <v>4258</v>
      </c>
      <c r="S354" s="152" t="s">
        <v>4262</v>
      </c>
      <c r="T354" s="152" t="s">
        <v>786</v>
      </c>
    </row>
    <row r="355" spans="3:20">
      <c r="C355" s="152" t="s">
        <v>2821</v>
      </c>
      <c r="D355" s="474" t="s">
        <v>676</v>
      </c>
      <c r="E355" s="684" t="str">
        <f>+VLOOKUP(F355,Resumen_Base!$C$8:$G$156,5,0)</f>
        <v>Shop</v>
      </c>
      <c r="F355" s="152" t="s">
        <v>293</v>
      </c>
      <c r="G355" s="152" t="s">
        <v>294</v>
      </c>
      <c r="H355" s="152" t="str">
        <f t="shared" si="5"/>
        <v>CAR4104</v>
      </c>
      <c r="I355" s="513">
        <v>-57000</v>
      </c>
      <c r="J355" s="513">
        <v>-40</v>
      </c>
      <c r="K355" s="513">
        <v>1425</v>
      </c>
      <c r="L355" s="518" t="s">
        <v>3637</v>
      </c>
      <c r="M355" s="152" t="s">
        <v>1566</v>
      </c>
      <c r="N355" s="152" t="s">
        <v>1407</v>
      </c>
      <c r="O355" s="152" t="s">
        <v>4263</v>
      </c>
      <c r="P355" s="152" t="s">
        <v>1881</v>
      </c>
      <c r="Q355" s="152" t="s">
        <v>4264</v>
      </c>
      <c r="R355" s="152" t="s">
        <v>4258</v>
      </c>
      <c r="S355" s="152" t="s">
        <v>4265</v>
      </c>
      <c r="T355" s="152" t="s">
        <v>786</v>
      </c>
    </row>
    <row r="356" spans="3:20">
      <c r="C356" s="152" t="s">
        <v>2821</v>
      </c>
      <c r="D356" s="474" t="s">
        <v>676</v>
      </c>
      <c r="E356" s="684" t="str">
        <f>+VLOOKUP(F356,Resumen_Base!$C$8:$G$156,5,0)</f>
        <v>Shop</v>
      </c>
      <c r="F356" s="152" t="s">
        <v>293</v>
      </c>
      <c r="G356" s="152" t="s">
        <v>294</v>
      </c>
      <c r="H356" s="152" t="str">
        <f t="shared" si="5"/>
        <v>CAR4104</v>
      </c>
      <c r="I356" s="513">
        <v>-114000</v>
      </c>
      <c r="J356" s="513">
        <v>-80</v>
      </c>
      <c r="K356" s="513">
        <v>1425</v>
      </c>
      <c r="L356" s="518" t="s">
        <v>3637</v>
      </c>
      <c r="M356" s="152" t="s">
        <v>1566</v>
      </c>
      <c r="N356" s="152" t="s">
        <v>1407</v>
      </c>
      <c r="O356" s="152" t="s">
        <v>4263</v>
      </c>
      <c r="P356" s="152" t="s">
        <v>1881</v>
      </c>
      <c r="Q356" s="152" t="s">
        <v>4264</v>
      </c>
      <c r="R356" s="152" t="s">
        <v>4258</v>
      </c>
      <c r="S356" s="152" t="s">
        <v>4265</v>
      </c>
      <c r="T356" s="152" t="s">
        <v>786</v>
      </c>
    </row>
    <row r="357" spans="3:20">
      <c r="C357" s="152" t="s">
        <v>2821</v>
      </c>
      <c r="D357" s="474" t="s">
        <v>676</v>
      </c>
      <c r="E357" s="684" t="str">
        <f>+VLOOKUP(F357,Resumen_Base!$C$8:$G$156,5,0)</f>
        <v>Shop</v>
      </c>
      <c r="F357" s="152" t="s">
        <v>293</v>
      </c>
      <c r="G357" s="152" t="s">
        <v>294</v>
      </c>
      <c r="H357" s="152" t="str">
        <f t="shared" si="5"/>
        <v>CAR4104</v>
      </c>
      <c r="I357" s="513">
        <v>-57000</v>
      </c>
      <c r="J357" s="513">
        <v>-40</v>
      </c>
      <c r="K357" s="513">
        <v>1425</v>
      </c>
      <c r="L357" s="518" t="s">
        <v>3637</v>
      </c>
      <c r="M357" s="152" t="s">
        <v>1566</v>
      </c>
      <c r="N357" s="152" t="s">
        <v>1407</v>
      </c>
      <c r="O357" s="152" t="s">
        <v>4263</v>
      </c>
      <c r="P357" s="152" t="s">
        <v>1881</v>
      </c>
      <c r="Q357" s="152" t="s">
        <v>4264</v>
      </c>
      <c r="R357" s="152" t="s">
        <v>4258</v>
      </c>
      <c r="S357" s="152" t="s">
        <v>4265</v>
      </c>
      <c r="T357" s="152" t="s">
        <v>786</v>
      </c>
    </row>
    <row r="358" spans="3:20">
      <c r="C358" s="152" t="s">
        <v>2821</v>
      </c>
      <c r="D358" s="474" t="s">
        <v>676</v>
      </c>
      <c r="E358" s="684" t="str">
        <f>+VLOOKUP(F358,Resumen_Base!$C$8:$G$156,5,0)</f>
        <v>Shop</v>
      </c>
      <c r="F358" s="152" t="s">
        <v>293</v>
      </c>
      <c r="G358" s="152" t="s">
        <v>294</v>
      </c>
      <c r="H358" s="152" t="str">
        <f t="shared" si="5"/>
        <v>CAR4104</v>
      </c>
      <c r="I358" s="513">
        <v>-57000</v>
      </c>
      <c r="J358" s="513">
        <v>-40</v>
      </c>
      <c r="K358" s="513">
        <v>1425</v>
      </c>
      <c r="L358" s="518" t="s">
        <v>3637</v>
      </c>
      <c r="M358" s="152" t="s">
        <v>1566</v>
      </c>
      <c r="N358" s="152" t="s">
        <v>1407</v>
      </c>
      <c r="O358" s="152" t="s">
        <v>4266</v>
      </c>
      <c r="P358" s="152" t="s">
        <v>1881</v>
      </c>
      <c r="Q358" s="152" t="s">
        <v>4267</v>
      </c>
      <c r="R358" s="152" t="s">
        <v>4258</v>
      </c>
      <c r="S358" s="152" t="s">
        <v>4268</v>
      </c>
      <c r="T358" s="152" t="s">
        <v>786</v>
      </c>
    </row>
    <row r="359" spans="3:20">
      <c r="C359" s="152" t="s">
        <v>2821</v>
      </c>
      <c r="D359" s="474" t="s">
        <v>676</v>
      </c>
      <c r="E359" s="684" t="str">
        <f>+VLOOKUP(F359,Resumen_Base!$C$8:$G$156,5,0)</f>
        <v>Shop</v>
      </c>
      <c r="F359" s="152" t="s">
        <v>293</v>
      </c>
      <c r="G359" s="152" t="s">
        <v>294</v>
      </c>
      <c r="H359" s="152" t="str">
        <f t="shared" si="5"/>
        <v>CAR4104</v>
      </c>
      <c r="I359" s="513">
        <v>-57000</v>
      </c>
      <c r="J359" s="513">
        <v>-40</v>
      </c>
      <c r="K359" s="513">
        <v>1425</v>
      </c>
      <c r="L359" s="518" t="s">
        <v>3637</v>
      </c>
      <c r="M359" s="152" t="s">
        <v>1566</v>
      </c>
      <c r="N359" s="152" t="s">
        <v>1407</v>
      </c>
      <c r="O359" s="152" t="s">
        <v>4269</v>
      </c>
      <c r="P359" s="152" t="s">
        <v>1881</v>
      </c>
      <c r="Q359" s="152" t="s">
        <v>4270</v>
      </c>
      <c r="R359" s="152" t="s">
        <v>4258</v>
      </c>
      <c r="S359" s="152" t="s">
        <v>4271</v>
      </c>
      <c r="T359" s="152" t="s">
        <v>786</v>
      </c>
    </row>
    <row r="360" spans="3:20">
      <c r="C360" s="152" t="s">
        <v>2821</v>
      </c>
      <c r="D360" s="474" t="s">
        <v>676</v>
      </c>
      <c r="E360" s="684" t="str">
        <f>+VLOOKUP(F360,Resumen_Base!$C$8:$G$156,5,0)</f>
        <v>Shop</v>
      </c>
      <c r="F360" s="152" t="s">
        <v>293</v>
      </c>
      <c r="G360" s="152" t="s">
        <v>294</v>
      </c>
      <c r="H360" s="152" t="str">
        <f t="shared" si="5"/>
        <v>CAR4104</v>
      </c>
      <c r="I360" s="513">
        <v>-57000</v>
      </c>
      <c r="J360" s="513">
        <v>-40</v>
      </c>
      <c r="K360" s="513">
        <v>1425</v>
      </c>
      <c r="L360" s="518" t="s">
        <v>3637</v>
      </c>
      <c r="M360" s="152" t="s">
        <v>1566</v>
      </c>
      <c r="N360" s="152" t="s">
        <v>1407</v>
      </c>
      <c r="O360" s="152" t="s">
        <v>4269</v>
      </c>
      <c r="P360" s="152" t="s">
        <v>1881</v>
      </c>
      <c r="Q360" s="152" t="s">
        <v>4270</v>
      </c>
      <c r="R360" s="152" t="s">
        <v>4258</v>
      </c>
      <c r="S360" s="152" t="s">
        <v>4271</v>
      </c>
      <c r="T360" s="152" t="s">
        <v>786</v>
      </c>
    </row>
    <row r="361" spans="3:20">
      <c r="C361" s="152" t="s">
        <v>2821</v>
      </c>
      <c r="D361" s="474" t="s">
        <v>676</v>
      </c>
      <c r="E361" s="684" t="str">
        <f>+VLOOKUP(F361,Resumen_Base!$C$8:$G$156,5,0)</f>
        <v>Shop</v>
      </c>
      <c r="F361" s="152" t="s">
        <v>293</v>
      </c>
      <c r="G361" s="152" t="s">
        <v>294</v>
      </c>
      <c r="H361" s="152" t="str">
        <f t="shared" si="5"/>
        <v>CAR4104</v>
      </c>
      <c r="I361" s="513">
        <v>-213750</v>
      </c>
      <c r="J361" s="513">
        <v>-150</v>
      </c>
      <c r="K361" s="513">
        <v>1425</v>
      </c>
      <c r="L361" s="518" t="s">
        <v>3637</v>
      </c>
      <c r="M361" s="152" t="s">
        <v>1566</v>
      </c>
      <c r="N361" s="152" t="s">
        <v>1407</v>
      </c>
      <c r="O361" s="152" t="s">
        <v>4272</v>
      </c>
      <c r="P361" s="152" t="s">
        <v>1881</v>
      </c>
      <c r="Q361" s="152" t="s">
        <v>4273</v>
      </c>
      <c r="R361" s="152" t="s">
        <v>4258</v>
      </c>
      <c r="S361" s="152" t="s">
        <v>4274</v>
      </c>
      <c r="T361" s="152" t="s">
        <v>786</v>
      </c>
    </row>
    <row r="362" spans="3:20">
      <c r="C362" s="152" t="s">
        <v>2821</v>
      </c>
      <c r="D362" s="474" t="s">
        <v>676</v>
      </c>
      <c r="E362" s="684" t="str">
        <f>+VLOOKUP(F362,Resumen_Base!$C$8:$G$156,5,0)</f>
        <v>Shop</v>
      </c>
      <c r="F362" s="152" t="s">
        <v>293</v>
      </c>
      <c r="G362" s="152" t="s">
        <v>294</v>
      </c>
      <c r="H362" s="152" t="str">
        <f t="shared" si="5"/>
        <v>CAR4104</v>
      </c>
      <c r="I362" s="513">
        <v>-35625</v>
      </c>
      <c r="J362" s="513">
        <v>-25</v>
      </c>
      <c r="K362" s="513">
        <v>1425</v>
      </c>
      <c r="L362" s="518" t="s">
        <v>3637</v>
      </c>
      <c r="M362" s="152" t="s">
        <v>1566</v>
      </c>
      <c r="N362" s="152" t="s">
        <v>1407</v>
      </c>
      <c r="O362" s="152" t="s">
        <v>4272</v>
      </c>
      <c r="P362" s="152" t="s">
        <v>1881</v>
      </c>
      <c r="Q362" s="152" t="s">
        <v>4273</v>
      </c>
      <c r="R362" s="152" t="s">
        <v>4258</v>
      </c>
      <c r="S362" s="152" t="s">
        <v>4274</v>
      </c>
      <c r="T362" s="152" t="s">
        <v>786</v>
      </c>
    </row>
    <row r="363" spans="3:20">
      <c r="C363" s="152" t="s">
        <v>2821</v>
      </c>
      <c r="D363" s="474" t="s">
        <v>676</v>
      </c>
      <c r="E363" s="684" t="str">
        <f>+VLOOKUP(F363,Resumen_Base!$C$8:$G$156,5,0)</f>
        <v>Shop</v>
      </c>
      <c r="F363" s="152" t="s">
        <v>293</v>
      </c>
      <c r="G363" s="152" t="s">
        <v>294</v>
      </c>
      <c r="H363" s="152" t="str">
        <f t="shared" si="5"/>
        <v>CAR4104</v>
      </c>
      <c r="I363" s="513">
        <v>-56000</v>
      </c>
      <c r="J363" s="513">
        <v>-40</v>
      </c>
      <c r="K363" s="513">
        <v>1400</v>
      </c>
      <c r="L363" s="518" t="s">
        <v>3659</v>
      </c>
      <c r="M363" s="152" t="s">
        <v>1566</v>
      </c>
      <c r="N363" s="152" t="s">
        <v>1407</v>
      </c>
      <c r="O363" s="152" t="s">
        <v>4278</v>
      </c>
      <c r="P363" s="152" t="s">
        <v>4279</v>
      </c>
      <c r="Q363" s="152" t="s">
        <v>4280</v>
      </c>
      <c r="R363" s="152" t="s">
        <v>4281</v>
      </c>
      <c r="S363" s="152" t="s">
        <v>4282</v>
      </c>
      <c r="T363" s="152" t="s">
        <v>786</v>
      </c>
    </row>
    <row r="364" spans="3:20">
      <c r="C364" s="152" t="s">
        <v>2821</v>
      </c>
      <c r="D364" s="474" t="s">
        <v>676</v>
      </c>
      <c r="E364" s="684" t="str">
        <f>+VLOOKUP(F364,Resumen_Base!$C$8:$G$156,5,0)</f>
        <v>Shop</v>
      </c>
      <c r="F364" s="152" t="s">
        <v>293</v>
      </c>
      <c r="G364" s="152" t="s">
        <v>294</v>
      </c>
      <c r="H364" s="152" t="str">
        <f t="shared" si="5"/>
        <v>CAR4104</v>
      </c>
      <c r="I364" s="513">
        <v>-56000</v>
      </c>
      <c r="J364" s="513">
        <v>-40</v>
      </c>
      <c r="K364" s="513">
        <v>1400</v>
      </c>
      <c r="L364" s="518" t="s">
        <v>3659</v>
      </c>
      <c r="M364" s="152" t="s">
        <v>1566</v>
      </c>
      <c r="N364" s="152" t="s">
        <v>1407</v>
      </c>
      <c r="O364" s="152" t="s">
        <v>4278</v>
      </c>
      <c r="P364" s="152" t="s">
        <v>4279</v>
      </c>
      <c r="Q364" s="152" t="s">
        <v>4280</v>
      </c>
      <c r="R364" s="152" t="s">
        <v>4281</v>
      </c>
      <c r="S364" s="152" t="s">
        <v>4282</v>
      </c>
      <c r="T364" s="152" t="s">
        <v>786</v>
      </c>
    </row>
    <row r="365" spans="3:20">
      <c r="C365" s="152" t="s">
        <v>2821</v>
      </c>
      <c r="D365" s="474" t="s">
        <v>676</v>
      </c>
      <c r="E365" s="684" t="str">
        <f>+VLOOKUP(F365,Resumen_Base!$C$8:$G$156,5,0)</f>
        <v>Shop</v>
      </c>
      <c r="F365" s="152" t="s">
        <v>293</v>
      </c>
      <c r="G365" s="152" t="s">
        <v>294</v>
      </c>
      <c r="H365" s="152" t="str">
        <f t="shared" si="5"/>
        <v>CAR4104</v>
      </c>
      <c r="I365" s="513">
        <v>-49000</v>
      </c>
      <c r="J365" s="513">
        <v>-35</v>
      </c>
      <c r="K365" s="513">
        <v>1400</v>
      </c>
      <c r="L365" s="518" t="s">
        <v>3659</v>
      </c>
      <c r="M365" s="152" t="s">
        <v>1566</v>
      </c>
      <c r="N365" s="152" t="s">
        <v>1407</v>
      </c>
      <c r="O365" s="152" t="s">
        <v>4286</v>
      </c>
      <c r="P365" s="152" t="s">
        <v>4279</v>
      </c>
      <c r="Q365" s="152" t="s">
        <v>4287</v>
      </c>
      <c r="R365" s="152" t="s">
        <v>4281</v>
      </c>
      <c r="S365" s="152" t="s">
        <v>4288</v>
      </c>
      <c r="T365" s="152" t="s">
        <v>786</v>
      </c>
    </row>
    <row r="366" spans="3:20">
      <c r="C366" s="152" t="s">
        <v>2821</v>
      </c>
      <c r="D366" s="474" t="s">
        <v>676</v>
      </c>
      <c r="E366" s="684" t="str">
        <f>+VLOOKUP(F366,Resumen_Base!$C$8:$G$156,5,0)</f>
        <v>Shop</v>
      </c>
      <c r="F366" s="152" t="s">
        <v>293</v>
      </c>
      <c r="G366" s="152" t="s">
        <v>294</v>
      </c>
      <c r="H366" s="152" t="str">
        <f t="shared" si="5"/>
        <v>CAR4104</v>
      </c>
      <c r="I366" s="513">
        <v>-49000</v>
      </c>
      <c r="J366" s="513">
        <v>-35</v>
      </c>
      <c r="K366" s="513">
        <v>1400</v>
      </c>
      <c r="L366" s="518" t="s">
        <v>3659</v>
      </c>
      <c r="M366" s="152" t="s">
        <v>1566</v>
      </c>
      <c r="N366" s="152" t="s">
        <v>1407</v>
      </c>
      <c r="O366" s="152" t="s">
        <v>4286</v>
      </c>
      <c r="P366" s="152" t="s">
        <v>4279</v>
      </c>
      <c r="Q366" s="152" t="s">
        <v>4287</v>
      </c>
      <c r="R366" s="152" t="s">
        <v>4281</v>
      </c>
      <c r="S366" s="152" t="s">
        <v>4288</v>
      </c>
      <c r="T366" s="152" t="s">
        <v>786</v>
      </c>
    </row>
    <row r="367" spans="3:20">
      <c r="C367" s="152" t="s">
        <v>2821</v>
      </c>
      <c r="D367" s="474" t="s">
        <v>676</v>
      </c>
      <c r="E367" s="684" t="str">
        <f>+VLOOKUP(F367,Resumen_Base!$C$8:$G$156,5,0)</f>
        <v>Shop</v>
      </c>
      <c r="F367" s="152" t="s">
        <v>293</v>
      </c>
      <c r="G367" s="152" t="s">
        <v>294</v>
      </c>
      <c r="H367" s="152" t="str">
        <f t="shared" si="5"/>
        <v>CAR4104</v>
      </c>
      <c r="I367" s="513">
        <v>-56200</v>
      </c>
      <c r="J367" s="513">
        <v>-40</v>
      </c>
      <c r="K367" s="513">
        <v>1405</v>
      </c>
      <c r="L367" s="518" t="s">
        <v>3493</v>
      </c>
      <c r="M367" s="152" t="s">
        <v>1566</v>
      </c>
      <c r="N367" s="152" t="s">
        <v>1407</v>
      </c>
      <c r="O367" s="152" t="s">
        <v>4289</v>
      </c>
      <c r="P367" s="152" t="s">
        <v>4279</v>
      </c>
      <c r="Q367" s="152" t="s">
        <v>4290</v>
      </c>
      <c r="R367" s="152" t="s">
        <v>4291</v>
      </c>
      <c r="S367" s="152" t="s">
        <v>4292</v>
      </c>
      <c r="T367" s="152" t="s">
        <v>786</v>
      </c>
    </row>
    <row r="368" spans="3:20">
      <c r="C368" s="152" t="s">
        <v>2821</v>
      </c>
      <c r="D368" s="474" t="s">
        <v>676</v>
      </c>
      <c r="E368" s="684" t="str">
        <f>+VLOOKUP(F368,Resumen_Base!$C$8:$G$156,5,0)</f>
        <v>Shop</v>
      </c>
      <c r="F368" s="152" t="s">
        <v>293</v>
      </c>
      <c r="G368" s="152" t="s">
        <v>294</v>
      </c>
      <c r="H368" s="152" t="str">
        <f t="shared" si="5"/>
        <v>CAR4104</v>
      </c>
      <c r="I368" s="513">
        <v>-56200</v>
      </c>
      <c r="J368" s="513">
        <v>-40</v>
      </c>
      <c r="K368" s="513">
        <v>1405</v>
      </c>
      <c r="L368" s="518" t="s">
        <v>3493</v>
      </c>
      <c r="M368" s="152" t="s">
        <v>1566</v>
      </c>
      <c r="N368" s="152" t="s">
        <v>1407</v>
      </c>
      <c r="O368" s="152" t="s">
        <v>4296</v>
      </c>
      <c r="P368" s="152" t="s">
        <v>4279</v>
      </c>
      <c r="Q368" s="152" t="s">
        <v>4297</v>
      </c>
      <c r="R368" s="152" t="s">
        <v>4291</v>
      </c>
      <c r="S368" s="152" t="s">
        <v>4298</v>
      </c>
      <c r="T368" s="152" t="s">
        <v>786</v>
      </c>
    </row>
    <row r="369" spans="3:20">
      <c r="C369" s="152" t="s">
        <v>2821</v>
      </c>
      <c r="D369" s="474" t="s">
        <v>676</v>
      </c>
      <c r="E369" s="684" t="str">
        <f>+VLOOKUP(F369,Resumen_Base!$C$8:$G$156,5,0)</f>
        <v>Shop</v>
      </c>
      <c r="F369" s="152" t="s">
        <v>293</v>
      </c>
      <c r="G369" s="152" t="s">
        <v>294</v>
      </c>
      <c r="H369" s="152" t="str">
        <f t="shared" si="5"/>
        <v>CAR4104</v>
      </c>
      <c r="I369" s="513">
        <v>-56400</v>
      </c>
      <c r="J369" s="513">
        <v>-40</v>
      </c>
      <c r="K369" s="513">
        <v>1410</v>
      </c>
      <c r="L369" s="518" t="s">
        <v>3498</v>
      </c>
      <c r="M369" s="152" t="s">
        <v>1566</v>
      </c>
      <c r="N369" s="152" t="s">
        <v>1407</v>
      </c>
      <c r="O369" s="152" t="s">
        <v>4311</v>
      </c>
      <c r="P369" s="152" t="s">
        <v>4279</v>
      </c>
      <c r="Q369" s="152" t="s">
        <v>4312</v>
      </c>
      <c r="R369" s="152" t="s">
        <v>4304</v>
      </c>
      <c r="S369" s="152" t="s">
        <v>4313</v>
      </c>
      <c r="T369" s="152" t="s">
        <v>786</v>
      </c>
    </row>
    <row r="370" spans="3:20">
      <c r="C370" s="152" t="s">
        <v>2821</v>
      </c>
      <c r="D370" s="474" t="s">
        <v>676</v>
      </c>
      <c r="E370" s="684" t="str">
        <f>+VLOOKUP(F370,Resumen_Base!$C$8:$G$156,5,0)</f>
        <v>Shop</v>
      </c>
      <c r="F370" s="152" t="s">
        <v>293</v>
      </c>
      <c r="G370" s="152" t="s">
        <v>294</v>
      </c>
      <c r="H370" s="152" t="str">
        <f t="shared" si="5"/>
        <v>CAR4104</v>
      </c>
      <c r="I370" s="513">
        <v>-49350</v>
      </c>
      <c r="J370" s="513">
        <v>-35</v>
      </c>
      <c r="K370" s="513">
        <v>1410</v>
      </c>
      <c r="L370" s="518" t="s">
        <v>3498</v>
      </c>
      <c r="M370" s="152" t="s">
        <v>1566</v>
      </c>
      <c r="N370" s="152" t="s">
        <v>1407</v>
      </c>
      <c r="O370" s="152" t="s">
        <v>4311</v>
      </c>
      <c r="P370" s="152" t="s">
        <v>4279</v>
      </c>
      <c r="Q370" s="152" t="s">
        <v>4312</v>
      </c>
      <c r="R370" s="152" t="s">
        <v>4304</v>
      </c>
      <c r="S370" s="152" t="s">
        <v>4313</v>
      </c>
      <c r="T370" s="152" t="s">
        <v>786</v>
      </c>
    </row>
    <row r="371" spans="3:20">
      <c r="C371" s="152" t="s">
        <v>2821</v>
      </c>
      <c r="D371" s="474" t="s">
        <v>676</v>
      </c>
      <c r="E371" s="684" t="str">
        <f>+VLOOKUP(F371,Resumen_Base!$C$8:$G$156,5,0)</f>
        <v>Shop</v>
      </c>
      <c r="F371" s="152" t="s">
        <v>293</v>
      </c>
      <c r="G371" s="152" t="s">
        <v>294</v>
      </c>
      <c r="H371" s="152" t="str">
        <f t="shared" si="5"/>
        <v>CAR4104</v>
      </c>
      <c r="I371" s="513">
        <v>-70750</v>
      </c>
      <c r="J371" s="513">
        <v>-50</v>
      </c>
      <c r="K371" s="513">
        <v>1415</v>
      </c>
      <c r="L371" s="518" t="s">
        <v>3511</v>
      </c>
      <c r="M371" s="152" t="s">
        <v>1566</v>
      </c>
      <c r="N371" s="152" t="s">
        <v>1407</v>
      </c>
      <c r="O371" s="152" t="s">
        <v>4317</v>
      </c>
      <c r="P371" s="152" t="s">
        <v>4279</v>
      </c>
      <c r="Q371" s="152" t="s">
        <v>4318</v>
      </c>
      <c r="R371" s="152" t="s">
        <v>4319</v>
      </c>
      <c r="S371" s="152" t="s">
        <v>4320</v>
      </c>
      <c r="T371" s="152" t="s">
        <v>786</v>
      </c>
    </row>
    <row r="372" spans="3:20">
      <c r="C372" s="152" t="s">
        <v>2821</v>
      </c>
      <c r="D372" s="474" t="s">
        <v>676</v>
      </c>
      <c r="E372" s="684" t="str">
        <f>+VLOOKUP(F372,Resumen_Base!$C$8:$G$156,5,0)</f>
        <v>Shop</v>
      </c>
      <c r="F372" s="152" t="s">
        <v>293</v>
      </c>
      <c r="G372" s="152" t="s">
        <v>294</v>
      </c>
      <c r="H372" s="152" t="str">
        <f t="shared" si="5"/>
        <v>CAR4104</v>
      </c>
      <c r="I372" s="513">
        <v>-42150</v>
      </c>
      <c r="J372" s="513">
        <v>-30</v>
      </c>
      <c r="K372" s="513">
        <v>1405</v>
      </c>
      <c r="L372" s="518" t="s">
        <v>3493</v>
      </c>
      <c r="M372" s="152" t="s">
        <v>1566</v>
      </c>
      <c r="N372" s="152" t="s">
        <v>1407</v>
      </c>
      <c r="O372" s="152" t="s">
        <v>4328</v>
      </c>
      <c r="P372" s="152" t="s">
        <v>4279</v>
      </c>
      <c r="Q372" s="152" t="s">
        <v>4329</v>
      </c>
      <c r="R372" s="152" t="s">
        <v>4323</v>
      </c>
      <c r="S372" s="152" t="s">
        <v>4330</v>
      </c>
      <c r="T372" s="152" t="s">
        <v>786</v>
      </c>
    </row>
    <row r="373" spans="3:20">
      <c r="C373" s="152" t="s">
        <v>2821</v>
      </c>
      <c r="D373" s="474" t="s">
        <v>676</v>
      </c>
      <c r="E373" s="684" t="str">
        <f>+VLOOKUP(F373,Resumen_Base!$C$8:$G$156,5,0)</f>
        <v>Shop</v>
      </c>
      <c r="F373" s="152" t="s">
        <v>293</v>
      </c>
      <c r="G373" s="152" t="s">
        <v>294</v>
      </c>
      <c r="H373" s="152" t="str">
        <f t="shared" si="5"/>
        <v>CAR4104</v>
      </c>
      <c r="I373" s="513">
        <v>-56200</v>
      </c>
      <c r="J373" s="513">
        <v>-40</v>
      </c>
      <c r="K373" s="513">
        <v>1405</v>
      </c>
      <c r="L373" s="518" t="s">
        <v>3493</v>
      </c>
      <c r="M373" s="152" t="s">
        <v>1566</v>
      </c>
      <c r="N373" s="152" t="s">
        <v>1407</v>
      </c>
      <c r="O373" s="152" t="s">
        <v>4328</v>
      </c>
      <c r="P373" s="152" t="s">
        <v>4279</v>
      </c>
      <c r="Q373" s="152" t="s">
        <v>4329</v>
      </c>
      <c r="R373" s="152" t="s">
        <v>4323</v>
      </c>
      <c r="S373" s="152" t="s">
        <v>4330</v>
      </c>
      <c r="T373" s="152" t="s">
        <v>786</v>
      </c>
    </row>
    <row r="374" spans="3:20">
      <c r="C374" s="152" t="s">
        <v>2821</v>
      </c>
      <c r="D374" s="474" t="s">
        <v>676</v>
      </c>
      <c r="E374" s="684" t="str">
        <f>+VLOOKUP(F374,Resumen_Base!$C$8:$G$156,5,0)</f>
        <v>Shop</v>
      </c>
      <c r="F374" s="152" t="s">
        <v>293</v>
      </c>
      <c r="G374" s="152" t="s">
        <v>294</v>
      </c>
      <c r="H374" s="152" t="str">
        <f t="shared" si="5"/>
        <v>CAR4104</v>
      </c>
      <c r="I374" s="513">
        <v>-56200</v>
      </c>
      <c r="J374" s="513">
        <v>-40</v>
      </c>
      <c r="K374" s="513">
        <v>1405</v>
      </c>
      <c r="L374" s="518" t="s">
        <v>3493</v>
      </c>
      <c r="M374" s="152" t="s">
        <v>1566</v>
      </c>
      <c r="N374" s="152" t="s">
        <v>1407</v>
      </c>
      <c r="O374" s="152" t="s">
        <v>4331</v>
      </c>
      <c r="P374" s="152" t="s">
        <v>4279</v>
      </c>
      <c r="Q374" s="152" t="s">
        <v>4332</v>
      </c>
      <c r="R374" s="152" t="s">
        <v>4323</v>
      </c>
      <c r="S374" s="152" t="s">
        <v>4333</v>
      </c>
      <c r="T374" s="152" t="s">
        <v>786</v>
      </c>
    </row>
    <row r="375" spans="3:20">
      <c r="C375" s="152" t="s">
        <v>2821</v>
      </c>
      <c r="D375" s="474" t="s">
        <v>676</v>
      </c>
      <c r="E375" s="684" t="str">
        <f>+VLOOKUP(F375,Resumen_Base!$C$8:$G$156,5,0)</f>
        <v>Shop</v>
      </c>
      <c r="F375" s="152" t="s">
        <v>293</v>
      </c>
      <c r="G375" s="152" t="s">
        <v>294</v>
      </c>
      <c r="H375" s="152" t="str">
        <f t="shared" si="5"/>
        <v>CAR4104</v>
      </c>
      <c r="I375" s="513">
        <v>-56200</v>
      </c>
      <c r="J375" s="513">
        <v>-40</v>
      </c>
      <c r="K375" s="513">
        <v>1405</v>
      </c>
      <c r="L375" s="518" t="s">
        <v>3493</v>
      </c>
      <c r="M375" s="152" t="s">
        <v>1566</v>
      </c>
      <c r="N375" s="152" t="s">
        <v>1407</v>
      </c>
      <c r="O375" s="152" t="s">
        <v>4334</v>
      </c>
      <c r="P375" s="152" t="s">
        <v>4279</v>
      </c>
      <c r="Q375" s="152" t="s">
        <v>4335</v>
      </c>
      <c r="R375" s="152" t="s">
        <v>4323</v>
      </c>
      <c r="S375" s="152" t="s">
        <v>4336</v>
      </c>
      <c r="T375" s="152" t="s">
        <v>786</v>
      </c>
    </row>
    <row r="376" spans="3:20">
      <c r="C376" s="152" t="s">
        <v>2821</v>
      </c>
      <c r="D376" s="474" t="s">
        <v>676</v>
      </c>
      <c r="E376" s="684" t="str">
        <f>+VLOOKUP(F376,Resumen_Base!$C$8:$G$156,5,0)</f>
        <v>Shop</v>
      </c>
      <c r="F376" s="152" t="s">
        <v>293</v>
      </c>
      <c r="G376" s="152" t="s">
        <v>294</v>
      </c>
      <c r="H376" s="152" t="str">
        <f t="shared" si="5"/>
        <v>CAR4104</v>
      </c>
      <c r="I376" s="513">
        <v>-56000</v>
      </c>
      <c r="J376" s="513">
        <v>-40</v>
      </c>
      <c r="K376" s="513">
        <v>1400</v>
      </c>
      <c r="L376" s="518" t="s">
        <v>3659</v>
      </c>
      <c r="M376" s="152" t="s">
        <v>1566</v>
      </c>
      <c r="N376" s="152" t="s">
        <v>1407</v>
      </c>
      <c r="O376" s="152" t="s">
        <v>4360</v>
      </c>
      <c r="P376" s="152" t="s">
        <v>4279</v>
      </c>
      <c r="Q376" s="152" t="s">
        <v>4361</v>
      </c>
      <c r="R376" s="152" t="s">
        <v>4362</v>
      </c>
      <c r="S376" s="152" t="s">
        <v>4363</v>
      </c>
      <c r="T376" s="152" t="s">
        <v>786</v>
      </c>
    </row>
    <row r="377" spans="3:20">
      <c r="C377" s="152" t="s">
        <v>2821</v>
      </c>
      <c r="D377" s="474" t="s">
        <v>676</v>
      </c>
      <c r="E377" s="684" t="str">
        <f>+VLOOKUP(F377,Resumen_Base!$C$8:$G$156,5,0)</f>
        <v>Shop</v>
      </c>
      <c r="F377" s="152" t="s">
        <v>293</v>
      </c>
      <c r="G377" s="152" t="s">
        <v>294</v>
      </c>
      <c r="H377" s="152" t="str">
        <f t="shared" si="5"/>
        <v>CAR4104</v>
      </c>
      <c r="I377" s="513">
        <v>-21225</v>
      </c>
      <c r="J377" s="513">
        <v>-15</v>
      </c>
      <c r="K377" s="513">
        <v>1415</v>
      </c>
      <c r="L377" s="518" t="s">
        <v>3511</v>
      </c>
      <c r="M377" s="152" t="s">
        <v>1566</v>
      </c>
      <c r="N377" s="152" t="s">
        <v>1407</v>
      </c>
      <c r="O377" s="152" t="s">
        <v>4377</v>
      </c>
      <c r="P377" s="152" t="s">
        <v>4279</v>
      </c>
      <c r="Q377" s="152" t="s">
        <v>4378</v>
      </c>
      <c r="R377" s="152" t="s">
        <v>4379</v>
      </c>
      <c r="S377" s="152" t="s">
        <v>4380</v>
      </c>
      <c r="T377" s="152" t="s">
        <v>786</v>
      </c>
    </row>
    <row r="378" spans="3:20">
      <c r="C378" s="152" t="s">
        <v>2821</v>
      </c>
      <c r="D378" s="474" t="s">
        <v>676</v>
      </c>
      <c r="E378" s="684" t="str">
        <f>+VLOOKUP(F378,Resumen_Base!$C$8:$G$156,5,0)</f>
        <v>Shop</v>
      </c>
      <c r="F378" s="152" t="s">
        <v>293</v>
      </c>
      <c r="G378" s="152" t="s">
        <v>294</v>
      </c>
      <c r="H378" s="152" t="str">
        <f t="shared" si="5"/>
        <v>CAR4104</v>
      </c>
      <c r="I378" s="513">
        <v>-50400</v>
      </c>
      <c r="J378" s="513">
        <v>-35</v>
      </c>
      <c r="K378" s="513">
        <v>1440</v>
      </c>
      <c r="L378" s="518" t="s">
        <v>3517</v>
      </c>
      <c r="M378" s="152" t="s">
        <v>1566</v>
      </c>
      <c r="N378" s="152" t="s">
        <v>1407</v>
      </c>
      <c r="O378" s="152" t="s">
        <v>4381</v>
      </c>
      <c r="P378" s="152" t="s">
        <v>1881</v>
      </c>
      <c r="Q378" s="152" t="s">
        <v>4382</v>
      </c>
      <c r="R378" s="152" t="s">
        <v>4383</v>
      </c>
      <c r="S378" s="152" t="s">
        <v>4384</v>
      </c>
      <c r="T378" s="152" t="s">
        <v>786</v>
      </c>
    </row>
    <row r="379" spans="3:20">
      <c r="C379" s="152" t="s">
        <v>2821</v>
      </c>
      <c r="D379" s="474" t="s">
        <v>676</v>
      </c>
      <c r="E379" s="684" t="str">
        <f>+VLOOKUP(F379,Resumen_Base!$C$8:$G$156,5,0)</f>
        <v>Shop</v>
      </c>
      <c r="F379" s="152" t="s">
        <v>293</v>
      </c>
      <c r="G379" s="152" t="s">
        <v>294</v>
      </c>
      <c r="H379" s="152" t="str">
        <f t="shared" si="5"/>
        <v>CAR4104</v>
      </c>
      <c r="I379" s="513">
        <v>-72000</v>
      </c>
      <c r="J379" s="513">
        <v>-50</v>
      </c>
      <c r="K379" s="513">
        <v>1440</v>
      </c>
      <c r="L379" s="518" t="s">
        <v>3517</v>
      </c>
      <c r="M379" s="152" t="s">
        <v>1566</v>
      </c>
      <c r="N379" s="152" t="s">
        <v>1407</v>
      </c>
      <c r="O379" s="152" t="s">
        <v>4381</v>
      </c>
      <c r="P379" s="152" t="s">
        <v>1881</v>
      </c>
      <c r="Q379" s="152" t="s">
        <v>4382</v>
      </c>
      <c r="R379" s="152" t="s">
        <v>4383</v>
      </c>
      <c r="S379" s="152" t="s">
        <v>4384</v>
      </c>
      <c r="T379" s="152" t="s">
        <v>786</v>
      </c>
    </row>
    <row r="380" spans="3:20">
      <c r="C380" s="152" t="s">
        <v>2821</v>
      </c>
      <c r="D380" s="474" t="s">
        <v>676</v>
      </c>
      <c r="E380" s="684" t="str">
        <f>+VLOOKUP(F380,Resumen_Base!$C$8:$G$156,5,0)</f>
        <v>Shop</v>
      </c>
      <c r="F380" s="152" t="s">
        <v>293</v>
      </c>
      <c r="G380" s="152" t="s">
        <v>294</v>
      </c>
      <c r="H380" s="152" t="str">
        <f t="shared" si="5"/>
        <v>CAR4104</v>
      </c>
      <c r="I380" s="513">
        <v>-158400</v>
      </c>
      <c r="J380" s="513">
        <v>-110</v>
      </c>
      <c r="K380" s="513">
        <v>1440</v>
      </c>
      <c r="L380" s="518" t="s">
        <v>3517</v>
      </c>
      <c r="M380" s="152" t="s">
        <v>1566</v>
      </c>
      <c r="N380" s="152" t="s">
        <v>1407</v>
      </c>
      <c r="O380" s="152" t="s">
        <v>4381</v>
      </c>
      <c r="P380" s="152" t="s">
        <v>1881</v>
      </c>
      <c r="Q380" s="152" t="s">
        <v>4382</v>
      </c>
      <c r="R380" s="152" t="s">
        <v>4383</v>
      </c>
      <c r="S380" s="152" t="s">
        <v>4384</v>
      </c>
      <c r="T380" s="152" t="s">
        <v>786</v>
      </c>
    </row>
    <row r="381" spans="3:20">
      <c r="C381" s="152" t="s">
        <v>2821</v>
      </c>
      <c r="D381" s="474" t="s">
        <v>676</v>
      </c>
      <c r="E381" s="684" t="str">
        <f>+VLOOKUP(F381,Resumen_Base!$C$8:$G$156,5,0)</f>
        <v>Shop</v>
      </c>
      <c r="F381" s="152" t="s">
        <v>293</v>
      </c>
      <c r="G381" s="152" t="s">
        <v>294</v>
      </c>
      <c r="H381" s="152" t="str">
        <f t="shared" si="5"/>
        <v>CAR4104</v>
      </c>
      <c r="I381" s="513">
        <v>-136800</v>
      </c>
      <c r="J381" s="513">
        <v>-95</v>
      </c>
      <c r="K381" s="513">
        <v>1440</v>
      </c>
      <c r="L381" s="518" t="s">
        <v>3517</v>
      </c>
      <c r="M381" s="152" t="s">
        <v>1566</v>
      </c>
      <c r="N381" s="152" t="s">
        <v>1407</v>
      </c>
      <c r="O381" s="152" t="s">
        <v>4381</v>
      </c>
      <c r="P381" s="152" t="s">
        <v>1881</v>
      </c>
      <c r="Q381" s="152" t="s">
        <v>4382</v>
      </c>
      <c r="R381" s="152" t="s">
        <v>4383</v>
      </c>
      <c r="S381" s="152" t="s">
        <v>4384</v>
      </c>
      <c r="T381" s="152" t="s">
        <v>786</v>
      </c>
    </row>
    <row r="382" spans="3:20">
      <c r="C382" s="152" t="s">
        <v>2821</v>
      </c>
      <c r="D382" s="474" t="s">
        <v>676</v>
      </c>
      <c r="E382" s="684" t="str">
        <f>+VLOOKUP(F382,Resumen_Base!$C$8:$G$156,5,0)</f>
        <v>Shop</v>
      </c>
      <c r="F382" s="152" t="s">
        <v>293</v>
      </c>
      <c r="G382" s="152" t="s">
        <v>294</v>
      </c>
      <c r="H382" s="152" t="str">
        <f t="shared" si="5"/>
        <v>CAR4104</v>
      </c>
      <c r="I382" s="513">
        <v>-28800</v>
      </c>
      <c r="J382" s="513">
        <v>-20</v>
      </c>
      <c r="K382" s="513">
        <v>1440</v>
      </c>
      <c r="L382" s="518" t="s">
        <v>3517</v>
      </c>
      <c r="M382" s="152" t="s">
        <v>1566</v>
      </c>
      <c r="N382" s="152" t="s">
        <v>1407</v>
      </c>
      <c r="O382" s="152" t="s">
        <v>4385</v>
      </c>
      <c r="P382" s="152" t="s">
        <v>1881</v>
      </c>
      <c r="Q382" s="152" t="s">
        <v>4386</v>
      </c>
      <c r="R382" s="152" t="s">
        <v>4383</v>
      </c>
      <c r="S382" s="152" t="s">
        <v>4387</v>
      </c>
      <c r="T382" s="152" t="s">
        <v>786</v>
      </c>
    </row>
    <row r="383" spans="3:20">
      <c r="C383" s="152" t="s">
        <v>2821</v>
      </c>
      <c r="D383" s="474" t="s">
        <v>676</v>
      </c>
      <c r="E383" s="684" t="str">
        <f>+VLOOKUP(F383,Resumen_Base!$C$8:$G$156,5,0)</f>
        <v>Shop</v>
      </c>
      <c r="F383" s="152" t="s">
        <v>293</v>
      </c>
      <c r="G383" s="152" t="s">
        <v>294</v>
      </c>
      <c r="H383" s="152" t="str">
        <f t="shared" si="5"/>
        <v>CAR4104</v>
      </c>
      <c r="I383" s="513">
        <v>-158400</v>
      </c>
      <c r="J383" s="513">
        <v>-110</v>
      </c>
      <c r="K383" s="513">
        <v>1440</v>
      </c>
      <c r="L383" s="518" t="s">
        <v>3517</v>
      </c>
      <c r="M383" s="152" t="s">
        <v>1566</v>
      </c>
      <c r="N383" s="152" t="s">
        <v>1407</v>
      </c>
      <c r="O383" s="152" t="s">
        <v>4388</v>
      </c>
      <c r="P383" s="152" t="s">
        <v>1881</v>
      </c>
      <c r="Q383" s="152" t="s">
        <v>4389</v>
      </c>
      <c r="R383" s="152" t="s">
        <v>4383</v>
      </c>
      <c r="S383" s="152" t="s">
        <v>4390</v>
      </c>
      <c r="T383" s="152" t="s">
        <v>786</v>
      </c>
    </row>
    <row r="384" spans="3:20">
      <c r="C384" s="152" t="s">
        <v>2821</v>
      </c>
      <c r="D384" s="474" t="s">
        <v>676</v>
      </c>
      <c r="E384" s="684" t="str">
        <f>+VLOOKUP(F384,Resumen_Base!$C$8:$G$156,5,0)</f>
        <v>Shop</v>
      </c>
      <c r="F384" s="152" t="s">
        <v>293</v>
      </c>
      <c r="G384" s="152" t="s">
        <v>294</v>
      </c>
      <c r="H384" s="152" t="str">
        <f t="shared" si="5"/>
        <v>CAR4104</v>
      </c>
      <c r="I384" s="513">
        <v>-28800</v>
      </c>
      <c r="J384" s="513">
        <v>-20</v>
      </c>
      <c r="K384" s="513">
        <v>1440</v>
      </c>
      <c r="L384" s="518" t="s">
        <v>3517</v>
      </c>
      <c r="M384" s="152" t="s">
        <v>1566</v>
      </c>
      <c r="N384" s="152" t="s">
        <v>1407</v>
      </c>
      <c r="O384" s="152" t="s">
        <v>4388</v>
      </c>
      <c r="P384" s="152" t="s">
        <v>1881</v>
      </c>
      <c r="Q384" s="152" t="s">
        <v>4389</v>
      </c>
      <c r="R384" s="152" t="s">
        <v>4383</v>
      </c>
      <c r="S384" s="152" t="s">
        <v>4390</v>
      </c>
      <c r="T384" s="152" t="s">
        <v>786</v>
      </c>
    </row>
    <row r="385" spans="3:20">
      <c r="C385" s="152" t="s">
        <v>2821</v>
      </c>
      <c r="D385" s="474" t="s">
        <v>676</v>
      </c>
      <c r="E385" s="684" t="str">
        <f>+VLOOKUP(F385,Resumen_Base!$C$8:$G$156,5,0)</f>
        <v>Shop</v>
      </c>
      <c r="F385" s="152" t="s">
        <v>293</v>
      </c>
      <c r="G385" s="152" t="s">
        <v>294</v>
      </c>
      <c r="H385" s="152" t="str">
        <f t="shared" si="5"/>
        <v>CAR4104</v>
      </c>
      <c r="I385" s="513">
        <v>-127350</v>
      </c>
      <c r="J385" s="513">
        <v>-90</v>
      </c>
      <c r="K385" s="513">
        <v>1415</v>
      </c>
      <c r="L385" s="518" t="s">
        <v>3511</v>
      </c>
      <c r="M385" s="152" t="s">
        <v>1566</v>
      </c>
      <c r="N385" s="152" t="s">
        <v>1407</v>
      </c>
      <c r="O385" s="152" t="s">
        <v>4408</v>
      </c>
      <c r="P385" s="152" t="s">
        <v>4279</v>
      </c>
      <c r="Q385" s="152" t="s">
        <v>4409</v>
      </c>
      <c r="R385" s="152" t="s">
        <v>4406</v>
      </c>
      <c r="S385" s="152" t="s">
        <v>4410</v>
      </c>
      <c r="T385" s="152" t="s">
        <v>786</v>
      </c>
    </row>
    <row r="386" spans="3:20">
      <c r="C386" s="152" t="s">
        <v>2821</v>
      </c>
      <c r="D386" s="474" t="s">
        <v>676</v>
      </c>
      <c r="E386" s="684" t="str">
        <f>+VLOOKUP(F386,Resumen_Base!$C$8:$G$156,5,0)</f>
        <v>Shop</v>
      </c>
      <c r="F386" s="152" t="s">
        <v>293</v>
      </c>
      <c r="G386" s="152" t="s">
        <v>294</v>
      </c>
      <c r="H386" s="152" t="str">
        <f t="shared" si="5"/>
        <v>CAR4104</v>
      </c>
      <c r="I386" s="513">
        <v>-127350</v>
      </c>
      <c r="J386" s="513">
        <v>-90</v>
      </c>
      <c r="K386" s="513">
        <v>1415</v>
      </c>
      <c r="L386" s="518" t="s">
        <v>3511</v>
      </c>
      <c r="M386" s="152" t="s">
        <v>1566</v>
      </c>
      <c r="N386" s="152" t="s">
        <v>1407</v>
      </c>
      <c r="O386" s="152" t="s">
        <v>4411</v>
      </c>
      <c r="P386" s="152" t="s">
        <v>4279</v>
      </c>
      <c r="Q386" s="152" t="s">
        <v>4412</v>
      </c>
      <c r="R386" s="152" t="s">
        <v>4406</v>
      </c>
      <c r="S386" s="152" t="s">
        <v>4413</v>
      </c>
      <c r="T386" s="152" t="s">
        <v>786</v>
      </c>
    </row>
    <row r="387" spans="3:20">
      <c r="C387" s="152" t="s">
        <v>2821</v>
      </c>
      <c r="D387" s="474" t="s">
        <v>676</v>
      </c>
      <c r="E387" s="684" t="str">
        <f>+VLOOKUP(F387,Resumen_Base!$C$8:$G$156,5,0)</f>
        <v>Shop</v>
      </c>
      <c r="F387" s="152" t="s">
        <v>293</v>
      </c>
      <c r="G387" s="152" t="s">
        <v>294</v>
      </c>
      <c r="H387" s="152" t="str">
        <f t="shared" si="5"/>
        <v>CAR4104</v>
      </c>
      <c r="I387" s="513">
        <v>-127350</v>
      </c>
      <c r="J387" s="513">
        <v>-90</v>
      </c>
      <c r="K387" s="513">
        <v>1415</v>
      </c>
      <c r="L387" s="518" t="s">
        <v>3511</v>
      </c>
      <c r="M387" s="152" t="s">
        <v>1566</v>
      </c>
      <c r="N387" s="152" t="s">
        <v>1407</v>
      </c>
      <c r="O387" s="152" t="s">
        <v>4414</v>
      </c>
      <c r="P387" s="152" t="s">
        <v>4279</v>
      </c>
      <c r="Q387" s="152" t="s">
        <v>4415</v>
      </c>
      <c r="R387" s="152" t="s">
        <v>4406</v>
      </c>
      <c r="S387" s="152" t="s">
        <v>4416</v>
      </c>
      <c r="T387" s="152" t="s">
        <v>786</v>
      </c>
    </row>
    <row r="388" spans="3:20">
      <c r="C388" s="152" t="s">
        <v>2821</v>
      </c>
      <c r="D388" s="474" t="s">
        <v>676</v>
      </c>
      <c r="E388" s="684" t="str">
        <f>+VLOOKUP(F388,Resumen_Base!$C$8:$G$156,5,0)</f>
        <v>Shop</v>
      </c>
      <c r="F388" s="152" t="s">
        <v>293</v>
      </c>
      <c r="G388" s="152" t="s">
        <v>294</v>
      </c>
      <c r="H388" s="152" t="str">
        <f t="shared" si="5"/>
        <v>CAR4104</v>
      </c>
      <c r="I388" s="513">
        <v>-337200</v>
      </c>
      <c r="J388" s="513">
        <v>-240</v>
      </c>
      <c r="K388" s="513">
        <v>1405</v>
      </c>
      <c r="L388" s="518" t="s">
        <v>3493</v>
      </c>
      <c r="M388" s="152" t="s">
        <v>1566</v>
      </c>
      <c r="N388" s="152" t="s">
        <v>1407</v>
      </c>
      <c r="O388" s="152" t="s">
        <v>4417</v>
      </c>
      <c r="P388" s="152" t="s">
        <v>4279</v>
      </c>
      <c r="Q388" s="152" t="s">
        <v>4418</v>
      </c>
      <c r="R388" s="152" t="s">
        <v>4419</v>
      </c>
      <c r="S388" s="152" t="s">
        <v>4420</v>
      </c>
      <c r="T388" s="152" t="s">
        <v>786</v>
      </c>
    </row>
    <row r="389" spans="3:20">
      <c r="C389" s="152" t="s">
        <v>2821</v>
      </c>
      <c r="D389" s="474" t="s">
        <v>676</v>
      </c>
      <c r="E389" s="684" t="str">
        <f>+VLOOKUP(F389,Resumen_Base!$C$8:$G$156,5,0)</f>
        <v>Shop</v>
      </c>
      <c r="F389" s="152" t="s">
        <v>293</v>
      </c>
      <c r="G389" s="152" t="s">
        <v>294</v>
      </c>
      <c r="H389" s="152" t="str">
        <f t="shared" si="5"/>
        <v>CAR4104</v>
      </c>
      <c r="I389" s="513">
        <v>-57600</v>
      </c>
      <c r="J389" s="513">
        <v>-40</v>
      </c>
      <c r="K389" s="513">
        <v>1440</v>
      </c>
      <c r="L389" s="518" t="s">
        <v>3517</v>
      </c>
      <c r="M389" s="152" t="s">
        <v>1566</v>
      </c>
      <c r="N389" s="152" t="s">
        <v>1407</v>
      </c>
      <c r="O389" s="152" t="s">
        <v>4427</v>
      </c>
      <c r="P389" s="152" t="s">
        <v>1881</v>
      </c>
      <c r="Q389" s="152" t="s">
        <v>4428</v>
      </c>
      <c r="R389" s="152" t="s">
        <v>4429</v>
      </c>
      <c r="S389" s="152" t="s">
        <v>4430</v>
      </c>
      <c r="T389" s="152" t="s">
        <v>786</v>
      </c>
    </row>
    <row r="390" spans="3:20">
      <c r="C390" s="152" t="s">
        <v>2821</v>
      </c>
      <c r="D390" s="474" t="s">
        <v>676</v>
      </c>
      <c r="E390" s="684" t="str">
        <f>+VLOOKUP(F390,Resumen_Base!$C$8:$G$156,5,0)</f>
        <v>Shop</v>
      </c>
      <c r="F390" s="152" t="s">
        <v>293</v>
      </c>
      <c r="G390" s="152" t="s">
        <v>294</v>
      </c>
      <c r="H390" s="152" t="str">
        <f t="shared" si="5"/>
        <v>CAR4104</v>
      </c>
      <c r="I390" s="513">
        <v>-57600</v>
      </c>
      <c r="J390" s="513">
        <v>-40</v>
      </c>
      <c r="K390" s="513">
        <v>1440</v>
      </c>
      <c r="L390" s="518" t="s">
        <v>3517</v>
      </c>
      <c r="M390" s="152" t="s">
        <v>1566</v>
      </c>
      <c r="N390" s="152" t="s">
        <v>1407</v>
      </c>
      <c r="O390" s="152" t="s">
        <v>4431</v>
      </c>
      <c r="P390" s="152" t="s">
        <v>1881</v>
      </c>
      <c r="Q390" s="152" t="s">
        <v>4432</v>
      </c>
      <c r="R390" s="152" t="s">
        <v>4429</v>
      </c>
      <c r="S390" s="152" t="s">
        <v>4433</v>
      </c>
      <c r="T390" s="152" t="s">
        <v>786</v>
      </c>
    </row>
    <row r="391" spans="3:20">
      <c r="C391" s="152" t="s">
        <v>2821</v>
      </c>
      <c r="D391" s="474" t="s">
        <v>676</v>
      </c>
      <c r="E391" s="684" t="str">
        <f>+VLOOKUP(F391,Resumen_Base!$C$8:$G$156,5,0)</f>
        <v>Shop</v>
      </c>
      <c r="F391" s="152" t="s">
        <v>293</v>
      </c>
      <c r="G391" s="152" t="s">
        <v>294</v>
      </c>
      <c r="H391" s="152" t="str">
        <f t="shared" si="5"/>
        <v>CAR4104</v>
      </c>
      <c r="I391" s="513">
        <v>-57600</v>
      </c>
      <c r="J391" s="513">
        <v>-40</v>
      </c>
      <c r="K391" s="513">
        <v>1440</v>
      </c>
      <c r="L391" s="518" t="s">
        <v>3517</v>
      </c>
      <c r="M391" s="152" t="s">
        <v>1566</v>
      </c>
      <c r="N391" s="152" t="s">
        <v>1407</v>
      </c>
      <c r="O391" s="152" t="s">
        <v>4431</v>
      </c>
      <c r="P391" s="152" t="s">
        <v>1881</v>
      </c>
      <c r="Q391" s="152" t="s">
        <v>4432</v>
      </c>
      <c r="R391" s="152" t="s">
        <v>4429</v>
      </c>
      <c r="S391" s="152" t="s">
        <v>4433</v>
      </c>
      <c r="T391" s="152" t="s">
        <v>786</v>
      </c>
    </row>
    <row r="392" spans="3:20">
      <c r="C392" s="152" t="s">
        <v>2821</v>
      </c>
      <c r="D392" s="474" t="s">
        <v>676</v>
      </c>
      <c r="E392" s="684" t="str">
        <f>+VLOOKUP(F392,Resumen_Base!$C$8:$G$156,5,0)</f>
        <v>Shop</v>
      </c>
      <c r="F392" s="152" t="s">
        <v>293</v>
      </c>
      <c r="G392" s="152" t="s">
        <v>294</v>
      </c>
      <c r="H392" s="152" t="str">
        <f t="shared" si="5"/>
        <v>CAR4104</v>
      </c>
      <c r="I392" s="513">
        <v>-108000</v>
      </c>
      <c r="J392" s="513">
        <v>-75</v>
      </c>
      <c r="K392" s="513">
        <v>1440</v>
      </c>
      <c r="L392" s="518" t="s">
        <v>3517</v>
      </c>
      <c r="M392" s="152" t="s">
        <v>1566</v>
      </c>
      <c r="N392" s="152" t="s">
        <v>1407</v>
      </c>
      <c r="O392" s="152" t="s">
        <v>4431</v>
      </c>
      <c r="P392" s="152" t="s">
        <v>1881</v>
      </c>
      <c r="Q392" s="152" t="s">
        <v>4432</v>
      </c>
      <c r="R392" s="152" t="s">
        <v>4429</v>
      </c>
      <c r="S392" s="152" t="s">
        <v>4433</v>
      </c>
      <c r="T392" s="152" t="s">
        <v>786</v>
      </c>
    </row>
    <row r="393" spans="3:20">
      <c r="C393" s="152" t="s">
        <v>2821</v>
      </c>
      <c r="D393" s="474" t="s">
        <v>676</v>
      </c>
      <c r="E393" s="684" t="str">
        <f>+VLOOKUP(F393,Resumen_Base!$C$8:$G$156,5,0)</f>
        <v>Shop</v>
      </c>
      <c r="F393" s="152" t="s">
        <v>293</v>
      </c>
      <c r="G393" s="152" t="s">
        <v>294</v>
      </c>
      <c r="H393" s="152" t="str">
        <f t="shared" si="5"/>
        <v>CAR4104</v>
      </c>
      <c r="I393" s="513">
        <v>-36000</v>
      </c>
      <c r="J393" s="513">
        <v>-25</v>
      </c>
      <c r="K393" s="513">
        <v>1440</v>
      </c>
      <c r="L393" s="518" t="s">
        <v>3517</v>
      </c>
      <c r="M393" s="152" t="s">
        <v>1566</v>
      </c>
      <c r="N393" s="152" t="s">
        <v>1407</v>
      </c>
      <c r="O393" s="152" t="s">
        <v>4434</v>
      </c>
      <c r="P393" s="152" t="s">
        <v>1881</v>
      </c>
      <c r="Q393" s="152" t="s">
        <v>4435</v>
      </c>
      <c r="R393" s="152" t="s">
        <v>4429</v>
      </c>
      <c r="S393" s="152" t="s">
        <v>4436</v>
      </c>
      <c r="T393" s="152" t="s">
        <v>786</v>
      </c>
    </row>
    <row r="394" spans="3:20">
      <c r="C394" s="152" t="s">
        <v>2821</v>
      </c>
      <c r="D394" s="474" t="s">
        <v>676</v>
      </c>
      <c r="E394" s="684" t="str">
        <f>+VLOOKUP(F394,Resumen_Base!$C$8:$G$156,5,0)</f>
        <v>Shop</v>
      </c>
      <c r="F394" s="152" t="s">
        <v>293</v>
      </c>
      <c r="G394" s="152" t="s">
        <v>294</v>
      </c>
      <c r="H394" s="152" t="str">
        <f t="shared" si="5"/>
        <v>CAR4104</v>
      </c>
      <c r="I394" s="513">
        <v>-57600</v>
      </c>
      <c r="J394" s="513">
        <v>-40</v>
      </c>
      <c r="K394" s="513">
        <v>1440</v>
      </c>
      <c r="L394" s="518" t="s">
        <v>3517</v>
      </c>
      <c r="M394" s="152" t="s">
        <v>1566</v>
      </c>
      <c r="N394" s="152" t="s">
        <v>1407</v>
      </c>
      <c r="O394" s="152" t="s">
        <v>4434</v>
      </c>
      <c r="P394" s="152" t="s">
        <v>1881</v>
      </c>
      <c r="Q394" s="152" t="s">
        <v>4435</v>
      </c>
      <c r="R394" s="152" t="s">
        <v>4429</v>
      </c>
      <c r="S394" s="152" t="s">
        <v>4436</v>
      </c>
      <c r="T394" s="152" t="s">
        <v>786</v>
      </c>
    </row>
    <row r="395" spans="3:20">
      <c r="C395" s="152" t="s">
        <v>2821</v>
      </c>
      <c r="D395" s="474" t="s">
        <v>676</v>
      </c>
      <c r="E395" s="684" t="str">
        <f>+VLOOKUP(F395,Resumen_Base!$C$8:$G$156,5,0)</f>
        <v>Shop</v>
      </c>
      <c r="F395" s="152" t="s">
        <v>293</v>
      </c>
      <c r="G395" s="152" t="s">
        <v>294</v>
      </c>
      <c r="H395" s="152" t="str">
        <f t="shared" si="5"/>
        <v>CAR4104</v>
      </c>
      <c r="I395" s="513">
        <v>-57600</v>
      </c>
      <c r="J395" s="513">
        <v>-40</v>
      </c>
      <c r="K395" s="513">
        <v>1440</v>
      </c>
      <c r="L395" s="518" t="s">
        <v>3517</v>
      </c>
      <c r="M395" s="152" t="s">
        <v>1566</v>
      </c>
      <c r="N395" s="152" t="s">
        <v>1407</v>
      </c>
      <c r="O395" s="152" t="s">
        <v>4434</v>
      </c>
      <c r="P395" s="152" t="s">
        <v>1881</v>
      </c>
      <c r="Q395" s="152" t="s">
        <v>4435</v>
      </c>
      <c r="R395" s="152" t="s">
        <v>4429</v>
      </c>
      <c r="S395" s="152" t="s">
        <v>4436</v>
      </c>
      <c r="T395" s="152" t="s">
        <v>786</v>
      </c>
    </row>
    <row r="396" spans="3:20">
      <c r="C396" s="152" t="s">
        <v>2821</v>
      </c>
      <c r="D396" s="474" t="s">
        <v>676</v>
      </c>
      <c r="E396" s="684" t="str">
        <f>+VLOOKUP(F396,Resumen_Base!$C$8:$G$156,5,0)</f>
        <v>Shop</v>
      </c>
      <c r="F396" s="152" t="s">
        <v>293</v>
      </c>
      <c r="G396" s="152" t="s">
        <v>294</v>
      </c>
      <c r="H396" s="152" t="str">
        <f t="shared" si="5"/>
        <v>CAR4104</v>
      </c>
      <c r="I396" s="513">
        <v>-57600</v>
      </c>
      <c r="J396" s="513">
        <v>-40</v>
      </c>
      <c r="K396" s="513">
        <v>1440</v>
      </c>
      <c r="L396" s="518" t="s">
        <v>3517</v>
      </c>
      <c r="M396" s="152" t="s">
        <v>1566</v>
      </c>
      <c r="N396" s="152" t="s">
        <v>1407</v>
      </c>
      <c r="O396" s="152" t="s">
        <v>4437</v>
      </c>
      <c r="P396" s="152" t="s">
        <v>1881</v>
      </c>
      <c r="Q396" s="152" t="s">
        <v>4438</v>
      </c>
      <c r="R396" s="152" t="s">
        <v>4429</v>
      </c>
      <c r="S396" s="152" t="s">
        <v>4439</v>
      </c>
      <c r="T396" s="152" t="s">
        <v>786</v>
      </c>
    </row>
    <row r="397" spans="3:20">
      <c r="C397" s="152" t="s">
        <v>2821</v>
      </c>
      <c r="D397" s="474" t="s">
        <v>676</v>
      </c>
      <c r="E397" s="684" t="str">
        <f>+VLOOKUP(F397,Resumen_Base!$C$8:$G$156,5,0)</f>
        <v>Shop</v>
      </c>
      <c r="F397" s="152" t="s">
        <v>293</v>
      </c>
      <c r="G397" s="152" t="s">
        <v>294</v>
      </c>
      <c r="H397" s="152" t="str">
        <f t="shared" ref="H397:H460" si="6">+D397&amp;F397</f>
        <v>CAR4104</v>
      </c>
      <c r="I397" s="513">
        <v>-57600</v>
      </c>
      <c r="J397" s="513">
        <v>-40</v>
      </c>
      <c r="K397" s="513">
        <v>1440</v>
      </c>
      <c r="L397" s="518" t="s">
        <v>3517</v>
      </c>
      <c r="M397" s="152" t="s">
        <v>1566</v>
      </c>
      <c r="N397" s="152" t="s">
        <v>1407</v>
      </c>
      <c r="O397" s="152" t="s">
        <v>4437</v>
      </c>
      <c r="P397" s="152" t="s">
        <v>1881</v>
      </c>
      <c r="Q397" s="152" t="s">
        <v>4438</v>
      </c>
      <c r="R397" s="152" t="s">
        <v>4429</v>
      </c>
      <c r="S397" s="152" t="s">
        <v>4439</v>
      </c>
      <c r="T397" s="152" t="s">
        <v>786</v>
      </c>
    </row>
    <row r="398" spans="3:20">
      <c r="C398" s="152" t="s">
        <v>2821</v>
      </c>
      <c r="D398" s="474" t="s">
        <v>676</v>
      </c>
      <c r="E398" s="684" t="str">
        <f>+VLOOKUP(F398,Resumen_Base!$C$8:$G$156,5,0)</f>
        <v>Shop</v>
      </c>
      <c r="F398" s="152" t="s">
        <v>293</v>
      </c>
      <c r="G398" s="152" t="s">
        <v>294</v>
      </c>
      <c r="H398" s="152" t="str">
        <f t="shared" si="6"/>
        <v>CAR4104</v>
      </c>
      <c r="I398" s="513">
        <v>-136800</v>
      </c>
      <c r="J398" s="513">
        <v>-95</v>
      </c>
      <c r="K398" s="513">
        <v>1440</v>
      </c>
      <c r="L398" s="518" t="s">
        <v>3517</v>
      </c>
      <c r="M398" s="152" t="s">
        <v>1566</v>
      </c>
      <c r="N398" s="152" t="s">
        <v>1407</v>
      </c>
      <c r="O398" s="152" t="s">
        <v>4437</v>
      </c>
      <c r="P398" s="152" t="s">
        <v>1881</v>
      </c>
      <c r="Q398" s="152" t="s">
        <v>4438</v>
      </c>
      <c r="R398" s="152" t="s">
        <v>4429</v>
      </c>
      <c r="S398" s="152" t="s">
        <v>4439</v>
      </c>
      <c r="T398" s="152" t="s">
        <v>786</v>
      </c>
    </row>
    <row r="399" spans="3:20">
      <c r="C399" s="152" t="s">
        <v>2821</v>
      </c>
      <c r="D399" s="474" t="s">
        <v>676</v>
      </c>
      <c r="E399" s="684" t="str">
        <f>+VLOOKUP(F399,Resumen_Base!$C$8:$G$156,5,0)</f>
        <v>Shop</v>
      </c>
      <c r="F399" s="152" t="s">
        <v>293</v>
      </c>
      <c r="G399" s="152" t="s">
        <v>294</v>
      </c>
      <c r="H399" s="152" t="str">
        <f t="shared" si="6"/>
        <v>CAR4104</v>
      </c>
      <c r="I399" s="513">
        <v>-115200</v>
      </c>
      <c r="J399" s="513">
        <v>-80</v>
      </c>
      <c r="K399" s="513">
        <v>1440</v>
      </c>
      <c r="L399" s="518" t="s">
        <v>3517</v>
      </c>
      <c r="M399" s="152" t="s">
        <v>1566</v>
      </c>
      <c r="N399" s="152" t="s">
        <v>1407</v>
      </c>
      <c r="O399" s="152" t="s">
        <v>4437</v>
      </c>
      <c r="P399" s="152" t="s">
        <v>1881</v>
      </c>
      <c r="Q399" s="152" t="s">
        <v>4438</v>
      </c>
      <c r="R399" s="152" t="s">
        <v>4429</v>
      </c>
      <c r="S399" s="152" t="s">
        <v>4439</v>
      </c>
      <c r="T399" s="152" t="s">
        <v>786</v>
      </c>
    </row>
    <row r="400" spans="3:20">
      <c r="C400" s="152" t="s">
        <v>2821</v>
      </c>
      <c r="D400" s="474" t="s">
        <v>676</v>
      </c>
      <c r="E400" s="684" t="str">
        <f>+VLOOKUP(F400,Resumen_Base!$C$8:$G$156,5,0)</f>
        <v>Shop</v>
      </c>
      <c r="F400" s="152" t="s">
        <v>293</v>
      </c>
      <c r="G400" s="152" t="s">
        <v>294</v>
      </c>
      <c r="H400" s="152" t="str">
        <f t="shared" si="6"/>
        <v>CAR4104</v>
      </c>
      <c r="I400" s="513">
        <v>-56200</v>
      </c>
      <c r="J400" s="513">
        <v>-40</v>
      </c>
      <c r="K400" s="513">
        <v>1405</v>
      </c>
      <c r="L400" s="518" t="s">
        <v>3493</v>
      </c>
      <c r="M400" s="152" t="s">
        <v>1566</v>
      </c>
      <c r="N400" s="152" t="s">
        <v>1407</v>
      </c>
      <c r="O400" s="152" t="s">
        <v>4444</v>
      </c>
      <c r="P400" s="152" t="s">
        <v>4279</v>
      </c>
      <c r="Q400" s="152" t="s">
        <v>4445</v>
      </c>
      <c r="R400" s="152" t="s">
        <v>4442</v>
      </c>
      <c r="S400" s="152" t="s">
        <v>4446</v>
      </c>
      <c r="T400" s="152" t="s">
        <v>786</v>
      </c>
    </row>
    <row r="401" spans="3:20">
      <c r="C401" s="152" t="s">
        <v>2821</v>
      </c>
      <c r="D401" s="474" t="s">
        <v>676</v>
      </c>
      <c r="E401" s="684" t="str">
        <f>+VLOOKUP(F401,Resumen_Base!$C$8:$G$156,5,0)</f>
        <v>Shop</v>
      </c>
      <c r="F401" s="152" t="s">
        <v>293</v>
      </c>
      <c r="G401" s="152" t="s">
        <v>294</v>
      </c>
      <c r="H401" s="152" t="str">
        <f t="shared" si="6"/>
        <v>CAR4104</v>
      </c>
      <c r="I401" s="513">
        <v>-42150</v>
      </c>
      <c r="J401" s="513">
        <v>-30</v>
      </c>
      <c r="K401" s="513">
        <v>1405</v>
      </c>
      <c r="L401" s="518" t="s">
        <v>3493</v>
      </c>
      <c r="M401" s="152" t="s">
        <v>1566</v>
      </c>
      <c r="N401" s="152" t="s">
        <v>1407</v>
      </c>
      <c r="O401" s="152" t="s">
        <v>4444</v>
      </c>
      <c r="P401" s="152" t="s">
        <v>4279</v>
      </c>
      <c r="Q401" s="152" t="s">
        <v>4445</v>
      </c>
      <c r="R401" s="152" t="s">
        <v>4442</v>
      </c>
      <c r="S401" s="152" t="s">
        <v>4446</v>
      </c>
      <c r="T401" s="152" t="s">
        <v>786</v>
      </c>
    </row>
    <row r="402" spans="3:20">
      <c r="C402" s="152" t="s">
        <v>2821</v>
      </c>
      <c r="D402" s="474" t="s">
        <v>676</v>
      </c>
      <c r="E402" s="684" t="str">
        <f>+VLOOKUP(F402,Resumen_Base!$C$8:$G$156,5,0)</f>
        <v>Shop</v>
      </c>
      <c r="F402" s="152" t="s">
        <v>293</v>
      </c>
      <c r="G402" s="152" t="s">
        <v>294</v>
      </c>
      <c r="H402" s="152" t="str">
        <f t="shared" si="6"/>
        <v>CAR4104</v>
      </c>
      <c r="I402" s="513">
        <v>-98350</v>
      </c>
      <c r="J402" s="513">
        <v>-70</v>
      </c>
      <c r="K402" s="513">
        <v>1405</v>
      </c>
      <c r="L402" s="518" t="s">
        <v>3493</v>
      </c>
      <c r="M402" s="152" t="s">
        <v>1566</v>
      </c>
      <c r="N402" s="152" t="s">
        <v>1407</v>
      </c>
      <c r="O402" s="152" t="s">
        <v>4450</v>
      </c>
      <c r="P402" s="152" t="s">
        <v>4279</v>
      </c>
      <c r="Q402" s="152" t="s">
        <v>4451</v>
      </c>
      <c r="R402" s="152" t="s">
        <v>4442</v>
      </c>
      <c r="S402" s="152" t="s">
        <v>4452</v>
      </c>
      <c r="T402" s="152" t="s">
        <v>786</v>
      </c>
    </row>
    <row r="403" spans="3:20">
      <c r="C403" s="152" t="s">
        <v>2821</v>
      </c>
      <c r="D403" s="474" t="s">
        <v>676</v>
      </c>
      <c r="E403" s="684" t="str">
        <f>+VLOOKUP(F403,Resumen_Base!$C$8:$G$156,5,0)</f>
        <v>Shop</v>
      </c>
      <c r="F403" s="152" t="s">
        <v>293</v>
      </c>
      <c r="G403" s="152" t="s">
        <v>294</v>
      </c>
      <c r="H403" s="152" t="str">
        <f t="shared" si="6"/>
        <v>CAR4104</v>
      </c>
      <c r="I403" s="513">
        <v>-57600</v>
      </c>
      <c r="J403" s="513">
        <v>-40</v>
      </c>
      <c r="K403" s="513">
        <v>1440</v>
      </c>
      <c r="L403" s="518" t="s">
        <v>3517</v>
      </c>
      <c r="M403" s="152" t="s">
        <v>1566</v>
      </c>
      <c r="N403" s="152" t="s">
        <v>1407</v>
      </c>
      <c r="O403" s="152" t="s">
        <v>4487</v>
      </c>
      <c r="P403" s="152" t="s">
        <v>1881</v>
      </c>
      <c r="Q403" s="152" t="s">
        <v>4488</v>
      </c>
      <c r="R403" s="152" t="s">
        <v>4485</v>
      </c>
      <c r="S403" s="152" t="s">
        <v>4489</v>
      </c>
      <c r="T403" s="152" t="s">
        <v>786</v>
      </c>
    </row>
    <row r="404" spans="3:20">
      <c r="C404" s="152" t="s">
        <v>2821</v>
      </c>
      <c r="D404" s="474" t="s">
        <v>676</v>
      </c>
      <c r="E404" s="684" t="str">
        <f>+VLOOKUP(F404,Resumen_Base!$C$8:$G$156,5,0)</f>
        <v>Shop</v>
      </c>
      <c r="F404" s="152" t="s">
        <v>293</v>
      </c>
      <c r="G404" s="152" t="s">
        <v>294</v>
      </c>
      <c r="H404" s="152" t="str">
        <f t="shared" si="6"/>
        <v>CAR4104</v>
      </c>
      <c r="I404" s="513">
        <v>-57600</v>
      </c>
      <c r="J404" s="513">
        <v>-40</v>
      </c>
      <c r="K404" s="513">
        <v>1440</v>
      </c>
      <c r="L404" s="518" t="s">
        <v>3517</v>
      </c>
      <c r="M404" s="152" t="s">
        <v>1566</v>
      </c>
      <c r="N404" s="152" t="s">
        <v>1407</v>
      </c>
      <c r="O404" s="152" t="s">
        <v>4490</v>
      </c>
      <c r="P404" s="152" t="s">
        <v>1881</v>
      </c>
      <c r="Q404" s="152" t="s">
        <v>4491</v>
      </c>
      <c r="R404" s="152" t="s">
        <v>4485</v>
      </c>
      <c r="S404" s="152" t="s">
        <v>4492</v>
      </c>
      <c r="T404" s="152" t="s">
        <v>786</v>
      </c>
    </row>
    <row r="405" spans="3:20">
      <c r="C405" s="152" t="s">
        <v>2821</v>
      </c>
      <c r="D405" s="474" t="s">
        <v>676</v>
      </c>
      <c r="E405" s="684" t="str">
        <f>+VLOOKUP(F405,Resumen_Base!$C$8:$G$156,5,0)</f>
        <v>Shop</v>
      </c>
      <c r="F405" s="152" t="s">
        <v>293</v>
      </c>
      <c r="G405" s="152" t="s">
        <v>294</v>
      </c>
      <c r="H405" s="152" t="str">
        <f t="shared" si="6"/>
        <v>CAR4104</v>
      </c>
      <c r="I405" s="513">
        <v>-57600</v>
      </c>
      <c r="J405" s="513">
        <v>-40</v>
      </c>
      <c r="K405" s="513">
        <v>1440</v>
      </c>
      <c r="L405" s="518" t="s">
        <v>3517</v>
      </c>
      <c r="M405" s="152" t="s">
        <v>1566</v>
      </c>
      <c r="N405" s="152" t="s">
        <v>1407</v>
      </c>
      <c r="O405" s="152" t="s">
        <v>4493</v>
      </c>
      <c r="P405" s="152" t="s">
        <v>1881</v>
      </c>
      <c r="Q405" s="152" t="s">
        <v>4494</v>
      </c>
      <c r="R405" s="152" t="s">
        <v>4485</v>
      </c>
      <c r="S405" s="152" t="s">
        <v>4495</v>
      </c>
      <c r="T405" s="152" t="s">
        <v>786</v>
      </c>
    </row>
    <row r="406" spans="3:20">
      <c r="C406" s="152" t="s">
        <v>2821</v>
      </c>
      <c r="D406" s="474" t="s">
        <v>676</v>
      </c>
      <c r="E406" s="684" t="str">
        <f>+VLOOKUP(F406,Resumen_Base!$C$8:$G$156,5,0)</f>
        <v>Shop</v>
      </c>
      <c r="F406" s="152" t="s">
        <v>293</v>
      </c>
      <c r="G406" s="152" t="s">
        <v>294</v>
      </c>
      <c r="H406" s="152" t="str">
        <f t="shared" si="6"/>
        <v>CAR4104</v>
      </c>
      <c r="I406" s="513">
        <v>-57600</v>
      </c>
      <c r="J406" s="513">
        <v>-40</v>
      </c>
      <c r="K406" s="513">
        <v>1440</v>
      </c>
      <c r="L406" s="518" t="s">
        <v>3517</v>
      </c>
      <c r="M406" s="152" t="s">
        <v>1566</v>
      </c>
      <c r="N406" s="152" t="s">
        <v>1407</v>
      </c>
      <c r="O406" s="152" t="s">
        <v>4493</v>
      </c>
      <c r="P406" s="152" t="s">
        <v>1881</v>
      </c>
      <c r="Q406" s="152" t="s">
        <v>4494</v>
      </c>
      <c r="R406" s="152" t="s">
        <v>4485</v>
      </c>
      <c r="S406" s="152" t="s">
        <v>4495</v>
      </c>
      <c r="T406" s="152" t="s">
        <v>786</v>
      </c>
    </row>
    <row r="407" spans="3:20">
      <c r="C407" s="152" t="s">
        <v>2821</v>
      </c>
      <c r="D407" s="474" t="s">
        <v>676</v>
      </c>
      <c r="E407" s="684" t="str">
        <f>+VLOOKUP(F407,Resumen_Base!$C$8:$G$156,5,0)</f>
        <v>Shop</v>
      </c>
      <c r="F407" s="152" t="s">
        <v>293</v>
      </c>
      <c r="G407" s="152" t="s">
        <v>294</v>
      </c>
      <c r="H407" s="152" t="str">
        <f t="shared" si="6"/>
        <v>CAR4104</v>
      </c>
      <c r="I407" s="513">
        <v>-42150</v>
      </c>
      <c r="J407" s="513">
        <v>-30</v>
      </c>
      <c r="K407" s="513">
        <v>1405</v>
      </c>
      <c r="L407" s="518" t="s">
        <v>3493</v>
      </c>
      <c r="M407" s="152" t="s">
        <v>1566</v>
      </c>
      <c r="N407" s="152" t="s">
        <v>1407</v>
      </c>
      <c r="O407" s="152" t="s">
        <v>4496</v>
      </c>
      <c r="P407" s="152" t="s">
        <v>4279</v>
      </c>
      <c r="Q407" s="152" t="s">
        <v>4497</v>
      </c>
      <c r="R407" s="152" t="s">
        <v>4498</v>
      </c>
      <c r="S407" s="152" t="s">
        <v>4499</v>
      </c>
      <c r="T407" s="152" t="s">
        <v>786</v>
      </c>
    </row>
    <row r="408" spans="3:20">
      <c r="C408" s="152" t="s">
        <v>2821</v>
      </c>
      <c r="D408" s="474" t="s">
        <v>676</v>
      </c>
      <c r="E408" s="684" t="str">
        <f>+VLOOKUP(F408,Resumen_Base!$C$8:$G$156,5,0)</f>
        <v>Shop</v>
      </c>
      <c r="F408" s="152" t="s">
        <v>293</v>
      </c>
      <c r="G408" s="152" t="s">
        <v>294</v>
      </c>
      <c r="H408" s="152" t="str">
        <f t="shared" si="6"/>
        <v>CAR4104</v>
      </c>
      <c r="I408" s="513">
        <v>-56200</v>
      </c>
      <c r="J408" s="513">
        <v>-40</v>
      </c>
      <c r="K408" s="513">
        <v>1405</v>
      </c>
      <c r="L408" s="518" t="s">
        <v>3493</v>
      </c>
      <c r="M408" s="152" t="s">
        <v>1566</v>
      </c>
      <c r="N408" s="152" t="s">
        <v>1407</v>
      </c>
      <c r="O408" s="152" t="s">
        <v>4496</v>
      </c>
      <c r="P408" s="152" t="s">
        <v>4279</v>
      </c>
      <c r="Q408" s="152" t="s">
        <v>4497</v>
      </c>
      <c r="R408" s="152" t="s">
        <v>4498</v>
      </c>
      <c r="S408" s="152" t="s">
        <v>4499</v>
      </c>
      <c r="T408" s="152" t="s">
        <v>786</v>
      </c>
    </row>
    <row r="409" spans="3:20">
      <c r="C409" s="152" t="s">
        <v>2821</v>
      </c>
      <c r="D409" s="474" t="s">
        <v>676</v>
      </c>
      <c r="E409" s="684" t="str">
        <f>+VLOOKUP(F409,Resumen_Base!$C$8:$G$156,5,0)</f>
        <v>Shop</v>
      </c>
      <c r="F409" s="152" t="s">
        <v>293</v>
      </c>
      <c r="G409" s="152" t="s">
        <v>294</v>
      </c>
      <c r="H409" s="152" t="str">
        <f t="shared" si="6"/>
        <v>CAR4104</v>
      </c>
      <c r="I409" s="513">
        <v>-56000</v>
      </c>
      <c r="J409" s="513">
        <v>-40</v>
      </c>
      <c r="K409" s="513">
        <v>1400</v>
      </c>
      <c r="L409" s="518" t="s">
        <v>3659</v>
      </c>
      <c r="M409" s="152" t="s">
        <v>1566</v>
      </c>
      <c r="N409" s="152" t="s">
        <v>1407</v>
      </c>
      <c r="O409" s="152" t="s">
        <v>4509</v>
      </c>
      <c r="P409" s="152" t="s">
        <v>4279</v>
      </c>
      <c r="Q409" s="152" t="s">
        <v>4510</v>
      </c>
      <c r="R409" s="152" t="s">
        <v>4511</v>
      </c>
      <c r="S409" s="152" t="s">
        <v>4512</v>
      </c>
      <c r="T409" s="152" t="s">
        <v>786</v>
      </c>
    </row>
    <row r="410" spans="3:20">
      <c r="C410" s="152" t="s">
        <v>2821</v>
      </c>
      <c r="D410" s="474" t="s">
        <v>676</v>
      </c>
      <c r="E410" s="684" t="str">
        <f>+VLOOKUP(F410,Resumen_Base!$C$8:$G$156,5,0)</f>
        <v>Shop</v>
      </c>
      <c r="F410" s="152" t="s">
        <v>293</v>
      </c>
      <c r="G410" s="152" t="s">
        <v>294</v>
      </c>
      <c r="H410" s="152" t="str">
        <f t="shared" si="6"/>
        <v>CAR4104</v>
      </c>
      <c r="I410" s="513">
        <v>-56000</v>
      </c>
      <c r="J410" s="513">
        <v>-40</v>
      </c>
      <c r="K410" s="513">
        <v>1400</v>
      </c>
      <c r="L410" s="518" t="s">
        <v>3659</v>
      </c>
      <c r="M410" s="152" t="s">
        <v>1566</v>
      </c>
      <c r="N410" s="152" t="s">
        <v>1407</v>
      </c>
      <c r="O410" s="152" t="s">
        <v>4509</v>
      </c>
      <c r="P410" s="152" t="s">
        <v>4279</v>
      </c>
      <c r="Q410" s="152" t="s">
        <v>4510</v>
      </c>
      <c r="R410" s="152" t="s">
        <v>4511</v>
      </c>
      <c r="S410" s="152" t="s">
        <v>4512</v>
      </c>
      <c r="T410" s="152" t="s">
        <v>786</v>
      </c>
    </row>
    <row r="411" spans="3:20">
      <c r="C411" s="152" t="s">
        <v>2821</v>
      </c>
      <c r="D411" s="474" t="s">
        <v>676</v>
      </c>
      <c r="E411" s="684" t="str">
        <f>+VLOOKUP(F411,Resumen_Base!$C$8:$G$156,5,0)</f>
        <v>Shop</v>
      </c>
      <c r="F411" s="152" t="s">
        <v>293</v>
      </c>
      <c r="G411" s="152" t="s">
        <v>294</v>
      </c>
      <c r="H411" s="152" t="str">
        <f t="shared" si="6"/>
        <v>CAR4104</v>
      </c>
      <c r="I411" s="513">
        <v>-56000</v>
      </c>
      <c r="J411" s="513">
        <v>-40</v>
      </c>
      <c r="K411" s="513">
        <v>1400</v>
      </c>
      <c r="L411" s="518" t="s">
        <v>3659</v>
      </c>
      <c r="M411" s="152" t="s">
        <v>1566</v>
      </c>
      <c r="N411" s="152" t="s">
        <v>1407</v>
      </c>
      <c r="O411" s="152" t="s">
        <v>4513</v>
      </c>
      <c r="P411" s="152" t="s">
        <v>4279</v>
      </c>
      <c r="Q411" s="152" t="s">
        <v>4514</v>
      </c>
      <c r="R411" s="152" t="s">
        <v>4511</v>
      </c>
      <c r="S411" s="152" t="s">
        <v>4515</v>
      </c>
      <c r="T411" s="152" t="s">
        <v>786</v>
      </c>
    </row>
    <row r="412" spans="3:20">
      <c r="C412" s="152" t="s">
        <v>2821</v>
      </c>
      <c r="D412" s="474" t="s">
        <v>676</v>
      </c>
      <c r="E412" s="684" t="str">
        <f>+VLOOKUP(F412,Resumen_Base!$C$8:$G$156,5,0)</f>
        <v>Shop</v>
      </c>
      <c r="F412" s="152" t="s">
        <v>293</v>
      </c>
      <c r="G412" s="152" t="s">
        <v>294</v>
      </c>
      <c r="H412" s="152" t="str">
        <f t="shared" si="6"/>
        <v>CAR4104</v>
      </c>
      <c r="I412" s="513">
        <v>-56000</v>
      </c>
      <c r="J412" s="513">
        <v>-40</v>
      </c>
      <c r="K412" s="513">
        <v>1400</v>
      </c>
      <c r="L412" s="518" t="s">
        <v>3659</v>
      </c>
      <c r="M412" s="152" t="s">
        <v>1566</v>
      </c>
      <c r="N412" s="152" t="s">
        <v>1407</v>
      </c>
      <c r="O412" s="152" t="s">
        <v>4513</v>
      </c>
      <c r="P412" s="152" t="s">
        <v>4279</v>
      </c>
      <c r="Q412" s="152" t="s">
        <v>4514</v>
      </c>
      <c r="R412" s="152" t="s">
        <v>4511</v>
      </c>
      <c r="S412" s="152" t="s">
        <v>4515</v>
      </c>
      <c r="T412" s="152" t="s">
        <v>786</v>
      </c>
    </row>
    <row r="413" spans="3:20">
      <c r="C413" s="152" t="s">
        <v>2821</v>
      </c>
      <c r="D413" s="474" t="s">
        <v>676</v>
      </c>
      <c r="E413" s="684" t="str">
        <f>+VLOOKUP(F413,Resumen_Base!$C$8:$G$156,5,0)</f>
        <v>Shop</v>
      </c>
      <c r="F413" s="152" t="s">
        <v>293</v>
      </c>
      <c r="G413" s="152" t="s">
        <v>294</v>
      </c>
      <c r="H413" s="152" t="str">
        <f t="shared" si="6"/>
        <v>CAR4104</v>
      </c>
      <c r="I413" s="513">
        <v>-63000</v>
      </c>
      <c r="J413" s="513">
        <v>-45</v>
      </c>
      <c r="K413" s="513">
        <v>1400</v>
      </c>
      <c r="L413" s="518" t="s">
        <v>3659</v>
      </c>
      <c r="M413" s="152" t="s">
        <v>1566</v>
      </c>
      <c r="N413" s="152" t="s">
        <v>1407</v>
      </c>
      <c r="O413" s="152" t="s">
        <v>4513</v>
      </c>
      <c r="P413" s="152" t="s">
        <v>4279</v>
      </c>
      <c r="Q413" s="152" t="s">
        <v>4514</v>
      </c>
      <c r="R413" s="152" t="s">
        <v>4511</v>
      </c>
      <c r="S413" s="152" t="s">
        <v>4515</v>
      </c>
      <c r="T413" s="152" t="s">
        <v>786</v>
      </c>
    </row>
    <row r="414" spans="3:20">
      <c r="C414" s="152" t="s">
        <v>2821</v>
      </c>
      <c r="D414" s="474" t="s">
        <v>676</v>
      </c>
      <c r="E414" s="684" t="str">
        <f>+VLOOKUP(F414,Resumen_Base!$C$8:$G$156,5,0)</f>
        <v>Shop</v>
      </c>
      <c r="F414" s="152" t="s">
        <v>293</v>
      </c>
      <c r="G414" s="152" t="s">
        <v>294</v>
      </c>
      <c r="H414" s="152" t="str">
        <f t="shared" si="6"/>
        <v>CAR4104</v>
      </c>
      <c r="I414" s="513">
        <v>-35000</v>
      </c>
      <c r="J414" s="513">
        <v>-25</v>
      </c>
      <c r="K414" s="513">
        <v>1400</v>
      </c>
      <c r="L414" s="518" t="s">
        <v>3659</v>
      </c>
      <c r="M414" s="152" t="s">
        <v>1566</v>
      </c>
      <c r="N414" s="152" t="s">
        <v>1407</v>
      </c>
      <c r="O414" s="152" t="s">
        <v>4513</v>
      </c>
      <c r="P414" s="152" t="s">
        <v>4279</v>
      </c>
      <c r="Q414" s="152" t="s">
        <v>4514</v>
      </c>
      <c r="R414" s="152" t="s">
        <v>4511</v>
      </c>
      <c r="S414" s="152" t="s">
        <v>4515</v>
      </c>
      <c r="T414" s="152" t="s">
        <v>786</v>
      </c>
    </row>
    <row r="415" spans="3:20">
      <c r="C415" s="152" t="s">
        <v>2821</v>
      </c>
      <c r="D415" s="474" t="s">
        <v>676</v>
      </c>
      <c r="E415" s="684" t="str">
        <f>+VLOOKUP(F415,Resumen_Base!$C$8:$G$156,5,0)</f>
        <v>Shop</v>
      </c>
      <c r="F415" s="152" t="s">
        <v>293</v>
      </c>
      <c r="G415" s="152" t="s">
        <v>294</v>
      </c>
      <c r="H415" s="152" t="str">
        <f t="shared" si="6"/>
        <v>CAR4104</v>
      </c>
      <c r="I415" s="513">
        <v>-56000</v>
      </c>
      <c r="J415" s="513">
        <v>-40</v>
      </c>
      <c r="K415" s="513">
        <v>1400</v>
      </c>
      <c r="L415" s="518" t="s">
        <v>3659</v>
      </c>
      <c r="M415" s="152" t="s">
        <v>1566</v>
      </c>
      <c r="N415" s="152" t="s">
        <v>1407</v>
      </c>
      <c r="O415" s="152" t="s">
        <v>4513</v>
      </c>
      <c r="P415" s="152" t="s">
        <v>4279</v>
      </c>
      <c r="Q415" s="152" t="s">
        <v>4514</v>
      </c>
      <c r="R415" s="152" t="s">
        <v>4511</v>
      </c>
      <c r="S415" s="152" t="s">
        <v>4515</v>
      </c>
      <c r="T415" s="152" t="s">
        <v>786</v>
      </c>
    </row>
    <row r="416" spans="3:20">
      <c r="C416" s="152" t="s">
        <v>2821</v>
      </c>
      <c r="D416" s="474" t="s">
        <v>676</v>
      </c>
      <c r="E416" s="684" t="str">
        <f>+VLOOKUP(F416,Resumen_Base!$C$8:$G$156,5,0)</f>
        <v>Shop</v>
      </c>
      <c r="F416" s="152" t="s">
        <v>293</v>
      </c>
      <c r="G416" s="152" t="s">
        <v>294</v>
      </c>
      <c r="H416" s="152" t="str">
        <f t="shared" si="6"/>
        <v>CAR4104</v>
      </c>
      <c r="I416" s="513">
        <v>-56400</v>
      </c>
      <c r="J416" s="513">
        <v>-40</v>
      </c>
      <c r="K416" s="513">
        <v>1410</v>
      </c>
      <c r="L416" s="518" t="s">
        <v>3498</v>
      </c>
      <c r="M416" s="152" t="s">
        <v>1566</v>
      </c>
      <c r="N416" s="152" t="s">
        <v>1407</v>
      </c>
      <c r="O416" s="152" t="s">
        <v>4533</v>
      </c>
      <c r="P416" s="152" t="s">
        <v>4279</v>
      </c>
      <c r="Q416" s="152" t="s">
        <v>4534</v>
      </c>
      <c r="R416" s="152" t="s">
        <v>4531</v>
      </c>
      <c r="S416" s="152" t="s">
        <v>4535</v>
      </c>
      <c r="T416" s="152" t="s">
        <v>786</v>
      </c>
    </row>
    <row r="417" spans="3:20">
      <c r="C417" s="152" t="s">
        <v>2821</v>
      </c>
      <c r="D417" s="474" t="s">
        <v>676</v>
      </c>
      <c r="E417" s="684" t="str">
        <f>+VLOOKUP(F417,Resumen_Base!$C$8:$G$156,5,0)</f>
        <v>Shop</v>
      </c>
      <c r="F417" s="152" t="s">
        <v>293</v>
      </c>
      <c r="G417" s="152" t="s">
        <v>294</v>
      </c>
      <c r="H417" s="152" t="str">
        <f t="shared" si="6"/>
        <v>CAR4104</v>
      </c>
      <c r="I417" s="513">
        <v>-127350</v>
      </c>
      <c r="J417" s="513">
        <v>-90</v>
      </c>
      <c r="K417" s="513">
        <v>1415</v>
      </c>
      <c r="L417" s="518" t="s">
        <v>3511</v>
      </c>
      <c r="M417" s="152" t="s">
        <v>1566</v>
      </c>
      <c r="N417" s="152" t="s">
        <v>1407</v>
      </c>
      <c r="O417" s="152" t="s">
        <v>4539</v>
      </c>
      <c r="P417" s="152" t="s">
        <v>4279</v>
      </c>
      <c r="Q417" s="152" t="s">
        <v>4540</v>
      </c>
      <c r="R417" s="152" t="s">
        <v>4541</v>
      </c>
      <c r="S417" s="152" t="s">
        <v>4542</v>
      </c>
      <c r="T417" s="152" t="s">
        <v>786</v>
      </c>
    </row>
    <row r="418" spans="3:20">
      <c r="C418" s="152" t="s">
        <v>2821</v>
      </c>
      <c r="D418" s="474" t="s">
        <v>676</v>
      </c>
      <c r="E418" s="684" t="str">
        <f>+VLOOKUP(F418,Resumen_Base!$C$8:$G$156,5,0)</f>
        <v>Shop</v>
      </c>
      <c r="F418" s="152" t="s">
        <v>293</v>
      </c>
      <c r="G418" s="152" t="s">
        <v>294</v>
      </c>
      <c r="H418" s="152" t="str">
        <f t="shared" si="6"/>
        <v>CAR4104</v>
      </c>
      <c r="I418" s="513">
        <v>-113200</v>
      </c>
      <c r="J418" s="513">
        <v>-80</v>
      </c>
      <c r="K418" s="513">
        <v>1415</v>
      </c>
      <c r="L418" s="518" t="s">
        <v>3511</v>
      </c>
      <c r="M418" s="152" t="s">
        <v>1566</v>
      </c>
      <c r="N418" s="152" t="s">
        <v>1407</v>
      </c>
      <c r="O418" s="152" t="s">
        <v>4543</v>
      </c>
      <c r="P418" s="152" t="s">
        <v>4279</v>
      </c>
      <c r="Q418" s="152" t="s">
        <v>4544</v>
      </c>
      <c r="R418" s="152" t="s">
        <v>4541</v>
      </c>
      <c r="S418" s="152" t="s">
        <v>4545</v>
      </c>
      <c r="T418" s="152" t="s">
        <v>786</v>
      </c>
    </row>
    <row r="419" spans="3:20">
      <c r="C419" s="152" t="s">
        <v>2821</v>
      </c>
      <c r="D419" s="474" t="s">
        <v>676</v>
      </c>
      <c r="E419" s="684" t="str">
        <f>+VLOOKUP(F419,Resumen_Base!$C$8:$G$156,5,0)</f>
        <v>Shop</v>
      </c>
      <c r="F419" s="152" t="s">
        <v>293</v>
      </c>
      <c r="G419" s="152" t="s">
        <v>294</v>
      </c>
      <c r="H419" s="152" t="str">
        <f t="shared" si="6"/>
        <v>CAR4104</v>
      </c>
      <c r="I419" s="513">
        <v>-56600</v>
      </c>
      <c r="J419" s="513">
        <v>-40</v>
      </c>
      <c r="K419" s="513">
        <v>1415</v>
      </c>
      <c r="L419" s="518" t="s">
        <v>3511</v>
      </c>
      <c r="M419" s="152" t="s">
        <v>1566</v>
      </c>
      <c r="N419" s="152" t="s">
        <v>1407</v>
      </c>
      <c r="O419" s="152" t="s">
        <v>4543</v>
      </c>
      <c r="P419" s="152" t="s">
        <v>4279</v>
      </c>
      <c r="Q419" s="152" t="s">
        <v>4544</v>
      </c>
      <c r="R419" s="152" t="s">
        <v>4541</v>
      </c>
      <c r="S419" s="152" t="s">
        <v>4545</v>
      </c>
      <c r="T419" s="152" t="s">
        <v>786</v>
      </c>
    </row>
    <row r="420" spans="3:20">
      <c r="C420" s="152" t="s">
        <v>2821</v>
      </c>
      <c r="D420" s="474" t="s">
        <v>676</v>
      </c>
      <c r="E420" s="684" t="str">
        <f>+VLOOKUP(F420,Resumen_Base!$C$8:$G$156,5,0)</f>
        <v>Shop</v>
      </c>
      <c r="F420" s="152" t="s">
        <v>293</v>
      </c>
      <c r="G420" s="152" t="s">
        <v>294</v>
      </c>
      <c r="H420" s="152" t="str">
        <f t="shared" si="6"/>
        <v>CAR4104</v>
      </c>
      <c r="I420" s="513">
        <v>-56600</v>
      </c>
      <c r="J420" s="513">
        <v>-40</v>
      </c>
      <c r="K420" s="513">
        <v>1415</v>
      </c>
      <c r="L420" s="518" t="s">
        <v>3511</v>
      </c>
      <c r="M420" s="152" t="s">
        <v>1566</v>
      </c>
      <c r="N420" s="152" t="s">
        <v>1407</v>
      </c>
      <c r="O420" s="152" t="s">
        <v>4543</v>
      </c>
      <c r="P420" s="152" t="s">
        <v>4279</v>
      </c>
      <c r="Q420" s="152" t="s">
        <v>4544</v>
      </c>
      <c r="R420" s="152" t="s">
        <v>4541</v>
      </c>
      <c r="S420" s="152" t="s">
        <v>4545</v>
      </c>
      <c r="T420" s="152" t="s">
        <v>786</v>
      </c>
    </row>
    <row r="421" spans="3:20">
      <c r="C421" s="152" t="s">
        <v>2821</v>
      </c>
      <c r="D421" s="474" t="s">
        <v>676</v>
      </c>
      <c r="E421" s="684" t="str">
        <f>+VLOOKUP(F421,Resumen_Base!$C$8:$G$156,5,0)</f>
        <v>Shop</v>
      </c>
      <c r="F421" s="152" t="s">
        <v>293</v>
      </c>
      <c r="G421" s="152" t="s">
        <v>294</v>
      </c>
      <c r="H421" s="152" t="str">
        <f t="shared" si="6"/>
        <v>CAR4104</v>
      </c>
      <c r="I421" s="513">
        <v>-127350</v>
      </c>
      <c r="J421" s="513">
        <v>-90</v>
      </c>
      <c r="K421" s="513">
        <v>1415</v>
      </c>
      <c r="L421" s="518" t="s">
        <v>3511</v>
      </c>
      <c r="M421" s="152" t="s">
        <v>1566</v>
      </c>
      <c r="N421" s="152" t="s">
        <v>1407</v>
      </c>
      <c r="O421" s="152" t="s">
        <v>4543</v>
      </c>
      <c r="P421" s="152" t="s">
        <v>4279</v>
      </c>
      <c r="Q421" s="152" t="s">
        <v>4544</v>
      </c>
      <c r="R421" s="152" t="s">
        <v>4541</v>
      </c>
      <c r="S421" s="152" t="s">
        <v>4545</v>
      </c>
      <c r="T421" s="152" t="s">
        <v>786</v>
      </c>
    </row>
    <row r="422" spans="3:20">
      <c r="C422" s="152" t="s">
        <v>2821</v>
      </c>
      <c r="D422" s="474" t="s">
        <v>676</v>
      </c>
      <c r="E422" s="684" t="str">
        <f>+VLOOKUP(F422,Resumen_Base!$C$8:$G$156,5,0)</f>
        <v>Shop</v>
      </c>
      <c r="F422" s="152" t="s">
        <v>293</v>
      </c>
      <c r="G422" s="152" t="s">
        <v>294</v>
      </c>
      <c r="H422" s="152" t="str">
        <f t="shared" si="6"/>
        <v>CAR4104</v>
      </c>
      <c r="I422" s="513">
        <v>-91650</v>
      </c>
      <c r="J422" s="513">
        <v>-65</v>
      </c>
      <c r="K422" s="513">
        <v>1410</v>
      </c>
      <c r="L422" s="518" t="s">
        <v>3498</v>
      </c>
      <c r="M422" s="152" t="s">
        <v>1566</v>
      </c>
      <c r="N422" s="152" t="s">
        <v>1407</v>
      </c>
      <c r="O422" s="152" t="s">
        <v>4546</v>
      </c>
      <c r="P422" s="152" t="s">
        <v>4279</v>
      </c>
      <c r="Q422" s="152" t="s">
        <v>4547</v>
      </c>
      <c r="R422" s="152" t="s">
        <v>4548</v>
      </c>
      <c r="S422" s="152" t="s">
        <v>4549</v>
      </c>
      <c r="T422" s="152" t="s">
        <v>786</v>
      </c>
    </row>
    <row r="423" spans="3:20">
      <c r="C423" s="152" t="s">
        <v>2821</v>
      </c>
      <c r="D423" s="474" t="s">
        <v>676</v>
      </c>
      <c r="E423" s="684" t="str">
        <f>+VLOOKUP(F423,Resumen_Base!$C$8:$G$156,5,0)</f>
        <v>Shop</v>
      </c>
      <c r="F423" s="152" t="s">
        <v>293</v>
      </c>
      <c r="G423" s="152" t="s">
        <v>294</v>
      </c>
      <c r="H423" s="152" t="str">
        <f t="shared" si="6"/>
        <v>CAR4104</v>
      </c>
      <c r="I423" s="513">
        <v>-70500</v>
      </c>
      <c r="J423" s="513">
        <v>-50</v>
      </c>
      <c r="K423" s="513">
        <v>1410</v>
      </c>
      <c r="L423" s="518" t="s">
        <v>3498</v>
      </c>
      <c r="M423" s="152" t="s">
        <v>1566</v>
      </c>
      <c r="N423" s="152" t="s">
        <v>1407</v>
      </c>
      <c r="O423" s="152" t="s">
        <v>4553</v>
      </c>
      <c r="P423" s="152" t="s">
        <v>4279</v>
      </c>
      <c r="Q423" s="152" t="s">
        <v>4554</v>
      </c>
      <c r="R423" s="152" t="s">
        <v>4548</v>
      </c>
      <c r="S423" s="152" t="s">
        <v>4555</v>
      </c>
      <c r="T423" s="152" t="s">
        <v>786</v>
      </c>
    </row>
    <row r="424" spans="3:20">
      <c r="C424" s="152" t="s">
        <v>2821</v>
      </c>
      <c r="D424" s="474" t="s">
        <v>676</v>
      </c>
      <c r="E424" s="684" t="str">
        <f>+VLOOKUP(F424,Resumen_Base!$C$8:$G$156,5,0)</f>
        <v>Shop</v>
      </c>
      <c r="F424" s="152" t="s">
        <v>293</v>
      </c>
      <c r="G424" s="152" t="s">
        <v>294</v>
      </c>
      <c r="H424" s="152" t="str">
        <f t="shared" si="6"/>
        <v>CAR4104</v>
      </c>
      <c r="I424" s="513">
        <v>-42000</v>
      </c>
      <c r="J424" s="513">
        <v>-30</v>
      </c>
      <c r="K424" s="513">
        <v>1400</v>
      </c>
      <c r="L424" s="518" t="s">
        <v>3659</v>
      </c>
      <c r="M424" s="152" t="s">
        <v>1566</v>
      </c>
      <c r="N424" s="152" t="s">
        <v>1407</v>
      </c>
      <c r="O424" s="152" t="s">
        <v>4572</v>
      </c>
      <c r="P424" s="152" t="s">
        <v>4279</v>
      </c>
      <c r="Q424" s="152" t="s">
        <v>4573</v>
      </c>
      <c r="R424" s="152" t="s">
        <v>4561</v>
      </c>
      <c r="S424" s="152" t="s">
        <v>4574</v>
      </c>
      <c r="T424" s="152" t="s">
        <v>786</v>
      </c>
    </row>
    <row r="425" spans="3:20">
      <c r="C425" s="152" t="s">
        <v>2821</v>
      </c>
      <c r="D425" s="474" t="s">
        <v>676</v>
      </c>
      <c r="E425" s="684" t="str">
        <f>+VLOOKUP(F425,Resumen_Base!$C$8:$G$156,5,0)</f>
        <v>Shop</v>
      </c>
      <c r="F425" s="152" t="s">
        <v>293</v>
      </c>
      <c r="G425" s="152" t="s">
        <v>294</v>
      </c>
      <c r="H425" s="152" t="str">
        <f t="shared" si="6"/>
        <v>CAR4104</v>
      </c>
      <c r="I425" s="513">
        <v>-56000</v>
      </c>
      <c r="J425" s="513">
        <v>-40</v>
      </c>
      <c r="K425" s="513">
        <v>1400</v>
      </c>
      <c r="L425" s="518" t="s">
        <v>3659</v>
      </c>
      <c r="M425" s="152" t="s">
        <v>1566</v>
      </c>
      <c r="N425" s="152" t="s">
        <v>1407</v>
      </c>
      <c r="O425" s="152" t="s">
        <v>4590</v>
      </c>
      <c r="P425" s="152" t="s">
        <v>4279</v>
      </c>
      <c r="Q425" s="152" t="s">
        <v>4591</v>
      </c>
      <c r="R425" s="152" t="s">
        <v>4561</v>
      </c>
      <c r="S425" s="152" t="s">
        <v>4592</v>
      </c>
      <c r="T425" s="152" t="s">
        <v>786</v>
      </c>
    </row>
    <row r="426" spans="3:20">
      <c r="C426" s="152" t="s">
        <v>2821</v>
      </c>
      <c r="D426" s="474" t="s">
        <v>676</v>
      </c>
      <c r="E426" s="684" t="str">
        <f>+VLOOKUP(F426,Resumen_Base!$C$8:$G$156,5,0)</f>
        <v>Shop</v>
      </c>
      <c r="F426" s="152" t="s">
        <v>293</v>
      </c>
      <c r="G426" s="152" t="s">
        <v>294</v>
      </c>
      <c r="H426" s="152" t="str">
        <f t="shared" si="6"/>
        <v>CAR4104</v>
      </c>
      <c r="I426" s="513">
        <v>-91650</v>
      </c>
      <c r="J426" s="513">
        <v>-65</v>
      </c>
      <c r="K426" s="513">
        <v>1410</v>
      </c>
      <c r="L426" s="518" t="s">
        <v>3498</v>
      </c>
      <c r="M426" s="152" t="s">
        <v>1566</v>
      </c>
      <c r="N426" s="152" t="s">
        <v>1407</v>
      </c>
      <c r="O426" s="152" t="s">
        <v>4632</v>
      </c>
      <c r="P426" s="152" t="s">
        <v>4279</v>
      </c>
      <c r="Q426" s="152" t="s">
        <v>4633</v>
      </c>
      <c r="R426" s="152" t="s">
        <v>4634</v>
      </c>
      <c r="S426" s="152" t="s">
        <v>4635</v>
      </c>
      <c r="T426" s="152" t="s">
        <v>786</v>
      </c>
    </row>
    <row r="427" spans="3:20">
      <c r="C427" s="152" t="s">
        <v>2821</v>
      </c>
      <c r="D427" s="474" t="s">
        <v>676</v>
      </c>
      <c r="E427" s="684" t="str">
        <f>+VLOOKUP(F427,Resumen_Base!$C$8:$G$156,5,0)</f>
        <v>Shop</v>
      </c>
      <c r="F427" s="152" t="s">
        <v>293</v>
      </c>
      <c r="G427" s="152" t="s">
        <v>294</v>
      </c>
      <c r="H427" s="152" t="str">
        <f t="shared" si="6"/>
        <v>CAR4104</v>
      </c>
      <c r="I427" s="513">
        <v>-70500</v>
      </c>
      <c r="J427" s="513">
        <v>-50</v>
      </c>
      <c r="K427" s="513">
        <v>1410</v>
      </c>
      <c r="L427" s="518" t="s">
        <v>3498</v>
      </c>
      <c r="M427" s="152" t="s">
        <v>1566</v>
      </c>
      <c r="N427" s="152" t="s">
        <v>1407</v>
      </c>
      <c r="O427" s="152" t="s">
        <v>4632</v>
      </c>
      <c r="P427" s="152" t="s">
        <v>4279</v>
      </c>
      <c r="Q427" s="152" t="s">
        <v>4633</v>
      </c>
      <c r="R427" s="152" t="s">
        <v>4634</v>
      </c>
      <c r="S427" s="152" t="s">
        <v>4635</v>
      </c>
      <c r="T427" s="152" t="s">
        <v>786</v>
      </c>
    </row>
    <row r="428" spans="3:20">
      <c r="C428" s="152" t="s">
        <v>2821</v>
      </c>
      <c r="D428" s="474" t="s">
        <v>676</v>
      </c>
      <c r="E428" s="684" t="str">
        <f>+VLOOKUP(F428,Resumen_Base!$C$8:$G$156,5,0)</f>
        <v>Shop</v>
      </c>
      <c r="F428" s="152" t="s">
        <v>293</v>
      </c>
      <c r="G428" s="152" t="s">
        <v>294</v>
      </c>
      <c r="H428" s="152" t="str">
        <f t="shared" si="6"/>
        <v>CAR4104</v>
      </c>
      <c r="I428" s="513">
        <v>-42300</v>
      </c>
      <c r="J428" s="513">
        <v>-30</v>
      </c>
      <c r="K428" s="513">
        <v>1410</v>
      </c>
      <c r="L428" s="518" t="s">
        <v>3498</v>
      </c>
      <c r="M428" s="152" t="s">
        <v>1566</v>
      </c>
      <c r="N428" s="152" t="s">
        <v>1407</v>
      </c>
      <c r="O428" s="152" t="s">
        <v>4636</v>
      </c>
      <c r="P428" s="152" t="s">
        <v>4279</v>
      </c>
      <c r="Q428" s="152" t="s">
        <v>4637</v>
      </c>
      <c r="R428" s="152" t="s">
        <v>4634</v>
      </c>
      <c r="S428" s="152" t="s">
        <v>4638</v>
      </c>
      <c r="T428" s="152" t="s">
        <v>786</v>
      </c>
    </row>
    <row r="429" spans="3:20">
      <c r="C429" s="152" t="s">
        <v>2821</v>
      </c>
      <c r="D429" s="474" t="s">
        <v>676</v>
      </c>
      <c r="E429" s="684" t="str">
        <f>+VLOOKUP(F429,Resumen_Base!$C$8:$G$156,5,0)</f>
        <v>Shop</v>
      </c>
      <c r="F429" s="152" t="s">
        <v>293</v>
      </c>
      <c r="G429" s="152" t="s">
        <v>294</v>
      </c>
      <c r="H429" s="152" t="str">
        <f t="shared" si="6"/>
        <v>CAR4104</v>
      </c>
      <c r="I429" s="513">
        <v>-49350</v>
      </c>
      <c r="J429" s="513">
        <v>-35</v>
      </c>
      <c r="K429" s="513">
        <v>1410</v>
      </c>
      <c r="L429" s="518" t="s">
        <v>3498</v>
      </c>
      <c r="M429" s="152" t="s">
        <v>1566</v>
      </c>
      <c r="N429" s="152" t="s">
        <v>1407</v>
      </c>
      <c r="O429" s="152" t="s">
        <v>4636</v>
      </c>
      <c r="P429" s="152" t="s">
        <v>4279</v>
      </c>
      <c r="Q429" s="152" t="s">
        <v>4637</v>
      </c>
      <c r="R429" s="152" t="s">
        <v>4634</v>
      </c>
      <c r="S429" s="152" t="s">
        <v>4638</v>
      </c>
      <c r="T429" s="152" t="s">
        <v>786</v>
      </c>
    </row>
    <row r="430" spans="3:20">
      <c r="C430" s="152" t="s">
        <v>2821</v>
      </c>
      <c r="D430" s="474" t="s">
        <v>676</v>
      </c>
      <c r="E430" s="684" t="str">
        <f>+VLOOKUP(F430,Resumen_Base!$C$8:$G$156,5,0)</f>
        <v>Shop</v>
      </c>
      <c r="F430" s="152" t="s">
        <v>293</v>
      </c>
      <c r="G430" s="152" t="s">
        <v>294</v>
      </c>
      <c r="H430" s="152" t="str">
        <f t="shared" si="6"/>
        <v>CAR4104</v>
      </c>
      <c r="I430" s="513">
        <v>-42450</v>
      </c>
      <c r="J430" s="513">
        <v>-30</v>
      </c>
      <c r="K430" s="513">
        <v>1415</v>
      </c>
      <c r="L430" s="518" t="s">
        <v>3632</v>
      </c>
      <c r="M430" s="152" t="s">
        <v>1566</v>
      </c>
      <c r="N430" s="152" t="s">
        <v>1407</v>
      </c>
      <c r="O430" s="152" t="s">
        <v>4639</v>
      </c>
      <c r="P430" s="152" t="s">
        <v>4279</v>
      </c>
      <c r="Q430" s="152" t="s">
        <v>4640</v>
      </c>
      <c r="R430" s="152" t="s">
        <v>4641</v>
      </c>
      <c r="S430" s="152" t="s">
        <v>4642</v>
      </c>
      <c r="T430" s="152" t="s">
        <v>786</v>
      </c>
    </row>
    <row r="431" spans="3:20">
      <c r="C431" s="152" t="s">
        <v>2821</v>
      </c>
      <c r="D431" s="474" t="s">
        <v>676</v>
      </c>
      <c r="E431" s="684" t="str">
        <f>+VLOOKUP(F431,Resumen_Base!$C$8:$G$156,5,0)</f>
        <v>Shop</v>
      </c>
      <c r="F431" s="152" t="s">
        <v>293</v>
      </c>
      <c r="G431" s="152" t="s">
        <v>294</v>
      </c>
      <c r="H431" s="152" t="str">
        <f t="shared" si="6"/>
        <v>CAR4104</v>
      </c>
      <c r="I431" s="513">
        <v>-148575</v>
      </c>
      <c r="J431" s="513">
        <v>-105</v>
      </c>
      <c r="K431" s="513">
        <v>1415</v>
      </c>
      <c r="L431" s="518" t="s">
        <v>3632</v>
      </c>
      <c r="M431" s="152" t="s">
        <v>1566</v>
      </c>
      <c r="N431" s="152" t="s">
        <v>1407</v>
      </c>
      <c r="O431" s="152" t="s">
        <v>4639</v>
      </c>
      <c r="P431" s="152" t="s">
        <v>4279</v>
      </c>
      <c r="Q431" s="152" t="s">
        <v>4640</v>
      </c>
      <c r="R431" s="152" t="s">
        <v>4641</v>
      </c>
      <c r="S431" s="152" t="s">
        <v>4642</v>
      </c>
      <c r="T431" s="152" t="s">
        <v>786</v>
      </c>
    </row>
    <row r="432" spans="3:20">
      <c r="C432" s="152" t="s">
        <v>2821</v>
      </c>
      <c r="D432" s="474" t="s">
        <v>676</v>
      </c>
      <c r="E432" s="684" t="str">
        <f>+VLOOKUP(F432,Resumen_Base!$C$8:$G$156,5,0)</f>
        <v>Shop</v>
      </c>
      <c r="F432" s="152" t="s">
        <v>293</v>
      </c>
      <c r="G432" s="152" t="s">
        <v>294</v>
      </c>
      <c r="H432" s="152" t="str">
        <f t="shared" si="6"/>
        <v>CAR4104</v>
      </c>
      <c r="I432" s="513">
        <v>-56600</v>
      </c>
      <c r="J432" s="513">
        <v>-40</v>
      </c>
      <c r="K432" s="513">
        <v>1415</v>
      </c>
      <c r="L432" s="518" t="s">
        <v>3632</v>
      </c>
      <c r="M432" s="152" t="s">
        <v>1566</v>
      </c>
      <c r="N432" s="152" t="s">
        <v>1407</v>
      </c>
      <c r="O432" s="152" t="s">
        <v>4654</v>
      </c>
      <c r="P432" s="152" t="s">
        <v>4279</v>
      </c>
      <c r="Q432" s="152" t="s">
        <v>4655</v>
      </c>
      <c r="R432" s="152" t="s">
        <v>4652</v>
      </c>
      <c r="S432" s="152" t="s">
        <v>4656</v>
      </c>
      <c r="T432" s="152" t="s">
        <v>786</v>
      </c>
    </row>
    <row r="433" spans="3:20">
      <c r="C433" s="152" t="s">
        <v>2821</v>
      </c>
      <c r="D433" s="474" t="s">
        <v>676</v>
      </c>
      <c r="E433" s="684" t="str">
        <f>+VLOOKUP(F433,Resumen_Base!$C$8:$G$156,5,0)</f>
        <v>Shop</v>
      </c>
      <c r="F433" s="152" t="s">
        <v>293</v>
      </c>
      <c r="G433" s="152" t="s">
        <v>294</v>
      </c>
      <c r="H433" s="152" t="str">
        <f t="shared" si="6"/>
        <v>CAR4104</v>
      </c>
      <c r="I433" s="513">
        <v>-42300</v>
      </c>
      <c r="J433" s="513">
        <v>-30</v>
      </c>
      <c r="K433" s="513">
        <v>1410</v>
      </c>
      <c r="L433" s="518" t="s">
        <v>3498</v>
      </c>
      <c r="M433" s="152" t="s">
        <v>1566</v>
      </c>
      <c r="N433" s="152" t="s">
        <v>1407</v>
      </c>
      <c r="O433" s="152" t="s">
        <v>4657</v>
      </c>
      <c r="P433" s="152" t="s">
        <v>4279</v>
      </c>
      <c r="Q433" s="152" t="s">
        <v>4658</v>
      </c>
      <c r="R433" s="152" t="s">
        <v>4659</v>
      </c>
      <c r="S433" s="152" t="s">
        <v>4660</v>
      </c>
      <c r="T433" s="152" t="s">
        <v>786</v>
      </c>
    </row>
    <row r="434" spans="3:20">
      <c r="C434" s="152" t="s">
        <v>2821</v>
      </c>
      <c r="D434" s="474" t="s">
        <v>676</v>
      </c>
      <c r="E434" s="684" t="str">
        <f>+VLOOKUP(F434,Resumen_Base!$C$8:$G$156,5,0)</f>
        <v>Shop</v>
      </c>
      <c r="F434" s="152" t="s">
        <v>293</v>
      </c>
      <c r="G434" s="152" t="s">
        <v>294</v>
      </c>
      <c r="H434" s="152" t="str">
        <f t="shared" si="6"/>
        <v>CAR4104</v>
      </c>
      <c r="I434" s="513">
        <v>-126000</v>
      </c>
      <c r="J434" s="513">
        <v>-90</v>
      </c>
      <c r="K434" s="513">
        <v>1400</v>
      </c>
      <c r="L434" s="518" t="s">
        <v>3659</v>
      </c>
      <c r="M434" s="152" t="s">
        <v>1566</v>
      </c>
      <c r="N434" s="152" t="s">
        <v>1407</v>
      </c>
      <c r="O434" s="152" t="s">
        <v>4661</v>
      </c>
      <c r="P434" s="152" t="s">
        <v>4279</v>
      </c>
      <c r="Q434" s="152" t="s">
        <v>4662</v>
      </c>
      <c r="R434" s="152" t="s">
        <v>4663</v>
      </c>
      <c r="S434" s="152" t="s">
        <v>4664</v>
      </c>
      <c r="T434" s="152" t="s">
        <v>786</v>
      </c>
    </row>
    <row r="435" spans="3:20">
      <c r="C435" s="152" t="s">
        <v>2821</v>
      </c>
      <c r="D435" s="474" t="s">
        <v>676</v>
      </c>
      <c r="E435" s="684" t="str">
        <f>+VLOOKUP(F435,Resumen_Base!$C$8:$G$156,5,0)</f>
        <v>Shop</v>
      </c>
      <c r="F435" s="152" t="s">
        <v>293</v>
      </c>
      <c r="G435" s="152" t="s">
        <v>294</v>
      </c>
      <c r="H435" s="152" t="str">
        <f t="shared" si="6"/>
        <v>CAR4104</v>
      </c>
      <c r="I435" s="513">
        <v>-56000</v>
      </c>
      <c r="J435" s="513">
        <v>-40</v>
      </c>
      <c r="K435" s="513">
        <v>1400</v>
      </c>
      <c r="L435" s="518" t="s">
        <v>3659</v>
      </c>
      <c r="M435" s="152" t="s">
        <v>1566</v>
      </c>
      <c r="N435" s="152" t="s">
        <v>1407</v>
      </c>
      <c r="O435" s="152" t="s">
        <v>4661</v>
      </c>
      <c r="P435" s="152" t="s">
        <v>4279</v>
      </c>
      <c r="Q435" s="152" t="s">
        <v>4662</v>
      </c>
      <c r="R435" s="152" t="s">
        <v>4663</v>
      </c>
      <c r="S435" s="152" t="s">
        <v>4664</v>
      </c>
      <c r="T435" s="152" t="s">
        <v>786</v>
      </c>
    </row>
    <row r="436" spans="3:20">
      <c r="C436" s="152" t="s">
        <v>2821</v>
      </c>
      <c r="D436" s="474" t="s">
        <v>676</v>
      </c>
      <c r="E436" s="684" t="str">
        <f>+VLOOKUP(F436,Resumen_Base!$C$8:$G$156,5,0)</f>
        <v>Shop</v>
      </c>
      <c r="F436" s="152" t="s">
        <v>293</v>
      </c>
      <c r="G436" s="152" t="s">
        <v>294</v>
      </c>
      <c r="H436" s="152" t="str">
        <f t="shared" si="6"/>
        <v>CAR4104</v>
      </c>
      <c r="I436" s="513">
        <v>-57000</v>
      </c>
      <c r="J436" s="513">
        <v>-40</v>
      </c>
      <c r="K436" s="513">
        <v>1425</v>
      </c>
      <c r="L436" s="518" t="s">
        <v>3504</v>
      </c>
      <c r="M436" s="152" t="s">
        <v>1566</v>
      </c>
      <c r="N436" s="152" t="s">
        <v>1407</v>
      </c>
      <c r="O436" s="152" t="s">
        <v>4683</v>
      </c>
      <c r="P436" s="152" t="s">
        <v>4279</v>
      </c>
      <c r="Q436" s="152" t="s">
        <v>4684</v>
      </c>
      <c r="R436" s="152" t="s">
        <v>4685</v>
      </c>
      <c r="S436" s="152" t="s">
        <v>4686</v>
      </c>
      <c r="T436" s="152" t="s">
        <v>786</v>
      </c>
    </row>
    <row r="437" spans="3:20">
      <c r="C437" s="152" t="s">
        <v>2821</v>
      </c>
      <c r="D437" s="474" t="s">
        <v>676</v>
      </c>
      <c r="E437" s="684" t="str">
        <f>+VLOOKUP(F437,Resumen_Base!$C$8:$G$156,5,0)</f>
        <v>Shop</v>
      </c>
      <c r="F437" s="152" t="s">
        <v>293</v>
      </c>
      <c r="G437" s="152" t="s">
        <v>294</v>
      </c>
      <c r="H437" s="152" t="str">
        <f t="shared" si="6"/>
        <v>CAR4104</v>
      </c>
      <c r="I437" s="513">
        <v>-57000</v>
      </c>
      <c r="J437" s="513">
        <v>-40</v>
      </c>
      <c r="K437" s="513">
        <v>1425</v>
      </c>
      <c r="L437" s="518" t="s">
        <v>3504</v>
      </c>
      <c r="M437" s="152" t="s">
        <v>1566</v>
      </c>
      <c r="N437" s="152" t="s">
        <v>1407</v>
      </c>
      <c r="O437" s="152" t="s">
        <v>4718</v>
      </c>
      <c r="P437" s="152" t="s">
        <v>4279</v>
      </c>
      <c r="Q437" s="152" t="s">
        <v>4719</v>
      </c>
      <c r="R437" s="152" t="s">
        <v>4720</v>
      </c>
      <c r="S437" s="152" t="s">
        <v>4721</v>
      </c>
      <c r="T437" s="152" t="s">
        <v>786</v>
      </c>
    </row>
    <row r="438" spans="3:20">
      <c r="C438" s="152" t="s">
        <v>2821</v>
      </c>
      <c r="D438" s="474" t="s">
        <v>676</v>
      </c>
      <c r="E438" s="684" t="str">
        <f>+VLOOKUP(F438,Resumen_Base!$C$8:$G$156,5,0)</f>
        <v>Shop</v>
      </c>
      <c r="F438" s="152" t="s">
        <v>293</v>
      </c>
      <c r="G438" s="152" t="s">
        <v>294</v>
      </c>
      <c r="H438" s="152" t="str">
        <f t="shared" si="6"/>
        <v>CAR4104</v>
      </c>
      <c r="I438" s="513">
        <v>-57000</v>
      </c>
      <c r="J438" s="513">
        <v>-40</v>
      </c>
      <c r="K438" s="513">
        <v>1425</v>
      </c>
      <c r="L438" s="518" t="s">
        <v>3504</v>
      </c>
      <c r="M438" s="152" t="s">
        <v>1566</v>
      </c>
      <c r="N438" s="152" t="s">
        <v>1407</v>
      </c>
      <c r="O438" s="152" t="s">
        <v>4722</v>
      </c>
      <c r="P438" s="152" t="s">
        <v>4279</v>
      </c>
      <c r="Q438" s="152" t="s">
        <v>4723</v>
      </c>
      <c r="R438" s="152" t="s">
        <v>4720</v>
      </c>
      <c r="S438" s="152" t="s">
        <v>4724</v>
      </c>
      <c r="T438" s="152" t="s">
        <v>786</v>
      </c>
    </row>
    <row r="439" spans="3:20">
      <c r="C439" s="152" t="s">
        <v>2821</v>
      </c>
      <c r="D439" s="474" t="s">
        <v>676</v>
      </c>
      <c r="E439" s="684" t="str">
        <f>+VLOOKUP(F439,Resumen_Base!$C$8:$G$156,5,0)</f>
        <v>Shop</v>
      </c>
      <c r="F439" s="152" t="s">
        <v>293</v>
      </c>
      <c r="G439" s="152" t="s">
        <v>294</v>
      </c>
      <c r="H439" s="152" t="str">
        <f t="shared" si="6"/>
        <v>CAR4104</v>
      </c>
      <c r="I439" s="513">
        <v>-128250</v>
      </c>
      <c r="J439" s="513">
        <v>-90</v>
      </c>
      <c r="K439" s="513">
        <v>1425</v>
      </c>
      <c r="L439" s="518" t="s">
        <v>3504</v>
      </c>
      <c r="M439" s="152" t="s">
        <v>1566</v>
      </c>
      <c r="N439" s="152" t="s">
        <v>1407</v>
      </c>
      <c r="O439" s="152" t="s">
        <v>4722</v>
      </c>
      <c r="P439" s="152" t="s">
        <v>4279</v>
      </c>
      <c r="Q439" s="152" t="s">
        <v>4723</v>
      </c>
      <c r="R439" s="152" t="s">
        <v>4720</v>
      </c>
      <c r="S439" s="152" t="s">
        <v>4724</v>
      </c>
      <c r="T439" s="152" t="s">
        <v>786</v>
      </c>
    </row>
    <row r="440" spans="3:20">
      <c r="C440" s="152" t="s">
        <v>2821</v>
      </c>
      <c r="D440" s="474" t="s">
        <v>676</v>
      </c>
      <c r="E440" s="684" t="str">
        <f>+VLOOKUP(F440,Resumen_Base!$C$8:$G$156,5,0)</f>
        <v>Shop</v>
      </c>
      <c r="F440" s="152" t="s">
        <v>293</v>
      </c>
      <c r="G440" s="152" t="s">
        <v>294</v>
      </c>
      <c r="H440" s="152" t="str">
        <f t="shared" si="6"/>
        <v>CAR4104</v>
      </c>
      <c r="I440" s="513">
        <v>-128250</v>
      </c>
      <c r="J440" s="513">
        <v>-90</v>
      </c>
      <c r="K440" s="513">
        <v>1425</v>
      </c>
      <c r="L440" s="518" t="s">
        <v>3504</v>
      </c>
      <c r="M440" s="152" t="s">
        <v>1566</v>
      </c>
      <c r="N440" s="152" t="s">
        <v>1407</v>
      </c>
      <c r="O440" s="152" t="s">
        <v>4722</v>
      </c>
      <c r="P440" s="152" t="s">
        <v>4279</v>
      </c>
      <c r="Q440" s="152" t="s">
        <v>4723</v>
      </c>
      <c r="R440" s="152" t="s">
        <v>4720</v>
      </c>
      <c r="S440" s="152" t="s">
        <v>4724</v>
      </c>
      <c r="T440" s="152" t="s">
        <v>786</v>
      </c>
    </row>
    <row r="441" spans="3:20">
      <c r="C441" s="152" t="s">
        <v>2821</v>
      </c>
      <c r="D441" s="474" t="s">
        <v>676</v>
      </c>
      <c r="E441" s="684" t="str">
        <f>+VLOOKUP(F441,Resumen_Base!$C$8:$G$156,5,0)</f>
        <v>Shop</v>
      </c>
      <c r="F441" s="152" t="s">
        <v>293</v>
      </c>
      <c r="G441" s="152" t="s">
        <v>294</v>
      </c>
      <c r="H441" s="152" t="str">
        <f t="shared" si="6"/>
        <v>CAR4104</v>
      </c>
      <c r="I441" s="513">
        <v>-57000</v>
      </c>
      <c r="J441" s="513">
        <v>-40</v>
      </c>
      <c r="K441" s="513">
        <v>1425</v>
      </c>
      <c r="L441" s="518" t="s">
        <v>3504</v>
      </c>
      <c r="M441" s="152" t="s">
        <v>1566</v>
      </c>
      <c r="N441" s="152" t="s">
        <v>1407</v>
      </c>
      <c r="O441" s="152" t="s">
        <v>4725</v>
      </c>
      <c r="P441" s="152" t="s">
        <v>4279</v>
      </c>
      <c r="Q441" s="152" t="s">
        <v>4726</v>
      </c>
      <c r="R441" s="152" t="s">
        <v>4720</v>
      </c>
      <c r="S441" s="152" t="s">
        <v>4727</v>
      </c>
      <c r="T441" s="152" t="s">
        <v>786</v>
      </c>
    </row>
    <row r="442" spans="3:20">
      <c r="C442" s="152" t="s">
        <v>2821</v>
      </c>
      <c r="D442" s="474" t="s">
        <v>676</v>
      </c>
      <c r="E442" s="684" t="str">
        <f>+VLOOKUP(F442,Resumen_Base!$C$8:$G$156,5,0)</f>
        <v>Shop</v>
      </c>
      <c r="F442" s="152" t="s">
        <v>293</v>
      </c>
      <c r="G442" s="152" t="s">
        <v>294</v>
      </c>
      <c r="H442" s="152" t="str">
        <f t="shared" si="6"/>
        <v>CAR4104</v>
      </c>
      <c r="I442" s="513">
        <v>-57000</v>
      </c>
      <c r="J442" s="513">
        <v>-40</v>
      </c>
      <c r="K442" s="513">
        <v>1425</v>
      </c>
      <c r="L442" s="518" t="s">
        <v>3504</v>
      </c>
      <c r="M442" s="152" t="s">
        <v>1566</v>
      </c>
      <c r="N442" s="152" t="s">
        <v>1407</v>
      </c>
      <c r="O442" s="152" t="s">
        <v>4728</v>
      </c>
      <c r="P442" s="152" t="s">
        <v>4279</v>
      </c>
      <c r="Q442" s="152" t="s">
        <v>4729</v>
      </c>
      <c r="R442" s="152" t="s">
        <v>4720</v>
      </c>
      <c r="S442" s="152" t="s">
        <v>4730</v>
      </c>
      <c r="T442" s="152" t="s">
        <v>786</v>
      </c>
    </row>
    <row r="443" spans="3:20">
      <c r="C443" s="152" t="s">
        <v>2821</v>
      </c>
      <c r="D443" s="474" t="s">
        <v>676</v>
      </c>
      <c r="E443" s="684" t="str">
        <f>+VLOOKUP(F443,Resumen_Base!$C$8:$G$156,5,0)</f>
        <v>Extras</v>
      </c>
      <c r="F443" s="152" t="s">
        <v>297</v>
      </c>
      <c r="G443" s="152" t="s">
        <v>298</v>
      </c>
      <c r="H443" s="152" t="str">
        <f t="shared" si="6"/>
        <v>CAR4110</v>
      </c>
      <c r="I443" s="513">
        <v>-42750</v>
      </c>
      <c r="J443" s="513">
        <v>-30</v>
      </c>
      <c r="K443" s="513">
        <v>1425</v>
      </c>
      <c r="L443" s="518" t="s">
        <v>3637</v>
      </c>
      <c r="M443" s="152" t="s">
        <v>1566</v>
      </c>
      <c r="N443" s="152" t="s">
        <v>1407</v>
      </c>
      <c r="O443" s="152" t="s">
        <v>4256</v>
      </c>
      <c r="P443" s="152" t="s">
        <v>1881</v>
      </c>
      <c r="Q443" s="152" t="s">
        <v>4257</v>
      </c>
      <c r="R443" s="152" t="s">
        <v>4258</v>
      </c>
      <c r="S443" s="152" t="s">
        <v>4259</v>
      </c>
      <c r="T443" s="152" t="s">
        <v>786</v>
      </c>
    </row>
    <row r="444" spans="3:20">
      <c r="C444" s="152" t="s">
        <v>2821</v>
      </c>
      <c r="D444" s="474" t="s">
        <v>676</v>
      </c>
      <c r="E444" s="684" t="str">
        <f>+VLOOKUP(F444,Resumen_Base!$C$8:$G$156,5,0)</f>
        <v>Extras</v>
      </c>
      <c r="F444" s="152" t="s">
        <v>297</v>
      </c>
      <c r="G444" s="152" t="s">
        <v>298</v>
      </c>
      <c r="H444" s="152" t="str">
        <f t="shared" si="6"/>
        <v>CAR4110</v>
      </c>
      <c r="I444" s="513">
        <v>-128250</v>
      </c>
      <c r="J444" s="513">
        <v>-90</v>
      </c>
      <c r="K444" s="513">
        <v>1425</v>
      </c>
      <c r="L444" s="518" t="s">
        <v>3637</v>
      </c>
      <c r="M444" s="152" t="s">
        <v>1566</v>
      </c>
      <c r="N444" s="152" t="s">
        <v>1407</v>
      </c>
      <c r="O444" s="152" t="s">
        <v>4260</v>
      </c>
      <c r="P444" s="152" t="s">
        <v>1881</v>
      </c>
      <c r="Q444" s="152" t="s">
        <v>4261</v>
      </c>
      <c r="R444" s="152" t="s">
        <v>4258</v>
      </c>
      <c r="S444" s="152" t="s">
        <v>4262</v>
      </c>
      <c r="T444" s="152" t="s">
        <v>786</v>
      </c>
    </row>
    <row r="445" spans="3:20">
      <c r="C445" s="152" t="s">
        <v>2821</v>
      </c>
      <c r="D445" s="474" t="s">
        <v>676</v>
      </c>
      <c r="E445" s="684" t="str">
        <f>+VLOOKUP(F445,Resumen_Base!$C$8:$G$156,5,0)</f>
        <v>Extras</v>
      </c>
      <c r="F445" s="152" t="s">
        <v>297</v>
      </c>
      <c r="G445" s="152" t="s">
        <v>298</v>
      </c>
      <c r="H445" s="152" t="str">
        <f t="shared" si="6"/>
        <v>CAR4110</v>
      </c>
      <c r="I445" s="513">
        <v>-128250</v>
      </c>
      <c r="J445" s="513">
        <v>-90</v>
      </c>
      <c r="K445" s="513">
        <v>1425</v>
      </c>
      <c r="L445" s="518" t="s">
        <v>3637</v>
      </c>
      <c r="M445" s="152" t="s">
        <v>1566</v>
      </c>
      <c r="N445" s="152" t="s">
        <v>1407</v>
      </c>
      <c r="O445" s="152" t="s">
        <v>4263</v>
      </c>
      <c r="P445" s="152" t="s">
        <v>1881</v>
      </c>
      <c r="Q445" s="152" t="s">
        <v>4264</v>
      </c>
      <c r="R445" s="152" t="s">
        <v>4258</v>
      </c>
      <c r="S445" s="152" t="s">
        <v>4265</v>
      </c>
      <c r="T445" s="152" t="s">
        <v>786</v>
      </c>
    </row>
    <row r="446" spans="3:20">
      <c r="C446" s="152" t="s">
        <v>2821</v>
      </c>
      <c r="D446" s="474" t="s">
        <v>676</v>
      </c>
      <c r="E446" s="684" t="str">
        <f>+VLOOKUP(F446,Resumen_Base!$C$8:$G$156,5,0)</f>
        <v>Extras</v>
      </c>
      <c r="F446" s="152" t="s">
        <v>297</v>
      </c>
      <c r="G446" s="152" t="s">
        <v>298</v>
      </c>
      <c r="H446" s="152" t="str">
        <f t="shared" si="6"/>
        <v>CAR4110</v>
      </c>
      <c r="I446" s="513">
        <v>-49875</v>
      </c>
      <c r="J446" s="513">
        <v>-35</v>
      </c>
      <c r="K446" s="513">
        <v>1425</v>
      </c>
      <c r="L446" s="518" t="s">
        <v>3637</v>
      </c>
      <c r="M446" s="152" t="s">
        <v>1566</v>
      </c>
      <c r="N446" s="152" t="s">
        <v>1407</v>
      </c>
      <c r="O446" s="152" t="s">
        <v>4266</v>
      </c>
      <c r="P446" s="152" t="s">
        <v>1881</v>
      </c>
      <c r="Q446" s="152" t="s">
        <v>4267</v>
      </c>
      <c r="R446" s="152" t="s">
        <v>4258</v>
      </c>
      <c r="S446" s="152" t="s">
        <v>4268</v>
      </c>
      <c r="T446" s="152" t="s">
        <v>786</v>
      </c>
    </row>
    <row r="447" spans="3:20">
      <c r="C447" s="152" t="s">
        <v>2821</v>
      </c>
      <c r="D447" s="474" t="s">
        <v>676</v>
      </c>
      <c r="E447" s="684" t="str">
        <f>+VLOOKUP(F447,Resumen_Base!$C$8:$G$156,5,0)</f>
        <v>Extras</v>
      </c>
      <c r="F447" s="152" t="s">
        <v>297</v>
      </c>
      <c r="G447" s="152" t="s">
        <v>298</v>
      </c>
      <c r="H447" s="152" t="str">
        <f t="shared" si="6"/>
        <v>CAR4110</v>
      </c>
      <c r="I447" s="513">
        <v>-78375</v>
      </c>
      <c r="J447" s="513">
        <v>-55</v>
      </c>
      <c r="K447" s="513">
        <v>1425</v>
      </c>
      <c r="L447" s="518" t="s">
        <v>3637</v>
      </c>
      <c r="M447" s="152" t="s">
        <v>1566</v>
      </c>
      <c r="N447" s="152" t="s">
        <v>1407</v>
      </c>
      <c r="O447" s="152" t="s">
        <v>4269</v>
      </c>
      <c r="P447" s="152" t="s">
        <v>1881</v>
      </c>
      <c r="Q447" s="152" t="s">
        <v>4270</v>
      </c>
      <c r="R447" s="152" t="s">
        <v>4258</v>
      </c>
      <c r="S447" s="152" t="s">
        <v>4271</v>
      </c>
      <c r="T447" s="152" t="s">
        <v>786</v>
      </c>
    </row>
    <row r="448" spans="3:20">
      <c r="C448" s="152" t="s">
        <v>2821</v>
      </c>
      <c r="D448" s="474" t="s">
        <v>676</v>
      </c>
      <c r="E448" s="684" t="str">
        <f>+VLOOKUP(F448,Resumen_Base!$C$8:$G$156,5,0)</f>
        <v>Extras</v>
      </c>
      <c r="F448" s="152" t="s">
        <v>297</v>
      </c>
      <c r="G448" s="152" t="s">
        <v>298</v>
      </c>
      <c r="H448" s="152" t="str">
        <f t="shared" si="6"/>
        <v>CAR4110</v>
      </c>
      <c r="I448" s="513">
        <v>-156750</v>
      </c>
      <c r="J448" s="513">
        <v>-110</v>
      </c>
      <c r="K448" s="513">
        <v>1425</v>
      </c>
      <c r="L448" s="518" t="s">
        <v>3637</v>
      </c>
      <c r="M448" s="152" t="s">
        <v>1566</v>
      </c>
      <c r="N448" s="152" t="s">
        <v>1407</v>
      </c>
      <c r="O448" s="152" t="s">
        <v>4272</v>
      </c>
      <c r="P448" s="152" t="s">
        <v>1881</v>
      </c>
      <c r="Q448" s="152" t="s">
        <v>4273</v>
      </c>
      <c r="R448" s="152" t="s">
        <v>4258</v>
      </c>
      <c r="S448" s="152" t="s">
        <v>4274</v>
      </c>
      <c r="T448" s="152" t="s">
        <v>786</v>
      </c>
    </row>
    <row r="449" spans="3:20">
      <c r="C449" s="152" t="s">
        <v>2821</v>
      </c>
      <c r="D449" s="474" t="s">
        <v>676</v>
      </c>
      <c r="E449" s="684" t="str">
        <f>+VLOOKUP(F449,Resumen_Base!$C$8:$G$156,5,0)</f>
        <v>Extras</v>
      </c>
      <c r="F449" s="152" t="s">
        <v>297</v>
      </c>
      <c r="G449" s="152" t="s">
        <v>298</v>
      </c>
      <c r="H449" s="152" t="str">
        <f t="shared" si="6"/>
        <v>CAR4110</v>
      </c>
      <c r="I449" s="513">
        <v>-133475</v>
      </c>
      <c r="J449" s="513">
        <v>-95</v>
      </c>
      <c r="K449" s="513">
        <v>1405</v>
      </c>
      <c r="L449" s="518" t="s">
        <v>3493</v>
      </c>
      <c r="M449" s="152" t="s">
        <v>1566</v>
      </c>
      <c r="N449" s="152" t="s">
        <v>1407</v>
      </c>
      <c r="O449" s="152" t="s">
        <v>4289</v>
      </c>
      <c r="P449" s="152" t="s">
        <v>4279</v>
      </c>
      <c r="Q449" s="152" t="s">
        <v>4290</v>
      </c>
      <c r="R449" s="152" t="s">
        <v>4291</v>
      </c>
      <c r="S449" s="152" t="s">
        <v>4292</v>
      </c>
      <c r="T449" s="152" t="s">
        <v>786</v>
      </c>
    </row>
    <row r="450" spans="3:20">
      <c r="C450" s="152" t="s">
        <v>2821</v>
      </c>
      <c r="D450" s="474" t="s">
        <v>676</v>
      </c>
      <c r="E450" s="684" t="str">
        <f>+VLOOKUP(F450,Resumen_Base!$C$8:$G$156,5,0)</f>
        <v>Extras</v>
      </c>
      <c r="F450" s="152" t="s">
        <v>297</v>
      </c>
      <c r="G450" s="152" t="s">
        <v>298</v>
      </c>
      <c r="H450" s="152" t="str">
        <f t="shared" si="6"/>
        <v>CAR4110</v>
      </c>
      <c r="I450" s="513">
        <v>-91325</v>
      </c>
      <c r="J450" s="513">
        <v>-65</v>
      </c>
      <c r="K450" s="513">
        <v>1405</v>
      </c>
      <c r="L450" s="518" t="s">
        <v>3493</v>
      </c>
      <c r="M450" s="152" t="s">
        <v>1566</v>
      </c>
      <c r="N450" s="152" t="s">
        <v>1407</v>
      </c>
      <c r="O450" s="152" t="s">
        <v>4296</v>
      </c>
      <c r="P450" s="152" t="s">
        <v>4279</v>
      </c>
      <c r="Q450" s="152" t="s">
        <v>4297</v>
      </c>
      <c r="R450" s="152" t="s">
        <v>4291</v>
      </c>
      <c r="S450" s="152" t="s">
        <v>4298</v>
      </c>
      <c r="T450" s="152" t="s">
        <v>786</v>
      </c>
    </row>
    <row r="451" spans="3:20">
      <c r="C451" s="152" t="s">
        <v>2821</v>
      </c>
      <c r="D451" s="474" t="s">
        <v>676</v>
      </c>
      <c r="E451" s="684" t="str">
        <f>+VLOOKUP(F451,Resumen_Base!$C$8:$G$156,5,0)</f>
        <v>Extras</v>
      </c>
      <c r="F451" s="152" t="s">
        <v>297</v>
      </c>
      <c r="G451" s="152" t="s">
        <v>298</v>
      </c>
      <c r="H451" s="152" t="str">
        <f t="shared" si="6"/>
        <v>CAR4110</v>
      </c>
      <c r="I451" s="513">
        <v>-42150</v>
      </c>
      <c r="J451" s="513">
        <v>-30</v>
      </c>
      <c r="K451" s="513">
        <v>1405</v>
      </c>
      <c r="L451" s="518" t="s">
        <v>3493</v>
      </c>
      <c r="M451" s="152" t="s">
        <v>1566</v>
      </c>
      <c r="N451" s="152" t="s">
        <v>1407</v>
      </c>
      <c r="O451" s="152" t="s">
        <v>4321</v>
      </c>
      <c r="P451" s="152" t="s">
        <v>4279</v>
      </c>
      <c r="Q451" s="152" t="s">
        <v>4322</v>
      </c>
      <c r="R451" s="152" t="s">
        <v>4323</v>
      </c>
      <c r="S451" s="152" t="s">
        <v>4324</v>
      </c>
      <c r="T451" s="152" t="s">
        <v>786</v>
      </c>
    </row>
    <row r="452" spans="3:20">
      <c r="C452" s="152" t="s">
        <v>2821</v>
      </c>
      <c r="D452" s="474" t="s">
        <v>676</v>
      </c>
      <c r="E452" s="684" t="str">
        <f>+VLOOKUP(F452,Resumen_Base!$C$8:$G$156,5,0)</f>
        <v>Extras</v>
      </c>
      <c r="F452" s="152" t="s">
        <v>297</v>
      </c>
      <c r="G452" s="152" t="s">
        <v>298</v>
      </c>
      <c r="H452" s="152" t="str">
        <f t="shared" si="6"/>
        <v>CAR4110</v>
      </c>
      <c r="I452" s="513">
        <v>-77275</v>
      </c>
      <c r="J452" s="513">
        <v>-55</v>
      </c>
      <c r="K452" s="513">
        <v>1405</v>
      </c>
      <c r="L452" s="518" t="s">
        <v>3493</v>
      </c>
      <c r="M452" s="152" t="s">
        <v>1566</v>
      </c>
      <c r="N452" s="152" t="s">
        <v>1407</v>
      </c>
      <c r="O452" s="152" t="s">
        <v>4328</v>
      </c>
      <c r="P452" s="152" t="s">
        <v>4279</v>
      </c>
      <c r="Q452" s="152" t="s">
        <v>4329</v>
      </c>
      <c r="R452" s="152" t="s">
        <v>4323</v>
      </c>
      <c r="S452" s="152" t="s">
        <v>4330</v>
      </c>
      <c r="T452" s="152" t="s">
        <v>786</v>
      </c>
    </row>
    <row r="453" spans="3:20">
      <c r="C453" s="152" t="s">
        <v>2821</v>
      </c>
      <c r="D453" s="474" t="s">
        <v>676</v>
      </c>
      <c r="E453" s="684" t="str">
        <f>+VLOOKUP(F453,Resumen_Base!$C$8:$G$156,5,0)</f>
        <v>Extras</v>
      </c>
      <c r="F453" s="152" t="s">
        <v>297</v>
      </c>
      <c r="G453" s="152" t="s">
        <v>298</v>
      </c>
      <c r="H453" s="152" t="str">
        <f t="shared" si="6"/>
        <v>CAR4110</v>
      </c>
      <c r="I453" s="513">
        <v>-77275</v>
      </c>
      <c r="J453" s="513">
        <v>-55</v>
      </c>
      <c r="K453" s="513">
        <v>1405</v>
      </c>
      <c r="L453" s="518" t="s">
        <v>3493</v>
      </c>
      <c r="M453" s="152" t="s">
        <v>1566</v>
      </c>
      <c r="N453" s="152" t="s">
        <v>1407</v>
      </c>
      <c r="O453" s="152" t="s">
        <v>4331</v>
      </c>
      <c r="P453" s="152" t="s">
        <v>4279</v>
      </c>
      <c r="Q453" s="152" t="s">
        <v>4332</v>
      </c>
      <c r="R453" s="152" t="s">
        <v>4323</v>
      </c>
      <c r="S453" s="152" t="s">
        <v>4333</v>
      </c>
      <c r="T453" s="152" t="s">
        <v>786</v>
      </c>
    </row>
    <row r="454" spans="3:20">
      <c r="C454" s="152" t="s">
        <v>2821</v>
      </c>
      <c r="D454" s="474" t="s">
        <v>676</v>
      </c>
      <c r="E454" s="684" t="str">
        <f>+VLOOKUP(F454,Resumen_Base!$C$8:$G$156,5,0)</f>
        <v>Extras</v>
      </c>
      <c r="F454" s="152" t="s">
        <v>297</v>
      </c>
      <c r="G454" s="152" t="s">
        <v>298</v>
      </c>
      <c r="H454" s="152" t="str">
        <f t="shared" si="6"/>
        <v>CAR4110</v>
      </c>
      <c r="I454" s="513">
        <v>-42150</v>
      </c>
      <c r="J454" s="513">
        <v>-30</v>
      </c>
      <c r="K454" s="513">
        <v>1405</v>
      </c>
      <c r="L454" s="518" t="s">
        <v>3493</v>
      </c>
      <c r="M454" s="152" t="s">
        <v>1566</v>
      </c>
      <c r="N454" s="152" t="s">
        <v>1407</v>
      </c>
      <c r="O454" s="152" t="s">
        <v>4337</v>
      </c>
      <c r="P454" s="152" t="s">
        <v>4279</v>
      </c>
      <c r="Q454" s="152" t="s">
        <v>4338</v>
      </c>
      <c r="R454" s="152" t="s">
        <v>4323</v>
      </c>
      <c r="S454" s="152" t="s">
        <v>4339</v>
      </c>
      <c r="T454" s="152" t="s">
        <v>786</v>
      </c>
    </row>
    <row r="455" spans="3:20">
      <c r="C455" s="152" t="s">
        <v>2821</v>
      </c>
      <c r="D455" s="474" t="s">
        <v>676</v>
      </c>
      <c r="E455" s="684" t="str">
        <f>+VLOOKUP(F455,Resumen_Base!$C$8:$G$156,5,0)</f>
        <v>Extras</v>
      </c>
      <c r="F455" s="152" t="s">
        <v>297</v>
      </c>
      <c r="G455" s="152" t="s">
        <v>298</v>
      </c>
      <c r="H455" s="152" t="str">
        <f t="shared" si="6"/>
        <v>CAR4110</v>
      </c>
      <c r="I455" s="513">
        <v>-77550</v>
      </c>
      <c r="J455" s="513">
        <v>-55</v>
      </c>
      <c r="K455" s="513">
        <v>1410</v>
      </c>
      <c r="L455" s="518" t="s">
        <v>3498</v>
      </c>
      <c r="M455" s="152" t="s">
        <v>1566</v>
      </c>
      <c r="N455" s="152" t="s">
        <v>1407</v>
      </c>
      <c r="O455" s="152" t="s">
        <v>4371</v>
      </c>
      <c r="P455" s="152" t="s">
        <v>4279</v>
      </c>
      <c r="Q455" s="152" t="s">
        <v>4372</v>
      </c>
      <c r="R455" s="152" t="s">
        <v>4369</v>
      </c>
      <c r="S455" s="152" t="s">
        <v>4373</v>
      </c>
      <c r="T455" s="152" t="s">
        <v>786</v>
      </c>
    </row>
    <row r="456" spans="3:20">
      <c r="C456" s="152" t="s">
        <v>2821</v>
      </c>
      <c r="D456" s="474" t="s">
        <v>676</v>
      </c>
      <c r="E456" s="684" t="str">
        <f>+VLOOKUP(F456,Resumen_Base!$C$8:$G$156,5,0)</f>
        <v>Extras</v>
      </c>
      <c r="F456" s="152" t="s">
        <v>297</v>
      </c>
      <c r="G456" s="152" t="s">
        <v>298</v>
      </c>
      <c r="H456" s="152" t="str">
        <f t="shared" si="6"/>
        <v>CAR4110</v>
      </c>
      <c r="I456" s="513">
        <v>-35375</v>
      </c>
      <c r="J456" s="513">
        <v>-25</v>
      </c>
      <c r="K456" s="513">
        <v>1415</v>
      </c>
      <c r="L456" s="518" t="s">
        <v>3632</v>
      </c>
      <c r="M456" s="152" t="s">
        <v>1566</v>
      </c>
      <c r="N456" s="152" t="s">
        <v>1407</v>
      </c>
      <c r="O456" s="152" t="s">
        <v>4516</v>
      </c>
      <c r="P456" s="152" t="s">
        <v>4279</v>
      </c>
      <c r="Q456" s="152" t="s">
        <v>4517</v>
      </c>
      <c r="R456" s="152" t="s">
        <v>4518</v>
      </c>
      <c r="S456" s="152" t="s">
        <v>4519</v>
      </c>
      <c r="T456" s="152" t="s">
        <v>786</v>
      </c>
    </row>
    <row r="457" spans="3:20">
      <c r="C457" s="152" t="s">
        <v>2821</v>
      </c>
      <c r="D457" s="474" t="s">
        <v>676</v>
      </c>
      <c r="E457" s="684" t="str">
        <f>+VLOOKUP(F457,Resumen_Base!$C$8:$G$156,5,0)</f>
        <v>Extras</v>
      </c>
      <c r="F457" s="152" t="s">
        <v>297</v>
      </c>
      <c r="G457" s="152" t="s">
        <v>298</v>
      </c>
      <c r="H457" s="152" t="str">
        <f t="shared" si="6"/>
        <v>CAR4110</v>
      </c>
      <c r="I457" s="513">
        <v>-91975</v>
      </c>
      <c r="J457" s="513">
        <v>-65</v>
      </c>
      <c r="K457" s="513">
        <v>1415</v>
      </c>
      <c r="L457" s="518" t="s">
        <v>3632</v>
      </c>
      <c r="M457" s="152" t="s">
        <v>1566</v>
      </c>
      <c r="N457" s="152" t="s">
        <v>1407</v>
      </c>
      <c r="O457" s="152" t="s">
        <v>4520</v>
      </c>
      <c r="P457" s="152" t="s">
        <v>4279</v>
      </c>
      <c r="Q457" s="152" t="s">
        <v>4521</v>
      </c>
      <c r="R457" s="152" t="s">
        <v>4518</v>
      </c>
      <c r="S457" s="152" t="s">
        <v>4522</v>
      </c>
      <c r="T457" s="152" t="s">
        <v>786</v>
      </c>
    </row>
    <row r="458" spans="3:20">
      <c r="C458" s="152" t="s">
        <v>2821</v>
      </c>
      <c r="D458" s="474" t="s">
        <v>676</v>
      </c>
      <c r="E458" s="684" t="str">
        <f>+VLOOKUP(F458,Resumen_Base!$C$8:$G$156,5,0)</f>
        <v>Extras</v>
      </c>
      <c r="F458" s="152" t="s">
        <v>299</v>
      </c>
      <c r="G458" s="152" t="s">
        <v>300</v>
      </c>
      <c r="H458" s="152" t="str">
        <f t="shared" si="6"/>
        <v>CAR4112</v>
      </c>
      <c r="I458" s="513">
        <v>-360000</v>
      </c>
      <c r="J458" s="513">
        <v>-250</v>
      </c>
      <c r="K458" s="513">
        <v>1440</v>
      </c>
      <c r="L458" s="518" t="s">
        <v>3517</v>
      </c>
      <c r="M458" s="152" t="s">
        <v>1566</v>
      </c>
      <c r="N458" s="152" t="s">
        <v>1407</v>
      </c>
      <c r="O458" s="152" t="s">
        <v>4239</v>
      </c>
      <c r="P458" s="152" t="s">
        <v>1881</v>
      </c>
      <c r="Q458" s="152" t="s">
        <v>4240</v>
      </c>
      <c r="R458" s="152" t="s">
        <v>4241</v>
      </c>
      <c r="S458" s="152" t="s">
        <v>4242</v>
      </c>
      <c r="T458" s="152" t="s">
        <v>786</v>
      </c>
    </row>
    <row r="459" spans="3:20">
      <c r="C459" s="152" t="s">
        <v>2821</v>
      </c>
      <c r="D459" s="474" t="s">
        <v>676</v>
      </c>
      <c r="E459" s="684" t="str">
        <f>+VLOOKUP(F459,Resumen_Base!$C$8:$G$156,5,0)</f>
        <v>Extras</v>
      </c>
      <c r="F459" s="152" t="s">
        <v>299</v>
      </c>
      <c r="G459" s="152" t="s">
        <v>300</v>
      </c>
      <c r="H459" s="152" t="str">
        <f t="shared" si="6"/>
        <v>CAR4112</v>
      </c>
      <c r="I459" s="513">
        <v>-180000</v>
      </c>
      <c r="J459" s="513">
        <v>-125</v>
      </c>
      <c r="K459" s="513">
        <v>1440</v>
      </c>
      <c r="L459" s="518" t="s">
        <v>3517</v>
      </c>
      <c r="M459" s="152" t="s">
        <v>1566</v>
      </c>
      <c r="N459" s="152" t="s">
        <v>1407</v>
      </c>
      <c r="O459" s="152" t="s">
        <v>4243</v>
      </c>
      <c r="P459" s="152" t="s">
        <v>1881</v>
      </c>
      <c r="Q459" s="152" t="s">
        <v>4244</v>
      </c>
      <c r="R459" s="152" t="s">
        <v>4241</v>
      </c>
      <c r="S459" s="152" t="s">
        <v>4245</v>
      </c>
      <c r="T459" s="152" t="s">
        <v>786</v>
      </c>
    </row>
    <row r="460" spans="3:20">
      <c r="C460" s="152" t="s">
        <v>2821</v>
      </c>
      <c r="D460" s="474" t="s">
        <v>676</v>
      </c>
      <c r="E460" s="684" t="str">
        <f>+VLOOKUP(F460,Resumen_Base!$C$8:$G$156,5,0)</f>
        <v>Extras</v>
      </c>
      <c r="F460" s="152" t="s">
        <v>299</v>
      </c>
      <c r="G460" s="152" t="s">
        <v>300</v>
      </c>
      <c r="H460" s="152" t="str">
        <f t="shared" si="6"/>
        <v>CAR4112</v>
      </c>
      <c r="I460" s="513">
        <v>-180000</v>
      </c>
      <c r="J460" s="513">
        <v>-125</v>
      </c>
      <c r="K460" s="513">
        <v>1440</v>
      </c>
      <c r="L460" s="518" t="s">
        <v>3517</v>
      </c>
      <c r="M460" s="152" t="s">
        <v>1566</v>
      </c>
      <c r="N460" s="152" t="s">
        <v>1407</v>
      </c>
      <c r="O460" s="152" t="s">
        <v>4243</v>
      </c>
      <c r="P460" s="152" t="s">
        <v>1881</v>
      </c>
      <c r="Q460" s="152" t="s">
        <v>4244</v>
      </c>
      <c r="R460" s="152" t="s">
        <v>4241</v>
      </c>
      <c r="S460" s="152" t="s">
        <v>4245</v>
      </c>
      <c r="T460" s="152" t="s">
        <v>786</v>
      </c>
    </row>
    <row r="461" spans="3:20">
      <c r="C461" s="152" t="s">
        <v>2821</v>
      </c>
      <c r="D461" s="474" t="s">
        <v>676</v>
      </c>
      <c r="E461" s="684" t="str">
        <f>+VLOOKUP(F461,Resumen_Base!$C$8:$G$156,5,0)</f>
        <v>Extras</v>
      </c>
      <c r="F461" s="152" t="s">
        <v>299</v>
      </c>
      <c r="G461" s="152" t="s">
        <v>300</v>
      </c>
      <c r="H461" s="152" t="str">
        <f t="shared" ref="H461:H524" si="7">+D461&amp;F461</f>
        <v>CAR4112</v>
      </c>
      <c r="I461" s="513">
        <v>-180000</v>
      </c>
      <c r="J461" s="513">
        <v>-125</v>
      </c>
      <c r="K461" s="513">
        <v>1440</v>
      </c>
      <c r="L461" s="518" t="s">
        <v>3517</v>
      </c>
      <c r="M461" s="152" t="s">
        <v>1566</v>
      </c>
      <c r="N461" s="152" t="s">
        <v>1407</v>
      </c>
      <c r="O461" s="152" t="s">
        <v>4246</v>
      </c>
      <c r="P461" s="152" t="s">
        <v>1881</v>
      </c>
      <c r="Q461" s="152" t="s">
        <v>4247</v>
      </c>
      <c r="R461" s="152" t="s">
        <v>4241</v>
      </c>
      <c r="S461" s="152" t="s">
        <v>4248</v>
      </c>
      <c r="T461" s="152" t="s">
        <v>786</v>
      </c>
    </row>
    <row r="462" spans="3:20">
      <c r="C462" s="152" t="s">
        <v>2821</v>
      </c>
      <c r="D462" s="474" t="s">
        <v>676</v>
      </c>
      <c r="E462" s="684" t="str">
        <f>+VLOOKUP(F462,Resumen_Base!$C$8:$G$156,5,0)</f>
        <v>Extras</v>
      </c>
      <c r="F462" s="152" t="s">
        <v>299</v>
      </c>
      <c r="G462" s="152" t="s">
        <v>300</v>
      </c>
      <c r="H462" s="152" t="str">
        <f t="shared" si="7"/>
        <v>CAR4112</v>
      </c>
      <c r="I462" s="513">
        <v>-180000</v>
      </c>
      <c r="J462" s="513">
        <v>-125</v>
      </c>
      <c r="K462" s="513">
        <v>1440</v>
      </c>
      <c r="L462" s="518" t="s">
        <v>3517</v>
      </c>
      <c r="M462" s="152" t="s">
        <v>1566</v>
      </c>
      <c r="N462" s="152" t="s">
        <v>1407</v>
      </c>
      <c r="O462" s="152" t="s">
        <v>4246</v>
      </c>
      <c r="P462" s="152" t="s">
        <v>1881</v>
      </c>
      <c r="Q462" s="152" t="s">
        <v>4247</v>
      </c>
      <c r="R462" s="152" t="s">
        <v>4241</v>
      </c>
      <c r="S462" s="152" t="s">
        <v>4248</v>
      </c>
      <c r="T462" s="152" t="s">
        <v>786</v>
      </c>
    </row>
    <row r="463" spans="3:20">
      <c r="C463" s="152" t="s">
        <v>2821</v>
      </c>
      <c r="D463" s="474" t="s">
        <v>676</v>
      </c>
      <c r="E463" s="684" t="str">
        <f>+VLOOKUP(F463,Resumen_Base!$C$8:$G$156,5,0)</f>
        <v>Extras</v>
      </c>
      <c r="F463" s="152" t="s">
        <v>299</v>
      </c>
      <c r="G463" s="152" t="s">
        <v>300</v>
      </c>
      <c r="H463" s="152" t="str">
        <f t="shared" si="7"/>
        <v>CAR4112</v>
      </c>
      <c r="I463" s="513">
        <v>-720000</v>
      </c>
      <c r="J463" s="513">
        <v>-500</v>
      </c>
      <c r="K463" s="513">
        <v>1440</v>
      </c>
      <c r="L463" s="518" t="s">
        <v>3517</v>
      </c>
      <c r="M463" s="152" t="s">
        <v>1566</v>
      </c>
      <c r="N463" s="152" t="s">
        <v>1407</v>
      </c>
      <c r="O463" s="152" t="s">
        <v>4249</v>
      </c>
      <c r="P463" s="152" t="s">
        <v>1881</v>
      </c>
      <c r="Q463" s="152" t="s">
        <v>4250</v>
      </c>
      <c r="R463" s="152" t="s">
        <v>4241</v>
      </c>
      <c r="S463" s="152" t="s">
        <v>4251</v>
      </c>
      <c r="T463" s="152" t="s">
        <v>786</v>
      </c>
    </row>
    <row r="464" spans="3:20">
      <c r="C464" s="152" t="s">
        <v>2821</v>
      </c>
      <c r="D464" s="474" t="s">
        <v>676</v>
      </c>
      <c r="E464" s="684" t="str">
        <f>+VLOOKUP(F464,Resumen_Base!$C$8:$G$156,5,0)</f>
        <v>Extras</v>
      </c>
      <c r="F464" s="152" t="s">
        <v>299</v>
      </c>
      <c r="G464" s="152" t="s">
        <v>300</v>
      </c>
      <c r="H464" s="152" t="str">
        <f t="shared" si="7"/>
        <v>CAR4112</v>
      </c>
      <c r="I464" s="513">
        <v>180000</v>
      </c>
      <c r="J464" s="513">
        <v>125</v>
      </c>
      <c r="K464" s="513">
        <v>1440</v>
      </c>
      <c r="L464" s="518" t="s">
        <v>3517</v>
      </c>
      <c r="M464" s="152" t="s">
        <v>1566</v>
      </c>
      <c r="N464" s="152" t="s">
        <v>1407</v>
      </c>
      <c r="O464" s="152" t="s">
        <v>4252</v>
      </c>
      <c r="P464" s="152" t="s">
        <v>1881</v>
      </c>
      <c r="Q464" s="152" t="s">
        <v>4253</v>
      </c>
      <c r="R464" s="152" t="s">
        <v>4254</v>
      </c>
      <c r="S464" s="152" t="s">
        <v>4255</v>
      </c>
      <c r="T464" s="152" t="s">
        <v>786</v>
      </c>
    </row>
    <row r="465" spans="3:20">
      <c r="C465" s="152" t="s">
        <v>2821</v>
      </c>
      <c r="D465" s="474" t="s">
        <v>676</v>
      </c>
      <c r="E465" s="684" t="str">
        <f>+VLOOKUP(F465,Resumen_Base!$C$8:$G$156,5,0)</f>
        <v>Extras</v>
      </c>
      <c r="F465" s="152" t="s">
        <v>299</v>
      </c>
      <c r="G465" s="152" t="s">
        <v>300</v>
      </c>
      <c r="H465" s="152" t="str">
        <f t="shared" si="7"/>
        <v>CAR4112</v>
      </c>
      <c r="I465" s="513">
        <v>180000</v>
      </c>
      <c r="J465" s="513">
        <v>125</v>
      </c>
      <c r="K465" s="513">
        <v>1440</v>
      </c>
      <c r="L465" s="518" t="s">
        <v>3517</v>
      </c>
      <c r="M465" s="152" t="s">
        <v>1566</v>
      </c>
      <c r="N465" s="152" t="s">
        <v>1407</v>
      </c>
      <c r="O465" s="152" t="s">
        <v>4252</v>
      </c>
      <c r="P465" s="152" t="s">
        <v>1881</v>
      </c>
      <c r="Q465" s="152" t="s">
        <v>4253</v>
      </c>
      <c r="R465" s="152" t="s">
        <v>4254</v>
      </c>
      <c r="S465" s="152" t="s">
        <v>4255</v>
      </c>
      <c r="T465" s="152" t="s">
        <v>786</v>
      </c>
    </row>
    <row r="466" spans="3:20">
      <c r="C466" s="152" t="s">
        <v>2821</v>
      </c>
      <c r="D466" s="474" t="s">
        <v>676</v>
      </c>
      <c r="E466" s="684" t="str">
        <f>+VLOOKUP(F466,Resumen_Base!$C$8:$G$156,5,0)</f>
        <v>Extras</v>
      </c>
      <c r="F466" s="152" t="s">
        <v>299</v>
      </c>
      <c r="G466" s="152" t="s">
        <v>300</v>
      </c>
      <c r="H466" s="152" t="str">
        <f t="shared" si="7"/>
        <v>CAR4112</v>
      </c>
      <c r="I466" s="513">
        <v>-178125</v>
      </c>
      <c r="J466" s="513">
        <v>-125</v>
      </c>
      <c r="K466" s="513">
        <v>1425</v>
      </c>
      <c r="L466" s="518" t="s">
        <v>3637</v>
      </c>
      <c r="M466" s="152" t="s">
        <v>1566</v>
      </c>
      <c r="N466" s="152" t="s">
        <v>1407</v>
      </c>
      <c r="O466" s="152" t="s">
        <v>4256</v>
      </c>
      <c r="P466" s="152" t="s">
        <v>1881</v>
      </c>
      <c r="Q466" s="152" t="s">
        <v>4257</v>
      </c>
      <c r="R466" s="152" t="s">
        <v>4258</v>
      </c>
      <c r="S466" s="152" t="s">
        <v>4259</v>
      </c>
      <c r="T466" s="152" t="s">
        <v>786</v>
      </c>
    </row>
    <row r="467" spans="3:20">
      <c r="C467" s="152" t="s">
        <v>2821</v>
      </c>
      <c r="D467" s="474" t="s">
        <v>676</v>
      </c>
      <c r="E467" s="684" t="str">
        <f>+VLOOKUP(F467,Resumen_Base!$C$8:$G$156,5,0)</f>
        <v>Extras</v>
      </c>
      <c r="F467" s="152" t="s">
        <v>299</v>
      </c>
      <c r="G467" s="152" t="s">
        <v>300</v>
      </c>
      <c r="H467" s="152" t="str">
        <f t="shared" si="7"/>
        <v>CAR4112</v>
      </c>
      <c r="I467" s="513">
        <v>-356250</v>
      </c>
      <c r="J467" s="513">
        <v>-250</v>
      </c>
      <c r="K467" s="513">
        <v>1425</v>
      </c>
      <c r="L467" s="518" t="s">
        <v>3637</v>
      </c>
      <c r="M467" s="152" t="s">
        <v>1566</v>
      </c>
      <c r="N467" s="152" t="s">
        <v>1407</v>
      </c>
      <c r="O467" s="152" t="s">
        <v>4263</v>
      </c>
      <c r="P467" s="152" t="s">
        <v>1881</v>
      </c>
      <c r="Q467" s="152" t="s">
        <v>4264</v>
      </c>
      <c r="R467" s="152" t="s">
        <v>4258</v>
      </c>
      <c r="S467" s="152" t="s">
        <v>4265</v>
      </c>
      <c r="T467" s="152" t="s">
        <v>786</v>
      </c>
    </row>
    <row r="468" spans="3:20">
      <c r="C468" s="152" t="s">
        <v>2821</v>
      </c>
      <c r="D468" s="474" t="s">
        <v>676</v>
      </c>
      <c r="E468" s="684" t="str">
        <f>+VLOOKUP(F468,Resumen_Base!$C$8:$G$156,5,0)</f>
        <v>Extras</v>
      </c>
      <c r="F468" s="152" t="s">
        <v>299</v>
      </c>
      <c r="G468" s="152" t="s">
        <v>300</v>
      </c>
      <c r="H468" s="152" t="str">
        <f t="shared" si="7"/>
        <v>CAR4112</v>
      </c>
      <c r="I468" s="513">
        <v>-712500</v>
      </c>
      <c r="J468" s="513">
        <v>-500</v>
      </c>
      <c r="K468" s="513">
        <v>1425</v>
      </c>
      <c r="L468" s="518" t="s">
        <v>3637</v>
      </c>
      <c r="M468" s="152" t="s">
        <v>1566</v>
      </c>
      <c r="N468" s="152" t="s">
        <v>1407</v>
      </c>
      <c r="O468" s="152" t="s">
        <v>4266</v>
      </c>
      <c r="P468" s="152" t="s">
        <v>1881</v>
      </c>
      <c r="Q468" s="152" t="s">
        <v>4267</v>
      </c>
      <c r="R468" s="152" t="s">
        <v>4258</v>
      </c>
      <c r="S468" s="152" t="s">
        <v>4268</v>
      </c>
      <c r="T468" s="152" t="s">
        <v>786</v>
      </c>
    </row>
    <row r="469" spans="3:20">
      <c r="C469" s="152" t="s">
        <v>2821</v>
      </c>
      <c r="D469" s="474" t="s">
        <v>676</v>
      </c>
      <c r="E469" s="684" t="str">
        <f>+VLOOKUP(F469,Resumen_Base!$C$8:$G$156,5,0)</f>
        <v>Extras</v>
      </c>
      <c r="F469" s="152" t="s">
        <v>299</v>
      </c>
      <c r="G469" s="152" t="s">
        <v>300</v>
      </c>
      <c r="H469" s="152" t="str">
        <f t="shared" si="7"/>
        <v>CAR4112</v>
      </c>
      <c r="I469" s="513">
        <v>-534375</v>
      </c>
      <c r="J469" s="513">
        <v>-375</v>
      </c>
      <c r="K469" s="513">
        <v>1425</v>
      </c>
      <c r="L469" s="518" t="s">
        <v>3637</v>
      </c>
      <c r="M469" s="152" t="s">
        <v>1566</v>
      </c>
      <c r="N469" s="152" t="s">
        <v>1407</v>
      </c>
      <c r="O469" s="152" t="s">
        <v>4269</v>
      </c>
      <c r="P469" s="152" t="s">
        <v>1881</v>
      </c>
      <c r="Q469" s="152" t="s">
        <v>4270</v>
      </c>
      <c r="R469" s="152" t="s">
        <v>4258</v>
      </c>
      <c r="S469" s="152" t="s">
        <v>4271</v>
      </c>
      <c r="T469" s="152" t="s">
        <v>786</v>
      </c>
    </row>
    <row r="470" spans="3:20">
      <c r="C470" s="152" t="s">
        <v>2821</v>
      </c>
      <c r="D470" s="474" t="s">
        <v>676</v>
      </c>
      <c r="E470" s="684" t="str">
        <f>+VLOOKUP(F470,Resumen_Base!$C$8:$G$156,5,0)</f>
        <v>Extras</v>
      </c>
      <c r="F470" s="152" t="s">
        <v>299</v>
      </c>
      <c r="G470" s="152" t="s">
        <v>300</v>
      </c>
      <c r="H470" s="152" t="str">
        <f t="shared" si="7"/>
        <v>CAR4112</v>
      </c>
      <c r="I470" s="513">
        <v>-175625</v>
      </c>
      <c r="J470" s="513">
        <v>-125</v>
      </c>
      <c r="K470" s="513">
        <v>1405</v>
      </c>
      <c r="L470" s="518" t="s">
        <v>3493</v>
      </c>
      <c r="M470" s="152" t="s">
        <v>1566</v>
      </c>
      <c r="N470" s="152" t="s">
        <v>1407</v>
      </c>
      <c r="O470" s="152" t="s">
        <v>4289</v>
      </c>
      <c r="P470" s="152" t="s">
        <v>4279</v>
      </c>
      <c r="Q470" s="152" t="s">
        <v>4290</v>
      </c>
      <c r="R470" s="152" t="s">
        <v>4291</v>
      </c>
      <c r="S470" s="152" t="s">
        <v>4292</v>
      </c>
      <c r="T470" s="152" t="s">
        <v>786</v>
      </c>
    </row>
    <row r="471" spans="3:20">
      <c r="C471" s="152" t="s">
        <v>2821</v>
      </c>
      <c r="D471" s="474" t="s">
        <v>676</v>
      </c>
      <c r="E471" s="684" t="str">
        <f>+VLOOKUP(F471,Resumen_Base!$C$8:$G$156,5,0)</f>
        <v>Extras</v>
      </c>
      <c r="F471" s="152" t="s">
        <v>299</v>
      </c>
      <c r="G471" s="152" t="s">
        <v>300</v>
      </c>
      <c r="H471" s="152" t="str">
        <f t="shared" si="7"/>
        <v>CAR4112</v>
      </c>
      <c r="I471" s="513">
        <v>-126450</v>
      </c>
      <c r="J471" s="513">
        <v>-90</v>
      </c>
      <c r="K471" s="513">
        <v>1405</v>
      </c>
      <c r="L471" s="518" t="s">
        <v>3493</v>
      </c>
      <c r="M471" s="152" t="s">
        <v>1566</v>
      </c>
      <c r="N471" s="152" t="s">
        <v>1407</v>
      </c>
      <c r="O471" s="152" t="s">
        <v>4293</v>
      </c>
      <c r="P471" s="152" t="s">
        <v>4279</v>
      </c>
      <c r="Q471" s="152" t="s">
        <v>4294</v>
      </c>
      <c r="R471" s="152" t="s">
        <v>4291</v>
      </c>
      <c r="S471" s="152" t="s">
        <v>4295</v>
      </c>
      <c r="T471" s="152" t="s">
        <v>786</v>
      </c>
    </row>
    <row r="472" spans="3:20">
      <c r="C472" s="152" t="s">
        <v>2821</v>
      </c>
      <c r="D472" s="474" t="s">
        <v>676</v>
      </c>
      <c r="E472" s="684" t="str">
        <f>+VLOOKUP(F472,Resumen_Base!$C$8:$G$156,5,0)</f>
        <v>Extras</v>
      </c>
      <c r="F472" s="152" t="s">
        <v>299</v>
      </c>
      <c r="G472" s="152" t="s">
        <v>300</v>
      </c>
      <c r="H472" s="152" t="str">
        <f t="shared" si="7"/>
        <v>CAR4112</v>
      </c>
      <c r="I472" s="513">
        <v>-175625</v>
      </c>
      <c r="J472" s="513">
        <v>-125</v>
      </c>
      <c r="K472" s="513">
        <v>1405</v>
      </c>
      <c r="L472" s="518" t="s">
        <v>3493</v>
      </c>
      <c r="M472" s="152" t="s">
        <v>1566</v>
      </c>
      <c r="N472" s="152" t="s">
        <v>1407</v>
      </c>
      <c r="O472" s="152" t="s">
        <v>4296</v>
      </c>
      <c r="P472" s="152" t="s">
        <v>4279</v>
      </c>
      <c r="Q472" s="152" t="s">
        <v>4297</v>
      </c>
      <c r="R472" s="152" t="s">
        <v>4291</v>
      </c>
      <c r="S472" s="152" t="s">
        <v>4298</v>
      </c>
      <c r="T472" s="152" t="s">
        <v>786</v>
      </c>
    </row>
    <row r="473" spans="3:20">
      <c r="C473" s="152" t="s">
        <v>2821</v>
      </c>
      <c r="D473" s="474" t="s">
        <v>676</v>
      </c>
      <c r="E473" s="684" t="str">
        <f>+VLOOKUP(F473,Resumen_Base!$C$8:$G$156,5,0)</f>
        <v>Extras</v>
      </c>
      <c r="F473" s="152" t="s">
        <v>299</v>
      </c>
      <c r="G473" s="152" t="s">
        <v>300</v>
      </c>
      <c r="H473" s="152" t="str">
        <f t="shared" si="7"/>
        <v>CAR4112</v>
      </c>
      <c r="I473" s="513">
        <v>-175625</v>
      </c>
      <c r="J473" s="513">
        <v>-125</v>
      </c>
      <c r="K473" s="513">
        <v>1405</v>
      </c>
      <c r="L473" s="518" t="s">
        <v>3493</v>
      </c>
      <c r="M473" s="152" t="s">
        <v>1566</v>
      </c>
      <c r="N473" s="152" t="s">
        <v>1407</v>
      </c>
      <c r="O473" s="152" t="s">
        <v>4325</v>
      </c>
      <c r="P473" s="152" t="s">
        <v>4279</v>
      </c>
      <c r="Q473" s="152" t="s">
        <v>4326</v>
      </c>
      <c r="R473" s="152" t="s">
        <v>4323</v>
      </c>
      <c r="S473" s="152" t="s">
        <v>4327</v>
      </c>
      <c r="T473" s="152" t="s">
        <v>786</v>
      </c>
    </row>
    <row r="474" spans="3:20">
      <c r="C474" s="152" t="s">
        <v>2821</v>
      </c>
      <c r="D474" s="474" t="s">
        <v>676</v>
      </c>
      <c r="E474" s="684" t="str">
        <f>+VLOOKUP(F474,Resumen_Base!$C$8:$G$156,5,0)</f>
        <v>Extras</v>
      </c>
      <c r="F474" s="152" t="s">
        <v>299</v>
      </c>
      <c r="G474" s="152" t="s">
        <v>300</v>
      </c>
      <c r="H474" s="152" t="str">
        <f t="shared" si="7"/>
        <v>CAR4112</v>
      </c>
      <c r="I474" s="513">
        <v>-175625</v>
      </c>
      <c r="J474" s="513">
        <v>-125</v>
      </c>
      <c r="K474" s="513">
        <v>1405</v>
      </c>
      <c r="L474" s="518" t="s">
        <v>3493</v>
      </c>
      <c r="M474" s="152" t="s">
        <v>1566</v>
      </c>
      <c r="N474" s="152" t="s">
        <v>1407</v>
      </c>
      <c r="O474" s="152" t="s">
        <v>4328</v>
      </c>
      <c r="P474" s="152" t="s">
        <v>4279</v>
      </c>
      <c r="Q474" s="152" t="s">
        <v>4329</v>
      </c>
      <c r="R474" s="152" t="s">
        <v>4323</v>
      </c>
      <c r="S474" s="152" t="s">
        <v>4330</v>
      </c>
      <c r="T474" s="152" t="s">
        <v>786</v>
      </c>
    </row>
    <row r="475" spans="3:20">
      <c r="C475" s="152" t="s">
        <v>2821</v>
      </c>
      <c r="D475" s="474" t="s">
        <v>676</v>
      </c>
      <c r="E475" s="684" t="str">
        <f>+VLOOKUP(F475,Resumen_Base!$C$8:$G$156,5,0)</f>
        <v>Extras</v>
      </c>
      <c r="F475" s="152" t="s">
        <v>299</v>
      </c>
      <c r="G475" s="152" t="s">
        <v>300</v>
      </c>
      <c r="H475" s="152" t="str">
        <f t="shared" si="7"/>
        <v>CAR4112</v>
      </c>
      <c r="I475" s="513">
        <v>-176875</v>
      </c>
      <c r="J475" s="513">
        <v>-125</v>
      </c>
      <c r="K475" s="513">
        <v>1415</v>
      </c>
      <c r="L475" s="518" t="s">
        <v>3632</v>
      </c>
      <c r="M475" s="152" t="s">
        <v>1566</v>
      </c>
      <c r="N475" s="152" t="s">
        <v>1407</v>
      </c>
      <c r="O475" s="152" t="s">
        <v>4344</v>
      </c>
      <c r="P475" s="152" t="s">
        <v>4279</v>
      </c>
      <c r="Q475" s="152" t="s">
        <v>4345</v>
      </c>
      <c r="R475" s="152" t="s">
        <v>4342</v>
      </c>
      <c r="S475" s="152" t="s">
        <v>4346</v>
      </c>
      <c r="T475" s="152" t="s">
        <v>786</v>
      </c>
    </row>
    <row r="476" spans="3:20">
      <c r="C476" s="152" t="s">
        <v>2821</v>
      </c>
      <c r="D476" s="474" t="s">
        <v>676</v>
      </c>
      <c r="E476" s="684" t="str">
        <f>+VLOOKUP(F476,Resumen_Base!$C$8:$G$156,5,0)</f>
        <v>Extras</v>
      </c>
      <c r="F476" s="152" t="s">
        <v>299</v>
      </c>
      <c r="G476" s="152" t="s">
        <v>300</v>
      </c>
      <c r="H476" s="152" t="str">
        <f t="shared" si="7"/>
        <v>CAR4112</v>
      </c>
      <c r="I476" s="513">
        <v>-176875</v>
      </c>
      <c r="J476" s="513">
        <v>-125</v>
      </c>
      <c r="K476" s="513">
        <v>1415</v>
      </c>
      <c r="L476" s="518" t="s">
        <v>3632</v>
      </c>
      <c r="M476" s="152" t="s">
        <v>1566</v>
      </c>
      <c r="N476" s="152" t="s">
        <v>1407</v>
      </c>
      <c r="O476" s="152" t="s">
        <v>4347</v>
      </c>
      <c r="P476" s="152" t="s">
        <v>4279</v>
      </c>
      <c r="Q476" s="152" t="s">
        <v>4348</v>
      </c>
      <c r="R476" s="152" t="s">
        <v>4342</v>
      </c>
      <c r="S476" s="152" t="s">
        <v>4349</v>
      </c>
      <c r="T476" s="152" t="s">
        <v>786</v>
      </c>
    </row>
    <row r="477" spans="3:20">
      <c r="C477" s="152" t="s">
        <v>2821</v>
      </c>
      <c r="D477" s="474" t="s">
        <v>676</v>
      </c>
      <c r="E477" s="684" t="str">
        <f>+VLOOKUP(F477,Resumen_Base!$C$8:$G$156,5,0)</f>
        <v>Extras</v>
      </c>
      <c r="F477" s="152" t="s">
        <v>299</v>
      </c>
      <c r="G477" s="152" t="s">
        <v>300</v>
      </c>
      <c r="H477" s="152" t="str">
        <f t="shared" si="7"/>
        <v>CAR4112</v>
      </c>
      <c r="I477" s="513">
        <v>-176875</v>
      </c>
      <c r="J477" s="513">
        <v>-125</v>
      </c>
      <c r="K477" s="513">
        <v>1415</v>
      </c>
      <c r="L477" s="518" t="s">
        <v>3632</v>
      </c>
      <c r="M477" s="152" t="s">
        <v>1566</v>
      </c>
      <c r="N477" s="152" t="s">
        <v>1407</v>
      </c>
      <c r="O477" s="152" t="s">
        <v>4347</v>
      </c>
      <c r="P477" s="152" t="s">
        <v>4279</v>
      </c>
      <c r="Q477" s="152" t="s">
        <v>4348</v>
      </c>
      <c r="R477" s="152" t="s">
        <v>4342</v>
      </c>
      <c r="S477" s="152" t="s">
        <v>4349</v>
      </c>
      <c r="T477" s="152" t="s">
        <v>786</v>
      </c>
    </row>
    <row r="478" spans="3:20">
      <c r="C478" s="152" t="s">
        <v>2821</v>
      </c>
      <c r="D478" s="474" t="s">
        <v>676</v>
      </c>
      <c r="E478" s="684" t="str">
        <f>+VLOOKUP(F478,Resumen_Base!$C$8:$G$156,5,0)</f>
        <v>Extras</v>
      </c>
      <c r="F478" s="152" t="s">
        <v>299</v>
      </c>
      <c r="G478" s="152" t="s">
        <v>300</v>
      </c>
      <c r="H478" s="152" t="str">
        <f t="shared" si="7"/>
        <v>CAR4112</v>
      </c>
      <c r="I478" s="513">
        <v>-180000</v>
      </c>
      <c r="J478" s="513">
        <v>-125</v>
      </c>
      <c r="K478" s="513">
        <v>1440</v>
      </c>
      <c r="L478" s="518" t="s">
        <v>3517</v>
      </c>
      <c r="M478" s="152" t="s">
        <v>1566</v>
      </c>
      <c r="N478" s="152" t="s">
        <v>1407</v>
      </c>
      <c r="O478" s="152" t="s">
        <v>4357</v>
      </c>
      <c r="P478" s="152" t="s">
        <v>1881</v>
      </c>
      <c r="Q478" s="152" t="s">
        <v>4358</v>
      </c>
      <c r="R478" s="152" t="s">
        <v>4355</v>
      </c>
      <c r="S478" s="152" t="s">
        <v>4359</v>
      </c>
      <c r="T478" s="152" t="s">
        <v>786</v>
      </c>
    </row>
    <row r="479" spans="3:20">
      <c r="C479" s="152" t="s">
        <v>2821</v>
      </c>
      <c r="D479" s="474" t="s">
        <v>676</v>
      </c>
      <c r="E479" s="684" t="str">
        <f>+VLOOKUP(F479,Resumen_Base!$C$8:$G$156,5,0)</f>
        <v>Extras</v>
      </c>
      <c r="F479" s="152" t="s">
        <v>299</v>
      </c>
      <c r="G479" s="152" t="s">
        <v>300</v>
      </c>
      <c r="H479" s="152" t="str">
        <f t="shared" si="7"/>
        <v>CAR4112</v>
      </c>
      <c r="I479" s="513">
        <v>-175000</v>
      </c>
      <c r="J479" s="513">
        <v>-125</v>
      </c>
      <c r="K479" s="513">
        <v>1400</v>
      </c>
      <c r="L479" s="518" t="s">
        <v>3659</v>
      </c>
      <c r="M479" s="152" t="s">
        <v>1566</v>
      </c>
      <c r="N479" s="152" t="s">
        <v>1407</v>
      </c>
      <c r="O479" s="152" t="s">
        <v>4360</v>
      </c>
      <c r="P479" s="152" t="s">
        <v>4279</v>
      </c>
      <c r="Q479" s="152" t="s">
        <v>4361</v>
      </c>
      <c r="R479" s="152" t="s">
        <v>4362</v>
      </c>
      <c r="S479" s="152" t="s">
        <v>4363</v>
      </c>
      <c r="T479" s="152" t="s">
        <v>786</v>
      </c>
    </row>
    <row r="480" spans="3:20">
      <c r="C480" s="152" t="s">
        <v>2821</v>
      </c>
      <c r="D480" s="474" t="s">
        <v>676</v>
      </c>
      <c r="E480" s="684" t="str">
        <f>+VLOOKUP(F480,Resumen_Base!$C$8:$G$156,5,0)</f>
        <v>Extras</v>
      </c>
      <c r="F480" s="152" t="s">
        <v>299</v>
      </c>
      <c r="G480" s="152" t="s">
        <v>300</v>
      </c>
      <c r="H480" s="152" t="str">
        <f t="shared" si="7"/>
        <v>CAR4112</v>
      </c>
      <c r="I480" s="513">
        <v>-175000</v>
      </c>
      <c r="J480" s="513">
        <v>-125</v>
      </c>
      <c r="K480" s="513">
        <v>1400</v>
      </c>
      <c r="L480" s="518" t="s">
        <v>3659</v>
      </c>
      <c r="M480" s="152" t="s">
        <v>1566</v>
      </c>
      <c r="N480" s="152" t="s">
        <v>1407</v>
      </c>
      <c r="O480" s="152" t="s">
        <v>4364</v>
      </c>
      <c r="P480" s="152" t="s">
        <v>4279</v>
      </c>
      <c r="Q480" s="152" t="s">
        <v>4365</v>
      </c>
      <c r="R480" s="152" t="s">
        <v>4362</v>
      </c>
      <c r="S480" s="152" t="s">
        <v>4366</v>
      </c>
      <c r="T480" s="152" t="s">
        <v>786</v>
      </c>
    </row>
    <row r="481" spans="3:20">
      <c r="C481" s="152" t="s">
        <v>2821</v>
      </c>
      <c r="D481" s="474" t="s">
        <v>676</v>
      </c>
      <c r="E481" s="684" t="str">
        <f>+VLOOKUP(F481,Resumen_Base!$C$8:$G$156,5,0)</f>
        <v>Extras</v>
      </c>
      <c r="F481" s="152" t="s">
        <v>299</v>
      </c>
      <c r="G481" s="152" t="s">
        <v>300</v>
      </c>
      <c r="H481" s="152" t="str">
        <f t="shared" si="7"/>
        <v>CAR4112</v>
      </c>
      <c r="I481" s="513">
        <v>-360000</v>
      </c>
      <c r="J481" s="513">
        <v>-250</v>
      </c>
      <c r="K481" s="513">
        <v>1440</v>
      </c>
      <c r="L481" s="518" t="s">
        <v>3517</v>
      </c>
      <c r="M481" s="152" t="s">
        <v>1566</v>
      </c>
      <c r="N481" s="152" t="s">
        <v>1407</v>
      </c>
      <c r="O481" s="152" t="s">
        <v>4388</v>
      </c>
      <c r="P481" s="152" t="s">
        <v>1881</v>
      </c>
      <c r="Q481" s="152" t="s">
        <v>4389</v>
      </c>
      <c r="R481" s="152" t="s">
        <v>4383</v>
      </c>
      <c r="S481" s="152" t="s">
        <v>4390</v>
      </c>
      <c r="T481" s="152" t="s">
        <v>786</v>
      </c>
    </row>
    <row r="482" spans="3:20">
      <c r="C482" s="152" t="s">
        <v>2821</v>
      </c>
      <c r="D482" s="474" t="s">
        <v>676</v>
      </c>
      <c r="E482" s="684" t="str">
        <f>+VLOOKUP(F482,Resumen_Base!$C$8:$G$156,5,0)</f>
        <v>Extras</v>
      </c>
      <c r="F482" s="152" t="s">
        <v>299</v>
      </c>
      <c r="G482" s="152" t="s">
        <v>300</v>
      </c>
      <c r="H482" s="152" t="str">
        <f t="shared" si="7"/>
        <v>CAR4112</v>
      </c>
      <c r="I482" s="513">
        <v>-176875</v>
      </c>
      <c r="J482" s="513">
        <v>-125</v>
      </c>
      <c r="K482" s="513">
        <v>1415</v>
      </c>
      <c r="L482" s="518" t="s">
        <v>3511</v>
      </c>
      <c r="M482" s="152" t="s">
        <v>1566</v>
      </c>
      <c r="N482" s="152" t="s">
        <v>1407</v>
      </c>
      <c r="O482" s="152" t="s">
        <v>4404</v>
      </c>
      <c r="P482" s="152" t="s">
        <v>4279</v>
      </c>
      <c r="Q482" s="152" t="s">
        <v>4405</v>
      </c>
      <c r="R482" s="152" t="s">
        <v>4406</v>
      </c>
      <c r="S482" s="152" t="s">
        <v>4407</v>
      </c>
      <c r="T482" s="152" t="s">
        <v>786</v>
      </c>
    </row>
    <row r="483" spans="3:20">
      <c r="C483" s="152" t="s">
        <v>2821</v>
      </c>
      <c r="D483" s="474" t="s">
        <v>676</v>
      </c>
      <c r="E483" s="684" t="str">
        <f>+VLOOKUP(F483,Resumen_Base!$C$8:$G$156,5,0)</f>
        <v>Extras</v>
      </c>
      <c r="F483" s="152" t="s">
        <v>299</v>
      </c>
      <c r="G483" s="152" t="s">
        <v>300</v>
      </c>
      <c r="H483" s="152" t="str">
        <f t="shared" si="7"/>
        <v>CAR4112</v>
      </c>
      <c r="I483" s="513">
        <v>-176875</v>
      </c>
      <c r="J483" s="513">
        <v>-125</v>
      </c>
      <c r="K483" s="513">
        <v>1415</v>
      </c>
      <c r="L483" s="518" t="s">
        <v>3511</v>
      </c>
      <c r="M483" s="152" t="s">
        <v>1566</v>
      </c>
      <c r="N483" s="152" t="s">
        <v>1407</v>
      </c>
      <c r="O483" s="152" t="s">
        <v>4408</v>
      </c>
      <c r="P483" s="152" t="s">
        <v>4279</v>
      </c>
      <c r="Q483" s="152" t="s">
        <v>4409</v>
      </c>
      <c r="R483" s="152" t="s">
        <v>4406</v>
      </c>
      <c r="S483" s="152" t="s">
        <v>4410</v>
      </c>
      <c r="T483" s="152" t="s">
        <v>786</v>
      </c>
    </row>
    <row r="484" spans="3:20">
      <c r="C484" s="152" t="s">
        <v>2821</v>
      </c>
      <c r="D484" s="474" t="s">
        <v>676</v>
      </c>
      <c r="E484" s="684" t="str">
        <f>+VLOOKUP(F484,Resumen_Base!$C$8:$G$156,5,0)</f>
        <v>Extras</v>
      </c>
      <c r="F484" s="152" t="s">
        <v>299</v>
      </c>
      <c r="G484" s="152" t="s">
        <v>300</v>
      </c>
      <c r="H484" s="152" t="str">
        <f t="shared" si="7"/>
        <v>CAR4112</v>
      </c>
      <c r="I484" s="513">
        <v>-176875</v>
      </c>
      <c r="J484" s="513">
        <v>-125</v>
      </c>
      <c r="K484" s="513">
        <v>1415</v>
      </c>
      <c r="L484" s="518" t="s">
        <v>3511</v>
      </c>
      <c r="M484" s="152" t="s">
        <v>1566</v>
      </c>
      <c r="N484" s="152" t="s">
        <v>1407</v>
      </c>
      <c r="O484" s="152" t="s">
        <v>4411</v>
      </c>
      <c r="P484" s="152" t="s">
        <v>4279</v>
      </c>
      <c r="Q484" s="152" t="s">
        <v>4412</v>
      </c>
      <c r="R484" s="152" t="s">
        <v>4406</v>
      </c>
      <c r="S484" s="152" t="s">
        <v>4413</v>
      </c>
      <c r="T484" s="152" t="s">
        <v>786</v>
      </c>
    </row>
    <row r="485" spans="3:20">
      <c r="C485" s="152" t="s">
        <v>2821</v>
      </c>
      <c r="D485" s="474" t="s">
        <v>676</v>
      </c>
      <c r="E485" s="684" t="str">
        <f>+VLOOKUP(F485,Resumen_Base!$C$8:$G$156,5,0)</f>
        <v>Extras</v>
      </c>
      <c r="F485" s="152" t="s">
        <v>299</v>
      </c>
      <c r="G485" s="152" t="s">
        <v>300</v>
      </c>
      <c r="H485" s="152" t="str">
        <f t="shared" si="7"/>
        <v>CAR4112</v>
      </c>
      <c r="I485" s="513">
        <v>-180000</v>
      </c>
      <c r="J485" s="513">
        <v>-125</v>
      </c>
      <c r="K485" s="513">
        <v>1440</v>
      </c>
      <c r="L485" s="518" t="s">
        <v>3517</v>
      </c>
      <c r="M485" s="152" t="s">
        <v>1566</v>
      </c>
      <c r="N485" s="152" t="s">
        <v>1407</v>
      </c>
      <c r="O485" s="152" t="s">
        <v>4427</v>
      </c>
      <c r="P485" s="152" t="s">
        <v>1881</v>
      </c>
      <c r="Q485" s="152" t="s">
        <v>4428</v>
      </c>
      <c r="R485" s="152" t="s">
        <v>4429</v>
      </c>
      <c r="S485" s="152" t="s">
        <v>4430</v>
      </c>
      <c r="T485" s="152" t="s">
        <v>786</v>
      </c>
    </row>
    <row r="486" spans="3:20">
      <c r="C486" s="152" t="s">
        <v>2821</v>
      </c>
      <c r="D486" s="474" t="s">
        <v>676</v>
      </c>
      <c r="E486" s="684" t="str">
        <f>+VLOOKUP(F486,Resumen_Base!$C$8:$G$156,5,0)</f>
        <v>Extras</v>
      </c>
      <c r="F486" s="152" t="s">
        <v>299</v>
      </c>
      <c r="G486" s="152" t="s">
        <v>300</v>
      </c>
      <c r="H486" s="152" t="str">
        <f t="shared" si="7"/>
        <v>CAR4112</v>
      </c>
      <c r="I486" s="513">
        <v>-180000</v>
      </c>
      <c r="J486" s="513">
        <v>-125</v>
      </c>
      <c r="K486" s="513">
        <v>1440</v>
      </c>
      <c r="L486" s="518" t="s">
        <v>3517</v>
      </c>
      <c r="M486" s="152" t="s">
        <v>1566</v>
      </c>
      <c r="N486" s="152" t="s">
        <v>1407</v>
      </c>
      <c r="O486" s="152" t="s">
        <v>4434</v>
      </c>
      <c r="P486" s="152" t="s">
        <v>1881</v>
      </c>
      <c r="Q486" s="152" t="s">
        <v>4435</v>
      </c>
      <c r="R486" s="152" t="s">
        <v>4429</v>
      </c>
      <c r="S486" s="152" t="s">
        <v>4436</v>
      </c>
      <c r="T486" s="152" t="s">
        <v>786</v>
      </c>
    </row>
    <row r="487" spans="3:20">
      <c r="C487" s="152" t="s">
        <v>2821</v>
      </c>
      <c r="D487" s="474" t="s">
        <v>676</v>
      </c>
      <c r="E487" s="684" t="str">
        <f>+VLOOKUP(F487,Resumen_Base!$C$8:$G$156,5,0)</f>
        <v>Extras</v>
      </c>
      <c r="F487" s="152" t="s">
        <v>299</v>
      </c>
      <c r="G487" s="152" t="s">
        <v>300</v>
      </c>
      <c r="H487" s="152" t="str">
        <f t="shared" si="7"/>
        <v>CAR4112</v>
      </c>
      <c r="I487" s="513">
        <v>-175625</v>
      </c>
      <c r="J487" s="513">
        <v>-125</v>
      </c>
      <c r="K487" s="513">
        <v>1405</v>
      </c>
      <c r="L487" s="518" t="s">
        <v>3493</v>
      </c>
      <c r="M487" s="152" t="s">
        <v>1566</v>
      </c>
      <c r="N487" s="152" t="s">
        <v>1407</v>
      </c>
      <c r="O487" s="152" t="s">
        <v>4444</v>
      </c>
      <c r="P487" s="152" t="s">
        <v>4279</v>
      </c>
      <c r="Q487" s="152" t="s">
        <v>4445</v>
      </c>
      <c r="R487" s="152" t="s">
        <v>4442</v>
      </c>
      <c r="S487" s="152" t="s">
        <v>4446</v>
      </c>
      <c r="T487" s="152" t="s">
        <v>786</v>
      </c>
    </row>
    <row r="488" spans="3:20">
      <c r="C488" s="152" t="s">
        <v>2821</v>
      </c>
      <c r="D488" s="474" t="s">
        <v>676</v>
      </c>
      <c r="E488" s="684" t="str">
        <f>+VLOOKUP(F488,Resumen_Base!$C$8:$G$156,5,0)</f>
        <v>Extras</v>
      </c>
      <c r="F488" s="152" t="s">
        <v>299</v>
      </c>
      <c r="G488" s="152" t="s">
        <v>300</v>
      </c>
      <c r="H488" s="152" t="str">
        <f t="shared" si="7"/>
        <v>CAR4112</v>
      </c>
      <c r="I488" s="513">
        <v>-175625</v>
      </c>
      <c r="J488" s="513">
        <v>-125</v>
      </c>
      <c r="K488" s="513">
        <v>1405</v>
      </c>
      <c r="L488" s="518" t="s">
        <v>3493</v>
      </c>
      <c r="M488" s="152" t="s">
        <v>1566</v>
      </c>
      <c r="N488" s="152" t="s">
        <v>1407</v>
      </c>
      <c r="O488" s="152" t="s">
        <v>4444</v>
      </c>
      <c r="P488" s="152" t="s">
        <v>4279</v>
      </c>
      <c r="Q488" s="152" t="s">
        <v>4445</v>
      </c>
      <c r="R488" s="152" t="s">
        <v>4442</v>
      </c>
      <c r="S488" s="152" t="s">
        <v>4446</v>
      </c>
      <c r="T488" s="152" t="s">
        <v>786</v>
      </c>
    </row>
    <row r="489" spans="3:20">
      <c r="C489" s="152" t="s">
        <v>2821</v>
      </c>
      <c r="D489" s="474" t="s">
        <v>676</v>
      </c>
      <c r="E489" s="684" t="str">
        <f>+VLOOKUP(F489,Resumen_Base!$C$8:$G$156,5,0)</f>
        <v>Extras</v>
      </c>
      <c r="F489" s="152" t="s">
        <v>299</v>
      </c>
      <c r="G489" s="152" t="s">
        <v>300</v>
      </c>
      <c r="H489" s="152" t="str">
        <f t="shared" si="7"/>
        <v>CAR4112</v>
      </c>
      <c r="I489" s="513">
        <v>-175625</v>
      </c>
      <c r="J489" s="513">
        <v>-125</v>
      </c>
      <c r="K489" s="513">
        <v>1405</v>
      </c>
      <c r="L489" s="518" t="s">
        <v>3493</v>
      </c>
      <c r="M489" s="152" t="s">
        <v>1566</v>
      </c>
      <c r="N489" s="152" t="s">
        <v>1407</v>
      </c>
      <c r="O489" s="152" t="s">
        <v>4447</v>
      </c>
      <c r="P489" s="152" t="s">
        <v>4279</v>
      </c>
      <c r="Q489" s="152" t="s">
        <v>4448</v>
      </c>
      <c r="R489" s="152" t="s">
        <v>4442</v>
      </c>
      <c r="S489" s="152" t="s">
        <v>4449</v>
      </c>
      <c r="T489" s="152" t="s">
        <v>786</v>
      </c>
    </row>
    <row r="490" spans="3:20">
      <c r="C490" s="152" t="s">
        <v>2821</v>
      </c>
      <c r="D490" s="474" t="s">
        <v>676</v>
      </c>
      <c r="E490" s="684" t="str">
        <f>+VLOOKUP(F490,Resumen_Base!$C$8:$G$156,5,0)</f>
        <v>Extras</v>
      </c>
      <c r="F490" s="152" t="s">
        <v>299</v>
      </c>
      <c r="G490" s="152" t="s">
        <v>300</v>
      </c>
      <c r="H490" s="152" t="str">
        <f t="shared" si="7"/>
        <v>CAR4112</v>
      </c>
      <c r="I490" s="513">
        <v>-175625</v>
      </c>
      <c r="J490" s="513">
        <v>-125</v>
      </c>
      <c r="K490" s="513">
        <v>1405</v>
      </c>
      <c r="L490" s="518" t="s">
        <v>3493</v>
      </c>
      <c r="M490" s="152" t="s">
        <v>1566</v>
      </c>
      <c r="N490" s="152" t="s">
        <v>1407</v>
      </c>
      <c r="O490" s="152" t="s">
        <v>4447</v>
      </c>
      <c r="P490" s="152" t="s">
        <v>4279</v>
      </c>
      <c r="Q490" s="152" t="s">
        <v>4448</v>
      </c>
      <c r="R490" s="152" t="s">
        <v>4442</v>
      </c>
      <c r="S490" s="152" t="s">
        <v>4449</v>
      </c>
      <c r="T490" s="152" t="s">
        <v>786</v>
      </c>
    </row>
    <row r="491" spans="3:20">
      <c r="C491" s="152" t="s">
        <v>2821</v>
      </c>
      <c r="D491" s="474" t="s">
        <v>676</v>
      </c>
      <c r="E491" s="684" t="str">
        <f>+VLOOKUP(F491,Resumen_Base!$C$8:$G$156,5,0)</f>
        <v>Extras</v>
      </c>
      <c r="F491" s="152" t="s">
        <v>299</v>
      </c>
      <c r="G491" s="152" t="s">
        <v>300</v>
      </c>
      <c r="H491" s="152" t="str">
        <f t="shared" si="7"/>
        <v>CAR4112</v>
      </c>
      <c r="I491" s="513">
        <v>-178125</v>
      </c>
      <c r="J491" s="513">
        <v>-125</v>
      </c>
      <c r="K491" s="513">
        <v>1425</v>
      </c>
      <c r="L491" s="518" t="s">
        <v>3504</v>
      </c>
      <c r="M491" s="152" t="s">
        <v>1566</v>
      </c>
      <c r="N491" s="152" t="s">
        <v>1407</v>
      </c>
      <c r="O491" s="152" t="s">
        <v>4466</v>
      </c>
      <c r="P491" s="152" t="s">
        <v>4279</v>
      </c>
      <c r="Q491" s="152" t="s">
        <v>4467</v>
      </c>
      <c r="R491" s="152" t="s">
        <v>4468</v>
      </c>
      <c r="S491" s="152" t="s">
        <v>4469</v>
      </c>
      <c r="T491" s="152" t="s">
        <v>786</v>
      </c>
    </row>
    <row r="492" spans="3:20">
      <c r="C492" s="152" t="s">
        <v>2821</v>
      </c>
      <c r="D492" s="474" t="s">
        <v>676</v>
      </c>
      <c r="E492" s="684" t="str">
        <f>+VLOOKUP(F492,Resumen_Base!$C$8:$G$156,5,0)</f>
        <v>Extras</v>
      </c>
      <c r="F492" s="152" t="s">
        <v>299</v>
      </c>
      <c r="G492" s="152" t="s">
        <v>300</v>
      </c>
      <c r="H492" s="152" t="str">
        <f t="shared" si="7"/>
        <v>CAR4112</v>
      </c>
      <c r="I492" s="513">
        <v>-175000</v>
      </c>
      <c r="J492" s="513">
        <v>-125</v>
      </c>
      <c r="K492" s="513">
        <v>1400</v>
      </c>
      <c r="L492" s="518" t="s">
        <v>3659</v>
      </c>
      <c r="M492" s="152" t="s">
        <v>1566</v>
      </c>
      <c r="N492" s="152" t="s">
        <v>1407</v>
      </c>
      <c r="O492" s="152" t="s">
        <v>4509</v>
      </c>
      <c r="P492" s="152" t="s">
        <v>4279</v>
      </c>
      <c r="Q492" s="152" t="s">
        <v>4510</v>
      </c>
      <c r="R492" s="152" t="s">
        <v>4511</v>
      </c>
      <c r="S492" s="152" t="s">
        <v>4512</v>
      </c>
      <c r="T492" s="152" t="s">
        <v>786</v>
      </c>
    </row>
    <row r="493" spans="3:20">
      <c r="C493" s="152" t="s">
        <v>2821</v>
      </c>
      <c r="D493" s="474" t="s">
        <v>676</v>
      </c>
      <c r="E493" s="684" t="str">
        <f>+VLOOKUP(F493,Resumen_Base!$C$8:$G$156,5,0)</f>
        <v>Extras</v>
      </c>
      <c r="F493" s="152" t="s">
        <v>299</v>
      </c>
      <c r="G493" s="152" t="s">
        <v>300</v>
      </c>
      <c r="H493" s="152" t="str">
        <f t="shared" si="7"/>
        <v>CAR4112</v>
      </c>
      <c r="I493" s="513">
        <v>-175000</v>
      </c>
      <c r="J493" s="513">
        <v>-125</v>
      </c>
      <c r="K493" s="513">
        <v>1400</v>
      </c>
      <c r="L493" s="518" t="s">
        <v>3659</v>
      </c>
      <c r="M493" s="152" t="s">
        <v>1566</v>
      </c>
      <c r="N493" s="152" t="s">
        <v>1407</v>
      </c>
      <c r="O493" s="152" t="s">
        <v>4513</v>
      </c>
      <c r="P493" s="152" t="s">
        <v>4279</v>
      </c>
      <c r="Q493" s="152" t="s">
        <v>4514</v>
      </c>
      <c r="R493" s="152" t="s">
        <v>4511</v>
      </c>
      <c r="S493" s="152" t="s">
        <v>4515</v>
      </c>
      <c r="T493" s="152" t="s">
        <v>786</v>
      </c>
    </row>
    <row r="494" spans="3:20">
      <c r="C494" s="152" t="s">
        <v>2821</v>
      </c>
      <c r="D494" s="474" t="s">
        <v>676</v>
      </c>
      <c r="E494" s="684" t="str">
        <f>+VLOOKUP(F494,Resumen_Base!$C$8:$G$156,5,0)</f>
        <v>Extras</v>
      </c>
      <c r="F494" s="152" t="s">
        <v>299</v>
      </c>
      <c r="G494" s="152" t="s">
        <v>300</v>
      </c>
      <c r="H494" s="152" t="str">
        <f t="shared" si="7"/>
        <v>CAR4112</v>
      </c>
      <c r="I494" s="513">
        <v>-176875</v>
      </c>
      <c r="J494" s="513">
        <v>-125</v>
      </c>
      <c r="K494" s="513">
        <v>1415</v>
      </c>
      <c r="L494" s="518" t="s">
        <v>3632</v>
      </c>
      <c r="M494" s="152" t="s">
        <v>1566</v>
      </c>
      <c r="N494" s="152" t="s">
        <v>1407</v>
      </c>
      <c r="O494" s="152" t="s">
        <v>4523</v>
      </c>
      <c r="P494" s="152" t="s">
        <v>4279</v>
      </c>
      <c r="Q494" s="152" t="s">
        <v>4524</v>
      </c>
      <c r="R494" s="152" t="s">
        <v>4518</v>
      </c>
      <c r="S494" s="152" t="s">
        <v>4525</v>
      </c>
      <c r="T494" s="152" t="s">
        <v>786</v>
      </c>
    </row>
    <row r="495" spans="3:20">
      <c r="C495" s="152" t="s">
        <v>2821</v>
      </c>
      <c r="D495" s="474" t="s">
        <v>676</v>
      </c>
      <c r="E495" s="684" t="str">
        <f>+VLOOKUP(F495,Resumen_Base!$C$8:$G$156,5,0)</f>
        <v>Extras</v>
      </c>
      <c r="F495" s="152" t="s">
        <v>299</v>
      </c>
      <c r="G495" s="152" t="s">
        <v>300</v>
      </c>
      <c r="H495" s="152" t="str">
        <f t="shared" si="7"/>
        <v>CAR4112</v>
      </c>
      <c r="I495" s="513">
        <v>-176875</v>
      </c>
      <c r="J495" s="513">
        <v>-125</v>
      </c>
      <c r="K495" s="513">
        <v>1415</v>
      </c>
      <c r="L495" s="518" t="s">
        <v>3511</v>
      </c>
      <c r="M495" s="152" t="s">
        <v>1566</v>
      </c>
      <c r="N495" s="152" t="s">
        <v>1407</v>
      </c>
      <c r="O495" s="152" t="s">
        <v>4543</v>
      </c>
      <c r="P495" s="152" t="s">
        <v>4279</v>
      </c>
      <c r="Q495" s="152" t="s">
        <v>4544</v>
      </c>
      <c r="R495" s="152" t="s">
        <v>4541</v>
      </c>
      <c r="S495" s="152" t="s">
        <v>4545</v>
      </c>
      <c r="T495" s="152" t="s">
        <v>786</v>
      </c>
    </row>
    <row r="496" spans="3:20">
      <c r="C496" s="152" t="s">
        <v>2821</v>
      </c>
      <c r="D496" s="474" t="s">
        <v>676</v>
      </c>
      <c r="E496" s="684" t="str">
        <f>+VLOOKUP(F496,Resumen_Base!$C$8:$G$156,5,0)</f>
        <v>Extras</v>
      </c>
      <c r="F496" s="152" t="s">
        <v>299</v>
      </c>
      <c r="G496" s="152" t="s">
        <v>300</v>
      </c>
      <c r="H496" s="152" t="str">
        <f t="shared" si="7"/>
        <v>CAR4112</v>
      </c>
      <c r="I496" s="513">
        <v>-176250</v>
      </c>
      <c r="J496" s="513">
        <v>-125</v>
      </c>
      <c r="K496" s="513">
        <v>1410</v>
      </c>
      <c r="L496" s="518" t="s">
        <v>3498</v>
      </c>
      <c r="M496" s="152" t="s">
        <v>1566</v>
      </c>
      <c r="N496" s="152" t="s">
        <v>1407</v>
      </c>
      <c r="O496" s="152" t="s">
        <v>4546</v>
      </c>
      <c r="P496" s="152" t="s">
        <v>4279</v>
      </c>
      <c r="Q496" s="152" t="s">
        <v>4547</v>
      </c>
      <c r="R496" s="152" t="s">
        <v>4548</v>
      </c>
      <c r="S496" s="152" t="s">
        <v>4549</v>
      </c>
      <c r="T496" s="152" t="s">
        <v>786</v>
      </c>
    </row>
    <row r="497" spans="3:20">
      <c r="C497" s="152" t="s">
        <v>2821</v>
      </c>
      <c r="D497" s="474" t="s">
        <v>676</v>
      </c>
      <c r="E497" s="684" t="str">
        <f>+VLOOKUP(F497,Resumen_Base!$C$8:$G$156,5,0)</f>
        <v>Extras</v>
      </c>
      <c r="F497" s="152" t="s">
        <v>299</v>
      </c>
      <c r="G497" s="152" t="s">
        <v>300</v>
      </c>
      <c r="H497" s="152" t="str">
        <f t="shared" si="7"/>
        <v>CAR4112</v>
      </c>
      <c r="I497" s="513">
        <v>-176250</v>
      </c>
      <c r="J497" s="513">
        <v>-125</v>
      </c>
      <c r="K497" s="513">
        <v>1410</v>
      </c>
      <c r="L497" s="518" t="s">
        <v>3498</v>
      </c>
      <c r="M497" s="152" t="s">
        <v>1566</v>
      </c>
      <c r="N497" s="152" t="s">
        <v>1407</v>
      </c>
      <c r="O497" s="152" t="s">
        <v>4550</v>
      </c>
      <c r="P497" s="152" t="s">
        <v>4279</v>
      </c>
      <c r="Q497" s="152" t="s">
        <v>4551</v>
      </c>
      <c r="R497" s="152" t="s">
        <v>4548</v>
      </c>
      <c r="S497" s="152" t="s">
        <v>4552</v>
      </c>
      <c r="T497" s="152" t="s">
        <v>786</v>
      </c>
    </row>
    <row r="498" spans="3:20">
      <c r="C498" s="152" t="s">
        <v>2821</v>
      </c>
      <c r="D498" s="474" t="s">
        <v>676</v>
      </c>
      <c r="E498" s="684" t="str">
        <f>+VLOOKUP(F498,Resumen_Base!$C$8:$G$156,5,0)</f>
        <v>Extras</v>
      </c>
      <c r="F498" s="152" t="s">
        <v>299</v>
      </c>
      <c r="G498" s="152" t="s">
        <v>300</v>
      </c>
      <c r="H498" s="152" t="str">
        <f t="shared" si="7"/>
        <v>CAR4112</v>
      </c>
      <c r="I498" s="513">
        <v>-176250</v>
      </c>
      <c r="J498" s="513">
        <v>-125</v>
      </c>
      <c r="K498" s="513">
        <v>1410</v>
      </c>
      <c r="L498" s="518" t="s">
        <v>3498</v>
      </c>
      <c r="M498" s="152" t="s">
        <v>1566</v>
      </c>
      <c r="N498" s="152" t="s">
        <v>1407</v>
      </c>
      <c r="O498" s="152" t="s">
        <v>4556</v>
      </c>
      <c r="P498" s="152" t="s">
        <v>4279</v>
      </c>
      <c r="Q498" s="152" t="s">
        <v>4557</v>
      </c>
      <c r="R498" s="152" t="s">
        <v>4548</v>
      </c>
      <c r="S498" s="152" t="s">
        <v>4558</v>
      </c>
      <c r="T498" s="152" t="s">
        <v>786</v>
      </c>
    </row>
    <row r="499" spans="3:20">
      <c r="C499" s="152" t="s">
        <v>2821</v>
      </c>
      <c r="D499" s="474" t="s">
        <v>676</v>
      </c>
      <c r="E499" s="684" t="str">
        <f>+VLOOKUP(F499,Resumen_Base!$C$8:$G$156,5,0)</f>
        <v>Extras</v>
      </c>
      <c r="F499" s="152" t="s">
        <v>299</v>
      </c>
      <c r="G499" s="152" t="s">
        <v>300</v>
      </c>
      <c r="H499" s="152" t="str">
        <f t="shared" si="7"/>
        <v>CAR4112</v>
      </c>
      <c r="I499" s="513">
        <v>-175000</v>
      </c>
      <c r="J499" s="513">
        <v>-125</v>
      </c>
      <c r="K499" s="513">
        <v>1400</v>
      </c>
      <c r="L499" s="518" t="s">
        <v>3659</v>
      </c>
      <c r="M499" s="152" t="s">
        <v>1566</v>
      </c>
      <c r="N499" s="152" t="s">
        <v>1407</v>
      </c>
      <c r="O499" s="152" t="s">
        <v>4559</v>
      </c>
      <c r="P499" s="152" t="s">
        <v>4279</v>
      </c>
      <c r="Q499" s="152" t="s">
        <v>4560</v>
      </c>
      <c r="R499" s="152" t="s">
        <v>4561</v>
      </c>
      <c r="S499" s="152" t="s">
        <v>4562</v>
      </c>
      <c r="T499" s="152" t="s">
        <v>786</v>
      </c>
    </row>
    <row r="500" spans="3:20">
      <c r="C500" s="152" t="s">
        <v>2821</v>
      </c>
      <c r="D500" s="474" t="s">
        <v>676</v>
      </c>
      <c r="E500" s="684" t="str">
        <f>+VLOOKUP(F500,Resumen_Base!$C$8:$G$156,5,0)</f>
        <v>Extras</v>
      </c>
      <c r="F500" s="152" t="s">
        <v>299</v>
      </c>
      <c r="G500" s="152" t="s">
        <v>300</v>
      </c>
      <c r="H500" s="152" t="str">
        <f t="shared" si="7"/>
        <v>CAR4112</v>
      </c>
      <c r="I500" s="513">
        <v>-175000</v>
      </c>
      <c r="J500" s="513">
        <v>-125</v>
      </c>
      <c r="K500" s="513">
        <v>1400</v>
      </c>
      <c r="L500" s="518" t="s">
        <v>3659</v>
      </c>
      <c r="M500" s="152" t="s">
        <v>1566</v>
      </c>
      <c r="N500" s="152" t="s">
        <v>1407</v>
      </c>
      <c r="O500" s="152" t="s">
        <v>4563</v>
      </c>
      <c r="P500" s="152" t="s">
        <v>4279</v>
      </c>
      <c r="Q500" s="152" t="s">
        <v>4564</v>
      </c>
      <c r="R500" s="152" t="s">
        <v>4561</v>
      </c>
      <c r="S500" s="152" t="s">
        <v>4565</v>
      </c>
      <c r="T500" s="152" t="s">
        <v>786</v>
      </c>
    </row>
    <row r="501" spans="3:20">
      <c r="C501" s="152" t="s">
        <v>2821</v>
      </c>
      <c r="D501" s="474" t="s">
        <v>676</v>
      </c>
      <c r="E501" s="684" t="str">
        <f>+VLOOKUP(F501,Resumen_Base!$C$8:$G$156,5,0)</f>
        <v>Extras</v>
      </c>
      <c r="F501" s="152" t="s">
        <v>299</v>
      </c>
      <c r="G501" s="152" t="s">
        <v>300</v>
      </c>
      <c r="H501" s="152" t="str">
        <f t="shared" si="7"/>
        <v>CAR4112</v>
      </c>
      <c r="I501" s="513">
        <v>-350000</v>
      </c>
      <c r="J501" s="513">
        <v>-250</v>
      </c>
      <c r="K501" s="513">
        <v>1400</v>
      </c>
      <c r="L501" s="518" t="s">
        <v>3659</v>
      </c>
      <c r="M501" s="152" t="s">
        <v>1566</v>
      </c>
      <c r="N501" s="152" t="s">
        <v>1407</v>
      </c>
      <c r="O501" s="152" t="s">
        <v>4572</v>
      </c>
      <c r="P501" s="152" t="s">
        <v>4279</v>
      </c>
      <c r="Q501" s="152" t="s">
        <v>4573</v>
      </c>
      <c r="R501" s="152" t="s">
        <v>4561</v>
      </c>
      <c r="S501" s="152" t="s">
        <v>4574</v>
      </c>
      <c r="T501" s="152" t="s">
        <v>786</v>
      </c>
    </row>
    <row r="502" spans="3:20">
      <c r="C502" s="152" t="s">
        <v>2821</v>
      </c>
      <c r="D502" s="474" t="s">
        <v>676</v>
      </c>
      <c r="E502" s="684" t="str">
        <f>+VLOOKUP(F502,Resumen_Base!$C$8:$G$156,5,0)</f>
        <v>Extras</v>
      </c>
      <c r="F502" s="152" t="s">
        <v>299</v>
      </c>
      <c r="G502" s="152" t="s">
        <v>300</v>
      </c>
      <c r="H502" s="152" t="str">
        <f t="shared" si="7"/>
        <v>CAR4112</v>
      </c>
      <c r="I502" s="513">
        <v>-175000</v>
      </c>
      <c r="J502" s="513">
        <v>-125</v>
      </c>
      <c r="K502" s="513">
        <v>1400</v>
      </c>
      <c r="L502" s="518" t="s">
        <v>3659</v>
      </c>
      <c r="M502" s="152" t="s">
        <v>1566</v>
      </c>
      <c r="N502" s="152" t="s">
        <v>1407</v>
      </c>
      <c r="O502" s="152" t="s">
        <v>4572</v>
      </c>
      <c r="P502" s="152" t="s">
        <v>4279</v>
      </c>
      <c r="Q502" s="152" t="s">
        <v>4573</v>
      </c>
      <c r="R502" s="152" t="s">
        <v>4561</v>
      </c>
      <c r="S502" s="152" t="s">
        <v>4574</v>
      </c>
      <c r="T502" s="152" t="s">
        <v>786</v>
      </c>
    </row>
    <row r="503" spans="3:20">
      <c r="C503" s="152" t="s">
        <v>2821</v>
      </c>
      <c r="D503" s="474" t="s">
        <v>676</v>
      </c>
      <c r="E503" s="684" t="str">
        <f>+VLOOKUP(F503,Resumen_Base!$C$8:$G$156,5,0)</f>
        <v>Extras</v>
      </c>
      <c r="F503" s="152" t="s">
        <v>299</v>
      </c>
      <c r="G503" s="152" t="s">
        <v>300</v>
      </c>
      <c r="H503" s="152" t="str">
        <f t="shared" si="7"/>
        <v>CAR4112</v>
      </c>
      <c r="I503" s="513">
        <v>-175000</v>
      </c>
      <c r="J503" s="513">
        <v>-125</v>
      </c>
      <c r="K503" s="513">
        <v>1400</v>
      </c>
      <c r="L503" s="518" t="s">
        <v>3659</v>
      </c>
      <c r="M503" s="152" t="s">
        <v>1566</v>
      </c>
      <c r="N503" s="152" t="s">
        <v>1407</v>
      </c>
      <c r="O503" s="152" t="s">
        <v>4575</v>
      </c>
      <c r="P503" s="152" t="s">
        <v>4279</v>
      </c>
      <c r="Q503" s="152" t="s">
        <v>4576</v>
      </c>
      <c r="R503" s="152" t="s">
        <v>4561</v>
      </c>
      <c r="S503" s="152" t="s">
        <v>4577</v>
      </c>
      <c r="T503" s="152" t="s">
        <v>786</v>
      </c>
    </row>
    <row r="504" spans="3:20">
      <c r="C504" s="152" t="s">
        <v>2821</v>
      </c>
      <c r="D504" s="474" t="s">
        <v>676</v>
      </c>
      <c r="E504" s="684" t="str">
        <f>+VLOOKUP(F504,Resumen_Base!$C$8:$G$156,5,0)</f>
        <v>Extras</v>
      </c>
      <c r="F504" s="152" t="s">
        <v>299</v>
      </c>
      <c r="G504" s="152" t="s">
        <v>300</v>
      </c>
      <c r="H504" s="152" t="str">
        <f t="shared" si="7"/>
        <v>CAR4112</v>
      </c>
      <c r="I504" s="513">
        <v>-175000</v>
      </c>
      <c r="J504" s="513">
        <v>-125</v>
      </c>
      <c r="K504" s="513">
        <v>1400</v>
      </c>
      <c r="L504" s="518" t="s">
        <v>3659</v>
      </c>
      <c r="M504" s="152" t="s">
        <v>1566</v>
      </c>
      <c r="N504" s="152" t="s">
        <v>1407</v>
      </c>
      <c r="O504" s="152" t="s">
        <v>4578</v>
      </c>
      <c r="P504" s="152" t="s">
        <v>4279</v>
      </c>
      <c r="Q504" s="152" t="s">
        <v>4579</v>
      </c>
      <c r="R504" s="152" t="s">
        <v>4561</v>
      </c>
      <c r="S504" s="152" t="s">
        <v>4580</v>
      </c>
      <c r="T504" s="152" t="s">
        <v>786</v>
      </c>
    </row>
    <row r="505" spans="3:20">
      <c r="C505" s="152" t="s">
        <v>2821</v>
      </c>
      <c r="D505" s="474" t="s">
        <v>676</v>
      </c>
      <c r="E505" s="684" t="str">
        <f>+VLOOKUP(F505,Resumen_Base!$C$8:$G$156,5,0)</f>
        <v>Extras</v>
      </c>
      <c r="F505" s="152" t="s">
        <v>299</v>
      </c>
      <c r="G505" s="152" t="s">
        <v>300</v>
      </c>
      <c r="H505" s="152" t="str">
        <f t="shared" si="7"/>
        <v>CAR4112</v>
      </c>
      <c r="I505" s="513">
        <v>-350000</v>
      </c>
      <c r="J505" s="513">
        <v>-250</v>
      </c>
      <c r="K505" s="513">
        <v>1400</v>
      </c>
      <c r="L505" s="518" t="s">
        <v>3659</v>
      </c>
      <c r="M505" s="152" t="s">
        <v>1566</v>
      </c>
      <c r="N505" s="152" t="s">
        <v>1407</v>
      </c>
      <c r="O505" s="152" t="s">
        <v>4578</v>
      </c>
      <c r="P505" s="152" t="s">
        <v>4279</v>
      </c>
      <c r="Q505" s="152" t="s">
        <v>4579</v>
      </c>
      <c r="R505" s="152" t="s">
        <v>4561</v>
      </c>
      <c r="S505" s="152" t="s">
        <v>4580</v>
      </c>
      <c r="T505" s="152" t="s">
        <v>786</v>
      </c>
    </row>
    <row r="506" spans="3:20">
      <c r="C506" s="152" t="s">
        <v>2821</v>
      </c>
      <c r="D506" s="474" t="s">
        <v>676</v>
      </c>
      <c r="E506" s="684" t="str">
        <f>+VLOOKUP(F506,Resumen_Base!$C$8:$G$156,5,0)</f>
        <v>Extras</v>
      </c>
      <c r="F506" s="152" t="s">
        <v>299</v>
      </c>
      <c r="G506" s="152" t="s">
        <v>300</v>
      </c>
      <c r="H506" s="152" t="str">
        <f t="shared" si="7"/>
        <v>CAR4112</v>
      </c>
      <c r="I506" s="513">
        <v>-175000</v>
      </c>
      <c r="J506" s="513">
        <v>-125</v>
      </c>
      <c r="K506" s="513">
        <v>1400</v>
      </c>
      <c r="L506" s="518" t="s">
        <v>3659</v>
      </c>
      <c r="M506" s="152" t="s">
        <v>1566</v>
      </c>
      <c r="N506" s="152" t="s">
        <v>1407</v>
      </c>
      <c r="O506" s="152" t="s">
        <v>4584</v>
      </c>
      <c r="P506" s="152" t="s">
        <v>4279</v>
      </c>
      <c r="Q506" s="152" t="s">
        <v>4585</v>
      </c>
      <c r="R506" s="152" t="s">
        <v>4561</v>
      </c>
      <c r="S506" s="152" t="s">
        <v>4586</v>
      </c>
      <c r="T506" s="152" t="s">
        <v>786</v>
      </c>
    </row>
    <row r="507" spans="3:20">
      <c r="C507" s="152" t="s">
        <v>2821</v>
      </c>
      <c r="D507" s="474" t="s">
        <v>676</v>
      </c>
      <c r="E507" s="684" t="str">
        <f>+VLOOKUP(F507,Resumen_Base!$C$8:$G$156,5,0)</f>
        <v>Extras</v>
      </c>
      <c r="F507" s="152" t="s">
        <v>299</v>
      </c>
      <c r="G507" s="152" t="s">
        <v>300</v>
      </c>
      <c r="H507" s="152" t="str">
        <f t="shared" si="7"/>
        <v>CAR4112</v>
      </c>
      <c r="I507" s="513">
        <v>-175000</v>
      </c>
      <c r="J507" s="513">
        <v>-125</v>
      </c>
      <c r="K507" s="513">
        <v>1400</v>
      </c>
      <c r="L507" s="518" t="s">
        <v>3659</v>
      </c>
      <c r="M507" s="152" t="s">
        <v>1566</v>
      </c>
      <c r="N507" s="152" t="s">
        <v>1407</v>
      </c>
      <c r="O507" s="152" t="s">
        <v>4590</v>
      </c>
      <c r="P507" s="152" t="s">
        <v>4279</v>
      </c>
      <c r="Q507" s="152" t="s">
        <v>4591</v>
      </c>
      <c r="R507" s="152" t="s">
        <v>4561</v>
      </c>
      <c r="S507" s="152" t="s">
        <v>4592</v>
      </c>
      <c r="T507" s="152" t="s">
        <v>786</v>
      </c>
    </row>
    <row r="508" spans="3:20">
      <c r="C508" s="152" t="s">
        <v>2821</v>
      </c>
      <c r="D508" s="474" t="s">
        <v>676</v>
      </c>
      <c r="E508" s="684" t="str">
        <f>+VLOOKUP(F508,Resumen_Base!$C$8:$G$156,5,0)</f>
        <v>Extras</v>
      </c>
      <c r="F508" s="152" t="s">
        <v>299</v>
      </c>
      <c r="G508" s="152" t="s">
        <v>300</v>
      </c>
      <c r="H508" s="152" t="str">
        <f t="shared" si="7"/>
        <v>CAR4112</v>
      </c>
      <c r="I508" s="513">
        <v>-356250</v>
      </c>
      <c r="J508" s="513">
        <v>-250</v>
      </c>
      <c r="K508" s="513">
        <v>1425</v>
      </c>
      <c r="L508" s="518" t="s">
        <v>3637</v>
      </c>
      <c r="M508" s="152" t="s">
        <v>1566</v>
      </c>
      <c r="N508" s="152" t="s">
        <v>1407</v>
      </c>
      <c r="O508" s="152" t="s">
        <v>4600</v>
      </c>
      <c r="P508" s="152" t="s">
        <v>1881</v>
      </c>
      <c r="Q508" s="152" t="s">
        <v>4601</v>
      </c>
      <c r="R508" s="152" t="s">
        <v>4598</v>
      </c>
      <c r="S508" s="152" t="s">
        <v>4602</v>
      </c>
      <c r="T508" s="152" t="s">
        <v>786</v>
      </c>
    </row>
    <row r="509" spans="3:20">
      <c r="C509" s="152" t="s">
        <v>2821</v>
      </c>
      <c r="D509" s="474" t="s">
        <v>676</v>
      </c>
      <c r="E509" s="684" t="str">
        <f>+VLOOKUP(F509,Resumen_Base!$C$8:$G$156,5,0)</f>
        <v>Extras</v>
      </c>
      <c r="F509" s="152" t="s">
        <v>299</v>
      </c>
      <c r="G509" s="152" t="s">
        <v>300</v>
      </c>
      <c r="H509" s="152" t="str">
        <f t="shared" si="7"/>
        <v>CAR4112</v>
      </c>
      <c r="I509" s="513">
        <v>-176250</v>
      </c>
      <c r="J509" s="513">
        <v>-125</v>
      </c>
      <c r="K509" s="513">
        <v>1410</v>
      </c>
      <c r="L509" s="518" t="s">
        <v>3498</v>
      </c>
      <c r="M509" s="152" t="s">
        <v>1566</v>
      </c>
      <c r="N509" s="152" t="s">
        <v>1407</v>
      </c>
      <c r="O509" s="152" t="s">
        <v>4626</v>
      </c>
      <c r="P509" s="152" t="s">
        <v>4279</v>
      </c>
      <c r="Q509" s="152" t="s">
        <v>4627</v>
      </c>
      <c r="R509" s="152" t="s">
        <v>4621</v>
      </c>
      <c r="S509" s="152" t="s">
        <v>4628</v>
      </c>
      <c r="T509" s="152" t="s">
        <v>786</v>
      </c>
    </row>
    <row r="510" spans="3:20">
      <c r="C510" s="152" t="s">
        <v>2821</v>
      </c>
      <c r="D510" s="474" t="s">
        <v>676</v>
      </c>
      <c r="E510" s="684" t="str">
        <f>+VLOOKUP(F510,Resumen_Base!$C$8:$G$156,5,0)</f>
        <v>Extras</v>
      </c>
      <c r="F510" s="152" t="s">
        <v>299</v>
      </c>
      <c r="G510" s="152" t="s">
        <v>300</v>
      </c>
      <c r="H510" s="152" t="str">
        <f t="shared" si="7"/>
        <v>CAR4112</v>
      </c>
      <c r="I510" s="513">
        <v>-176875</v>
      </c>
      <c r="J510" s="513">
        <v>-125</v>
      </c>
      <c r="K510" s="513">
        <v>1415</v>
      </c>
      <c r="L510" s="518" t="s">
        <v>3632</v>
      </c>
      <c r="M510" s="152" t="s">
        <v>1566</v>
      </c>
      <c r="N510" s="152" t="s">
        <v>1407</v>
      </c>
      <c r="O510" s="152" t="s">
        <v>4639</v>
      </c>
      <c r="P510" s="152" t="s">
        <v>4279</v>
      </c>
      <c r="Q510" s="152" t="s">
        <v>4640</v>
      </c>
      <c r="R510" s="152" t="s">
        <v>4641</v>
      </c>
      <c r="S510" s="152" t="s">
        <v>4642</v>
      </c>
      <c r="T510" s="152" t="s">
        <v>786</v>
      </c>
    </row>
    <row r="511" spans="3:20">
      <c r="C511" s="152" t="s">
        <v>2821</v>
      </c>
      <c r="D511" s="474" t="s">
        <v>676</v>
      </c>
      <c r="E511" s="684" t="str">
        <f>+VLOOKUP(F511,Resumen_Base!$C$8:$G$156,5,0)</f>
        <v>Extras</v>
      </c>
      <c r="F511" s="152" t="s">
        <v>299</v>
      </c>
      <c r="G511" s="152" t="s">
        <v>300</v>
      </c>
      <c r="H511" s="152" t="str">
        <f t="shared" si="7"/>
        <v>CAR4112</v>
      </c>
      <c r="I511" s="513">
        <v>-176875</v>
      </c>
      <c r="J511" s="513">
        <v>-125</v>
      </c>
      <c r="K511" s="513">
        <v>1415</v>
      </c>
      <c r="L511" s="518" t="s">
        <v>3632</v>
      </c>
      <c r="M511" s="152" t="s">
        <v>1566</v>
      </c>
      <c r="N511" s="152" t="s">
        <v>1407</v>
      </c>
      <c r="O511" s="152" t="s">
        <v>4643</v>
      </c>
      <c r="P511" s="152" t="s">
        <v>4279</v>
      </c>
      <c r="Q511" s="152" t="s">
        <v>4644</v>
      </c>
      <c r="R511" s="152" t="s">
        <v>4641</v>
      </c>
      <c r="S511" s="152" t="s">
        <v>4645</v>
      </c>
      <c r="T511" s="152" t="s">
        <v>786</v>
      </c>
    </row>
    <row r="512" spans="3:20">
      <c r="C512" s="152" t="s">
        <v>2821</v>
      </c>
      <c r="D512" s="474" t="s">
        <v>676</v>
      </c>
      <c r="E512" s="684" t="str">
        <f>+VLOOKUP(F512,Resumen_Base!$C$8:$G$156,5,0)</f>
        <v>Extras</v>
      </c>
      <c r="F512" s="152" t="s">
        <v>299</v>
      </c>
      <c r="G512" s="152" t="s">
        <v>300</v>
      </c>
      <c r="H512" s="152" t="str">
        <f t="shared" si="7"/>
        <v>CAR4112</v>
      </c>
      <c r="I512" s="513">
        <v>-175625</v>
      </c>
      <c r="J512" s="513">
        <v>-125</v>
      </c>
      <c r="K512" s="513">
        <v>1405</v>
      </c>
      <c r="L512" s="518" t="s">
        <v>3493</v>
      </c>
      <c r="M512" s="152" t="s">
        <v>1566</v>
      </c>
      <c r="N512" s="152" t="s">
        <v>1407</v>
      </c>
      <c r="O512" s="152" t="s">
        <v>4672</v>
      </c>
      <c r="P512" s="152" t="s">
        <v>4279</v>
      </c>
      <c r="Q512" s="152" t="s">
        <v>4673</v>
      </c>
      <c r="R512" s="152" t="s">
        <v>4674</v>
      </c>
      <c r="S512" s="152" t="s">
        <v>4675</v>
      </c>
      <c r="T512" s="152" t="s">
        <v>786</v>
      </c>
    </row>
    <row r="513" spans="3:20">
      <c r="C513" s="152" t="s">
        <v>2821</v>
      </c>
      <c r="D513" s="474" t="s">
        <v>676</v>
      </c>
      <c r="E513" s="684" t="str">
        <f>+VLOOKUP(F513,Resumen_Base!$C$8:$G$156,5,0)</f>
        <v>Extras</v>
      </c>
      <c r="F513" s="152" t="s">
        <v>299</v>
      </c>
      <c r="G513" s="152" t="s">
        <v>300</v>
      </c>
      <c r="H513" s="152" t="str">
        <f t="shared" si="7"/>
        <v>CAR4112</v>
      </c>
      <c r="I513" s="513">
        <v>-604150</v>
      </c>
      <c r="J513" s="513">
        <v>-430</v>
      </c>
      <c r="K513" s="513">
        <v>1405</v>
      </c>
      <c r="L513" s="518" t="s">
        <v>3493</v>
      </c>
      <c r="M513" s="152" t="s">
        <v>1566</v>
      </c>
      <c r="N513" s="152" t="s">
        <v>1407</v>
      </c>
      <c r="O513" s="152" t="s">
        <v>4672</v>
      </c>
      <c r="P513" s="152" t="s">
        <v>4279</v>
      </c>
      <c r="Q513" s="152" t="s">
        <v>4673</v>
      </c>
      <c r="R513" s="152" t="s">
        <v>4674</v>
      </c>
      <c r="S513" s="152" t="s">
        <v>4675</v>
      </c>
      <c r="T513" s="152" t="s">
        <v>786</v>
      </c>
    </row>
    <row r="514" spans="3:20">
      <c r="C514" s="152" t="s">
        <v>2821</v>
      </c>
      <c r="D514" s="474" t="s">
        <v>676</v>
      </c>
      <c r="E514" s="684" t="str">
        <f>+VLOOKUP(F514,Resumen_Base!$C$8:$G$156,5,0)</f>
        <v>Extras</v>
      </c>
      <c r="F514" s="152" t="s">
        <v>299</v>
      </c>
      <c r="G514" s="152" t="s">
        <v>300</v>
      </c>
      <c r="H514" s="152" t="str">
        <f t="shared" si="7"/>
        <v>CAR4112</v>
      </c>
      <c r="I514" s="513">
        <v>-175625</v>
      </c>
      <c r="J514" s="513">
        <v>-125</v>
      </c>
      <c r="K514" s="513">
        <v>1405</v>
      </c>
      <c r="L514" s="518" t="s">
        <v>3493</v>
      </c>
      <c r="M514" s="152" t="s">
        <v>1566</v>
      </c>
      <c r="N514" s="152" t="s">
        <v>1407</v>
      </c>
      <c r="O514" s="152" t="s">
        <v>4676</v>
      </c>
      <c r="P514" s="152" t="s">
        <v>4279</v>
      </c>
      <c r="Q514" s="152" t="s">
        <v>4677</v>
      </c>
      <c r="R514" s="152" t="s">
        <v>4674</v>
      </c>
      <c r="S514" s="152" t="s">
        <v>4678</v>
      </c>
      <c r="T514" s="152" t="s">
        <v>786</v>
      </c>
    </row>
    <row r="515" spans="3:20">
      <c r="C515" s="152" t="s">
        <v>2821</v>
      </c>
      <c r="D515" s="474" t="s">
        <v>676</v>
      </c>
      <c r="E515" s="684" t="str">
        <f>+VLOOKUP(F515,Resumen_Base!$C$8:$G$156,5,0)</f>
        <v>Extras</v>
      </c>
      <c r="F515" s="152" t="s">
        <v>299</v>
      </c>
      <c r="G515" s="152" t="s">
        <v>300</v>
      </c>
      <c r="H515" s="152" t="str">
        <f t="shared" si="7"/>
        <v>CAR4112</v>
      </c>
      <c r="I515" s="513">
        <v>-178125</v>
      </c>
      <c r="J515" s="513">
        <v>-125</v>
      </c>
      <c r="K515" s="513">
        <v>1425</v>
      </c>
      <c r="L515" s="518" t="s">
        <v>3504</v>
      </c>
      <c r="M515" s="152" t="s">
        <v>1566</v>
      </c>
      <c r="N515" s="152" t="s">
        <v>1407</v>
      </c>
      <c r="O515" s="152" t="s">
        <v>4683</v>
      </c>
      <c r="P515" s="152" t="s">
        <v>4279</v>
      </c>
      <c r="Q515" s="152" t="s">
        <v>4684</v>
      </c>
      <c r="R515" s="152" t="s">
        <v>4685</v>
      </c>
      <c r="S515" s="152" t="s">
        <v>4686</v>
      </c>
      <c r="T515" s="152" t="s">
        <v>786</v>
      </c>
    </row>
    <row r="516" spans="3:20">
      <c r="C516" s="152" t="s">
        <v>2821</v>
      </c>
      <c r="D516" s="474" t="s">
        <v>676</v>
      </c>
      <c r="E516" s="684" t="str">
        <f>+VLOOKUP(F516,Resumen_Base!$C$8:$G$156,5,0)</f>
        <v>Extras</v>
      </c>
      <c r="F516" s="152" t="s">
        <v>299</v>
      </c>
      <c r="G516" s="152" t="s">
        <v>300</v>
      </c>
      <c r="H516" s="152" t="str">
        <f t="shared" si="7"/>
        <v>CAR4112</v>
      </c>
      <c r="I516" s="513">
        <v>-178125</v>
      </c>
      <c r="J516" s="513">
        <v>-125</v>
      </c>
      <c r="K516" s="513">
        <v>1425</v>
      </c>
      <c r="L516" s="518" t="s">
        <v>3504</v>
      </c>
      <c r="M516" s="152" t="s">
        <v>1566</v>
      </c>
      <c r="N516" s="152" t="s">
        <v>1407</v>
      </c>
      <c r="O516" s="152" t="s">
        <v>4693</v>
      </c>
      <c r="P516" s="152" t="s">
        <v>4279</v>
      </c>
      <c r="Q516" s="152" t="s">
        <v>4694</v>
      </c>
      <c r="R516" s="152" t="s">
        <v>4685</v>
      </c>
      <c r="S516" s="152" t="s">
        <v>4695</v>
      </c>
      <c r="T516" s="152" t="s">
        <v>786</v>
      </c>
    </row>
    <row r="517" spans="3:20">
      <c r="C517" s="152" t="s">
        <v>2821</v>
      </c>
      <c r="D517" s="474" t="s">
        <v>676</v>
      </c>
      <c r="E517" s="684" t="str">
        <f>+VLOOKUP(F517,Resumen_Base!$C$8:$G$156,5,0)</f>
        <v>Extras</v>
      </c>
      <c r="F517" s="152" t="s">
        <v>299</v>
      </c>
      <c r="G517" s="152" t="s">
        <v>300</v>
      </c>
      <c r="H517" s="152" t="str">
        <f t="shared" si="7"/>
        <v>CAR4112</v>
      </c>
      <c r="I517" s="513">
        <v>-178125</v>
      </c>
      <c r="J517" s="513">
        <v>-125</v>
      </c>
      <c r="K517" s="513">
        <v>1425</v>
      </c>
      <c r="L517" s="518" t="s">
        <v>3504</v>
      </c>
      <c r="M517" s="152" t="s">
        <v>1566</v>
      </c>
      <c r="N517" s="152" t="s">
        <v>1407</v>
      </c>
      <c r="O517" s="152" t="s">
        <v>4696</v>
      </c>
      <c r="P517" s="152" t="s">
        <v>4279</v>
      </c>
      <c r="Q517" s="152" t="s">
        <v>4697</v>
      </c>
      <c r="R517" s="152" t="s">
        <v>4685</v>
      </c>
      <c r="S517" s="152" t="s">
        <v>4698</v>
      </c>
      <c r="T517" s="152" t="s">
        <v>786</v>
      </c>
    </row>
    <row r="518" spans="3:20">
      <c r="C518" s="152" t="s">
        <v>2821</v>
      </c>
      <c r="D518" s="474" t="s">
        <v>676</v>
      </c>
      <c r="E518" s="684" t="str">
        <f>+VLOOKUP(F518,Resumen_Base!$C$8:$G$156,5,0)</f>
        <v>Extras</v>
      </c>
      <c r="F518" s="152" t="s">
        <v>299</v>
      </c>
      <c r="G518" s="152" t="s">
        <v>300</v>
      </c>
      <c r="H518" s="152" t="str">
        <f t="shared" si="7"/>
        <v>CAR4112</v>
      </c>
      <c r="I518" s="513">
        <v>356250</v>
      </c>
      <c r="J518" s="513">
        <v>250</v>
      </c>
      <c r="K518" s="513">
        <v>1425</v>
      </c>
      <c r="L518" s="518" t="s">
        <v>3637</v>
      </c>
      <c r="M518" s="152" t="s">
        <v>1566</v>
      </c>
      <c r="N518" s="152" t="s">
        <v>1407</v>
      </c>
      <c r="O518" s="152" t="s">
        <v>5027</v>
      </c>
      <c r="P518" s="152" t="s">
        <v>1881</v>
      </c>
      <c r="Q518" s="152" t="s">
        <v>5028</v>
      </c>
      <c r="R518" s="152" t="s">
        <v>5028</v>
      </c>
      <c r="S518" s="152" t="s">
        <v>5029</v>
      </c>
      <c r="T518" s="152" t="s">
        <v>786</v>
      </c>
    </row>
    <row r="519" spans="3:20">
      <c r="C519" s="152" t="s">
        <v>2821</v>
      </c>
      <c r="D519" s="474" t="s">
        <v>676</v>
      </c>
      <c r="E519" s="684" t="str">
        <f>+VLOOKUP(F519,Resumen_Base!$C$8:$G$156,5,0)</f>
        <v>Extras</v>
      </c>
      <c r="F519" s="152" t="s">
        <v>301</v>
      </c>
      <c r="G519" s="152" t="s">
        <v>302</v>
      </c>
      <c r="H519" s="152" t="str">
        <f t="shared" si="7"/>
        <v>CAR4118</v>
      </c>
      <c r="I519" s="513">
        <v>-21075</v>
      </c>
      <c r="J519" s="513">
        <v>-15</v>
      </c>
      <c r="K519" s="513">
        <v>1405</v>
      </c>
      <c r="L519" s="518" t="s">
        <v>3493</v>
      </c>
      <c r="M519" s="152" t="s">
        <v>1566</v>
      </c>
      <c r="N519" s="152" t="s">
        <v>1407</v>
      </c>
      <c r="O519" s="152" t="s">
        <v>4496</v>
      </c>
      <c r="P519" s="152" t="s">
        <v>4279</v>
      </c>
      <c r="Q519" s="152" t="s">
        <v>4497</v>
      </c>
      <c r="R519" s="152" t="s">
        <v>4498</v>
      </c>
      <c r="S519" s="152" t="s">
        <v>4499</v>
      </c>
      <c r="T519" s="152" t="s">
        <v>786</v>
      </c>
    </row>
    <row r="520" spans="3:20">
      <c r="C520" s="152" t="s">
        <v>2821</v>
      </c>
      <c r="D520" s="474" t="s">
        <v>676</v>
      </c>
      <c r="E520" s="684" t="str">
        <f>+VLOOKUP(F520,Resumen_Base!$C$8:$G$156,5,0)</f>
        <v>Gun Rental</v>
      </c>
      <c r="F520" s="152" t="s">
        <v>303</v>
      </c>
      <c r="G520" s="152" t="s">
        <v>304</v>
      </c>
      <c r="H520" s="152" t="str">
        <f t="shared" si="7"/>
        <v>CAR4120</v>
      </c>
      <c r="I520" s="513">
        <v>-555750</v>
      </c>
      <c r="J520" s="513">
        <v>-390</v>
      </c>
      <c r="K520" s="513">
        <v>1425</v>
      </c>
      <c r="L520" s="518" t="s">
        <v>3637</v>
      </c>
      <c r="M520" s="152" t="s">
        <v>1566</v>
      </c>
      <c r="N520" s="152" t="s">
        <v>1407</v>
      </c>
      <c r="O520" s="152" t="s">
        <v>4256</v>
      </c>
      <c r="P520" s="152" t="s">
        <v>1881</v>
      </c>
      <c r="Q520" s="152" t="s">
        <v>4257</v>
      </c>
      <c r="R520" s="152" t="s">
        <v>4258</v>
      </c>
      <c r="S520" s="152" t="s">
        <v>4259</v>
      </c>
      <c r="T520" s="152" t="s">
        <v>786</v>
      </c>
    </row>
    <row r="521" spans="3:20">
      <c r="C521" s="152" t="s">
        <v>2821</v>
      </c>
      <c r="D521" s="474" t="s">
        <v>676</v>
      </c>
      <c r="E521" s="684" t="str">
        <f>+VLOOKUP(F521,Resumen_Base!$C$8:$G$156,5,0)</f>
        <v>Gun Rental</v>
      </c>
      <c r="F521" s="152" t="s">
        <v>303</v>
      </c>
      <c r="G521" s="152" t="s">
        <v>304</v>
      </c>
      <c r="H521" s="152" t="str">
        <f t="shared" si="7"/>
        <v>CAR4120</v>
      </c>
      <c r="I521" s="513">
        <v>-555750</v>
      </c>
      <c r="J521" s="513">
        <v>-390</v>
      </c>
      <c r="K521" s="513">
        <v>1425</v>
      </c>
      <c r="L521" s="518" t="s">
        <v>3637</v>
      </c>
      <c r="M521" s="152" t="s">
        <v>1566</v>
      </c>
      <c r="N521" s="152" t="s">
        <v>1407</v>
      </c>
      <c r="O521" s="152" t="s">
        <v>4260</v>
      </c>
      <c r="P521" s="152" t="s">
        <v>1881</v>
      </c>
      <c r="Q521" s="152" t="s">
        <v>4261</v>
      </c>
      <c r="R521" s="152" t="s">
        <v>4258</v>
      </c>
      <c r="S521" s="152" t="s">
        <v>4262</v>
      </c>
      <c r="T521" s="152" t="s">
        <v>786</v>
      </c>
    </row>
    <row r="522" spans="3:20">
      <c r="C522" s="152" t="s">
        <v>2821</v>
      </c>
      <c r="D522" s="474" t="s">
        <v>676</v>
      </c>
      <c r="E522" s="684" t="str">
        <f>+VLOOKUP(F522,Resumen_Base!$C$8:$G$156,5,0)</f>
        <v>Gun Rental</v>
      </c>
      <c r="F522" s="152" t="s">
        <v>303</v>
      </c>
      <c r="G522" s="152" t="s">
        <v>304</v>
      </c>
      <c r="H522" s="152" t="str">
        <f t="shared" si="7"/>
        <v>CAR4120</v>
      </c>
      <c r="I522" s="513">
        <v>-555750</v>
      </c>
      <c r="J522" s="513">
        <v>-390</v>
      </c>
      <c r="K522" s="513">
        <v>1425</v>
      </c>
      <c r="L522" s="518" t="s">
        <v>3637</v>
      </c>
      <c r="M522" s="152" t="s">
        <v>1566</v>
      </c>
      <c r="N522" s="152" t="s">
        <v>1407</v>
      </c>
      <c r="O522" s="152" t="s">
        <v>4263</v>
      </c>
      <c r="P522" s="152" t="s">
        <v>1881</v>
      </c>
      <c r="Q522" s="152" t="s">
        <v>4264</v>
      </c>
      <c r="R522" s="152" t="s">
        <v>4258</v>
      </c>
      <c r="S522" s="152" t="s">
        <v>4265</v>
      </c>
      <c r="T522" s="152" t="s">
        <v>786</v>
      </c>
    </row>
    <row r="523" spans="3:20">
      <c r="C523" s="152" t="s">
        <v>2821</v>
      </c>
      <c r="D523" s="474" t="s">
        <v>676</v>
      </c>
      <c r="E523" s="684" t="str">
        <f>+VLOOKUP(F523,Resumen_Base!$C$8:$G$156,5,0)</f>
        <v>Gun Rental</v>
      </c>
      <c r="F523" s="152" t="s">
        <v>303</v>
      </c>
      <c r="G523" s="152" t="s">
        <v>304</v>
      </c>
      <c r="H523" s="152" t="str">
        <f t="shared" si="7"/>
        <v>CAR4120</v>
      </c>
      <c r="I523" s="513">
        <v>-555750</v>
      </c>
      <c r="J523" s="513">
        <v>-390</v>
      </c>
      <c r="K523" s="513">
        <v>1425</v>
      </c>
      <c r="L523" s="518" t="s">
        <v>3637</v>
      </c>
      <c r="M523" s="152" t="s">
        <v>1566</v>
      </c>
      <c r="N523" s="152" t="s">
        <v>1407</v>
      </c>
      <c r="O523" s="152" t="s">
        <v>4266</v>
      </c>
      <c r="P523" s="152" t="s">
        <v>1881</v>
      </c>
      <c r="Q523" s="152" t="s">
        <v>4267</v>
      </c>
      <c r="R523" s="152" t="s">
        <v>4258</v>
      </c>
      <c r="S523" s="152" t="s">
        <v>4268</v>
      </c>
      <c r="T523" s="152" t="s">
        <v>786</v>
      </c>
    </row>
    <row r="524" spans="3:20">
      <c r="C524" s="152" t="s">
        <v>2821</v>
      </c>
      <c r="D524" s="474" t="s">
        <v>676</v>
      </c>
      <c r="E524" s="684" t="str">
        <f>+VLOOKUP(F524,Resumen_Base!$C$8:$G$156,5,0)</f>
        <v>Gun Rental</v>
      </c>
      <c r="F524" s="152" t="s">
        <v>303</v>
      </c>
      <c r="G524" s="152" t="s">
        <v>304</v>
      </c>
      <c r="H524" s="152" t="str">
        <f t="shared" si="7"/>
        <v>CAR4120</v>
      </c>
      <c r="I524" s="513">
        <v>-463125</v>
      </c>
      <c r="J524" s="513">
        <v>-325</v>
      </c>
      <c r="K524" s="513">
        <v>1425</v>
      </c>
      <c r="L524" s="518" t="s">
        <v>3637</v>
      </c>
      <c r="M524" s="152" t="s">
        <v>1566</v>
      </c>
      <c r="N524" s="152" t="s">
        <v>1407</v>
      </c>
      <c r="O524" s="152" t="s">
        <v>4269</v>
      </c>
      <c r="P524" s="152" t="s">
        <v>1881</v>
      </c>
      <c r="Q524" s="152" t="s">
        <v>4270</v>
      </c>
      <c r="R524" s="152" t="s">
        <v>4258</v>
      </c>
      <c r="S524" s="152" t="s">
        <v>4271</v>
      </c>
      <c r="T524" s="152" t="s">
        <v>786</v>
      </c>
    </row>
    <row r="525" spans="3:20">
      <c r="C525" s="152" t="s">
        <v>2821</v>
      </c>
      <c r="D525" s="474" t="s">
        <v>676</v>
      </c>
      <c r="E525" s="684" t="str">
        <f>+VLOOKUP(F525,Resumen_Base!$C$8:$G$156,5,0)</f>
        <v>Gun Rental</v>
      </c>
      <c r="F525" s="152" t="s">
        <v>303</v>
      </c>
      <c r="G525" s="152" t="s">
        <v>304</v>
      </c>
      <c r="H525" s="152" t="str">
        <f t="shared" ref="H525:H588" si="8">+D525&amp;F525</f>
        <v>CAR4120</v>
      </c>
      <c r="I525" s="513">
        <v>-1111500</v>
      </c>
      <c r="J525" s="513">
        <v>-780</v>
      </c>
      <c r="K525" s="513">
        <v>1425</v>
      </c>
      <c r="L525" s="518" t="s">
        <v>3637</v>
      </c>
      <c r="M525" s="152" t="s">
        <v>1566</v>
      </c>
      <c r="N525" s="152" t="s">
        <v>1407</v>
      </c>
      <c r="O525" s="152" t="s">
        <v>4272</v>
      </c>
      <c r="P525" s="152" t="s">
        <v>1881</v>
      </c>
      <c r="Q525" s="152" t="s">
        <v>4273</v>
      </c>
      <c r="R525" s="152" t="s">
        <v>4258</v>
      </c>
      <c r="S525" s="152" t="s">
        <v>4274</v>
      </c>
      <c r="T525" s="152" t="s">
        <v>786</v>
      </c>
    </row>
    <row r="526" spans="3:20">
      <c r="C526" s="152" t="s">
        <v>2821</v>
      </c>
      <c r="D526" s="474" t="s">
        <v>676</v>
      </c>
      <c r="E526" s="684" t="str">
        <f>+VLOOKUP(F526,Resumen_Base!$C$8:$G$156,5,0)</f>
        <v>Gun Rental</v>
      </c>
      <c r="F526" s="152" t="s">
        <v>303</v>
      </c>
      <c r="G526" s="152" t="s">
        <v>304</v>
      </c>
      <c r="H526" s="152" t="str">
        <f t="shared" si="8"/>
        <v>CAR4120</v>
      </c>
      <c r="I526" s="513">
        <v>-555750</v>
      </c>
      <c r="J526" s="513">
        <v>-390</v>
      </c>
      <c r="K526" s="513">
        <v>1425</v>
      </c>
      <c r="L526" s="518" t="s">
        <v>3637</v>
      </c>
      <c r="M526" s="152" t="s">
        <v>1566</v>
      </c>
      <c r="N526" s="152" t="s">
        <v>1407</v>
      </c>
      <c r="O526" s="152" t="s">
        <v>4275</v>
      </c>
      <c r="P526" s="152" t="s">
        <v>1881</v>
      </c>
      <c r="Q526" s="152" t="s">
        <v>4276</v>
      </c>
      <c r="R526" s="152" t="s">
        <v>4258</v>
      </c>
      <c r="S526" s="152" t="s">
        <v>4277</v>
      </c>
      <c r="T526" s="152" t="s">
        <v>786</v>
      </c>
    </row>
    <row r="527" spans="3:20">
      <c r="C527" s="152" t="s">
        <v>2821</v>
      </c>
      <c r="D527" s="474" t="s">
        <v>676</v>
      </c>
      <c r="E527" s="684" t="str">
        <f>+VLOOKUP(F527,Resumen_Base!$C$8:$G$156,5,0)</f>
        <v>Gun Rental</v>
      </c>
      <c r="F527" s="152" t="s">
        <v>303</v>
      </c>
      <c r="G527" s="152" t="s">
        <v>304</v>
      </c>
      <c r="H527" s="152" t="str">
        <f t="shared" si="8"/>
        <v>CAR4120</v>
      </c>
      <c r="I527" s="513">
        <v>-637000</v>
      </c>
      <c r="J527" s="513">
        <v>-455</v>
      </c>
      <c r="K527" s="513">
        <v>1400</v>
      </c>
      <c r="L527" s="518" t="s">
        <v>3659</v>
      </c>
      <c r="M527" s="152" t="s">
        <v>1566</v>
      </c>
      <c r="N527" s="152" t="s">
        <v>1407</v>
      </c>
      <c r="O527" s="152" t="s">
        <v>4278</v>
      </c>
      <c r="P527" s="152" t="s">
        <v>4279</v>
      </c>
      <c r="Q527" s="152" t="s">
        <v>4280</v>
      </c>
      <c r="R527" s="152" t="s">
        <v>4281</v>
      </c>
      <c r="S527" s="152" t="s">
        <v>4282</v>
      </c>
      <c r="T527" s="152" t="s">
        <v>786</v>
      </c>
    </row>
    <row r="528" spans="3:20">
      <c r="C528" s="152" t="s">
        <v>2821</v>
      </c>
      <c r="D528" s="474" t="s">
        <v>676</v>
      </c>
      <c r="E528" s="684" t="str">
        <f>+VLOOKUP(F528,Resumen_Base!$C$8:$G$156,5,0)</f>
        <v>Gun Rental</v>
      </c>
      <c r="F528" s="152" t="s">
        <v>303</v>
      </c>
      <c r="G528" s="152" t="s">
        <v>304</v>
      </c>
      <c r="H528" s="152" t="str">
        <f t="shared" si="8"/>
        <v>CAR4120</v>
      </c>
      <c r="I528" s="513">
        <v>-637000</v>
      </c>
      <c r="J528" s="513">
        <v>-455</v>
      </c>
      <c r="K528" s="513">
        <v>1400</v>
      </c>
      <c r="L528" s="518" t="s">
        <v>3659</v>
      </c>
      <c r="M528" s="152" t="s">
        <v>1566</v>
      </c>
      <c r="N528" s="152" t="s">
        <v>1407</v>
      </c>
      <c r="O528" s="152" t="s">
        <v>4283</v>
      </c>
      <c r="P528" s="152" t="s">
        <v>4279</v>
      </c>
      <c r="Q528" s="152" t="s">
        <v>4284</v>
      </c>
      <c r="R528" s="152" t="s">
        <v>4281</v>
      </c>
      <c r="S528" s="152" t="s">
        <v>4285</v>
      </c>
      <c r="T528" s="152" t="s">
        <v>786</v>
      </c>
    </row>
    <row r="529" spans="3:20">
      <c r="C529" s="152" t="s">
        <v>2821</v>
      </c>
      <c r="D529" s="474" t="s">
        <v>676</v>
      </c>
      <c r="E529" s="684" t="str">
        <f>+VLOOKUP(F529,Resumen_Base!$C$8:$G$156,5,0)</f>
        <v>Gun Rental</v>
      </c>
      <c r="F529" s="152" t="s">
        <v>303</v>
      </c>
      <c r="G529" s="152" t="s">
        <v>304</v>
      </c>
      <c r="H529" s="152" t="str">
        <f t="shared" si="8"/>
        <v>CAR4120</v>
      </c>
      <c r="I529" s="513">
        <v>-637000</v>
      </c>
      <c r="J529" s="513">
        <v>-455</v>
      </c>
      <c r="K529" s="513">
        <v>1400</v>
      </c>
      <c r="L529" s="518" t="s">
        <v>3659</v>
      </c>
      <c r="M529" s="152" t="s">
        <v>1566</v>
      </c>
      <c r="N529" s="152" t="s">
        <v>1407</v>
      </c>
      <c r="O529" s="152" t="s">
        <v>4286</v>
      </c>
      <c r="P529" s="152" t="s">
        <v>4279</v>
      </c>
      <c r="Q529" s="152" t="s">
        <v>4287</v>
      </c>
      <c r="R529" s="152" t="s">
        <v>4281</v>
      </c>
      <c r="S529" s="152" t="s">
        <v>4288</v>
      </c>
      <c r="T529" s="152" t="s">
        <v>786</v>
      </c>
    </row>
    <row r="530" spans="3:20">
      <c r="C530" s="152" t="s">
        <v>2821</v>
      </c>
      <c r="D530" s="474" t="s">
        <v>676</v>
      </c>
      <c r="E530" s="684" t="str">
        <f>+VLOOKUP(F530,Resumen_Base!$C$8:$G$156,5,0)</f>
        <v>Gun Rental</v>
      </c>
      <c r="F530" s="152" t="s">
        <v>303</v>
      </c>
      <c r="G530" s="152" t="s">
        <v>304</v>
      </c>
      <c r="H530" s="152" t="str">
        <f t="shared" si="8"/>
        <v>CAR4120</v>
      </c>
      <c r="I530" s="513">
        <v>-456625</v>
      </c>
      <c r="J530" s="513">
        <v>-325</v>
      </c>
      <c r="K530" s="513">
        <v>1405</v>
      </c>
      <c r="L530" s="518" t="s">
        <v>3493</v>
      </c>
      <c r="M530" s="152" t="s">
        <v>1566</v>
      </c>
      <c r="N530" s="152" t="s">
        <v>1407</v>
      </c>
      <c r="O530" s="152" t="s">
        <v>4289</v>
      </c>
      <c r="P530" s="152" t="s">
        <v>4279</v>
      </c>
      <c r="Q530" s="152" t="s">
        <v>4290</v>
      </c>
      <c r="R530" s="152" t="s">
        <v>4291</v>
      </c>
      <c r="S530" s="152" t="s">
        <v>4292</v>
      </c>
      <c r="T530" s="152" t="s">
        <v>786</v>
      </c>
    </row>
    <row r="531" spans="3:20">
      <c r="C531" s="152" t="s">
        <v>2821</v>
      </c>
      <c r="D531" s="474" t="s">
        <v>676</v>
      </c>
      <c r="E531" s="684" t="str">
        <f>+VLOOKUP(F531,Resumen_Base!$C$8:$G$156,5,0)</f>
        <v>Gun Rental</v>
      </c>
      <c r="F531" s="152" t="s">
        <v>303</v>
      </c>
      <c r="G531" s="152" t="s">
        <v>304</v>
      </c>
      <c r="H531" s="152" t="str">
        <f t="shared" si="8"/>
        <v>CAR4120</v>
      </c>
      <c r="I531" s="513">
        <v>-456625</v>
      </c>
      <c r="J531" s="513">
        <v>-325</v>
      </c>
      <c r="K531" s="513">
        <v>1405</v>
      </c>
      <c r="L531" s="518" t="s">
        <v>3493</v>
      </c>
      <c r="M531" s="152" t="s">
        <v>1566</v>
      </c>
      <c r="N531" s="152" t="s">
        <v>1407</v>
      </c>
      <c r="O531" s="152" t="s">
        <v>4293</v>
      </c>
      <c r="P531" s="152" t="s">
        <v>4279</v>
      </c>
      <c r="Q531" s="152" t="s">
        <v>4294</v>
      </c>
      <c r="R531" s="152" t="s">
        <v>4291</v>
      </c>
      <c r="S531" s="152" t="s">
        <v>4295</v>
      </c>
      <c r="T531" s="152" t="s">
        <v>786</v>
      </c>
    </row>
    <row r="532" spans="3:20">
      <c r="C532" s="152" t="s">
        <v>2821</v>
      </c>
      <c r="D532" s="474" t="s">
        <v>676</v>
      </c>
      <c r="E532" s="684" t="str">
        <f>+VLOOKUP(F532,Resumen_Base!$C$8:$G$156,5,0)</f>
        <v>Gun Rental</v>
      </c>
      <c r="F532" s="152" t="s">
        <v>303</v>
      </c>
      <c r="G532" s="152" t="s">
        <v>304</v>
      </c>
      <c r="H532" s="152" t="str">
        <f t="shared" si="8"/>
        <v>CAR4120</v>
      </c>
      <c r="I532" s="513">
        <v>-456625</v>
      </c>
      <c r="J532" s="513">
        <v>-325</v>
      </c>
      <c r="K532" s="513">
        <v>1405</v>
      </c>
      <c r="L532" s="518" t="s">
        <v>3493</v>
      </c>
      <c r="M532" s="152" t="s">
        <v>1566</v>
      </c>
      <c r="N532" s="152" t="s">
        <v>1407</v>
      </c>
      <c r="O532" s="152" t="s">
        <v>4296</v>
      </c>
      <c r="P532" s="152" t="s">
        <v>4279</v>
      </c>
      <c r="Q532" s="152" t="s">
        <v>4297</v>
      </c>
      <c r="R532" s="152" t="s">
        <v>4291</v>
      </c>
      <c r="S532" s="152" t="s">
        <v>4298</v>
      </c>
      <c r="T532" s="152" t="s">
        <v>786</v>
      </c>
    </row>
    <row r="533" spans="3:20">
      <c r="C533" s="152" t="s">
        <v>2821</v>
      </c>
      <c r="D533" s="474" t="s">
        <v>676</v>
      </c>
      <c r="E533" s="684" t="str">
        <f>+VLOOKUP(F533,Resumen_Base!$C$8:$G$156,5,0)</f>
        <v>Gun Rental</v>
      </c>
      <c r="F533" s="152" t="s">
        <v>303</v>
      </c>
      <c r="G533" s="152" t="s">
        <v>304</v>
      </c>
      <c r="H533" s="152" t="str">
        <f t="shared" si="8"/>
        <v>CAR4120</v>
      </c>
      <c r="I533" s="513">
        <v>-456625</v>
      </c>
      <c r="J533" s="513">
        <v>-325</v>
      </c>
      <c r="K533" s="513">
        <v>1405</v>
      </c>
      <c r="L533" s="518" t="s">
        <v>3493</v>
      </c>
      <c r="M533" s="152" t="s">
        <v>1566</v>
      </c>
      <c r="N533" s="152" t="s">
        <v>1407</v>
      </c>
      <c r="O533" s="152" t="s">
        <v>4299</v>
      </c>
      <c r="P533" s="152" t="s">
        <v>4279</v>
      </c>
      <c r="Q533" s="152" t="s">
        <v>4300</v>
      </c>
      <c r="R533" s="152" t="s">
        <v>4291</v>
      </c>
      <c r="S533" s="152" t="s">
        <v>4301</v>
      </c>
      <c r="T533" s="152" t="s">
        <v>786</v>
      </c>
    </row>
    <row r="534" spans="3:20">
      <c r="C534" s="152" t="s">
        <v>2821</v>
      </c>
      <c r="D534" s="474" t="s">
        <v>676</v>
      </c>
      <c r="E534" s="684" t="str">
        <f>+VLOOKUP(F534,Resumen_Base!$C$8:$G$156,5,0)</f>
        <v>Gun Rental</v>
      </c>
      <c r="F534" s="152" t="s">
        <v>303</v>
      </c>
      <c r="G534" s="152" t="s">
        <v>304</v>
      </c>
      <c r="H534" s="152" t="str">
        <f t="shared" si="8"/>
        <v>CAR4120</v>
      </c>
      <c r="I534" s="513">
        <v>-641550</v>
      </c>
      <c r="J534" s="513">
        <v>-455</v>
      </c>
      <c r="K534" s="513">
        <v>1410</v>
      </c>
      <c r="L534" s="518" t="s">
        <v>3498</v>
      </c>
      <c r="M534" s="152" t="s">
        <v>1566</v>
      </c>
      <c r="N534" s="152" t="s">
        <v>1407</v>
      </c>
      <c r="O534" s="152" t="s">
        <v>4302</v>
      </c>
      <c r="P534" s="152" t="s">
        <v>4279</v>
      </c>
      <c r="Q534" s="152" t="s">
        <v>4303</v>
      </c>
      <c r="R534" s="152" t="s">
        <v>4304</v>
      </c>
      <c r="S534" s="152" t="s">
        <v>4305</v>
      </c>
      <c r="T534" s="152" t="s">
        <v>786</v>
      </c>
    </row>
    <row r="535" spans="3:20">
      <c r="C535" s="152" t="s">
        <v>2821</v>
      </c>
      <c r="D535" s="474" t="s">
        <v>676</v>
      </c>
      <c r="E535" s="684" t="str">
        <f>+VLOOKUP(F535,Resumen_Base!$C$8:$G$156,5,0)</f>
        <v>Gun Rental</v>
      </c>
      <c r="F535" s="152" t="s">
        <v>303</v>
      </c>
      <c r="G535" s="152" t="s">
        <v>304</v>
      </c>
      <c r="H535" s="152" t="str">
        <f t="shared" si="8"/>
        <v>CAR4120</v>
      </c>
      <c r="I535" s="513">
        <v>-641550</v>
      </c>
      <c r="J535" s="513">
        <v>-455</v>
      </c>
      <c r="K535" s="513">
        <v>1410</v>
      </c>
      <c r="L535" s="518" t="s">
        <v>3498</v>
      </c>
      <c r="M535" s="152" t="s">
        <v>1566</v>
      </c>
      <c r="N535" s="152" t="s">
        <v>1407</v>
      </c>
      <c r="O535" s="152" t="s">
        <v>4306</v>
      </c>
      <c r="P535" s="152" t="s">
        <v>4279</v>
      </c>
      <c r="Q535" s="152" t="s">
        <v>4307</v>
      </c>
      <c r="R535" s="152" t="s">
        <v>4304</v>
      </c>
      <c r="S535" s="152" t="s">
        <v>4308</v>
      </c>
      <c r="T535" s="152" t="s">
        <v>786</v>
      </c>
    </row>
    <row r="536" spans="3:20">
      <c r="C536" s="152" t="s">
        <v>2821</v>
      </c>
      <c r="D536" s="474" t="s">
        <v>676</v>
      </c>
      <c r="E536" s="684" t="str">
        <f>+VLOOKUP(F536,Resumen_Base!$C$8:$G$156,5,0)</f>
        <v>Gun Rental</v>
      </c>
      <c r="F536" s="152" t="s">
        <v>303</v>
      </c>
      <c r="G536" s="152" t="s">
        <v>304</v>
      </c>
      <c r="H536" s="152" t="str">
        <f t="shared" si="8"/>
        <v>CAR4120</v>
      </c>
      <c r="I536" s="513">
        <v>-641550</v>
      </c>
      <c r="J536" s="513">
        <v>-455</v>
      </c>
      <c r="K536" s="513">
        <v>1410</v>
      </c>
      <c r="L536" s="518" t="s">
        <v>3498</v>
      </c>
      <c r="M536" s="152" t="s">
        <v>1566</v>
      </c>
      <c r="N536" s="152" t="s">
        <v>1407</v>
      </c>
      <c r="O536" s="152" t="s">
        <v>4311</v>
      </c>
      <c r="P536" s="152" t="s">
        <v>4279</v>
      </c>
      <c r="Q536" s="152" t="s">
        <v>4312</v>
      </c>
      <c r="R536" s="152" t="s">
        <v>4304</v>
      </c>
      <c r="S536" s="152" t="s">
        <v>4313</v>
      </c>
      <c r="T536" s="152" t="s">
        <v>786</v>
      </c>
    </row>
    <row r="537" spans="3:20">
      <c r="C537" s="152" t="s">
        <v>2821</v>
      </c>
      <c r="D537" s="474" t="s">
        <v>676</v>
      </c>
      <c r="E537" s="684" t="str">
        <f>+VLOOKUP(F537,Resumen_Base!$C$8:$G$156,5,0)</f>
        <v>Gun Rental</v>
      </c>
      <c r="F537" s="152" t="s">
        <v>303</v>
      </c>
      <c r="G537" s="152" t="s">
        <v>304</v>
      </c>
      <c r="H537" s="152" t="str">
        <f t="shared" si="8"/>
        <v>CAR4120</v>
      </c>
      <c r="I537" s="513">
        <v>-641550</v>
      </c>
      <c r="J537" s="513">
        <v>-455</v>
      </c>
      <c r="K537" s="513">
        <v>1410</v>
      </c>
      <c r="L537" s="518" t="s">
        <v>3498</v>
      </c>
      <c r="M537" s="152" t="s">
        <v>1566</v>
      </c>
      <c r="N537" s="152" t="s">
        <v>1407</v>
      </c>
      <c r="O537" s="152" t="s">
        <v>4314</v>
      </c>
      <c r="P537" s="152" t="s">
        <v>4279</v>
      </c>
      <c r="Q537" s="152" t="s">
        <v>4315</v>
      </c>
      <c r="R537" s="152" t="s">
        <v>4304</v>
      </c>
      <c r="S537" s="152" t="s">
        <v>4316</v>
      </c>
      <c r="T537" s="152" t="s">
        <v>786</v>
      </c>
    </row>
    <row r="538" spans="3:20">
      <c r="C538" s="152" t="s">
        <v>2821</v>
      </c>
      <c r="D538" s="474" t="s">
        <v>676</v>
      </c>
      <c r="E538" s="684" t="str">
        <f>+VLOOKUP(F538,Resumen_Base!$C$8:$G$156,5,0)</f>
        <v>Gun Rental</v>
      </c>
      <c r="F538" s="152" t="s">
        <v>303</v>
      </c>
      <c r="G538" s="152" t="s">
        <v>304</v>
      </c>
      <c r="H538" s="152" t="str">
        <f t="shared" si="8"/>
        <v>CAR4120</v>
      </c>
      <c r="I538" s="513">
        <v>-547950</v>
      </c>
      <c r="J538" s="513">
        <v>-390</v>
      </c>
      <c r="K538" s="513">
        <v>1405</v>
      </c>
      <c r="L538" s="518" t="s">
        <v>3493</v>
      </c>
      <c r="M538" s="152" t="s">
        <v>1566</v>
      </c>
      <c r="N538" s="152" t="s">
        <v>1407</v>
      </c>
      <c r="O538" s="152" t="s">
        <v>4321</v>
      </c>
      <c r="P538" s="152" t="s">
        <v>4279</v>
      </c>
      <c r="Q538" s="152" t="s">
        <v>4322</v>
      </c>
      <c r="R538" s="152" t="s">
        <v>4323</v>
      </c>
      <c r="S538" s="152" t="s">
        <v>4324</v>
      </c>
      <c r="T538" s="152" t="s">
        <v>786</v>
      </c>
    </row>
    <row r="539" spans="3:20">
      <c r="C539" s="152" t="s">
        <v>2821</v>
      </c>
      <c r="D539" s="474" t="s">
        <v>676</v>
      </c>
      <c r="E539" s="684" t="str">
        <f>+VLOOKUP(F539,Resumen_Base!$C$8:$G$156,5,0)</f>
        <v>Gun Rental</v>
      </c>
      <c r="F539" s="152" t="s">
        <v>303</v>
      </c>
      <c r="G539" s="152" t="s">
        <v>304</v>
      </c>
      <c r="H539" s="152" t="str">
        <f t="shared" si="8"/>
        <v>CAR4120</v>
      </c>
      <c r="I539" s="513">
        <v>-547950</v>
      </c>
      <c r="J539" s="513">
        <v>-390</v>
      </c>
      <c r="K539" s="513">
        <v>1405</v>
      </c>
      <c r="L539" s="518" t="s">
        <v>3493</v>
      </c>
      <c r="M539" s="152" t="s">
        <v>1566</v>
      </c>
      <c r="N539" s="152" t="s">
        <v>1407</v>
      </c>
      <c r="O539" s="152" t="s">
        <v>4325</v>
      </c>
      <c r="P539" s="152" t="s">
        <v>4279</v>
      </c>
      <c r="Q539" s="152" t="s">
        <v>4326</v>
      </c>
      <c r="R539" s="152" t="s">
        <v>4323</v>
      </c>
      <c r="S539" s="152" t="s">
        <v>4327</v>
      </c>
      <c r="T539" s="152" t="s">
        <v>786</v>
      </c>
    </row>
    <row r="540" spans="3:20">
      <c r="C540" s="152" t="s">
        <v>2821</v>
      </c>
      <c r="D540" s="474" t="s">
        <v>676</v>
      </c>
      <c r="E540" s="684" t="str">
        <f>+VLOOKUP(F540,Resumen_Base!$C$8:$G$156,5,0)</f>
        <v>Gun Rental</v>
      </c>
      <c r="F540" s="152" t="s">
        <v>303</v>
      </c>
      <c r="G540" s="152" t="s">
        <v>304</v>
      </c>
      <c r="H540" s="152" t="str">
        <f t="shared" si="8"/>
        <v>CAR4120</v>
      </c>
      <c r="I540" s="513">
        <v>-547950</v>
      </c>
      <c r="J540" s="513">
        <v>-390</v>
      </c>
      <c r="K540" s="513">
        <v>1405</v>
      </c>
      <c r="L540" s="518" t="s">
        <v>3493</v>
      </c>
      <c r="M540" s="152" t="s">
        <v>1566</v>
      </c>
      <c r="N540" s="152" t="s">
        <v>1407</v>
      </c>
      <c r="O540" s="152" t="s">
        <v>4328</v>
      </c>
      <c r="P540" s="152" t="s">
        <v>4279</v>
      </c>
      <c r="Q540" s="152" t="s">
        <v>4329</v>
      </c>
      <c r="R540" s="152" t="s">
        <v>4323</v>
      </c>
      <c r="S540" s="152" t="s">
        <v>4330</v>
      </c>
      <c r="T540" s="152" t="s">
        <v>786</v>
      </c>
    </row>
    <row r="541" spans="3:20">
      <c r="C541" s="152" t="s">
        <v>2821</v>
      </c>
      <c r="D541" s="474" t="s">
        <v>676</v>
      </c>
      <c r="E541" s="684" t="str">
        <f>+VLOOKUP(F541,Resumen_Base!$C$8:$G$156,5,0)</f>
        <v>Gun Rental</v>
      </c>
      <c r="F541" s="152" t="s">
        <v>303</v>
      </c>
      <c r="G541" s="152" t="s">
        <v>304</v>
      </c>
      <c r="H541" s="152" t="str">
        <f t="shared" si="8"/>
        <v>CAR4120</v>
      </c>
      <c r="I541" s="513">
        <v>-547950</v>
      </c>
      <c r="J541" s="513">
        <v>-390</v>
      </c>
      <c r="K541" s="513">
        <v>1405</v>
      </c>
      <c r="L541" s="518" t="s">
        <v>3493</v>
      </c>
      <c r="M541" s="152" t="s">
        <v>1566</v>
      </c>
      <c r="N541" s="152" t="s">
        <v>1407</v>
      </c>
      <c r="O541" s="152" t="s">
        <v>4331</v>
      </c>
      <c r="P541" s="152" t="s">
        <v>4279</v>
      </c>
      <c r="Q541" s="152" t="s">
        <v>4332</v>
      </c>
      <c r="R541" s="152" t="s">
        <v>4323</v>
      </c>
      <c r="S541" s="152" t="s">
        <v>4333</v>
      </c>
      <c r="T541" s="152" t="s">
        <v>786</v>
      </c>
    </row>
    <row r="542" spans="3:20">
      <c r="C542" s="152" t="s">
        <v>2821</v>
      </c>
      <c r="D542" s="474" t="s">
        <v>676</v>
      </c>
      <c r="E542" s="684" t="str">
        <f>+VLOOKUP(F542,Resumen_Base!$C$8:$G$156,5,0)</f>
        <v>Gun Rental</v>
      </c>
      <c r="F542" s="152" t="s">
        <v>303</v>
      </c>
      <c r="G542" s="152" t="s">
        <v>304</v>
      </c>
      <c r="H542" s="152" t="str">
        <f t="shared" si="8"/>
        <v>CAR4120</v>
      </c>
      <c r="I542" s="513">
        <v>-547950</v>
      </c>
      <c r="J542" s="513">
        <v>-390</v>
      </c>
      <c r="K542" s="513">
        <v>1405</v>
      </c>
      <c r="L542" s="518" t="s">
        <v>3493</v>
      </c>
      <c r="M542" s="152" t="s">
        <v>1566</v>
      </c>
      <c r="N542" s="152" t="s">
        <v>1407</v>
      </c>
      <c r="O542" s="152" t="s">
        <v>4334</v>
      </c>
      <c r="P542" s="152" t="s">
        <v>4279</v>
      </c>
      <c r="Q542" s="152" t="s">
        <v>4335</v>
      </c>
      <c r="R542" s="152" t="s">
        <v>4323</v>
      </c>
      <c r="S542" s="152" t="s">
        <v>4336</v>
      </c>
      <c r="T542" s="152" t="s">
        <v>786</v>
      </c>
    </row>
    <row r="543" spans="3:20">
      <c r="C543" s="152" t="s">
        <v>2821</v>
      </c>
      <c r="D543" s="474" t="s">
        <v>676</v>
      </c>
      <c r="E543" s="684" t="str">
        <f>+VLOOKUP(F543,Resumen_Base!$C$8:$G$156,5,0)</f>
        <v>Gun Rental</v>
      </c>
      <c r="F543" s="152" t="s">
        <v>303</v>
      </c>
      <c r="G543" s="152" t="s">
        <v>304</v>
      </c>
      <c r="H543" s="152" t="str">
        <f t="shared" si="8"/>
        <v>CAR4120</v>
      </c>
      <c r="I543" s="513">
        <v>-547950</v>
      </c>
      <c r="J543" s="513">
        <v>-390</v>
      </c>
      <c r="K543" s="513">
        <v>1405</v>
      </c>
      <c r="L543" s="518" t="s">
        <v>3493</v>
      </c>
      <c r="M543" s="152" t="s">
        <v>1566</v>
      </c>
      <c r="N543" s="152" t="s">
        <v>1407</v>
      </c>
      <c r="O543" s="152" t="s">
        <v>4337</v>
      </c>
      <c r="P543" s="152" t="s">
        <v>4279</v>
      </c>
      <c r="Q543" s="152" t="s">
        <v>4338</v>
      </c>
      <c r="R543" s="152" t="s">
        <v>4323</v>
      </c>
      <c r="S543" s="152" t="s">
        <v>4339</v>
      </c>
      <c r="T543" s="152" t="s">
        <v>786</v>
      </c>
    </row>
    <row r="544" spans="3:20">
      <c r="C544" s="152" t="s">
        <v>2821</v>
      </c>
      <c r="D544" s="474" t="s">
        <v>676</v>
      </c>
      <c r="E544" s="684" t="str">
        <f>+VLOOKUP(F544,Resumen_Base!$C$8:$G$156,5,0)</f>
        <v>Gun Rental</v>
      </c>
      <c r="F544" s="152" t="s">
        <v>303</v>
      </c>
      <c r="G544" s="152" t="s">
        <v>304</v>
      </c>
      <c r="H544" s="152" t="str">
        <f t="shared" si="8"/>
        <v>CAR4120</v>
      </c>
      <c r="I544" s="513">
        <v>-367900</v>
      </c>
      <c r="J544" s="513">
        <v>-260</v>
      </c>
      <c r="K544" s="513">
        <v>1415</v>
      </c>
      <c r="L544" s="518" t="s">
        <v>3632</v>
      </c>
      <c r="M544" s="152" t="s">
        <v>1566</v>
      </c>
      <c r="N544" s="152" t="s">
        <v>1407</v>
      </c>
      <c r="O544" s="152" t="s">
        <v>4340</v>
      </c>
      <c r="P544" s="152" t="s">
        <v>4279</v>
      </c>
      <c r="Q544" s="152" t="s">
        <v>4341</v>
      </c>
      <c r="R544" s="152" t="s">
        <v>4342</v>
      </c>
      <c r="S544" s="152" t="s">
        <v>4343</v>
      </c>
      <c r="T544" s="152" t="s">
        <v>786</v>
      </c>
    </row>
    <row r="545" spans="3:20">
      <c r="C545" s="152" t="s">
        <v>2821</v>
      </c>
      <c r="D545" s="474" t="s">
        <v>676</v>
      </c>
      <c r="E545" s="684" t="str">
        <f>+VLOOKUP(F545,Resumen_Base!$C$8:$G$156,5,0)</f>
        <v>Gun Rental</v>
      </c>
      <c r="F545" s="152" t="s">
        <v>303</v>
      </c>
      <c r="G545" s="152" t="s">
        <v>304</v>
      </c>
      <c r="H545" s="152" t="str">
        <f t="shared" si="8"/>
        <v>CAR4120</v>
      </c>
      <c r="I545" s="513">
        <v>-367900</v>
      </c>
      <c r="J545" s="513">
        <v>-260</v>
      </c>
      <c r="K545" s="513">
        <v>1415</v>
      </c>
      <c r="L545" s="518" t="s">
        <v>3632</v>
      </c>
      <c r="M545" s="152" t="s">
        <v>1566</v>
      </c>
      <c r="N545" s="152" t="s">
        <v>1407</v>
      </c>
      <c r="O545" s="152" t="s">
        <v>4344</v>
      </c>
      <c r="P545" s="152" t="s">
        <v>4279</v>
      </c>
      <c r="Q545" s="152" t="s">
        <v>4345</v>
      </c>
      <c r="R545" s="152" t="s">
        <v>4342</v>
      </c>
      <c r="S545" s="152" t="s">
        <v>4346</v>
      </c>
      <c r="T545" s="152" t="s">
        <v>786</v>
      </c>
    </row>
    <row r="546" spans="3:20">
      <c r="C546" s="152" t="s">
        <v>2821</v>
      </c>
      <c r="D546" s="474" t="s">
        <v>676</v>
      </c>
      <c r="E546" s="684" t="str">
        <f>+VLOOKUP(F546,Resumen_Base!$C$8:$G$156,5,0)</f>
        <v>Gun Rental</v>
      </c>
      <c r="F546" s="152" t="s">
        <v>303</v>
      </c>
      <c r="G546" s="152" t="s">
        <v>304</v>
      </c>
      <c r="H546" s="152" t="str">
        <f t="shared" si="8"/>
        <v>CAR4120</v>
      </c>
      <c r="I546" s="513">
        <v>-367900</v>
      </c>
      <c r="J546" s="513">
        <v>-260</v>
      </c>
      <c r="K546" s="513">
        <v>1415</v>
      </c>
      <c r="L546" s="518" t="s">
        <v>3632</v>
      </c>
      <c r="M546" s="152" t="s">
        <v>1566</v>
      </c>
      <c r="N546" s="152" t="s">
        <v>1407</v>
      </c>
      <c r="O546" s="152" t="s">
        <v>4347</v>
      </c>
      <c r="P546" s="152" t="s">
        <v>4279</v>
      </c>
      <c r="Q546" s="152" t="s">
        <v>4348</v>
      </c>
      <c r="R546" s="152" t="s">
        <v>4342</v>
      </c>
      <c r="S546" s="152" t="s">
        <v>4349</v>
      </c>
      <c r="T546" s="152" t="s">
        <v>786</v>
      </c>
    </row>
    <row r="547" spans="3:20">
      <c r="C547" s="152" t="s">
        <v>2821</v>
      </c>
      <c r="D547" s="474" t="s">
        <v>676</v>
      </c>
      <c r="E547" s="684" t="str">
        <f>+VLOOKUP(F547,Resumen_Base!$C$8:$G$156,5,0)</f>
        <v>Gun Rental</v>
      </c>
      <c r="F547" s="152" t="s">
        <v>303</v>
      </c>
      <c r="G547" s="152" t="s">
        <v>304</v>
      </c>
      <c r="H547" s="152" t="str">
        <f t="shared" si="8"/>
        <v>CAR4120</v>
      </c>
      <c r="I547" s="513">
        <v>-367900</v>
      </c>
      <c r="J547" s="513">
        <v>-260</v>
      </c>
      <c r="K547" s="513">
        <v>1415</v>
      </c>
      <c r="L547" s="518" t="s">
        <v>3632</v>
      </c>
      <c r="M547" s="152" t="s">
        <v>1566</v>
      </c>
      <c r="N547" s="152" t="s">
        <v>1407</v>
      </c>
      <c r="O547" s="152" t="s">
        <v>4350</v>
      </c>
      <c r="P547" s="152" t="s">
        <v>4279</v>
      </c>
      <c r="Q547" s="152" t="s">
        <v>4351</v>
      </c>
      <c r="R547" s="152" t="s">
        <v>4342</v>
      </c>
      <c r="S547" s="152" t="s">
        <v>4352</v>
      </c>
      <c r="T547" s="152" t="s">
        <v>786</v>
      </c>
    </row>
    <row r="548" spans="3:20">
      <c r="C548" s="152" t="s">
        <v>2821</v>
      </c>
      <c r="D548" s="474" t="s">
        <v>676</v>
      </c>
      <c r="E548" s="684" t="str">
        <f>+VLOOKUP(F548,Resumen_Base!$C$8:$G$156,5,0)</f>
        <v>Gun Rental</v>
      </c>
      <c r="F548" s="152" t="s">
        <v>303</v>
      </c>
      <c r="G548" s="152" t="s">
        <v>304</v>
      </c>
      <c r="H548" s="152" t="str">
        <f t="shared" si="8"/>
        <v>CAR4120</v>
      </c>
      <c r="I548" s="513">
        <v>-1123200</v>
      </c>
      <c r="J548" s="513">
        <v>-780</v>
      </c>
      <c r="K548" s="513">
        <v>1440</v>
      </c>
      <c r="L548" s="518" t="s">
        <v>3517</v>
      </c>
      <c r="M548" s="152" t="s">
        <v>1566</v>
      </c>
      <c r="N548" s="152" t="s">
        <v>1407</v>
      </c>
      <c r="O548" s="152" t="s">
        <v>4353</v>
      </c>
      <c r="P548" s="152" t="s">
        <v>1881</v>
      </c>
      <c r="Q548" s="152" t="s">
        <v>4354</v>
      </c>
      <c r="R548" s="152" t="s">
        <v>4355</v>
      </c>
      <c r="S548" s="152" t="s">
        <v>4356</v>
      </c>
      <c r="T548" s="152" t="s">
        <v>786</v>
      </c>
    </row>
    <row r="549" spans="3:20">
      <c r="C549" s="152" t="s">
        <v>2821</v>
      </c>
      <c r="D549" s="474" t="s">
        <v>676</v>
      </c>
      <c r="E549" s="684" t="str">
        <f>+VLOOKUP(F549,Resumen_Base!$C$8:$G$156,5,0)</f>
        <v>Gun Rental</v>
      </c>
      <c r="F549" s="152" t="s">
        <v>303</v>
      </c>
      <c r="G549" s="152" t="s">
        <v>304</v>
      </c>
      <c r="H549" s="152" t="str">
        <f t="shared" si="8"/>
        <v>CAR4120</v>
      </c>
      <c r="I549" s="513">
        <v>-1123200</v>
      </c>
      <c r="J549" s="513">
        <v>-780</v>
      </c>
      <c r="K549" s="513">
        <v>1440</v>
      </c>
      <c r="L549" s="518" t="s">
        <v>3517</v>
      </c>
      <c r="M549" s="152" t="s">
        <v>1566</v>
      </c>
      <c r="N549" s="152" t="s">
        <v>1407</v>
      </c>
      <c r="O549" s="152" t="s">
        <v>4357</v>
      </c>
      <c r="P549" s="152" t="s">
        <v>1881</v>
      </c>
      <c r="Q549" s="152" t="s">
        <v>4358</v>
      </c>
      <c r="R549" s="152" t="s">
        <v>4355</v>
      </c>
      <c r="S549" s="152" t="s">
        <v>4359</v>
      </c>
      <c r="T549" s="152" t="s">
        <v>786</v>
      </c>
    </row>
    <row r="550" spans="3:20">
      <c r="C550" s="152" t="s">
        <v>2821</v>
      </c>
      <c r="D550" s="474" t="s">
        <v>676</v>
      </c>
      <c r="E550" s="684" t="str">
        <f>+VLOOKUP(F550,Resumen_Base!$C$8:$G$156,5,0)</f>
        <v>Gun Rental</v>
      </c>
      <c r="F550" s="152" t="s">
        <v>303</v>
      </c>
      <c r="G550" s="152" t="s">
        <v>304</v>
      </c>
      <c r="H550" s="152" t="str">
        <f t="shared" si="8"/>
        <v>CAR4120</v>
      </c>
      <c r="I550" s="513">
        <v>-1092000</v>
      </c>
      <c r="J550" s="513">
        <v>-780</v>
      </c>
      <c r="K550" s="513">
        <v>1400</v>
      </c>
      <c r="L550" s="518" t="s">
        <v>3659</v>
      </c>
      <c r="M550" s="152" t="s">
        <v>1566</v>
      </c>
      <c r="N550" s="152" t="s">
        <v>1407</v>
      </c>
      <c r="O550" s="152" t="s">
        <v>4360</v>
      </c>
      <c r="P550" s="152" t="s">
        <v>4279</v>
      </c>
      <c r="Q550" s="152" t="s">
        <v>4361</v>
      </c>
      <c r="R550" s="152" t="s">
        <v>4362</v>
      </c>
      <c r="S550" s="152" t="s">
        <v>4363</v>
      </c>
      <c r="T550" s="152" t="s">
        <v>786</v>
      </c>
    </row>
    <row r="551" spans="3:20">
      <c r="C551" s="152" t="s">
        <v>2821</v>
      </c>
      <c r="D551" s="474" t="s">
        <v>676</v>
      </c>
      <c r="E551" s="684" t="str">
        <f>+VLOOKUP(F551,Resumen_Base!$C$8:$G$156,5,0)</f>
        <v>Gun Rental</v>
      </c>
      <c r="F551" s="152" t="s">
        <v>303</v>
      </c>
      <c r="G551" s="152" t="s">
        <v>304</v>
      </c>
      <c r="H551" s="152" t="str">
        <f t="shared" si="8"/>
        <v>CAR4120</v>
      </c>
      <c r="I551" s="513">
        <v>-1092000</v>
      </c>
      <c r="J551" s="513">
        <v>-780</v>
      </c>
      <c r="K551" s="513">
        <v>1400</v>
      </c>
      <c r="L551" s="518" t="s">
        <v>3659</v>
      </c>
      <c r="M551" s="152" t="s">
        <v>1566</v>
      </c>
      <c r="N551" s="152" t="s">
        <v>1407</v>
      </c>
      <c r="O551" s="152" t="s">
        <v>4364</v>
      </c>
      <c r="P551" s="152" t="s">
        <v>4279</v>
      </c>
      <c r="Q551" s="152" t="s">
        <v>4365</v>
      </c>
      <c r="R551" s="152" t="s">
        <v>4362</v>
      </c>
      <c r="S551" s="152" t="s">
        <v>4366</v>
      </c>
      <c r="T551" s="152" t="s">
        <v>786</v>
      </c>
    </row>
    <row r="552" spans="3:20">
      <c r="C552" s="152" t="s">
        <v>2821</v>
      </c>
      <c r="D552" s="474" t="s">
        <v>676</v>
      </c>
      <c r="E552" s="684" t="str">
        <f>+VLOOKUP(F552,Resumen_Base!$C$8:$G$156,5,0)</f>
        <v>Gun Rental</v>
      </c>
      <c r="F552" s="152" t="s">
        <v>303</v>
      </c>
      <c r="G552" s="152" t="s">
        <v>304</v>
      </c>
      <c r="H552" s="152" t="str">
        <f t="shared" si="8"/>
        <v>CAR4120</v>
      </c>
      <c r="I552" s="513">
        <v>-549900</v>
      </c>
      <c r="J552" s="513">
        <v>-390</v>
      </c>
      <c r="K552" s="513">
        <v>1410</v>
      </c>
      <c r="L552" s="518" t="s">
        <v>3498</v>
      </c>
      <c r="M552" s="152" t="s">
        <v>1566</v>
      </c>
      <c r="N552" s="152" t="s">
        <v>1407</v>
      </c>
      <c r="O552" s="152" t="s">
        <v>4367</v>
      </c>
      <c r="P552" s="152" t="s">
        <v>4279</v>
      </c>
      <c r="Q552" s="152" t="s">
        <v>4368</v>
      </c>
      <c r="R552" s="152" t="s">
        <v>4369</v>
      </c>
      <c r="S552" s="152" t="s">
        <v>4370</v>
      </c>
      <c r="T552" s="152" t="s">
        <v>786</v>
      </c>
    </row>
    <row r="553" spans="3:20">
      <c r="C553" s="152" t="s">
        <v>2821</v>
      </c>
      <c r="D553" s="474" t="s">
        <v>676</v>
      </c>
      <c r="E553" s="684" t="str">
        <f>+VLOOKUP(F553,Resumen_Base!$C$8:$G$156,5,0)</f>
        <v>Gun Rental</v>
      </c>
      <c r="F553" s="152" t="s">
        <v>303</v>
      </c>
      <c r="G553" s="152" t="s">
        <v>304</v>
      </c>
      <c r="H553" s="152" t="str">
        <f t="shared" si="8"/>
        <v>CAR4120</v>
      </c>
      <c r="I553" s="513">
        <v>-549900</v>
      </c>
      <c r="J553" s="513">
        <v>-390</v>
      </c>
      <c r="K553" s="513">
        <v>1410</v>
      </c>
      <c r="L553" s="518" t="s">
        <v>3498</v>
      </c>
      <c r="M553" s="152" t="s">
        <v>1566</v>
      </c>
      <c r="N553" s="152" t="s">
        <v>1407</v>
      </c>
      <c r="O553" s="152" t="s">
        <v>4371</v>
      </c>
      <c r="P553" s="152" t="s">
        <v>4279</v>
      </c>
      <c r="Q553" s="152" t="s">
        <v>4372</v>
      </c>
      <c r="R553" s="152" t="s">
        <v>4369</v>
      </c>
      <c r="S553" s="152" t="s">
        <v>4373</v>
      </c>
      <c r="T553" s="152" t="s">
        <v>786</v>
      </c>
    </row>
    <row r="554" spans="3:20">
      <c r="C554" s="152" t="s">
        <v>2821</v>
      </c>
      <c r="D554" s="474" t="s">
        <v>676</v>
      </c>
      <c r="E554" s="684" t="str">
        <f>+VLOOKUP(F554,Resumen_Base!$C$8:$G$156,5,0)</f>
        <v>Gun Rental</v>
      </c>
      <c r="F554" s="152" t="s">
        <v>303</v>
      </c>
      <c r="G554" s="152" t="s">
        <v>304</v>
      </c>
      <c r="H554" s="152" t="str">
        <f t="shared" si="8"/>
        <v>CAR4120</v>
      </c>
      <c r="I554" s="513">
        <v>-549900</v>
      </c>
      <c r="J554" s="513">
        <v>-390</v>
      </c>
      <c r="K554" s="513">
        <v>1410</v>
      </c>
      <c r="L554" s="518" t="s">
        <v>3498</v>
      </c>
      <c r="M554" s="152" t="s">
        <v>1566</v>
      </c>
      <c r="N554" s="152" t="s">
        <v>1407</v>
      </c>
      <c r="O554" s="152" t="s">
        <v>4374</v>
      </c>
      <c r="P554" s="152" t="s">
        <v>4279</v>
      </c>
      <c r="Q554" s="152" t="s">
        <v>4375</v>
      </c>
      <c r="R554" s="152" t="s">
        <v>4369</v>
      </c>
      <c r="S554" s="152" t="s">
        <v>4376</v>
      </c>
      <c r="T554" s="152" t="s">
        <v>786</v>
      </c>
    </row>
    <row r="555" spans="3:20">
      <c r="C555" s="152" t="s">
        <v>2821</v>
      </c>
      <c r="D555" s="474" t="s">
        <v>676</v>
      </c>
      <c r="E555" s="684" t="str">
        <f>+VLOOKUP(F555,Resumen_Base!$C$8:$G$156,5,0)</f>
        <v>Gun Rental</v>
      </c>
      <c r="F555" s="152" t="s">
        <v>303</v>
      </c>
      <c r="G555" s="152" t="s">
        <v>304</v>
      </c>
      <c r="H555" s="152" t="str">
        <f t="shared" si="8"/>
        <v>CAR4120</v>
      </c>
      <c r="I555" s="513">
        <v>-561600</v>
      </c>
      <c r="J555" s="513">
        <v>-390</v>
      </c>
      <c r="K555" s="513">
        <v>1440</v>
      </c>
      <c r="L555" s="518" t="s">
        <v>3517</v>
      </c>
      <c r="M555" s="152" t="s">
        <v>1566</v>
      </c>
      <c r="N555" s="152" t="s">
        <v>1407</v>
      </c>
      <c r="O555" s="152" t="s">
        <v>4381</v>
      </c>
      <c r="P555" s="152" t="s">
        <v>1881</v>
      </c>
      <c r="Q555" s="152" t="s">
        <v>4382</v>
      </c>
      <c r="R555" s="152" t="s">
        <v>4383</v>
      </c>
      <c r="S555" s="152" t="s">
        <v>4384</v>
      </c>
      <c r="T555" s="152" t="s">
        <v>786</v>
      </c>
    </row>
    <row r="556" spans="3:20">
      <c r="C556" s="152" t="s">
        <v>2821</v>
      </c>
      <c r="D556" s="474" t="s">
        <v>676</v>
      </c>
      <c r="E556" s="684" t="str">
        <f>+VLOOKUP(F556,Resumen_Base!$C$8:$G$156,5,0)</f>
        <v>Gun Rental</v>
      </c>
      <c r="F556" s="152" t="s">
        <v>303</v>
      </c>
      <c r="G556" s="152" t="s">
        <v>304</v>
      </c>
      <c r="H556" s="152" t="str">
        <f t="shared" si="8"/>
        <v>CAR4120</v>
      </c>
      <c r="I556" s="513">
        <v>-280800</v>
      </c>
      <c r="J556" s="513">
        <v>-195</v>
      </c>
      <c r="K556" s="513">
        <v>1440</v>
      </c>
      <c r="L556" s="518" t="s">
        <v>3517</v>
      </c>
      <c r="M556" s="152" t="s">
        <v>1566</v>
      </c>
      <c r="N556" s="152" t="s">
        <v>1407</v>
      </c>
      <c r="O556" s="152" t="s">
        <v>4385</v>
      </c>
      <c r="P556" s="152" t="s">
        <v>1881</v>
      </c>
      <c r="Q556" s="152" t="s">
        <v>4386</v>
      </c>
      <c r="R556" s="152" t="s">
        <v>4383</v>
      </c>
      <c r="S556" s="152" t="s">
        <v>4387</v>
      </c>
      <c r="T556" s="152" t="s">
        <v>786</v>
      </c>
    </row>
    <row r="557" spans="3:20">
      <c r="C557" s="152" t="s">
        <v>2821</v>
      </c>
      <c r="D557" s="474" t="s">
        <v>676</v>
      </c>
      <c r="E557" s="684" t="str">
        <f>+VLOOKUP(F557,Resumen_Base!$C$8:$G$156,5,0)</f>
        <v>Gun Rental</v>
      </c>
      <c r="F557" s="152" t="s">
        <v>303</v>
      </c>
      <c r="G557" s="152" t="s">
        <v>304</v>
      </c>
      <c r="H557" s="152" t="str">
        <f t="shared" si="8"/>
        <v>CAR4120</v>
      </c>
      <c r="I557" s="513">
        <v>-187200</v>
      </c>
      <c r="J557" s="513">
        <v>-130</v>
      </c>
      <c r="K557" s="513">
        <v>1440</v>
      </c>
      <c r="L557" s="518" t="s">
        <v>3517</v>
      </c>
      <c r="M557" s="152" t="s">
        <v>1566</v>
      </c>
      <c r="N557" s="152" t="s">
        <v>1407</v>
      </c>
      <c r="O557" s="152" t="s">
        <v>4388</v>
      </c>
      <c r="P557" s="152" t="s">
        <v>1881</v>
      </c>
      <c r="Q557" s="152" t="s">
        <v>4389</v>
      </c>
      <c r="R557" s="152" t="s">
        <v>4383</v>
      </c>
      <c r="S557" s="152" t="s">
        <v>4390</v>
      </c>
      <c r="T557" s="152" t="s">
        <v>786</v>
      </c>
    </row>
    <row r="558" spans="3:20">
      <c r="C558" s="152" t="s">
        <v>2821</v>
      </c>
      <c r="D558" s="474" t="s">
        <v>676</v>
      </c>
      <c r="E558" s="684" t="str">
        <f>+VLOOKUP(F558,Resumen_Base!$C$8:$G$156,5,0)</f>
        <v>Gun Rental</v>
      </c>
      <c r="F558" s="152" t="s">
        <v>303</v>
      </c>
      <c r="G558" s="152" t="s">
        <v>304</v>
      </c>
      <c r="H558" s="152" t="str">
        <f t="shared" si="8"/>
        <v>CAR4120</v>
      </c>
      <c r="I558" s="513">
        <v>-549900</v>
      </c>
      <c r="J558" s="513">
        <v>-390</v>
      </c>
      <c r="K558" s="513">
        <v>1410</v>
      </c>
      <c r="L558" s="518" t="s">
        <v>3498</v>
      </c>
      <c r="M558" s="152" t="s">
        <v>1566</v>
      </c>
      <c r="N558" s="152" t="s">
        <v>1407</v>
      </c>
      <c r="O558" s="152" t="s">
        <v>4391</v>
      </c>
      <c r="P558" s="152" t="s">
        <v>4279</v>
      </c>
      <c r="Q558" s="152" t="s">
        <v>4392</v>
      </c>
      <c r="R558" s="152" t="s">
        <v>4393</v>
      </c>
      <c r="S558" s="152" t="s">
        <v>4394</v>
      </c>
      <c r="T558" s="152" t="s">
        <v>786</v>
      </c>
    </row>
    <row r="559" spans="3:20">
      <c r="C559" s="152" t="s">
        <v>2821</v>
      </c>
      <c r="D559" s="474" t="s">
        <v>676</v>
      </c>
      <c r="E559" s="684" t="str">
        <f>+VLOOKUP(F559,Resumen_Base!$C$8:$G$156,5,0)</f>
        <v>Gun Rental</v>
      </c>
      <c r="F559" s="152" t="s">
        <v>303</v>
      </c>
      <c r="G559" s="152" t="s">
        <v>304</v>
      </c>
      <c r="H559" s="152" t="str">
        <f t="shared" si="8"/>
        <v>CAR4120</v>
      </c>
      <c r="I559" s="513">
        <v>-549900</v>
      </c>
      <c r="J559" s="513">
        <v>-390</v>
      </c>
      <c r="K559" s="513">
        <v>1410</v>
      </c>
      <c r="L559" s="518" t="s">
        <v>3498</v>
      </c>
      <c r="M559" s="152" t="s">
        <v>1566</v>
      </c>
      <c r="N559" s="152" t="s">
        <v>1407</v>
      </c>
      <c r="O559" s="152" t="s">
        <v>4395</v>
      </c>
      <c r="P559" s="152" t="s">
        <v>4279</v>
      </c>
      <c r="Q559" s="152" t="s">
        <v>4396</v>
      </c>
      <c r="R559" s="152" t="s">
        <v>4393</v>
      </c>
      <c r="S559" s="152" t="s">
        <v>4397</v>
      </c>
      <c r="T559" s="152" t="s">
        <v>786</v>
      </c>
    </row>
    <row r="560" spans="3:20">
      <c r="C560" s="152" t="s">
        <v>2821</v>
      </c>
      <c r="D560" s="474" t="s">
        <v>676</v>
      </c>
      <c r="E560" s="684" t="str">
        <f>+VLOOKUP(F560,Resumen_Base!$C$8:$G$156,5,0)</f>
        <v>Gun Rental</v>
      </c>
      <c r="F560" s="152" t="s">
        <v>303</v>
      </c>
      <c r="G560" s="152" t="s">
        <v>304</v>
      </c>
      <c r="H560" s="152" t="str">
        <f t="shared" si="8"/>
        <v>CAR4120</v>
      </c>
      <c r="I560" s="513">
        <v>-549900</v>
      </c>
      <c r="J560" s="513">
        <v>-390</v>
      </c>
      <c r="K560" s="513">
        <v>1410</v>
      </c>
      <c r="L560" s="518" t="s">
        <v>3498</v>
      </c>
      <c r="M560" s="152" t="s">
        <v>1566</v>
      </c>
      <c r="N560" s="152" t="s">
        <v>1407</v>
      </c>
      <c r="O560" s="152" t="s">
        <v>4398</v>
      </c>
      <c r="P560" s="152" t="s">
        <v>4279</v>
      </c>
      <c r="Q560" s="152" t="s">
        <v>4399</v>
      </c>
      <c r="R560" s="152" t="s">
        <v>4393</v>
      </c>
      <c r="S560" s="152" t="s">
        <v>4400</v>
      </c>
      <c r="T560" s="152" t="s">
        <v>786</v>
      </c>
    </row>
    <row r="561" spans="3:20">
      <c r="C561" s="152" t="s">
        <v>2821</v>
      </c>
      <c r="D561" s="474" t="s">
        <v>676</v>
      </c>
      <c r="E561" s="684" t="str">
        <f>+VLOOKUP(F561,Resumen_Base!$C$8:$G$156,5,0)</f>
        <v>Gun Rental</v>
      </c>
      <c r="F561" s="152" t="s">
        <v>303</v>
      </c>
      <c r="G561" s="152" t="s">
        <v>304</v>
      </c>
      <c r="H561" s="152" t="str">
        <f t="shared" si="8"/>
        <v>CAR4120</v>
      </c>
      <c r="I561" s="513">
        <v>-549900</v>
      </c>
      <c r="J561" s="513">
        <v>-390</v>
      </c>
      <c r="K561" s="513">
        <v>1410</v>
      </c>
      <c r="L561" s="518" t="s">
        <v>3498</v>
      </c>
      <c r="M561" s="152" t="s">
        <v>1566</v>
      </c>
      <c r="N561" s="152" t="s">
        <v>1407</v>
      </c>
      <c r="O561" s="152" t="s">
        <v>4401</v>
      </c>
      <c r="P561" s="152" t="s">
        <v>4279</v>
      </c>
      <c r="Q561" s="152" t="s">
        <v>4402</v>
      </c>
      <c r="R561" s="152" t="s">
        <v>4393</v>
      </c>
      <c r="S561" s="152" t="s">
        <v>4403</v>
      </c>
      <c r="T561" s="152" t="s">
        <v>786</v>
      </c>
    </row>
    <row r="562" spans="3:20">
      <c r="C562" s="152" t="s">
        <v>2821</v>
      </c>
      <c r="D562" s="474" t="s">
        <v>676</v>
      </c>
      <c r="E562" s="684" t="str">
        <f>+VLOOKUP(F562,Resumen_Base!$C$8:$G$156,5,0)</f>
        <v>Gun Rental</v>
      </c>
      <c r="F562" s="152" t="s">
        <v>303</v>
      </c>
      <c r="G562" s="152" t="s">
        <v>304</v>
      </c>
      <c r="H562" s="152" t="str">
        <f t="shared" si="8"/>
        <v>CAR4120</v>
      </c>
      <c r="I562" s="513">
        <v>-456625</v>
      </c>
      <c r="J562" s="513">
        <v>-325</v>
      </c>
      <c r="K562" s="513">
        <v>1405</v>
      </c>
      <c r="L562" s="518" t="s">
        <v>3493</v>
      </c>
      <c r="M562" s="152" t="s">
        <v>1566</v>
      </c>
      <c r="N562" s="152" t="s">
        <v>1407</v>
      </c>
      <c r="O562" s="152" t="s">
        <v>4417</v>
      </c>
      <c r="P562" s="152" t="s">
        <v>4279</v>
      </c>
      <c r="Q562" s="152" t="s">
        <v>4418</v>
      </c>
      <c r="R562" s="152" t="s">
        <v>4419</v>
      </c>
      <c r="S562" s="152" t="s">
        <v>4420</v>
      </c>
      <c r="T562" s="152" t="s">
        <v>786</v>
      </c>
    </row>
    <row r="563" spans="3:20">
      <c r="C563" s="152" t="s">
        <v>2821</v>
      </c>
      <c r="D563" s="474" t="s">
        <v>676</v>
      </c>
      <c r="E563" s="684" t="str">
        <f>+VLOOKUP(F563,Resumen_Base!$C$8:$G$156,5,0)</f>
        <v>Gun Rental</v>
      </c>
      <c r="F563" s="152" t="s">
        <v>303</v>
      </c>
      <c r="G563" s="152" t="s">
        <v>304</v>
      </c>
      <c r="H563" s="152" t="str">
        <f t="shared" si="8"/>
        <v>CAR4120</v>
      </c>
      <c r="I563" s="513">
        <v>-456625</v>
      </c>
      <c r="J563" s="513">
        <v>-325</v>
      </c>
      <c r="K563" s="513">
        <v>1405</v>
      </c>
      <c r="L563" s="518" t="s">
        <v>3493</v>
      </c>
      <c r="M563" s="152" t="s">
        <v>1566</v>
      </c>
      <c r="N563" s="152" t="s">
        <v>1407</v>
      </c>
      <c r="O563" s="152" t="s">
        <v>4421</v>
      </c>
      <c r="P563" s="152" t="s">
        <v>4279</v>
      </c>
      <c r="Q563" s="152" t="s">
        <v>4422</v>
      </c>
      <c r="R563" s="152" t="s">
        <v>4419</v>
      </c>
      <c r="S563" s="152" t="s">
        <v>4423</v>
      </c>
      <c r="T563" s="152" t="s">
        <v>786</v>
      </c>
    </row>
    <row r="564" spans="3:20">
      <c r="C564" s="152" t="s">
        <v>2821</v>
      </c>
      <c r="D564" s="474" t="s">
        <v>676</v>
      </c>
      <c r="E564" s="684" t="str">
        <f>+VLOOKUP(F564,Resumen_Base!$C$8:$G$156,5,0)</f>
        <v>Gun Rental</v>
      </c>
      <c r="F564" s="152" t="s">
        <v>303</v>
      </c>
      <c r="G564" s="152" t="s">
        <v>304</v>
      </c>
      <c r="H564" s="152" t="str">
        <f t="shared" si="8"/>
        <v>CAR4120</v>
      </c>
      <c r="I564" s="513">
        <v>-456625</v>
      </c>
      <c r="J564" s="513">
        <v>-325</v>
      </c>
      <c r="K564" s="513">
        <v>1405</v>
      </c>
      <c r="L564" s="518" t="s">
        <v>3493</v>
      </c>
      <c r="M564" s="152" t="s">
        <v>1566</v>
      </c>
      <c r="N564" s="152" t="s">
        <v>1407</v>
      </c>
      <c r="O564" s="152" t="s">
        <v>4424</v>
      </c>
      <c r="P564" s="152" t="s">
        <v>4279</v>
      </c>
      <c r="Q564" s="152" t="s">
        <v>4425</v>
      </c>
      <c r="R564" s="152" t="s">
        <v>4419</v>
      </c>
      <c r="S564" s="152" t="s">
        <v>4426</v>
      </c>
      <c r="T564" s="152" t="s">
        <v>786</v>
      </c>
    </row>
    <row r="565" spans="3:20">
      <c r="C565" s="152" t="s">
        <v>2821</v>
      </c>
      <c r="D565" s="474" t="s">
        <v>676</v>
      </c>
      <c r="E565" s="684" t="str">
        <f>+VLOOKUP(F565,Resumen_Base!$C$8:$G$156,5,0)</f>
        <v>Gun Rental</v>
      </c>
      <c r="F565" s="152" t="s">
        <v>303</v>
      </c>
      <c r="G565" s="152" t="s">
        <v>304</v>
      </c>
      <c r="H565" s="152" t="str">
        <f t="shared" si="8"/>
        <v>CAR4120</v>
      </c>
      <c r="I565" s="513">
        <v>-561600</v>
      </c>
      <c r="J565" s="513">
        <v>-390</v>
      </c>
      <c r="K565" s="513">
        <v>1440</v>
      </c>
      <c r="L565" s="518" t="s">
        <v>3517</v>
      </c>
      <c r="M565" s="152" t="s">
        <v>1566</v>
      </c>
      <c r="N565" s="152" t="s">
        <v>1407</v>
      </c>
      <c r="O565" s="152" t="s">
        <v>4427</v>
      </c>
      <c r="P565" s="152" t="s">
        <v>1881</v>
      </c>
      <c r="Q565" s="152" t="s">
        <v>4428</v>
      </c>
      <c r="R565" s="152" t="s">
        <v>4429</v>
      </c>
      <c r="S565" s="152" t="s">
        <v>4430</v>
      </c>
      <c r="T565" s="152" t="s">
        <v>786</v>
      </c>
    </row>
    <row r="566" spans="3:20">
      <c r="C566" s="152" t="s">
        <v>2821</v>
      </c>
      <c r="D566" s="474" t="s">
        <v>676</v>
      </c>
      <c r="E566" s="684" t="str">
        <f>+VLOOKUP(F566,Resumen_Base!$C$8:$G$156,5,0)</f>
        <v>Gun Rental</v>
      </c>
      <c r="F566" s="152" t="s">
        <v>303</v>
      </c>
      <c r="G566" s="152" t="s">
        <v>304</v>
      </c>
      <c r="H566" s="152" t="str">
        <f t="shared" si="8"/>
        <v>CAR4120</v>
      </c>
      <c r="I566" s="513">
        <v>-561600</v>
      </c>
      <c r="J566" s="513">
        <v>-390</v>
      </c>
      <c r="K566" s="513">
        <v>1440</v>
      </c>
      <c r="L566" s="518" t="s">
        <v>3517</v>
      </c>
      <c r="M566" s="152" t="s">
        <v>1566</v>
      </c>
      <c r="N566" s="152" t="s">
        <v>1407</v>
      </c>
      <c r="O566" s="152" t="s">
        <v>4431</v>
      </c>
      <c r="P566" s="152" t="s">
        <v>1881</v>
      </c>
      <c r="Q566" s="152" t="s">
        <v>4432</v>
      </c>
      <c r="R566" s="152" t="s">
        <v>4429</v>
      </c>
      <c r="S566" s="152" t="s">
        <v>4433</v>
      </c>
      <c r="T566" s="152" t="s">
        <v>786</v>
      </c>
    </row>
    <row r="567" spans="3:20">
      <c r="C567" s="152" t="s">
        <v>2821</v>
      </c>
      <c r="D567" s="474" t="s">
        <v>676</v>
      </c>
      <c r="E567" s="684" t="str">
        <f>+VLOOKUP(F567,Resumen_Base!$C$8:$G$156,5,0)</f>
        <v>Gun Rental</v>
      </c>
      <c r="F567" s="152" t="s">
        <v>303</v>
      </c>
      <c r="G567" s="152" t="s">
        <v>304</v>
      </c>
      <c r="H567" s="152" t="str">
        <f t="shared" si="8"/>
        <v>CAR4120</v>
      </c>
      <c r="I567" s="513">
        <v>-561600</v>
      </c>
      <c r="J567" s="513">
        <v>-390</v>
      </c>
      <c r="K567" s="513">
        <v>1440</v>
      </c>
      <c r="L567" s="518" t="s">
        <v>3517</v>
      </c>
      <c r="M567" s="152" t="s">
        <v>1566</v>
      </c>
      <c r="N567" s="152" t="s">
        <v>1407</v>
      </c>
      <c r="O567" s="152" t="s">
        <v>4434</v>
      </c>
      <c r="P567" s="152" t="s">
        <v>1881</v>
      </c>
      <c r="Q567" s="152" t="s">
        <v>4435</v>
      </c>
      <c r="R567" s="152" t="s">
        <v>4429</v>
      </c>
      <c r="S567" s="152" t="s">
        <v>4436</v>
      </c>
      <c r="T567" s="152" t="s">
        <v>786</v>
      </c>
    </row>
    <row r="568" spans="3:20">
      <c r="C568" s="152" t="s">
        <v>2821</v>
      </c>
      <c r="D568" s="474" t="s">
        <v>676</v>
      </c>
      <c r="E568" s="684" t="str">
        <f>+VLOOKUP(F568,Resumen_Base!$C$8:$G$156,5,0)</f>
        <v>Gun Rental</v>
      </c>
      <c r="F568" s="152" t="s">
        <v>303</v>
      </c>
      <c r="G568" s="152" t="s">
        <v>304</v>
      </c>
      <c r="H568" s="152" t="str">
        <f t="shared" si="8"/>
        <v>CAR4120</v>
      </c>
      <c r="I568" s="513">
        <v>-561600</v>
      </c>
      <c r="J568" s="513">
        <v>-390</v>
      </c>
      <c r="K568" s="513">
        <v>1440</v>
      </c>
      <c r="L568" s="518" t="s">
        <v>3517</v>
      </c>
      <c r="M568" s="152" t="s">
        <v>1566</v>
      </c>
      <c r="N568" s="152" t="s">
        <v>1407</v>
      </c>
      <c r="O568" s="152" t="s">
        <v>4437</v>
      </c>
      <c r="P568" s="152" t="s">
        <v>1881</v>
      </c>
      <c r="Q568" s="152" t="s">
        <v>4438</v>
      </c>
      <c r="R568" s="152" t="s">
        <v>4429</v>
      </c>
      <c r="S568" s="152" t="s">
        <v>4439</v>
      </c>
      <c r="T568" s="152" t="s">
        <v>786</v>
      </c>
    </row>
    <row r="569" spans="3:20">
      <c r="C569" s="152" t="s">
        <v>2821</v>
      </c>
      <c r="D569" s="474" t="s">
        <v>676</v>
      </c>
      <c r="E569" s="684" t="str">
        <f>+VLOOKUP(F569,Resumen_Base!$C$8:$G$156,5,0)</f>
        <v>Gun Rental</v>
      </c>
      <c r="F569" s="152" t="s">
        <v>303</v>
      </c>
      <c r="G569" s="152" t="s">
        <v>304</v>
      </c>
      <c r="H569" s="152" t="str">
        <f t="shared" si="8"/>
        <v>CAR4120</v>
      </c>
      <c r="I569" s="513">
        <v>-730600</v>
      </c>
      <c r="J569" s="513">
        <v>-520</v>
      </c>
      <c r="K569" s="513">
        <v>1405</v>
      </c>
      <c r="L569" s="518" t="s">
        <v>3493</v>
      </c>
      <c r="M569" s="152" t="s">
        <v>1566</v>
      </c>
      <c r="N569" s="152" t="s">
        <v>1407</v>
      </c>
      <c r="O569" s="152" t="s">
        <v>4440</v>
      </c>
      <c r="P569" s="152" t="s">
        <v>4279</v>
      </c>
      <c r="Q569" s="152" t="s">
        <v>4441</v>
      </c>
      <c r="R569" s="152" t="s">
        <v>4442</v>
      </c>
      <c r="S569" s="152" t="s">
        <v>4443</v>
      </c>
      <c r="T569" s="152" t="s">
        <v>786</v>
      </c>
    </row>
    <row r="570" spans="3:20">
      <c r="C570" s="152" t="s">
        <v>2821</v>
      </c>
      <c r="D570" s="474" t="s">
        <v>676</v>
      </c>
      <c r="E570" s="684" t="str">
        <f>+VLOOKUP(F570,Resumen_Base!$C$8:$G$156,5,0)</f>
        <v>Gun Rental</v>
      </c>
      <c r="F570" s="152" t="s">
        <v>303</v>
      </c>
      <c r="G570" s="152" t="s">
        <v>304</v>
      </c>
      <c r="H570" s="152" t="str">
        <f t="shared" si="8"/>
        <v>CAR4120</v>
      </c>
      <c r="I570" s="513">
        <v>-730600</v>
      </c>
      <c r="J570" s="513">
        <v>-520</v>
      </c>
      <c r="K570" s="513">
        <v>1405</v>
      </c>
      <c r="L570" s="518" t="s">
        <v>3493</v>
      </c>
      <c r="M570" s="152" t="s">
        <v>1566</v>
      </c>
      <c r="N570" s="152" t="s">
        <v>1407</v>
      </c>
      <c r="O570" s="152" t="s">
        <v>4444</v>
      </c>
      <c r="P570" s="152" t="s">
        <v>4279</v>
      </c>
      <c r="Q570" s="152" t="s">
        <v>4445</v>
      </c>
      <c r="R570" s="152" t="s">
        <v>4442</v>
      </c>
      <c r="S570" s="152" t="s">
        <v>4446</v>
      </c>
      <c r="T570" s="152" t="s">
        <v>786</v>
      </c>
    </row>
    <row r="571" spans="3:20">
      <c r="C571" s="152" t="s">
        <v>2821</v>
      </c>
      <c r="D571" s="474" t="s">
        <v>676</v>
      </c>
      <c r="E571" s="684" t="str">
        <f>+VLOOKUP(F571,Resumen_Base!$C$8:$G$156,5,0)</f>
        <v>Gun Rental</v>
      </c>
      <c r="F571" s="152" t="s">
        <v>303</v>
      </c>
      <c r="G571" s="152" t="s">
        <v>304</v>
      </c>
      <c r="H571" s="152" t="str">
        <f t="shared" si="8"/>
        <v>CAR4120</v>
      </c>
      <c r="I571" s="513">
        <v>-730600</v>
      </c>
      <c r="J571" s="513">
        <v>-520</v>
      </c>
      <c r="K571" s="513">
        <v>1405</v>
      </c>
      <c r="L571" s="518" t="s">
        <v>3493</v>
      </c>
      <c r="M571" s="152" t="s">
        <v>1566</v>
      </c>
      <c r="N571" s="152" t="s">
        <v>1407</v>
      </c>
      <c r="O571" s="152" t="s">
        <v>4447</v>
      </c>
      <c r="P571" s="152" t="s">
        <v>4279</v>
      </c>
      <c r="Q571" s="152" t="s">
        <v>4448</v>
      </c>
      <c r="R571" s="152" t="s">
        <v>4442</v>
      </c>
      <c r="S571" s="152" t="s">
        <v>4449</v>
      </c>
      <c r="T571" s="152" t="s">
        <v>786</v>
      </c>
    </row>
    <row r="572" spans="3:20">
      <c r="C572" s="152" t="s">
        <v>2821</v>
      </c>
      <c r="D572" s="474" t="s">
        <v>676</v>
      </c>
      <c r="E572" s="684" t="str">
        <f>+VLOOKUP(F572,Resumen_Base!$C$8:$G$156,5,0)</f>
        <v>Gun Rental</v>
      </c>
      <c r="F572" s="152" t="s">
        <v>303</v>
      </c>
      <c r="G572" s="152" t="s">
        <v>304</v>
      </c>
      <c r="H572" s="152" t="str">
        <f t="shared" si="8"/>
        <v>CAR4120</v>
      </c>
      <c r="I572" s="513">
        <v>-730600</v>
      </c>
      <c r="J572" s="513">
        <v>-520</v>
      </c>
      <c r="K572" s="513">
        <v>1405</v>
      </c>
      <c r="L572" s="518" t="s">
        <v>3493</v>
      </c>
      <c r="M572" s="152" t="s">
        <v>1566</v>
      </c>
      <c r="N572" s="152" t="s">
        <v>1407</v>
      </c>
      <c r="O572" s="152" t="s">
        <v>4450</v>
      </c>
      <c r="P572" s="152" t="s">
        <v>4279</v>
      </c>
      <c r="Q572" s="152" t="s">
        <v>4451</v>
      </c>
      <c r="R572" s="152" t="s">
        <v>4442</v>
      </c>
      <c r="S572" s="152" t="s">
        <v>4452</v>
      </c>
      <c r="T572" s="152" t="s">
        <v>786</v>
      </c>
    </row>
    <row r="573" spans="3:20">
      <c r="C573" s="152" t="s">
        <v>2821</v>
      </c>
      <c r="D573" s="474" t="s">
        <v>676</v>
      </c>
      <c r="E573" s="684" t="str">
        <f>+VLOOKUP(F573,Resumen_Base!$C$8:$G$156,5,0)</f>
        <v>Gun Rental</v>
      </c>
      <c r="F573" s="152" t="s">
        <v>303</v>
      </c>
      <c r="G573" s="152" t="s">
        <v>304</v>
      </c>
      <c r="H573" s="152" t="str">
        <f t="shared" si="8"/>
        <v>CAR4120</v>
      </c>
      <c r="I573" s="513">
        <v>-551850</v>
      </c>
      <c r="J573" s="513">
        <v>-390</v>
      </c>
      <c r="K573" s="513">
        <v>1415</v>
      </c>
      <c r="L573" s="518" t="s">
        <v>3511</v>
      </c>
      <c r="M573" s="152" t="s">
        <v>1566</v>
      </c>
      <c r="N573" s="152" t="s">
        <v>1407</v>
      </c>
      <c r="O573" s="152" t="s">
        <v>4453</v>
      </c>
      <c r="P573" s="152" t="s">
        <v>4279</v>
      </c>
      <c r="Q573" s="152" t="s">
        <v>4454</v>
      </c>
      <c r="R573" s="152" t="s">
        <v>4455</v>
      </c>
      <c r="S573" s="152" t="s">
        <v>4456</v>
      </c>
      <c r="T573" s="152" t="s">
        <v>786</v>
      </c>
    </row>
    <row r="574" spans="3:20">
      <c r="C574" s="152" t="s">
        <v>2821</v>
      </c>
      <c r="D574" s="474" t="s">
        <v>676</v>
      </c>
      <c r="E574" s="684" t="str">
        <f>+VLOOKUP(F574,Resumen_Base!$C$8:$G$156,5,0)</f>
        <v>Gun Rental</v>
      </c>
      <c r="F574" s="152" t="s">
        <v>303</v>
      </c>
      <c r="G574" s="152" t="s">
        <v>304</v>
      </c>
      <c r="H574" s="152" t="str">
        <f t="shared" si="8"/>
        <v>CAR4120</v>
      </c>
      <c r="I574" s="513">
        <v>-551850</v>
      </c>
      <c r="J574" s="513">
        <v>-390</v>
      </c>
      <c r="K574" s="513">
        <v>1415</v>
      </c>
      <c r="L574" s="518" t="s">
        <v>3511</v>
      </c>
      <c r="M574" s="152" t="s">
        <v>1566</v>
      </c>
      <c r="N574" s="152" t="s">
        <v>1407</v>
      </c>
      <c r="O574" s="152" t="s">
        <v>4457</v>
      </c>
      <c r="P574" s="152" t="s">
        <v>4279</v>
      </c>
      <c r="Q574" s="152" t="s">
        <v>4458</v>
      </c>
      <c r="R574" s="152" t="s">
        <v>4455</v>
      </c>
      <c r="S574" s="152" t="s">
        <v>4459</v>
      </c>
      <c r="T574" s="152" t="s">
        <v>786</v>
      </c>
    </row>
    <row r="575" spans="3:20">
      <c r="C575" s="152" t="s">
        <v>2821</v>
      </c>
      <c r="D575" s="474" t="s">
        <v>676</v>
      </c>
      <c r="E575" s="684" t="str">
        <f>+VLOOKUP(F575,Resumen_Base!$C$8:$G$156,5,0)</f>
        <v>Gun Rental</v>
      </c>
      <c r="F575" s="152" t="s">
        <v>303</v>
      </c>
      <c r="G575" s="152" t="s">
        <v>304</v>
      </c>
      <c r="H575" s="152" t="str">
        <f t="shared" si="8"/>
        <v>CAR4120</v>
      </c>
      <c r="I575" s="513">
        <v>-551850</v>
      </c>
      <c r="J575" s="513">
        <v>-390</v>
      </c>
      <c r="K575" s="513">
        <v>1415</v>
      </c>
      <c r="L575" s="518" t="s">
        <v>3511</v>
      </c>
      <c r="M575" s="152" t="s">
        <v>1566</v>
      </c>
      <c r="N575" s="152" t="s">
        <v>1407</v>
      </c>
      <c r="O575" s="152" t="s">
        <v>4460</v>
      </c>
      <c r="P575" s="152" t="s">
        <v>4279</v>
      </c>
      <c r="Q575" s="152" t="s">
        <v>4461</v>
      </c>
      <c r="R575" s="152" t="s">
        <v>4455</v>
      </c>
      <c r="S575" s="152" t="s">
        <v>4462</v>
      </c>
      <c r="T575" s="152" t="s">
        <v>786</v>
      </c>
    </row>
    <row r="576" spans="3:20">
      <c r="C576" s="152" t="s">
        <v>2821</v>
      </c>
      <c r="D576" s="474" t="s">
        <v>676</v>
      </c>
      <c r="E576" s="684" t="str">
        <f>+VLOOKUP(F576,Resumen_Base!$C$8:$G$156,5,0)</f>
        <v>Gun Rental</v>
      </c>
      <c r="F576" s="152" t="s">
        <v>303</v>
      </c>
      <c r="G576" s="152" t="s">
        <v>304</v>
      </c>
      <c r="H576" s="152" t="str">
        <f t="shared" si="8"/>
        <v>CAR4120</v>
      </c>
      <c r="I576" s="513">
        <v>-551850</v>
      </c>
      <c r="J576" s="513">
        <v>-390</v>
      </c>
      <c r="K576" s="513">
        <v>1415</v>
      </c>
      <c r="L576" s="518" t="s">
        <v>3511</v>
      </c>
      <c r="M576" s="152" t="s">
        <v>1566</v>
      </c>
      <c r="N576" s="152" t="s">
        <v>1407</v>
      </c>
      <c r="O576" s="152" t="s">
        <v>4463</v>
      </c>
      <c r="P576" s="152" t="s">
        <v>4279</v>
      </c>
      <c r="Q576" s="152" t="s">
        <v>4464</v>
      </c>
      <c r="R576" s="152" t="s">
        <v>4455</v>
      </c>
      <c r="S576" s="152" t="s">
        <v>4465</v>
      </c>
      <c r="T576" s="152" t="s">
        <v>786</v>
      </c>
    </row>
    <row r="577" spans="3:20">
      <c r="C577" s="152" t="s">
        <v>2821</v>
      </c>
      <c r="D577" s="474" t="s">
        <v>676</v>
      </c>
      <c r="E577" s="684" t="str">
        <f>+VLOOKUP(F577,Resumen_Base!$C$8:$G$156,5,0)</f>
        <v>Gun Rental</v>
      </c>
      <c r="F577" s="152" t="s">
        <v>303</v>
      </c>
      <c r="G577" s="152" t="s">
        <v>304</v>
      </c>
      <c r="H577" s="152" t="str">
        <f t="shared" si="8"/>
        <v>CAR4120</v>
      </c>
      <c r="I577" s="513">
        <v>-551850</v>
      </c>
      <c r="J577" s="513">
        <v>-390</v>
      </c>
      <c r="K577" s="513">
        <v>1415</v>
      </c>
      <c r="L577" s="518" t="s">
        <v>3511</v>
      </c>
      <c r="M577" s="152" t="s">
        <v>1566</v>
      </c>
      <c r="N577" s="152" t="s">
        <v>1407</v>
      </c>
      <c r="O577" s="152" t="s">
        <v>4470</v>
      </c>
      <c r="P577" s="152" t="s">
        <v>4279</v>
      </c>
      <c r="Q577" s="152" t="s">
        <v>4471</v>
      </c>
      <c r="R577" s="152" t="s">
        <v>4472</v>
      </c>
      <c r="S577" s="152" t="s">
        <v>4473</v>
      </c>
      <c r="T577" s="152" t="s">
        <v>786</v>
      </c>
    </row>
    <row r="578" spans="3:20">
      <c r="C578" s="152" t="s">
        <v>2821</v>
      </c>
      <c r="D578" s="474" t="s">
        <v>676</v>
      </c>
      <c r="E578" s="684" t="str">
        <f>+VLOOKUP(F578,Resumen_Base!$C$8:$G$156,5,0)</f>
        <v>Gun Rental</v>
      </c>
      <c r="F578" s="152" t="s">
        <v>303</v>
      </c>
      <c r="G578" s="152" t="s">
        <v>304</v>
      </c>
      <c r="H578" s="152" t="str">
        <f t="shared" si="8"/>
        <v>CAR4120</v>
      </c>
      <c r="I578" s="513">
        <v>-551850</v>
      </c>
      <c r="J578" s="513">
        <v>-390</v>
      </c>
      <c r="K578" s="513">
        <v>1415</v>
      </c>
      <c r="L578" s="518" t="s">
        <v>3511</v>
      </c>
      <c r="M578" s="152" t="s">
        <v>1566</v>
      </c>
      <c r="N578" s="152" t="s">
        <v>1407</v>
      </c>
      <c r="O578" s="152" t="s">
        <v>4474</v>
      </c>
      <c r="P578" s="152" t="s">
        <v>4279</v>
      </c>
      <c r="Q578" s="152" t="s">
        <v>4475</v>
      </c>
      <c r="R578" s="152" t="s">
        <v>4472</v>
      </c>
      <c r="S578" s="152" t="s">
        <v>4476</v>
      </c>
      <c r="T578" s="152" t="s">
        <v>786</v>
      </c>
    </row>
    <row r="579" spans="3:20">
      <c r="C579" s="152" t="s">
        <v>2821</v>
      </c>
      <c r="D579" s="474" t="s">
        <v>676</v>
      </c>
      <c r="E579" s="684" t="str">
        <f>+VLOOKUP(F579,Resumen_Base!$C$8:$G$156,5,0)</f>
        <v>Gun Rental</v>
      </c>
      <c r="F579" s="152" t="s">
        <v>303</v>
      </c>
      <c r="G579" s="152" t="s">
        <v>304</v>
      </c>
      <c r="H579" s="152" t="str">
        <f t="shared" si="8"/>
        <v>CAR4120</v>
      </c>
      <c r="I579" s="513">
        <v>-551850</v>
      </c>
      <c r="J579" s="513">
        <v>-390</v>
      </c>
      <c r="K579" s="513">
        <v>1415</v>
      </c>
      <c r="L579" s="518" t="s">
        <v>3511</v>
      </c>
      <c r="M579" s="152" t="s">
        <v>1566</v>
      </c>
      <c r="N579" s="152" t="s">
        <v>1407</v>
      </c>
      <c r="O579" s="152" t="s">
        <v>4477</v>
      </c>
      <c r="P579" s="152" t="s">
        <v>4279</v>
      </c>
      <c r="Q579" s="152" t="s">
        <v>4478</v>
      </c>
      <c r="R579" s="152" t="s">
        <v>4472</v>
      </c>
      <c r="S579" s="152" t="s">
        <v>4479</v>
      </c>
      <c r="T579" s="152" t="s">
        <v>786</v>
      </c>
    </row>
    <row r="580" spans="3:20">
      <c r="C580" s="152" t="s">
        <v>2821</v>
      </c>
      <c r="D580" s="474" t="s">
        <v>676</v>
      </c>
      <c r="E580" s="684" t="str">
        <f>+VLOOKUP(F580,Resumen_Base!$C$8:$G$156,5,0)</f>
        <v>Gun Rental</v>
      </c>
      <c r="F580" s="152" t="s">
        <v>303</v>
      </c>
      <c r="G580" s="152" t="s">
        <v>304</v>
      </c>
      <c r="H580" s="152" t="str">
        <f t="shared" si="8"/>
        <v>CAR4120</v>
      </c>
      <c r="I580" s="513">
        <v>-551850</v>
      </c>
      <c r="J580" s="513">
        <v>-390</v>
      </c>
      <c r="K580" s="513">
        <v>1415</v>
      </c>
      <c r="L580" s="518" t="s">
        <v>3511</v>
      </c>
      <c r="M580" s="152" t="s">
        <v>1566</v>
      </c>
      <c r="N580" s="152" t="s">
        <v>1407</v>
      </c>
      <c r="O580" s="152" t="s">
        <v>4480</v>
      </c>
      <c r="P580" s="152" t="s">
        <v>4279</v>
      </c>
      <c r="Q580" s="152" t="s">
        <v>4481</v>
      </c>
      <c r="R580" s="152" t="s">
        <v>4472</v>
      </c>
      <c r="S580" s="152" t="s">
        <v>4482</v>
      </c>
      <c r="T580" s="152" t="s">
        <v>786</v>
      </c>
    </row>
    <row r="581" spans="3:20">
      <c r="C581" s="152" t="s">
        <v>2821</v>
      </c>
      <c r="D581" s="474" t="s">
        <v>676</v>
      </c>
      <c r="E581" s="684" t="str">
        <f>+VLOOKUP(F581,Resumen_Base!$C$8:$G$156,5,0)</f>
        <v>Gun Rental</v>
      </c>
      <c r="F581" s="152" t="s">
        <v>303</v>
      </c>
      <c r="G581" s="152" t="s">
        <v>304</v>
      </c>
      <c r="H581" s="152" t="str">
        <f t="shared" si="8"/>
        <v>CAR4120</v>
      </c>
      <c r="I581" s="513">
        <v>-655200</v>
      </c>
      <c r="J581" s="513">
        <v>-455</v>
      </c>
      <c r="K581" s="513">
        <v>1440</v>
      </c>
      <c r="L581" s="518" t="s">
        <v>3517</v>
      </c>
      <c r="M581" s="152" t="s">
        <v>1566</v>
      </c>
      <c r="N581" s="152" t="s">
        <v>1407</v>
      </c>
      <c r="O581" s="152" t="s">
        <v>4483</v>
      </c>
      <c r="P581" s="152" t="s">
        <v>1881</v>
      </c>
      <c r="Q581" s="152" t="s">
        <v>4484</v>
      </c>
      <c r="R581" s="152" t="s">
        <v>4485</v>
      </c>
      <c r="S581" s="152" t="s">
        <v>4486</v>
      </c>
      <c r="T581" s="152" t="s">
        <v>786</v>
      </c>
    </row>
    <row r="582" spans="3:20">
      <c r="C582" s="152" t="s">
        <v>2821</v>
      </c>
      <c r="D582" s="474" t="s">
        <v>676</v>
      </c>
      <c r="E582" s="684" t="str">
        <f>+VLOOKUP(F582,Resumen_Base!$C$8:$G$156,5,0)</f>
        <v>Gun Rental</v>
      </c>
      <c r="F582" s="152" t="s">
        <v>303</v>
      </c>
      <c r="G582" s="152" t="s">
        <v>304</v>
      </c>
      <c r="H582" s="152" t="str">
        <f t="shared" si="8"/>
        <v>CAR4120</v>
      </c>
      <c r="I582" s="513">
        <v>-655200</v>
      </c>
      <c r="J582" s="513">
        <v>-455</v>
      </c>
      <c r="K582" s="513">
        <v>1440</v>
      </c>
      <c r="L582" s="518" t="s">
        <v>3517</v>
      </c>
      <c r="M582" s="152" t="s">
        <v>1566</v>
      </c>
      <c r="N582" s="152" t="s">
        <v>1407</v>
      </c>
      <c r="O582" s="152" t="s">
        <v>4487</v>
      </c>
      <c r="P582" s="152" t="s">
        <v>1881</v>
      </c>
      <c r="Q582" s="152" t="s">
        <v>4488</v>
      </c>
      <c r="R582" s="152" t="s">
        <v>4485</v>
      </c>
      <c r="S582" s="152" t="s">
        <v>4489</v>
      </c>
      <c r="T582" s="152" t="s">
        <v>786</v>
      </c>
    </row>
    <row r="583" spans="3:20">
      <c r="C583" s="152" t="s">
        <v>2821</v>
      </c>
      <c r="D583" s="474" t="s">
        <v>676</v>
      </c>
      <c r="E583" s="684" t="str">
        <f>+VLOOKUP(F583,Resumen_Base!$C$8:$G$156,5,0)</f>
        <v>Gun Rental</v>
      </c>
      <c r="F583" s="152" t="s">
        <v>303</v>
      </c>
      <c r="G583" s="152" t="s">
        <v>304</v>
      </c>
      <c r="H583" s="152" t="str">
        <f t="shared" si="8"/>
        <v>CAR4120</v>
      </c>
      <c r="I583" s="513">
        <v>-655200</v>
      </c>
      <c r="J583" s="513">
        <v>-455</v>
      </c>
      <c r="K583" s="513">
        <v>1440</v>
      </c>
      <c r="L583" s="518" t="s">
        <v>3517</v>
      </c>
      <c r="M583" s="152" t="s">
        <v>1566</v>
      </c>
      <c r="N583" s="152" t="s">
        <v>1407</v>
      </c>
      <c r="O583" s="152" t="s">
        <v>4490</v>
      </c>
      <c r="P583" s="152" t="s">
        <v>1881</v>
      </c>
      <c r="Q583" s="152" t="s">
        <v>4491</v>
      </c>
      <c r="R583" s="152" t="s">
        <v>4485</v>
      </c>
      <c r="S583" s="152" t="s">
        <v>4492</v>
      </c>
      <c r="T583" s="152" t="s">
        <v>786</v>
      </c>
    </row>
    <row r="584" spans="3:20">
      <c r="C584" s="152" t="s">
        <v>2821</v>
      </c>
      <c r="D584" s="474" t="s">
        <v>676</v>
      </c>
      <c r="E584" s="684" t="str">
        <f>+VLOOKUP(F584,Resumen_Base!$C$8:$G$156,5,0)</f>
        <v>Gun Rental</v>
      </c>
      <c r="F584" s="152" t="s">
        <v>303</v>
      </c>
      <c r="G584" s="152" t="s">
        <v>304</v>
      </c>
      <c r="H584" s="152" t="str">
        <f t="shared" si="8"/>
        <v>CAR4120</v>
      </c>
      <c r="I584" s="513">
        <v>-561600</v>
      </c>
      <c r="J584" s="513">
        <v>-390</v>
      </c>
      <c r="K584" s="513">
        <v>1440</v>
      </c>
      <c r="L584" s="518" t="s">
        <v>3517</v>
      </c>
      <c r="M584" s="152" t="s">
        <v>1566</v>
      </c>
      <c r="N584" s="152" t="s">
        <v>1407</v>
      </c>
      <c r="O584" s="152" t="s">
        <v>4493</v>
      </c>
      <c r="P584" s="152" t="s">
        <v>1881</v>
      </c>
      <c r="Q584" s="152" t="s">
        <v>4494</v>
      </c>
      <c r="R584" s="152" t="s">
        <v>4485</v>
      </c>
      <c r="S584" s="152" t="s">
        <v>4495</v>
      </c>
      <c r="T584" s="152" t="s">
        <v>786</v>
      </c>
    </row>
    <row r="585" spans="3:20">
      <c r="C585" s="152" t="s">
        <v>2821</v>
      </c>
      <c r="D585" s="474" t="s">
        <v>676</v>
      </c>
      <c r="E585" s="684" t="str">
        <f>+VLOOKUP(F585,Resumen_Base!$C$8:$G$156,5,0)</f>
        <v>Gun Rental</v>
      </c>
      <c r="F585" s="152" t="s">
        <v>303</v>
      </c>
      <c r="G585" s="152" t="s">
        <v>304</v>
      </c>
      <c r="H585" s="152" t="str">
        <f t="shared" si="8"/>
        <v>CAR4120</v>
      </c>
      <c r="I585" s="513">
        <v>-639275</v>
      </c>
      <c r="J585" s="513">
        <v>-455</v>
      </c>
      <c r="K585" s="513">
        <v>1405</v>
      </c>
      <c r="L585" s="518" t="s">
        <v>3493</v>
      </c>
      <c r="M585" s="152" t="s">
        <v>1566</v>
      </c>
      <c r="N585" s="152" t="s">
        <v>1407</v>
      </c>
      <c r="O585" s="152" t="s">
        <v>4496</v>
      </c>
      <c r="P585" s="152" t="s">
        <v>4279</v>
      </c>
      <c r="Q585" s="152" t="s">
        <v>4497</v>
      </c>
      <c r="R585" s="152" t="s">
        <v>4498</v>
      </c>
      <c r="S585" s="152" t="s">
        <v>4499</v>
      </c>
      <c r="T585" s="152" t="s">
        <v>786</v>
      </c>
    </row>
    <row r="586" spans="3:20">
      <c r="C586" s="152" t="s">
        <v>2821</v>
      </c>
      <c r="D586" s="474" t="s">
        <v>676</v>
      </c>
      <c r="E586" s="684" t="str">
        <f>+VLOOKUP(F586,Resumen_Base!$C$8:$G$156,5,0)</f>
        <v>Gun Rental</v>
      </c>
      <c r="F586" s="152" t="s">
        <v>303</v>
      </c>
      <c r="G586" s="152" t="s">
        <v>304</v>
      </c>
      <c r="H586" s="152" t="str">
        <f t="shared" si="8"/>
        <v>CAR4120</v>
      </c>
      <c r="I586" s="513">
        <v>-639275</v>
      </c>
      <c r="J586" s="513">
        <v>-455</v>
      </c>
      <c r="K586" s="513">
        <v>1405</v>
      </c>
      <c r="L586" s="518" t="s">
        <v>3493</v>
      </c>
      <c r="M586" s="152" t="s">
        <v>1566</v>
      </c>
      <c r="N586" s="152" t="s">
        <v>1407</v>
      </c>
      <c r="O586" s="152" t="s">
        <v>4500</v>
      </c>
      <c r="P586" s="152" t="s">
        <v>4279</v>
      </c>
      <c r="Q586" s="152" t="s">
        <v>4501</v>
      </c>
      <c r="R586" s="152" t="s">
        <v>4498</v>
      </c>
      <c r="S586" s="152" t="s">
        <v>4502</v>
      </c>
      <c r="T586" s="152" t="s">
        <v>786</v>
      </c>
    </row>
    <row r="587" spans="3:20">
      <c r="C587" s="152" t="s">
        <v>2821</v>
      </c>
      <c r="D587" s="474" t="s">
        <v>676</v>
      </c>
      <c r="E587" s="684" t="str">
        <f>+VLOOKUP(F587,Resumen_Base!$C$8:$G$156,5,0)</f>
        <v>Gun Rental</v>
      </c>
      <c r="F587" s="152" t="s">
        <v>303</v>
      </c>
      <c r="G587" s="152" t="s">
        <v>304</v>
      </c>
      <c r="H587" s="152" t="str">
        <f t="shared" si="8"/>
        <v>CAR4120</v>
      </c>
      <c r="I587" s="513">
        <v>-456625</v>
      </c>
      <c r="J587" s="513">
        <v>-325</v>
      </c>
      <c r="K587" s="513">
        <v>1405</v>
      </c>
      <c r="L587" s="518" t="s">
        <v>3493</v>
      </c>
      <c r="M587" s="152" t="s">
        <v>1566</v>
      </c>
      <c r="N587" s="152" t="s">
        <v>1407</v>
      </c>
      <c r="O587" s="152" t="s">
        <v>4503</v>
      </c>
      <c r="P587" s="152" t="s">
        <v>4279</v>
      </c>
      <c r="Q587" s="152" t="s">
        <v>4504</v>
      </c>
      <c r="R587" s="152" t="s">
        <v>4498</v>
      </c>
      <c r="S587" s="152" t="s">
        <v>4505</v>
      </c>
      <c r="T587" s="152" t="s">
        <v>786</v>
      </c>
    </row>
    <row r="588" spans="3:20">
      <c r="C588" s="152" t="s">
        <v>2821</v>
      </c>
      <c r="D588" s="474" t="s">
        <v>676</v>
      </c>
      <c r="E588" s="684" t="str">
        <f>+VLOOKUP(F588,Resumen_Base!$C$8:$G$156,5,0)</f>
        <v>Gun Rental</v>
      </c>
      <c r="F588" s="152" t="s">
        <v>303</v>
      </c>
      <c r="G588" s="152" t="s">
        <v>304</v>
      </c>
      <c r="H588" s="152" t="str">
        <f t="shared" si="8"/>
        <v>CAR4120</v>
      </c>
      <c r="I588" s="513">
        <v>-639275</v>
      </c>
      <c r="J588" s="513">
        <v>-455</v>
      </c>
      <c r="K588" s="513">
        <v>1405</v>
      </c>
      <c r="L588" s="518" t="s">
        <v>3493</v>
      </c>
      <c r="M588" s="152" t="s">
        <v>1566</v>
      </c>
      <c r="N588" s="152" t="s">
        <v>1407</v>
      </c>
      <c r="O588" s="152" t="s">
        <v>4506</v>
      </c>
      <c r="P588" s="152" t="s">
        <v>4279</v>
      </c>
      <c r="Q588" s="152" t="s">
        <v>4507</v>
      </c>
      <c r="R588" s="152" t="s">
        <v>4498</v>
      </c>
      <c r="S588" s="152" t="s">
        <v>4508</v>
      </c>
      <c r="T588" s="152" t="s">
        <v>786</v>
      </c>
    </row>
    <row r="589" spans="3:20">
      <c r="C589" s="152" t="s">
        <v>2821</v>
      </c>
      <c r="D589" s="474" t="s">
        <v>676</v>
      </c>
      <c r="E589" s="684" t="str">
        <f>+VLOOKUP(F589,Resumen_Base!$C$8:$G$156,5,0)</f>
        <v>Gun Rental</v>
      </c>
      <c r="F589" s="152" t="s">
        <v>303</v>
      </c>
      <c r="G589" s="152" t="s">
        <v>304</v>
      </c>
      <c r="H589" s="152" t="str">
        <f t="shared" ref="H589:H652" si="9">+D589&amp;F589</f>
        <v>CAR4120</v>
      </c>
      <c r="I589" s="513">
        <v>-546000</v>
      </c>
      <c r="J589" s="513">
        <v>-390</v>
      </c>
      <c r="K589" s="513">
        <v>1400</v>
      </c>
      <c r="L589" s="518" t="s">
        <v>3659</v>
      </c>
      <c r="M589" s="152" t="s">
        <v>1566</v>
      </c>
      <c r="N589" s="152" t="s">
        <v>1407</v>
      </c>
      <c r="O589" s="152" t="s">
        <v>4509</v>
      </c>
      <c r="P589" s="152" t="s">
        <v>4279</v>
      </c>
      <c r="Q589" s="152" t="s">
        <v>4510</v>
      </c>
      <c r="R589" s="152" t="s">
        <v>4511</v>
      </c>
      <c r="S589" s="152" t="s">
        <v>4512</v>
      </c>
      <c r="T589" s="152" t="s">
        <v>786</v>
      </c>
    </row>
    <row r="590" spans="3:20">
      <c r="C590" s="152" t="s">
        <v>2821</v>
      </c>
      <c r="D590" s="474" t="s">
        <v>676</v>
      </c>
      <c r="E590" s="684" t="str">
        <f>+VLOOKUP(F590,Resumen_Base!$C$8:$G$156,5,0)</f>
        <v>Gun Rental</v>
      </c>
      <c r="F590" s="152" t="s">
        <v>303</v>
      </c>
      <c r="G590" s="152" t="s">
        <v>304</v>
      </c>
      <c r="H590" s="152" t="str">
        <f t="shared" si="9"/>
        <v>CAR4120</v>
      </c>
      <c r="I590" s="513">
        <v>-637000</v>
      </c>
      <c r="J590" s="513">
        <v>-455</v>
      </c>
      <c r="K590" s="513">
        <v>1400</v>
      </c>
      <c r="L590" s="518" t="s">
        <v>3659</v>
      </c>
      <c r="M590" s="152" t="s">
        <v>1566</v>
      </c>
      <c r="N590" s="152" t="s">
        <v>1407</v>
      </c>
      <c r="O590" s="152" t="s">
        <v>4513</v>
      </c>
      <c r="P590" s="152" t="s">
        <v>4279</v>
      </c>
      <c r="Q590" s="152" t="s">
        <v>4514</v>
      </c>
      <c r="R590" s="152" t="s">
        <v>4511</v>
      </c>
      <c r="S590" s="152" t="s">
        <v>4515</v>
      </c>
      <c r="T590" s="152" t="s">
        <v>786</v>
      </c>
    </row>
    <row r="591" spans="3:20">
      <c r="C591" s="152" t="s">
        <v>2821</v>
      </c>
      <c r="D591" s="474" t="s">
        <v>676</v>
      </c>
      <c r="E591" s="684" t="str">
        <f>+VLOOKUP(F591,Resumen_Base!$C$8:$G$156,5,0)</f>
        <v>Gun Rental</v>
      </c>
      <c r="F591" s="152" t="s">
        <v>303</v>
      </c>
      <c r="G591" s="152" t="s">
        <v>304</v>
      </c>
      <c r="H591" s="152" t="str">
        <f t="shared" si="9"/>
        <v>CAR4120</v>
      </c>
      <c r="I591" s="513">
        <v>-551850</v>
      </c>
      <c r="J591" s="513">
        <v>-390</v>
      </c>
      <c r="K591" s="513">
        <v>1415</v>
      </c>
      <c r="L591" s="518" t="s">
        <v>3632</v>
      </c>
      <c r="M591" s="152" t="s">
        <v>1566</v>
      </c>
      <c r="N591" s="152" t="s">
        <v>1407</v>
      </c>
      <c r="O591" s="152" t="s">
        <v>4516</v>
      </c>
      <c r="P591" s="152" t="s">
        <v>4279</v>
      </c>
      <c r="Q591" s="152" t="s">
        <v>4517</v>
      </c>
      <c r="R591" s="152" t="s">
        <v>4518</v>
      </c>
      <c r="S591" s="152" t="s">
        <v>4519</v>
      </c>
      <c r="T591" s="152" t="s">
        <v>786</v>
      </c>
    </row>
    <row r="592" spans="3:20">
      <c r="C592" s="152" t="s">
        <v>2821</v>
      </c>
      <c r="D592" s="474" t="s">
        <v>676</v>
      </c>
      <c r="E592" s="684" t="str">
        <f>+VLOOKUP(F592,Resumen_Base!$C$8:$G$156,5,0)</f>
        <v>Gun Rental</v>
      </c>
      <c r="F592" s="152" t="s">
        <v>303</v>
      </c>
      <c r="G592" s="152" t="s">
        <v>304</v>
      </c>
      <c r="H592" s="152" t="str">
        <f t="shared" si="9"/>
        <v>CAR4120</v>
      </c>
      <c r="I592" s="513">
        <v>-551850</v>
      </c>
      <c r="J592" s="513">
        <v>-390</v>
      </c>
      <c r="K592" s="513">
        <v>1415</v>
      </c>
      <c r="L592" s="518" t="s">
        <v>3632</v>
      </c>
      <c r="M592" s="152" t="s">
        <v>1566</v>
      </c>
      <c r="N592" s="152" t="s">
        <v>1407</v>
      </c>
      <c r="O592" s="152" t="s">
        <v>4520</v>
      </c>
      <c r="P592" s="152" t="s">
        <v>4279</v>
      </c>
      <c r="Q592" s="152" t="s">
        <v>4521</v>
      </c>
      <c r="R592" s="152" t="s">
        <v>4518</v>
      </c>
      <c r="S592" s="152" t="s">
        <v>4522</v>
      </c>
      <c r="T592" s="152" t="s">
        <v>786</v>
      </c>
    </row>
    <row r="593" spans="3:20">
      <c r="C593" s="152" t="s">
        <v>2821</v>
      </c>
      <c r="D593" s="474" t="s">
        <v>676</v>
      </c>
      <c r="E593" s="684" t="str">
        <f>+VLOOKUP(F593,Resumen_Base!$C$8:$G$156,5,0)</f>
        <v>Gun Rental</v>
      </c>
      <c r="F593" s="152" t="s">
        <v>303</v>
      </c>
      <c r="G593" s="152" t="s">
        <v>304</v>
      </c>
      <c r="H593" s="152" t="str">
        <f t="shared" si="9"/>
        <v>CAR4120</v>
      </c>
      <c r="I593" s="513">
        <v>-459875</v>
      </c>
      <c r="J593" s="513">
        <v>-325</v>
      </c>
      <c r="K593" s="513">
        <v>1415</v>
      </c>
      <c r="L593" s="518" t="s">
        <v>3632</v>
      </c>
      <c r="M593" s="152" t="s">
        <v>1566</v>
      </c>
      <c r="N593" s="152" t="s">
        <v>1407</v>
      </c>
      <c r="O593" s="152" t="s">
        <v>4523</v>
      </c>
      <c r="P593" s="152" t="s">
        <v>4279</v>
      </c>
      <c r="Q593" s="152" t="s">
        <v>4524</v>
      </c>
      <c r="R593" s="152" t="s">
        <v>4518</v>
      </c>
      <c r="S593" s="152" t="s">
        <v>4525</v>
      </c>
      <c r="T593" s="152" t="s">
        <v>786</v>
      </c>
    </row>
    <row r="594" spans="3:20">
      <c r="C594" s="152" t="s">
        <v>2821</v>
      </c>
      <c r="D594" s="474" t="s">
        <v>676</v>
      </c>
      <c r="E594" s="684" t="str">
        <f>+VLOOKUP(F594,Resumen_Base!$C$8:$G$156,5,0)</f>
        <v>Gun Rental</v>
      </c>
      <c r="F594" s="152" t="s">
        <v>303</v>
      </c>
      <c r="G594" s="152" t="s">
        <v>304</v>
      </c>
      <c r="H594" s="152" t="str">
        <f t="shared" si="9"/>
        <v>CAR4120</v>
      </c>
      <c r="I594" s="513">
        <v>-459875</v>
      </c>
      <c r="J594" s="513">
        <v>-325</v>
      </c>
      <c r="K594" s="513">
        <v>1415</v>
      </c>
      <c r="L594" s="518" t="s">
        <v>3632</v>
      </c>
      <c r="M594" s="152" t="s">
        <v>1566</v>
      </c>
      <c r="N594" s="152" t="s">
        <v>1407</v>
      </c>
      <c r="O594" s="152" t="s">
        <v>4526</v>
      </c>
      <c r="P594" s="152" t="s">
        <v>4279</v>
      </c>
      <c r="Q594" s="152" t="s">
        <v>4527</v>
      </c>
      <c r="R594" s="152" t="s">
        <v>4518</v>
      </c>
      <c r="S594" s="152" t="s">
        <v>4528</v>
      </c>
      <c r="T594" s="152" t="s">
        <v>786</v>
      </c>
    </row>
    <row r="595" spans="3:20">
      <c r="C595" s="152" t="s">
        <v>2821</v>
      </c>
      <c r="D595" s="474" t="s">
        <v>676</v>
      </c>
      <c r="E595" s="684" t="str">
        <f>+VLOOKUP(F595,Resumen_Base!$C$8:$G$156,5,0)</f>
        <v>Gun Rental</v>
      </c>
      <c r="F595" s="152" t="s">
        <v>303</v>
      </c>
      <c r="G595" s="152" t="s">
        <v>304</v>
      </c>
      <c r="H595" s="152" t="str">
        <f t="shared" si="9"/>
        <v>CAR4120</v>
      </c>
      <c r="I595" s="513">
        <v>-549900</v>
      </c>
      <c r="J595" s="513">
        <v>-390</v>
      </c>
      <c r="K595" s="513">
        <v>1410</v>
      </c>
      <c r="L595" s="518" t="s">
        <v>3498</v>
      </c>
      <c r="M595" s="152" t="s">
        <v>1566</v>
      </c>
      <c r="N595" s="152" t="s">
        <v>1407</v>
      </c>
      <c r="O595" s="152" t="s">
        <v>4529</v>
      </c>
      <c r="P595" s="152" t="s">
        <v>4279</v>
      </c>
      <c r="Q595" s="152" t="s">
        <v>4530</v>
      </c>
      <c r="R595" s="152" t="s">
        <v>4531</v>
      </c>
      <c r="S595" s="152" t="s">
        <v>4532</v>
      </c>
      <c r="T595" s="152" t="s">
        <v>786</v>
      </c>
    </row>
    <row r="596" spans="3:20">
      <c r="C596" s="152" t="s">
        <v>2821</v>
      </c>
      <c r="D596" s="474" t="s">
        <v>676</v>
      </c>
      <c r="E596" s="684" t="str">
        <f>+VLOOKUP(F596,Resumen_Base!$C$8:$G$156,5,0)</f>
        <v>Gun Rental</v>
      </c>
      <c r="F596" s="152" t="s">
        <v>303</v>
      </c>
      <c r="G596" s="152" t="s">
        <v>304</v>
      </c>
      <c r="H596" s="152" t="str">
        <f t="shared" si="9"/>
        <v>CAR4120</v>
      </c>
      <c r="I596" s="513">
        <v>-549900</v>
      </c>
      <c r="J596" s="513">
        <v>-390</v>
      </c>
      <c r="K596" s="513">
        <v>1410</v>
      </c>
      <c r="L596" s="518" t="s">
        <v>3498</v>
      </c>
      <c r="M596" s="152" t="s">
        <v>1566</v>
      </c>
      <c r="N596" s="152" t="s">
        <v>1407</v>
      </c>
      <c r="O596" s="152" t="s">
        <v>4533</v>
      </c>
      <c r="P596" s="152" t="s">
        <v>4279</v>
      </c>
      <c r="Q596" s="152" t="s">
        <v>4534</v>
      </c>
      <c r="R596" s="152" t="s">
        <v>4531</v>
      </c>
      <c r="S596" s="152" t="s">
        <v>4535</v>
      </c>
      <c r="T596" s="152" t="s">
        <v>786</v>
      </c>
    </row>
    <row r="597" spans="3:20">
      <c r="C597" s="152" t="s">
        <v>2821</v>
      </c>
      <c r="D597" s="474" t="s">
        <v>676</v>
      </c>
      <c r="E597" s="684" t="str">
        <f>+VLOOKUP(F597,Resumen_Base!$C$8:$G$156,5,0)</f>
        <v>Gun Rental</v>
      </c>
      <c r="F597" s="152" t="s">
        <v>303</v>
      </c>
      <c r="G597" s="152" t="s">
        <v>304</v>
      </c>
      <c r="H597" s="152" t="str">
        <f t="shared" si="9"/>
        <v>CAR4120</v>
      </c>
      <c r="I597" s="513">
        <v>-549900</v>
      </c>
      <c r="J597" s="513">
        <v>-390</v>
      </c>
      <c r="K597" s="513">
        <v>1410</v>
      </c>
      <c r="L597" s="518" t="s">
        <v>3498</v>
      </c>
      <c r="M597" s="152" t="s">
        <v>1566</v>
      </c>
      <c r="N597" s="152" t="s">
        <v>1407</v>
      </c>
      <c r="O597" s="152" t="s">
        <v>4536</v>
      </c>
      <c r="P597" s="152" t="s">
        <v>4279</v>
      </c>
      <c r="Q597" s="152" t="s">
        <v>4537</v>
      </c>
      <c r="R597" s="152" t="s">
        <v>4531</v>
      </c>
      <c r="S597" s="152" t="s">
        <v>4538</v>
      </c>
      <c r="T597" s="152" t="s">
        <v>786</v>
      </c>
    </row>
    <row r="598" spans="3:20">
      <c r="C598" s="152" t="s">
        <v>2821</v>
      </c>
      <c r="D598" s="474" t="s">
        <v>676</v>
      </c>
      <c r="E598" s="684" t="str">
        <f>+VLOOKUP(F598,Resumen_Base!$C$8:$G$156,5,0)</f>
        <v>Gun Rental</v>
      </c>
      <c r="F598" s="152" t="s">
        <v>303</v>
      </c>
      <c r="G598" s="152" t="s">
        <v>304</v>
      </c>
      <c r="H598" s="152" t="str">
        <f t="shared" si="9"/>
        <v>CAR4120</v>
      </c>
      <c r="I598" s="513">
        <v>-549900</v>
      </c>
      <c r="J598" s="513">
        <v>-390</v>
      </c>
      <c r="K598" s="513">
        <v>1410</v>
      </c>
      <c r="L598" s="518" t="s">
        <v>3498</v>
      </c>
      <c r="M598" s="152" t="s">
        <v>1566</v>
      </c>
      <c r="N598" s="152" t="s">
        <v>1407</v>
      </c>
      <c r="O598" s="152" t="s">
        <v>4546</v>
      </c>
      <c r="P598" s="152" t="s">
        <v>4279</v>
      </c>
      <c r="Q598" s="152" t="s">
        <v>4547</v>
      </c>
      <c r="R598" s="152" t="s">
        <v>4548</v>
      </c>
      <c r="S598" s="152" t="s">
        <v>4549</v>
      </c>
      <c r="T598" s="152" t="s">
        <v>786</v>
      </c>
    </row>
    <row r="599" spans="3:20">
      <c r="C599" s="152" t="s">
        <v>2821</v>
      </c>
      <c r="D599" s="474" t="s">
        <v>676</v>
      </c>
      <c r="E599" s="684" t="str">
        <f>+VLOOKUP(F599,Resumen_Base!$C$8:$G$156,5,0)</f>
        <v>Gun Rental</v>
      </c>
      <c r="F599" s="152" t="s">
        <v>303</v>
      </c>
      <c r="G599" s="152" t="s">
        <v>304</v>
      </c>
      <c r="H599" s="152" t="str">
        <f t="shared" si="9"/>
        <v>CAR4120</v>
      </c>
      <c r="I599" s="513">
        <v>-549900</v>
      </c>
      <c r="J599" s="513">
        <v>-390</v>
      </c>
      <c r="K599" s="513">
        <v>1410</v>
      </c>
      <c r="L599" s="518" t="s">
        <v>3498</v>
      </c>
      <c r="M599" s="152" t="s">
        <v>1566</v>
      </c>
      <c r="N599" s="152" t="s">
        <v>1407</v>
      </c>
      <c r="O599" s="152" t="s">
        <v>4550</v>
      </c>
      <c r="P599" s="152" t="s">
        <v>4279</v>
      </c>
      <c r="Q599" s="152" t="s">
        <v>4551</v>
      </c>
      <c r="R599" s="152" t="s">
        <v>4548</v>
      </c>
      <c r="S599" s="152" t="s">
        <v>4552</v>
      </c>
      <c r="T599" s="152" t="s">
        <v>786</v>
      </c>
    </row>
    <row r="600" spans="3:20">
      <c r="C600" s="152" t="s">
        <v>2821</v>
      </c>
      <c r="D600" s="474" t="s">
        <v>676</v>
      </c>
      <c r="E600" s="684" t="str">
        <f>+VLOOKUP(F600,Resumen_Base!$C$8:$G$156,5,0)</f>
        <v>Gun Rental</v>
      </c>
      <c r="F600" s="152" t="s">
        <v>303</v>
      </c>
      <c r="G600" s="152" t="s">
        <v>304</v>
      </c>
      <c r="H600" s="152" t="str">
        <f t="shared" si="9"/>
        <v>CAR4120</v>
      </c>
      <c r="I600" s="513">
        <v>-549900</v>
      </c>
      <c r="J600" s="513">
        <v>-390</v>
      </c>
      <c r="K600" s="513">
        <v>1410</v>
      </c>
      <c r="L600" s="518" t="s">
        <v>3498</v>
      </c>
      <c r="M600" s="152" t="s">
        <v>1566</v>
      </c>
      <c r="N600" s="152" t="s">
        <v>1407</v>
      </c>
      <c r="O600" s="152" t="s">
        <v>4553</v>
      </c>
      <c r="P600" s="152" t="s">
        <v>4279</v>
      </c>
      <c r="Q600" s="152" t="s">
        <v>4554</v>
      </c>
      <c r="R600" s="152" t="s">
        <v>4548</v>
      </c>
      <c r="S600" s="152" t="s">
        <v>4555</v>
      </c>
      <c r="T600" s="152" t="s">
        <v>786</v>
      </c>
    </row>
    <row r="601" spans="3:20">
      <c r="C601" s="152" t="s">
        <v>2821</v>
      </c>
      <c r="D601" s="474" t="s">
        <v>676</v>
      </c>
      <c r="E601" s="684" t="str">
        <f>+VLOOKUP(F601,Resumen_Base!$C$8:$G$156,5,0)</f>
        <v>Gun Rental</v>
      </c>
      <c r="F601" s="152" t="s">
        <v>303</v>
      </c>
      <c r="G601" s="152" t="s">
        <v>304</v>
      </c>
      <c r="H601" s="152" t="str">
        <f t="shared" si="9"/>
        <v>CAR4120</v>
      </c>
      <c r="I601" s="513">
        <v>-549900</v>
      </c>
      <c r="J601" s="513">
        <v>-390</v>
      </c>
      <c r="K601" s="513">
        <v>1410</v>
      </c>
      <c r="L601" s="518" t="s">
        <v>3498</v>
      </c>
      <c r="M601" s="152" t="s">
        <v>1566</v>
      </c>
      <c r="N601" s="152" t="s">
        <v>1407</v>
      </c>
      <c r="O601" s="152" t="s">
        <v>4556</v>
      </c>
      <c r="P601" s="152" t="s">
        <v>4279</v>
      </c>
      <c r="Q601" s="152" t="s">
        <v>4557</v>
      </c>
      <c r="R601" s="152" t="s">
        <v>4548</v>
      </c>
      <c r="S601" s="152" t="s">
        <v>4558</v>
      </c>
      <c r="T601" s="152" t="s">
        <v>786</v>
      </c>
    </row>
    <row r="602" spans="3:20">
      <c r="C602" s="152" t="s">
        <v>2821</v>
      </c>
      <c r="D602" s="474" t="s">
        <v>676</v>
      </c>
      <c r="E602" s="684" t="str">
        <f>+VLOOKUP(F602,Resumen_Base!$C$8:$G$156,5,0)</f>
        <v>Gun Rental</v>
      </c>
      <c r="F602" s="152" t="s">
        <v>303</v>
      </c>
      <c r="G602" s="152" t="s">
        <v>304</v>
      </c>
      <c r="H602" s="152" t="str">
        <f t="shared" si="9"/>
        <v>CAR4120</v>
      </c>
      <c r="I602" s="513">
        <v>-546000</v>
      </c>
      <c r="J602" s="513">
        <v>-390</v>
      </c>
      <c r="K602" s="513">
        <v>1400</v>
      </c>
      <c r="L602" s="518" t="s">
        <v>3659</v>
      </c>
      <c r="M602" s="152" t="s">
        <v>1566</v>
      </c>
      <c r="N602" s="152" t="s">
        <v>1407</v>
      </c>
      <c r="O602" s="152" t="s">
        <v>4559</v>
      </c>
      <c r="P602" s="152" t="s">
        <v>4279</v>
      </c>
      <c r="Q602" s="152" t="s">
        <v>4560</v>
      </c>
      <c r="R602" s="152" t="s">
        <v>4561</v>
      </c>
      <c r="S602" s="152" t="s">
        <v>4562</v>
      </c>
      <c r="T602" s="152" t="s">
        <v>786</v>
      </c>
    </row>
    <row r="603" spans="3:20">
      <c r="C603" s="152" t="s">
        <v>2821</v>
      </c>
      <c r="D603" s="474" t="s">
        <v>676</v>
      </c>
      <c r="E603" s="684" t="str">
        <f>+VLOOKUP(F603,Resumen_Base!$C$8:$G$156,5,0)</f>
        <v>Gun Rental</v>
      </c>
      <c r="F603" s="152" t="s">
        <v>303</v>
      </c>
      <c r="G603" s="152" t="s">
        <v>304</v>
      </c>
      <c r="H603" s="152" t="str">
        <f t="shared" si="9"/>
        <v>CAR4120</v>
      </c>
      <c r="I603" s="513">
        <v>-546000</v>
      </c>
      <c r="J603" s="513">
        <v>-390</v>
      </c>
      <c r="K603" s="513">
        <v>1400</v>
      </c>
      <c r="L603" s="518" t="s">
        <v>3659</v>
      </c>
      <c r="M603" s="152" t="s">
        <v>1566</v>
      </c>
      <c r="N603" s="152" t="s">
        <v>1407</v>
      </c>
      <c r="O603" s="152" t="s">
        <v>4563</v>
      </c>
      <c r="P603" s="152" t="s">
        <v>4279</v>
      </c>
      <c r="Q603" s="152" t="s">
        <v>4564</v>
      </c>
      <c r="R603" s="152" t="s">
        <v>4561</v>
      </c>
      <c r="S603" s="152" t="s">
        <v>4565</v>
      </c>
      <c r="T603" s="152" t="s">
        <v>786</v>
      </c>
    </row>
    <row r="604" spans="3:20">
      <c r="C604" s="152" t="s">
        <v>2821</v>
      </c>
      <c r="D604" s="474" t="s">
        <v>676</v>
      </c>
      <c r="E604" s="684" t="str">
        <f>+VLOOKUP(F604,Resumen_Base!$C$8:$G$156,5,0)</f>
        <v>Gun Rental</v>
      </c>
      <c r="F604" s="152" t="s">
        <v>303</v>
      </c>
      <c r="G604" s="152" t="s">
        <v>304</v>
      </c>
      <c r="H604" s="152" t="str">
        <f t="shared" si="9"/>
        <v>CAR4120</v>
      </c>
      <c r="I604" s="513">
        <v>-546000</v>
      </c>
      <c r="J604" s="513">
        <v>-390</v>
      </c>
      <c r="K604" s="513">
        <v>1400</v>
      </c>
      <c r="L604" s="518" t="s">
        <v>3659</v>
      </c>
      <c r="M604" s="152" t="s">
        <v>1566</v>
      </c>
      <c r="N604" s="152" t="s">
        <v>1407</v>
      </c>
      <c r="O604" s="152" t="s">
        <v>4566</v>
      </c>
      <c r="P604" s="152" t="s">
        <v>4279</v>
      </c>
      <c r="Q604" s="152" t="s">
        <v>4567</v>
      </c>
      <c r="R604" s="152" t="s">
        <v>4561</v>
      </c>
      <c r="S604" s="152" t="s">
        <v>4568</v>
      </c>
      <c r="T604" s="152" t="s">
        <v>786</v>
      </c>
    </row>
    <row r="605" spans="3:20">
      <c r="C605" s="152" t="s">
        <v>2821</v>
      </c>
      <c r="D605" s="474" t="s">
        <v>676</v>
      </c>
      <c r="E605" s="684" t="str">
        <f>+VLOOKUP(F605,Resumen_Base!$C$8:$G$156,5,0)</f>
        <v>Gun Rental</v>
      </c>
      <c r="F605" s="152" t="s">
        <v>303</v>
      </c>
      <c r="G605" s="152" t="s">
        <v>304</v>
      </c>
      <c r="H605" s="152" t="str">
        <f t="shared" si="9"/>
        <v>CAR4120</v>
      </c>
      <c r="I605" s="513">
        <v>-546000</v>
      </c>
      <c r="J605" s="513">
        <v>-390</v>
      </c>
      <c r="K605" s="513">
        <v>1400</v>
      </c>
      <c r="L605" s="518" t="s">
        <v>3659</v>
      </c>
      <c r="M605" s="152" t="s">
        <v>1566</v>
      </c>
      <c r="N605" s="152" t="s">
        <v>1407</v>
      </c>
      <c r="O605" s="152" t="s">
        <v>4569</v>
      </c>
      <c r="P605" s="152" t="s">
        <v>4279</v>
      </c>
      <c r="Q605" s="152" t="s">
        <v>4570</v>
      </c>
      <c r="R605" s="152" t="s">
        <v>4561</v>
      </c>
      <c r="S605" s="152" t="s">
        <v>4571</v>
      </c>
      <c r="T605" s="152" t="s">
        <v>786</v>
      </c>
    </row>
    <row r="606" spans="3:20">
      <c r="C606" s="152" t="s">
        <v>2821</v>
      </c>
      <c r="D606" s="474" t="s">
        <v>676</v>
      </c>
      <c r="E606" s="684" t="str">
        <f>+VLOOKUP(F606,Resumen_Base!$C$8:$G$156,5,0)</f>
        <v>Gun Rental</v>
      </c>
      <c r="F606" s="152" t="s">
        <v>303</v>
      </c>
      <c r="G606" s="152" t="s">
        <v>304</v>
      </c>
      <c r="H606" s="152" t="str">
        <f t="shared" si="9"/>
        <v>CAR4120</v>
      </c>
      <c r="I606" s="513">
        <v>-546000</v>
      </c>
      <c r="J606" s="513">
        <v>-390</v>
      </c>
      <c r="K606" s="513">
        <v>1400</v>
      </c>
      <c r="L606" s="518" t="s">
        <v>3659</v>
      </c>
      <c r="M606" s="152" t="s">
        <v>1566</v>
      </c>
      <c r="N606" s="152" t="s">
        <v>1407</v>
      </c>
      <c r="O606" s="152" t="s">
        <v>4572</v>
      </c>
      <c r="P606" s="152" t="s">
        <v>4279</v>
      </c>
      <c r="Q606" s="152" t="s">
        <v>4573</v>
      </c>
      <c r="R606" s="152" t="s">
        <v>4561</v>
      </c>
      <c r="S606" s="152" t="s">
        <v>4574</v>
      </c>
      <c r="T606" s="152" t="s">
        <v>786</v>
      </c>
    </row>
    <row r="607" spans="3:20">
      <c r="C607" s="152" t="s">
        <v>2821</v>
      </c>
      <c r="D607" s="474" t="s">
        <v>676</v>
      </c>
      <c r="E607" s="684" t="str">
        <f>+VLOOKUP(F607,Resumen_Base!$C$8:$G$156,5,0)</f>
        <v>Gun Rental</v>
      </c>
      <c r="F607" s="152" t="s">
        <v>303</v>
      </c>
      <c r="G607" s="152" t="s">
        <v>304</v>
      </c>
      <c r="H607" s="152" t="str">
        <f t="shared" si="9"/>
        <v>CAR4120</v>
      </c>
      <c r="I607" s="513">
        <v>-546000</v>
      </c>
      <c r="J607" s="513">
        <v>-390</v>
      </c>
      <c r="K607" s="513">
        <v>1400</v>
      </c>
      <c r="L607" s="518" t="s">
        <v>3659</v>
      </c>
      <c r="M607" s="152" t="s">
        <v>1566</v>
      </c>
      <c r="N607" s="152" t="s">
        <v>1407</v>
      </c>
      <c r="O607" s="152" t="s">
        <v>4575</v>
      </c>
      <c r="P607" s="152" t="s">
        <v>4279</v>
      </c>
      <c r="Q607" s="152" t="s">
        <v>4576</v>
      </c>
      <c r="R607" s="152" t="s">
        <v>4561</v>
      </c>
      <c r="S607" s="152" t="s">
        <v>4577</v>
      </c>
      <c r="T607" s="152" t="s">
        <v>786</v>
      </c>
    </row>
    <row r="608" spans="3:20">
      <c r="C608" s="152" t="s">
        <v>2821</v>
      </c>
      <c r="D608" s="474" t="s">
        <v>676</v>
      </c>
      <c r="E608" s="684" t="str">
        <f>+VLOOKUP(F608,Resumen_Base!$C$8:$G$156,5,0)</f>
        <v>Gun Rental</v>
      </c>
      <c r="F608" s="152" t="s">
        <v>303</v>
      </c>
      <c r="G608" s="152" t="s">
        <v>304</v>
      </c>
      <c r="H608" s="152" t="str">
        <f t="shared" si="9"/>
        <v>CAR4120</v>
      </c>
      <c r="I608" s="513">
        <v>-546000</v>
      </c>
      <c r="J608" s="513">
        <v>-390</v>
      </c>
      <c r="K608" s="513">
        <v>1400</v>
      </c>
      <c r="L608" s="518" t="s">
        <v>3659</v>
      </c>
      <c r="M608" s="152" t="s">
        <v>1566</v>
      </c>
      <c r="N608" s="152" t="s">
        <v>1407</v>
      </c>
      <c r="O608" s="152" t="s">
        <v>4578</v>
      </c>
      <c r="P608" s="152" t="s">
        <v>4279</v>
      </c>
      <c r="Q608" s="152" t="s">
        <v>4579</v>
      </c>
      <c r="R608" s="152" t="s">
        <v>4561</v>
      </c>
      <c r="S608" s="152" t="s">
        <v>4580</v>
      </c>
      <c r="T608" s="152" t="s">
        <v>786</v>
      </c>
    </row>
    <row r="609" spans="3:20">
      <c r="C609" s="152" t="s">
        <v>2821</v>
      </c>
      <c r="D609" s="474" t="s">
        <v>676</v>
      </c>
      <c r="E609" s="684" t="str">
        <f>+VLOOKUP(F609,Resumen_Base!$C$8:$G$156,5,0)</f>
        <v>Gun Rental</v>
      </c>
      <c r="F609" s="152" t="s">
        <v>303</v>
      </c>
      <c r="G609" s="152" t="s">
        <v>304</v>
      </c>
      <c r="H609" s="152" t="str">
        <f t="shared" si="9"/>
        <v>CAR4120</v>
      </c>
      <c r="I609" s="513">
        <v>-546000</v>
      </c>
      <c r="J609" s="513">
        <v>-390</v>
      </c>
      <c r="K609" s="513">
        <v>1400</v>
      </c>
      <c r="L609" s="518" t="s">
        <v>3659</v>
      </c>
      <c r="M609" s="152" t="s">
        <v>1566</v>
      </c>
      <c r="N609" s="152" t="s">
        <v>1407</v>
      </c>
      <c r="O609" s="152" t="s">
        <v>4581</v>
      </c>
      <c r="P609" s="152" t="s">
        <v>4279</v>
      </c>
      <c r="Q609" s="152" t="s">
        <v>4582</v>
      </c>
      <c r="R609" s="152" t="s">
        <v>4561</v>
      </c>
      <c r="S609" s="152" t="s">
        <v>4583</v>
      </c>
      <c r="T609" s="152" t="s">
        <v>786</v>
      </c>
    </row>
    <row r="610" spans="3:20">
      <c r="C610" s="152" t="s">
        <v>2821</v>
      </c>
      <c r="D610" s="474" t="s">
        <v>676</v>
      </c>
      <c r="E610" s="684" t="str">
        <f>+VLOOKUP(F610,Resumen_Base!$C$8:$G$156,5,0)</f>
        <v>Gun Rental</v>
      </c>
      <c r="F610" s="152" t="s">
        <v>303</v>
      </c>
      <c r="G610" s="152" t="s">
        <v>304</v>
      </c>
      <c r="H610" s="152" t="str">
        <f t="shared" si="9"/>
        <v>CAR4120</v>
      </c>
      <c r="I610" s="513">
        <v>-546000</v>
      </c>
      <c r="J610" s="513">
        <v>-390</v>
      </c>
      <c r="K610" s="513">
        <v>1400</v>
      </c>
      <c r="L610" s="518" t="s">
        <v>3659</v>
      </c>
      <c r="M610" s="152" t="s">
        <v>1566</v>
      </c>
      <c r="N610" s="152" t="s">
        <v>1407</v>
      </c>
      <c r="O610" s="152" t="s">
        <v>4584</v>
      </c>
      <c r="P610" s="152" t="s">
        <v>4279</v>
      </c>
      <c r="Q610" s="152" t="s">
        <v>4585</v>
      </c>
      <c r="R610" s="152" t="s">
        <v>4561</v>
      </c>
      <c r="S610" s="152" t="s">
        <v>4586</v>
      </c>
      <c r="T610" s="152" t="s">
        <v>786</v>
      </c>
    </row>
    <row r="611" spans="3:20">
      <c r="C611" s="152" t="s">
        <v>2821</v>
      </c>
      <c r="D611" s="474" t="s">
        <v>676</v>
      </c>
      <c r="E611" s="684" t="str">
        <f>+VLOOKUP(F611,Resumen_Base!$C$8:$G$156,5,0)</f>
        <v>Gun Rental</v>
      </c>
      <c r="F611" s="152" t="s">
        <v>303</v>
      </c>
      <c r="G611" s="152" t="s">
        <v>304</v>
      </c>
      <c r="H611" s="152" t="str">
        <f t="shared" si="9"/>
        <v>CAR4120</v>
      </c>
      <c r="I611" s="513">
        <v>-546000</v>
      </c>
      <c r="J611" s="513">
        <v>-390</v>
      </c>
      <c r="K611" s="513">
        <v>1400</v>
      </c>
      <c r="L611" s="518" t="s">
        <v>3659</v>
      </c>
      <c r="M611" s="152" t="s">
        <v>1566</v>
      </c>
      <c r="N611" s="152" t="s">
        <v>1407</v>
      </c>
      <c r="O611" s="152" t="s">
        <v>4587</v>
      </c>
      <c r="P611" s="152" t="s">
        <v>4279</v>
      </c>
      <c r="Q611" s="152" t="s">
        <v>4588</v>
      </c>
      <c r="R611" s="152" t="s">
        <v>4561</v>
      </c>
      <c r="S611" s="152" t="s">
        <v>4589</v>
      </c>
      <c r="T611" s="152" t="s">
        <v>786</v>
      </c>
    </row>
    <row r="612" spans="3:20">
      <c r="C612" s="152" t="s">
        <v>2821</v>
      </c>
      <c r="D612" s="474" t="s">
        <v>676</v>
      </c>
      <c r="E612" s="684" t="str">
        <f>+VLOOKUP(F612,Resumen_Base!$C$8:$G$156,5,0)</f>
        <v>Gun Rental</v>
      </c>
      <c r="F612" s="152" t="s">
        <v>303</v>
      </c>
      <c r="G612" s="152" t="s">
        <v>304</v>
      </c>
      <c r="H612" s="152" t="str">
        <f t="shared" si="9"/>
        <v>CAR4120</v>
      </c>
      <c r="I612" s="513">
        <v>-546000</v>
      </c>
      <c r="J612" s="513">
        <v>-390</v>
      </c>
      <c r="K612" s="513">
        <v>1400</v>
      </c>
      <c r="L612" s="518" t="s">
        <v>3659</v>
      </c>
      <c r="M612" s="152" t="s">
        <v>1566</v>
      </c>
      <c r="N612" s="152" t="s">
        <v>1407</v>
      </c>
      <c r="O612" s="152" t="s">
        <v>4590</v>
      </c>
      <c r="P612" s="152" t="s">
        <v>4279</v>
      </c>
      <c r="Q612" s="152" t="s">
        <v>4591</v>
      </c>
      <c r="R612" s="152" t="s">
        <v>4561</v>
      </c>
      <c r="S612" s="152" t="s">
        <v>4592</v>
      </c>
      <c r="T612" s="152" t="s">
        <v>786</v>
      </c>
    </row>
    <row r="613" spans="3:20">
      <c r="C613" s="152" t="s">
        <v>2821</v>
      </c>
      <c r="D613" s="474" t="s">
        <v>676</v>
      </c>
      <c r="E613" s="684" t="str">
        <f>+VLOOKUP(F613,Resumen_Base!$C$8:$G$156,5,0)</f>
        <v>Gun Rental</v>
      </c>
      <c r="F613" s="152" t="s">
        <v>303</v>
      </c>
      <c r="G613" s="152" t="s">
        <v>304</v>
      </c>
      <c r="H613" s="152" t="str">
        <f t="shared" si="9"/>
        <v>CAR4120</v>
      </c>
      <c r="I613" s="513">
        <v>-546000</v>
      </c>
      <c r="J613" s="513">
        <v>-390</v>
      </c>
      <c r="K613" s="513">
        <v>1400</v>
      </c>
      <c r="L613" s="518" t="s">
        <v>3659</v>
      </c>
      <c r="M613" s="152" t="s">
        <v>1566</v>
      </c>
      <c r="N613" s="152" t="s">
        <v>1407</v>
      </c>
      <c r="O613" s="152" t="s">
        <v>4593</v>
      </c>
      <c r="P613" s="152" t="s">
        <v>4279</v>
      </c>
      <c r="Q613" s="152" t="s">
        <v>4594</v>
      </c>
      <c r="R613" s="152" t="s">
        <v>4561</v>
      </c>
      <c r="S613" s="152" t="s">
        <v>4595</v>
      </c>
      <c r="T613" s="152" t="s">
        <v>786</v>
      </c>
    </row>
    <row r="614" spans="3:20">
      <c r="C614" s="152" t="s">
        <v>2821</v>
      </c>
      <c r="D614" s="474" t="s">
        <v>676</v>
      </c>
      <c r="E614" s="684" t="str">
        <f>+VLOOKUP(F614,Resumen_Base!$C$8:$G$156,5,0)</f>
        <v>Gun Rental</v>
      </c>
      <c r="F614" s="152" t="s">
        <v>303</v>
      </c>
      <c r="G614" s="152" t="s">
        <v>304</v>
      </c>
      <c r="H614" s="152" t="str">
        <f t="shared" si="9"/>
        <v>CAR4120</v>
      </c>
      <c r="I614" s="513">
        <v>-555750</v>
      </c>
      <c r="J614" s="513">
        <v>-390</v>
      </c>
      <c r="K614" s="513">
        <v>1425</v>
      </c>
      <c r="L614" s="518" t="s">
        <v>3637</v>
      </c>
      <c r="M614" s="152" t="s">
        <v>1566</v>
      </c>
      <c r="N614" s="152" t="s">
        <v>1407</v>
      </c>
      <c r="O614" s="152" t="s">
        <v>4596</v>
      </c>
      <c r="P614" s="152" t="s">
        <v>1881</v>
      </c>
      <c r="Q614" s="152" t="s">
        <v>4597</v>
      </c>
      <c r="R614" s="152" t="s">
        <v>4598</v>
      </c>
      <c r="S614" s="152" t="s">
        <v>4599</v>
      </c>
      <c r="T614" s="152" t="s">
        <v>786</v>
      </c>
    </row>
    <row r="615" spans="3:20">
      <c r="C615" s="152" t="s">
        <v>2821</v>
      </c>
      <c r="D615" s="474" t="s">
        <v>676</v>
      </c>
      <c r="E615" s="684" t="str">
        <f>+VLOOKUP(F615,Resumen_Base!$C$8:$G$156,5,0)</f>
        <v>Gun Rental</v>
      </c>
      <c r="F615" s="152" t="s">
        <v>303</v>
      </c>
      <c r="G615" s="152" t="s">
        <v>304</v>
      </c>
      <c r="H615" s="152" t="str">
        <f t="shared" si="9"/>
        <v>CAR4120</v>
      </c>
      <c r="I615" s="513">
        <v>-370500</v>
      </c>
      <c r="J615" s="513">
        <v>-260</v>
      </c>
      <c r="K615" s="513">
        <v>1425</v>
      </c>
      <c r="L615" s="518" t="s">
        <v>3637</v>
      </c>
      <c r="M615" s="152" t="s">
        <v>1566</v>
      </c>
      <c r="N615" s="152" t="s">
        <v>1407</v>
      </c>
      <c r="O615" s="152" t="s">
        <v>4600</v>
      </c>
      <c r="P615" s="152" t="s">
        <v>1881</v>
      </c>
      <c r="Q615" s="152" t="s">
        <v>4601</v>
      </c>
      <c r="R615" s="152" t="s">
        <v>4598</v>
      </c>
      <c r="S615" s="152" t="s">
        <v>4602</v>
      </c>
      <c r="T615" s="152" t="s">
        <v>786</v>
      </c>
    </row>
    <row r="616" spans="3:20">
      <c r="C616" s="152" t="s">
        <v>2821</v>
      </c>
      <c r="D616" s="474" t="s">
        <v>676</v>
      </c>
      <c r="E616" s="684" t="str">
        <f>+VLOOKUP(F616,Resumen_Base!$C$8:$G$156,5,0)</f>
        <v>Gun Rental</v>
      </c>
      <c r="F616" s="152" t="s">
        <v>303</v>
      </c>
      <c r="G616" s="152" t="s">
        <v>304</v>
      </c>
      <c r="H616" s="152" t="str">
        <f t="shared" si="9"/>
        <v>CAR4120</v>
      </c>
      <c r="I616" s="513">
        <v>-555750</v>
      </c>
      <c r="J616" s="513">
        <v>-390</v>
      </c>
      <c r="K616" s="513">
        <v>1425</v>
      </c>
      <c r="L616" s="518" t="s">
        <v>3637</v>
      </c>
      <c r="M616" s="152" t="s">
        <v>1566</v>
      </c>
      <c r="N616" s="152" t="s">
        <v>1407</v>
      </c>
      <c r="O616" s="152" t="s">
        <v>4603</v>
      </c>
      <c r="P616" s="152" t="s">
        <v>1881</v>
      </c>
      <c r="Q616" s="152" t="s">
        <v>4604</v>
      </c>
      <c r="R616" s="152" t="s">
        <v>4598</v>
      </c>
      <c r="S616" s="152" t="s">
        <v>4605</v>
      </c>
      <c r="T616" s="152" t="s">
        <v>786</v>
      </c>
    </row>
    <row r="617" spans="3:20">
      <c r="C617" s="152" t="s">
        <v>2821</v>
      </c>
      <c r="D617" s="474" t="s">
        <v>676</v>
      </c>
      <c r="E617" s="684" t="str">
        <f>+VLOOKUP(F617,Resumen_Base!$C$8:$G$156,5,0)</f>
        <v>Gun Rental</v>
      </c>
      <c r="F617" s="152" t="s">
        <v>303</v>
      </c>
      <c r="G617" s="152" t="s">
        <v>304</v>
      </c>
      <c r="H617" s="152" t="str">
        <f t="shared" si="9"/>
        <v>CAR4120</v>
      </c>
      <c r="I617" s="513">
        <v>-555750</v>
      </c>
      <c r="J617" s="513">
        <v>-390</v>
      </c>
      <c r="K617" s="513">
        <v>1425</v>
      </c>
      <c r="L617" s="518" t="s">
        <v>3637</v>
      </c>
      <c r="M617" s="152" t="s">
        <v>1566</v>
      </c>
      <c r="N617" s="152" t="s">
        <v>1407</v>
      </c>
      <c r="O617" s="152" t="s">
        <v>4606</v>
      </c>
      <c r="P617" s="152" t="s">
        <v>1881</v>
      </c>
      <c r="Q617" s="152" t="s">
        <v>4607</v>
      </c>
      <c r="R617" s="152" t="s">
        <v>4598</v>
      </c>
      <c r="S617" s="152" t="s">
        <v>4608</v>
      </c>
      <c r="T617" s="152" t="s">
        <v>786</v>
      </c>
    </row>
    <row r="618" spans="3:20">
      <c r="C618" s="152" t="s">
        <v>2821</v>
      </c>
      <c r="D618" s="474" t="s">
        <v>676</v>
      </c>
      <c r="E618" s="684" t="str">
        <f>+VLOOKUP(F618,Resumen_Base!$C$8:$G$156,5,0)</f>
        <v>Gun Rental</v>
      </c>
      <c r="F618" s="152" t="s">
        <v>303</v>
      </c>
      <c r="G618" s="152" t="s">
        <v>304</v>
      </c>
      <c r="H618" s="152" t="str">
        <f t="shared" si="9"/>
        <v>CAR4120</v>
      </c>
      <c r="I618" s="513">
        <v>-643825</v>
      </c>
      <c r="J618" s="513">
        <v>-455</v>
      </c>
      <c r="K618" s="513">
        <v>1415</v>
      </c>
      <c r="L618" s="518" t="s">
        <v>3511</v>
      </c>
      <c r="M618" s="152" t="s">
        <v>1566</v>
      </c>
      <c r="N618" s="152" t="s">
        <v>1407</v>
      </c>
      <c r="O618" s="152" t="s">
        <v>4609</v>
      </c>
      <c r="P618" s="152" t="s">
        <v>4279</v>
      </c>
      <c r="Q618" s="152" t="s">
        <v>4610</v>
      </c>
      <c r="R618" s="152" t="s">
        <v>4611</v>
      </c>
      <c r="S618" s="152" t="s">
        <v>4612</v>
      </c>
      <c r="T618" s="152" t="s">
        <v>786</v>
      </c>
    </row>
    <row r="619" spans="3:20">
      <c r="C619" s="152" t="s">
        <v>2821</v>
      </c>
      <c r="D619" s="474" t="s">
        <v>676</v>
      </c>
      <c r="E619" s="684" t="str">
        <f>+VLOOKUP(F619,Resumen_Base!$C$8:$G$156,5,0)</f>
        <v>Gun Rental</v>
      </c>
      <c r="F619" s="152" t="s">
        <v>303</v>
      </c>
      <c r="G619" s="152" t="s">
        <v>304</v>
      </c>
      <c r="H619" s="152" t="str">
        <f t="shared" si="9"/>
        <v>CAR4120</v>
      </c>
      <c r="I619" s="513">
        <v>-643825</v>
      </c>
      <c r="J619" s="513">
        <v>-455</v>
      </c>
      <c r="K619" s="513">
        <v>1415</v>
      </c>
      <c r="L619" s="518" t="s">
        <v>3511</v>
      </c>
      <c r="M619" s="152" t="s">
        <v>1566</v>
      </c>
      <c r="N619" s="152" t="s">
        <v>1407</v>
      </c>
      <c r="O619" s="152" t="s">
        <v>4613</v>
      </c>
      <c r="P619" s="152" t="s">
        <v>4279</v>
      </c>
      <c r="Q619" s="152" t="s">
        <v>4614</v>
      </c>
      <c r="R619" s="152" t="s">
        <v>4611</v>
      </c>
      <c r="S619" s="152" t="s">
        <v>4615</v>
      </c>
      <c r="T619" s="152" t="s">
        <v>786</v>
      </c>
    </row>
    <row r="620" spans="3:20">
      <c r="C620" s="152" t="s">
        <v>2821</v>
      </c>
      <c r="D620" s="474" t="s">
        <v>676</v>
      </c>
      <c r="E620" s="684" t="str">
        <f>+VLOOKUP(F620,Resumen_Base!$C$8:$G$156,5,0)</f>
        <v>Gun Rental</v>
      </c>
      <c r="F620" s="152" t="s">
        <v>303</v>
      </c>
      <c r="G620" s="152" t="s">
        <v>304</v>
      </c>
      <c r="H620" s="152" t="str">
        <f t="shared" si="9"/>
        <v>CAR4120</v>
      </c>
      <c r="I620" s="513">
        <v>-919750</v>
      </c>
      <c r="J620" s="513">
        <v>-650</v>
      </c>
      <c r="K620" s="513">
        <v>1415</v>
      </c>
      <c r="L620" s="518" t="s">
        <v>3511</v>
      </c>
      <c r="M620" s="152" t="s">
        <v>1566</v>
      </c>
      <c r="N620" s="152" t="s">
        <v>1407</v>
      </c>
      <c r="O620" s="152" t="s">
        <v>4616</v>
      </c>
      <c r="P620" s="152" t="s">
        <v>4279</v>
      </c>
      <c r="Q620" s="152" t="s">
        <v>4617</v>
      </c>
      <c r="R620" s="152" t="s">
        <v>4611</v>
      </c>
      <c r="S620" s="152" t="s">
        <v>4618</v>
      </c>
      <c r="T620" s="152" t="s">
        <v>786</v>
      </c>
    </row>
    <row r="621" spans="3:20">
      <c r="C621" s="152" t="s">
        <v>2821</v>
      </c>
      <c r="D621" s="474" t="s">
        <v>676</v>
      </c>
      <c r="E621" s="684" t="str">
        <f>+VLOOKUP(F621,Resumen_Base!$C$8:$G$156,5,0)</f>
        <v>Gun Rental</v>
      </c>
      <c r="F621" s="152" t="s">
        <v>303</v>
      </c>
      <c r="G621" s="152" t="s">
        <v>304</v>
      </c>
      <c r="H621" s="152" t="str">
        <f t="shared" si="9"/>
        <v>CAR4120</v>
      </c>
      <c r="I621" s="513">
        <v>-549900</v>
      </c>
      <c r="J621" s="513">
        <v>-390</v>
      </c>
      <c r="K621" s="513">
        <v>1410</v>
      </c>
      <c r="L621" s="518" t="s">
        <v>3498</v>
      </c>
      <c r="M621" s="152" t="s">
        <v>1566</v>
      </c>
      <c r="N621" s="152" t="s">
        <v>1407</v>
      </c>
      <c r="O621" s="152" t="s">
        <v>4619</v>
      </c>
      <c r="P621" s="152" t="s">
        <v>4279</v>
      </c>
      <c r="Q621" s="152" t="s">
        <v>4620</v>
      </c>
      <c r="R621" s="152" t="s">
        <v>4621</v>
      </c>
      <c r="S621" s="152" t="s">
        <v>4622</v>
      </c>
      <c r="T621" s="152" t="s">
        <v>786</v>
      </c>
    </row>
    <row r="622" spans="3:20">
      <c r="C622" s="152" t="s">
        <v>2821</v>
      </c>
      <c r="D622" s="474" t="s">
        <v>676</v>
      </c>
      <c r="E622" s="684" t="str">
        <f>+VLOOKUP(F622,Resumen_Base!$C$8:$G$156,5,0)</f>
        <v>Gun Rental</v>
      </c>
      <c r="F622" s="152" t="s">
        <v>303</v>
      </c>
      <c r="G622" s="152" t="s">
        <v>304</v>
      </c>
      <c r="H622" s="152" t="str">
        <f t="shared" si="9"/>
        <v>CAR4120</v>
      </c>
      <c r="I622" s="513">
        <v>-549900</v>
      </c>
      <c r="J622" s="513">
        <v>-390</v>
      </c>
      <c r="K622" s="513">
        <v>1410</v>
      </c>
      <c r="L622" s="518" t="s">
        <v>3498</v>
      </c>
      <c r="M622" s="152" t="s">
        <v>1566</v>
      </c>
      <c r="N622" s="152" t="s">
        <v>1407</v>
      </c>
      <c r="O622" s="152" t="s">
        <v>4623</v>
      </c>
      <c r="P622" s="152" t="s">
        <v>4279</v>
      </c>
      <c r="Q622" s="152" t="s">
        <v>4624</v>
      </c>
      <c r="R622" s="152" t="s">
        <v>4621</v>
      </c>
      <c r="S622" s="152" t="s">
        <v>4625</v>
      </c>
      <c r="T622" s="152" t="s">
        <v>786</v>
      </c>
    </row>
    <row r="623" spans="3:20">
      <c r="C623" s="152" t="s">
        <v>2821</v>
      </c>
      <c r="D623" s="474" t="s">
        <v>676</v>
      </c>
      <c r="E623" s="684" t="str">
        <f>+VLOOKUP(F623,Resumen_Base!$C$8:$G$156,5,0)</f>
        <v>Gun Rental</v>
      </c>
      <c r="F623" s="152" t="s">
        <v>303</v>
      </c>
      <c r="G623" s="152" t="s">
        <v>304</v>
      </c>
      <c r="H623" s="152" t="str">
        <f t="shared" si="9"/>
        <v>CAR4120</v>
      </c>
      <c r="I623" s="513">
        <v>-549900</v>
      </c>
      <c r="J623" s="513">
        <v>-390</v>
      </c>
      <c r="K623" s="513">
        <v>1410</v>
      </c>
      <c r="L623" s="518" t="s">
        <v>3498</v>
      </c>
      <c r="M623" s="152" t="s">
        <v>1566</v>
      </c>
      <c r="N623" s="152" t="s">
        <v>1407</v>
      </c>
      <c r="O623" s="152" t="s">
        <v>4626</v>
      </c>
      <c r="P623" s="152" t="s">
        <v>4279</v>
      </c>
      <c r="Q623" s="152" t="s">
        <v>4627</v>
      </c>
      <c r="R623" s="152" t="s">
        <v>4621</v>
      </c>
      <c r="S623" s="152" t="s">
        <v>4628</v>
      </c>
      <c r="T623" s="152" t="s">
        <v>786</v>
      </c>
    </row>
    <row r="624" spans="3:20">
      <c r="C624" s="152" t="s">
        <v>2821</v>
      </c>
      <c r="D624" s="474" t="s">
        <v>676</v>
      </c>
      <c r="E624" s="684" t="str">
        <f>+VLOOKUP(F624,Resumen_Base!$C$8:$G$156,5,0)</f>
        <v>Gun Rental</v>
      </c>
      <c r="F624" s="152" t="s">
        <v>303</v>
      </c>
      <c r="G624" s="152" t="s">
        <v>304</v>
      </c>
      <c r="H624" s="152" t="str">
        <f t="shared" si="9"/>
        <v>CAR4120</v>
      </c>
      <c r="I624" s="513">
        <v>-458250</v>
      </c>
      <c r="J624" s="513">
        <v>-325</v>
      </c>
      <c r="K624" s="513">
        <v>1410</v>
      </c>
      <c r="L624" s="518" t="s">
        <v>3498</v>
      </c>
      <c r="M624" s="152" t="s">
        <v>1566</v>
      </c>
      <c r="N624" s="152" t="s">
        <v>1407</v>
      </c>
      <c r="O624" s="152" t="s">
        <v>4629</v>
      </c>
      <c r="P624" s="152" t="s">
        <v>4279</v>
      </c>
      <c r="Q624" s="152" t="s">
        <v>4630</v>
      </c>
      <c r="R624" s="152" t="s">
        <v>4621</v>
      </c>
      <c r="S624" s="152" t="s">
        <v>4631</v>
      </c>
      <c r="T624" s="152" t="s">
        <v>786</v>
      </c>
    </row>
    <row r="625" spans="3:20">
      <c r="C625" s="152" t="s">
        <v>2821</v>
      </c>
      <c r="D625" s="474" t="s">
        <v>676</v>
      </c>
      <c r="E625" s="684" t="str">
        <f>+VLOOKUP(F625,Resumen_Base!$C$8:$G$156,5,0)</f>
        <v>Gun Rental</v>
      </c>
      <c r="F625" s="152" t="s">
        <v>303</v>
      </c>
      <c r="G625" s="152" t="s">
        <v>304</v>
      </c>
      <c r="H625" s="152" t="str">
        <f t="shared" si="9"/>
        <v>CAR4120</v>
      </c>
      <c r="I625" s="513">
        <v>-549900</v>
      </c>
      <c r="J625" s="513">
        <v>-390</v>
      </c>
      <c r="K625" s="513">
        <v>1410</v>
      </c>
      <c r="L625" s="518" t="s">
        <v>3498</v>
      </c>
      <c r="M625" s="152" t="s">
        <v>1566</v>
      </c>
      <c r="N625" s="152" t="s">
        <v>1407</v>
      </c>
      <c r="O625" s="152" t="s">
        <v>4632</v>
      </c>
      <c r="P625" s="152" t="s">
        <v>4279</v>
      </c>
      <c r="Q625" s="152" t="s">
        <v>4633</v>
      </c>
      <c r="R625" s="152" t="s">
        <v>4634</v>
      </c>
      <c r="S625" s="152" t="s">
        <v>4635</v>
      </c>
      <c r="T625" s="152" t="s">
        <v>786</v>
      </c>
    </row>
    <row r="626" spans="3:20">
      <c r="C626" s="152" t="s">
        <v>2821</v>
      </c>
      <c r="D626" s="474" t="s">
        <v>676</v>
      </c>
      <c r="E626" s="684" t="str">
        <f>+VLOOKUP(F626,Resumen_Base!$C$8:$G$156,5,0)</f>
        <v>Gun Rental</v>
      </c>
      <c r="F626" s="152" t="s">
        <v>303</v>
      </c>
      <c r="G626" s="152" t="s">
        <v>304</v>
      </c>
      <c r="H626" s="152" t="str">
        <f t="shared" si="9"/>
        <v>CAR4120</v>
      </c>
      <c r="I626" s="513">
        <v>-549900</v>
      </c>
      <c r="J626" s="513">
        <v>-390</v>
      </c>
      <c r="K626" s="513">
        <v>1410</v>
      </c>
      <c r="L626" s="518" t="s">
        <v>3498</v>
      </c>
      <c r="M626" s="152" t="s">
        <v>1566</v>
      </c>
      <c r="N626" s="152" t="s">
        <v>1407</v>
      </c>
      <c r="O626" s="152" t="s">
        <v>4636</v>
      </c>
      <c r="P626" s="152" t="s">
        <v>4279</v>
      </c>
      <c r="Q626" s="152" t="s">
        <v>4637</v>
      </c>
      <c r="R626" s="152" t="s">
        <v>4634</v>
      </c>
      <c r="S626" s="152" t="s">
        <v>4638</v>
      </c>
      <c r="T626" s="152" t="s">
        <v>786</v>
      </c>
    </row>
    <row r="627" spans="3:20">
      <c r="C627" s="152" t="s">
        <v>2821</v>
      </c>
      <c r="D627" s="474" t="s">
        <v>676</v>
      </c>
      <c r="E627" s="684" t="str">
        <f>+VLOOKUP(F627,Resumen_Base!$C$8:$G$156,5,0)</f>
        <v>Gun Rental</v>
      </c>
      <c r="F627" s="152" t="s">
        <v>303</v>
      </c>
      <c r="G627" s="152" t="s">
        <v>304</v>
      </c>
      <c r="H627" s="152" t="str">
        <f t="shared" si="9"/>
        <v>CAR4120</v>
      </c>
      <c r="I627" s="513">
        <v>-367900</v>
      </c>
      <c r="J627" s="513">
        <v>-260</v>
      </c>
      <c r="K627" s="513">
        <v>1415</v>
      </c>
      <c r="L627" s="518" t="s">
        <v>3632</v>
      </c>
      <c r="M627" s="152" t="s">
        <v>1566</v>
      </c>
      <c r="N627" s="152" t="s">
        <v>1407</v>
      </c>
      <c r="O627" s="152" t="s">
        <v>4639</v>
      </c>
      <c r="P627" s="152" t="s">
        <v>4279</v>
      </c>
      <c r="Q627" s="152" t="s">
        <v>4640</v>
      </c>
      <c r="R627" s="152" t="s">
        <v>4641</v>
      </c>
      <c r="S627" s="152" t="s">
        <v>4642</v>
      </c>
      <c r="T627" s="152" t="s">
        <v>786</v>
      </c>
    </row>
    <row r="628" spans="3:20">
      <c r="C628" s="152" t="s">
        <v>2821</v>
      </c>
      <c r="D628" s="474" t="s">
        <v>676</v>
      </c>
      <c r="E628" s="684" t="str">
        <f>+VLOOKUP(F628,Resumen_Base!$C$8:$G$156,5,0)</f>
        <v>Gun Rental</v>
      </c>
      <c r="F628" s="152" t="s">
        <v>303</v>
      </c>
      <c r="G628" s="152" t="s">
        <v>304</v>
      </c>
      <c r="H628" s="152" t="str">
        <f t="shared" si="9"/>
        <v>CAR4120</v>
      </c>
      <c r="I628" s="513">
        <v>-367900</v>
      </c>
      <c r="J628" s="513">
        <v>-260</v>
      </c>
      <c r="K628" s="513">
        <v>1415</v>
      </c>
      <c r="L628" s="518" t="s">
        <v>3632</v>
      </c>
      <c r="M628" s="152" t="s">
        <v>1566</v>
      </c>
      <c r="N628" s="152" t="s">
        <v>1407</v>
      </c>
      <c r="O628" s="152" t="s">
        <v>4643</v>
      </c>
      <c r="P628" s="152" t="s">
        <v>4279</v>
      </c>
      <c r="Q628" s="152" t="s">
        <v>4644</v>
      </c>
      <c r="R628" s="152" t="s">
        <v>4641</v>
      </c>
      <c r="S628" s="152" t="s">
        <v>4645</v>
      </c>
      <c r="T628" s="152" t="s">
        <v>786</v>
      </c>
    </row>
    <row r="629" spans="3:20">
      <c r="C629" s="152" t="s">
        <v>2821</v>
      </c>
      <c r="D629" s="474" t="s">
        <v>676</v>
      </c>
      <c r="E629" s="684" t="str">
        <f>+VLOOKUP(F629,Resumen_Base!$C$8:$G$156,5,0)</f>
        <v>Gun Rental</v>
      </c>
      <c r="F629" s="152" t="s">
        <v>303</v>
      </c>
      <c r="G629" s="152" t="s">
        <v>304</v>
      </c>
      <c r="H629" s="152" t="str">
        <f t="shared" si="9"/>
        <v>CAR4120</v>
      </c>
      <c r="I629" s="513">
        <v>-748800</v>
      </c>
      <c r="J629" s="513">
        <v>-520</v>
      </c>
      <c r="K629" s="513">
        <v>1440</v>
      </c>
      <c r="L629" s="518" t="s">
        <v>3517</v>
      </c>
      <c r="M629" s="152" t="s">
        <v>1566</v>
      </c>
      <c r="N629" s="152" t="s">
        <v>1407</v>
      </c>
      <c r="O629" s="152" t="s">
        <v>4646</v>
      </c>
      <c r="P629" s="152" t="s">
        <v>1881</v>
      </c>
      <c r="Q629" s="152" t="s">
        <v>4647</v>
      </c>
      <c r="R629" s="152" t="s">
        <v>4648</v>
      </c>
      <c r="S629" s="152" t="s">
        <v>4649</v>
      </c>
      <c r="T629" s="152" t="s">
        <v>786</v>
      </c>
    </row>
    <row r="630" spans="3:20">
      <c r="C630" s="152" t="s">
        <v>2821</v>
      </c>
      <c r="D630" s="474" t="s">
        <v>676</v>
      </c>
      <c r="E630" s="684" t="str">
        <f>+VLOOKUP(F630,Resumen_Base!$C$8:$G$156,5,0)</f>
        <v>Gun Rental</v>
      </c>
      <c r="F630" s="152" t="s">
        <v>303</v>
      </c>
      <c r="G630" s="152" t="s">
        <v>304</v>
      </c>
      <c r="H630" s="152" t="str">
        <f t="shared" si="9"/>
        <v>CAR4120</v>
      </c>
      <c r="I630" s="513">
        <v>-459875</v>
      </c>
      <c r="J630" s="513">
        <v>-325</v>
      </c>
      <c r="K630" s="513">
        <v>1415</v>
      </c>
      <c r="L630" s="518" t="s">
        <v>3632</v>
      </c>
      <c r="M630" s="152" t="s">
        <v>1566</v>
      </c>
      <c r="N630" s="152" t="s">
        <v>1407</v>
      </c>
      <c r="O630" s="152" t="s">
        <v>4650</v>
      </c>
      <c r="P630" s="152" t="s">
        <v>4279</v>
      </c>
      <c r="Q630" s="152" t="s">
        <v>4651</v>
      </c>
      <c r="R630" s="152" t="s">
        <v>4652</v>
      </c>
      <c r="S630" s="152" t="s">
        <v>4653</v>
      </c>
      <c r="T630" s="152" t="s">
        <v>786</v>
      </c>
    </row>
    <row r="631" spans="3:20">
      <c r="C631" s="152" t="s">
        <v>2821</v>
      </c>
      <c r="D631" s="474" t="s">
        <v>676</v>
      </c>
      <c r="E631" s="684" t="str">
        <f>+VLOOKUP(F631,Resumen_Base!$C$8:$G$156,5,0)</f>
        <v>Gun Rental</v>
      </c>
      <c r="F631" s="152" t="s">
        <v>303</v>
      </c>
      <c r="G631" s="152" t="s">
        <v>304</v>
      </c>
      <c r="H631" s="152" t="str">
        <f t="shared" si="9"/>
        <v>CAR4120</v>
      </c>
      <c r="I631" s="513">
        <v>-459875</v>
      </c>
      <c r="J631" s="513">
        <v>-325</v>
      </c>
      <c r="K631" s="513">
        <v>1415</v>
      </c>
      <c r="L631" s="518" t="s">
        <v>3632</v>
      </c>
      <c r="M631" s="152" t="s">
        <v>1566</v>
      </c>
      <c r="N631" s="152" t="s">
        <v>1407</v>
      </c>
      <c r="O631" s="152" t="s">
        <v>4654</v>
      </c>
      <c r="P631" s="152" t="s">
        <v>4279</v>
      </c>
      <c r="Q631" s="152" t="s">
        <v>4655</v>
      </c>
      <c r="R631" s="152" t="s">
        <v>4652</v>
      </c>
      <c r="S631" s="152" t="s">
        <v>4656</v>
      </c>
      <c r="T631" s="152" t="s">
        <v>786</v>
      </c>
    </row>
    <row r="632" spans="3:20">
      <c r="C632" s="152" t="s">
        <v>2821</v>
      </c>
      <c r="D632" s="474" t="s">
        <v>676</v>
      </c>
      <c r="E632" s="684" t="str">
        <f>+VLOOKUP(F632,Resumen_Base!$C$8:$G$156,5,0)</f>
        <v>Gun Rental</v>
      </c>
      <c r="F632" s="152" t="s">
        <v>303</v>
      </c>
      <c r="G632" s="152" t="s">
        <v>304</v>
      </c>
      <c r="H632" s="152" t="str">
        <f t="shared" si="9"/>
        <v>CAR4120</v>
      </c>
      <c r="I632" s="513">
        <v>-910000</v>
      </c>
      <c r="J632" s="513">
        <v>-650</v>
      </c>
      <c r="K632" s="513">
        <v>1400</v>
      </c>
      <c r="L632" s="518" t="s">
        <v>3659</v>
      </c>
      <c r="M632" s="152" t="s">
        <v>1566</v>
      </c>
      <c r="N632" s="152" t="s">
        <v>1407</v>
      </c>
      <c r="O632" s="152" t="s">
        <v>4661</v>
      </c>
      <c r="P632" s="152" t="s">
        <v>4279</v>
      </c>
      <c r="Q632" s="152" t="s">
        <v>4662</v>
      </c>
      <c r="R632" s="152" t="s">
        <v>4663</v>
      </c>
      <c r="S632" s="152" t="s">
        <v>4664</v>
      </c>
      <c r="T632" s="152" t="s">
        <v>786</v>
      </c>
    </row>
    <row r="633" spans="3:20">
      <c r="C633" s="152" t="s">
        <v>2821</v>
      </c>
      <c r="D633" s="474" t="s">
        <v>676</v>
      </c>
      <c r="E633" s="684" t="str">
        <f>+VLOOKUP(F633,Resumen_Base!$C$8:$G$156,5,0)</f>
        <v>Gun Rental</v>
      </c>
      <c r="F633" s="152" t="s">
        <v>303</v>
      </c>
      <c r="G633" s="152" t="s">
        <v>304</v>
      </c>
      <c r="H633" s="152" t="str">
        <f t="shared" si="9"/>
        <v>CAR4120</v>
      </c>
      <c r="I633" s="513">
        <v>-910000</v>
      </c>
      <c r="J633" s="513">
        <v>-650</v>
      </c>
      <c r="K633" s="513">
        <v>1400</v>
      </c>
      <c r="L633" s="518" t="s">
        <v>3659</v>
      </c>
      <c r="M633" s="152" t="s">
        <v>1566</v>
      </c>
      <c r="N633" s="152" t="s">
        <v>1407</v>
      </c>
      <c r="O633" s="152" t="s">
        <v>4665</v>
      </c>
      <c r="P633" s="152" t="s">
        <v>4279</v>
      </c>
      <c r="Q633" s="152" t="s">
        <v>4666</v>
      </c>
      <c r="R633" s="152" t="s">
        <v>4663</v>
      </c>
      <c r="S633" s="152" t="s">
        <v>4667</v>
      </c>
      <c r="T633" s="152" t="s">
        <v>786</v>
      </c>
    </row>
    <row r="634" spans="3:20">
      <c r="C634" s="152" t="s">
        <v>2821</v>
      </c>
      <c r="D634" s="474" t="s">
        <v>676</v>
      </c>
      <c r="E634" s="684" t="str">
        <f>+VLOOKUP(F634,Resumen_Base!$C$8:$G$156,5,0)</f>
        <v>Gun Rental</v>
      </c>
      <c r="F634" s="152" t="s">
        <v>303</v>
      </c>
      <c r="G634" s="152" t="s">
        <v>304</v>
      </c>
      <c r="H634" s="152" t="str">
        <f t="shared" si="9"/>
        <v>CAR4120</v>
      </c>
      <c r="I634" s="513">
        <v>-275925</v>
      </c>
      <c r="J634" s="513">
        <v>-195</v>
      </c>
      <c r="K634" s="513">
        <v>1415</v>
      </c>
      <c r="L634" s="518" t="s">
        <v>3511</v>
      </c>
      <c r="M634" s="152" t="s">
        <v>1566</v>
      </c>
      <c r="N634" s="152" t="s">
        <v>1407</v>
      </c>
      <c r="O634" s="152" t="s">
        <v>4668</v>
      </c>
      <c r="P634" s="152" t="s">
        <v>4279</v>
      </c>
      <c r="Q634" s="152" t="s">
        <v>4669</v>
      </c>
      <c r="R634" s="152" t="s">
        <v>4670</v>
      </c>
      <c r="S634" s="152" t="s">
        <v>4671</v>
      </c>
      <c r="T634" s="152" t="s">
        <v>786</v>
      </c>
    </row>
    <row r="635" spans="3:20">
      <c r="C635" s="152" t="s">
        <v>2821</v>
      </c>
      <c r="D635" s="474" t="s">
        <v>676</v>
      </c>
      <c r="E635" s="684" t="str">
        <f>+VLOOKUP(F635,Resumen_Base!$C$8:$G$156,5,0)</f>
        <v>Gun Rental</v>
      </c>
      <c r="F635" s="152" t="s">
        <v>303</v>
      </c>
      <c r="G635" s="152" t="s">
        <v>304</v>
      </c>
      <c r="H635" s="152" t="str">
        <f t="shared" si="9"/>
        <v>CAR4120</v>
      </c>
      <c r="I635" s="513">
        <v>-365300</v>
      </c>
      <c r="J635" s="513">
        <v>-260</v>
      </c>
      <c r="K635" s="513">
        <v>1405</v>
      </c>
      <c r="L635" s="518" t="s">
        <v>3493</v>
      </c>
      <c r="M635" s="152" t="s">
        <v>1566</v>
      </c>
      <c r="N635" s="152" t="s">
        <v>1407</v>
      </c>
      <c r="O635" s="152" t="s">
        <v>4672</v>
      </c>
      <c r="P635" s="152" t="s">
        <v>4279</v>
      </c>
      <c r="Q635" s="152" t="s">
        <v>4673</v>
      </c>
      <c r="R635" s="152" t="s">
        <v>4674</v>
      </c>
      <c r="S635" s="152" t="s">
        <v>4675</v>
      </c>
      <c r="T635" s="152" t="s">
        <v>786</v>
      </c>
    </row>
    <row r="636" spans="3:20">
      <c r="C636" s="152" t="s">
        <v>2821</v>
      </c>
      <c r="D636" s="474" t="s">
        <v>676</v>
      </c>
      <c r="E636" s="684" t="str">
        <f>+VLOOKUP(F636,Resumen_Base!$C$8:$G$156,5,0)</f>
        <v>Gun Rental</v>
      </c>
      <c r="F636" s="152" t="s">
        <v>303</v>
      </c>
      <c r="G636" s="152" t="s">
        <v>304</v>
      </c>
      <c r="H636" s="152" t="str">
        <f t="shared" si="9"/>
        <v>CAR4120</v>
      </c>
      <c r="I636" s="513">
        <v>-365300</v>
      </c>
      <c r="J636" s="513">
        <v>-260</v>
      </c>
      <c r="K636" s="513">
        <v>1405</v>
      </c>
      <c r="L636" s="518" t="s">
        <v>3493</v>
      </c>
      <c r="M636" s="152" t="s">
        <v>1566</v>
      </c>
      <c r="N636" s="152" t="s">
        <v>1407</v>
      </c>
      <c r="O636" s="152" t="s">
        <v>4676</v>
      </c>
      <c r="P636" s="152" t="s">
        <v>4279</v>
      </c>
      <c r="Q636" s="152" t="s">
        <v>4677</v>
      </c>
      <c r="R636" s="152" t="s">
        <v>4674</v>
      </c>
      <c r="S636" s="152" t="s">
        <v>4678</v>
      </c>
      <c r="T636" s="152" t="s">
        <v>786</v>
      </c>
    </row>
    <row r="637" spans="3:20">
      <c r="C637" s="152" t="s">
        <v>2821</v>
      </c>
      <c r="D637" s="474" t="s">
        <v>676</v>
      </c>
      <c r="E637" s="684" t="str">
        <f>+VLOOKUP(F637,Resumen_Base!$C$8:$G$156,5,0)</f>
        <v>Gun Rental</v>
      </c>
      <c r="F637" s="152" t="s">
        <v>303</v>
      </c>
      <c r="G637" s="152" t="s">
        <v>304</v>
      </c>
      <c r="H637" s="152" t="str">
        <f t="shared" si="9"/>
        <v>CAR4120</v>
      </c>
      <c r="I637" s="513">
        <v>-547950</v>
      </c>
      <c r="J637" s="513">
        <v>-390</v>
      </c>
      <c r="K637" s="513">
        <v>1405</v>
      </c>
      <c r="L637" s="518" t="s">
        <v>3493</v>
      </c>
      <c r="M637" s="152" t="s">
        <v>1566</v>
      </c>
      <c r="N637" s="152" t="s">
        <v>1407</v>
      </c>
      <c r="O637" s="152" t="s">
        <v>4679</v>
      </c>
      <c r="P637" s="152" t="s">
        <v>4279</v>
      </c>
      <c r="Q637" s="152" t="s">
        <v>4680</v>
      </c>
      <c r="R637" s="152" t="s">
        <v>4681</v>
      </c>
      <c r="S637" s="152" t="s">
        <v>4682</v>
      </c>
      <c r="T637" s="152" t="s">
        <v>786</v>
      </c>
    </row>
    <row r="638" spans="3:20">
      <c r="C638" s="152" t="s">
        <v>2821</v>
      </c>
      <c r="D638" s="474" t="s">
        <v>676</v>
      </c>
      <c r="E638" s="684" t="str">
        <f>+VLOOKUP(F638,Resumen_Base!$C$8:$G$156,5,0)</f>
        <v>Gun Rental</v>
      </c>
      <c r="F638" s="152" t="s">
        <v>303</v>
      </c>
      <c r="G638" s="152" t="s">
        <v>304</v>
      </c>
      <c r="H638" s="152" t="str">
        <f t="shared" si="9"/>
        <v>CAR4120</v>
      </c>
      <c r="I638" s="513">
        <v>-648375</v>
      </c>
      <c r="J638" s="513">
        <v>-455</v>
      </c>
      <c r="K638" s="513">
        <v>1425</v>
      </c>
      <c r="L638" s="518" t="s">
        <v>3504</v>
      </c>
      <c r="M638" s="152" t="s">
        <v>1566</v>
      </c>
      <c r="N638" s="152" t="s">
        <v>1407</v>
      </c>
      <c r="O638" s="152" t="s">
        <v>4683</v>
      </c>
      <c r="P638" s="152" t="s">
        <v>4279</v>
      </c>
      <c r="Q638" s="152" t="s">
        <v>4684</v>
      </c>
      <c r="R638" s="152" t="s">
        <v>4685</v>
      </c>
      <c r="S638" s="152" t="s">
        <v>4686</v>
      </c>
      <c r="T638" s="152" t="s">
        <v>786</v>
      </c>
    </row>
    <row r="639" spans="3:20">
      <c r="C639" s="152" t="s">
        <v>2821</v>
      </c>
      <c r="D639" s="474" t="s">
        <v>676</v>
      </c>
      <c r="E639" s="684" t="str">
        <f>+VLOOKUP(F639,Resumen_Base!$C$8:$G$156,5,0)</f>
        <v>Gun Rental</v>
      </c>
      <c r="F639" s="152" t="s">
        <v>303</v>
      </c>
      <c r="G639" s="152" t="s">
        <v>304</v>
      </c>
      <c r="H639" s="152" t="str">
        <f t="shared" si="9"/>
        <v>CAR4120</v>
      </c>
      <c r="I639" s="513">
        <v>-555750</v>
      </c>
      <c r="J639" s="513">
        <v>-390</v>
      </c>
      <c r="K639" s="513">
        <v>1425</v>
      </c>
      <c r="L639" s="518" t="s">
        <v>3504</v>
      </c>
      <c r="M639" s="152" t="s">
        <v>1566</v>
      </c>
      <c r="N639" s="152" t="s">
        <v>1407</v>
      </c>
      <c r="O639" s="152" t="s">
        <v>4687</v>
      </c>
      <c r="P639" s="152" t="s">
        <v>4279</v>
      </c>
      <c r="Q639" s="152" t="s">
        <v>4688</v>
      </c>
      <c r="R639" s="152" t="s">
        <v>4685</v>
      </c>
      <c r="S639" s="152" t="s">
        <v>4689</v>
      </c>
      <c r="T639" s="152" t="s">
        <v>786</v>
      </c>
    </row>
    <row r="640" spans="3:20">
      <c r="C640" s="152" t="s">
        <v>2821</v>
      </c>
      <c r="D640" s="474" t="s">
        <v>676</v>
      </c>
      <c r="E640" s="684" t="str">
        <f>+VLOOKUP(F640,Resumen_Base!$C$8:$G$156,5,0)</f>
        <v>Gun Rental</v>
      </c>
      <c r="F640" s="152" t="s">
        <v>303</v>
      </c>
      <c r="G640" s="152" t="s">
        <v>304</v>
      </c>
      <c r="H640" s="152" t="str">
        <f t="shared" si="9"/>
        <v>CAR4120</v>
      </c>
      <c r="I640" s="513">
        <v>-648375</v>
      </c>
      <c r="J640" s="513">
        <v>-455</v>
      </c>
      <c r="K640" s="513">
        <v>1425</v>
      </c>
      <c r="L640" s="518" t="s">
        <v>3504</v>
      </c>
      <c r="M640" s="152" t="s">
        <v>1566</v>
      </c>
      <c r="N640" s="152" t="s">
        <v>1407</v>
      </c>
      <c r="O640" s="152" t="s">
        <v>4690</v>
      </c>
      <c r="P640" s="152" t="s">
        <v>4279</v>
      </c>
      <c r="Q640" s="152" t="s">
        <v>4691</v>
      </c>
      <c r="R640" s="152" t="s">
        <v>4685</v>
      </c>
      <c r="S640" s="152" t="s">
        <v>4692</v>
      </c>
      <c r="T640" s="152" t="s">
        <v>786</v>
      </c>
    </row>
    <row r="641" spans="3:20">
      <c r="C641" s="152" t="s">
        <v>2821</v>
      </c>
      <c r="D641" s="474" t="s">
        <v>676</v>
      </c>
      <c r="E641" s="684" t="str">
        <f>+VLOOKUP(F641,Resumen_Base!$C$8:$G$156,5,0)</f>
        <v>Gun Rental</v>
      </c>
      <c r="F641" s="152" t="s">
        <v>303</v>
      </c>
      <c r="G641" s="152" t="s">
        <v>304</v>
      </c>
      <c r="H641" s="152" t="str">
        <f t="shared" si="9"/>
        <v>CAR4120</v>
      </c>
      <c r="I641" s="513">
        <v>-555750</v>
      </c>
      <c r="J641" s="513">
        <v>-390</v>
      </c>
      <c r="K641" s="513">
        <v>1425</v>
      </c>
      <c r="L641" s="518" t="s">
        <v>3504</v>
      </c>
      <c r="M641" s="152" t="s">
        <v>1566</v>
      </c>
      <c r="N641" s="152" t="s">
        <v>1407</v>
      </c>
      <c r="O641" s="152" t="s">
        <v>4693</v>
      </c>
      <c r="P641" s="152" t="s">
        <v>4279</v>
      </c>
      <c r="Q641" s="152" t="s">
        <v>4694</v>
      </c>
      <c r="R641" s="152" t="s">
        <v>4685</v>
      </c>
      <c r="S641" s="152" t="s">
        <v>4695</v>
      </c>
      <c r="T641" s="152" t="s">
        <v>786</v>
      </c>
    </row>
    <row r="642" spans="3:20">
      <c r="C642" s="152" t="s">
        <v>2821</v>
      </c>
      <c r="D642" s="474" t="s">
        <v>676</v>
      </c>
      <c r="E642" s="684" t="str">
        <f>+VLOOKUP(F642,Resumen_Base!$C$8:$G$156,5,0)</f>
        <v>Gun Rental</v>
      </c>
      <c r="F642" s="152" t="s">
        <v>303</v>
      </c>
      <c r="G642" s="152" t="s">
        <v>304</v>
      </c>
      <c r="H642" s="152" t="str">
        <f t="shared" si="9"/>
        <v>CAR4120</v>
      </c>
      <c r="I642" s="513">
        <v>-648375</v>
      </c>
      <c r="J642" s="513">
        <v>-455</v>
      </c>
      <c r="K642" s="513">
        <v>1425</v>
      </c>
      <c r="L642" s="518" t="s">
        <v>3504</v>
      </c>
      <c r="M642" s="152" t="s">
        <v>1566</v>
      </c>
      <c r="N642" s="152" t="s">
        <v>1407</v>
      </c>
      <c r="O642" s="152" t="s">
        <v>4696</v>
      </c>
      <c r="P642" s="152" t="s">
        <v>4279</v>
      </c>
      <c r="Q642" s="152" t="s">
        <v>4697</v>
      </c>
      <c r="R642" s="152" t="s">
        <v>4685</v>
      </c>
      <c r="S642" s="152" t="s">
        <v>4698</v>
      </c>
      <c r="T642" s="152" t="s">
        <v>786</v>
      </c>
    </row>
    <row r="643" spans="3:20">
      <c r="C643" s="152" t="s">
        <v>2821</v>
      </c>
      <c r="D643" s="474" t="s">
        <v>676</v>
      </c>
      <c r="E643" s="684" t="str">
        <f>+VLOOKUP(F643,Resumen_Base!$C$8:$G$156,5,0)</f>
        <v>Gun Rental</v>
      </c>
      <c r="F643" s="152" t="s">
        <v>303</v>
      </c>
      <c r="G643" s="152" t="s">
        <v>304</v>
      </c>
      <c r="H643" s="152" t="str">
        <f t="shared" si="9"/>
        <v>CAR4120</v>
      </c>
      <c r="I643" s="513">
        <v>-648375</v>
      </c>
      <c r="J643" s="513">
        <v>-455</v>
      </c>
      <c r="K643" s="513">
        <v>1425</v>
      </c>
      <c r="L643" s="518" t="s">
        <v>3504</v>
      </c>
      <c r="M643" s="152" t="s">
        <v>1566</v>
      </c>
      <c r="N643" s="152" t="s">
        <v>1407</v>
      </c>
      <c r="O643" s="152" t="s">
        <v>4699</v>
      </c>
      <c r="P643" s="152" t="s">
        <v>4279</v>
      </c>
      <c r="Q643" s="152" t="s">
        <v>4700</v>
      </c>
      <c r="R643" s="152" t="s">
        <v>4685</v>
      </c>
      <c r="S643" s="152" t="s">
        <v>4701</v>
      </c>
      <c r="T643" s="152" t="s">
        <v>786</v>
      </c>
    </row>
    <row r="644" spans="3:20">
      <c r="C644" s="152" t="s">
        <v>2821</v>
      </c>
      <c r="D644" s="474" t="s">
        <v>676</v>
      </c>
      <c r="E644" s="684" t="str">
        <f>+VLOOKUP(F644,Resumen_Base!$C$8:$G$156,5,0)</f>
        <v>Gun Rental</v>
      </c>
      <c r="F644" s="152" t="s">
        <v>303</v>
      </c>
      <c r="G644" s="152" t="s">
        <v>304</v>
      </c>
      <c r="H644" s="152" t="str">
        <f t="shared" si="9"/>
        <v>CAR4120</v>
      </c>
      <c r="I644" s="513">
        <v>-555750</v>
      </c>
      <c r="J644" s="513">
        <v>-390</v>
      </c>
      <c r="K644" s="513">
        <v>1425</v>
      </c>
      <c r="L644" s="518" t="s">
        <v>3504</v>
      </c>
      <c r="M644" s="152" t="s">
        <v>1566</v>
      </c>
      <c r="N644" s="152" t="s">
        <v>1407</v>
      </c>
      <c r="O644" s="152" t="s">
        <v>4702</v>
      </c>
      <c r="P644" s="152" t="s">
        <v>4279</v>
      </c>
      <c r="Q644" s="152" t="s">
        <v>4703</v>
      </c>
      <c r="R644" s="152" t="s">
        <v>4685</v>
      </c>
      <c r="S644" s="152" t="s">
        <v>4704</v>
      </c>
      <c r="T644" s="152" t="s">
        <v>786</v>
      </c>
    </row>
    <row r="645" spans="3:20">
      <c r="C645" s="152" t="s">
        <v>2821</v>
      </c>
      <c r="D645" s="474" t="s">
        <v>676</v>
      </c>
      <c r="E645" s="684" t="str">
        <f>+VLOOKUP(F645,Resumen_Base!$C$8:$G$156,5,0)</f>
        <v>Gun Rental</v>
      </c>
      <c r="F645" s="152" t="s">
        <v>303</v>
      </c>
      <c r="G645" s="152" t="s">
        <v>304</v>
      </c>
      <c r="H645" s="152" t="str">
        <f t="shared" si="9"/>
        <v>CAR4120</v>
      </c>
      <c r="I645" s="513">
        <v>-741000</v>
      </c>
      <c r="J645" s="513">
        <v>-520</v>
      </c>
      <c r="K645" s="513">
        <v>1425</v>
      </c>
      <c r="L645" s="518" t="s">
        <v>3504</v>
      </c>
      <c r="M645" s="152" t="s">
        <v>1566</v>
      </c>
      <c r="N645" s="152" t="s">
        <v>1407</v>
      </c>
      <c r="O645" s="152" t="s">
        <v>4705</v>
      </c>
      <c r="P645" s="152" t="s">
        <v>4279</v>
      </c>
      <c r="Q645" s="152" t="s">
        <v>4706</v>
      </c>
      <c r="R645" s="152" t="s">
        <v>4707</v>
      </c>
      <c r="S645" s="152" t="s">
        <v>4708</v>
      </c>
      <c r="T645" s="152" t="s">
        <v>786</v>
      </c>
    </row>
    <row r="646" spans="3:20">
      <c r="C646" s="152" t="s">
        <v>2821</v>
      </c>
      <c r="D646" s="474" t="s">
        <v>676</v>
      </c>
      <c r="E646" s="684" t="str">
        <f>+VLOOKUP(F646,Resumen_Base!$C$8:$G$156,5,0)</f>
        <v>Gun Rental</v>
      </c>
      <c r="F646" s="152" t="s">
        <v>303</v>
      </c>
      <c r="G646" s="152" t="s">
        <v>304</v>
      </c>
      <c r="H646" s="152" t="str">
        <f t="shared" si="9"/>
        <v>CAR4120</v>
      </c>
      <c r="I646" s="513">
        <v>-370500</v>
      </c>
      <c r="J646" s="513">
        <v>-260</v>
      </c>
      <c r="K646" s="513">
        <v>1425</v>
      </c>
      <c r="L646" s="518" t="s">
        <v>3504</v>
      </c>
      <c r="M646" s="152" t="s">
        <v>1566</v>
      </c>
      <c r="N646" s="152" t="s">
        <v>1407</v>
      </c>
      <c r="O646" s="152" t="s">
        <v>4709</v>
      </c>
      <c r="P646" s="152" t="s">
        <v>4279</v>
      </c>
      <c r="Q646" s="152" t="s">
        <v>4710</v>
      </c>
      <c r="R646" s="152" t="s">
        <v>4707</v>
      </c>
      <c r="S646" s="152" t="s">
        <v>4711</v>
      </c>
      <c r="T646" s="152" t="s">
        <v>786</v>
      </c>
    </row>
    <row r="647" spans="3:20">
      <c r="C647" s="152" t="s">
        <v>2821</v>
      </c>
      <c r="D647" s="474" t="s">
        <v>676</v>
      </c>
      <c r="E647" s="684" t="str">
        <f>+VLOOKUP(F647,Resumen_Base!$C$8:$G$156,5,0)</f>
        <v>Gun Rental</v>
      </c>
      <c r="F647" s="152" t="s">
        <v>303</v>
      </c>
      <c r="G647" s="152" t="s">
        <v>304</v>
      </c>
      <c r="H647" s="152" t="str">
        <f t="shared" si="9"/>
        <v>CAR4120</v>
      </c>
      <c r="I647" s="513">
        <v>-648375</v>
      </c>
      <c r="J647" s="513">
        <v>-455</v>
      </c>
      <c r="K647" s="513">
        <v>1425</v>
      </c>
      <c r="L647" s="518" t="s">
        <v>3504</v>
      </c>
      <c r="M647" s="152" t="s">
        <v>1566</v>
      </c>
      <c r="N647" s="152" t="s">
        <v>1407</v>
      </c>
      <c r="O647" s="152" t="s">
        <v>4712</v>
      </c>
      <c r="P647" s="152" t="s">
        <v>4279</v>
      </c>
      <c r="Q647" s="152" t="s">
        <v>4713</v>
      </c>
      <c r="R647" s="152" t="s">
        <v>4707</v>
      </c>
      <c r="S647" s="152" t="s">
        <v>4714</v>
      </c>
      <c r="T647" s="152" t="s">
        <v>786</v>
      </c>
    </row>
    <row r="648" spans="3:20">
      <c r="C648" s="152" t="s">
        <v>2821</v>
      </c>
      <c r="D648" s="474" t="s">
        <v>676</v>
      </c>
      <c r="E648" s="684" t="str">
        <f>+VLOOKUP(F648,Resumen_Base!$C$8:$G$156,5,0)</f>
        <v>Gun Rental</v>
      </c>
      <c r="F648" s="152" t="s">
        <v>303</v>
      </c>
      <c r="G648" s="152" t="s">
        <v>304</v>
      </c>
      <c r="H648" s="152" t="str">
        <f t="shared" si="9"/>
        <v>CAR4120</v>
      </c>
      <c r="I648" s="513">
        <v>-741000</v>
      </c>
      <c r="J648" s="513">
        <v>-520</v>
      </c>
      <c r="K648" s="513">
        <v>1425</v>
      </c>
      <c r="L648" s="518" t="s">
        <v>3504</v>
      </c>
      <c r="M648" s="152" t="s">
        <v>1566</v>
      </c>
      <c r="N648" s="152" t="s">
        <v>1407</v>
      </c>
      <c r="O648" s="152" t="s">
        <v>4715</v>
      </c>
      <c r="P648" s="152" t="s">
        <v>4279</v>
      </c>
      <c r="Q648" s="152" t="s">
        <v>4716</v>
      </c>
      <c r="R648" s="152" t="s">
        <v>4707</v>
      </c>
      <c r="S648" s="152" t="s">
        <v>4717</v>
      </c>
      <c r="T648" s="152" t="s">
        <v>786</v>
      </c>
    </row>
    <row r="649" spans="3:20">
      <c r="C649" s="152" t="s">
        <v>2821</v>
      </c>
      <c r="D649" s="474" t="s">
        <v>676</v>
      </c>
      <c r="E649" s="684" t="str">
        <f>+VLOOKUP(F649,Resumen_Base!$C$8:$G$156,5,0)</f>
        <v>Gun Rental</v>
      </c>
      <c r="F649" s="152" t="s">
        <v>303</v>
      </c>
      <c r="G649" s="152" t="s">
        <v>304</v>
      </c>
      <c r="H649" s="152" t="str">
        <f t="shared" si="9"/>
        <v>CAR4120</v>
      </c>
      <c r="I649" s="513">
        <v>-555750</v>
      </c>
      <c r="J649" s="513">
        <v>-390</v>
      </c>
      <c r="K649" s="513">
        <v>1425</v>
      </c>
      <c r="L649" s="518" t="s">
        <v>3504</v>
      </c>
      <c r="M649" s="152" t="s">
        <v>1566</v>
      </c>
      <c r="N649" s="152" t="s">
        <v>1407</v>
      </c>
      <c r="O649" s="152" t="s">
        <v>4718</v>
      </c>
      <c r="P649" s="152" t="s">
        <v>4279</v>
      </c>
      <c r="Q649" s="152" t="s">
        <v>4719</v>
      </c>
      <c r="R649" s="152" t="s">
        <v>4720</v>
      </c>
      <c r="S649" s="152" t="s">
        <v>4721</v>
      </c>
      <c r="T649" s="152" t="s">
        <v>786</v>
      </c>
    </row>
    <row r="650" spans="3:20">
      <c r="C650" s="152" t="s">
        <v>2821</v>
      </c>
      <c r="D650" s="474" t="s">
        <v>676</v>
      </c>
      <c r="E650" s="684" t="str">
        <f>+VLOOKUP(F650,Resumen_Base!$C$8:$G$156,5,0)</f>
        <v>Gun Rental</v>
      </c>
      <c r="F650" s="152" t="s">
        <v>303</v>
      </c>
      <c r="G650" s="152" t="s">
        <v>304</v>
      </c>
      <c r="H650" s="152" t="str">
        <f t="shared" si="9"/>
        <v>CAR4120</v>
      </c>
      <c r="I650" s="513">
        <v>-555750</v>
      </c>
      <c r="J650" s="513">
        <v>-390</v>
      </c>
      <c r="K650" s="513">
        <v>1425</v>
      </c>
      <c r="L650" s="518" t="s">
        <v>3504</v>
      </c>
      <c r="M650" s="152" t="s">
        <v>1566</v>
      </c>
      <c r="N650" s="152" t="s">
        <v>1407</v>
      </c>
      <c r="O650" s="152" t="s">
        <v>4722</v>
      </c>
      <c r="P650" s="152" t="s">
        <v>4279</v>
      </c>
      <c r="Q650" s="152" t="s">
        <v>4723</v>
      </c>
      <c r="R650" s="152" t="s">
        <v>4720</v>
      </c>
      <c r="S650" s="152" t="s">
        <v>4724</v>
      </c>
      <c r="T650" s="152" t="s">
        <v>786</v>
      </c>
    </row>
    <row r="651" spans="3:20">
      <c r="C651" s="152" t="s">
        <v>2821</v>
      </c>
      <c r="D651" s="474" t="s">
        <v>676</v>
      </c>
      <c r="E651" s="684" t="str">
        <f>+VLOOKUP(F651,Resumen_Base!$C$8:$G$156,5,0)</f>
        <v>Gun Rental</v>
      </c>
      <c r="F651" s="152" t="s">
        <v>303</v>
      </c>
      <c r="G651" s="152" t="s">
        <v>304</v>
      </c>
      <c r="H651" s="152" t="str">
        <f t="shared" si="9"/>
        <v>CAR4120</v>
      </c>
      <c r="I651" s="513">
        <v>-555750</v>
      </c>
      <c r="J651" s="513">
        <v>-390</v>
      </c>
      <c r="K651" s="513">
        <v>1425</v>
      </c>
      <c r="L651" s="518" t="s">
        <v>3504</v>
      </c>
      <c r="M651" s="152" t="s">
        <v>1566</v>
      </c>
      <c r="N651" s="152" t="s">
        <v>1407</v>
      </c>
      <c r="O651" s="152" t="s">
        <v>4725</v>
      </c>
      <c r="P651" s="152" t="s">
        <v>4279</v>
      </c>
      <c r="Q651" s="152" t="s">
        <v>4726</v>
      </c>
      <c r="R651" s="152" t="s">
        <v>4720</v>
      </c>
      <c r="S651" s="152" t="s">
        <v>4727</v>
      </c>
      <c r="T651" s="152" t="s">
        <v>786</v>
      </c>
    </row>
    <row r="652" spans="3:20">
      <c r="C652" s="152" t="s">
        <v>2821</v>
      </c>
      <c r="D652" s="474" t="s">
        <v>676</v>
      </c>
      <c r="E652" s="684" t="str">
        <f>+VLOOKUP(F652,Resumen_Base!$C$8:$G$156,5,0)</f>
        <v>Gun Rental</v>
      </c>
      <c r="F652" s="152" t="s">
        <v>303</v>
      </c>
      <c r="G652" s="152" t="s">
        <v>304</v>
      </c>
      <c r="H652" s="152" t="str">
        <f t="shared" si="9"/>
        <v>CAR4120</v>
      </c>
      <c r="I652" s="513">
        <v>-555750</v>
      </c>
      <c r="J652" s="513">
        <v>-390</v>
      </c>
      <c r="K652" s="513">
        <v>1425</v>
      </c>
      <c r="L652" s="518" t="s">
        <v>3504</v>
      </c>
      <c r="M652" s="152" t="s">
        <v>1566</v>
      </c>
      <c r="N652" s="152" t="s">
        <v>1407</v>
      </c>
      <c r="O652" s="152" t="s">
        <v>4728</v>
      </c>
      <c r="P652" s="152" t="s">
        <v>4279</v>
      </c>
      <c r="Q652" s="152" t="s">
        <v>4729</v>
      </c>
      <c r="R652" s="152" t="s">
        <v>4720</v>
      </c>
      <c r="S652" s="152" t="s">
        <v>4730</v>
      </c>
      <c r="T652" s="152" t="s">
        <v>786</v>
      </c>
    </row>
    <row r="653" spans="3:20">
      <c r="C653" s="152" t="s">
        <v>2821</v>
      </c>
      <c r="D653" s="474" t="s">
        <v>676</v>
      </c>
      <c r="E653" s="684" t="str">
        <f>+VLOOKUP(F653,Resumen_Base!$C$8:$G$156,5,0)</f>
        <v>Gun Rental</v>
      </c>
      <c r="F653" s="152" t="s">
        <v>303</v>
      </c>
      <c r="G653" s="152" t="s">
        <v>304</v>
      </c>
      <c r="H653" s="152" t="str">
        <f t="shared" ref="H653:H716" si="10">+D653&amp;F653</f>
        <v>CAR4120</v>
      </c>
      <c r="I653" s="513">
        <v>-748800</v>
      </c>
      <c r="J653" s="513">
        <v>-520</v>
      </c>
      <c r="K653" s="513">
        <v>1440</v>
      </c>
      <c r="L653" s="518" t="s">
        <v>3517</v>
      </c>
      <c r="M653" s="152" t="s">
        <v>1566</v>
      </c>
      <c r="N653" s="152" t="s">
        <v>1407</v>
      </c>
      <c r="O653" s="152" t="s">
        <v>4976</v>
      </c>
      <c r="P653" s="152" t="s">
        <v>1881</v>
      </c>
      <c r="Q653" s="152" t="s">
        <v>4977</v>
      </c>
      <c r="R653" s="152" t="s">
        <v>4977</v>
      </c>
      <c r="S653" s="152" t="s">
        <v>4978</v>
      </c>
      <c r="T653" s="152" t="s">
        <v>786</v>
      </c>
    </row>
    <row r="654" spans="3:20">
      <c r="C654" s="152" t="s">
        <v>2821</v>
      </c>
      <c r="D654" s="474" t="s">
        <v>676</v>
      </c>
      <c r="E654" s="684" t="str">
        <f>+VLOOKUP(F654,Resumen_Base!$C$8:$G$156,5,0)</f>
        <v>Extras</v>
      </c>
      <c r="F654" s="152" t="s">
        <v>310</v>
      </c>
      <c r="G654" s="152" t="s">
        <v>311</v>
      </c>
      <c r="H654" s="152" t="str">
        <f t="shared" si="10"/>
        <v>CAR5104</v>
      </c>
      <c r="I654" s="513">
        <v>78375</v>
      </c>
      <c r="J654" s="513">
        <v>55</v>
      </c>
      <c r="K654" s="513">
        <v>1425</v>
      </c>
      <c r="L654" s="518" t="s">
        <v>3637</v>
      </c>
      <c r="M654" s="152" t="s">
        <v>780</v>
      </c>
      <c r="N654" s="152" t="s">
        <v>1407</v>
      </c>
      <c r="O654" s="152" t="s">
        <v>3638</v>
      </c>
      <c r="P654" s="152" t="s">
        <v>2865</v>
      </c>
      <c r="Q654" s="152" t="s">
        <v>3639</v>
      </c>
      <c r="R654" s="152" t="s">
        <v>3640</v>
      </c>
      <c r="S654" s="152" t="s">
        <v>3641</v>
      </c>
      <c r="T654" s="152" t="s">
        <v>786</v>
      </c>
    </row>
    <row r="655" spans="3:20">
      <c r="C655" s="152" t="s">
        <v>2821</v>
      </c>
      <c r="D655" s="474" t="s">
        <v>676</v>
      </c>
      <c r="E655" s="684" t="str">
        <f>+VLOOKUP(F655,Resumen_Base!$C$8:$G$156,5,0)</f>
        <v>Extras</v>
      </c>
      <c r="F655" s="152" t="s">
        <v>310</v>
      </c>
      <c r="G655" s="152" t="s">
        <v>311</v>
      </c>
      <c r="H655" s="152" t="str">
        <f t="shared" si="10"/>
        <v>CAR5104</v>
      </c>
      <c r="I655" s="513">
        <v>78375</v>
      </c>
      <c r="J655" s="513">
        <v>55</v>
      </c>
      <c r="K655" s="513">
        <v>1425</v>
      </c>
      <c r="L655" s="518" t="s">
        <v>3511</v>
      </c>
      <c r="M655" s="152" t="s">
        <v>780</v>
      </c>
      <c r="N655" s="152" t="s">
        <v>1407</v>
      </c>
      <c r="O655" s="152" t="s">
        <v>3512</v>
      </c>
      <c r="P655" s="152" t="s">
        <v>3489</v>
      </c>
      <c r="Q655" s="152" t="s">
        <v>3513</v>
      </c>
      <c r="R655" s="152" t="s">
        <v>3640</v>
      </c>
      <c r="S655" s="152" t="s">
        <v>3515</v>
      </c>
      <c r="T655" s="152" t="s">
        <v>786</v>
      </c>
    </row>
    <row r="656" spans="3:20">
      <c r="C656" s="152" t="s">
        <v>2821</v>
      </c>
      <c r="D656" s="474" t="s">
        <v>676</v>
      </c>
      <c r="E656" s="684" t="str">
        <f>+VLOOKUP(F656,Resumen_Base!$C$8:$G$156,5,0)</f>
        <v>Extras</v>
      </c>
      <c r="F656" s="152" t="s">
        <v>310</v>
      </c>
      <c r="G656" s="152" t="s">
        <v>311</v>
      </c>
      <c r="H656" s="152" t="str">
        <f t="shared" si="10"/>
        <v>CAR5104</v>
      </c>
      <c r="I656" s="513">
        <v>1123200</v>
      </c>
      <c r="J656" s="513">
        <v>780</v>
      </c>
      <c r="K656" s="513">
        <v>1440</v>
      </c>
      <c r="L656" s="518" t="s">
        <v>3637</v>
      </c>
      <c r="M656" s="152" t="s">
        <v>780</v>
      </c>
      <c r="N656" s="152" t="s">
        <v>1407</v>
      </c>
      <c r="O656" s="152" t="s">
        <v>3638</v>
      </c>
      <c r="P656" s="152" t="s">
        <v>2865</v>
      </c>
      <c r="Q656" s="152" t="s">
        <v>3639</v>
      </c>
      <c r="R656" s="152" t="s">
        <v>3644</v>
      </c>
      <c r="S656" s="152" t="s">
        <v>3641</v>
      </c>
      <c r="T656" s="152" t="s">
        <v>786</v>
      </c>
    </row>
    <row r="657" spans="3:20">
      <c r="C657" s="152" t="s">
        <v>2821</v>
      </c>
      <c r="D657" s="474" t="s">
        <v>676</v>
      </c>
      <c r="E657" s="684" t="str">
        <f>+VLOOKUP(F657,Resumen_Base!$C$8:$G$156,5,0)</f>
        <v>Extras</v>
      </c>
      <c r="F657" s="152" t="s">
        <v>310</v>
      </c>
      <c r="G657" s="152" t="s">
        <v>311</v>
      </c>
      <c r="H657" s="152" t="str">
        <f t="shared" si="10"/>
        <v>CAR5104</v>
      </c>
      <c r="I657" s="513">
        <v>396000</v>
      </c>
      <c r="J657" s="513">
        <v>275</v>
      </c>
      <c r="K657" s="513">
        <v>1440</v>
      </c>
      <c r="L657" s="518" t="s">
        <v>3517</v>
      </c>
      <c r="M657" s="152" t="s">
        <v>780</v>
      </c>
      <c r="N657" s="152" t="s">
        <v>1407</v>
      </c>
      <c r="O657" s="152" t="s">
        <v>3518</v>
      </c>
      <c r="P657" s="152" t="s">
        <v>892</v>
      </c>
      <c r="Q657" s="152" t="s">
        <v>3519</v>
      </c>
      <c r="R657" s="152" t="s">
        <v>3652</v>
      </c>
      <c r="S657" s="152" t="s">
        <v>3521</v>
      </c>
      <c r="T657" s="152" t="s">
        <v>786</v>
      </c>
    </row>
    <row r="658" spans="3:20">
      <c r="C658" s="152" t="s">
        <v>2821</v>
      </c>
      <c r="D658" s="474" t="s">
        <v>676</v>
      </c>
      <c r="E658" s="684" t="str">
        <f>+VLOOKUP(F658,Resumen_Base!$C$8:$G$156,5,0)</f>
        <v>Extras</v>
      </c>
      <c r="F658" s="152" t="s">
        <v>310</v>
      </c>
      <c r="G658" s="152" t="s">
        <v>311</v>
      </c>
      <c r="H658" s="152" t="str">
        <f t="shared" si="10"/>
        <v>CAR5104</v>
      </c>
      <c r="I658" s="513">
        <v>49000</v>
      </c>
      <c r="J658" s="513">
        <v>35</v>
      </c>
      <c r="K658" s="513">
        <v>1400</v>
      </c>
      <c r="L658" s="518" t="s">
        <v>3659</v>
      </c>
      <c r="M658" s="152" t="s">
        <v>780</v>
      </c>
      <c r="N658" s="152" t="s">
        <v>1407</v>
      </c>
      <c r="O658" s="152" t="s">
        <v>3795</v>
      </c>
      <c r="P658" s="152" t="s">
        <v>3489</v>
      </c>
      <c r="Q658" s="152" t="s">
        <v>3796</v>
      </c>
      <c r="R658" s="152" t="s">
        <v>3945</v>
      </c>
      <c r="S658" s="152" t="s">
        <v>3798</v>
      </c>
      <c r="T658" s="152" t="s">
        <v>786</v>
      </c>
    </row>
    <row r="659" spans="3:20">
      <c r="C659" s="152" t="s">
        <v>2821</v>
      </c>
      <c r="D659" s="474" t="s">
        <v>676</v>
      </c>
      <c r="E659" s="684" t="str">
        <f>+VLOOKUP(F659,Resumen_Base!$C$8:$G$156,5,0)</f>
        <v>Extras</v>
      </c>
      <c r="F659" s="152" t="s">
        <v>310</v>
      </c>
      <c r="G659" s="152" t="s">
        <v>311</v>
      </c>
      <c r="H659" s="152" t="str">
        <f t="shared" si="10"/>
        <v>CAR5104</v>
      </c>
      <c r="I659" s="513">
        <v>154000</v>
      </c>
      <c r="J659" s="513">
        <v>110</v>
      </c>
      <c r="K659" s="513">
        <v>1400</v>
      </c>
      <c r="L659" s="518" t="s">
        <v>3659</v>
      </c>
      <c r="M659" s="152" t="s">
        <v>780</v>
      </c>
      <c r="N659" s="152" t="s">
        <v>1407</v>
      </c>
      <c r="O659" s="152" t="s">
        <v>3795</v>
      </c>
      <c r="P659" s="152" t="s">
        <v>3489</v>
      </c>
      <c r="Q659" s="152" t="s">
        <v>3796</v>
      </c>
      <c r="R659" s="152" t="s">
        <v>3946</v>
      </c>
      <c r="S659" s="152" t="s">
        <v>3798</v>
      </c>
      <c r="T659" s="152" t="s">
        <v>786</v>
      </c>
    </row>
    <row r="660" spans="3:20">
      <c r="C660" s="152" t="s">
        <v>2821</v>
      </c>
      <c r="D660" s="474" t="s">
        <v>676</v>
      </c>
      <c r="E660" s="684" t="str">
        <f>+VLOOKUP(F660,Resumen_Base!$C$8:$G$156,5,0)</f>
        <v>Extras</v>
      </c>
      <c r="F660" s="152" t="s">
        <v>310</v>
      </c>
      <c r="G660" s="152" t="s">
        <v>311</v>
      </c>
      <c r="H660" s="152" t="str">
        <f t="shared" si="10"/>
        <v>CAR5104</v>
      </c>
      <c r="I660" s="513">
        <v>462000</v>
      </c>
      <c r="J660" s="513">
        <v>330</v>
      </c>
      <c r="K660" s="513">
        <v>1400</v>
      </c>
      <c r="L660" s="518" t="s">
        <v>3659</v>
      </c>
      <c r="M660" s="152" t="s">
        <v>780</v>
      </c>
      <c r="N660" s="152" t="s">
        <v>1407</v>
      </c>
      <c r="O660" s="152" t="s">
        <v>3795</v>
      </c>
      <c r="P660" s="152" t="s">
        <v>3489</v>
      </c>
      <c r="Q660" s="152" t="s">
        <v>3796</v>
      </c>
      <c r="R660" s="152" t="s">
        <v>3947</v>
      </c>
      <c r="S660" s="152" t="s">
        <v>3798</v>
      </c>
      <c r="T660" s="152" t="s">
        <v>786</v>
      </c>
    </row>
    <row r="661" spans="3:20">
      <c r="C661" s="152" t="s">
        <v>2821</v>
      </c>
      <c r="D661" s="474" t="s">
        <v>676</v>
      </c>
      <c r="E661" s="684" t="str">
        <f>+VLOOKUP(F661,Resumen_Base!$C$8:$G$156,5,0)</f>
        <v>Extras</v>
      </c>
      <c r="F661" s="152" t="s">
        <v>310</v>
      </c>
      <c r="G661" s="152" t="s">
        <v>311</v>
      </c>
      <c r="H661" s="152" t="str">
        <f t="shared" si="10"/>
        <v>CAR5104</v>
      </c>
      <c r="I661" s="513">
        <v>155650</v>
      </c>
      <c r="J661" s="513">
        <v>110</v>
      </c>
      <c r="K661" s="513">
        <v>1415</v>
      </c>
      <c r="L661" s="518" t="s">
        <v>3511</v>
      </c>
      <c r="M661" s="152" t="s">
        <v>780</v>
      </c>
      <c r="N661" s="152" t="s">
        <v>1407</v>
      </c>
      <c r="O661" s="152" t="s">
        <v>3512</v>
      </c>
      <c r="P661" s="152" t="s">
        <v>3489</v>
      </c>
      <c r="Q661" s="152" t="s">
        <v>3513</v>
      </c>
      <c r="R661" s="152" t="s">
        <v>3948</v>
      </c>
      <c r="S661" s="152" t="s">
        <v>3515</v>
      </c>
      <c r="T661" s="152" t="s">
        <v>786</v>
      </c>
    </row>
    <row r="662" spans="3:20">
      <c r="C662" s="152" t="s">
        <v>2821</v>
      </c>
      <c r="D662" s="474" t="s">
        <v>676</v>
      </c>
      <c r="E662" s="684" t="str">
        <f>+VLOOKUP(F662,Resumen_Base!$C$8:$G$156,5,0)</f>
        <v>Extras</v>
      </c>
      <c r="F662" s="152" t="s">
        <v>310</v>
      </c>
      <c r="G662" s="152" t="s">
        <v>311</v>
      </c>
      <c r="H662" s="152" t="str">
        <f t="shared" si="10"/>
        <v>CAR5104</v>
      </c>
      <c r="I662" s="513">
        <v>155650</v>
      </c>
      <c r="J662" s="513">
        <v>110</v>
      </c>
      <c r="K662" s="513">
        <v>1415</v>
      </c>
      <c r="L662" s="518" t="s">
        <v>3498</v>
      </c>
      <c r="M662" s="152" t="s">
        <v>780</v>
      </c>
      <c r="N662" s="152" t="s">
        <v>1407</v>
      </c>
      <c r="O662" s="152" t="s">
        <v>3499</v>
      </c>
      <c r="P662" s="152" t="s">
        <v>3489</v>
      </c>
      <c r="Q662" s="152" t="s">
        <v>3500</v>
      </c>
      <c r="R662" s="152" t="s">
        <v>3948</v>
      </c>
      <c r="S662" s="152" t="s">
        <v>3502</v>
      </c>
      <c r="T662" s="152" t="s">
        <v>786</v>
      </c>
    </row>
    <row r="663" spans="3:20">
      <c r="C663" s="152" t="s">
        <v>2821</v>
      </c>
      <c r="D663" s="474" t="s">
        <v>676</v>
      </c>
      <c r="E663" s="684" t="str">
        <f>+VLOOKUP(F663,Resumen_Base!$C$8:$G$156,5,0)</f>
        <v>Extras</v>
      </c>
      <c r="F663" s="152" t="s">
        <v>310</v>
      </c>
      <c r="G663" s="152" t="s">
        <v>311</v>
      </c>
      <c r="H663" s="152" t="str">
        <f t="shared" si="10"/>
        <v>CAR5104</v>
      </c>
      <c r="I663" s="513">
        <v>155100</v>
      </c>
      <c r="J663" s="513">
        <v>110</v>
      </c>
      <c r="K663" s="513">
        <v>1410</v>
      </c>
      <c r="L663" s="518" t="s">
        <v>3659</v>
      </c>
      <c r="M663" s="152" t="s">
        <v>780</v>
      </c>
      <c r="N663" s="152" t="s">
        <v>1407</v>
      </c>
      <c r="O663" s="152" t="s">
        <v>3795</v>
      </c>
      <c r="P663" s="152" t="s">
        <v>3489</v>
      </c>
      <c r="Q663" s="152" t="s">
        <v>3796</v>
      </c>
      <c r="R663" s="152" t="s">
        <v>3948</v>
      </c>
      <c r="S663" s="152" t="s">
        <v>3798</v>
      </c>
      <c r="T663" s="152" t="s">
        <v>786</v>
      </c>
    </row>
    <row r="664" spans="3:20">
      <c r="C664" s="152" t="s">
        <v>2821</v>
      </c>
      <c r="D664" s="474" t="s">
        <v>676</v>
      </c>
      <c r="E664" s="684" t="str">
        <f>+VLOOKUP(F664,Resumen_Base!$C$8:$G$156,5,0)</f>
        <v>Extras</v>
      </c>
      <c r="F664" s="152" t="s">
        <v>310</v>
      </c>
      <c r="G664" s="152" t="s">
        <v>311</v>
      </c>
      <c r="H664" s="152" t="str">
        <f t="shared" si="10"/>
        <v>CAR5104</v>
      </c>
      <c r="I664" s="513">
        <v>155650</v>
      </c>
      <c r="J664" s="513">
        <v>110</v>
      </c>
      <c r="K664" s="513">
        <v>1415</v>
      </c>
      <c r="L664" s="518" t="s">
        <v>3632</v>
      </c>
      <c r="M664" s="152" t="s">
        <v>780</v>
      </c>
      <c r="N664" s="152" t="s">
        <v>1407</v>
      </c>
      <c r="O664" s="152" t="s">
        <v>3633</v>
      </c>
      <c r="P664" s="152" t="s">
        <v>3489</v>
      </c>
      <c r="Q664" s="152" t="s">
        <v>3634</v>
      </c>
      <c r="R664" s="152" t="s">
        <v>3948</v>
      </c>
      <c r="S664" s="152" t="s">
        <v>3636</v>
      </c>
      <c r="T664" s="152" t="s">
        <v>786</v>
      </c>
    </row>
    <row r="665" spans="3:20">
      <c r="C665" s="152" t="s">
        <v>2821</v>
      </c>
      <c r="D665" s="474" t="s">
        <v>676</v>
      </c>
      <c r="E665" s="684" t="str">
        <f>+VLOOKUP(F665,Resumen_Base!$C$8:$G$156,5,0)</f>
        <v>Extras</v>
      </c>
      <c r="F665" s="152" t="s">
        <v>310</v>
      </c>
      <c r="G665" s="152" t="s">
        <v>311</v>
      </c>
      <c r="H665" s="152" t="str">
        <f t="shared" si="10"/>
        <v>CAR5104</v>
      </c>
      <c r="I665" s="513">
        <v>98350</v>
      </c>
      <c r="J665" s="513">
        <v>70</v>
      </c>
      <c r="K665" s="513">
        <v>1405</v>
      </c>
      <c r="L665" s="518" t="s">
        <v>3493</v>
      </c>
      <c r="M665" s="152" t="s">
        <v>780</v>
      </c>
      <c r="N665" s="152" t="s">
        <v>1407</v>
      </c>
      <c r="O665" s="152" t="s">
        <v>3677</v>
      </c>
      <c r="P665" s="152" t="s">
        <v>3489</v>
      </c>
      <c r="Q665" s="152" t="s">
        <v>3678</v>
      </c>
      <c r="R665" s="152" t="s">
        <v>3948</v>
      </c>
      <c r="S665" s="152" t="s">
        <v>3679</v>
      </c>
      <c r="T665" s="152" t="s">
        <v>786</v>
      </c>
    </row>
    <row r="666" spans="3:20">
      <c r="C666" s="152" t="s">
        <v>2821</v>
      </c>
      <c r="D666" s="474" t="s">
        <v>676</v>
      </c>
      <c r="E666" s="684" t="str">
        <f>+VLOOKUP(F666,Resumen_Base!$C$8:$G$156,5,0)</f>
        <v>Extras</v>
      </c>
      <c r="F666" s="152" t="s">
        <v>310</v>
      </c>
      <c r="G666" s="152" t="s">
        <v>311</v>
      </c>
      <c r="H666" s="152" t="str">
        <f t="shared" si="10"/>
        <v>CAR5104</v>
      </c>
      <c r="I666" s="513">
        <v>154550</v>
      </c>
      <c r="J666" s="513">
        <v>110</v>
      </c>
      <c r="K666" s="513">
        <v>1405</v>
      </c>
      <c r="L666" s="518" t="s">
        <v>3493</v>
      </c>
      <c r="M666" s="152" t="s">
        <v>780</v>
      </c>
      <c r="N666" s="152" t="s">
        <v>1407</v>
      </c>
      <c r="O666" s="152" t="s">
        <v>3677</v>
      </c>
      <c r="P666" s="152" t="s">
        <v>3489</v>
      </c>
      <c r="Q666" s="152" t="s">
        <v>3678</v>
      </c>
      <c r="R666" s="152" t="s">
        <v>3948</v>
      </c>
      <c r="S666" s="152" t="s">
        <v>3679</v>
      </c>
      <c r="T666" s="152" t="s">
        <v>786</v>
      </c>
    </row>
    <row r="667" spans="3:20">
      <c r="C667" s="152" t="s">
        <v>2821</v>
      </c>
      <c r="D667" s="474" t="s">
        <v>676</v>
      </c>
      <c r="E667" s="684" t="str">
        <f>+VLOOKUP(F667,Resumen_Base!$C$8:$G$156,5,0)</f>
        <v>Extras</v>
      </c>
      <c r="F667" s="152" t="s">
        <v>310</v>
      </c>
      <c r="G667" s="152" t="s">
        <v>311</v>
      </c>
      <c r="H667" s="152" t="str">
        <f t="shared" si="10"/>
        <v>CAR5104</v>
      </c>
      <c r="I667" s="513">
        <v>196700</v>
      </c>
      <c r="J667" s="513">
        <v>140</v>
      </c>
      <c r="K667" s="513">
        <v>1405</v>
      </c>
      <c r="L667" s="518" t="s">
        <v>3493</v>
      </c>
      <c r="M667" s="152" t="s">
        <v>780</v>
      </c>
      <c r="N667" s="152" t="s">
        <v>1407</v>
      </c>
      <c r="O667" s="152" t="s">
        <v>3677</v>
      </c>
      <c r="P667" s="152" t="s">
        <v>3489</v>
      </c>
      <c r="Q667" s="152" t="s">
        <v>3678</v>
      </c>
      <c r="R667" s="152" t="s">
        <v>3948</v>
      </c>
      <c r="S667" s="152" t="s">
        <v>3679</v>
      </c>
      <c r="T667" s="152" t="s">
        <v>786</v>
      </c>
    </row>
    <row r="668" spans="3:20">
      <c r="C668" s="152" t="s">
        <v>2821</v>
      </c>
      <c r="D668" s="474" t="s">
        <v>676</v>
      </c>
      <c r="E668" s="684" t="str">
        <f>+VLOOKUP(F668,Resumen_Base!$C$8:$G$156,5,0)</f>
        <v>Extras</v>
      </c>
      <c r="F668" s="152" t="s">
        <v>310</v>
      </c>
      <c r="G668" s="152" t="s">
        <v>311</v>
      </c>
      <c r="H668" s="152" t="str">
        <f t="shared" si="10"/>
        <v>CAR5104</v>
      </c>
      <c r="I668" s="513">
        <v>155100</v>
      </c>
      <c r="J668" s="513">
        <v>110</v>
      </c>
      <c r="K668" s="513">
        <v>1410</v>
      </c>
      <c r="L668" s="518" t="s">
        <v>3659</v>
      </c>
      <c r="M668" s="152" t="s">
        <v>780</v>
      </c>
      <c r="N668" s="152" t="s">
        <v>1407</v>
      </c>
      <c r="O668" s="152" t="s">
        <v>3795</v>
      </c>
      <c r="P668" s="152" t="s">
        <v>3489</v>
      </c>
      <c r="Q668" s="152" t="s">
        <v>3796</v>
      </c>
      <c r="R668" s="152" t="s">
        <v>3949</v>
      </c>
      <c r="S668" s="152" t="s">
        <v>3798</v>
      </c>
      <c r="T668" s="152" t="s">
        <v>786</v>
      </c>
    </row>
    <row r="669" spans="3:20">
      <c r="C669" s="152" t="s">
        <v>2821</v>
      </c>
      <c r="D669" s="474" t="s">
        <v>676</v>
      </c>
      <c r="E669" s="684" t="str">
        <f>+VLOOKUP(F669,Resumen_Base!$C$8:$G$156,5,0)</f>
        <v>Extras</v>
      </c>
      <c r="F669" s="152" t="s">
        <v>310</v>
      </c>
      <c r="G669" s="152" t="s">
        <v>311</v>
      </c>
      <c r="H669" s="152" t="str">
        <f t="shared" si="10"/>
        <v>CAR5104</v>
      </c>
      <c r="I669" s="513">
        <v>155650</v>
      </c>
      <c r="J669" s="513">
        <v>110</v>
      </c>
      <c r="K669" s="513">
        <v>1415</v>
      </c>
      <c r="L669" s="518" t="s">
        <v>3511</v>
      </c>
      <c r="M669" s="152" t="s">
        <v>780</v>
      </c>
      <c r="N669" s="152" t="s">
        <v>1407</v>
      </c>
      <c r="O669" s="152" t="s">
        <v>3512</v>
      </c>
      <c r="P669" s="152" t="s">
        <v>3489</v>
      </c>
      <c r="Q669" s="152" t="s">
        <v>3513</v>
      </c>
      <c r="R669" s="152" t="s">
        <v>3950</v>
      </c>
      <c r="S669" s="152" t="s">
        <v>3515</v>
      </c>
      <c r="T669" s="152" t="s">
        <v>786</v>
      </c>
    </row>
    <row r="670" spans="3:20">
      <c r="C670" s="152" t="s">
        <v>2821</v>
      </c>
      <c r="D670" s="474" t="s">
        <v>676</v>
      </c>
      <c r="E670" s="684" t="str">
        <f>+VLOOKUP(F670,Resumen_Base!$C$8:$G$156,5,0)</f>
        <v>Extras</v>
      </c>
      <c r="F670" s="152" t="s">
        <v>310</v>
      </c>
      <c r="G670" s="152" t="s">
        <v>311</v>
      </c>
      <c r="H670" s="152" t="str">
        <f t="shared" si="10"/>
        <v>CAR5104</v>
      </c>
      <c r="I670" s="513">
        <v>235125</v>
      </c>
      <c r="J670" s="513">
        <v>165</v>
      </c>
      <c r="K670" s="513">
        <v>1425</v>
      </c>
      <c r="L670" s="518" t="s">
        <v>3504</v>
      </c>
      <c r="M670" s="152" t="s">
        <v>780</v>
      </c>
      <c r="N670" s="152" t="s">
        <v>1407</v>
      </c>
      <c r="O670" s="152" t="s">
        <v>3505</v>
      </c>
      <c r="P670" s="152" t="s">
        <v>3489</v>
      </c>
      <c r="Q670" s="152" t="s">
        <v>3506</v>
      </c>
      <c r="R670" s="152" t="s">
        <v>3951</v>
      </c>
      <c r="S670" s="152" t="s">
        <v>3508</v>
      </c>
      <c r="T670" s="152" t="s">
        <v>786</v>
      </c>
    </row>
    <row r="671" spans="3:20">
      <c r="C671" s="152" t="s">
        <v>2821</v>
      </c>
      <c r="D671" s="474" t="s">
        <v>676</v>
      </c>
      <c r="E671" s="684" t="str">
        <f>+VLOOKUP(F671,Resumen_Base!$C$8:$G$156,5,0)</f>
        <v>Extras</v>
      </c>
      <c r="F671" s="152" t="s">
        <v>310</v>
      </c>
      <c r="G671" s="152" t="s">
        <v>311</v>
      </c>
      <c r="H671" s="152" t="str">
        <f t="shared" si="10"/>
        <v>CAR5104</v>
      </c>
      <c r="I671" s="513">
        <v>309100</v>
      </c>
      <c r="J671" s="513">
        <v>220</v>
      </c>
      <c r="K671" s="513">
        <v>1405</v>
      </c>
      <c r="L671" s="518" t="s">
        <v>3493</v>
      </c>
      <c r="M671" s="152" t="s">
        <v>780</v>
      </c>
      <c r="N671" s="152" t="s">
        <v>1407</v>
      </c>
      <c r="O671" s="152" t="s">
        <v>3677</v>
      </c>
      <c r="P671" s="152" t="s">
        <v>3489</v>
      </c>
      <c r="Q671" s="152" t="s">
        <v>3678</v>
      </c>
      <c r="R671" s="152" t="s">
        <v>3952</v>
      </c>
      <c r="S671" s="152" t="s">
        <v>3679</v>
      </c>
      <c r="T671" s="152" t="s">
        <v>786</v>
      </c>
    </row>
    <row r="672" spans="3:20">
      <c r="C672" s="152" t="s">
        <v>2821</v>
      </c>
      <c r="D672" s="474" t="s">
        <v>676</v>
      </c>
      <c r="E672" s="684" t="str">
        <f>+VLOOKUP(F672,Resumen_Base!$C$8:$G$156,5,0)</f>
        <v>Extras</v>
      </c>
      <c r="F672" s="152" t="s">
        <v>310</v>
      </c>
      <c r="G672" s="152" t="s">
        <v>311</v>
      </c>
      <c r="H672" s="152" t="str">
        <f t="shared" si="10"/>
        <v>CAR5104</v>
      </c>
      <c r="I672" s="513">
        <v>154000</v>
      </c>
      <c r="J672" s="513">
        <v>110</v>
      </c>
      <c r="K672" s="513">
        <v>1400</v>
      </c>
      <c r="L672" s="518" t="s">
        <v>3659</v>
      </c>
      <c r="M672" s="152" t="s">
        <v>780</v>
      </c>
      <c r="N672" s="152" t="s">
        <v>1407</v>
      </c>
      <c r="O672" s="152" t="s">
        <v>3795</v>
      </c>
      <c r="P672" s="152" t="s">
        <v>3489</v>
      </c>
      <c r="Q672" s="152" t="s">
        <v>3796</v>
      </c>
      <c r="R672" s="152" t="s">
        <v>3958</v>
      </c>
      <c r="S672" s="152" t="s">
        <v>3798</v>
      </c>
      <c r="T672" s="152" t="s">
        <v>786</v>
      </c>
    </row>
    <row r="673" spans="1:20">
      <c r="C673" s="152" t="s">
        <v>2821</v>
      </c>
      <c r="D673" s="474" t="s">
        <v>676</v>
      </c>
      <c r="E673" s="684" t="str">
        <f>+VLOOKUP(F673,Resumen_Base!$C$8:$G$156,5,0)</f>
        <v>Extras</v>
      </c>
      <c r="F673" s="152" t="s">
        <v>310</v>
      </c>
      <c r="G673" s="152" t="s">
        <v>311</v>
      </c>
      <c r="H673" s="152" t="str">
        <f t="shared" si="10"/>
        <v>CAR5104</v>
      </c>
      <c r="I673" s="513">
        <v>311300</v>
      </c>
      <c r="J673" s="513">
        <v>220</v>
      </c>
      <c r="K673" s="513">
        <v>1415</v>
      </c>
      <c r="L673" s="518" t="s">
        <v>3632</v>
      </c>
      <c r="M673" s="152" t="s">
        <v>780</v>
      </c>
      <c r="N673" s="152" t="s">
        <v>1407</v>
      </c>
      <c r="O673" s="152" t="s">
        <v>3633</v>
      </c>
      <c r="P673" s="152" t="s">
        <v>3489</v>
      </c>
      <c r="Q673" s="152" t="s">
        <v>3634</v>
      </c>
      <c r="R673" s="152" t="s">
        <v>3969</v>
      </c>
      <c r="S673" s="152" t="s">
        <v>3636</v>
      </c>
      <c r="T673" s="152" t="s">
        <v>786</v>
      </c>
    </row>
    <row r="674" spans="1:20">
      <c r="C674" s="152" t="s">
        <v>2821</v>
      </c>
      <c r="D674" s="474" t="s">
        <v>676</v>
      </c>
      <c r="E674" s="684" t="str">
        <f>+VLOOKUP(F674,Resumen_Base!$C$8:$G$156,5,0)</f>
        <v>Extras</v>
      </c>
      <c r="F674" s="152" t="s">
        <v>310</v>
      </c>
      <c r="G674" s="152" t="s">
        <v>311</v>
      </c>
      <c r="H674" s="152" t="str">
        <f t="shared" si="10"/>
        <v>CAR5104</v>
      </c>
      <c r="I674" s="513">
        <v>78375</v>
      </c>
      <c r="J674" s="513">
        <v>55</v>
      </c>
      <c r="K674" s="513">
        <v>1425</v>
      </c>
      <c r="L674" s="518" t="s">
        <v>3637</v>
      </c>
      <c r="M674" s="152" t="s">
        <v>780</v>
      </c>
      <c r="N674" s="152" t="s">
        <v>1407</v>
      </c>
      <c r="O674" s="152" t="s">
        <v>3638</v>
      </c>
      <c r="P674" s="152" t="s">
        <v>2865</v>
      </c>
      <c r="Q674" s="152" t="s">
        <v>3639</v>
      </c>
      <c r="R674" s="152" t="s">
        <v>3970</v>
      </c>
      <c r="S674" s="152" t="s">
        <v>3641</v>
      </c>
      <c r="T674" s="152" t="s">
        <v>786</v>
      </c>
    </row>
    <row r="675" spans="1:20">
      <c r="C675" s="152" t="s">
        <v>2821</v>
      </c>
      <c r="D675" s="474" t="s">
        <v>676</v>
      </c>
      <c r="E675" s="684" t="str">
        <f>+VLOOKUP(F675,Resumen_Base!$C$8:$G$156,5,0)</f>
        <v>Extras</v>
      </c>
      <c r="F675" s="152" t="s">
        <v>310</v>
      </c>
      <c r="G675" s="152" t="s">
        <v>311</v>
      </c>
      <c r="H675" s="152" t="str">
        <f t="shared" si="10"/>
        <v>CAR5104</v>
      </c>
      <c r="I675" s="513">
        <v>155650</v>
      </c>
      <c r="J675" s="513">
        <v>110</v>
      </c>
      <c r="K675" s="513">
        <v>1415</v>
      </c>
      <c r="L675" s="518" t="s">
        <v>3493</v>
      </c>
      <c r="M675" s="152" t="s">
        <v>780</v>
      </c>
      <c r="N675" s="152" t="s">
        <v>1407</v>
      </c>
      <c r="O675" s="152" t="s">
        <v>3677</v>
      </c>
      <c r="P675" s="152" t="s">
        <v>3489</v>
      </c>
      <c r="Q675" s="152" t="s">
        <v>3678</v>
      </c>
      <c r="R675" s="152" t="s">
        <v>3970</v>
      </c>
      <c r="S675" s="152" t="s">
        <v>3679</v>
      </c>
      <c r="T675" s="152" t="s">
        <v>786</v>
      </c>
    </row>
    <row r="676" spans="1:20">
      <c r="C676" s="152" t="s">
        <v>2821</v>
      </c>
      <c r="D676" s="474" t="s">
        <v>676</v>
      </c>
      <c r="E676" s="684" t="str">
        <f>+VLOOKUP(F676,Resumen_Base!$C$8:$G$156,5,0)</f>
        <v>Extras</v>
      </c>
      <c r="F676" s="152" t="s">
        <v>310</v>
      </c>
      <c r="G676" s="152" t="s">
        <v>311</v>
      </c>
      <c r="H676" s="152" t="str">
        <f t="shared" si="10"/>
        <v>CAR5104</v>
      </c>
      <c r="I676" s="513">
        <v>98350</v>
      </c>
      <c r="J676" s="513">
        <v>70</v>
      </c>
      <c r="K676" s="513">
        <v>1405</v>
      </c>
      <c r="L676" s="518" t="s">
        <v>3493</v>
      </c>
      <c r="M676" s="152" t="s">
        <v>780</v>
      </c>
      <c r="N676" s="152" t="s">
        <v>1407</v>
      </c>
      <c r="O676" s="152" t="s">
        <v>3677</v>
      </c>
      <c r="P676" s="152" t="s">
        <v>3489</v>
      </c>
      <c r="Q676" s="152" t="s">
        <v>3678</v>
      </c>
      <c r="R676" s="152" t="s">
        <v>3971</v>
      </c>
      <c r="S676" s="152" t="s">
        <v>3679</v>
      </c>
      <c r="T676" s="152" t="s">
        <v>786</v>
      </c>
    </row>
    <row r="677" spans="1:20">
      <c r="C677" s="152" t="s">
        <v>2821</v>
      </c>
      <c r="D677" s="474" t="s">
        <v>676</v>
      </c>
      <c r="E677" s="684" t="str">
        <f>+VLOOKUP(F677,Resumen_Base!$C$8:$G$156,5,0)</f>
        <v>Extras</v>
      </c>
      <c r="F677" s="152" t="s">
        <v>310</v>
      </c>
      <c r="G677" s="152" t="s">
        <v>311</v>
      </c>
      <c r="H677" s="152" t="str">
        <f t="shared" si="10"/>
        <v>CAR5104</v>
      </c>
      <c r="I677" s="513">
        <v>313500</v>
      </c>
      <c r="J677" s="513">
        <v>220</v>
      </c>
      <c r="K677" s="513">
        <v>1425</v>
      </c>
      <c r="L677" s="518" t="s">
        <v>3637</v>
      </c>
      <c r="M677" s="152" t="s">
        <v>780</v>
      </c>
      <c r="N677" s="152" t="s">
        <v>1407</v>
      </c>
      <c r="O677" s="152" t="s">
        <v>3638</v>
      </c>
      <c r="P677" s="152" t="s">
        <v>2865</v>
      </c>
      <c r="Q677" s="152" t="s">
        <v>3639</v>
      </c>
      <c r="R677" s="152" t="s">
        <v>3972</v>
      </c>
      <c r="S677" s="152" t="s">
        <v>3641</v>
      </c>
      <c r="T677" s="152" t="s">
        <v>786</v>
      </c>
    </row>
    <row r="678" spans="1:20" ht="25">
      <c r="A678" s="737" t="s">
        <v>3388</v>
      </c>
      <c r="B678" s="330"/>
      <c r="C678" s="330"/>
      <c r="D678" s="203" t="s">
        <v>676</v>
      </c>
      <c r="E678" s="714" t="str">
        <f>+VLOOKUP(F678,Resumen_Base!$C$8:$G$287,5,0)</f>
        <v>Field:</v>
      </c>
      <c r="F678" s="330" t="s">
        <v>133</v>
      </c>
      <c r="G678" s="330" t="s">
        <v>451</v>
      </c>
      <c r="H678" s="330" t="str">
        <f t="shared" si="10"/>
        <v>CAR5207</v>
      </c>
      <c r="I678" s="715"/>
      <c r="J678" s="715">
        <v>-350</v>
      </c>
      <c r="K678" s="715"/>
      <c r="L678" s="456">
        <v>46068</v>
      </c>
      <c r="M678" s="330"/>
      <c r="N678" s="203" t="s">
        <v>1407</v>
      </c>
      <c r="O678" s="330"/>
      <c r="P678" s="330"/>
      <c r="Q678" s="330"/>
      <c r="R678" s="330" t="s">
        <v>3348</v>
      </c>
    </row>
    <row r="679" spans="1:20" ht="25">
      <c r="A679" s="737" t="s">
        <v>3388</v>
      </c>
      <c r="B679" s="315"/>
      <c r="C679" s="330"/>
      <c r="D679" s="203" t="s">
        <v>676</v>
      </c>
      <c r="E679" s="714" t="str">
        <f>+VLOOKUP(F679,Resumen_Base!$C$8:$G$287,5,0)</f>
        <v>Field:</v>
      </c>
      <c r="F679" s="724" t="s">
        <v>133</v>
      </c>
      <c r="G679" s="725" t="s">
        <v>451</v>
      </c>
      <c r="H679" s="330" t="str">
        <f t="shared" si="10"/>
        <v>CAR5207</v>
      </c>
      <c r="I679" s="314"/>
      <c r="J679" s="314">
        <v>-150</v>
      </c>
      <c r="K679" s="203"/>
      <c r="L679" s="456">
        <v>46068</v>
      </c>
      <c r="M679" s="330"/>
      <c r="N679" s="203" t="s">
        <v>1407</v>
      </c>
      <c r="O679" s="330"/>
      <c r="P679" s="330"/>
      <c r="Q679" s="330"/>
      <c r="R679" s="728" t="s">
        <v>3349</v>
      </c>
    </row>
    <row r="680" spans="1:20" ht="25">
      <c r="A680" s="737" t="s">
        <v>3388</v>
      </c>
      <c r="B680" s="315"/>
      <c r="C680" s="330"/>
      <c r="D680" s="203" t="s">
        <v>676</v>
      </c>
      <c r="E680" s="714" t="str">
        <f>+VLOOKUP(F680,Resumen_Base!$C$8:$G$287,5,0)</f>
        <v>Field:</v>
      </c>
      <c r="F680" s="724" t="s">
        <v>133</v>
      </c>
      <c r="G680" s="725" t="s">
        <v>451</v>
      </c>
      <c r="H680" s="330" t="str">
        <f t="shared" si="10"/>
        <v>CAR5207</v>
      </c>
      <c r="I680" s="314"/>
      <c r="J680" s="314">
        <v>-450</v>
      </c>
      <c r="K680" s="203"/>
      <c r="L680" s="456">
        <v>46068</v>
      </c>
      <c r="M680" s="330"/>
      <c r="N680" s="203" t="s">
        <v>1407</v>
      </c>
      <c r="O680" s="330"/>
      <c r="P680" s="330"/>
      <c r="Q680" s="330"/>
      <c r="R680" s="728" t="s">
        <v>3350</v>
      </c>
    </row>
    <row r="681" spans="1:20">
      <c r="C681" s="152" t="s">
        <v>2821</v>
      </c>
      <c r="D681" s="474" t="s">
        <v>676</v>
      </c>
      <c r="E681" s="684" t="str">
        <f>+VLOOKUP(F681,Resumen_Base!$C$8:$G$156,5,0)</f>
        <v>Field:</v>
      </c>
      <c r="F681" s="152" t="s">
        <v>133</v>
      </c>
      <c r="G681" s="152" t="s">
        <v>312</v>
      </c>
      <c r="H681" s="152" t="str">
        <f t="shared" si="10"/>
        <v>CAR5207</v>
      </c>
      <c r="I681" s="513">
        <v>2707.5</v>
      </c>
      <c r="J681" s="513">
        <v>1.9</v>
      </c>
      <c r="K681" s="513">
        <v>1425</v>
      </c>
      <c r="L681" s="518" t="s">
        <v>3637</v>
      </c>
      <c r="M681" s="152" t="s">
        <v>780</v>
      </c>
      <c r="N681" s="152" t="s">
        <v>1407</v>
      </c>
      <c r="O681" s="152" t="s">
        <v>3699</v>
      </c>
      <c r="P681" s="152" t="s">
        <v>2865</v>
      </c>
      <c r="Q681" s="152" t="s">
        <v>3700</v>
      </c>
      <c r="R681" s="152" t="s">
        <v>1515</v>
      </c>
      <c r="S681" s="152" t="s">
        <v>3701</v>
      </c>
      <c r="T681" s="152" t="s">
        <v>786</v>
      </c>
    </row>
    <row r="682" spans="1:20">
      <c r="C682" s="152" t="s">
        <v>2821</v>
      </c>
      <c r="D682" s="474" t="s">
        <v>676</v>
      </c>
      <c r="E682" s="684" t="str">
        <f>+VLOOKUP(F682,Resumen_Base!$C$8:$G$156,5,0)</f>
        <v>Field:</v>
      </c>
      <c r="F682" s="152" t="s">
        <v>133</v>
      </c>
      <c r="G682" s="152" t="s">
        <v>312</v>
      </c>
      <c r="H682" s="152" t="str">
        <f t="shared" si="10"/>
        <v>CAR5207</v>
      </c>
      <c r="I682" s="513">
        <v>2707.5</v>
      </c>
      <c r="J682" s="513">
        <v>1.9</v>
      </c>
      <c r="K682" s="513">
        <v>1425</v>
      </c>
      <c r="L682" s="518" t="s">
        <v>3637</v>
      </c>
      <c r="M682" s="152" t="s">
        <v>780</v>
      </c>
      <c r="N682" s="152" t="s">
        <v>1407</v>
      </c>
      <c r="O682" s="152" t="s">
        <v>3699</v>
      </c>
      <c r="P682" s="152" t="s">
        <v>2865</v>
      </c>
      <c r="Q682" s="152" t="s">
        <v>3700</v>
      </c>
      <c r="R682" s="152" t="s">
        <v>1515</v>
      </c>
      <c r="S682" s="152" t="s">
        <v>3701</v>
      </c>
      <c r="T682" s="152" t="s">
        <v>786</v>
      </c>
    </row>
    <row r="683" spans="1:20">
      <c r="C683" s="152" t="s">
        <v>2821</v>
      </c>
      <c r="D683" s="474" t="s">
        <v>676</v>
      </c>
      <c r="E683" s="684" t="str">
        <f>+VLOOKUP(F683,Resumen_Base!$C$8:$G$156,5,0)</f>
        <v>Field:</v>
      </c>
      <c r="F683" s="152" t="s">
        <v>133</v>
      </c>
      <c r="G683" s="152" t="s">
        <v>312</v>
      </c>
      <c r="H683" s="152" t="str">
        <f t="shared" si="10"/>
        <v>CAR5207</v>
      </c>
      <c r="I683" s="513">
        <v>2707.5</v>
      </c>
      <c r="J683" s="513">
        <v>1.9</v>
      </c>
      <c r="K683" s="513">
        <v>1425</v>
      </c>
      <c r="L683" s="518" t="s">
        <v>3637</v>
      </c>
      <c r="M683" s="152" t="s">
        <v>780</v>
      </c>
      <c r="N683" s="152" t="s">
        <v>1407</v>
      </c>
      <c r="O683" s="152" t="s">
        <v>3699</v>
      </c>
      <c r="P683" s="152" t="s">
        <v>2865</v>
      </c>
      <c r="Q683" s="152" t="s">
        <v>3700</v>
      </c>
      <c r="R683" s="152" t="s">
        <v>1515</v>
      </c>
      <c r="S683" s="152" t="s">
        <v>3701</v>
      </c>
      <c r="T683" s="152" t="s">
        <v>786</v>
      </c>
    </row>
    <row r="684" spans="1:20">
      <c r="C684" s="152" t="s">
        <v>2821</v>
      </c>
      <c r="D684" s="474" t="s">
        <v>676</v>
      </c>
      <c r="E684" s="684" t="str">
        <f>+VLOOKUP(F684,Resumen_Base!$C$8:$G$156,5,0)</f>
        <v>Field:</v>
      </c>
      <c r="F684" s="152" t="s">
        <v>133</v>
      </c>
      <c r="G684" s="152" t="s">
        <v>312</v>
      </c>
      <c r="H684" s="152" t="str">
        <f t="shared" si="10"/>
        <v>CAR5207</v>
      </c>
      <c r="I684" s="513">
        <v>2669.5</v>
      </c>
      <c r="J684" s="513">
        <v>1.9</v>
      </c>
      <c r="K684" s="513">
        <v>1405</v>
      </c>
      <c r="L684" s="518" t="s">
        <v>3493</v>
      </c>
      <c r="M684" s="152" t="s">
        <v>780</v>
      </c>
      <c r="N684" s="152" t="s">
        <v>1407</v>
      </c>
      <c r="O684" s="152" t="s">
        <v>3695</v>
      </c>
      <c r="P684" s="152" t="s">
        <v>3489</v>
      </c>
      <c r="Q684" s="152" t="s">
        <v>3696</v>
      </c>
      <c r="R684" s="152" t="s">
        <v>1515</v>
      </c>
      <c r="S684" s="152" t="s">
        <v>3698</v>
      </c>
      <c r="T684" s="152" t="s">
        <v>786</v>
      </c>
    </row>
    <row r="685" spans="1:20">
      <c r="C685" s="152" t="s">
        <v>2821</v>
      </c>
      <c r="D685" s="474" t="s">
        <v>676</v>
      </c>
      <c r="E685" s="684" t="str">
        <f>+VLOOKUP(F685,Resumen_Base!$C$8:$G$156,5,0)</f>
        <v>Field:</v>
      </c>
      <c r="F685" s="152" t="s">
        <v>133</v>
      </c>
      <c r="G685" s="152" t="s">
        <v>312</v>
      </c>
      <c r="H685" s="152" t="str">
        <f t="shared" si="10"/>
        <v>CAR5207</v>
      </c>
      <c r="I685" s="513">
        <v>2736</v>
      </c>
      <c r="J685" s="513">
        <v>1.9</v>
      </c>
      <c r="K685" s="513">
        <v>1440</v>
      </c>
      <c r="L685" s="518" t="s">
        <v>3517</v>
      </c>
      <c r="M685" s="152" t="s">
        <v>780</v>
      </c>
      <c r="N685" s="152" t="s">
        <v>1407</v>
      </c>
      <c r="O685" s="152" t="s">
        <v>3862</v>
      </c>
      <c r="P685" s="152" t="s">
        <v>892</v>
      </c>
      <c r="Q685" s="152" t="s">
        <v>3863</v>
      </c>
      <c r="R685" s="152" t="s">
        <v>3868</v>
      </c>
      <c r="S685" s="152" t="s">
        <v>3864</v>
      </c>
      <c r="T685" s="152" t="s">
        <v>786</v>
      </c>
    </row>
    <row r="686" spans="1:20">
      <c r="C686" s="152" t="s">
        <v>2821</v>
      </c>
      <c r="D686" s="474" t="s">
        <v>676</v>
      </c>
      <c r="E686" s="684" t="str">
        <f>+VLOOKUP(F686,Resumen_Base!$C$8:$G$156,5,0)</f>
        <v>Field:</v>
      </c>
      <c r="F686" s="152" t="s">
        <v>133</v>
      </c>
      <c r="G686" s="152" t="s">
        <v>312</v>
      </c>
      <c r="H686" s="152" t="str">
        <f t="shared" si="10"/>
        <v>CAR5207</v>
      </c>
      <c r="I686" s="513">
        <v>1194250</v>
      </c>
      <c r="J686" s="513">
        <v>850</v>
      </c>
      <c r="K686" s="513">
        <v>1405</v>
      </c>
      <c r="L686" s="518" t="s">
        <v>3493</v>
      </c>
      <c r="M686" s="152" t="s">
        <v>780</v>
      </c>
      <c r="N686" s="152" t="s">
        <v>1407</v>
      </c>
      <c r="O686" s="152" t="s">
        <v>3695</v>
      </c>
      <c r="P686" s="152" t="s">
        <v>3489</v>
      </c>
      <c r="Q686" s="152" t="s">
        <v>3696</v>
      </c>
      <c r="R686" s="152" t="s">
        <v>3886</v>
      </c>
      <c r="S686" s="152" t="s">
        <v>3698</v>
      </c>
      <c r="T686" s="152" t="s">
        <v>786</v>
      </c>
    </row>
    <row r="687" spans="1:20">
      <c r="C687" s="152" t="s">
        <v>2821</v>
      </c>
      <c r="D687" s="474" t="s">
        <v>676</v>
      </c>
      <c r="E687" s="684" t="str">
        <f>+VLOOKUP(F687,Resumen_Base!$C$8:$G$156,5,0)</f>
        <v>Field:</v>
      </c>
      <c r="F687" s="152" t="s">
        <v>133</v>
      </c>
      <c r="G687" s="152" t="s">
        <v>312</v>
      </c>
      <c r="H687" s="152" t="str">
        <f t="shared" si="10"/>
        <v>CAR5207</v>
      </c>
      <c r="I687" s="513">
        <v>498750</v>
      </c>
      <c r="J687" s="513">
        <v>350</v>
      </c>
      <c r="K687" s="513">
        <v>1425</v>
      </c>
      <c r="L687" s="518" t="s">
        <v>3637</v>
      </c>
      <c r="M687" s="152" t="s">
        <v>780</v>
      </c>
      <c r="N687" s="152" t="s">
        <v>1407</v>
      </c>
      <c r="O687" s="152" t="s">
        <v>3699</v>
      </c>
      <c r="P687" s="152" t="s">
        <v>2865</v>
      </c>
      <c r="Q687" s="152" t="s">
        <v>3700</v>
      </c>
      <c r="R687" s="152" t="s">
        <v>3887</v>
      </c>
      <c r="S687" s="152" t="s">
        <v>3701</v>
      </c>
      <c r="T687" s="152" t="s">
        <v>786</v>
      </c>
    </row>
    <row r="688" spans="1:20">
      <c r="C688" s="152" t="s">
        <v>2821</v>
      </c>
      <c r="D688" s="474" t="s">
        <v>676</v>
      </c>
      <c r="E688" s="684" t="str">
        <f>+VLOOKUP(F688,Resumen_Base!$C$8:$G$156,5,0)</f>
        <v>Field:</v>
      </c>
      <c r="F688" s="152" t="s">
        <v>133</v>
      </c>
      <c r="G688" s="152" t="s">
        <v>312</v>
      </c>
      <c r="H688" s="152" t="str">
        <f t="shared" si="10"/>
        <v>CAR5207</v>
      </c>
      <c r="I688" s="513">
        <v>213750</v>
      </c>
      <c r="J688" s="513">
        <v>150</v>
      </c>
      <c r="K688" s="513">
        <v>1425</v>
      </c>
      <c r="L688" s="518" t="s">
        <v>3637</v>
      </c>
      <c r="M688" s="152" t="s">
        <v>780</v>
      </c>
      <c r="N688" s="152" t="s">
        <v>1407</v>
      </c>
      <c r="O688" s="152" t="s">
        <v>3699</v>
      </c>
      <c r="P688" s="152" t="s">
        <v>2865</v>
      </c>
      <c r="Q688" s="152" t="s">
        <v>3700</v>
      </c>
      <c r="R688" s="152" t="s">
        <v>3888</v>
      </c>
      <c r="S688" s="152" t="s">
        <v>3701</v>
      </c>
      <c r="T688" s="152" t="s">
        <v>786</v>
      </c>
    </row>
    <row r="689" spans="3:20">
      <c r="C689" s="152" t="s">
        <v>2821</v>
      </c>
      <c r="D689" s="474" t="s">
        <v>676</v>
      </c>
      <c r="E689" s="684" t="str">
        <f>+VLOOKUP(F689,Resumen_Base!$C$8:$G$156,5,0)</f>
        <v>Field:</v>
      </c>
      <c r="F689" s="152" t="s">
        <v>133</v>
      </c>
      <c r="G689" s="152" t="s">
        <v>312</v>
      </c>
      <c r="H689" s="152" t="str">
        <f t="shared" si="10"/>
        <v>CAR5207</v>
      </c>
      <c r="I689" s="513">
        <v>641250</v>
      </c>
      <c r="J689" s="513">
        <v>450</v>
      </c>
      <c r="K689" s="513">
        <v>1425</v>
      </c>
      <c r="L689" s="518" t="s">
        <v>3637</v>
      </c>
      <c r="M689" s="152" t="s">
        <v>780</v>
      </c>
      <c r="N689" s="152" t="s">
        <v>1407</v>
      </c>
      <c r="O689" s="152" t="s">
        <v>3699</v>
      </c>
      <c r="P689" s="152" t="s">
        <v>2865</v>
      </c>
      <c r="Q689" s="152" t="s">
        <v>3700</v>
      </c>
      <c r="R689" s="152" t="s">
        <v>3889</v>
      </c>
      <c r="S689" s="152" t="s">
        <v>3701</v>
      </c>
      <c r="T689" s="152" t="s">
        <v>786</v>
      </c>
    </row>
    <row r="690" spans="3:20">
      <c r="C690" s="152" t="s">
        <v>2821</v>
      </c>
      <c r="D690" s="474" t="s">
        <v>676</v>
      </c>
      <c r="E690" s="684" t="str">
        <f>+VLOOKUP(F690,Resumen_Base!$C$8:$G$156,5,0)</f>
        <v>Field:</v>
      </c>
      <c r="F690" s="152" t="s">
        <v>133</v>
      </c>
      <c r="G690" s="152" t="s">
        <v>312</v>
      </c>
      <c r="H690" s="152" t="str">
        <f t="shared" si="10"/>
        <v>CAR5207</v>
      </c>
      <c r="I690" s="513">
        <v>864000</v>
      </c>
      <c r="J690" s="513">
        <v>600</v>
      </c>
      <c r="K690" s="513">
        <v>1440</v>
      </c>
      <c r="L690" s="518" t="s">
        <v>3517</v>
      </c>
      <c r="M690" s="152" t="s">
        <v>780</v>
      </c>
      <c r="N690" s="152" t="s">
        <v>1407</v>
      </c>
      <c r="O690" s="152" t="s">
        <v>3862</v>
      </c>
      <c r="P690" s="152" t="s">
        <v>892</v>
      </c>
      <c r="Q690" s="152" t="s">
        <v>3863</v>
      </c>
      <c r="R690" s="152" t="s">
        <v>3890</v>
      </c>
      <c r="S690" s="152" t="s">
        <v>3864</v>
      </c>
      <c r="T690" s="152" t="s">
        <v>786</v>
      </c>
    </row>
    <row r="691" spans="3:20" ht="25">
      <c r="C691" s="152" t="s">
        <v>2821</v>
      </c>
      <c r="D691" s="474" t="s">
        <v>676</v>
      </c>
      <c r="E691" s="684" t="str">
        <f>+VLOOKUP(F691,Resumen_Base!$C$8:$G$156,5,0)</f>
        <v>Canon Lodge/Labor Permits:</v>
      </c>
      <c r="F691" s="152" t="s">
        <v>313</v>
      </c>
      <c r="G691" s="152" t="s">
        <v>314</v>
      </c>
      <c r="H691" s="152" t="str">
        <f t="shared" si="10"/>
        <v>CAR5208</v>
      </c>
      <c r="I691" s="513">
        <v>741228</v>
      </c>
      <c r="J691" s="513">
        <v>520.16</v>
      </c>
      <c r="K691" s="513">
        <v>1425</v>
      </c>
      <c r="L691" s="518" t="s">
        <v>3637</v>
      </c>
      <c r="M691" s="152" t="s">
        <v>780</v>
      </c>
      <c r="N691" s="152" t="s">
        <v>1407</v>
      </c>
      <c r="O691" s="152" t="s">
        <v>3680</v>
      </c>
      <c r="P691" s="152" t="s">
        <v>2865</v>
      </c>
      <c r="Q691" s="152" t="s">
        <v>3681</v>
      </c>
      <c r="R691" s="152" t="s">
        <v>3682</v>
      </c>
      <c r="S691" s="152" t="s">
        <v>3683</v>
      </c>
      <c r="T691" s="152" t="s">
        <v>786</v>
      </c>
    </row>
    <row r="692" spans="3:20" ht="25">
      <c r="C692" s="152" t="s">
        <v>2821</v>
      </c>
      <c r="D692" s="474" t="s">
        <v>676</v>
      </c>
      <c r="E692" s="684" t="str">
        <f>+VLOOKUP(F692,Resumen_Base!$C$8:$G$156,5,0)</f>
        <v>Canon Lodge/Labor Permits:</v>
      </c>
      <c r="F692" s="152" t="s">
        <v>313</v>
      </c>
      <c r="G692" s="152" t="s">
        <v>314</v>
      </c>
      <c r="H692" s="152" t="str">
        <f t="shared" si="10"/>
        <v>CAR5208</v>
      </c>
      <c r="I692" s="513">
        <v>712848.7</v>
      </c>
      <c r="J692" s="513">
        <v>503.78</v>
      </c>
      <c r="K692" s="513">
        <v>1415</v>
      </c>
      <c r="L692" s="518" t="s">
        <v>3632</v>
      </c>
      <c r="M692" s="152" t="s">
        <v>780</v>
      </c>
      <c r="N692" s="152" t="s">
        <v>1407</v>
      </c>
      <c r="O692" s="152" t="s">
        <v>3673</v>
      </c>
      <c r="P692" s="152" t="s">
        <v>3489</v>
      </c>
      <c r="Q692" s="152" t="s">
        <v>3674</v>
      </c>
      <c r="R692" s="152" t="s">
        <v>3684</v>
      </c>
      <c r="S692" s="152" t="s">
        <v>3676</v>
      </c>
      <c r="T692" s="152" t="s">
        <v>786</v>
      </c>
    </row>
    <row r="693" spans="3:20" ht="25">
      <c r="C693" s="152" t="s">
        <v>2821</v>
      </c>
      <c r="D693" s="474" t="s">
        <v>676</v>
      </c>
      <c r="E693" s="684" t="str">
        <f>+VLOOKUP(F693,Resumen_Base!$C$8:$G$156,5,0)</f>
        <v>Canon Lodge/Labor Permits:</v>
      </c>
      <c r="F693" s="152" t="s">
        <v>313</v>
      </c>
      <c r="G693" s="152" t="s">
        <v>314</v>
      </c>
      <c r="H693" s="152" t="str">
        <f t="shared" si="10"/>
        <v>CAR5208</v>
      </c>
      <c r="I693" s="513">
        <v>804830.4</v>
      </c>
      <c r="J693" s="513">
        <v>558.91</v>
      </c>
      <c r="K693" s="513">
        <v>1440</v>
      </c>
      <c r="L693" s="518" t="s">
        <v>3517</v>
      </c>
      <c r="M693" s="152" t="s">
        <v>780</v>
      </c>
      <c r="N693" s="152" t="s">
        <v>1407</v>
      </c>
      <c r="O693" s="152" t="s">
        <v>3655</v>
      </c>
      <c r="P693" s="152" t="s">
        <v>892</v>
      </c>
      <c r="Q693" s="152" t="s">
        <v>3656</v>
      </c>
      <c r="R693" s="152" t="s">
        <v>3782</v>
      </c>
      <c r="S693" s="152" t="s">
        <v>3658</v>
      </c>
      <c r="T693" s="152" t="s">
        <v>786</v>
      </c>
    </row>
    <row r="694" spans="3:20" ht="25">
      <c r="C694" s="152" t="s">
        <v>2821</v>
      </c>
      <c r="D694" s="474" t="s">
        <v>676</v>
      </c>
      <c r="E694" s="684" t="str">
        <f>+VLOOKUP(F694,Resumen_Base!$C$8:$G$156,5,0)</f>
        <v>Canon Lodge/Labor Permits:</v>
      </c>
      <c r="F694" s="152" t="s">
        <v>313</v>
      </c>
      <c r="G694" s="152" t="s">
        <v>314</v>
      </c>
      <c r="H694" s="152" t="str">
        <f t="shared" si="10"/>
        <v>CAR5208</v>
      </c>
      <c r="I694" s="513">
        <v>2764.8</v>
      </c>
      <c r="J694" s="513">
        <v>1.92</v>
      </c>
      <c r="K694" s="513">
        <v>1440</v>
      </c>
      <c r="L694" s="518" t="s">
        <v>3517</v>
      </c>
      <c r="M694" s="152" t="s">
        <v>780</v>
      </c>
      <c r="N694" s="152" t="s">
        <v>1407</v>
      </c>
      <c r="O694" s="152" t="s">
        <v>3655</v>
      </c>
      <c r="P694" s="152" t="s">
        <v>892</v>
      </c>
      <c r="Q694" s="152" t="s">
        <v>3656</v>
      </c>
      <c r="R694" s="152" t="s">
        <v>1515</v>
      </c>
      <c r="S694" s="152" t="s">
        <v>3658</v>
      </c>
      <c r="T694" s="152" t="s">
        <v>786</v>
      </c>
    </row>
    <row r="695" spans="3:20" ht="25">
      <c r="C695" s="152" t="s">
        <v>2821</v>
      </c>
      <c r="D695" s="474" t="s">
        <v>676</v>
      </c>
      <c r="E695" s="684" t="str">
        <f>+VLOOKUP(F695,Resumen_Base!$C$8:$G$156,5,0)</f>
        <v>Canon Lodge/Labor Permits:</v>
      </c>
      <c r="F695" s="152" t="s">
        <v>313</v>
      </c>
      <c r="G695" s="152" t="s">
        <v>314</v>
      </c>
      <c r="H695" s="152" t="str">
        <f t="shared" si="10"/>
        <v>CAR5208</v>
      </c>
      <c r="I695" s="513">
        <v>2721.75</v>
      </c>
      <c r="J695" s="513">
        <v>1.91</v>
      </c>
      <c r="K695" s="513">
        <v>1425</v>
      </c>
      <c r="L695" s="518" t="s">
        <v>3637</v>
      </c>
      <c r="M695" s="152" t="s">
        <v>780</v>
      </c>
      <c r="N695" s="152" t="s">
        <v>1407</v>
      </c>
      <c r="O695" s="152" t="s">
        <v>3680</v>
      </c>
      <c r="P695" s="152" t="s">
        <v>2865</v>
      </c>
      <c r="Q695" s="152" t="s">
        <v>3681</v>
      </c>
      <c r="R695" s="152" t="s">
        <v>1515</v>
      </c>
      <c r="S695" s="152" t="s">
        <v>3683</v>
      </c>
      <c r="T695" s="152" t="s">
        <v>786</v>
      </c>
    </row>
    <row r="696" spans="3:20" ht="25">
      <c r="C696" s="152" t="s">
        <v>2821</v>
      </c>
      <c r="D696" s="474" t="s">
        <v>676</v>
      </c>
      <c r="E696" s="684" t="str">
        <f>+VLOOKUP(F696,Resumen_Base!$C$8:$G$156,5,0)</f>
        <v>Canon Lodge/Labor Permits:</v>
      </c>
      <c r="F696" s="152" t="s">
        <v>313</v>
      </c>
      <c r="G696" s="152" t="s">
        <v>314</v>
      </c>
      <c r="H696" s="152" t="str">
        <f t="shared" si="10"/>
        <v>CAR5208</v>
      </c>
      <c r="I696" s="513">
        <v>2759.25</v>
      </c>
      <c r="J696" s="513">
        <v>1.95</v>
      </c>
      <c r="K696" s="513">
        <v>1415</v>
      </c>
      <c r="L696" s="518" t="s">
        <v>3632</v>
      </c>
      <c r="M696" s="152" t="s">
        <v>780</v>
      </c>
      <c r="N696" s="152" t="s">
        <v>1407</v>
      </c>
      <c r="O696" s="152" t="s">
        <v>3673</v>
      </c>
      <c r="P696" s="152" t="s">
        <v>3489</v>
      </c>
      <c r="Q696" s="152" t="s">
        <v>3674</v>
      </c>
      <c r="R696" s="152" t="s">
        <v>1515</v>
      </c>
      <c r="S696" s="152" t="s">
        <v>3676</v>
      </c>
      <c r="T696" s="152" t="s">
        <v>786</v>
      </c>
    </row>
    <row r="697" spans="3:20" ht="25">
      <c r="C697" s="152" t="s">
        <v>2821</v>
      </c>
      <c r="D697" s="474" t="s">
        <v>676</v>
      </c>
      <c r="E697" s="684" t="str">
        <f>+VLOOKUP(F697,Resumen_Base!$C$8:$G$156,5,0)</f>
        <v>Canon Lodge/Labor Permits:</v>
      </c>
      <c r="F697" s="152" t="s">
        <v>313</v>
      </c>
      <c r="G697" s="152" t="s">
        <v>314</v>
      </c>
      <c r="H697" s="152" t="str">
        <f t="shared" si="10"/>
        <v>CAR5208</v>
      </c>
      <c r="I697" s="513">
        <v>106125000</v>
      </c>
      <c r="J697" s="513">
        <v>75000</v>
      </c>
      <c r="K697" s="513">
        <v>1415</v>
      </c>
      <c r="L697" s="518" t="s">
        <v>3511</v>
      </c>
      <c r="M697" s="152" t="s">
        <v>780</v>
      </c>
      <c r="N697" s="152" t="s">
        <v>1407</v>
      </c>
      <c r="O697" s="152" t="s">
        <v>4115</v>
      </c>
      <c r="P697" s="152" t="s">
        <v>3489</v>
      </c>
      <c r="Q697" s="152" t="s">
        <v>4116</v>
      </c>
      <c r="R697" s="152" t="s">
        <v>4117</v>
      </c>
      <c r="S697" s="152" t="s">
        <v>4118</v>
      </c>
      <c r="T697" s="152" t="s">
        <v>786</v>
      </c>
    </row>
    <row r="698" spans="3:20" ht="25">
      <c r="C698" s="152" t="s">
        <v>2821</v>
      </c>
      <c r="D698" s="474" t="s">
        <v>670</v>
      </c>
      <c r="E698" s="684" t="str">
        <f>+VLOOKUP(F698,Resumen_Base!$C$8:$G$156,5,0)</f>
        <v>Communications - Phone, internet and satellite TV</v>
      </c>
      <c r="F698" s="152" t="s">
        <v>56</v>
      </c>
      <c r="G698" s="152" t="s">
        <v>315</v>
      </c>
      <c r="H698" s="152" t="str">
        <f t="shared" si="10"/>
        <v>SJ5209</v>
      </c>
      <c r="I698" s="513">
        <v>-1264.5</v>
      </c>
      <c r="J698" s="513">
        <v>-0.9</v>
      </c>
      <c r="K698" s="513">
        <v>1405</v>
      </c>
      <c r="L698" s="518" t="s">
        <v>3493</v>
      </c>
      <c r="M698" s="152" t="s">
        <v>780</v>
      </c>
      <c r="N698" s="152" t="s">
        <v>781</v>
      </c>
      <c r="O698" s="152" t="s">
        <v>4759</v>
      </c>
      <c r="P698" s="152" t="s">
        <v>3489</v>
      </c>
      <c r="Q698" s="152" t="s">
        <v>4760</v>
      </c>
      <c r="R698" s="152" t="s">
        <v>4761</v>
      </c>
      <c r="S698" s="152" t="s">
        <v>4762</v>
      </c>
      <c r="T698" s="152" t="s">
        <v>786</v>
      </c>
    </row>
    <row r="699" spans="3:20" ht="25">
      <c r="C699" s="152" t="s">
        <v>2821</v>
      </c>
      <c r="D699" s="474" t="s">
        <v>675</v>
      </c>
      <c r="E699" s="684" t="str">
        <f>+VLOOKUP(F699,Resumen_Base!$C$8:$G$156,5,0)</f>
        <v>Communications - Phone, internet and satellite TV</v>
      </c>
      <c r="F699" s="152" t="s">
        <v>56</v>
      </c>
      <c r="G699" s="152" t="s">
        <v>315</v>
      </c>
      <c r="H699" s="152" t="str">
        <f t="shared" si="10"/>
        <v>UL5209</v>
      </c>
      <c r="I699" s="513">
        <v>-1311</v>
      </c>
      <c r="J699" s="513">
        <v>-0.92</v>
      </c>
      <c r="K699" s="513">
        <v>1425</v>
      </c>
      <c r="L699" s="518" t="s">
        <v>3637</v>
      </c>
      <c r="M699" s="152" t="s">
        <v>780</v>
      </c>
      <c r="N699" s="152" t="s">
        <v>1272</v>
      </c>
      <c r="O699" s="152" t="s">
        <v>4935</v>
      </c>
      <c r="P699" s="152" t="s">
        <v>2865</v>
      </c>
      <c r="Q699" s="152" t="s">
        <v>4936</v>
      </c>
      <c r="R699" s="152" t="s">
        <v>4937</v>
      </c>
      <c r="S699" s="152" t="s">
        <v>4938</v>
      </c>
      <c r="T699" s="152" t="s">
        <v>786</v>
      </c>
    </row>
    <row r="700" spans="3:20" ht="25">
      <c r="C700" s="152" t="s">
        <v>2821</v>
      </c>
      <c r="D700" s="474" t="s">
        <v>675</v>
      </c>
      <c r="E700" s="684" t="str">
        <f>+VLOOKUP(F700,Resumen_Base!$C$8:$G$156,5,0)</f>
        <v>Communications - Phone, internet and satellite TV</v>
      </c>
      <c r="F700" s="152" t="s">
        <v>56</v>
      </c>
      <c r="G700" s="152" t="s">
        <v>315</v>
      </c>
      <c r="H700" s="152" t="str">
        <f t="shared" si="10"/>
        <v>UL5209</v>
      </c>
      <c r="I700" s="513">
        <v>-1316</v>
      </c>
      <c r="J700" s="513">
        <v>-0.94</v>
      </c>
      <c r="K700" s="513">
        <v>1400</v>
      </c>
      <c r="L700" s="518" t="s">
        <v>3659</v>
      </c>
      <c r="M700" s="152" t="s">
        <v>780</v>
      </c>
      <c r="N700" s="152" t="s">
        <v>1272</v>
      </c>
      <c r="O700" s="152" t="s">
        <v>4939</v>
      </c>
      <c r="P700" s="152" t="s">
        <v>3489</v>
      </c>
      <c r="Q700" s="152" t="s">
        <v>4940</v>
      </c>
      <c r="R700" s="152" t="s">
        <v>4941</v>
      </c>
      <c r="S700" s="152" t="s">
        <v>4942</v>
      </c>
      <c r="T700" s="152" t="s">
        <v>786</v>
      </c>
    </row>
    <row r="701" spans="3:20" ht="25">
      <c r="C701" s="152" t="s">
        <v>2821</v>
      </c>
      <c r="D701" s="474" t="s">
        <v>676</v>
      </c>
      <c r="E701" s="684" t="str">
        <f>+VLOOKUP(F701,Resumen_Base!$C$8:$G$156,5,0)</f>
        <v>Communications - Phone, internet and satellite TV</v>
      </c>
      <c r="F701" s="152" t="s">
        <v>56</v>
      </c>
      <c r="G701" s="152" t="s">
        <v>315</v>
      </c>
      <c r="H701" s="152" t="str">
        <f t="shared" si="10"/>
        <v>CAR5209</v>
      </c>
      <c r="I701" s="513">
        <v>-5187</v>
      </c>
      <c r="J701" s="513">
        <v>-3.64</v>
      </c>
      <c r="K701" s="513">
        <v>1425</v>
      </c>
      <c r="L701" s="518" t="s">
        <v>3637</v>
      </c>
      <c r="M701" s="152" t="s">
        <v>780</v>
      </c>
      <c r="N701" s="152" t="s">
        <v>1407</v>
      </c>
      <c r="O701" s="152" t="s">
        <v>3929</v>
      </c>
      <c r="P701" s="152" t="s">
        <v>2865</v>
      </c>
      <c r="Q701" s="152" t="s">
        <v>3930</v>
      </c>
      <c r="R701" s="152" t="s">
        <v>3931</v>
      </c>
      <c r="S701" s="152" t="s">
        <v>3932</v>
      </c>
      <c r="T701" s="152" t="s">
        <v>786</v>
      </c>
    </row>
    <row r="702" spans="3:20">
      <c r="C702" s="152" t="s">
        <v>2821</v>
      </c>
      <c r="D702" s="474" t="s">
        <v>670</v>
      </c>
      <c r="E702" s="684" t="str">
        <f>+VLOOKUP(F702,Resumen_Base!$C$8:$G$156,5,0)</f>
        <v>Food &amp; Wine</v>
      </c>
      <c r="F702" s="152" t="s">
        <v>45</v>
      </c>
      <c r="G702" s="152" t="s">
        <v>44</v>
      </c>
      <c r="H702" s="152" t="str">
        <f t="shared" si="10"/>
        <v>SJ5213</v>
      </c>
      <c r="I702" s="513">
        <v>1870491.9</v>
      </c>
      <c r="J702" s="513">
        <v>1326.59</v>
      </c>
      <c r="K702" s="513">
        <v>1410</v>
      </c>
      <c r="L702" s="518" t="s">
        <v>3498</v>
      </c>
      <c r="M702" s="152" t="s">
        <v>780</v>
      </c>
      <c r="N702" s="152" t="s">
        <v>781</v>
      </c>
      <c r="O702" s="152" t="s">
        <v>4743</v>
      </c>
      <c r="P702" s="152" t="s">
        <v>3489</v>
      </c>
      <c r="Q702" s="152" t="s">
        <v>4744</v>
      </c>
      <c r="R702" s="152" t="s">
        <v>4860</v>
      </c>
      <c r="S702" s="152" t="s">
        <v>4746</v>
      </c>
      <c r="T702" s="152" t="s">
        <v>786</v>
      </c>
    </row>
    <row r="703" spans="3:20">
      <c r="C703" s="152" t="s">
        <v>2821</v>
      </c>
      <c r="D703" s="474" t="s">
        <v>676</v>
      </c>
      <c r="E703" s="684" t="str">
        <f>+VLOOKUP(F703,Resumen_Base!$C$8:$G$156,5,0)</f>
        <v>Food &amp; Wine</v>
      </c>
      <c r="F703" s="152" t="s">
        <v>45</v>
      </c>
      <c r="G703" s="152" t="s">
        <v>44</v>
      </c>
      <c r="H703" s="152" t="str">
        <f t="shared" si="10"/>
        <v>CAR5213</v>
      </c>
      <c r="I703" s="513">
        <v>2764.8</v>
      </c>
      <c r="J703" s="513">
        <v>1.92</v>
      </c>
      <c r="K703" s="513">
        <v>1440</v>
      </c>
      <c r="L703" s="518" t="s">
        <v>3517</v>
      </c>
      <c r="M703" s="152" t="s">
        <v>780</v>
      </c>
      <c r="N703" s="152" t="s">
        <v>1407</v>
      </c>
      <c r="O703" s="152" t="s">
        <v>3655</v>
      </c>
      <c r="P703" s="152" t="s">
        <v>892</v>
      </c>
      <c r="Q703" s="152" t="s">
        <v>3656</v>
      </c>
      <c r="R703" s="152" t="s">
        <v>3873</v>
      </c>
      <c r="S703" s="152" t="s">
        <v>3658</v>
      </c>
      <c r="T703" s="152" t="s">
        <v>786</v>
      </c>
    </row>
    <row r="704" spans="3:20">
      <c r="C704" s="152" t="s">
        <v>2821</v>
      </c>
      <c r="D704" s="474" t="s">
        <v>676</v>
      </c>
      <c r="E704" s="684" t="str">
        <f>+VLOOKUP(F704,Resumen_Base!$C$8:$G$156,5,0)</f>
        <v>Food &amp; Wine</v>
      </c>
      <c r="F704" s="152" t="s">
        <v>45</v>
      </c>
      <c r="G704" s="152" t="s">
        <v>44</v>
      </c>
      <c r="H704" s="152" t="str">
        <f t="shared" si="10"/>
        <v>CAR5213</v>
      </c>
      <c r="I704" s="513">
        <v>2204301.15</v>
      </c>
      <c r="J704" s="513">
        <v>1557.81</v>
      </c>
      <c r="K704" s="513">
        <v>1415</v>
      </c>
      <c r="L704" s="518" t="s">
        <v>3498</v>
      </c>
      <c r="M704" s="152" t="s">
        <v>780</v>
      </c>
      <c r="N704" s="152" t="s">
        <v>1407</v>
      </c>
      <c r="O704" s="152" t="s">
        <v>3522</v>
      </c>
      <c r="P704" s="152" t="s">
        <v>3489</v>
      </c>
      <c r="Q704" s="152" t="s">
        <v>3523</v>
      </c>
      <c r="R704" s="152" t="s">
        <v>4107</v>
      </c>
      <c r="S704" s="152" t="s">
        <v>3525</v>
      </c>
      <c r="T704" s="152" t="s">
        <v>786</v>
      </c>
    </row>
    <row r="705" spans="1:20">
      <c r="C705" s="152" t="s">
        <v>2821</v>
      </c>
      <c r="D705" s="474" t="s">
        <v>676</v>
      </c>
      <c r="E705" s="684" t="str">
        <f>+VLOOKUP(F705,Resumen_Base!$C$8:$G$156,5,0)</f>
        <v>Food &amp; Wine</v>
      </c>
      <c r="F705" s="152" t="s">
        <v>45</v>
      </c>
      <c r="G705" s="152" t="s">
        <v>44</v>
      </c>
      <c r="H705" s="152" t="str">
        <f t="shared" si="10"/>
        <v>CAR5213</v>
      </c>
      <c r="I705" s="513">
        <v>1870491.9</v>
      </c>
      <c r="J705" s="513">
        <v>1326.59</v>
      </c>
      <c r="K705" s="513">
        <v>1410</v>
      </c>
      <c r="L705" s="518" t="s">
        <v>3498</v>
      </c>
      <c r="M705" s="152" t="s">
        <v>780</v>
      </c>
      <c r="N705" s="152" t="s">
        <v>1407</v>
      </c>
      <c r="O705" s="152" t="s">
        <v>3522</v>
      </c>
      <c r="P705" s="152" t="s">
        <v>3489</v>
      </c>
      <c r="Q705" s="152" t="s">
        <v>3523</v>
      </c>
      <c r="R705" s="152" t="s">
        <v>4108</v>
      </c>
      <c r="S705" s="152" t="s">
        <v>3525</v>
      </c>
      <c r="T705" s="152" t="s">
        <v>786</v>
      </c>
    </row>
    <row r="706" spans="1:20">
      <c r="C706" s="152" t="s">
        <v>2821</v>
      </c>
      <c r="D706" s="474" t="s">
        <v>676</v>
      </c>
      <c r="E706" s="684" t="str">
        <f>+VLOOKUP(F706,Resumen_Base!$C$8:$G$156,5,0)</f>
        <v>Food &amp; Wine</v>
      </c>
      <c r="F706" s="152" t="s">
        <v>45</v>
      </c>
      <c r="G706" s="152" t="s">
        <v>44</v>
      </c>
      <c r="H706" s="152" t="str">
        <f t="shared" si="10"/>
        <v>CAR5213</v>
      </c>
      <c r="I706" s="513">
        <v>1528012.8</v>
      </c>
      <c r="J706" s="513">
        <v>1061.1199999999999</v>
      </c>
      <c r="K706" s="513">
        <v>1440</v>
      </c>
      <c r="L706" s="518" t="s">
        <v>3517</v>
      </c>
      <c r="M706" s="152" t="s">
        <v>780</v>
      </c>
      <c r="N706" s="152" t="s">
        <v>1407</v>
      </c>
      <c r="O706" s="152" t="s">
        <v>3655</v>
      </c>
      <c r="P706" s="152" t="s">
        <v>892</v>
      </c>
      <c r="Q706" s="152" t="s">
        <v>3656</v>
      </c>
      <c r="R706" s="152" t="s">
        <v>4109</v>
      </c>
      <c r="S706" s="152" t="s">
        <v>3658</v>
      </c>
      <c r="T706" s="152" t="s">
        <v>786</v>
      </c>
    </row>
    <row r="707" spans="1:20" ht="25">
      <c r="C707" s="152" t="s">
        <v>2821</v>
      </c>
      <c r="D707" s="474" t="s">
        <v>670</v>
      </c>
      <c r="E707" s="684" t="str">
        <f>+VLOOKUP(F707,Resumen_Base!$C$8:$G$156,5,0)</f>
        <v>Insurance for lodge and boats</v>
      </c>
      <c r="F707" s="152" t="s">
        <v>316</v>
      </c>
      <c r="G707" s="152" t="s">
        <v>317</v>
      </c>
      <c r="H707" s="152" t="str">
        <f t="shared" si="10"/>
        <v>SJ5215</v>
      </c>
      <c r="I707" s="513">
        <v>725410.5</v>
      </c>
      <c r="J707" s="513">
        <v>509.06</v>
      </c>
      <c r="K707" s="513">
        <v>1425</v>
      </c>
      <c r="L707" s="518" t="s">
        <v>3504</v>
      </c>
      <c r="M707" s="152" t="s">
        <v>780</v>
      </c>
      <c r="N707" s="152" t="s">
        <v>781</v>
      </c>
      <c r="O707" s="152" t="s">
        <v>4804</v>
      </c>
      <c r="P707" s="152" t="s">
        <v>3489</v>
      </c>
      <c r="Q707" s="152" t="s">
        <v>4805</v>
      </c>
      <c r="R707" s="152" t="s">
        <v>4832</v>
      </c>
      <c r="S707" s="152" t="s">
        <v>4807</v>
      </c>
      <c r="T707" s="152" t="s">
        <v>786</v>
      </c>
    </row>
    <row r="708" spans="1:20" ht="25">
      <c r="C708" s="152" t="s">
        <v>2821</v>
      </c>
      <c r="D708" s="474" t="s">
        <v>670</v>
      </c>
      <c r="E708" s="684" t="str">
        <f>+VLOOKUP(F708,Resumen_Base!$C$8:$G$156,5,0)</f>
        <v>Insurance for lodge and boats</v>
      </c>
      <c r="F708" s="152" t="s">
        <v>316</v>
      </c>
      <c r="G708" s="152" t="s">
        <v>317</v>
      </c>
      <c r="H708" s="152" t="str">
        <f t="shared" si="10"/>
        <v>SJ5215</v>
      </c>
      <c r="I708" s="513">
        <v>724170.75</v>
      </c>
      <c r="J708" s="513">
        <v>508.19</v>
      </c>
      <c r="K708" s="513">
        <v>1425</v>
      </c>
      <c r="L708" s="518" t="s">
        <v>3504</v>
      </c>
      <c r="M708" s="152" t="s">
        <v>780</v>
      </c>
      <c r="N708" s="152" t="s">
        <v>781</v>
      </c>
      <c r="O708" s="152" t="s">
        <v>4804</v>
      </c>
      <c r="P708" s="152" t="s">
        <v>3489</v>
      </c>
      <c r="Q708" s="152" t="s">
        <v>4805</v>
      </c>
      <c r="R708" s="152" t="s">
        <v>4833</v>
      </c>
      <c r="S708" s="152" t="s">
        <v>4807</v>
      </c>
      <c r="T708" s="152" t="s">
        <v>786</v>
      </c>
    </row>
    <row r="709" spans="1:20" ht="25">
      <c r="C709" s="152" t="s">
        <v>2821</v>
      </c>
      <c r="D709" s="474" t="s">
        <v>676</v>
      </c>
      <c r="E709" s="684" t="str">
        <f>+VLOOKUP(F709,Resumen_Base!$C$8:$G$156,5,0)</f>
        <v>Insurance for lodge and boats</v>
      </c>
      <c r="F709" s="152" t="s">
        <v>316</v>
      </c>
      <c r="G709" s="152" t="s">
        <v>317</v>
      </c>
      <c r="H709" s="152" t="str">
        <f t="shared" si="10"/>
        <v>CAR5215</v>
      </c>
      <c r="I709" s="513">
        <v>2366</v>
      </c>
      <c r="J709" s="513">
        <v>1.69</v>
      </c>
      <c r="K709" s="513">
        <v>1400</v>
      </c>
      <c r="L709" s="518" t="s">
        <v>3659</v>
      </c>
      <c r="M709" s="152" t="s">
        <v>780</v>
      </c>
      <c r="N709" s="152" t="s">
        <v>1407</v>
      </c>
      <c r="O709" s="152" t="s">
        <v>3660</v>
      </c>
      <c r="P709" s="152" t="s">
        <v>3489</v>
      </c>
      <c r="Q709" s="152" t="s">
        <v>3661</v>
      </c>
      <c r="R709" s="152" t="s">
        <v>4029</v>
      </c>
      <c r="S709" s="152" t="s">
        <v>3663</v>
      </c>
      <c r="T709" s="152" t="s">
        <v>786</v>
      </c>
    </row>
    <row r="710" spans="1:20" ht="25">
      <c r="C710" s="152" t="s">
        <v>2821</v>
      </c>
      <c r="D710" s="474" t="s">
        <v>676</v>
      </c>
      <c r="E710" s="684" t="str">
        <f>+VLOOKUP(F710,Resumen_Base!$C$8:$G$156,5,0)</f>
        <v>Insurance for lodge and boats</v>
      </c>
      <c r="F710" s="152" t="s">
        <v>316</v>
      </c>
      <c r="G710" s="152" t="s">
        <v>317</v>
      </c>
      <c r="H710" s="152" t="str">
        <f t="shared" si="10"/>
        <v>CAR5215</v>
      </c>
      <c r="I710" s="513">
        <v>96358.5</v>
      </c>
      <c r="J710" s="513">
        <v>67.62</v>
      </c>
      <c r="K710" s="513">
        <v>1425</v>
      </c>
      <c r="L710" s="518" t="s">
        <v>3637</v>
      </c>
      <c r="M710" s="152" t="s">
        <v>780</v>
      </c>
      <c r="N710" s="152" t="s">
        <v>1407</v>
      </c>
      <c r="O710" s="152" t="s">
        <v>3680</v>
      </c>
      <c r="P710" s="152" t="s">
        <v>2865</v>
      </c>
      <c r="Q710" s="152" t="s">
        <v>3681</v>
      </c>
      <c r="R710" s="152" t="s">
        <v>4032</v>
      </c>
      <c r="S710" s="152" t="s">
        <v>3683</v>
      </c>
      <c r="T710" s="152" t="s">
        <v>786</v>
      </c>
    </row>
    <row r="711" spans="1:20" ht="25">
      <c r="C711" s="152" t="s">
        <v>2821</v>
      </c>
      <c r="D711" s="474" t="s">
        <v>676</v>
      </c>
      <c r="E711" s="684" t="str">
        <f>+VLOOKUP(F711,Resumen_Base!$C$8:$G$156,5,0)</f>
        <v>Insurance for lodge and boats</v>
      </c>
      <c r="F711" s="152" t="s">
        <v>316</v>
      </c>
      <c r="G711" s="152" t="s">
        <v>317</v>
      </c>
      <c r="H711" s="152" t="str">
        <f t="shared" si="10"/>
        <v>CAR5215</v>
      </c>
      <c r="I711" s="513">
        <v>185007.75</v>
      </c>
      <c r="J711" s="513">
        <v>129.83000000000001</v>
      </c>
      <c r="K711" s="513">
        <v>1425</v>
      </c>
      <c r="L711" s="518" t="s">
        <v>3637</v>
      </c>
      <c r="M711" s="152" t="s">
        <v>780</v>
      </c>
      <c r="N711" s="152" t="s">
        <v>1407</v>
      </c>
      <c r="O711" s="152" t="s">
        <v>3680</v>
      </c>
      <c r="P711" s="152" t="s">
        <v>2865</v>
      </c>
      <c r="Q711" s="152" t="s">
        <v>3681</v>
      </c>
      <c r="R711" s="152" t="s">
        <v>4033</v>
      </c>
      <c r="S711" s="152" t="s">
        <v>3683</v>
      </c>
      <c r="T711" s="152" t="s">
        <v>786</v>
      </c>
    </row>
    <row r="712" spans="1:20" ht="25">
      <c r="C712" s="152" t="s">
        <v>2821</v>
      </c>
      <c r="D712" s="474" t="s">
        <v>676</v>
      </c>
      <c r="E712" s="684" t="str">
        <f>+VLOOKUP(F712,Resumen_Base!$C$8:$G$156,5,0)</f>
        <v>Insurance for lodge and boats</v>
      </c>
      <c r="F712" s="152" t="s">
        <v>316</v>
      </c>
      <c r="G712" s="152" t="s">
        <v>317</v>
      </c>
      <c r="H712" s="152" t="str">
        <f t="shared" si="10"/>
        <v>CAR5215</v>
      </c>
      <c r="I712" s="513">
        <v>225475.20000000001</v>
      </c>
      <c r="J712" s="513">
        <v>156.58000000000001</v>
      </c>
      <c r="K712" s="513">
        <v>1440</v>
      </c>
      <c r="L712" s="518" t="s">
        <v>3517</v>
      </c>
      <c r="M712" s="152" t="s">
        <v>780</v>
      </c>
      <c r="N712" s="152" t="s">
        <v>1407</v>
      </c>
      <c r="O712" s="152" t="s">
        <v>3862</v>
      </c>
      <c r="P712" s="152" t="s">
        <v>892</v>
      </c>
      <c r="Q712" s="152" t="s">
        <v>3863</v>
      </c>
      <c r="R712" s="152" t="s">
        <v>4034</v>
      </c>
      <c r="S712" s="152" t="s">
        <v>3864</v>
      </c>
      <c r="T712" s="152" t="s">
        <v>786</v>
      </c>
    </row>
    <row r="713" spans="1:20" ht="25">
      <c r="C713" s="152" t="s">
        <v>2821</v>
      </c>
      <c r="D713" s="474" t="s">
        <v>676</v>
      </c>
      <c r="E713" s="684" t="str">
        <f>+VLOOKUP(F713,Resumen_Base!$C$8:$G$156,5,0)</f>
        <v>Insurance for lodge and boats</v>
      </c>
      <c r="F713" s="152" t="s">
        <v>316</v>
      </c>
      <c r="G713" s="152" t="s">
        <v>317</v>
      </c>
      <c r="H713" s="152" t="str">
        <f t="shared" si="10"/>
        <v>CAR5215</v>
      </c>
      <c r="I713" s="513">
        <v>153555.79999999999</v>
      </c>
      <c r="J713" s="513">
        <v>108.52</v>
      </c>
      <c r="K713" s="513">
        <v>1415</v>
      </c>
      <c r="L713" s="518" t="s">
        <v>3498</v>
      </c>
      <c r="M713" s="152" t="s">
        <v>780</v>
      </c>
      <c r="N713" s="152" t="s">
        <v>1407</v>
      </c>
      <c r="O713" s="152" t="s">
        <v>3522</v>
      </c>
      <c r="P713" s="152" t="s">
        <v>3489</v>
      </c>
      <c r="Q713" s="152" t="s">
        <v>3523</v>
      </c>
      <c r="R713" s="152" t="s">
        <v>4035</v>
      </c>
      <c r="S713" s="152" t="s">
        <v>3525</v>
      </c>
      <c r="T713" s="152" t="s">
        <v>786</v>
      </c>
    </row>
    <row r="714" spans="1:20">
      <c r="C714" s="152" t="s">
        <v>2821</v>
      </c>
      <c r="D714" s="474" t="s">
        <v>676</v>
      </c>
      <c r="E714" s="684" t="str">
        <f>+VLOOKUP(F714,Resumen_Base!$C$8:$G$156,5,0)</f>
        <v>Vehicles Taxes</v>
      </c>
      <c r="F714" s="152" t="s">
        <v>318</v>
      </c>
      <c r="G714" s="152" t="s">
        <v>319</v>
      </c>
      <c r="H714" s="152" t="str">
        <f t="shared" si="10"/>
        <v>CAR5217</v>
      </c>
      <c r="I714" s="513">
        <v>956568.3</v>
      </c>
      <c r="J714" s="513">
        <v>676.02</v>
      </c>
      <c r="K714" s="513">
        <v>1415</v>
      </c>
      <c r="L714" s="518" t="s">
        <v>3498</v>
      </c>
      <c r="M714" s="152" t="s">
        <v>780</v>
      </c>
      <c r="N714" s="152" t="s">
        <v>1407</v>
      </c>
      <c r="O714" s="152" t="s">
        <v>3522</v>
      </c>
      <c r="P714" s="152" t="s">
        <v>3489</v>
      </c>
      <c r="Q714" s="152" t="s">
        <v>3523</v>
      </c>
      <c r="R714" s="152" t="s">
        <v>3998</v>
      </c>
      <c r="S714" s="152" t="s">
        <v>3525</v>
      </c>
      <c r="T714" s="152" t="s">
        <v>786</v>
      </c>
    </row>
    <row r="715" spans="1:20">
      <c r="C715" s="152" t="s">
        <v>2821</v>
      </c>
      <c r="D715" s="474" t="s">
        <v>676</v>
      </c>
      <c r="E715" s="684" t="str">
        <f>+VLOOKUP(F715,Resumen_Base!$C$8:$G$156,5,0)</f>
        <v>Vehicles Taxes</v>
      </c>
      <c r="F715" s="152" t="s">
        <v>318</v>
      </c>
      <c r="G715" s="152" t="s">
        <v>319</v>
      </c>
      <c r="H715" s="152" t="str">
        <f t="shared" si="10"/>
        <v>CAR5217</v>
      </c>
      <c r="I715" s="513">
        <v>1188232.1000000001</v>
      </c>
      <c r="J715" s="513">
        <v>839.74</v>
      </c>
      <c r="K715" s="513">
        <v>1415</v>
      </c>
      <c r="L715" s="518" t="s">
        <v>3498</v>
      </c>
      <c r="M715" s="152" t="s">
        <v>780</v>
      </c>
      <c r="N715" s="152" t="s">
        <v>1407</v>
      </c>
      <c r="O715" s="152" t="s">
        <v>3522</v>
      </c>
      <c r="P715" s="152" t="s">
        <v>3489</v>
      </c>
      <c r="Q715" s="152" t="s">
        <v>3523</v>
      </c>
      <c r="R715" s="152" t="s">
        <v>3999</v>
      </c>
      <c r="S715" s="152" t="s">
        <v>3525</v>
      </c>
      <c r="T715" s="152" t="s">
        <v>786</v>
      </c>
    </row>
    <row r="716" spans="1:20">
      <c r="C716" s="152" t="s">
        <v>2821</v>
      </c>
      <c r="D716" s="474" t="s">
        <v>670</v>
      </c>
      <c r="E716" s="684" t="str">
        <f>+VLOOKUP(F716,Resumen_Base!$C$8:$G$156,5,0)</f>
        <v>Miscellaneous &amp; Shipping</v>
      </c>
      <c r="F716" s="152" t="s">
        <v>58</v>
      </c>
      <c r="G716" s="152" t="s">
        <v>59</v>
      </c>
      <c r="H716" s="152" t="str">
        <f t="shared" si="10"/>
        <v>SJ5219</v>
      </c>
      <c r="I716" s="513">
        <v>17267.45</v>
      </c>
      <c r="J716" s="513">
        <v>12.29</v>
      </c>
      <c r="K716" s="513">
        <v>1405</v>
      </c>
      <c r="L716" s="518" t="s">
        <v>3493</v>
      </c>
      <c r="M716" s="152" t="s">
        <v>780</v>
      </c>
      <c r="N716" s="152" t="s">
        <v>781</v>
      </c>
      <c r="O716" s="152" t="s">
        <v>4755</v>
      </c>
      <c r="P716" s="152" t="s">
        <v>3489</v>
      </c>
      <c r="Q716" s="152" t="s">
        <v>4756</v>
      </c>
      <c r="R716" s="152" t="s">
        <v>4763</v>
      </c>
      <c r="S716" s="152" t="s">
        <v>4758</v>
      </c>
      <c r="T716" s="152" t="s">
        <v>786</v>
      </c>
    </row>
    <row r="717" spans="1:20">
      <c r="C717" s="152" t="s">
        <v>2821</v>
      </c>
      <c r="D717" s="474" t="s">
        <v>670</v>
      </c>
      <c r="E717" s="684" t="str">
        <f>+VLOOKUP(F717,Resumen_Base!$C$8:$G$156,5,0)</f>
        <v>Miscellaneous &amp; Shipping</v>
      </c>
      <c r="F717" s="152" t="s">
        <v>58</v>
      </c>
      <c r="G717" s="152" t="s">
        <v>59</v>
      </c>
      <c r="H717" s="152" t="str">
        <f t="shared" ref="H717:H782" si="11">+D717&amp;F717</f>
        <v>SJ5219</v>
      </c>
      <c r="I717" s="513">
        <v>2655.45</v>
      </c>
      <c r="J717" s="513">
        <v>1.89</v>
      </c>
      <c r="K717" s="513">
        <v>1405</v>
      </c>
      <c r="L717" s="518" t="s">
        <v>3493</v>
      </c>
      <c r="M717" s="152" t="s">
        <v>780</v>
      </c>
      <c r="N717" s="152" t="s">
        <v>781</v>
      </c>
      <c r="O717" s="152" t="s">
        <v>4755</v>
      </c>
      <c r="P717" s="152" t="s">
        <v>3489</v>
      </c>
      <c r="Q717" s="152" t="s">
        <v>4756</v>
      </c>
      <c r="R717" s="152" t="s">
        <v>953</v>
      </c>
      <c r="S717" s="152" t="s">
        <v>4758</v>
      </c>
      <c r="T717" s="152" t="s">
        <v>786</v>
      </c>
    </row>
    <row r="718" spans="1:20">
      <c r="C718" s="152" t="s">
        <v>2821</v>
      </c>
      <c r="D718" s="474" t="s">
        <v>670</v>
      </c>
      <c r="E718" s="684" t="str">
        <f>+VLOOKUP(F718,Resumen_Base!$C$8:$G$156,5,0)</f>
        <v>Miscellaneous &amp; Shipping</v>
      </c>
      <c r="F718" s="152" t="s">
        <v>58</v>
      </c>
      <c r="G718" s="152" t="s">
        <v>59</v>
      </c>
      <c r="H718" s="152" t="str">
        <f t="shared" si="11"/>
        <v>SJ5219</v>
      </c>
      <c r="I718" s="513">
        <v>15609.55</v>
      </c>
      <c r="J718" s="513">
        <v>11.11</v>
      </c>
      <c r="K718" s="513">
        <v>1405</v>
      </c>
      <c r="L718" s="518" t="s">
        <v>3493</v>
      </c>
      <c r="M718" s="152" t="s">
        <v>780</v>
      </c>
      <c r="N718" s="152" t="s">
        <v>781</v>
      </c>
      <c r="O718" s="152" t="s">
        <v>4124</v>
      </c>
      <c r="P718" s="152" t="s">
        <v>3489</v>
      </c>
      <c r="Q718" s="152" t="s">
        <v>4125</v>
      </c>
      <c r="R718" s="152" t="s">
        <v>4888</v>
      </c>
      <c r="S718" s="152" t="s">
        <v>4127</v>
      </c>
      <c r="T718" s="152" t="s">
        <v>786</v>
      </c>
    </row>
    <row r="719" spans="1:20" ht="62.5">
      <c r="A719" s="714" t="s">
        <v>5867</v>
      </c>
      <c r="B719" s="315"/>
      <c r="C719" s="330" t="s">
        <v>2821</v>
      </c>
      <c r="D719" s="203" t="s">
        <v>670</v>
      </c>
      <c r="E719" s="714" t="str">
        <f>+VLOOKUP(F719,Resumen_Base!$C$8:$G$156,5,0)</f>
        <v>Miscellaneous &amp; Shipping</v>
      </c>
      <c r="F719" s="330" t="s">
        <v>58</v>
      </c>
      <c r="G719" s="330" t="s">
        <v>59</v>
      </c>
      <c r="H719" s="330" t="str">
        <f t="shared" ref="H719" si="12">+D719&amp;F719</f>
        <v>SJ5219</v>
      </c>
      <c r="I719" s="314">
        <v>4531800</v>
      </c>
      <c r="J719" s="314">
        <v>3237</v>
      </c>
      <c r="K719" s="314">
        <v>1400</v>
      </c>
      <c r="L719" s="456" t="s">
        <v>3567</v>
      </c>
      <c r="M719" s="330" t="s">
        <v>780</v>
      </c>
      <c r="N719" s="330" t="s">
        <v>781</v>
      </c>
      <c r="O719" s="330" t="s">
        <v>4889</v>
      </c>
      <c r="P719" s="330" t="s">
        <v>3489</v>
      </c>
      <c r="Q719" s="330" t="s">
        <v>4890</v>
      </c>
      <c r="R719" s="330" t="s">
        <v>4891</v>
      </c>
      <c r="S719" s="330" t="s">
        <v>4892</v>
      </c>
      <c r="T719" s="330" t="s">
        <v>786</v>
      </c>
    </row>
    <row r="720" spans="1:20" ht="62.5">
      <c r="A720" s="714" t="s">
        <v>5867</v>
      </c>
      <c r="B720" s="315"/>
      <c r="C720" s="330" t="s">
        <v>2821</v>
      </c>
      <c r="D720" s="203" t="s">
        <v>670</v>
      </c>
      <c r="E720" s="714" t="str">
        <f>+VLOOKUP(F720,Resumen_Base!$C$8:$G$156,5,0)</f>
        <v>Miscellaneous &amp; Shipping</v>
      </c>
      <c r="F720" s="330" t="s">
        <v>58</v>
      </c>
      <c r="G720" s="330" t="s">
        <v>59</v>
      </c>
      <c r="H720" s="330" t="str">
        <f t="shared" si="11"/>
        <v>SJ5219</v>
      </c>
      <c r="I720" s="314">
        <f>+J720*K720</f>
        <v>-1120000</v>
      </c>
      <c r="J720" s="314">
        <v>-800</v>
      </c>
      <c r="K720" s="314">
        <v>1400</v>
      </c>
      <c r="L720" s="456" t="s">
        <v>3567</v>
      </c>
      <c r="M720" s="330" t="s">
        <v>780</v>
      </c>
      <c r="N720" s="330" t="s">
        <v>781</v>
      </c>
      <c r="O720" s="330" t="s">
        <v>4889</v>
      </c>
      <c r="P720" s="330" t="s">
        <v>3489</v>
      </c>
      <c r="Q720" s="330" t="s">
        <v>4890</v>
      </c>
      <c r="R720" s="330" t="s">
        <v>4891</v>
      </c>
      <c r="S720" s="330" t="s">
        <v>4892</v>
      </c>
      <c r="T720" s="330" t="s">
        <v>786</v>
      </c>
    </row>
    <row r="721" spans="1:20" ht="62.5">
      <c r="A721" s="714" t="s">
        <v>5867</v>
      </c>
      <c r="B721" s="315"/>
      <c r="C721" s="330" t="s">
        <v>2821</v>
      </c>
      <c r="D721" s="203" t="s">
        <v>676</v>
      </c>
      <c r="E721" s="714" t="str">
        <f>+VLOOKUP(F721,Resumen_Base!$C$8:$G$156,5,0)</f>
        <v>Miscellaneous &amp; Shipping</v>
      </c>
      <c r="F721" s="330" t="s">
        <v>58</v>
      </c>
      <c r="G721" s="330" t="s">
        <v>59</v>
      </c>
      <c r="H721" s="330" t="str">
        <f t="shared" ref="H721" si="13">+D721&amp;F721</f>
        <v>CAR5219</v>
      </c>
      <c r="I721" s="314">
        <f>+J721*K721</f>
        <v>1120000</v>
      </c>
      <c r="J721" s="314">
        <v>800</v>
      </c>
      <c r="K721" s="314">
        <v>1400</v>
      </c>
      <c r="L721" s="456" t="s">
        <v>3567</v>
      </c>
      <c r="M721" s="330" t="s">
        <v>780</v>
      </c>
      <c r="N721" s="330" t="s">
        <v>781</v>
      </c>
      <c r="O721" s="330" t="s">
        <v>4889</v>
      </c>
      <c r="P721" s="330" t="s">
        <v>3489</v>
      </c>
      <c r="Q721" s="330" t="s">
        <v>4890</v>
      </c>
      <c r="R721" s="330" t="s">
        <v>4891</v>
      </c>
      <c r="S721" s="330" t="s">
        <v>4892</v>
      </c>
      <c r="T721" s="330" t="s">
        <v>786</v>
      </c>
    </row>
    <row r="722" spans="1:20">
      <c r="C722" s="152" t="s">
        <v>2821</v>
      </c>
      <c r="D722" s="474" t="s">
        <v>675</v>
      </c>
      <c r="E722" s="684" t="str">
        <f>+VLOOKUP(F722,Resumen_Base!$C$8:$G$156,5,0)</f>
        <v>Miscellaneous &amp; Shipping</v>
      </c>
      <c r="F722" s="152" t="s">
        <v>58</v>
      </c>
      <c r="G722" s="152" t="s">
        <v>59</v>
      </c>
      <c r="H722" s="152" t="str">
        <f t="shared" si="11"/>
        <v>UL5219</v>
      </c>
      <c r="I722" s="513">
        <v>15609.55</v>
      </c>
      <c r="J722" s="513">
        <v>11.11</v>
      </c>
      <c r="K722" s="513">
        <v>1405</v>
      </c>
      <c r="L722" s="518" t="s">
        <v>3493</v>
      </c>
      <c r="M722" s="152" t="s">
        <v>780</v>
      </c>
      <c r="N722" s="152" t="s">
        <v>1272</v>
      </c>
      <c r="O722" s="152" t="s">
        <v>4124</v>
      </c>
      <c r="P722" s="152" t="s">
        <v>3489</v>
      </c>
      <c r="Q722" s="152" t="s">
        <v>4125</v>
      </c>
      <c r="R722" s="152" t="s">
        <v>4909</v>
      </c>
      <c r="S722" s="152" t="s">
        <v>4127</v>
      </c>
      <c r="T722" s="152" t="s">
        <v>786</v>
      </c>
    </row>
    <row r="723" spans="1:20">
      <c r="C723" s="152" t="s">
        <v>2821</v>
      </c>
      <c r="D723" s="474" t="s">
        <v>676</v>
      </c>
      <c r="E723" s="684" t="str">
        <f>+VLOOKUP(F723,Resumen_Base!$C$8:$G$156,5,0)</f>
        <v>Miscellaneous &amp; Shipping</v>
      </c>
      <c r="F723" s="152" t="s">
        <v>58</v>
      </c>
      <c r="G723" s="152" t="s">
        <v>59</v>
      </c>
      <c r="H723" s="152" t="str">
        <f t="shared" si="11"/>
        <v>CAR5219</v>
      </c>
      <c r="I723" s="513">
        <v>8380.7999999999993</v>
      </c>
      <c r="J723" s="513">
        <v>5.82</v>
      </c>
      <c r="K723" s="513">
        <v>1440</v>
      </c>
      <c r="L723" s="518" t="s">
        <v>3517</v>
      </c>
      <c r="M723" s="152" t="s">
        <v>780</v>
      </c>
      <c r="N723" s="152" t="s">
        <v>1407</v>
      </c>
      <c r="O723" s="152" t="s">
        <v>3518</v>
      </c>
      <c r="P723" s="152" t="s">
        <v>892</v>
      </c>
      <c r="Q723" s="152" t="s">
        <v>3519</v>
      </c>
      <c r="R723" s="152" t="s">
        <v>3689</v>
      </c>
      <c r="S723" s="152" t="s">
        <v>3521</v>
      </c>
      <c r="T723" s="152" t="s">
        <v>786</v>
      </c>
    </row>
    <row r="724" spans="1:20">
      <c r="C724" s="152" t="s">
        <v>2821</v>
      </c>
      <c r="D724" s="474" t="s">
        <v>676</v>
      </c>
      <c r="E724" s="684" t="str">
        <f>+VLOOKUP(F724,Resumen_Base!$C$8:$G$156,5,0)</f>
        <v>Miscellaneous &amp; Shipping</v>
      </c>
      <c r="F724" s="152" t="s">
        <v>58</v>
      </c>
      <c r="G724" s="152" t="s">
        <v>59</v>
      </c>
      <c r="H724" s="152" t="str">
        <f t="shared" si="11"/>
        <v>CAR5219</v>
      </c>
      <c r="I724" s="513">
        <v>59361.25</v>
      </c>
      <c r="J724" s="513">
        <v>42.25</v>
      </c>
      <c r="K724" s="513">
        <v>1405</v>
      </c>
      <c r="L724" s="518" t="s">
        <v>3493</v>
      </c>
      <c r="M724" s="152" t="s">
        <v>780</v>
      </c>
      <c r="N724" s="152" t="s">
        <v>1407</v>
      </c>
      <c r="O724" s="152" t="s">
        <v>3677</v>
      </c>
      <c r="P724" s="152" t="s">
        <v>3489</v>
      </c>
      <c r="Q724" s="152" t="s">
        <v>3678</v>
      </c>
      <c r="R724" s="152" t="s">
        <v>3807</v>
      </c>
      <c r="S724" s="152" t="s">
        <v>3679</v>
      </c>
      <c r="T724" s="152" t="s">
        <v>786</v>
      </c>
    </row>
    <row r="725" spans="1:20">
      <c r="C725" s="152" t="s">
        <v>2821</v>
      </c>
      <c r="D725" s="474" t="s">
        <v>676</v>
      </c>
      <c r="E725" s="684" t="str">
        <f>+VLOOKUP(F725,Resumen_Base!$C$8:$G$156,5,0)</f>
        <v>Miscellaneous &amp; Shipping</v>
      </c>
      <c r="F725" s="152" t="s">
        <v>58</v>
      </c>
      <c r="G725" s="152" t="s">
        <v>59</v>
      </c>
      <c r="H725" s="152" t="str">
        <f t="shared" si="11"/>
        <v>CAR5219</v>
      </c>
      <c r="I725" s="513">
        <v>7740.05</v>
      </c>
      <c r="J725" s="513">
        <v>5.47</v>
      </c>
      <c r="K725" s="513">
        <v>1415</v>
      </c>
      <c r="L725" s="518" t="s">
        <v>3498</v>
      </c>
      <c r="M725" s="152" t="s">
        <v>780</v>
      </c>
      <c r="N725" s="152" t="s">
        <v>1407</v>
      </c>
      <c r="O725" s="152" t="s">
        <v>3499</v>
      </c>
      <c r="P725" s="152" t="s">
        <v>3489</v>
      </c>
      <c r="Q725" s="152" t="s">
        <v>3500</v>
      </c>
      <c r="R725" s="152" t="s">
        <v>3844</v>
      </c>
      <c r="S725" s="152" t="s">
        <v>3502</v>
      </c>
      <c r="T725" s="152" t="s">
        <v>786</v>
      </c>
    </row>
    <row r="726" spans="1:20">
      <c r="C726" s="152" t="s">
        <v>2821</v>
      </c>
      <c r="D726" s="474" t="s">
        <v>676</v>
      </c>
      <c r="E726" s="684" t="str">
        <f>+VLOOKUP(F726,Resumen_Base!$C$8:$G$156,5,0)</f>
        <v>Miscellaneous &amp; Shipping</v>
      </c>
      <c r="F726" s="152" t="s">
        <v>58</v>
      </c>
      <c r="G726" s="152" t="s">
        <v>59</v>
      </c>
      <c r="H726" s="152" t="str">
        <f t="shared" si="11"/>
        <v>CAR5219</v>
      </c>
      <c r="I726" s="513">
        <v>1103.7</v>
      </c>
      <c r="J726" s="513">
        <v>0.78</v>
      </c>
      <c r="K726" s="513">
        <v>1415</v>
      </c>
      <c r="L726" s="518" t="s">
        <v>3498</v>
      </c>
      <c r="M726" s="152" t="s">
        <v>780</v>
      </c>
      <c r="N726" s="152" t="s">
        <v>1407</v>
      </c>
      <c r="O726" s="152" t="s">
        <v>3499</v>
      </c>
      <c r="P726" s="152" t="s">
        <v>3489</v>
      </c>
      <c r="Q726" s="152" t="s">
        <v>3500</v>
      </c>
      <c r="R726" s="152" t="s">
        <v>3845</v>
      </c>
      <c r="S726" s="152" t="s">
        <v>3502</v>
      </c>
      <c r="T726" s="152" t="s">
        <v>786</v>
      </c>
    </row>
    <row r="727" spans="1:20">
      <c r="C727" s="152" t="s">
        <v>2821</v>
      </c>
      <c r="D727" s="474" t="s">
        <v>676</v>
      </c>
      <c r="E727" s="684" t="str">
        <f>+VLOOKUP(F727,Resumen_Base!$C$8:$G$156,5,0)</f>
        <v>Miscellaneous &amp; Shipping</v>
      </c>
      <c r="F727" s="152" t="s">
        <v>58</v>
      </c>
      <c r="G727" s="152" t="s">
        <v>59</v>
      </c>
      <c r="H727" s="152" t="str">
        <f t="shared" si="11"/>
        <v>CAR5219</v>
      </c>
      <c r="I727" s="513">
        <v>7740.05</v>
      </c>
      <c r="J727" s="513">
        <v>5.47</v>
      </c>
      <c r="K727" s="513">
        <v>1415</v>
      </c>
      <c r="L727" s="518" t="s">
        <v>3498</v>
      </c>
      <c r="M727" s="152" t="s">
        <v>780</v>
      </c>
      <c r="N727" s="152" t="s">
        <v>1407</v>
      </c>
      <c r="O727" s="152" t="s">
        <v>3499</v>
      </c>
      <c r="P727" s="152" t="s">
        <v>3489</v>
      </c>
      <c r="Q727" s="152" t="s">
        <v>3500</v>
      </c>
      <c r="R727" s="152" t="s">
        <v>3847</v>
      </c>
      <c r="S727" s="152" t="s">
        <v>3502</v>
      </c>
      <c r="T727" s="152" t="s">
        <v>786</v>
      </c>
    </row>
    <row r="728" spans="1:20">
      <c r="C728" s="152" t="s">
        <v>2821</v>
      </c>
      <c r="D728" s="474" t="s">
        <v>676</v>
      </c>
      <c r="E728" s="684" t="str">
        <f>+VLOOKUP(F728,Resumen_Base!$C$8:$G$156,5,0)</f>
        <v>Miscellaneous &amp; Shipping</v>
      </c>
      <c r="F728" s="152" t="s">
        <v>58</v>
      </c>
      <c r="G728" s="152" t="s">
        <v>59</v>
      </c>
      <c r="H728" s="152" t="str">
        <f t="shared" si="11"/>
        <v>CAR5219</v>
      </c>
      <c r="I728" s="513">
        <v>106428</v>
      </c>
      <c r="J728" s="513">
        <v>76.02</v>
      </c>
      <c r="K728" s="513">
        <v>1400</v>
      </c>
      <c r="L728" s="518" t="s">
        <v>3632</v>
      </c>
      <c r="M728" s="152" t="s">
        <v>780</v>
      </c>
      <c r="N728" s="152" t="s">
        <v>1407</v>
      </c>
      <c r="O728" s="152" t="s">
        <v>3633</v>
      </c>
      <c r="P728" s="152" t="s">
        <v>3489</v>
      </c>
      <c r="Q728" s="152" t="s">
        <v>3634</v>
      </c>
      <c r="R728" s="152" t="s">
        <v>3896</v>
      </c>
      <c r="S728" s="152" t="s">
        <v>3636</v>
      </c>
      <c r="T728" s="152" t="s">
        <v>786</v>
      </c>
    </row>
    <row r="729" spans="1:20">
      <c r="C729" s="152" t="s">
        <v>2821</v>
      </c>
      <c r="D729" s="474" t="s">
        <v>676</v>
      </c>
      <c r="E729" s="684" t="str">
        <f>+VLOOKUP(F729,Resumen_Base!$C$8:$G$156,5,0)</f>
        <v>Miscellaneous &amp; Shipping</v>
      </c>
      <c r="F729" s="152" t="s">
        <v>58</v>
      </c>
      <c r="G729" s="152" t="s">
        <v>59</v>
      </c>
      <c r="H729" s="152" t="str">
        <f t="shared" si="11"/>
        <v>CAR5219</v>
      </c>
      <c r="I729" s="513">
        <v>4747763.6500000004</v>
      </c>
      <c r="J729" s="513">
        <v>3355.31</v>
      </c>
      <c r="K729" s="513">
        <v>1415</v>
      </c>
      <c r="L729" s="518" t="s">
        <v>3498</v>
      </c>
      <c r="M729" s="152" t="s">
        <v>780</v>
      </c>
      <c r="N729" s="152" t="s">
        <v>1407</v>
      </c>
      <c r="O729" s="152" t="s">
        <v>3522</v>
      </c>
      <c r="P729" s="152" t="s">
        <v>3489</v>
      </c>
      <c r="Q729" s="152" t="s">
        <v>3523</v>
      </c>
      <c r="R729" s="152" t="s">
        <v>3905</v>
      </c>
      <c r="S729" s="152" t="s">
        <v>3525</v>
      </c>
      <c r="T729" s="152" t="s">
        <v>786</v>
      </c>
    </row>
    <row r="730" spans="1:20">
      <c r="C730" s="152" t="s">
        <v>2821</v>
      </c>
      <c r="D730" s="474" t="s">
        <v>676</v>
      </c>
      <c r="E730" s="684" t="str">
        <f>+VLOOKUP(F730,Resumen_Base!$C$8:$G$156,5,0)</f>
        <v>Miscellaneous &amp; Shipping</v>
      </c>
      <c r="F730" s="152" t="s">
        <v>58</v>
      </c>
      <c r="G730" s="152" t="s">
        <v>59</v>
      </c>
      <c r="H730" s="152" t="str">
        <f t="shared" si="11"/>
        <v>CAR5219</v>
      </c>
      <c r="I730" s="513">
        <v>22151.1</v>
      </c>
      <c r="J730" s="513">
        <v>15.71</v>
      </c>
      <c r="K730" s="513">
        <v>1410</v>
      </c>
      <c r="L730" s="518" t="s">
        <v>3498</v>
      </c>
      <c r="M730" s="152" t="s">
        <v>780</v>
      </c>
      <c r="N730" s="152" t="s">
        <v>1407</v>
      </c>
      <c r="O730" s="152" t="s">
        <v>3499</v>
      </c>
      <c r="P730" s="152" t="s">
        <v>3489</v>
      </c>
      <c r="Q730" s="152" t="s">
        <v>3500</v>
      </c>
      <c r="R730" s="152" t="s">
        <v>3933</v>
      </c>
      <c r="S730" s="152" t="s">
        <v>3502</v>
      </c>
      <c r="T730" s="152" t="s">
        <v>786</v>
      </c>
    </row>
    <row r="731" spans="1:20">
      <c r="C731" s="152" t="s">
        <v>2821</v>
      </c>
      <c r="D731" s="474" t="s">
        <v>676</v>
      </c>
      <c r="E731" s="684" t="str">
        <f>+VLOOKUP(F731,Resumen_Base!$C$8:$G$156,5,0)</f>
        <v>Miscellaneous &amp; Shipping</v>
      </c>
      <c r="F731" s="152" t="s">
        <v>58</v>
      </c>
      <c r="G731" s="152" t="s">
        <v>59</v>
      </c>
      <c r="H731" s="152" t="str">
        <f t="shared" si="11"/>
        <v>CAR5219</v>
      </c>
      <c r="I731" s="513">
        <v>13017.6</v>
      </c>
      <c r="J731" s="513">
        <v>9.0399999999999991</v>
      </c>
      <c r="K731" s="513">
        <v>1440</v>
      </c>
      <c r="L731" s="518" t="s">
        <v>3637</v>
      </c>
      <c r="M731" s="152" t="s">
        <v>780</v>
      </c>
      <c r="N731" s="152" t="s">
        <v>1407</v>
      </c>
      <c r="O731" s="152" t="s">
        <v>3638</v>
      </c>
      <c r="P731" s="152" t="s">
        <v>2865</v>
      </c>
      <c r="Q731" s="152" t="s">
        <v>3639</v>
      </c>
      <c r="R731" s="152" t="s">
        <v>3937</v>
      </c>
      <c r="S731" s="152" t="s">
        <v>3641</v>
      </c>
      <c r="T731" s="152" t="s">
        <v>786</v>
      </c>
    </row>
    <row r="732" spans="1:20">
      <c r="C732" s="152" t="s">
        <v>2821</v>
      </c>
      <c r="D732" s="474" t="s">
        <v>676</v>
      </c>
      <c r="E732" s="684" t="str">
        <f>+VLOOKUP(F732,Resumen_Base!$C$8:$G$156,5,0)</f>
        <v>Miscellaneous &amp; Shipping</v>
      </c>
      <c r="F732" s="152" t="s">
        <v>58</v>
      </c>
      <c r="G732" s="152" t="s">
        <v>59</v>
      </c>
      <c r="H732" s="152" t="str">
        <f t="shared" si="11"/>
        <v>CAR5219</v>
      </c>
      <c r="I732" s="513">
        <v>392661</v>
      </c>
      <c r="J732" s="513">
        <v>280.47214285714301</v>
      </c>
      <c r="K732" s="513">
        <v>1400</v>
      </c>
      <c r="L732" s="518" t="s">
        <v>3567</v>
      </c>
      <c r="M732" s="152" t="s">
        <v>780</v>
      </c>
      <c r="N732" s="152" t="s">
        <v>1407</v>
      </c>
      <c r="O732" s="152" t="s">
        <v>4193</v>
      </c>
      <c r="P732" s="152" t="s">
        <v>3489</v>
      </c>
      <c r="Q732" s="152" t="s">
        <v>4194</v>
      </c>
      <c r="R732" s="152" t="s">
        <v>4195</v>
      </c>
      <c r="S732" s="152" t="s">
        <v>4196</v>
      </c>
      <c r="T732" s="152" t="s">
        <v>786</v>
      </c>
    </row>
    <row r="733" spans="1:20">
      <c r="C733" s="152" t="s">
        <v>2821</v>
      </c>
      <c r="D733" s="474" t="s">
        <v>676</v>
      </c>
      <c r="E733" s="684" t="str">
        <f>+VLOOKUP(F733,Resumen_Base!$C$8:$G$156,5,0)</f>
        <v>Miscellaneous &amp; Shipping</v>
      </c>
      <c r="F733" s="152" t="s">
        <v>58</v>
      </c>
      <c r="G733" s="152" t="s">
        <v>59</v>
      </c>
      <c r="H733" s="152" t="str">
        <f t="shared" si="11"/>
        <v>CAR5219</v>
      </c>
      <c r="I733" s="513">
        <v>15609.55</v>
      </c>
      <c r="J733" s="513">
        <v>11.11</v>
      </c>
      <c r="K733" s="513">
        <v>1405</v>
      </c>
      <c r="L733" s="518" t="s">
        <v>3493</v>
      </c>
      <c r="M733" s="152" t="s">
        <v>780</v>
      </c>
      <c r="N733" s="152" t="s">
        <v>1407</v>
      </c>
      <c r="O733" s="152" t="s">
        <v>4124</v>
      </c>
      <c r="P733" s="152" t="s">
        <v>3489</v>
      </c>
      <c r="Q733" s="152" t="s">
        <v>4125</v>
      </c>
      <c r="R733" s="152" t="s">
        <v>4203</v>
      </c>
      <c r="S733" s="152" t="s">
        <v>4127</v>
      </c>
      <c r="T733" s="152" t="s">
        <v>786</v>
      </c>
    </row>
    <row r="734" spans="1:20">
      <c r="C734" s="152" t="s">
        <v>2821</v>
      </c>
      <c r="D734" s="474" t="s">
        <v>676</v>
      </c>
      <c r="E734" s="684" t="str">
        <f>+VLOOKUP(F734,Resumen_Base!$C$8:$G$156,5,0)</f>
        <v>Miscellaneous &amp; Shipping</v>
      </c>
      <c r="F734" s="152" t="s">
        <v>58</v>
      </c>
      <c r="G734" s="152" t="s">
        <v>59</v>
      </c>
      <c r="H734" s="152" t="str">
        <f t="shared" si="11"/>
        <v>CAR5219</v>
      </c>
      <c r="I734" s="513">
        <v>-558000</v>
      </c>
      <c r="J734" s="513">
        <v>-394.34628975265002</v>
      </c>
      <c r="K734" s="513">
        <v>1415</v>
      </c>
      <c r="L734" s="518" t="s">
        <v>3487</v>
      </c>
      <c r="M734" s="152" t="s">
        <v>780</v>
      </c>
      <c r="N734" s="152" t="s">
        <v>1407</v>
      </c>
      <c r="O734" s="152" t="s">
        <v>4210</v>
      </c>
      <c r="P734" s="152" t="s">
        <v>3489</v>
      </c>
      <c r="Q734" s="152" t="s">
        <v>4211</v>
      </c>
      <c r="R734" s="152" t="s">
        <v>4212</v>
      </c>
      <c r="S734" s="152" t="s">
        <v>4213</v>
      </c>
      <c r="T734" s="152" t="s">
        <v>786</v>
      </c>
    </row>
    <row r="735" spans="1:20">
      <c r="C735" s="152" t="s">
        <v>2821</v>
      </c>
      <c r="D735" s="474" t="s">
        <v>676</v>
      </c>
      <c r="E735" s="684" t="str">
        <f>+VLOOKUP(F735,Resumen_Base!$C$8:$G$156,5,0)</f>
        <v>Miscellaneous &amp; Shipping</v>
      </c>
      <c r="F735" s="152" t="s">
        <v>58</v>
      </c>
      <c r="G735" s="152" t="s">
        <v>59</v>
      </c>
      <c r="H735" s="152" t="str">
        <f t="shared" si="11"/>
        <v>CAR5219</v>
      </c>
      <c r="I735" s="513">
        <v>392661</v>
      </c>
      <c r="J735" s="513">
        <v>279.474021352313</v>
      </c>
      <c r="K735" s="513">
        <v>1405</v>
      </c>
      <c r="L735" s="518" t="s">
        <v>3493</v>
      </c>
      <c r="M735" s="152" t="s">
        <v>780</v>
      </c>
      <c r="N735" s="152" t="s">
        <v>1407</v>
      </c>
      <c r="O735" s="152" t="s">
        <v>4197</v>
      </c>
      <c r="P735" s="152" t="s">
        <v>3489</v>
      </c>
      <c r="Q735" s="152" t="s">
        <v>4198</v>
      </c>
      <c r="R735" s="152" t="s">
        <v>4218</v>
      </c>
      <c r="S735" s="152" t="s">
        <v>4200</v>
      </c>
      <c r="T735" s="152" t="s">
        <v>786</v>
      </c>
    </row>
    <row r="736" spans="1:20" ht="25">
      <c r="C736" s="152" t="s">
        <v>2821</v>
      </c>
      <c r="D736" s="474" t="s">
        <v>670</v>
      </c>
      <c r="E736" s="684" t="str">
        <f>+VLOOKUP(F736,Resumen_Base!$C$8:$G$156,5,0)</f>
        <v>Work uniforms for personnel (employees)</v>
      </c>
      <c r="F736" s="152" t="s">
        <v>60</v>
      </c>
      <c r="G736" s="152" t="s">
        <v>61</v>
      </c>
      <c r="H736" s="152" t="str">
        <f t="shared" si="11"/>
        <v>SJ5220</v>
      </c>
      <c r="I736" s="513">
        <v>155238.1</v>
      </c>
      <c r="J736" s="513">
        <v>110.48975088968</v>
      </c>
      <c r="K736" s="513">
        <v>1405</v>
      </c>
      <c r="L736" s="518" t="s">
        <v>3493</v>
      </c>
      <c r="M736" s="152" t="s">
        <v>780</v>
      </c>
      <c r="N736" s="152" t="s">
        <v>781</v>
      </c>
      <c r="O736" s="152" t="s">
        <v>4197</v>
      </c>
      <c r="P736" s="152" t="s">
        <v>3489</v>
      </c>
      <c r="Q736" s="152" t="s">
        <v>4198</v>
      </c>
      <c r="R736" s="152" t="s">
        <v>4887</v>
      </c>
      <c r="S736" s="152" t="s">
        <v>4200</v>
      </c>
      <c r="T736" s="152" t="s">
        <v>786</v>
      </c>
    </row>
    <row r="737" spans="3:20" ht="25">
      <c r="C737" s="152" t="s">
        <v>2821</v>
      </c>
      <c r="D737" s="474" t="s">
        <v>670</v>
      </c>
      <c r="E737" s="684" t="str">
        <f>+VLOOKUP(F737,Resumen_Base!$C$8:$G$156,5,0)</f>
        <v>Work uniforms for personnel (employees)</v>
      </c>
      <c r="F737" s="152" t="s">
        <v>60</v>
      </c>
      <c r="G737" s="152" t="s">
        <v>61</v>
      </c>
      <c r="H737" s="152" t="str">
        <f t="shared" si="11"/>
        <v>SJ5220</v>
      </c>
      <c r="I737" s="513">
        <v>44333.33</v>
      </c>
      <c r="J737" s="513">
        <v>31.5539715302491</v>
      </c>
      <c r="K737" s="513">
        <v>1405</v>
      </c>
      <c r="L737" s="518" t="s">
        <v>3493</v>
      </c>
      <c r="M737" s="152" t="s">
        <v>780</v>
      </c>
      <c r="N737" s="152" t="s">
        <v>781</v>
      </c>
      <c r="O737" s="152" t="s">
        <v>4197</v>
      </c>
      <c r="P737" s="152" t="s">
        <v>3489</v>
      </c>
      <c r="Q737" s="152" t="s">
        <v>4198</v>
      </c>
      <c r="R737" s="152" t="s">
        <v>4893</v>
      </c>
      <c r="S737" s="152" t="s">
        <v>4200</v>
      </c>
      <c r="T737" s="152" t="s">
        <v>786</v>
      </c>
    </row>
    <row r="738" spans="3:20" ht="25">
      <c r="C738" s="152" t="s">
        <v>2821</v>
      </c>
      <c r="D738" s="474" t="s">
        <v>670</v>
      </c>
      <c r="E738" s="684" t="str">
        <f>+VLOOKUP(F738,Resumen_Base!$C$8:$G$156,5,0)</f>
        <v>Work uniforms for personnel (employees)</v>
      </c>
      <c r="F738" s="152" t="s">
        <v>60</v>
      </c>
      <c r="G738" s="152" t="s">
        <v>61</v>
      </c>
      <c r="H738" s="152" t="str">
        <f t="shared" si="11"/>
        <v>SJ5220</v>
      </c>
      <c r="I738" s="513">
        <v>33142.86</v>
      </c>
      <c r="J738" s="513">
        <v>23.589224199288299</v>
      </c>
      <c r="K738" s="513">
        <v>1405</v>
      </c>
      <c r="L738" s="518" t="s">
        <v>3493</v>
      </c>
      <c r="M738" s="152" t="s">
        <v>780</v>
      </c>
      <c r="N738" s="152" t="s">
        <v>781</v>
      </c>
      <c r="O738" s="152" t="s">
        <v>4197</v>
      </c>
      <c r="P738" s="152" t="s">
        <v>3489</v>
      </c>
      <c r="Q738" s="152" t="s">
        <v>4198</v>
      </c>
      <c r="R738" s="152" t="s">
        <v>4894</v>
      </c>
      <c r="S738" s="152" t="s">
        <v>4200</v>
      </c>
      <c r="T738" s="152" t="s">
        <v>786</v>
      </c>
    </row>
    <row r="739" spans="3:20" ht="25">
      <c r="C739" s="152" t="s">
        <v>2821</v>
      </c>
      <c r="D739" s="474" t="s">
        <v>670</v>
      </c>
      <c r="E739" s="684" t="str">
        <f>+VLOOKUP(F739,Resumen_Base!$C$8:$G$156,5,0)</f>
        <v>Work uniforms for personnel (employees)</v>
      </c>
      <c r="F739" s="152" t="s">
        <v>60</v>
      </c>
      <c r="G739" s="152" t="s">
        <v>61</v>
      </c>
      <c r="H739" s="152" t="str">
        <f t="shared" si="11"/>
        <v>SJ5220</v>
      </c>
      <c r="I739" s="513">
        <v>41571.43</v>
      </c>
      <c r="J739" s="513">
        <v>29.588206405693899</v>
      </c>
      <c r="K739" s="513">
        <v>1405</v>
      </c>
      <c r="L739" s="518" t="s">
        <v>3493</v>
      </c>
      <c r="M739" s="152" t="s">
        <v>780</v>
      </c>
      <c r="N739" s="152" t="s">
        <v>781</v>
      </c>
      <c r="O739" s="152" t="s">
        <v>4197</v>
      </c>
      <c r="P739" s="152" t="s">
        <v>3489</v>
      </c>
      <c r="Q739" s="152" t="s">
        <v>4198</v>
      </c>
      <c r="R739" s="152" t="s">
        <v>4895</v>
      </c>
      <c r="S739" s="152" t="s">
        <v>4200</v>
      </c>
      <c r="T739" s="152" t="s">
        <v>786</v>
      </c>
    </row>
    <row r="740" spans="3:20" ht="25">
      <c r="C740" s="152" t="s">
        <v>2821</v>
      </c>
      <c r="D740" s="474" t="s">
        <v>670</v>
      </c>
      <c r="E740" s="684" t="str">
        <f>+VLOOKUP(F740,Resumen_Base!$C$8:$G$156,5,0)</f>
        <v>Work uniforms for personnel (employees)</v>
      </c>
      <c r="F740" s="152" t="s">
        <v>60</v>
      </c>
      <c r="G740" s="152" t="s">
        <v>61</v>
      </c>
      <c r="H740" s="152" t="str">
        <f t="shared" si="11"/>
        <v>SJ5220</v>
      </c>
      <c r="I740" s="513">
        <v>453227.14</v>
      </c>
      <c r="J740" s="513">
        <v>322.58159430605002</v>
      </c>
      <c r="K740" s="513">
        <v>1405</v>
      </c>
      <c r="L740" s="518" t="s">
        <v>3493</v>
      </c>
      <c r="M740" s="152" t="s">
        <v>780</v>
      </c>
      <c r="N740" s="152" t="s">
        <v>781</v>
      </c>
      <c r="O740" s="152" t="s">
        <v>4197</v>
      </c>
      <c r="P740" s="152" t="s">
        <v>3489</v>
      </c>
      <c r="Q740" s="152" t="s">
        <v>4198</v>
      </c>
      <c r="R740" s="152" t="s">
        <v>4896</v>
      </c>
      <c r="S740" s="152" t="s">
        <v>4200</v>
      </c>
      <c r="T740" s="152" t="s">
        <v>786</v>
      </c>
    </row>
    <row r="741" spans="3:20" ht="25">
      <c r="C741" s="152" t="s">
        <v>2821</v>
      </c>
      <c r="D741" s="474" t="s">
        <v>675</v>
      </c>
      <c r="E741" s="684" t="str">
        <f>+VLOOKUP(F741,Resumen_Base!$C$8:$G$156,5,0)</f>
        <v>Work uniforms for personnel (employees)</v>
      </c>
      <c r="F741" s="152" t="s">
        <v>60</v>
      </c>
      <c r="G741" s="152" t="s">
        <v>61</v>
      </c>
      <c r="H741" s="152" t="str">
        <f t="shared" si="11"/>
        <v>UL5220</v>
      </c>
      <c r="I741" s="513">
        <v>155238.1</v>
      </c>
      <c r="J741" s="513">
        <v>110.48975088968</v>
      </c>
      <c r="K741" s="513">
        <v>1405</v>
      </c>
      <c r="L741" s="518" t="s">
        <v>3493</v>
      </c>
      <c r="M741" s="152" t="s">
        <v>780</v>
      </c>
      <c r="N741" s="152" t="s">
        <v>1272</v>
      </c>
      <c r="O741" s="152" t="s">
        <v>4197</v>
      </c>
      <c r="P741" s="152" t="s">
        <v>3489</v>
      </c>
      <c r="Q741" s="152" t="s">
        <v>4198</v>
      </c>
      <c r="R741" s="152" t="s">
        <v>4923</v>
      </c>
      <c r="S741" s="152" t="s">
        <v>4200</v>
      </c>
      <c r="T741" s="152" t="s">
        <v>786</v>
      </c>
    </row>
    <row r="742" spans="3:20" ht="25">
      <c r="C742" s="152" t="s">
        <v>2821</v>
      </c>
      <c r="D742" s="474" t="s">
        <v>675</v>
      </c>
      <c r="E742" s="684" t="str">
        <f>+VLOOKUP(F742,Resumen_Base!$C$8:$G$156,5,0)</f>
        <v>Work uniforms for personnel (employees)</v>
      </c>
      <c r="F742" s="152" t="s">
        <v>60</v>
      </c>
      <c r="G742" s="152" t="s">
        <v>61</v>
      </c>
      <c r="H742" s="152" t="str">
        <f t="shared" si="11"/>
        <v>UL5220</v>
      </c>
      <c r="I742" s="513">
        <v>44333.33</v>
      </c>
      <c r="J742" s="513">
        <v>31.5539715302491</v>
      </c>
      <c r="K742" s="513">
        <v>1405</v>
      </c>
      <c r="L742" s="518" t="s">
        <v>3493</v>
      </c>
      <c r="M742" s="152" t="s">
        <v>780</v>
      </c>
      <c r="N742" s="152" t="s">
        <v>1272</v>
      </c>
      <c r="O742" s="152" t="s">
        <v>4197</v>
      </c>
      <c r="P742" s="152" t="s">
        <v>3489</v>
      </c>
      <c r="Q742" s="152" t="s">
        <v>4198</v>
      </c>
      <c r="R742" s="152" t="s">
        <v>4943</v>
      </c>
      <c r="S742" s="152" t="s">
        <v>4200</v>
      </c>
      <c r="T742" s="152" t="s">
        <v>786</v>
      </c>
    </row>
    <row r="743" spans="3:20" ht="25">
      <c r="C743" s="152" t="s">
        <v>2821</v>
      </c>
      <c r="D743" s="474" t="s">
        <v>675</v>
      </c>
      <c r="E743" s="684" t="str">
        <f>+VLOOKUP(F743,Resumen_Base!$C$8:$G$156,5,0)</f>
        <v>Work uniforms for personnel (employees)</v>
      </c>
      <c r="F743" s="152" t="s">
        <v>60</v>
      </c>
      <c r="G743" s="152" t="s">
        <v>61</v>
      </c>
      <c r="H743" s="152" t="str">
        <f t="shared" si="11"/>
        <v>UL5220</v>
      </c>
      <c r="I743" s="513">
        <v>33142.86</v>
      </c>
      <c r="J743" s="513">
        <v>23.589224199288299</v>
      </c>
      <c r="K743" s="513">
        <v>1405</v>
      </c>
      <c r="L743" s="518" t="s">
        <v>3493</v>
      </c>
      <c r="M743" s="152" t="s">
        <v>780</v>
      </c>
      <c r="N743" s="152" t="s">
        <v>1272</v>
      </c>
      <c r="O743" s="152" t="s">
        <v>4197</v>
      </c>
      <c r="P743" s="152" t="s">
        <v>3489</v>
      </c>
      <c r="Q743" s="152" t="s">
        <v>4198</v>
      </c>
      <c r="R743" s="152" t="s">
        <v>4944</v>
      </c>
      <c r="S743" s="152" t="s">
        <v>4200</v>
      </c>
      <c r="T743" s="152" t="s">
        <v>786</v>
      </c>
    </row>
    <row r="744" spans="3:20" ht="25">
      <c r="C744" s="152" t="s">
        <v>2821</v>
      </c>
      <c r="D744" s="474" t="s">
        <v>675</v>
      </c>
      <c r="E744" s="684" t="str">
        <f>+VLOOKUP(F744,Resumen_Base!$C$8:$G$156,5,0)</f>
        <v>Work uniforms for personnel (employees)</v>
      </c>
      <c r="F744" s="152" t="s">
        <v>60</v>
      </c>
      <c r="G744" s="152" t="s">
        <v>61</v>
      </c>
      <c r="H744" s="152" t="str">
        <f t="shared" si="11"/>
        <v>UL5220</v>
      </c>
      <c r="I744" s="513">
        <v>41571.43</v>
      </c>
      <c r="J744" s="513">
        <v>29.588206405693899</v>
      </c>
      <c r="K744" s="513">
        <v>1405</v>
      </c>
      <c r="L744" s="518" t="s">
        <v>3493</v>
      </c>
      <c r="M744" s="152" t="s">
        <v>780</v>
      </c>
      <c r="N744" s="152" t="s">
        <v>1272</v>
      </c>
      <c r="O744" s="152" t="s">
        <v>4197</v>
      </c>
      <c r="P744" s="152" t="s">
        <v>3489</v>
      </c>
      <c r="Q744" s="152" t="s">
        <v>4198</v>
      </c>
      <c r="R744" s="152" t="s">
        <v>4945</v>
      </c>
      <c r="S744" s="152" t="s">
        <v>4200</v>
      </c>
      <c r="T744" s="152" t="s">
        <v>786</v>
      </c>
    </row>
    <row r="745" spans="3:20" ht="25">
      <c r="C745" s="152" t="s">
        <v>2821</v>
      </c>
      <c r="D745" s="474" t="s">
        <v>675</v>
      </c>
      <c r="E745" s="684" t="str">
        <f>+VLOOKUP(F745,Resumen_Base!$C$8:$G$156,5,0)</f>
        <v>Work uniforms for personnel (employees)</v>
      </c>
      <c r="F745" s="152" t="s">
        <v>60</v>
      </c>
      <c r="G745" s="152" t="s">
        <v>61</v>
      </c>
      <c r="H745" s="152" t="str">
        <f t="shared" si="11"/>
        <v>UL5220</v>
      </c>
      <c r="I745" s="513">
        <v>453227.14</v>
      </c>
      <c r="J745" s="513">
        <v>322.58159430605002</v>
      </c>
      <c r="K745" s="513">
        <v>1405</v>
      </c>
      <c r="L745" s="518" t="s">
        <v>3493</v>
      </c>
      <c r="M745" s="152" t="s">
        <v>780</v>
      </c>
      <c r="N745" s="152" t="s">
        <v>1272</v>
      </c>
      <c r="O745" s="152" t="s">
        <v>4197</v>
      </c>
      <c r="P745" s="152" t="s">
        <v>3489</v>
      </c>
      <c r="Q745" s="152" t="s">
        <v>4198</v>
      </c>
      <c r="R745" s="152" t="s">
        <v>4946</v>
      </c>
      <c r="S745" s="152" t="s">
        <v>4200</v>
      </c>
      <c r="T745" s="152" t="s">
        <v>786</v>
      </c>
    </row>
    <row r="746" spans="3:20" ht="25">
      <c r="C746" s="152" t="s">
        <v>2821</v>
      </c>
      <c r="D746" s="474" t="s">
        <v>676</v>
      </c>
      <c r="E746" s="684" t="str">
        <f>+VLOOKUP(F746,Resumen_Base!$C$8:$G$156,5,0)</f>
        <v>Work uniforms for personnel (employees)</v>
      </c>
      <c r="F746" s="152" t="s">
        <v>60</v>
      </c>
      <c r="G746" s="152" t="s">
        <v>61</v>
      </c>
      <c r="H746" s="152" t="str">
        <f t="shared" si="11"/>
        <v>CAR5220</v>
      </c>
      <c r="I746" s="513">
        <v>21608.9</v>
      </c>
      <c r="J746" s="513">
        <v>15.38</v>
      </c>
      <c r="K746" s="513">
        <v>1405</v>
      </c>
      <c r="L746" s="518" t="s">
        <v>3493</v>
      </c>
      <c r="M746" s="152" t="s">
        <v>780</v>
      </c>
      <c r="N746" s="152" t="s">
        <v>1407</v>
      </c>
      <c r="O746" s="152" t="s">
        <v>3677</v>
      </c>
      <c r="P746" s="152" t="s">
        <v>3489</v>
      </c>
      <c r="Q746" s="152" t="s">
        <v>3678</v>
      </c>
      <c r="R746" s="152" t="s">
        <v>3688</v>
      </c>
      <c r="S746" s="152" t="s">
        <v>3679</v>
      </c>
      <c r="T746" s="152" t="s">
        <v>786</v>
      </c>
    </row>
    <row r="747" spans="3:20" ht="25">
      <c r="C747" s="152" t="s">
        <v>2821</v>
      </c>
      <c r="D747" s="474" t="s">
        <v>676</v>
      </c>
      <c r="E747" s="684" t="str">
        <f>+VLOOKUP(F747,Resumen_Base!$C$8:$G$156,5,0)</f>
        <v>Work uniforms for personnel (employees)</v>
      </c>
      <c r="F747" s="152" t="s">
        <v>60</v>
      </c>
      <c r="G747" s="152" t="s">
        <v>61</v>
      </c>
      <c r="H747" s="152" t="str">
        <f t="shared" si="11"/>
        <v>CAR5220</v>
      </c>
      <c r="I747" s="513">
        <v>38959.5</v>
      </c>
      <c r="J747" s="513">
        <v>27.34</v>
      </c>
      <c r="K747" s="513">
        <v>1425</v>
      </c>
      <c r="L747" s="518" t="s">
        <v>3504</v>
      </c>
      <c r="M747" s="152" t="s">
        <v>780</v>
      </c>
      <c r="N747" s="152" t="s">
        <v>1407</v>
      </c>
      <c r="O747" s="152" t="s">
        <v>3768</v>
      </c>
      <c r="P747" s="152" t="s">
        <v>3489</v>
      </c>
      <c r="Q747" s="152" t="s">
        <v>3769</v>
      </c>
      <c r="R747" s="152" t="s">
        <v>3772</v>
      </c>
      <c r="S747" s="152" t="s">
        <v>3771</v>
      </c>
      <c r="T747" s="152" t="s">
        <v>786</v>
      </c>
    </row>
    <row r="748" spans="3:20" ht="25">
      <c r="C748" s="152" t="s">
        <v>2821</v>
      </c>
      <c r="D748" s="474" t="s">
        <v>676</v>
      </c>
      <c r="E748" s="684" t="str">
        <f>+VLOOKUP(F748,Resumen_Base!$C$8:$G$156,5,0)</f>
        <v>Work uniforms for personnel (employees)</v>
      </c>
      <c r="F748" s="152" t="s">
        <v>60</v>
      </c>
      <c r="G748" s="152" t="s">
        <v>61</v>
      </c>
      <c r="H748" s="152" t="str">
        <f t="shared" si="11"/>
        <v>CAR5220</v>
      </c>
      <c r="I748" s="513">
        <v>96672.8</v>
      </c>
      <c r="J748" s="513">
        <v>68.319999999999993</v>
      </c>
      <c r="K748" s="513">
        <v>1415</v>
      </c>
      <c r="L748" s="518" t="s">
        <v>3511</v>
      </c>
      <c r="M748" s="152" t="s">
        <v>780</v>
      </c>
      <c r="N748" s="152" t="s">
        <v>1407</v>
      </c>
      <c r="O748" s="152" t="s">
        <v>3512</v>
      </c>
      <c r="P748" s="152" t="s">
        <v>3489</v>
      </c>
      <c r="Q748" s="152" t="s">
        <v>3513</v>
      </c>
      <c r="R748" s="152" t="s">
        <v>3812</v>
      </c>
      <c r="S748" s="152" t="s">
        <v>3515</v>
      </c>
      <c r="T748" s="152" t="s">
        <v>786</v>
      </c>
    </row>
    <row r="749" spans="3:20" ht="25">
      <c r="C749" s="152" t="s">
        <v>2821</v>
      </c>
      <c r="D749" s="474" t="s">
        <v>676</v>
      </c>
      <c r="E749" s="684" t="str">
        <f>+VLOOKUP(F749,Resumen_Base!$C$8:$G$156,5,0)</f>
        <v>Work uniforms for personnel (employees)</v>
      </c>
      <c r="F749" s="152" t="s">
        <v>60</v>
      </c>
      <c r="G749" s="152" t="s">
        <v>61</v>
      </c>
      <c r="H749" s="152" t="str">
        <f t="shared" si="11"/>
        <v>CAR5220</v>
      </c>
      <c r="I749" s="513">
        <v>40032</v>
      </c>
      <c r="J749" s="513">
        <v>27.8</v>
      </c>
      <c r="K749" s="513">
        <v>1440</v>
      </c>
      <c r="L749" s="518" t="s">
        <v>3517</v>
      </c>
      <c r="M749" s="152" t="s">
        <v>780</v>
      </c>
      <c r="N749" s="152" t="s">
        <v>1407</v>
      </c>
      <c r="O749" s="152" t="s">
        <v>3655</v>
      </c>
      <c r="P749" s="152" t="s">
        <v>892</v>
      </c>
      <c r="Q749" s="152" t="s">
        <v>3656</v>
      </c>
      <c r="R749" s="152" t="s">
        <v>3885</v>
      </c>
      <c r="S749" s="152" t="s">
        <v>3658</v>
      </c>
      <c r="T749" s="152" t="s">
        <v>786</v>
      </c>
    </row>
    <row r="750" spans="3:20" ht="25">
      <c r="C750" s="152" t="s">
        <v>2821</v>
      </c>
      <c r="D750" s="474" t="s">
        <v>676</v>
      </c>
      <c r="E750" s="684" t="str">
        <f>+VLOOKUP(F750,Resumen_Base!$C$8:$G$156,5,0)</f>
        <v>Work uniforms for personnel (employees)</v>
      </c>
      <c r="F750" s="152" t="s">
        <v>60</v>
      </c>
      <c r="G750" s="152" t="s">
        <v>61</v>
      </c>
      <c r="H750" s="152" t="str">
        <f t="shared" si="11"/>
        <v>CAR5220</v>
      </c>
      <c r="I750" s="513">
        <v>1048158.75</v>
      </c>
      <c r="J750" s="513">
        <v>735.55</v>
      </c>
      <c r="K750" s="513">
        <v>1425</v>
      </c>
      <c r="L750" s="518" t="s">
        <v>3637</v>
      </c>
      <c r="M750" s="152" t="s">
        <v>780</v>
      </c>
      <c r="N750" s="152" t="s">
        <v>1407</v>
      </c>
      <c r="O750" s="152" t="s">
        <v>3680</v>
      </c>
      <c r="P750" s="152" t="s">
        <v>2865</v>
      </c>
      <c r="Q750" s="152" t="s">
        <v>3681</v>
      </c>
      <c r="R750" s="152" t="s">
        <v>4022</v>
      </c>
      <c r="S750" s="152" t="s">
        <v>3683</v>
      </c>
      <c r="T750" s="152" t="s">
        <v>786</v>
      </c>
    </row>
    <row r="751" spans="3:20" ht="25">
      <c r="C751" s="152" t="s">
        <v>2821</v>
      </c>
      <c r="D751" s="474" t="s">
        <v>676</v>
      </c>
      <c r="E751" s="684" t="str">
        <f>+VLOOKUP(F751,Resumen_Base!$C$8:$G$156,5,0)</f>
        <v>Work uniforms for personnel (employees)</v>
      </c>
      <c r="F751" s="152" t="s">
        <v>60</v>
      </c>
      <c r="G751" s="152" t="s">
        <v>61</v>
      </c>
      <c r="H751" s="152" t="str">
        <f t="shared" si="11"/>
        <v>CAR5220</v>
      </c>
      <c r="I751" s="513">
        <v>712500</v>
      </c>
      <c r="J751" s="513">
        <v>500</v>
      </c>
      <c r="K751" s="513">
        <v>1425</v>
      </c>
      <c r="L751" s="518" t="s">
        <v>3637</v>
      </c>
      <c r="M751" s="152" t="s">
        <v>780</v>
      </c>
      <c r="N751" s="152" t="s">
        <v>1407</v>
      </c>
      <c r="O751" s="152" t="s">
        <v>3638</v>
      </c>
      <c r="P751" s="152" t="s">
        <v>2865</v>
      </c>
      <c r="Q751" s="152" t="s">
        <v>3639</v>
      </c>
      <c r="R751" s="152" t="s">
        <v>4099</v>
      </c>
      <c r="S751" s="152" t="s">
        <v>3641</v>
      </c>
      <c r="T751" s="152" t="s">
        <v>786</v>
      </c>
    </row>
    <row r="752" spans="3:20" ht="25">
      <c r="C752" s="152" t="s">
        <v>2821</v>
      </c>
      <c r="D752" s="474" t="s">
        <v>676</v>
      </c>
      <c r="E752" s="684" t="str">
        <f>+VLOOKUP(F752,Resumen_Base!$C$8:$G$156,5,0)</f>
        <v>Work uniforms for personnel (employees)</v>
      </c>
      <c r="F752" s="152" t="s">
        <v>60</v>
      </c>
      <c r="G752" s="152" t="s">
        <v>61</v>
      </c>
      <c r="H752" s="152" t="str">
        <f t="shared" si="11"/>
        <v>CAR5220</v>
      </c>
      <c r="I752" s="513">
        <v>155238.1</v>
      </c>
      <c r="J752" s="513">
        <v>110.48975088968</v>
      </c>
      <c r="K752" s="513">
        <v>1405</v>
      </c>
      <c r="L752" s="518" t="s">
        <v>3493</v>
      </c>
      <c r="M752" s="152" t="s">
        <v>780</v>
      </c>
      <c r="N752" s="152" t="s">
        <v>1407</v>
      </c>
      <c r="O752" s="152" t="s">
        <v>4197</v>
      </c>
      <c r="P752" s="152" t="s">
        <v>3489</v>
      </c>
      <c r="Q752" s="152" t="s">
        <v>4198</v>
      </c>
      <c r="R752" s="152" t="s">
        <v>4199</v>
      </c>
      <c r="S752" s="152" t="s">
        <v>4200</v>
      </c>
      <c r="T752" s="152" t="s">
        <v>786</v>
      </c>
    </row>
    <row r="753" spans="1:20" ht="25">
      <c r="C753" s="152" t="s">
        <v>2821</v>
      </c>
      <c r="D753" s="474" t="s">
        <v>676</v>
      </c>
      <c r="E753" s="684" t="str">
        <f>+VLOOKUP(F753,Resumen_Base!$C$8:$G$156,5,0)</f>
        <v>Work uniforms for personnel (employees)</v>
      </c>
      <c r="F753" s="152" t="s">
        <v>60</v>
      </c>
      <c r="G753" s="152" t="s">
        <v>61</v>
      </c>
      <c r="H753" s="152" t="str">
        <f t="shared" si="11"/>
        <v>CAR5220</v>
      </c>
      <c r="I753" s="513">
        <v>44333.33</v>
      </c>
      <c r="J753" s="513">
        <v>31.5539715302491</v>
      </c>
      <c r="K753" s="513">
        <v>1405</v>
      </c>
      <c r="L753" s="518" t="s">
        <v>3493</v>
      </c>
      <c r="M753" s="152" t="s">
        <v>780</v>
      </c>
      <c r="N753" s="152" t="s">
        <v>1407</v>
      </c>
      <c r="O753" s="152" t="s">
        <v>4197</v>
      </c>
      <c r="P753" s="152" t="s">
        <v>3489</v>
      </c>
      <c r="Q753" s="152" t="s">
        <v>4198</v>
      </c>
      <c r="R753" s="152" t="s">
        <v>4214</v>
      </c>
      <c r="S753" s="152" t="s">
        <v>4200</v>
      </c>
      <c r="T753" s="152" t="s">
        <v>786</v>
      </c>
    </row>
    <row r="754" spans="1:20" ht="25">
      <c r="C754" s="152" t="s">
        <v>2821</v>
      </c>
      <c r="D754" s="474" t="s">
        <v>676</v>
      </c>
      <c r="E754" s="684" t="str">
        <f>+VLOOKUP(F754,Resumen_Base!$C$8:$G$156,5,0)</f>
        <v>Work uniforms for personnel (employees)</v>
      </c>
      <c r="F754" s="152" t="s">
        <v>60</v>
      </c>
      <c r="G754" s="152" t="s">
        <v>61</v>
      </c>
      <c r="H754" s="152" t="str">
        <f t="shared" si="11"/>
        <v>CAR5220</v>
      </c>
      <c r="I754" s="513">
        <v>33142.86</v>
      </c>
      <c r="J754" s="513">
        <v>23.589224199288299</v>
      </c>
      <c r="K754" s="513">
        <v>1405</v>
      </c>
      <c r="L754" s="518" t="s">
        <v>3493</v>
      </c>
      <c r="M754" s="152" t="s">
        <v>780</v>
      </c>
      <c r="N754" s="152" t="s">
        <v>1407</v>
      </c>
      <c r="O754" s="152" t="s">
        <v>4197</v>
      </c>
      <c r="P754" s="152" t="s">
        <v>3489</v>
      </c>
      <c r="Q754" s="152" t="s">
        <v>4198</v>
      </c>
      <c r="R754" s="152" t="s">
        <v>4215</v>
      </c>
      <c r="S754" s="152" t="s">
        <v>4200</v>
      </c>
      <c r="T754" s="152" t="s">
        <v>786</v>
      </c>
    </row>
    <row r="755" spans="1:20" ht="25">
      <c r="C755" s="152" t="s">
        <v>2821</v>
      </c>
      <c r="D755" s="474" t="s">
        <v>676</v>
      </c>
      <c r="E755" s="684" t="str">
        <f>+VLOOKUP(F755,Resumen_Base!$C$8:$G$156,5,0)</f>
        <v>Work uniforms for personnel (employees)</v>
      </c>
      <c r="F755" s="152" t="s">
        <v>60</v>
      </c>
      <c r="G755" s="152" t="s">
        <v>61</v>
      </c>
      <c r="H755" s="152" t="str">
        <f t="shared" si="11"/>
        <v>CAR5220</v>
      </c>
      <c r="I755" s="513">
        <v>41571.43</v>
      </c>
      <c r="J755" s="513">
        <v>29.588206405693899</v>
      </c>
      <c r="K755" s="513">
        <v>1405</v>
      </c>
      <c r="L755" s="518" t="s">
        <v>3493</v>
      </c>
      <c r="M755" s="152" t="s">
        <v>780</v>
      </c>
      <c r="N755" s="152" t="s">
        <v>1407</v>
      </c>
      <c r="O755" s="152" t="s">
        <v>4197</v>
      </c>
      <c r="P755" s="152" t="s">
        <v>3489</v>
      </c>
      <c r="Q755" s="152" t="s">
        <v>4198</v>
      </c>
      <c r="R755" s="152" t="s">
        <v>4216</v>
      </c>
      <c r="S755" s="152" t="s">
        <v>4200</v>
      </c>
      <c r="T755" s="152" t="s">
        <v>786</v>
      </c>
    </row>
    <row r="756" spans="1:20" ht="25">
      <c r="C756" s="152" t="s">
        <v>2821</v>
      </c>
      <c r="D756" s="474" t="s">
        <v>676</v>
      </c>
      <c r="E756" s="684" t="str">
        <f>+VLOOKUP(F756,Resumen_Base!$C$8:$G$156,5,0)</f>
        <v>Work uniforms for personnel (employees)</v>
      </c>
      <c r="F756" s="152" t="s">
        <v>60</v>
      </c>
      <c r="G756" s="152" t="s">
        <v>61</v>
      </c>
      <c r="H756" s="152" t="str">
        <f t="shared" si="11"/>
        <v>CAR5220</v>
      </c>
      <c r="I756" s="513">
        <v>453227.14</v>
      </c>
      <c r="J756" s="513">
        <v>322.58159430605002</v>
      </c>
      <c r="K756" s="513">
        <v>1405</v>
      </c>
      <c r="L756" s="518" t="s">
        <v>3493</v>
      </c>
      <c r="M756" s="152" t="s">
        <v>780</v>
      </c>
      <c r="N756" s="152" t="s">
        <v>1407</v>
      </c>
      <c r="O756" s="152" t="s">
        <v>4197</v>
      </c>
      <c r="P756" s="152" t="s">
        <v>3489</v>
      </c>
      <c r="Q756" s="152" t="s">
        <v>4198</v>
      </c>
      <c r="R756" s="152" t="s">
        <v>4217</v>
      </c>
      <c r="S756" s="152" t="s">
        <v>4200</v>
      </c>
      <c r="T756" s="152" t="s">
        <v>786</v>
      </c>
    </row>
    <row r="757" spans="1:20" ht="25">
      <c r="C757" s="152" t="s">
        <v>2821</v>
      </c>
      <c r="D757" s="474" t="s">
        <v>676</v>
      </c>
      <c r="E757" s="684" t="str">
        <f>+VLOOKUP(F757,Resumen_Base!$C$8:$G$156,5,0)</f>
        <v>Work uniforms for personnel (employees)</v>
      </c>
      <c r="F757" s="152" t="s">
        <v>60</v>
      </c>
      <c r="G757" s="152" t="s">
        <v>61</v>
      </c>
      <c r="H757" s="152" t="str">
        <f t="shared" si="11"/>
        <v>CAR5220</v>
      </c>
      <c r="I757" s="513">
        <v>383952</v>
      </c>
      <c r="J757" s="513">
        <v>269.44</v>
      </c>
      <c r="K757" s="513">
        <v>1425</v>
      </c>
      <c r="L757" s="518" t="s">
        <v>3637</v>
      </c>
      <c r="N757" s="152" t="s">
        <v>1407</v>
      </c>
      <c r="P757" s="152" t="s">
        <v>5051</v>
      </c>
      <c r="Q757" s="152" t="s">
        <v>5060</v>
      </c>
      <c r="R757" s="152" t="s">
        <v>5060</v>
      </c>
      <c r="S757" s="152" t="s">
        <v>5053</v>
      </c>
      <c r="T757" s="152" t="s">
        <v>786</v>
      </c>
    </row>
    <row r="758" spans="1:20" ht="25">
      <c r="C758" s="152" t="s">
        <v>2821</v>
      </c>
      <c r="D758" s="474" t="s">
        <v>676</v>
      </c>
      <c r="E758" s="684" t="str">
        <f>+VLOOKUP(F758,Resumen_Base!$C$8:$G$156,5,0)</f>
        <v>Work uniforms for personnel (employees)</v>
      </c>
      <c r="F758" s="152" t="s">
        <v>60</v>
      </c>
      <c r="G758" s="152" t="s">
        <v>61</v>
      </c>
      <c r="H758" s="152" t="str">
        <f t="shared" si="11"/>
        <v>CAR5220</v>
      </c>
      <c r="I758" s="513">
        <v>2721.75</v>
      </c>
      <c r="J758" s="513">
        <v>1.91</v>
      </c>
      <c r="K758" s="513">
        <v>1425</v>
      </c>
      <c r="L758" s="518" t="s">
        <v>3637</v>
      </c>
      <c r="N758" s="152" t="s">
        <v>1407</v>
      </c>
      <c r="P758" s="152" t="s">
        <v>5051</v>
      </c>
      <c r="Q758" s="152" t="s">
        <v>5061</v>
      </c>
      <c r="R758" s="152" t="s">
        <v>5061</v>
      </c>
      <c r="S758" s="152" t="s">
        <v>5053</v>
      </c>
      <c r="T758" s="152" t="s">
        <v>786</v>
      </c>
    </row>
    <row r="759" spans="1:20" ht="25">
      <c r="C759" s="152" t="s">
        <v>2821</v>
      </c>
      <c r="D759" s="474" t="s">
        <v>676</v>
      </c>
      <c r="E759" s="684" t="str">
        <f>+VLOOKUP(F759,Resumen_Base!$C$8:$G$156,5,0)</f>
        <v>Work uniforms for personnel (employees)</v>
      </c>
      <c r="F759" s="152" t="s">
        <v>60</v>
      </c>
      <c r="G759" s="152" t="s">
        <v>61</v>
      </c>
      <c r="H759" s="152" t="str">
        <f t="shared" si="11"/>
        <v>CAR5220</v>
      </c>
      <c r="I759" s="513">
        <v>959509.5</v>
      </c>
      <c r="J759" s="513">
        <v>673.34</v>
      </c>
      <c r="K759" s="513">
        <v>1425</v>
      </c>
      <c r="L759" s="518" t="s">
        <v>3637</v>
      </c>
      <c r="N759" s="152" t="s">
        <v>1407</v>
      </c>
      <c r="P759" s="152" t="s">
        <v>5051</v>
      </c>
      <c r="Q759" s="152" t="s">
        <v>5062</v>
      </c>
      <c r="R759" s="152" t="s">
        <v>5062</v>
      </c>
      <c r="S759" s="152" t="s">
        <v>5053</v>
      </c>
      <c r="T759" s="152" t="s">
        <v>786</v>
      </c>
    </row>
    <row r="760" spans="1:20" ht="25">
      <c r="A760" s="737" t="s">
        <v>3388</v>
      </c>
      <c r="B760" s="315"/>
      <c r="C760" s="330"/>
      <c r="D760" s="203" t="s">
        <v>676</v>
      </c>
      <c r="E760" s="714" t="str">
        <f>+VLOOKUP(F760,Resumen_Base!$C$8:$G$287,5,0)</f>
        <v>Licenses / Permits (Fishing and Shooting)</v>
      </c>
      <c r="F760" s="724" t="s">
        <v>62</v>
      </c>
      <c r="G760" s="725" t="s">
        <v>63</v>
      </c>
      <c r="H760" s="330" t="str">
        <f t="shared" si="11"/>
        <v>CAR5221</v>
      </c>
      <c r="I760" s="314"/>
      <c r="J760" s="314">
        <v>-600</v>
      </c>
      <c r="K760" s="203"/>
      <c r="L760" s="456">
        <v>46068</v>
      </c>
      <c r="M760" s="330"/>
      <c r="N760" s="203" t="s">
        <v>1407</v>
      </c>
      <c r="O760" s="330"/>
      <c r="P760" s="330"/>
      <c r="Q760" s="330"/>
      <c r="R760" s="728" t="s">
        <v>3351</v>
      </c>
    </row>
    <row r="761" spans="1:20" ht="25">
      <c r="C761" s="152" t="s">
        <v>2821</v>
      </c>
      <c r="D761" s="474" t="s">
        <v>676</v>
      </c>
      <c r="E761" s="684" t="str">
        <f>+VLOOKUP(F761,Resumen_Base!$C$8:$G$156,5,0)</f>
        <v>Licenses / Permits (Fishing and Shooting)</v>
      </c>
      <c r="F761" s="152" t="s">
        <v>62</v>
      </c>
      <c r="G761" s="152" t="s">
        <v>63</v>
      </c>
      <c r="H761" s="152" t="str">
        <f t="shared" si="11"/>
        <v>CAR5221</v>
      </c>
      <c r="I761" s="513">
        <v>2680607.4</v>
      </c>
      <c r="J761" s="513">
        <v>1901.14</v>
      </c>
      <c r="K761" s="513">
        <v>1410</v>
      </c>
      <c r="L761" s="518" t="s">
        <v>3498</v>
      </c>
      <c r="M761" s="152" t="s">
        <v>780</v>
      </c>
      <c r="N761" s="152" t="s">
        <v>1407</v>
      </c>
      <c r="O761" s="152" t="s">
        <v>3522</v>
      </c>
      <c r="P761" s="152" t="s">
        <v>3489</v>
      </c>
      <c r="Q761" s="152" t="s">
        <v>3523</v>
      </c>
      <c r="R761" s="152" t="s">
        <v>3654</v>
      </c>
      <c r="S761" s="152" t="s">
        <v>3525</v>
      </c>
      <c r="T761" s="152" t="s">
        <v>786</v>
      </c>
    </row>
    <row r="762" spans="1:20" ht="25">
      <c r="C762" s="152" t="s">
        <v>2821</v>
      </c>
      <c r="D762" s="474" t="s">
        <v>676</v>
      </c>
      <c r="E762" s="684" t="str">
        <f>+VLOOKUP(F762,Resumen_Base!$C$8:$G$156,5,0)</f>
        <v>Licenses / Permits (Fishing and Shooting)</v>
      </c>
      <c r="F762" s="152" t="s">
        <v>62</v>
      </c>
      <c r="G762" s="152" t="s">
        <v>63</v>
      </c>
      <c r="H762" s="152" t="str">
        <f t="shared" si="11"/>
        <v>CAR5221</v>
      </c>
      <c r="I762" s="513">
        <v>561772.80000000005</v>
      </c>
      <c r="J762" s="513">
        <v>390.12</v>
      </c>
      <c r="K762" s="513">
        <v>1440</v>
      </c>
      <c r="L762" s="518" t="s">
        <v>3517</v>
      </c>
      <c r="M762" s="152" t="s">
        <v>780</v>
      </c>
      <c r="N762" s="152" t="s">
        <v>1407</v>
      </c>
      <c r="O762" s="152" t="s">
        <v>3655</v>
      </c>
      <c r="P762" s="152" t="s">
        <v>892</v>
      </c>
      <c r="Q762" s="152" t="s">
        <v>3656</v>
      </c>
      <c r="R762" s="152" t="s">
        <v>3657</v>
      </c>
      <c r="S762" s="152" t="s">
        <v>3658</v>
      </c>
      <c r="T762" s="152" t="s">
        <v>786</v>
      </c>
    </row>
    <row r="763" spans="1:20" ht="25">
      <c r="C763" s="152" t="s">
        <v>2821</v>
      </c>
      <c r="D763" s="474" t="s">
        <v>676</v>
      </c>
      <c r="E763" s="684" t="str">
        <f>+VLOOKUP(F763,Resumen_Base!$C$8:$G$156,5,0)</f>
        <v>Licenses / Permits (Fishing and Shooting)</v>
      </c>
      <c r="F763" s="152" t="s">
        <v>62</v>
      </c>
      <c r="G763" s="152" t="s">
        <v>63</v>
      </c>
      <c r="H763" s="152" t="str">
        <f t="shared" si="11"/>
        <v>CAR5221</v>
      </c>
      <c r="I763" s="513">
        <v>1976898</v>
      </c>
      <c r="J763" s="513">
        <v>1412.07</v>
      </c>
      <c r="K763" s="513">
        <v>1400</v>
      </c>
      <c r="L763" s="518" t="s">
        <v>3659</v>
      </c>
      <c r="M763" s="152" t="s">
        <v>780</v>
      </c>
      <c r="N763" s="152" t="s">
        <v>1407</v>
      </c>
      <c r="O763" s="152" t="s">
        <v>3660</v>
      </c>
      <c r="P763" s="152" t="s">
        <v>3489</v>
      </c>
      <c r="Q763" s="152" t="s">
        <v>3661</v>
      </c>
      <c r="R763" s="152" t="s">
        <v>3662</v>
      </c>
      <c r="S763" s="152" t="s">
        <v>3663</v>
      </c>
      <c r="T763" s="152" t="s">
        <v>786</v>
      </c>
    </row>
    <row r="764" spans="1:20" ht="25">
      <c r="C764" s="152" t="s">
        <v>2821</v>
      </c>
      <c r="D764" s="474" t="s">
        <v>676</v>
      </c>
      <c r="E764" s="684" t="str">
        <f>+VLOOKUP(F764,Resumen_Base!$C$8:$G$156,5,0)</f>
        <v>Licenses / Permits (Fishing and Shooting)</v>
      </c>
      <c r="F764" s="152" t="s">
        <v>62</v>
      </c>
      <c r="G764" s="152" t="s">
        <v>63</v>
      </c>
      <c r="H764" s="152" t="str">
        <f t="shared" si="11"/>
        <v>CAR5221</v>
      </c>
      <c r="I764" s="513">
        <v>855000</v>
      </c>
      <c r="J764" s="513">
        <v>600</v>
      </c>
      <c r="K764" s="513">
        <v>1425</v>
      </c>
      <c r="L764" s="518" t="s">
        <v>3637</v>
      </c>
      <c r="M764" s="152" t="s">
        <v>780</v>
      </c>
      <c r="N764" s="152" t="s">
        <v>1407</v>
      </c>
      <c r="O764" s="152" t="s">
        <v>3699</v>
      </c>
      <c r="P764" s="152" t="s">
        <v>2865</v>
      </c>
      <c r="Q764" s="152" t="s">
        <v>3700</v>
      </c>
      <c r="R764" s="152" t="s">
        <v>3909</v>
      </c>
      <c r="S764" s="152" t="s">
        <v>3701</v>
      </c>
      <c r="T764" s="152" t="s">
        <v>786</v>
      </c>
    </row>
    <row r="765" spans="1:20" ht="25">
      <c r="C765" s="152" t="s">
        <v>2821</v>
      </c>
      <c r="D765" s="474" t="s">
        <v>676</v>
      </c>
      <c r="E765" s="684" t="str">
        <f>+VLOOKUP(F765,Resumen_Base!$C$8:$G$156,5,0)</f>
        <v>Licenses / Permits (Fishing and Shooting)</v>
      </c>
      <c r="F765" s="152" t="s">
        <v>62</v>
      </c>
      <c r="G765" s="152" t="s">
        <v>63</v>
      </c>
      <c r="H765" s="152" t="str">
        <f t="shared" si="11"/>
        <v>CAR5221</v>
      </c>
      <c r="I765" s="513">
        <v>1736000</v>
      </c>
      <c r="J765" s="513">
        <v>1240</v>
      </c>
      <c r="K765" s="513">
        <v>1400</v>
      </c>
      <c r="L765" s="518" t="s">
        <v>3659</v>
      </c>
      <c r="M765" s="152" t="s">
        <v>780</v>
      </c>
      <c r="N765" s="152" t="s">
        <v>1407</v>
      </c>
      <c r="O765" s="152" t="s">
        <v>3702</v>
      </c>
      <c r="P765" s="152" t="s">
        <v>3489</v>
      </c>
      <c r="Q765" s="152" t="s">
        <v>3703</v>
      </c>
      <c r="R765" s="152" t="s">
        <v>3910</v>
      </c>
      <c r="S765" s="152" t="s">
        <v>3704</v>
      </c>
      <c r="T765" s="152" t="s">
        <v>786</v>
      </c>
    </row>
    <row r="766" spans="1:20" ht="25">
      <c r="C766" s="152" t="s">
        <v>2821</v>
      </c>
      <c r="D766" s="474" t="s">
        <v>676</v>
      </c>
      <c r="E766" s="684" t="str">
        <f>+VLOOKUP(F766,Resumen_Base!$C$8:$G$156,5,0)</f>
        <v>Licenses / Permits (Fishing and Shooting)</v>
      </c>
      <c r="F766" s="152" t="s">
        <v>62</v>
      </c>
      <c r="G766" s="152" t="s">
        <v>63</v>
      </c>
      <c r="H766" s="152" t="str">
        <f t="shared" si="11"/>
        <v>CAR5221</v>
      </c>
      <c r="I766" s="513">
        <v>155100</v>
      </c>
      <c r="J766" s="513">
        <v>110</v>
      </c>
      <c r="K766" s="513">
        <v>1410</v>
      </c>
      <c r="L766" s="518" t="s">
        <v>3498</v>
      </c>
      <c r="M766" s="152" t="s">
        <v>780</v>
      </c>
      <c r="N766" s="152" t="s">
        <v>1407</v>
      </c>
      <c r="O766" s="152" t="s">
        <v>3499</v>
      </c>
      <c r="P766" s="152" t="s">
        <v>3489</v>
      </c>
      <c r="Q766" s="152" t="s">
        <v>3500</v>
      </c>
      <c r="R766" s="152" t="s">
        <v>3949</v>
      </c>
      <c r="S766" s="152" t="s">
        <v>3502</v>
      </c>
      <c r="T766" s="152" t="s">
        <v>786</v>
      </c>
    </row>
    <row r="767" spans="1:20" ht="25">
      <c r="C767" s="152" t="s">
        <v>2821</v>
      </c>
      <c r="D767" s="474" t="s">
        <v>676</v>
      </c>
      <c r="E767" s="684" t="str">
        <f>+VLOOKUP(F767,Resumen_Base!$C$8:$G$156,5,0)</f>
        <v>Licenses / Permits (Fishing and Shooting)</v>
      </c>
      <c r="F767" s="152" t="s">
        <v>62</v>
      </c>
      <c r="G767" s="152" t="s">
        <v>63</v>
      </c>
      <c r="H767" s="152" t="str">
        <f t="shared" si="11"/>
        <v>CAR5221</v>
      </c>
      <c r="I767" s="513">
        <v>966289.35</v>
      </c>
      <c r="J767" s="513">
        <v>682.89</v>
      </c>
      <c r="K767" s="513">
        <v>1415</v>
      </c>
      <c r="L767" s="518" t="s">
        <v>3511</v>
      </c>
      <c r="M767" s="152" t="s">
        <v>780</v>
      </c>
      <c r="N767" s="152" t="s">
        <v>1407</v>
      </c>
      <c r="O767" s="152" t="s">
        <v>3512</v>
      </c>
      <c r="P767" s="152" t="s">
        <v>3489</v>
      </c>
      <c r="Q767" s="152" t="s">
        <v>3513</v>
      </c>
      <c r="R767" s="152" t="s">
        <v>3973</v>
      </c>
      <c r="S767" s="152" t="s">
        <v>3515</v>
      </c>
      <c r="T767" s="152" t="s">
        <v>786</v>
      </c>
    </row>
    <row r="768" spans="1:20" ht="25">
      <c r="C768" s="152" t="s">
        <v>2821</v>
      </c>
      <c r="D768" s="474" t="s">
        <v>676</v>
      </c>
      <c r="E768" s="684" t="str">
        <f>+VLOOKUP(F768,Resumen_Base!$C$8:$G$156,5,0)</f>
        <v>Licenses / Permits (Fishing and Shooting)</v>
      </c>
      <c r="F768" s="152" t="s">
        <v>62</v>
      </c>
      <c r="G768" s="152" t="s">
        <v>63</v>
      </c>
      <c r="H768" s="152" t="str">
        <f t="shared" si="11"/>
        <v>CAR5221</v>
      </c>
      <c r="I768" s="513">
        <v>1225172.25</v>
      </c>
      <c r="J768" s="513">
        <v>859.77</v>
      </c>
      <c r="K768" s="513">
        <v>1425</v>
      </c>
      <c r="L768" s="518" t="s">
        <v>3504</v>
      </c>
      <c r="M768" s="152" t="s">
        <v>780</v>
      </c>
      <c r="N768" s="152" t="s">
        <v>1407</v>
      </c>
      <c r="O768" s="152" t="s">
        <v>3505</v>
      </c>
      <c r="P768" s="152" t="s">
        <v>3489</v>
      </c>
      <c r="Q768" s="152" t="s">
        <v>3506</v>
      </c>
      <c r="R768" s="152" t="s">
        <v>3974</v>
      </c>
      <c r="S768" s="152" t="s">
        <v>3508</v>
      </c>
      <c r="T768" s="152" t="s">
        <v>786</v>
      </c>
    </row>
    <row r="769" spans="1:20" ht="25">
      <c r="C769" s="152" t="s">
        <v>2821</v>
      </c>
      <c r="D769" s="474" t="s">
        <v>676</v>
      </c>
      <c r="E769" s="684" t="str">
        <f>+VLOOKUP(F769,Resumen_Base!$C$8:$G$156,5,0)</f>
        <v>Licenses / Permits (Fishing and Shooting)</v>
      </c>
      <c r="F769" s="152" t="s">
        <v>62</v>
      </c>
      <c r="G769" s="152" t="s">
        <v>63</v>
      </c>
      <c r="H769" s="152" t="str">
        <f t="shared" si="11"/>
        <v>CAR5221</v>
      </c>
      <c r="I769" s="513">
        <v>994543.5</v>
      </c>
      <c r="J769" s="513">
        <v>705.35</v>
      </c>
      <c r="K769" s="513">
        <v>1410</v>
      </c>
      <c r="L769" s="518" t="s">
        <v>3498</v>
      </c>
      <c r="M769" s="152" t="s">
        <v>780</v>
      </c>
      <c r="N769" s="152" t="s">
        <v>1407</v>
      </c>
      <c r="O769" s="152" t="s">
        <v>3499</v>
      </c>
      <c r="P769" s="152" t="s">
        <v>3489</v>
      </c>
      <c r="Q769" s="152" t="s">
        <v>3500</v>
      </c>
      <c r="R769" s="152" t="s">
        <v>3975</v>
      </c>
      <c r="S769" s="152" t="s">
        <v>3502</v>
      </c>
      <c r="T769" s="152" t="s">
        <v>786</v>
      </c>
    </row>
    <row r="770" spans="1:20" ht="25">
      <c r="C770" s="152" t="s">
        <v>2821</v>
      </c>
      <c r="D770" s="474" t="s">
        <v>676</v>
      </c>
      <c r="E770" s="684" t="str">
        <f>+VLOOKUP(F770,Resumen_Base!$C$8:$G$156,5,0)</f>
        <v>Licenses / Permits (Fishing and Shooting)</v>
      </c>
      <c r="F770" s="152" t="s">
        <v>62</v>
      </c>
      <c r="G770" s="152" t="s">
        <v>63</v>
      </c>
      <c r="H770" s="152" t="str">
        <f t="shared" si="11"/>
        <v>CAR5221</v>
      </c>
      <c r="I770" s="513">
        <v>1083670</v>
      </c>
      <c r="J770" s="513">
        <v>774.05</v>
      </c>
      <c r="K770" s="513">
        <v>1400</v>
      </c>
      <c r="L770" s="518" t="s">
        <v>3659</v>
      </c>
      <c r="M770" s="152" t="s">
        <v>780</v>
      </c>
      <c r="N770" s="152" t="s">
        <v>1407</v>
      </c>
      <c r="O770" s="152" t="s">
        <v>3795</v>
      </c>
      <c r="P770" s="152" t="s">
        <v>3489</v>
      </c>
      <c r="Q770" s="152" t="s">
        <v>3796</v>
      </c>
      <c r="R770" s="152" t="s">
        <v>3975</v>
      </c>
      <c r="S770" s="152" t="s">
        <v>3798</v>
      </c>
      <c r="T770" s="152" t="s">
        <v>786</v>
      </c>
    </row>
    <row r="771" spans="1:20" ht="25">
      <c r="C771" s="152" t="s">
        <v>2821</v>
      </c>
      <c r="D771" s="474" t="s">
        <v>676</v>
      </c>
      <c r="E771" s="684" t="str">
        <f>+VLOOKUP(F771,Resumen_Base!$C$8:$G$156,5,0)</f>
        <v>Licenses / Permits (Fishing and Shooting)</v>
      </c>
      <c r="F771" s="152" t="s">
        <v>62</v>
      </c>
      <c r="G771" s="152" t="s">
        <v>63</v>
      </c>
      <c r="H771" s="152" t="str">
        <f t="shared" si="11"/>
        <v>CAR5221</v>
      </c>
      <c r="I771" s="513">
        <v>803519.5</v>
      </c>
      <c r="J771" s="513">
        <v>571.9</v>
      </c>
      <c r="K771" s="513">
        <v>1405</v>
      </c>
      <c r="L771" s="518" t="s">
        <v>3493</v>
      </c>
      <c r="M771" s="152" t="s">
        <v>780</v>
      </c>
      <c r="N771" s="152" t="s">
        <v>1407</v>
      </c>
      <c r="O771" s="152" t="s">
        <v>3677</v>
      </c>
      <c r="P771" s="152" t="s">
        <v>3489</v>
      </c>
      <c r="Q771" s="152" t="s">
        <v>3678</v>
      </c>
      <c r="R771" s="152" t="s">
        <v>3978</v>
      </c>
      <c r="S771" s="152" t="s">
        <v>3679</v>
      </c>
      <c r="T771" s="152" t="s">
        <v>786</v>
      </c>
    </row>
    <row r="772" spans="1:20" ht="25">
      <c r="C772" s="152" t="s">
        <v>2821</v>
      </c>
      <c r="D772" s="474" t="s">
        <v>676</v>
      </c>
      <c r="E772" s="684" t="str">
        <f>+VLOOKUP(F772,Resumen_Base!$C$8:$G$156,5,0)</f>
        <v>Licenses / Permits (Fishing and Shooting)</v>
      </c>
      <c r="F772" s="152" t="s">
        <v>62</v>
      </c>
      <c r="G772" s="152" t="s">
        <v>63</v>
      </c>
      <c r="H772" s="152" t="str">
        <f t="shared" si="11"/>
        <v>CAR5221</v>
      </c>
      <c r="I772" s="513">
        <v>1087951.05</v>
      </c>
      <c r="J772" s="513">
        <v>768.87</v>
      </c>
      <c r="K772" s="513">
        <v>1415</v>
      </c>
      <c r="L772" s="518" t="s">
        <v>3632</v>
      </c>
      <c r="M772" s="152" t="s">
        <v>780</v>
      </c>
      <c r="N772" s="152" t="s">
        <v>1407</v>
      </c>
      <c r="O772" s="152" t="s">
        <v>3633</v>
      </c>
      <c r="P772" s="152" t="s">
        <v>3489</v>
      </c>
      <c r="Q772" s="152" t="s">
        <v>3634</v>
      </c>
      <c r="R772" s="152" t="s">
        <v>3979</v>
      </c>
      <c r="S772" s="152" t="s">
        <v>3636</v>
      </c>
      <c r="T772" s="152" t="s">
        <v>786</v>
      </c>
    </row>
    <row r="773" spans="1:20" ht="25">
      <c r="C773" s="152" t="s">
        <v>2821</v>
      </c>
      <c r="D773" s="474" t="s">
        <v>676</v>
      </c>
      <c r="E773" s="684" t="str">
        <f>+VLOOKUP(F773,Resumen_Base!$C$8:$G$156,5,0)</f>
        <v>Licenses / Permits (Fishing and Shooting)</v>
      </c>
      <c r="F773" s="152" t="s">
        <v>62</v>
      </c>
      <c r="G773" s="152" t="s">
        <v>63</v>
      </c>
      <c r="H773" s="152" t="str">
        <f t="shared" si="11"/>
        <v>CAR5221</v>
      </c>
      <c r="I773" s="513">
        <v>1062115.2</v>
      </c>
      <c r="J773" s="513">
        <v>737.58</v>
      </c>
      <c r="K773" s="513">
        <v>1440</v>
      </c>
      <c r="L773" s="518" t="s">
        <v>3517</v>
      </c>
      <c r="M773" s="152" t="s">
        <v>780</v>
      </c>
      <c r="N773" s="152" t="s">
        <v>1407</v>
      </c>
      <c r="O773" s="152" t="s">
        <v>3518</v>
      </c>
      <c r="P773" s="152" t="s">
        <v>892</v>
      </c>
      <c r="Q773" s="152" t="s">
        <v>3519</v>
      </c>
      <c r="R773" s="152" t="s">
        <v>4001</v>
      </c>
      <c r="S773" s="152" t="s">
        <v>3521</v>
      </c>
      <c r="T773" s="152" t="s">
        <v>786</v>
      </c>
    </row>
    <row r="774" spans="1:20" ht="25">
      <c r="C774" s="152" t="s">
        <v>2821</v>
      </c>
      <c r="D774" s="474" t="s">
        <v>676</v>
      </c>
      <c r="E774" s="684" t="str">
        <f>+VLOOKUP(F774,Resumen_Base!$C$8:$G$156,5,0)</f>
        <v>Licenses / Permits (Fishing and Shooting)</v>
      </c>
      <c r="F774" s="152" t="s">
        <v>62</v>
      </c>
      <c r="G774" s="152" t="s">
        <v>63</v>
      </c>
      <c r="H774" s="152" t="str">
        <f t="shared" si="11"/>
        <v>CAR5221</v>
      </c>
      <c r="I774" s="513">
        <v>841420.80000000005</v>
      </c>
      <c r="J774" s="513">
        <v>584.32000000000005</v>
      </c>
      <c r="K774" s="513">
        <v>1440</v>
      </c>
      <c r="L774" s="518" t="s">
        <v>3517</v>
      </c>
      <c r="M774" s="152" t="s">
        <v>780</v>
      </c>
      <c r="N774" s="152" t="s">
        <v>1407</v>
      </c>
      <c r="O774" s="152" t="s">
        <v>3518</v>
      </c>
      <c r="P774" s="152" t="s">
        <v>892</v>
      </c>
      <c r="Q774" s="152" t="s">
        <v>3519</v>
      </c>
      <c r="R774" s="152" t="s">
        <v>4002</v>
      </c>
      <c r="S774" s="152" t="s">
        <v>3521</v>
      </c>
      <c r="T774" s="152" t="s">
        <v>786</v>
      </c>
    </row>
    <row r="775" spans="1:20" ht="25">
      <c r="C775" s="152" t="s">
        <v>2821</v>
      </c>
      <c r="D775" s="474" t="s">
        <v>676</v>
      </c>
      <c r="E775" s="684" t="str">
        <f>+VLOOKUP(F775,Resumen_Base!$C$8:$G$156,5,0)</f>
        <v>Licenses / Permits (Fishing and Shooting)</v>
      </c>
      <c r="F775" s="152" t="s">
        <v>62</v>
      </c>
      <c r="G775" s="152" t="s">
        <v>63</v>
      </c>
      <c r="H775" s="152" t="str">
        <f t="shared" si="11"/>
        <v>CAR5221</v>
      </c>
      <c r="I775" s="513">
        <v>853575</v>
      </c>
      <c r="J775" s="513">
        <v>599</v>
      </c>
      <c r="K775" s="513">
        <v>1425</v>
      </c>
      <c r="L775" s="518" t="s">
        <v>3637</v>
      </c>
      <c r="M775" s="152" t="s">
        <v>780</v>
      </c>
      <c r="N775" s="152" t="s">
        <v>1407</v>
      </c>
      <c r="O775" s="152" t="s">
        <v>3638</v>
      </c>
      <c r="P775" s="152" t="s">
        <v>2865</v>
      </c>
      <c r="Q775" s="152" t="s">
        <v>3639</v>
      </c>
      <c r="R775" s="152" t="s">
        <v>4003</v>
      </c>
      <c r="S775" s="152" t="s">
        <v>3641</v>
      </c>
      <c r="T775" s="152" t="s">
        <v>786</v>
      </c>
    </row>
    <row r="776" spans="1:20" ht="25">
      <c r="C776" s="152" t="s">
        <v>2821</v>
      </c>
      <c r="D776" s="474" t="s">
        <v>676</v>
      </c>
      <c r="E776" s="684" t="str">
        <f>+VLOOKUP(F776,Resumen_Base!$C$8:$G$156,5,0)</f>
        <v>Licenses / Permits (Fishing and Shooting)</v>
      </c>
      <c r="F776" s="152" t="s">
        <v>62</v>
      </c>
      <c r="G776" s="152" t="s">
        <v>63</v>
      </c>
      <c r="H776" s="152" t="str">
        <f t="shared" si="11"/>
        <v>CAR5221</v>
      </c>
      <c r="I776" s="513">
        <v>1027120.2</v>
      </c>
      <c r="J776" s="513">
        <v>725.88</v>
      </c>
      <c r="K776" s="513">
        <v>1415</v>
      </c>
      <c r="L776" s="518" t="s">
        <v>3498</v>
      </c>
      <c r="M776" s="152" t="s">
        <v>780</v>
      </c>
      <c r="N776" s="152" t="s">
        <v>1407</v>
      </c>
      <c r="O776" s="152" t="s">
        <v>3499</v>
      </c>
      <c r="P776" s="152" t="s">
        <v>3489</v>
      </c>
      <c r="Q776" s="152" t="s">
        <v>3500</v>
      </c>
      <c r="R776" s="152" t="s">
        <v>4004</v>
      </c>
      <c r="S776" s="152" t="s">
        <v>3502</v>
      </c>
      <c r="T776" s="152" t="s">
        <v>786</v>
      </c>
    </row>
    <row r="777" spans="1:20" ht="25">
      <c r="C777" s="152" t="s">
        <v>2821</v>
      </c>
      <c r="D777" s="474" t="s">
        <v>676</v>
      </c>
      <c r="E777" s="684" t="str">
        <f>+VLOOKUP(F777,Resumen_Base!$C$8:$G$156,5,0)</f>
        <v>Licenses / Permits (Fishing and Shooting)</v>
      </c>
      <c r="F777" s="152" t="s">
        <v>62</v>
      </c>
      <c r="G777" s="152" t="s">
        <v>63</v>
      </c>
      <c r="H777" s="152" t="str">
        <f t="shared" si="11"/>
        <v>CAR5221</v>
      </c>
      <c r="I777" s="513">
        <v>1095981.75</v>
      </c>
      <c r="J777" s="513">
        <v>769.11</v>
      </c>
      <c r="K777" s="513">
        <v>1425</v>
      </c>
      <c r="L777" s="518" t="s">
        <v>3504</v>
      </c>
      <c r="M777" s="152" t="s">
        <v>780</v>
      </c>
      <c r="N777" s="152" t="s">
        <v>1407</v>
      </c>
      <c r="O777" s="152" t="s">
        <v>3505</v>
      </c>
      <c r="P777" s="152" t="s">
        <v>3489</v>
      </c>
      <c r="Q777" s="152" t="s">
        <v>3506</v>
      </c>
      <c r="R777" s="152" t="s">
        <v>4005</v>
      </c>
      <c r="S777" s="152" t="s">
        <v>3508</v>
      </c>
      <c r="T777" s="152" t="s">
        <v>786</v>
      </c>
    </row>
    <row r="778" spans="1:20" ht="25">
      <c r="C778" s="152" t="s">
        <v>2821</v>
      </c>
      <c r="D778" s="474" t="s">
        <v>676</v>
      </c>
      <c r="E778" s="684" t="str">
        <f>+VLOOKUP(F778,Resumen_Base!$C$8:$G$156,5,0)</f>
        <v>Licenses / Permits (Fishing and Shooting)</v>
      </c>
      <c r="F778" s="152" t="s">
        <v>62</v>
      </c>
      <c r="G778" s="152" t="s">
        <v>63</v>
      </c>
      <c r="H778" s="152" t="str">
        <f t="shared" si="11"/>
        <v>CAR5221</v>
      </c>
      <c r="I778" s="513">
        <v>2830000</v>
      </c>
      <c r="J778" s="513">
        <v>2000</v>
      </c>
      <c r="K778" s="513">
        <v>1415</v>
      </c>
      <c r="L778" s="518" t="s">
        <v>3632</v>
      </c>
      <c r="M778" s="152" t="s">
        <v>780</v>
      </c>
      <c r="N778" s="152" t="s">
        <v>1407</v>
      </c>
      <c r="O778" s="152" t="s">
        <v>3865</v>
      </c>
      <c r="P778" s="152" t="s">
        <v>3489</v>
      </c>
      <c r="Q778" s="152" t="s">
        <v>3866</v>
      </c>
      <c r="R778" s="152" t="s">
        <v>4006</v>
      </c>
      <c r="S778" s="152" t="s">
        <v>3867</v>
      </c>
      <c r="T778" s="152" t="s">
        <v>786</v>
      </c>
    </row>
    <row r="779" spans="1:20" ht="25">
      <c r="C779" s="152" t="s">
        <v>2821</v>
      </c>
      <c r="D779" s="474" t="s">
        <v>676</v>
      </c>
      <c r="E779" s="684" t="str">
        <f>+VLOOKUP(F779,Resumen_Base!$C$8:$G$156,5,0)</f>
        <v>Licenses / Permits (Fishing and Shooting)</v>
      </c>
      <c r="F779" s="152" t="s">
        <v>62</v>
      </c>
      <c r="G779" s="152" t="s">
        <v>63</v>
      </c>
      <c r="H779" s="152" t="str">
        <f t="shared" si="11"/>
        <v>CAR5221</v>
      </c>
      <c r="I779" s="513">
        <v>6555000</v>
      </c>
      <c r="J779" s="513">
        <v>4600</v>
      </c>
      <c r="K779" s="513">
        <v>1425</v>
      </c>
      <c r="L779" s="518" t="s">
        <v>3637</v>
      </c>
      <c r="M779" s="152" t="s">
        <v>780</v>
      </c>
      <c r="N779" s="152" t="s">
        <v>1407</v>
      </c>
      <c r="O779" s="152" t="s">
        <v>3699</v>
      </c>
      <c r="P779" s="152" t="s">
        <v>2865</v>
      </c>
      <c r="Q779" s="152" t="s">
        <v>3700</v>
      </c>
      <c r="R779" s="152" t="s">
        <v>4030</v>
      </c>
      <c r="S779" s="152" t="s">
        <v>3701</v>
      </c>
      <c r="T779" s="152" t="s">
        <v>786</v>
      </c>
    </row>
    <row r="780" spans="1:20" ht="25">
      <c r="C780" s="152" t="s">
        <v>2821</v>
      </c>
      <c r="D780" s="474" t="s">
        <v>676</v>
      </c>
      <c r="E780" s="684" t="str">
        <f>+VLOOKUP(F780,Resumen_Base!$C$8:$G$156,5,0)</f>
        <v>Licenses / Permits (Fishing and Shooting)</v>
      </c>
      <c r="F780" s="152" t="s">
        <v>62</v>
      </c>
      <c r="G780" s="152" t="s">
        <v>63</v>
      </c>
      <c r="H780" s="152" t="str">
        <f t="shared" si="11"/>
        <v>CAR5221</v>
      </c>
      <c r="I780" s="513">
        <v>804045.45</v>
      </c>
      <c r="J780" s="513">
        <v>568.23</v>
      </c>
      <c r="K780" s="513">
        <v>1415</v>
      </c>
      <c r="L780" s="518" t="s">
        <v>3498</v>
      </c>
      <c r="M780" s="152" t="s">
        <v>780</v>
      </c>
      <c r="N780" s="152" t="s">
        <v>1407</v>
      </c>
      <c r="O780" s="152" t="s">
        <v>3499</v>
      </c>
      <c r="P780" s="152" t="s">
        <v>3489</v>
      </c>
      <c r="Q780" s="152" t="s">
        <v>3500</v>
      </c>
      <c r="R780" s="152" t="s">
        <v>4043</v>
      </c>
      <c r="S780" s="152" t="s">
        <v>3502</v>
      </c>
      <c r="T780" s="152" t="s">
        <v>786</v>
      </c>
    </row>
    <row r="781" spans="1:20" ht="25">
      <c r="C781" s="152" t="s">
        <v>2821</v>
      </c>
      <c r="D781" s="474" t="s">
        <v>676</v>
      </c>
      <c r="E781" s="684" t="str">
        <f>+VLOOKUP(F781,Resumen_Base!$C$8:$G$156,5,0)</f>
        <v>Licenses / Permits (Fishing and Shooting)</v>
      </c>
      <c r="F781" s="152" t="s">
        <v>62</v>
      </c>
      <c r="G781" s="152" t="s">
        <v>63</v>
      </c>
      <c r="H781" s="152" t="str">
        <f t="shared" si="11"/>
        <v>CAR5221</v>
      </c>
      <c r="I781" s="513">
        <v>1131508</v>
      </c>
      <c r="J781" s="513">
        <v>808.22</v>
      </c>
      <c r="K781" s="513">
        <v>1400</v>
      </c>
      <c r="L781" s="518" t="s">
        <v>3632</v>
      </c>
      <c r="M781" s="152" t="s">
        <v>780</v>
      </c>
      <c r="N781" s="152" t="s">
        <v>1407</v>
      </c>
      <c r="O781" s="152" t="s">
        <v>3633</v>
      </c>
      <c r="P781" s="152" t="s">
        <v>3489</v>
      </c>
      <c r="Q781" s="152" t="s">
        <v>3634</v>
      </c>
      <c r="R781" s="152" t="s">
        <v>4043</v>
      </c>
      <c r="S781" s="152" t="s">
        <v>3636</v>
      </c>
      <c r="T781" s="152" t="s">
        <v>786</v>
      </c>
    </row>
    <row r="782" spans="1:20" ht="25">
      <c r="C782" s="152" t="s">
        <v>2821</v>
      </c>
      <c r="D782" s="474" t="s">
        <v>676</v>
      </c>
      <c r="E782" s="684" t="str">
        <f>+VLOOKUP(F782,Resumen_Base!$C$8:$G$156,5,0)</f>
        <v>Licenses / Permits (Fishing and Shooting)</v>
      </c>
      <c r="F782" s="152" t="s">
        <v>62</v>
      </c>
      <c r="G782" s="152" t="s">
        <v>63</v>
      </c>
      <c r="H782" s="152" t="str">
        <f t="shared" si="11"/>
        <v>CAR5221</v>
      </c>
      <c r="I782" s="513">
        <v>1224794.7</v>
      </c>
      <c r="J782" s="513">
        <v>871.74</v>
      </c>
      <c r="K782" s="513">
        <v>1405</v>
      </c>
      <c r="L782" s="518" t="s">
        <v>3493</v>
      </c>
      <c r="M782" s="152" t="s">
        <v>780</v>
      </c>
      <c r="N782" s="152" t="s">
        <v>1407</v>
      </c>
      <c r="O782" s="152" t="s">
        <v>3677</v>
      </c>
      <c r="P782" s="152" t="s">
        <v>3489</v>
      </c>
      <c r="Q782" s="152" t="s">
        <v>3678</v>
      </c>
      <c r="R782" s="152" t="s">
        <v>4043</v>
      </c>
      <c r="S782" s="152" t="s">
        <v>3679</v>
      </c>
      <c r="T782" s="152" t="s">
        <v>786</v>
      </c>
    </row>
    <row r="783" spans="1:20" ht="37.5">
      <c r="C783" s="152" t="s">
        <v>2821</v>
      </c>
      <c r="D783" s="474" t="s">
        <v>676</v>
      </c>
      <c r="E783" s="684" t="str">
        <f>+VLOOKUP(F783,Resumen_Base!$C$8:$G$156,5,0)</f>
        <v>Transfer to and from the airport (local taxi) - Vehicle Rental</v>
      </c>
      <c r="F783" s="152" t="s">
        <v>138</v>
      </c>
      <c r="G783" s="152" t="s">
        <v>202</v>
      </c>
      <c r="H783" s="152" t="str">
        <f t="shared" ref="H783:H846" si="14">+D783&amp;F783</f>
        <v>CAR5225</v>
      </c>
      <c r="I783" s="513">
        <v>5241150</v>
      </c>
      <c r="J783" s="513">
        <v>3678</v>
      </c>
      <c r="K783" s="513">
        <v>1425</v>
      </c>
      <c r="L783" s="518" t="s">
        <v>3637</v>
      </c>
      <c r="N783" s="152" t="s">
        <v>1407</v>
      </c>
      <c r="P783" s="152" t="s">
        <v>5051</v>
      </c>
      <c r="Q783" s="152" t="s">
        <v>5058</v>
      </c>
      <c r="R783" s="152" t="s">
        <v>5058</v>
      </c>
      <c r="S783" s="152" t="s">
        <v>5053</v>
      </c>
      <c r="T783" s="152" t="s">
        <v>786</v>
      </c>
    </row>
    <row r="784" spans="1:20" ht="25">
      <c r="A784" s="737" t="s">
        <v>3388</v>
      </c>
      <c r="B784" s="315"/>
      <c r="C784" s="330"/>
      <c r="D784" s="203" t="s">
        <v>676</v>
      </c>
      <c r="E784" s="714" t="str">
        <f>+VLOOKUP(F784,Resumen_Base!$C$8:$G$287,5,0)</f>
        <v>Services/House</v>
      </c>
      <c r="F784" s="724" t="s">
        <v>321</v>
      </c>
      <c r="G784" s="725" t="s">
        <v>455</v>
      </c>
      <c r="H784" s="330" t="str">
        <f t="shared" si="14"/>
        <v>CAR5226</v>
      </c>
      <c r="I784" s="314"/>
      <c r="J784" s="314">
        <v>-115</v>
      </c>
      <c r="K784" s="203"/>
      <c r="L784" s="456">
        <v>46063</v>
      </c>
      <c r="M784" s="330"/>
      <c r="N784" s="203" t="s">
        <v>1407</v>
      </c>
      <c r="O784" s="330"/>
      <c r="P784" s="330"/>
      <c r="Q784" s="330"/>
      <c r="R784" s="728" t="s">
        <v>3357</v>
      </c>
    </row>
    <row r="785" spans="1:20" ht="25">
      <c r="A785" s="737" t="s">
        <v>3388</v>
      </c>
      <c r="B785" s="315"/>
      <c r="C785" s="330"/>
      <c r="D785" s="203" t="s">
        <v>676</v>
      </c>
      <c r="E785" s="714" t="str">
        <f>+VLOOKUP(F785,Resumen_Base!$C$8:$G$287,5,0)</f>
        <v>Services/House</v>
      </c>
      <c r="F785" s="724" t="s">
        <v>321</v>
      </c>
      <c r="G785" s="725" t="s">
        <v>455</v>
      </c>
      <c r="H785" s="330" t="str">
        <f t="shared" si="14"/>
        <v>CAR5226</v>
      </c>
      <c r="I785" s="314"/>
      <c r="J785" s="314">
        <v>-145</v>
      </c>
      <c r="K785" s="203"/>
      <c r="L785" s="456">
        <v>46062</v>
      </c>
      <c r="M785" s="330"/>
      <c r="N785" s="203" t="s">
        <v>1407</v>
      </c>
      <c r="O785" s="330"/>
      <c r="P785" s="330"/>
      <c r="Q785" s="330"/>
      <c r="R785" s="728" t="s">
        <v>3358</v>
      </c>
    </row>
    <row r="786" spans="1:20" ht="25">
      <c r="A786" s="737" t="s">
        <v>3388</v>
      </c>
      <c r="B786" s="315"/>
      <c r="C786" s="330"/>
      <c r="D786" s="203" t="s">
        <v>676</v>
      </c>
      <c r="E786" s="714" t="str">
        <f>+VLOOKUP(F786,Resumen_Base!$C$8:$G$287,5,0)</f>
        <v>Services/House</v>
      </c>
      <c r="F786" s="724" t="s">
        <v>321</v>
      </c>
      <c r="G786" s="725" t="s">
        <v>455</v>
      </c>
      <c r="H786" s="330" t="str">
        <f t="shared" si="14"/>
        <v>CAR5226</v>
      </c>
      <c r="I786" s="314"/>
      <c r="J786" s="314">
        <v>-231</v>
      </c>
      <c r="K786" s="203"/>
      <c r="L786" s="456">
        <v>46062</v>
      </c>
      <c r="M786" s="330"/>
      <c r="N786" s="203" t="s">
        <v>1407</v>
      </c>
      <c r="O786" s="330"/>
      <c r="P786" s="330"/>
      <c r="Q786" s="330"/>
      <c r="R786" s="728" t="s">
        <v>3359</v>
      </c>
    </row>
    <row r="787" spans="1:20" ht="25">
      <c r="A787" s="737" t="s">
        <v>3388</v>
      </c>
      <c r="B787" s="315"/>
      <c r="C787" s="330"/>
      <c r="D787" s="203" t="s">
        <v>676</v>
      </c>
      <c r="E787" s="714" t="str">
        <f>+VLOOKUP(F787,Resumen_Base!$C$8:$G$287,5,0)</f>
        <v>Services/House</v>
      </c>
      <c r="F787" s="724" t="s">
        <v>321</v>
      </c>
      <c r="G787" s="725" t="s">
        <v>455</v>
      </c>
      <c r="H787" s="330" t="str">
        <f t="shared" si="14"/>
        <v>CAR5226</v>
      </c>
      <c r="I787" s="314"/>
      <c r="J787" s="314">
        <v>-202</v>
      </c>
      <c r="K787" s="203"/>
      <c r="L787" s="456">
        <v>46062</v>
      </c>
      <c r="M787" s="330"/>
      <c r="N787" s="203" t="s">
        <v>1407</v>
      </c>
      <c r="O787" s="330"/>
      <c r="P787" s="330"/>
      <c r="Q787" s="330"/>
      <c r="R787" s="728" t="s">
        <v>3360</v>
      </c>
    </row>
    <row r="788" spans="1:20" ht="25">
      <c r="A788" s="737" t="s">
        <v>3388</v>
      </c>
      <c r="B788" s="315"/>
      <c r="C788" s="330"/>
      <c r="D788" s="203" t="s">
        <v>676</v>
      </c>
      <c r="E788" s="714" t="str">
        <f>+VLOOKUP(F788,Resumen_Base!$C$8:$G$287,5,0)</f>
        <v>Services/House</v>
      </c>
      <c r="F788" s="724" t="s">
        <v>321</v>
      </c>
      <c r="G788" s="725" t="s">
        <v>455</v>
      </c>
      <c r="H788" s="330" t="str">
        <f t="shared" si="14"/>
        <v>CAR5226</v>
      </c>
      <c r="I788" s="314"/>
      <c r="J788" s="314">
        <v>-145</v>
      </c>
      <c r="K788" s="203"/>
      <c r="L788" s="456">
        <v>46062</v>
      </c>
      <c r="M788" s="330"/>
      <c r="N788" s="203" t="s">
        <v>1407</v>
      </c>
      <c r="O788" s="330"/>
      <c r="P788" s="330"/>
      <c r="Q788" s="330"/>
      <c r="R788" s="728" t="s">
        <v>3361</v>
      </c>
    </row>
    <row r="789" spans="1:20" ht="25">
      <c r="A789" s="737" t="s">
        <v>3388</v>
      </c>
      <c r="B789" s="315"/>
      <c r="C789" s="330"/>
      <c r="D789" s="203" t="s">
        <v>676</v>
      </c>
      <c r="E789" s="714" t="str">
        <f>+VLOOKUP(F789,Resumen_Base!$C$8:$G$287,5,0)</f>
        <v>Services/House</v>
      </c>
      <c r="F789" s="724" t="s">
        <v>321</v>
      </c>
      <c r="G789" s="725" t="s">
        <v>455</v>
      </c>
      <c r="H789" s="330" t="str">
        <f t="shared" si="14"/>
        <v>CAR5226</v>
      </c>
      <c r="I789" s="314"/>
      <c r="J789" s="314">
        <v>-145</v>
      </c>
      <c r="K789" s="203"/>
      <c r="L789" s="456">
        <v>46062</v>
      </c>
      <c r="M789" s="330"/>
      <c r="N789" s="203" t="s">
        <v>1407</v>
      </c>
      <c r="O789" s="330"/>
      <c r="P789" s="330"/>
      <c r="Q789" s="330"/>
      <c r="R789" s="728" t="s">
        <v>3362</v>
      </c>
    </row>
    <row r="790" spans="1:20" ht="25">
      <c r="A790" s="737" t="s">
        <v>3388</v>
      </c>
      <c r="B790" s="315"/>
      <c r="C790" s="330"/>
      <c r="D790" s="203" t="s">
        <v>676</v>
      </c>
      <c r="E790" s="714" t="str">
        <f>+VLOOKUP(F790,Resumen_Base!$C$8:$G$287,5,0)</f>
        <v>Services/House</v>
      </c>
      <c r="F790" s="724" t="s">
        <v>321</v>
      </c>
      <c r="G790" s="725" t="s">
        <v>455</v>
      </c>
      <c r="H790" s="330" t="str">
        <f t="shared" si="14"/>
        <v>CAR5226</v>
      </c>
      <c r="I790" s="314"/>
      <c r="J790" s="314">
        <v>-938.41558441558436</v>
      </c>
      <c r="K790" s="203"/>
      <c r="L790" s="456">
        <v>46061</v>
      </c>
      <c r="M790" s="330"/>
      <c r="N790" s="203" t="s">
        <v>1407</v>
      </c>
      <c r="O790" s="330"/>
      <c r="P790" s="330"/>
      <c r="Q790" s="330"/>
      <c r="R790" s="728" t="s">
        <v>3365</v>
      </c>
    </row>
    <row r="791" spans="1:20" ht="25">
      <c r="A791" s="737" t="s">
        <v>3388</v>
      </c>
      <c r="B791" s="315"/>
      <c r="C791" s="330"/>
      <c r="D791" s="203" t="s">
        <v>676</v>
      </c>
      <c r="E791" s="714" t="str">
        <f>+VLOOKUP(F791,Resumen_Base!$C$8:$G$287,5,0)</f>
        <v>Services/House</v>
      </c>
      <c r="F791" s="724" t="s">
        <v>321</v>
      </c>
      <c r="G791" s="725" t="s">
        <v>455</v>
      </c>
      <c r="H791" s="330" t="str">
        <f t="shared" si="14"/>
        <v>CAR5226</v>
      </c>
      <c r="I791" s="314"/>
      <c r="J791" s="314">
        <v>-920.90909090909088</v>
      </c>
      <c r="K791" s="203"/>
      <c r="L791" s="456">
        <v>46061</v>
      </c>
      <c r="M791" s="330"/>
      <c r="N791" s="203" t="s">
        <v>1407</v>
      </c>
      <c r="O791" s="330"/>
      <c r="P791" s="330"/>
      <c r="Q791" s="330"/>
      <c r="R791" s="728" t="s">
        <v>3366</v>
      </c>
    </row>
    <row r="792" spans="1:20" ht="25">
      <c r="A792" s="737" t="s">
        <v>3388</v>
      </c>
      <c r="B792" s="315"/>
      <c r="C792" s="330"/>
      <c r="D792" s="203" t="s">
        <v>676</v>
      </c>
      <c r="E792" s="714" t="str">
        <f>+VLOOKUP(F792,Resumen_Base!$C$8:$G$287,5,0)</f>
        <v>Services/House</v>
      </c>
      <c r="F792" s="724" t="s">
        <v>321</v>
      </c>
      <c r="G792" s="725" t="s">
        <v>455</v>
      </c>
      <c r="H792" s="330" t="str">
        <f t="shared" si="14"/>
        <v>CAR5226</v>
      </c>
      <c r="I792" s="314"/>
      <c r="J792" s="314">
        <v>-938.41558441558436</v>
      </c>
      <c r="K792" s="203"/>
      <c r="L792" s="456">
        <v>46061</v>
      </c>
      <c r="M792" s="330"/>
      <c r="N792" s="203" t="s">
        <v>1407</v>
      </c>
      <c r="O792" s="330"/>
      <c r="P792" s="330"/>
      <c r="Q792" s="330"/>
      <c r="R792" s="728" t="s">
        <v>3367</v>
      </c>
    </row>
    <row r="793" spans="1:20" ht="25">
      <c r="A793" s="737" t="s">
        <v>3388</v>
      </c>
      <c r="B793" s="315"/>
      <c r="C793" s="330"/>
      <c r="D793" s="203" t="s">
        <v>676</v>
      </c>
      <c r="E793" s="714" t="str">
        <f>+VLOOKUP(F793,Resumen_Base!$C$8:$G$287,5,0)</f>
        <v>Services/House</v>
      </c>
      <c r="F793" s="724" t="s">
        <v>321</v>
      </c>
      <c r="G793" s="725" t="s">
        <v>455</v>
      </c>
      <c r="H793" s="330" t="str">
        <f t="shared" si="14"/>
        <v>CAR5226</v>
      </c>
      <c r="I793" s="314"/>
      <c r="J793" s="314">
        <v>-920.90909090909088</v>
      </c>
      <c r="K793" s="203"/>
      <c r="L793" s="456">
        <v>46061</v>
      </c>
      <c r="M793" s="330"/>
      <c r="N793" s="203" t="s">
        <v>1407</v>
      </c>
      <c r="O793" s="330"/>
      <c r="P793" s="330"/>
      <c r="Q793" s="330"/>
      <c r="R793" s="728" t="s">
        <v>3368</v>
      </c>
    </row>
    <row r="794" spans="1:20" ht="25">
      <c r="A794" s="737" t="s">
        <v>3388</v>
      </c>
      <c r="B794" s="315"/>
      <c r="C794" s="330"/>
      <c r="D794" s="203" t="s">
        <v>676</v>
      </c>
      <c r="E794" s="714" t="str">
        <f>+VLOOKUP(F794,Resumen_Base!$C$8:$G$287,5,0)</f>
        <v>Services/House</v>
      </c>
      <c r="F794" s="724" t="s">
        <v>321</v>
      </c>
      <c r="G794" s="725" t="s">
        <v>455</v>
      </c>
      <c r="H794" s="330" t="str">
        <f t="shared" si="14"/>
        <v>CAR5226</v>
      </c>
      <c r="I794" s="314"/>
      <c r="J794" s="314">
        <v>-900</v>
      </c>
      <c r="K794" s="203"/>
      <c r="L794" s="456">
        <v>46057</v>
      </c>
      <c r="M794" s="330"/>
      <c r="N794" s="203" t="s">
        <v>1407</v>
      </c>
      <c r="O794" s="330"/>
      <c r="P794" s="330"/>
      <c r="Q794" s="330"/>
      <c r="R794" s="728" t="s">
        <v>3386</v>
      </c>
    </row>
    <row r="795" spans="1:20" ht="25">
      <c r="A795" s="737" t="s">
        <v>3388</v>
      </c>
      <c r="B795" s="315"/>
      <c r="C795" s="330"/>
      <c r="D795" s="203" t="s">
        <v>676</v>
      </c>
      <c r="E795" s="714" t="str">
        <f>+VLOOKUP(F795,Resumen_Base!$C$8:$G$287,5,0)</f>
        <v>Services/House</v>
      </c>
      <c r="F795" s="724" t="s">
        <v>321</v>
      </c>
      <c r="G795" s="725" t="s">
        <v>455</v>
      </c>
      <c r="H795" s="330" t="str">
        <f t="shared" si="14"/>
        <v>CAR5226</v>
      </c>
      <c r="I795" s="314"/>
      <c r="J795" s="314">
        <v>-207.79220779220779</v>
      </c>
      <c r="K795" s="203"/>
      <c r="L795" s="456">
        <v>46057</v>
      </c>
      <c r="M795" s="330"/>
      <c r="N795" s="203" t="s">
        <v>1407</v>
      </c>
      <c r="O795" s="330"/>
      <c r="P795" s="330"/>
      <c r="Q795" s="330"/>
      <c r="R795" s="728" t="s">
        <v>3387</v>
      </c>
    </row>
    <row r="796" spans="1:20">
      <c r="C796" s="152" t="s">
        <v>2821</v>
      </c>
      <c r="D796" s="474" t="s">
        <v>676</v>
      </c>
      <c r="E796" s="684" t="str">
        <f>+VLOOKUP(F796,Resumen_Base!$C$8:$G$156,5,0)</f>
        <v>Services/House</v>
      </c>
      <c r="F796" s="152" t="s">
        <v>321</v>
      </c>
      <c r="G796" s="152" t="s">
        <v>322</v>
      </c>
      <c r="H796" s="152" t="str">
        <f t="shared" si="14"/>
        <v>CAR5226</v>
      </c>
      <c r="I796" s="513">
        <v>28200</v>
      </c>
      <c r="J796" s="513">
        <v>20</v>
      </c>
      <c r="K796" s="513">
        <v>1410</v>
      </c>
      <c r="L796" s="518" t="s">
        <v>3498</v>
      </c>
      <c r="M796" s="152" t="s">
        <v>780</v>
      </c>
      <c r="N796" s="152" t="s">
        <v>1407</v>
      </c>
      <c r="O796" s="152" t="s">
        <v>3499</v>
      </c>
      <c r="P796" s="152" t="s">
        <v>3489</v>
      </c>
      <c r="Q796" s="152" t="s">
        <v>3500</v>
      </c>
      <c r="R796" s="152" t="s">
        <v>3787</v>
      </c>
      <c r="S796" s="152" t="s">
        <v>3502</v>
      </c>
      <c r="T796" s="152" t="s">
        <v>786</v>
      </c>
    </row>
    <row r="797" spans="1:20">
      <c r="C797" s="152" t="s">
        <v>2821</v>
      </c>
      <c r="D797" s="474" t="s">
        <v>676</v>
      </c>
      <c r="E797" s="684" t="str">
        <f>+VLOOKUP(F797,Resumen_Base!$C$8:$G$156,5,0)</f>
        <v>Services/House</v>
      </c>
      <c r="F797" s="152" t="s">
        <v>321</v>
      </c>
      <c r="G797" s="152" t="s">
        <v>322</v>
      </c>
      <c r="H797" s="152" t="str">
        <f t="shared" si="14"/>
        <v>CAR5226</v>
      </c>
      <c r="I797" s="513">
        <v>28200</v>
      </c>
      <c r="J797" s="513">
        <v>20</v>
      </c>
      <c r="K797" s="513">
        <v>1410</v>
      </c>
      <c r="L797" s="518" t="s">
        <v>3498</v>
      </c>
      <c r="M797" s="152" t="s">
        <v>780</v>
      </c>
      <c r="N797" s="152" t="s">
        <v>1407</v>
      </c>
      <c r="O797" s="152" t="s">
        <v>3499</v>
      </c>
      <c r="P797" s="152" t="s">
        <v>3489</v>
      </c>
      <c r="Q797" s="152" t="s">
        <v>3500</v>
      </c>
      <c r="R797" s="152" t="s">
        <v>3788</v>
      </c>
      <c r="S797" s="152" t="s">
        <v>3502</v>
      </c>
      <c r="T797" s="152" t="s">
        <v>786</v>
      </c>
    </row>
    <row r="798" spans="1:20">
      <c r="C798" s="152" t="s">
        <v>2821</v>
      </c>
      <c r="D798" s="474" t="s">
        <v>676</v>
      </c>
      <c r="E798" s="684" t="str">
        <f>+VLOOKUP(F798,Resumen_Base!$C$8:$G$156,5,0)</f>
        <v>Services/House</v>
      </c>
      <c r="F798" s="152" t="s">
        <v>321</v>
      </c>
      <c r="G798" s="152" t="s">
        <v>322</v>
      </c>
      <c r="H798" s="152" t="str">
        <f t="shared" si="14"/>
        <v>CAR5226</v>
      </c>
      <c r="I798" s="513">
        <v>436589.7</v>
      </c>
      <c r="J798" s="513">
        <v>310.74</v>
      </c>
      <c r="K798" s="513">
        <v>1405</v>
      </c>
      <c r="L798" s="518" t="s">
        <v>3493</v>
      </c>
      <c r="M798" s="152" t="s">
        <v>780</v>
      </c>
      <c r="N798" s="152" t="s">
        <v>1407</v>
      </c>
      <c r="O798" s="152" t="s">
        <v>3677</v>
      </c>
      <c r="P798" s="152" t="s">
        <v>3489</v>
      </c>
      <c r="Q798" s="152" t="s">
        <v>3678</v>
      </c>
      <c r="R798" s="152" t="s">
        <v>3957</v>
      </c>
      <c r="S798" s="152" t="s">
        <v>3679</v>
      </c>
      <c r="T798" s="152" t="s">
        <v>786</v>
      </c>
    </row>
    <row r="799" spans="1:20">
      <c r="C799" s="152" t="s">
        <v>2821</v>
      </c>
      <c r="D799" s="474" t="s">
        <v>676</v>
      </c>
      <c r="E799" s="684" t="str">
        <f>+VLOOKUP(F799,Resumen_Base!$C$8:$G$156,5,0)</f>
        <v>Services/House</v>
      </c>
      <c r="F799" s="152" t="s">
        <v>321</v>
      </c>
      <c r="G799" s="152" t="s">
        <v>322</v>
      </c>
      <c r="H799" s="152" t="str">
        <f t="shared" si="14"/>
        <v>CAR5226</v>
      </c>
      <c r="I799" s="513">
        <v>1132000</v>
      </c>
      <c r="J799" s="513">
        <v>800</v>
      </c>
      <c r="K799" s="513">
        <v>1415</v>
      </c>
      <c r="L799" s="518" t="s">
        <v>3632</v>
      </c>
      <c r="M799" s="152" t="s">
        <v>780</v>
      </c>
      <c r="N799" s="152" t="s">
        <v>1407</v>
      </c>
      <c r="O799" s="152" t="s">
        <v>3633</v>
      </c>
      <c r="P799" s="152" t="s">
        <v>3489</v>
      </c>
      <c r="Q799" s="152" t="s">
        <v>3634</v>
      </c>
      <c r="R799" s="152" t="s">
        <v>3968</v>
      </c>
      <c r="S799" s="152" t="s">
        <v>3636</v>
      </c>
      <c r="T799" s="152" t="s">
        <v>786</v>
      </c>
    </row>
    <row r="800" spans="1:20">
      <c r="C800" s="152" t="s">
        <v>2821</v>
      </c>
      <c r="D800" s="474" t="s">
        <v>676</v>
      </c>
      <c r="E800" s="684" t="str">
        <f>+VLOOKUP(F800,Resumen_Base!$C$8:$G$156,5,0)</f>
        <v>Services/House</v>
      </c>
      <c r="F800" s="152" t="s">
        <v>321</v>
      </c>
      <c r="G800" s="152" t="s">
        <v>322</v>
      </c>
      <c r="H800" s="152" t="str">
        <f t="shared" si="14"/>
        <v>CAR5226</v>
      </c>
      <c r="I800" s="513">
        <v>259421.25</v>
      </c>
      <c r="J800" s="513">
        <v>182.05</v>
      </c>
      <c r="K800" s="513">
        <v>1425</v>
      </c>
      <c r="L800" s="518" t="s">
        <v>3504</v>
      </c>
      <c r="M800" s="152" t="s">
        <v>780</v>
      </c>
      <c r="N800" s="152" t="s">
        <v>1407</v>
      </c>
      <c r="O800" s="152" t="s">
        <v>3505</v>
      </c>
      <c r="P800" s="152" t="s">
        <v>3489</v>
      </c>
      <c r="Q800" s="152" t="s">
        <v>3506</v>
      </c>
      <c r="R800" s="152" t="s">
        <v>3976</v>
      </c>
      <c r="S800" s="152" t="s">
        <v>3508</v>
      </c>
      <c r="T800" s="152" t="s">
        <v>786</v>
      </c>
    </row>
    <row r="801" spans="3:20">
      <c r="C801" s="152" t="s">
        <v>2821</v>
      </c>
      <c r="D801" s="474" t="s">
        <v>676</v>
      </c>
      <c r="E801" s="684" t="str">
        <f>+VLOOKUP(F801,Resumen_Base!$C$8:$G$156,5,0)</f>
        <v>Services/House</v>
      </c>
      <c r="F801" s="152" t="s">
        <v>321</v>
      </c>
      <c r="G801" s="152" t="s">
        <v>322</v>
      </c>
      <c r="H801" s="152" t="str">
        <f t="shared" si="14"/>
        <v>CAR5226</v>
      </c>
      <c r="I801" s="513">
        <v>251608</v>
      </c>
      <c r="J801" s="513">
        <v>179.72</v>
      </c>
      <c r="K801" s="513">
        <v>1400</v>
      </c>
      <c r="L801" s="518" t="s">
        <v>3632</v>
      </c>
      <c r="M801" s="152" t="s">
        <v>780</v>
      </c>
      <c r="N801" s="152" t="s">
        <v>1407</v>
      </c>
      <c r="O801" s="152" t="s">
        <v>3633</v>
      </c>
      <c r="P801" s="152" t="s">
        <v>3489</v>
      </c>
      <c r="Q801" s="152" t="s">
        <v>3634</v>
      </c>
      <c r="R801" s="152" t="s">
        <v>3977</v>
      </c>
      <c r="S801" s="152" t="s">
        <v>3636</v>
      </c>
      <c r="T801" s="152" t="s">
        <v>786</v>
      </c>
    </row>
    <row r="802" spans="3:20">
      <c r="C802" s="152" t="s">
        <v>2821</v>
      </c>
      <c r="D802" s="474" t="s">
        <v>676</v>
      </c>
      <c r="E802" s="684" t="str">
        <f>+VLOOKUP(F802,Resumen_Base!$C$8:$G$156,5,0)</f>
        <v>Services/House</v>
      </c>
      <c r="F802" s="152" t="s">
        <v>321</v>
      </c>
      <c r="G802" s="152" t="s">
        <v>322</v>
      </c>
      <c r="H802" s="152" t="str">
        <f t="shared" si="14"/>
        <v>CAR5226</v>
      </c>
      <c r="I802" s="513">
        <v>208800</v>
      </c>
      <c r="J802" s="513">
        <v>145</v>
      </c>
      <c r="K802" s="513">
        <v>1440</v>
      </c>
      <c r="L802" s="518" t="s">
        <v>3637</v>
      </c>
      <c r="M802" s="152" t="s">
        <v>780</v>
      </c>
      <c r="N802" s="152" t="s">
        <v>1407</v>
      </c>
      <c r="O802" s="152" t="s">
        <v>3638</v>
      </c>
      <c r="P802" s="152" t="s">
        <v>2865</v>
      </c>
      <c r="Q802" s="152" t="s">
        <v>3639</v>
      </c>
      <c r="R802" s="152" t="s">
        <v>3980</v>
      </c>
      <c r="S802" s="152" t="s">
        <v>3641</v>
      </c>
      <c r="T802" s="152" t="s">
        <v>786</v>
      </c>
    </row>
    <row r="803" spans="3:20">
      <c r="C803" s="152" t="s">
        <v>2821</v>
      </c>
      <c r="D803" s="474" t="s">
        <v>676</v>
      </c>
      <c r="E803" s="684" t="str">
        <f>+VLOOKUP(F803,Resumen_Base!$C$8:$G$156,5,0)</f>
        <v>Services/House</v>
      </c>
      <c r="F803" s="152" t="s">
        <v>321</v>
      </c>
      <c r="G803" s="152" t="s">
        <v>322</v>
      </c>
      <c r="H803" s="152" t="str">
        <f t="shared" si="14"/>
        <v>CAR5226</v>
      </c>
      <c r="I803" s="513">
        <v>332640</v>
      </c>
      <c r="J803" s="513">
        <v>231</v>
      </c>
      <c r="K803" s="513">
        <v>1440</v>
      </c>
      <c r="L803" s="518" t="s">
        <v>3637</v>
      </c>
      <c r="M803" s="152" t="s">
        <v>780</v>
      </c>
      <c r="N803" s="152" t="s">
        <v>1407</v>
      </c>
      <c r="O803" s="152" t="s">
        <v>3638</v>
      </c>
      <c r="P803" s="152" t="s">
        <v>2865</v>
      </c>
      <c r="Q803" s="152" t="s">
        <v>3639</v>
      </c>
      <c r="R803" s="152" t="s">
        <v>3981</v>
      </c>
      <c r="S803" s="152" t="s">
        <v>3641</v>
      </c>
      <c r="T803" s="152" t="s">
        <v>786</v>
      </c>
    </row>
    <row r="804" spans="3:20">
      <c r="C804" s="152" t="s">
        <v>2821</v>
      </c>
      <c r="D804" s="474" t="s">
        <v>676</v>
      </c>
      <c r="E804" s="684" t="str">
        <f>+VLOOKUP(F804,Resumen_Base!$C$8:$G$156,5,0)</f>
        <v>Services/House</v>
      </c>
      <c r="F804" s="152" t="s">
        <v>321</v>
      </c>
      <c r="G804" s="152" t="s">
        <v>322</v>
      </c>
      <c r="H804" s="152" t="str">
        <f t="shared" si="14"/>
        <v>CAR5226</v>
      </c>
      <c r="I804" s="513">
        <v>290880</v>
      </c>
      <c r="J804" s="513">
        <v>202</v>
      </c>
      <c r="K804" s="513">
        <v>1440</v>
      </c>
      <c r="L804" s="518" t="s">
        <v>3637</v>
      </c>
      <c r="M804" s="152" t="s">
        <v>780</v>
      </c>
      <c r="N804" s="152" t="s">
        <v>1407</v>
      </c>
      <c r="O804" s="152" t="s">
        <v>3638</v>
      </c>
      <c r="P804" s="152" t="s">
        <v>2865</v>
      </c>
      <c r="Q804" s="152" t="s">
        <v>3639</v>
      </c>
      <c r="R804" s="152" t="s">
        <v>3983</v>
      </c>
      <c r="S804" s="152" t="s">
        <v>3641</v>
      </c>
      <c r="T804" s="152" t="s">
        <v>786</v>
      </c>
    </row>
    <row r="805" spans="3:20">
      <c r="C805" s="152" t="s">
        <v>2821</v>
      </c>
      <c r="D805" s="474" t="s">
        <v>676</v>
      </c>
      <c r="E805" s="684" t="str">
        <f>+VLOOKUP(F805,Resumen_Base!$C$8:$G$156,5,0)</f>
        <v>Services/House</v>
      </c>
      <c r="F805" s="152" t="s">
        <v>321</v>
      </c>
      <c r="G805" s="152" t="s">
        <v>322</v>
      </c>
      <c r="H805" s="152" t="str">
        <f t="shared" si="14"/>
        <v>CAR5226</v>
      </c>
      <c r="I805" s="513">
        <v>208800</v>
      </c>
      <c r="J805" s="513">
        <v>145</v>
      </c>
      <c r="K805" s="513">
        <v>1440</v>
      </c>
      <c r="L805" s="518" t="s">
        <v>3637</v>
      </c>
      <c r="M805" s="152" t="s">
        <v>780</v>
      </c>
      <c r="N805" s="152" t="s">
        <v>1407</v>
      </c>
      <c r="O805" s="152" t="s">
        <v>3638</v>
      </c>
      <c r="P805" s="152" t="s">
        <v>2865</v>
      </c>
      <c r="Q805" s="152" t="s">
        <v>3639</v>
      </c>
      <c r="R805" s="152" t="s">
        <v>3984</v>
      </c>
      <c r="S805" s="152" t="s">
        <v>3641</v>
      </c>
      <c r="T805" s="152" t="s">
        <v>786</v>
      </c>
    </row>
    <row r="806" spans="3:20">
      <c r="C806" s="152" t="s">
        <v>2821</v>
      </c>
      <c r="D806" s="474" t="s">
        <v>676</v>
      </c>
      <c r="E806" s="684" t="str">
        <f>+VLOOKUP(F806,Resumen_Base!$C$8:$G$156,5,0)</f>
        <v>Services/House</v>
      </c>
      <c r="F806" s="152" t="s">
        <v>321</v>
      </c>
      <c r="G806" s="152" t="s">
        <v>322</v>
      </c>
      <c r="H806" s="152" t="str">
        <f t="shared" si="14"/>
        <v>CAR5226</v>
      </c>
      <c r="I806" s="513">
        <v>303163.2</v>
      </c>
      <c r="J806" s="513">
        <v>210.53</v>
      </c>
      <c r="K806" s="513">
        <v>1440</v>
      </c>
      <c r="L806" s="518" t="s">
        <v>3517</v>
      </c>
      <c r="M806" s="152" t="s">
        <v>780</v>
      </c>
      <c r="N806" s="152" t="s">
        <v>1407</v>
      </c>
      <c r="O806" s="152" t="s">
        <v>3518</v>
      </c>
      <c r="P806" s="152" t="s">
        <v>892</v>
      </c>
      <c r="Q806" s="152" t="s">
        <v>3519</v>
      </c>
      <c r="R806" s="152" t="s">
        <v>3990</v>
      </c>
      <c r="S806" s="152" t="s">
        <v>3521</v>
      </c>
      <c r="T806" s="152" t="s">
        <v>786</v>
      </c>
    </row>
    <row r="807" spans="3:20">
      <c r="C807" s="152" t="s">
        <v>2821</v>
      </c>
      <c r="D807" s="474" t="s">
        <v>676</v>
      </c>
      <c r="E807" s="684" t="str">
        <f>+VLOOKUP(F807,Resumen_Base!$C$8:$G$156,5,0)</f>
        <v>Services/House</v>
      </c>
      <c r="F807" s="152" t="s">
        <v>321</v>
      </c>
      <c r="G807" s="152" t="s">
        <v>322</v>
      </c>
      <c r="H807" s="152" t="str">
        <f t="shared" si="14"/>
        <v>CAR5226</v>
      </c>
      <c r="I807" s="513">
        <v>208800</v>
      </c>
      <c r="J807" s="513">
        <v>145</v>
      </c>
      <c r="K807" s="513">
        <v>1440</v>
      </c>
      <c r="L807" s="518" t="s">
        <v>3637</v>
      </c>
      <c r="M807" s="152" t="s">
        <v>780</v>
      </c>
      <c r="N807" s="152" t="s">
        <v>1407</v>
      </c>
      <c r="O807" s="152" t="s">
        <v>3638</v>
      </c>
      <c r="P807" s="152" t="s">
        <v>2865</v>
      </c>
      <c r="Q807" s="152" t="s">
        <v>3639</v>
      </c>
      <c r="R807" s="152" t="s">
        <v>3994</v>
      </c>
      <c r="S807" s="152" t="s">
        <v>3641</v>
      </c>
      <c r="T807" s="152" t="s">
        <v>786</v>
      </c>
    </row>
    <row r="808" spans="3:20">
      <c r="C808" s="152" t="s">
        <v>2821</v>
      </c>
      <c r="D808" s="474" t="s">
        <v>676</v>
      </c>
      <c r="E808" s="684" t="str">
        <f>+VLOOKUP(F808,Resumen_Base!$C$8:$G$156,5,0)</f>
        <v>Services/House</v>
      </c>
      <c r="F808" s="152" t="s">
        <v>321</v>
      </c>
      <c r="G808" s="152" t="s">
        <v>322</v>
      </c>
      <c r="H808" s="152" t="str">
        <f t="shared" si="14"/>
        <v>CAR5226</v>
      </c>
      <c r="I808" s="513">
        <v>1273500</v>
      </c>
      <c r="J808" s="513">
        <v>900</v>
      </c>
      <c r="K808" s="513">
        <v>1415</v>
      </c>
      <c r="L808" s="518" t="s">
        <v>3498</v>
      </c>
      <c r="M808" s="152" t="s">
        <v>780</v>
      </c>
      <c r="N808" s="152" t="s">
        <v>1407</v>
      </c>
      <c r="O808" s="152" t="s">
        <v>3499</v>
      </c>
      <c r="P808" s="152" t="s">
        <v>3489</v>
      </c>
      <c r="Q808" s="152" t="s">
        <v>3500</v>
      </c>
      <c r="R808" s="152" t="s">
        <v>4044</v>
      </c>
      <c r="S808" s="152" t="s">
        <v>3502</v>
      </c>
      <c r="T808" s="152" t="s">
        <v>786</v>
      </c>
    </row>
    <row r="809" spans="3:20">
      <c r="C809" s="152" t="s">
        <v>2821</v>
      </c>
      <c r="D809" s="474" t="s">
        <v>676</v>
      </c>
      <c r="E809" s="684" t="str">
        <f>+VLOOKUP(F809,Resumen_Base!$C$8:$G$156,5,0)</f>
        <v>Services/House</v>
      </c>
      <c r="F809" s="152" t="s">
        <v>321</v>
      </c>
      <c r="G809" s="152" t="s">
        <v>322</v>
      </c>
      <c r="H809" s="152" t="str">
        <f t="shared" si="14"/>
        <v>CAR5226</v>
      </c>
      <c r="I809" s="513">
        <v>1002101.1</v>
      </c>
      <c r="J809" s="513">
        <v>710.71</v>
      </c>
      <c r="K809" s="513">
        <v>1410</v>
      </c>
      <c r="L809" s="518" t="s">
        <v>3498</v>
      </c>
      <c r="M809" s="152" t="s">
        <v>780</v>
      </c>
      <c r="N809" s="152" t="s">
        <v>1407</v>
      </c>
      <c r="O809" s="152" t="s">
        <v>3499</v>
      </c>
      <c r="P809" s="152" t="s">
        <v>3489</v>
      </c>
      <c r="Q809" s="152" t="s">
        <v>3500</v>
      </c>
      <c r="R809" s="152" t="s">
        <v>4045</v>
      </c>
      <c r="S809" s="152" t="s">
        <v>3502</v>
      </c>
      <c r="T809" s="152" t="s">
        <v>786</v>
      </c>
    </row>
    <row r="810" spans="3:20">
      <c r="C810" s="152" t="s">
        <v>2821</v>
      </c>
      <c r="D810" s="474" t="s">
        <v>676</v>
      </c>
      <c r="E810" s="684" t="str">
        <f>+VLOOKUP(F810,Resumen_Base!$C$8:$G$156,5,0)</f>
        <v>Services/House</v>
      </c>
      <c r="F810" s="152" t="s">
        <v>321</v>
      </c>
      <c r="G810" s="152" t="s">
        <v>322</v>
      </c>
      <c r="H810" s="152" t="str">
        <f t="shared" si="14"/>
        <v>CAR5226</v>
      </c>
      <c r="I810" s="513">
        <v>1353081.6</v>
      </c>
      <c r="J810" s="513">
        <v>939.64</v>
      </c>
      <c r="K810" s="513">
        <v>1440</v>
      </c>
      <c r="L810" s="518" t="s">
        <v>3517</v>
      </c>
      <c r="M810" s="152" t="s">
        <v>780</v>
      </c>
      <c r="N810" s="152" t="s">
        <v>1407</v>
      </c>
      <c r="O810" s="152" t="s">
        <v>3655</v>
      </c>
      <c r="P810" s="152" t="s">
        <v>892</v>
      </c>
      <c r="Q810" s="152" t="s">
        <v>3656</v>
      </c>
      <c r="R810" s="152" t="s">
        <v>4049</v>
      </c>
      <c r="S810" s="152" t="s">
        <v>3658</v>
      </c>
      <c r="T810" s="152" t="s">
        <v>786</v>
      </c>
    </row>
    <row r="811" spans="3:20">
      <c r="C811" s="152" t="s">
        <v>2821</v>
      </c>
      <c r="D811" s="474" t="s">
        <v>676</v>
      </c>
      <c r="E811" s="684" t="str">
        <f>+VLOOKUP(F811,Resumen_Base!$C$8:$G$156,5,0)</f>
        <v>Services/House</v>
      </c>
      <c r="F811" s="152" t="s">
        <v>321</v>
      </c>
      <c r="G811" s="152" t="s">
        <v>322</v>
      </c>
      <c r="H811" s="152" t="str">
        <f t="shared" si="14"/>
        <v>CAR5226</v>
      </c>
      <c r="I811" s="513">
        <v>1327838.3999999999</v>
      </c>
      <c r="J811" s="513">
        <v>922.11</v>
      </c>
      <c r="K811" s="513">
        <v>1440</v>
      </c>
      <c r="L811" s="518" t="s">
        <v>3517</v>
      </c>
      <c r="M811" s="152" t="s">
        <v>780</v>
      </c>
      <c r="N811" s="152" t="s">
        <v>1407</v>
      </c>
      <c r="O811" s="152" t="s">
        <v>3655</v>
      </c>
      <c r="P811" s="152" t="s">
        <v>892</v>
      </c>
      <c r="Q811" s="152" t="s">
        <v>3656</v>
      </c>
      <c r="R811" s="152" t="s">
        <v>4050</v>
      </c>
      <c r="S811" s="152" t="s">
        <v>3658</v>
      </c>
      <c r="T811" s="152" t="s">
        <v>786</v>
      </c>
    </row>
    <row r="812" spans="3:20">
      <c r="C812" s="152" t="s">
        <v>2821</v>
      </c>
      <c r="D812" s="474" t="s">
        <v>676</v>
      </c>
      <c r="E812" s="684" t="str">
        <f>+VLOOKUP(F812,Resumen_Base!$C$8:$G$156,5,0)</f>
        <v>Services/House</v>
      </c>
      <c r="F812" s="152" t="s">
        <v>321</v>
      </c>
      <c r="G812" s="152" t="s">
        <v>322</v>
      </c>
      <c r="H812" s="152" t="str">
        <f t="shared" si="14"/>
        <v>CAR5226</v>
      </c>
      <c r="I812" s="513">
        <v>1353081.6</v>
      </c>
      <c r="J812" s="513">
        <v>939.64</v>
      </c>
      <c r="K812" s="513">
        <v>1440</v>
      </c>
      <c r="L812" s="518" t="s">
        <v>3517</v>
      </c>
      <c r="M812" s="152" t="s">
        <v>780</v>
      </c>
      <c r="N812" s="152" t="s">
        <v>1407</v>
      </c>
      <c r="O812" s="152" t="s">
        <v>3655</v>
      </c>
      <c r="P812" s="152" t="s">
        <v>892</v>
      </c>
      <c r="Q812" s="152" t="s">
        <v>3656</v>
      </c>
      <c r="R812" s="152" t="s">
        <v>4051</v>
      </c>
      <c r="S812" s="152" t="s">
        <v>3658</v>
      </c>
      <c r="T812" s="152" t="s">
        <v>786</v>
      </c>
    </row>
    <row r="813" spans="3:20">
      <c r="C813" s="152" t="s">
        <v>2821</v>
      </c>
      <c r="D813" s="474" t="s">
        <v>676</v>
      </c>
      <c r="E813" s="684" t="str">
        <f>+VLOOKUP(F813,Resumen_Base!$C$8:$G$156,5,0)</f>
        <v>Services/House</v>
      </c>
      <c r="F813" s="152" t="s">
        <v>321</v>
      </c>
      <c r="G813" s="152" t="s">
        <v>322</v>
      </c>
      <c r="H813" s="152" t="str">
        <f t="shared" si="14"/>
        <v>CAR5226</v>
      </c>
      <c r="I813" s="513">
        <v>1327838.3999999999</v>
      </c>
      <c r="J813" s="513">
        <v>922.11</v>
      </c>
      <c r="K813" s="513">
        <v>1440</v>
      </c>
      <c r="L813" s="518" t="s">
        <v>3517</v>
      </c>
      <c r="M813" s="152" t="s">
        <v>780</v>
      </c>
      <c r="N813" s="152" t="s">
        <v>1407</v>
      </c>
      <c r="O813" s="152" t="s">
        <v>3655</v>
      </c>
      <c r="P813" s="152" t="s">
        <v>892</v>
      </c>
      <c r="Q813" s="152" t="s">
        <v>3656</v>
      </c>
      <c r="R813" s="152" t="s">
        <v>4052</v>
      </c>
      <c r="S813" s="152" t="s">
        <v>3658</v>
      </c>
      <c r="T813" s="152" t="s">
        <v>786</v>
      </c>
    </row>
    <row r="814" spans="3:20">
      <c r="C814" s="152" t="s">
        <v>2821</v>
      </c>
      <c r="D814" s="474" t="s">
        <v>676</v>
      </c>
      <c r="E814" s="684" t="str">
        <f>+VLOOKUP(F814,Resumen_Base!$C$8:$G$156,5,0)</f>
        <v>Services/House</v>
      </c>
      <c r="F814" s="152" t="s">
        <v>321</v>
      </c>
      <c r="G814" s="152" t="s">
        <v>322</v>
      </c>
      <c r="H814" s="152" t="str">
        <f t="shared" si="14"/>
        <v>CAR5226</v>
      </c>
      <c r="I814" s="513">
        <v>1267209.3</v>
      </c>
      <c r="J814" s="513">
        <v>898.73</v>
      </c>
      <c r="K814" s="513">
        <v>1410</v>
      </c>
      <c r="L814" s="518" t="s">
        <v>3498</v>
      </c>
      <c r="M814" s="152" t="s">
        <v>780</v>
      </c>
      <c r="N814" s="152" t="s">
        <v>1407</v>
      </c>
      <c r="O814" s="152" t="s">
        <v>3522</v>
      </c>
      <c r="P814" s="152" t="s">
        <v>3489</v>
      </c>
      <c r="Q814" s="152" t="s">
        <v>3523</v>
      </c>
      <c r="R814" s="152" t="s">
        <v>4053</v>
      </c>
      <c r="S814" s="152" t="s">
        <v>3525</v>
      </c>
      <c r="T814" s="152" t="s">
        <v>786</v>
      </c>
    </row>
    <row r="815" spans="3:20">
      <c r="C815" s="152" t="s">
        <v>2821</v>
      </c>
      <c r="D815" s="474" t="s">
        <v>676</v>
      </c>
      <c r="E815" s="684" t="str">
        <f>+VLOOKUP(F815,Resumen_Base!$C$8:$G$156,5,0)</f>
        <v>Services/House</v>
      </c>
      <c r="F815" s="152" t="s">
        <v>321</v>
      </c>
      <c r="G815" s="152" t="s">
        <v>322</v>
      </c>
      <c r="H815" s="152" t="str">
        <f t="shared" si="14"/>
        <v>CAR5226</v>
      </c>
      <c r="I815" s="513">
        <v>1291306.2</v>
      </c>
      <c r="J815" s="513">
        <v>915.82</v>
      </c>
      <c r="K815" s="513">
        <v>1410</v>
      </c>
      <c r="L815" s="518" t="s">
        <v>3498</v>
      </c>
      <c r="M815" s="152" t="s">
        <v>780</v>
      </c>
      <c r="N815" s="152" t="s">
        <v>1407</v>
      </c>
      <c r="O815" s="152" t="s">
        <v>3522</v>
      </c>
      <c r="P815" s="152" t="s">
        <v>3489</v>
      </c>
      <c r="Q815" s="152" t="s">
        <v>3523</v>
      </c>
      <c r="R815" s="152" t="s">
        <v>4060</v>
      </c>
      <c r="S815" s="152" t="s">
        <v>3525</v>
      </c>
      <c r="T815" s="152" t="s">
        <v>786</v>
      </c>
    </row>
    <row r="816" spans="3:20">
      <c r="C816" s="152" t="s">
        <v>2821</v>
      </c>
      <c r="D816" s="474" t="s">
        <v>676</v>
      </c>
      <c r="E816" s="684" t="str">
        <f>+VLOOKUP(F816,Resumen_Base!$C$8:$G$156,5,0)</f>
        <v>Services/House</v>
      </c>
      <c r="F816" s="152" t="s">
        <v>321</v>
      </c>
      <c r="G816" s="152" t="s">
        <v>322</v>
      </c>
      <c r="H816" s="152" t="str">
        <f t="shared" si="14"/>
        <v>CAR5226</v>
      </c>
      <c r="I816" s="513">
        <v>1267209.3</v>
      </c>
      <c r="J816" s="513">
        <v>898.73</v>
      </c>
      <c r="K816" s="513">
        <v>1410</v>
      </c>
      <c r="L816" s="518" t="s">
        <v>3498</v>
      </c>
      <c r="M816" s="152" t="s">
        <v>780</v>
      </c>
      <c r="N816" s="152" t="s">
        <v>1407</v>
      </c>
      <c r="O816" s="152" t="s">
        <v>3522</v>
      </c>
      <c r="P816" s="152" t="s">
        <v>3489</v>
      </c>
      <c r="Q816" s="152" t="s">
        <v>3523</v>
      </c>
      <c r="R816" s="152" t="s">
        <v>4061</v>
      </c>
      <c r="S816" s="152" t="s">
        <v>3525</v>
      </c>
      <c r="T816" s="152" t="s">
        <v>786</v>
      </c>
    </row>
    <row r="817" spans="3:20">
      <c r="C817" s="152" t="s">
        <v>2821</v>
      </c>
      <c r="D817" s="474" t="s">
        <v>676</v>
      </c>
      <c r="E817" s="684" t="str">
        <f>+VLOOKUP(F817,Resumen_Base!$C$8:$G$156,5,0)</f>
        <v>Services/House</v>
      </c>
      <c r="F817" s="152" t="s">
        <v>321</v>
      </c>
      <c r="G817" s="152" t="s">
        <v>322</v>
      </c>
      <c r="H817" s="152" t="str">
        <f t="shared" si="14"/>
        <v>CAR5226</v>
      </c>
      <c r="I817" s="513">
        <v>1291306.2</v>
      </c>
      <c r="J817" s="513">
        <v>915.82</v>
      </c>
      <c r="K817" s="513">
        <v>1410</v>
      </c>
      <c r="L817" s="518" t="s">
        <v>3498</v>
      </c>
      <c r="M817" s="152" t="s">
        <v>780</v>
      </c>
      <c r="N817" s="152" t="s">
        <v>1407</v>
      </c>
      <c r="O817" s="152" t="s">
        <v>3522</v>
      </c>
      <c r="P817" s="152" t="s">
        <v>3489</v>
      </c>
      <c r="Q817" s="152" t="s">
        <v>3523</v>
      </c>
      <c r="R817" s="152" t="s">
        <v>4062</v>
      </c>
      <c r="S817" s="152" t="s">
        <v>3525</v>
      </c>
      <c r="T817" s="152" t="s">
        <v>786</v>
      </c>
    </row>
    <row r="818" spans="3:20">
      <c r="C818" s="152" t="s">
        <v>2821</v>
      </c>
      <c r="D818" s="474" t="s">
        <v>676</v>
      </c>
      <c r="E818" s="684" t="str">
        <f>+VLOOKUP(F818,Resumen_Base!$C$8:$G$156,5,0)</f>
        <v>Services/House</v>
      </c>
      <c r="F818" s="152" t="s">
        <v>321</v>
      </c>
      <c r="G818" s="152" t="s">
        <v>322</v>
      </c>
      <c r="H818" s="152" t="str">
        <f t="shared" si="14"/>
        <v>CAR5226</v>
      </c>
      <c r="I818" s="513">
        <v>294786.95</v>
      </c>
      <c r="J818" s="513">
        <v>208.33</v>
      </c>
      <c r="K818" s="513">
        <v>1415</v>
      </c>
      <c r="L818" s="518" t="s">
        <v>3498</v>
      </c>
      <c r="M818" s="152" t="s">
        <v>780</v>
      </c>
      <c r="N818" s="152" t="s">
        <v>1407</v>
      </c>
      <c r="O818" s="152" t="s">
        <v>3499</v>
      </c>
      <c r="P818" s="152" t="s">
        <v>3489</v>
      </c>
      <c r="Q818" s="152" t="s">
        <v>3500</v>
      </c>
      <c r="R818" s="152" t="s">
        <v>4063</v>
      </c>
      <c r="S818" s="152" t="s">
        <v>3502</v>
      </c>
      <c r="T818" s="152" t="s">
        <v>786</v>
      </c>
    </row>
    <row r="819" spans="3:20">
      <c r="C819" s="152" t="s">
        <v>2821</v>
      </c>
      <c r="D819" s="474" t="s">
        <v>676</v>
      </c>
      <c r="E819" s="684" t="str">
        <f>+VLOOKUP(F819,Resumen_Base!$C$8:$G$156,5,0)</f>
        <v>Services/House</v>
      </c>
      <c r="F819" s="152" t="s">
        <v>321</v>
      </c>
      <c r="G819" s="152" t="s">
        <v>322</v>
      </c>
      <c r="H819" s="152" t="str">
        <f t="shared" si="14"/>
        <v>CAR5226</v>
      </c>
      <c r="I819" s="513">
        <v>1296000</v>
      </c>
      <c r="J819" s="513">
        <v>900</v>
      </c>
      <c r="K819" s="513">
        <v>1440</v>
      </c>
      <c r="L819" s="518" t="s">
        <v>3517</v>
      </c>
      <c r="M819" s="152" t="s">
        <v>780</v>
      </c>
      <c r="N819" s="152" t="s">
        <v>1407</v>
      </c>
      <c r="O819" s="152" t="s">
        <v>3518</v>
      </c>
      <c r="P819" s="152" t="s">
        <v>892</v>
      </c>
      <c r="Q819" s="152" t="s">
        <v>3519</v>
      </c>
      <c r="R819" s="152" t="s">
        <v>4064</v>
      </c>
      <c r="S819" s="152" t="s">
        <v>3521</v>
      </c>
      <c r="T819" s="152" t="s">
        <v>786</v>
      </c>
    </row>
    <row r="820" spans="3:20">
      <c r="C820" s="152" t="s">
        <v>2821</v>
      </c>
      <c r="D820" s="474" t="s">
        <v>676</v>
      </c>
      <c r="E820" s="684" t="str">
        <f>+VLOOKUP(F820,Resumen_Base!$C$8:$G$156,5,0)</f>
        <v>Services/House</v>
      </c>
      <c r="F820" s="152" t="s">
        <v>321</v>
      </c>
      <c r="G820" s="152" t="s">
        <v>322</v>
      </c>
      <c r="H820" s="152" t="str">
        <f t="shared" si="14"/>
        <v>CAR5226</v>
      </c>
      <c r="I820" s="513">
        <v>2160000</v>
      </c>
      <c r="J820" s="513">
        <v>1500</v>
      </c>
      <c r="K820" s="513">
        <v>1440</v>
      </c>
      <c r="L820" s="518" t="s">
        <v>3517</v>
      </c>
      <c r="M820" s="152" t="s">
        <v>780</v>
      </c>
      <c r="N820" s="152" t="s">
        <v>1407</v>
      </c>
      <c r="O820" s="152" t="s">
        <v>3518</v>
      </c>
      <c r="P820" s="152" t="s">
        <v>892</v>
      </c>
      <c r="Q820" s="152" t="s">
        <v>3519</v>
      </c>
      <c r="R820" s="152" t="s">
        <v>4065</v>
      </c>
      <c r="S820" s="152" t="s">
        <v>3521</v>
      </c>
      <c r="T820" s="152" t="s">
        <v>786</v>
      </c>
    </row>
    <row r="821" spans="3:20">
      <c r="C821" s="152" t="s">
        <v>2821</v>
      </c>
      <c r="D821" s="474" t="s">
        <v>676</v>
      </c>
      <c r="E821" s="684" t="str">
        <f>+VLOOKUP(F821,Resumen_Base!$C$8:$G$156,5,0)</f>
        <v>Services/House</v>
      </c>
      <c r="F821" s="152" t="s">
        <v>321</v>
      </c>
      <c r="G821" s="152" t="s">
        <v>322</v>
      </c>
      <c r="H821" s="152" t="str">
        <f t="shared" si="14"/>
        <v>CAR5226</v>
      </c>
      <c r="I821" s="513">
        <v>270195.55</v>
      </c>
      <c r="J821" s="513">
        <v>192.31</v>
      </c>
      <c r="K821" s="513">
        <v>1405</v>
      </c>
      <c r="L821" s="518" t="s">
        <v>3493</v>
      </c>
      <c r="M821" s="152" t="s">
        <v>780</v>
      </c>
      <c r="N821" s="152" t="s">
        <v>1407</v>
      </c>
      <c r="O821" s="152" t="s">
        <v>3677</v>
      </c>
      <c r="P821" s="152" t="s">
        <v>3489</v>
      </c>
      <c r="Q821" s="152" t="s">
        <v>3678</v>
      </c>
      <c r="R821" s="152" t="s">
        <v>4066</v>
      </c>
      <c r="S821" s="152" t="s">
        <v>3679</v>
      </c>
      <c r="T821" s="152" t="s">
        <v>786</v>
      </c>
    </row>
    <row r="822" spans="3:20">
      <c r="C822" s="152" t="s">
        <v>2821</v>
      </c>
      <c r="D822" s="474" t="s">
        <v>676</v>
      </c>
      <c r="E822" s="684" t="str">
        <f>+VLOOKUP(F822,Resumen_Base!$C$8:$G$156,5,0)</f>
        <v>Services/House</v>
      </c>
      <c r="F822" s="152" t="s">
        <v>321</v>
      </c>
      <c r="G822" s="152" t="s">
        <v>322</v>
      </c>
      <c r="H822" s="152" t="str">
        <f t="shared" si="14"/>
        <v>CAR5226</v>
      </c>
      <c r="I822" s="513">
        <v>165600</v>
      </c>
      <c r="J822" s="513">
        <v>115</v>
      </c>
      <c r="K822" s="513">
        <v>1440</v>
      </c>
      <c r="L822" s="518" t="s">
        <v>3637</v>
      </c>
      <c r="M822" s="152" t="s">
        <v>780</v>
      </c>
      <c r="N822" s="152" t="s">
        <v>1407</v>
      </c>
      <c r="O822" s="152" t="s">
        <v>3638</v>
      </c>
      <c r="P822" s="152" t="s">
        <v>2865</v>
      </c>
      <c r="Q822" s="152" t="s">
        <v>3639</v>
      </c>
      <c r="R822" s="152" t="s">
        <v>4073</v>
      </c>
      <c r="S822" s="152" t="s">
        <v>3641</v>
      </c>
      <c r="T822" s="152" t="s">
        <v>786</v>
      </c>
    </row>
    <row r="823" spans="3:20">
      <c r="C823" s="152" t="s">
        <v>2821</v>
      </c>
      <c r="D823" s="474" t="s">
        <v>676</v>
      </c>
      <c r="E823" s="684" t="str">
        <f>+VLOOKUP(F823,Resumen_Base!$C$8:$G$156,5,0)</f>
        <v>Services/House</v>
      </c>
      <c r="F823" s="152" t="s">
        <v>321</v>
      </c>
      <c r="G823" s="152" t="s">
        <v>322</v>
      </c>
      <c r="H823" s="152" t="str">
        <f t="shared" si="14"/>
        <v>CAR5226</v>
      </c>
      <c r="I823" s="513">
        <v>1607400</v>
      </c>
      <c r="J823" s="513">
        <v>1140</v>
      </c>
      <c r="K823" s="513">
        <v>1410</v>
      </c>
      <c r="L823" s="518" t="s">
        <v>3498</v>
      </c>
      <c r="M823" s="152" t="s">
        <v>780</v>
      </c>
      <c r="N823" s="152" t="s">
        <v>1407</v>
      </c>
      <c r="O823" s="152" t="s">
        <v>3499</v>
      </c>
      <c r="P823" s="152" t="s">
        <v>3489</v>
      </c>
      <c r="Q823" s="152" t="s">
        <v>3500</v>
      </c>
      <c r="R823" s="152" t="s">
        <v>4075</v>
      </c>
      <c r="S823" s="152" t="s">
        <v>3502</v>
      </c>
      <c r="T823" s="152" t="s">
        <v>786</v>
      </c>
    </row>
    <row r="824" spans="3:20">
      <c r="C824" s="152" t="s">
        <v>2821</v>
      </c>
      <c r="D824" s="474" t="s">
        <v>676</v>
      </c>
      <c r="E824" s="684" t="str">
        <f>+VLOOKUP(F824,Resumen_Base!$C$8:$G$156,5,0)</f>
        <v>Services/House</v>
      </c>
      <c r="F824" s="152" t="s">
        <v>321</v>
      </c>
      <c r="G824" s="152" t="s">
        <v>322</v>
      </c>
      <c r="H824" s="152" t="str">
        <f t="shared" si="14"/>
        <v>CAR5226</v>
      </c>
      <c r="I824" s="513">
        <v>4230</v>
      </c>
      <c r="J824" s="513">
        <v>3</v>
      </c>
      <c r="K824" s="513">
        <v>1410</v>
      </c>
      <c r="L824" s="518" t="s">
        <v>3498</v>
      </c>
      <c r="M824" s="152" t="s">
        <v>780</v>
      </c>
      <c r="N824" s="152" t="s">
        <v>1407</v>
      </c>
      <c r="O824" s="152" t="s">
        <v>3499</v>
      </c>
      <c r="P824" s="152" t="s">
        <v>3489</v>
      </c>
      <c r="Q824" s="152" t="s">
        <v>3500</v>
      </c>
      <c r="R824" s="152" t="s">
        <v>4076</v>
      </c>
      <c r="S824" s="152" t="s">
        <v>3502</v>
      </c>
      <c r="T824" s="152" t="s">
        <v>786</v>
      </c>
    </row>
    <row r="825" spans="3:20">
      <c r="C825" s="152" t="s">
        <v>2821</v>
      </c>
      <c r="D825" s="474" t="s">
        <v>676</v>
      </c>
      <c r="E825" s="684" t="str">
        <f>+VLOOKUP(F825,Resumen_Base!$C$8:$G$156,5,0)</f>
        <v>Services/House</v>
      </c>
      <c r="F825" s="152" t="s">
        <v>321</v>
      </c>
      <c r="G825" s="152" t="s">
        <v>322</v>
      </c>
      <c r="H825" s="152" t="str">
        <f t="shared" si="14"/>
        <v>CAR5226</v>
      </c>
      <c r="I825" s="513">
        <v>2577480</v>
      </c>
      <c r="J825" s="513">
        <v>1828</v>
      </c>
      <c r="K825" s="513">
        <v>1410</v>
      </c>
      <c r="L825" s="518" t="s">
        <v>3498</v>
      </c>
      <c r="M825" s="152" t="s">
        <v>780</v>
      </c>
      <c r="N825" s="152" t="s">
        <v>1407</v>
      </c>
      <c r="O825" s="152" t="s">
        <v>3499</v>
      </c>
      <c r="P825" s="152" t="s">
        <v>3489</v>
      </c>
      <c r="Q825" s="152" t="s">
        <v>3500</v>
      </c>
      <c r="R825" s="152" t="s">
        <v>4077</v>
      </c>
      <c r="S825" s="152" t="s">
        <v>3502</v>
      </c>
      <c r="T825" s="152" t="s">
        <v>786</v>
      </c>
    </row>
    <row r="826" spans="3:20">
      <c r="C826" s="152" t="s">
        <v>2821</v>
      </c>
      <c r="D826" s="474" t="s">
        <v>676</v>
      </c>
      <c r="E826" s="684" t="str">
        <f>+VLOOKUP(F826,Resumen_Base!$C$8:$G$156,5,0)</f>
        <v>Services/House</v>
      </c>
      <c r="F826" s="152" t="s">
        <v>321</v>
      </c>
      <c r="G826" s="152" t="s">
        <v>322</v>
      </c>
      <c r="H826" s="152" t="str">
        <f t="shared" si="14"/>
        <v>CAR5226</v>
      </c>
      <c r="I826" s="513">
        <v>1269000</v>
      </c>
      <c r="J826" s="513">
        <v>900</v>
      </c>
      <c r="K826" s="513">
        <v>1410</v>
      </c>
      <c r="L826" s="518" t="s">
        <v>3498</v>
      </c>
      <c r="M826" s="152" t="s">
        <v>780</v>
      </c>
      <c r="N826" s="152" t="s">
        <v>1407</v>
      </c>
      <c r="O826" s="152" t="s">
        <v>3499</v>
      </c>
      <c r="P826" s="152" t="s">
        <v>3489</v>
      </c>
      <c r="Q826" s="152" t="s">
        <v>3500</v>
      </c>
      <c r="R826" s="152" t="s">
        <v>4078</v>
      </c>
      <c r="S826" s="152" t="s">
        <v>3502</v>
      </c>
      <c r="T826" s="152" t="s">
        <v>786</v>
      </c>
    </row>
    <row r="827" spans="3:20">
      <c r="C827" s="152" t="s">
        <v>2821</v>
      </c>
      <c r="D827" s="474" t="s">
        <v>676</v>
      </c>
      <c r="E827" s="684" t="str">
        <f>+VLOOKUP(F827,Resumen_Base!$C$8:$G$156,5,0)</f>
        <v>Services/House</v>
      </c>
      <c r="F827" s="152" t="s">
        <v>321</v>
      </c>
      <c r="G827" s="152" t="s">
        <v>322</v>
      </c>
      <c r="H827" s="152" t="str">
        <f t="shared" si="14"/>
        <v>CAR5226</v>
      </c>
      <c r="I827" s="513">
        <v>20036.099999999999</v>
      </c>
      <c r="J827" s="513">
        <v>14.21</v>
      </c>
      <c r="K827" s="513">
        <v>1410</v>
      </c>
      <c r="L827" s="518" t="s">
        <v>3498</v>
      </c>
      <c r="M827" s="152" t="s">
        <v>780</v>
      </c>
      <c r="N827" s="152" t="s">
        <v>1407</v>
      </c>
      <c r="O827" s="152" t="s">
        <v>3499</v>
      </c>
      <c r="P827" s="152" t="s">
        <v>3489</v>
      </c>
      <c r="Q827" s="152" t="s">
        <v>3500</v>
      </c>
      <c r="R827" s="152" t="s">
        <v>4079</v>
      </c>
      <c r="S827" s="152" t="s">
        <v>3502</v>
      </c>
      <c r="T827" s="152" t="s">
        <v>786</v>
      </c>
    </row>
    <row r="828" spans="3:20">
      <c r="C828" s="152" t="s">
        <v>2821</v>
      </c>
      <c r="D828" s="474" t="s">
        <v>676</v>
      </c>
      <c r="E828" s="684" t="str">
        <f>+VLOOKUP(F828,Resumen_Base!$C$8:$G$156,5,0)</f>
        <v>Services/House</v>
      </c>
      <c r="F828" s="152" t="s">
        <v>321</v>
      </c>
      <c r="G828" s="152" t="s">
        <v>322</v>
      </c>
      <c r="H828" s="152" t="str">
        <f t="shared" si="14"/>
        <v>CAR5226</v>
      </c>
      <c r="I828" s="513">
        <v>1611630</v>
      </c>
      <c r="J828" s="513">
        <v>1143</v>
      </c>
      <c r="K828" s="513">
        <v>1410</v>
      </c>
      <c r="L828" s="518" t="s">
        <v>3498</v>
      </c>
      <c r="M828" s="152" t="s">
        <v>780</v>
      </c>
      <c r="N828" s="152" t="s">
        <v>1407</v>
      </c>
      <c r="O828" s="152" t="s">
        <v>3499</v>
      </c>
      <c r="P828" s="152" t="s">
        <v>3489</v>
      </c>
      <c r="Q828" s="152" t="s">
        <v>3500</v>
      </c>
      <c r="R828" s="152" t="s">
        <v>4080</v>
      </c>
      <c r="S828" s="152" t="s">
        <v>3502</v>
      </c>
      <c r="T828" s="152" t="s">
        <v>786</v>
      </c>
    </row>
    <row r="829" spans="3:20">
      <c r="C829" s="152" t="s">
        <v>2821</v>
      </c>
      <c r="D829" s="474" t="s">
        <v>676</v>
      </c>
      <c r="E829" s="684" t="str">
        <f>+VLOOKUP(F829,Resumen_Base!$C$8:$G$156,5,0)</f>
        <v>Services/House</v>
      </c>
      <c r="F829" s="152" t="s">
        <v>321</v>
      </c>
      <c r="G829" s="152" t="s">
        <v>322</v>
      </c>
      <c r="H829" s="152" t="str">
        <f t="shared" si="14"/>
        <v>CAR5226</v>
      </c>
      <c r="I829" s="513">
        <v>1611630</v>
      </c>
      <c r="J829" s="513">
        <v>1143</v>
      </c>
      <c r="K829" s="513">
        <v>1410</v>
      </c>
      <c r="L829" s="518" t="s">
        <v>3498</v>
      </c>
      <c r="M829" s="152" t="s">
        <v>780</v>
      </c>
      <c r="N829" s="152" t="s">
        <v>1407</v>
      </c>
      <c r="O829" s="152" t="s">
        <v>3499</v>
      </c>
      <c r="P829" s="152" t="s">
        <v>3489</v>
      </c>
      <c r="Q829" s="152" t="s">
        <v>3500</v>
      </c>
      <c r="R829" s="152" t="s">
        <v>4081</v>
      </c>
      <c r="S829" s="152" t="s">
        <v>3502</v>
      </c>
      <c r="T829" s="152" t="s">
        <v>786</v>
      </c>
    </row>
    <row r="830" spans="3:20">
      <c r="C830" s="152" t="s">
        <v>2821</v>
      </c>
      <c r="D830" s="474" t="s">
        <v>676</v>
      </c>
      <c r="E830" s="684" t="str">
        <f>+VLOOKUP(F830,Resumen_Base!$C$8:$G$156,5,0)</f>
        <v>Services/House</v>
      </c>
      <c r="F830" s="152" t="s">
        <v>321</v>
      </c>
      <c r="G830" s="152" t="s">
        <v>322</v>
      </c>
      <c r="H830" s="152" t="str">
        <f t="shared" si="14"/>
        <v>CAR5226</v>
      </c>
      <c r="I830" s="513">
        <v>2256000</v>
      </c>
      <c r="J830" s="513">
        <v>1600</v>
      </c>
      <c r="K830" s="513">
        <v>1410</v>
      </c>
      <c r="L830" s="518" t="s">
        <v>3498</v>
      </c>
      <c r="M830" s="152" t="s">
        <v>780</v>
      </c>
      <c r="N830" s="152" t="s">
        <v>1407</v>
      </c>
      <c r="O830" s="152" t="s">
        <v>3499</v>
      </c>
      <c r="P830" s="152" t="s">
        <v>3489</v>
      </c>
      <c r="Q830" s="152" t="s">
        <v>3500</v>
      </c>
      <c r="R830" s="152" t="s">
        <v>4082</v>
      </c>
      <c r="S830" s="152" t="s">
        <v>3502</v>
      </c>
      <c r="T830" s="152" t="s">
        <v>786</v>
      </c>
    </row>
    <row r="831" spans="3:20">
      <c r="C831" s="152" t="s">
        <v>2821</v>
      </c>
      <c r="D831" s="474" t="s">
        <v>676</v>
      </c>
      <c r="E831" s="684" t="str">
        <f>+VLOOKUP(F831,Resumen_Base!$C$8:$G$156,5,0)</f>
        <v>Services/House</v>
      </c>
      <c r="F831" s="152" t="s">
        <v>321</v>
      </c>
      <c r="G831" s="152" t="s">
        <v>322</v>
      </c>
      <c r="H831" s="152" t="str">
        <f t="shared" si="14"/>
        <v>CAR5226</v>
      </c>
      <c r="I831" s="513">
        <v>1611630</v>
      </c>
      <c r="J831" s="513">
        <v>1143</v>
      </c>
      <c r="K831" s="513">
        <v>1410</v>
      </c>
      <c r="L831" s="518" t="s">
        <v>3498</v>
      </c>
      <c r="M831" s="152" t="s">
        <v>780</v>
      </c>
      <c r="N831" s="152" t="s">
        <v>1407</v>
      </c>
      <c r="O831" s="152" t="s">
        <v>3499</v>
      </c>
      <c r="P831" s="152" t="s">
        <v>3489</v>
      </c>
      <c r="Q831" s="152" t="s">
        <v>3500</v>
      </c>
      <c r="R831" s="152" t="s">
        <v>4083</v>
      </c>
      <c r="S831" s="152" t="s">
        <v>3502</v>
      </c>
      <c r="T831" s="152" t="s">
        <v>786</v>
      </c>
    </row>
    <row r="832" spans="3:20">
      <c r="C832" s="152" t="s">
        <v>2821</v>
      </c>
      <c r="D832" s="474" t="s">
        <v>676</v>
      </c>
      <c r="E832" s="684" t="str">
        <f>+VLOOKUP(F832,Resumen_Base!$C$8:$G$156,5,0)</f>
        <v>Services/House</v>
      </c>
      <c r="F832" s="152" t="s">
        <v>321</v>
      </c>
      <c r="G832" s="152" t="s">
        <v>322</v>
      </c>
      <c r="H832" s="152" t="str">
        <f t="shared" si="14"/>
        <v>CAR5226</v>
      </c>
      <c r="I832" s="513">
        <v>1839500</v>
      </c>
      <c r="J832" s="513">
        <v>1300</v>
      </c>
      <c r="K832" s="513">
        <v>1415</v>
      </c>
      <c r="L832" s="518" t="s">
        <v>3511</v>
      </c>
      <c r="M832" s="152" t="s">
        <v>780</v>
      </c>
      <c r="N832" s="152" t="s">
        <v>1407</v>
      </c>
      <c r="O832" s="152" t="s">
        <v>4219</v>
      </c>
      <c r="P832" s="152" t="s">
        <v>3489</v>
      </c>
      <c r="Q832" s="152" t="s">
        <v>4220</v>
      </c>
      <c r="R832" s="152" t="s">
        <v>4221</v>
      </c>
      <c r="S832" s="152" t="s">
        <v>4222</v>
      </c>
      <c r="T832" s="152" t="s">
        <v>786</v>
      </c>
    </row>
    <row r="833" spans="1:20">
      <c r="C833" s="152" t="s">
        <v>2821</v>
      </c>
      <c r="D833" s="474" t="s">
        <v>676</v>
      </c>
      <c r="E833" s="684" t="str">
        <f>+VLOOKUP(F833,Resumen_Base!$C$8:$G$156,5,0)</f>
        <v>Services/House</v>
      </c>
      <c r="F833" s="152" t="s">
        <v>321</v>
      </c>
      <c r="G833" s="152" t="s">
        <v>322</v>
      </c>
      <c r="H833" s="152" t="str">
        <f t="shared" si="14"/>
        <v>CAR5226</v>
      </c>
      <c r="I833" s="513">
        <v>2264000</v>
      </c>
      <c r="J833" s="513">
        <v>1600</v>
      </c>
      <c r="K833" s="513">
        <v>1415</v>
      </c>
      <c r="L833" s="518" t="s">
        <v>3511</v>
      </c>
      <c r="M833" s="152" t="s">
        <v>780</v>
      </c>
      <c r="N833" s="152" t="s">
        <v>1407</v>
      </c>
      <c r="O833" s="152" t="s">
        <v>3530</v>
      </c>
      <c r="P833" s="152" t="s">
        <v>3489</v>
      </c>
      <c r="Q833" s="152" t="s">
        <v>3531</v>
      </c>
      <c r="R833" s="152" t="s">
        <v>4224</v>
      </c>
      <c r="S833" s="152" t="s">
        <v>3533</v>
      </c>
      <c r="T833" s="152" t="s">
        <v>786</v>
      </c>
    </row>
    <row r="834" spans="1:20">
      <c r="C834" s="152" t="s">
        <v>2821</v>
      </c>
      <c r="D834" s="474" t="s">
        <v>676</v>
      </c>
      <c r="E834" s="684" t="str">
        <f>+VLOOKUP(F834,Resumen_Base!$C$8:$G$156,5,0)</f>
        <v>Services/House</v>
      </c>
      <c r="F834" s="152" t="s">
        <v>321</v>
      </c>
      <c r="G834" s="152" t="s">
        <v>322</v>
      </c>
      <c r="H834" s="152" t="str">
        <f t="shared" si="14"/>
        <v>CAR5226</v>
      </c>
      <c r="I834" s="513">
        <v>2248000</v>
      </c>
      <c r="J834" s="513">
        <v>1600</v>
      </c>
      <c r="K834" s="513">
        <v>1405</v>
      </c>
      <c r="L834" s="518" t="s">
        <v>3493</v>
      </c>
      <c r="M834" s="152" t="s">
        <v>780</v>
      </c>
      <c r="N834" s="152" t="s">
        <v>1407</v>
      </c>
      <c r="O834" s="152" t="s">
        <v>4197</v>
      </c>
      <c r="P834" s="152" t="s">
        <v>3489</v>
      </c>
      <c r="Q834" s="152" t="s">
        <v>4198</v>
      </c>
      <c r="R834" s="152" t="s">
        <v>4225</v>
      </c>
      <c r="S834" s="152" t="s">
        <v>4200</v>
      </c>
      <c r="T834" s="152" t="s">
        <v>786</v>
      </c>
    </row>
    <row r="835" spans="1:20">
      <c r="C835" s="152" t="s">
        <v>2821</v>
      </c>
      <c r="D835" s="474" t="s">
        <v>676</v>
      </c>
      <c r="E835" s="684" t="str">
        <f>+VLOOKUP(F835,Resumen_Base!$C$8:$G$156,5,0)</f>
        <v>Services/House</v>
      </c>
      <c r="F835" s="152" t="s">
        <v>321</v>
      </c>
      <c r="G835" s="152" t="s">
        <v>322</v>
      </c>
      <c r="H835" s="152" t="str">
        <f t="shared" si="14"/>
        <v>CAR5226</v>
      </c>
      <c r="I835" s="513">
        <v>1584000</v>
      </c>
      <c r="J835" s="513">
        <v>1100</v>
      </c>
      <c r="K835" s="513">
        <v>1440</v>
      </c>
      <c r="L835" s="518" t="s">
        <v>3546</v>
      </c>
      <c r="M835" s="152" t="s">
        <v>780</v>
      </c>
      <c r="N835" s="152" t="s">
        <v>1407</v>
      </c>
      <c r="O835" s="152" t="s">
        <v>4228</v>
      </c>
      <c r="P835" s="152" t="s">
        <v>2865</v>
      </c>
      <c r="Q835" s="152" t="s">
        <v>4229</v>
      </c>
      <c r="R835" s="152" t="s">
        <v>4230</v>
      </c>
      <c r="S835" s="152" t="s">
        <v>4231</v>
      </c>
      <c r="T835" s="152" t="s">
        <v>786</v>
      </c>
    </row>
    <row r="836" spans="1:20" ht="25">
      <c r="A836" s="737" t="s">
        <v>3388</v>
      </c>
      <c r="B836" s="315"/>
      <c r="C836" s="330"/>
      <c r="D836" s="203" t="s">
        <v>676</v>
      </c>
      <c r="E836" s="714" t="str">
        <f>+VLOOKUP(F836,Resumen_Base!$C$8:$G$287,5,0)</f>
        <v>Guides</v>
      </c>
      <c r="F836" s="724" t="s">
        <v>323</v>
      </c>
      <c r="G836" s="725" t="s">
        <v>453</v>
      </c>
      <c r="H836" s="330" t="str">
        <f t="shared" si="14"/>
        <v>CAR5227</v>
      </c>
      <c r="I836" s="314"/>
      <c r="J836" s="314">
        <v>-910</v>
      </c>
      <c r="K836" s="203"/>
      <c r="L836" s="456">
        <v>46075</v>
      </c>
      <c r="M836" s="330"/>
      <c r="N836" s="203" t="s">
        <v>1407</v>
      </c>
      <c r="O836" s="330"/>
      <c r="P836" s="330"/>
      <c r="Q836" s="330"/>
      <c r="R836" s="728" t="s">
        <v>3343</v>
      </c>
    </row>
    <row r="837" spans="1:20" ht="25">
      <c r="A837" s="737" t="s">
        <v>3388</v>
      </c>
      <c r="B837" s="315"/>
      <c r="C837" s="330"/>
      <c r="D837" s="203" t="s">
        <v>676</v>
      </c>
      <c r="E837" s="714" t="str">
        <f>+VLOOKUP(F837,Resumen_Base!$C$8:$G$287,5,0)</f>
        <v>Guides</v>
      </c>
      <c r="F837" s="724" t="s">
        <v>323</v>
      </c>
      <c r="G837" s="725" t="s">
        <v>453</v>
      </c>
      <c r="H837" s="330" t="str">
        <f t="shared" si="14"/>
        <v>CAR5227</v>
      </c>
      <c r="I837" s="314"/>
      <c r="J837" s="314">
        <v>-633</v>
      </c>
      <c r="K837" s="203"/>
      <c r="L837" s="456">
        <v>46075</v>
      </c>
      <c r="M837" s="330"/>
      <c r="N837" s="203" t="s">
        <v>1407</v>
      </c>
      <c r="O837" s="330"/>
      <c r="P837" s="330"/>
      <c r="Q837" s="330"/>
      <c r="R837" s="728" t="s">
        <v>3344</v>
      </c>
    </row>
    <row r="838" spans="1:20" ht="25">
      <c r="A838" s="737" t="s">
        <v>3388</v>
      </c>
      <c r="B838" s="315"/>
      <c r="C838" s="330"/>
      <c r="D838" s="203" t="s">
        <v>676</v>
      </c>
      <c r="E838" s="714" t="str">
        <f>+VLOOKUP(F838,Resumen_Base!$C$8:$G$287,5,0)</f>
        <v>Guides</v>
      </c>
      <c r="F838" s="724" t="s">
        <v>323</v>
      </c>
      <c r="G838" s="725" t="s">
        <v>453</v>
      </c>
      <c r="H838" s="330" t="str">
        <f t="shared" si="14"/>
        <v>CAR5227</v>
      </c>
      <c r="I838" s="314"/>
      <c r="J838" s="314">
        <v>-36</v>
      </c>
      <c r="K838" s="203"/>
      <c r="L838" s="456">
        <v>46075</v>
      </c>
      <c r="M838" s="330"/>
      <c r="N838" s="203" t="s">
        <v>1407</v>
      </c>
      <c r="O838" s="330"/>
      <c r="P838" s="330"/>
      <c r="Q838" s="330"/>
      <c r="R838" s="728" t="s">
        <v>3345</v>
      </c>
    </row>
    <row r="839" spans="1:20" ht="25">
      <c r="A839" s="737" t="s">
        <v>3388</v>
      </c>
      <c r="B839" s="315"/>
      <c r="C839" s="330"/>
      <c r="D839" s="203" t="s">
        <v>676</v>
      </c>
      <c r="E839" s="714" t="str">
        <f>+VLOOKUP(F839,Resumen_Base!$C$8:$G$287,5,0)</f>
        <v>Guides</v>
      </c>
      <c r="F839" s="724" t="s">
        <v>323</v>
      </c>
      <c r="G839" s="725" t="s">
        <v>453</v>
      </c>
      <c r="H839" s="330" t="str">
        <f t="shared" si="14"/>
        <v>CAR5227</v>
      </c>
      <c r="I839" s="314"/>
      <c r="J839" s="314">
        <v>-264.93506493506493</v>
      </c>
      <c r="K839" s="203"/>
      <c r="L839" s="456">
        <v>46068</v>
      </c>
      <c r="M839" s="330"/>
      <c r="N839" s="203" t="s">
        <v>1407</v>
      </c>
      <c r="O839" s="330"/>
      <c r="P839" s="330"/>
      <c r="Q839" s="330"/>
      <c r="R839" s="728" t="s">
        <v>3352</v>
      </c>
    </row>
    <row r="840" spans="1:20" ht="25">
      <c r="A840" s="737" t="s">
        <v>3388</v>
      </c>
      <c r="B840" s="315"/>
      <c r="C840" s="330"/>
      <c r="D840" s="203" t="s">
        <v>676</v>
      </c>
      <c r="E840" s="714" t="str">
        <f>+VLOOKUP(F840,Resumen_Base!$C$8:$G$287,5,0)</f>
        <v>Guides</v>
      </c>
      <c r="F840" s="724" t="s">
        <v>323</v>
      </c>
      <c r="G840" s="725" t="s">
        <v>453</v>
      </c>
      <c r="H840" s="330" t="str">
        <f t="shared" si="14"/>
        <v>CAR5227</v>
      </c>
      <c r="I840" s="314"/>
      <c r="J840" s="314">
        <v>-154.54545454545453</v>
      </c>
      <c r="K840" s="203"/>
      <c r="L840" s="456">
        <v>46061</v>
      </c>
      <c r="M840" s="330"/>
      <c r="N840" s="203" t="s">
        <v>1407</v>
      </c>
      <c r="O840" s="330"/>
      <c r="P840" s="330"/>
      <c r="Q840" s="330"/>
      <c r="R840" s="728" t="s">
        <v>3369</v>
      </c>
    </row>
    <row r="841" spans="1:20" ht="25">
      <c r="A841" s="737" t="s">
        <v>3388</v>
      </c>
      <c r="B841" s="315"/>
      <c r="C841" s="330"/>
      <c r="D841" s="203" t="s">
        <v>676</v>
      </c>
      <c r="E841" s="714" t="str">
        <f>+VLOOKUP(F841,Resumen_Base!$C$8:$G$287,5,0)</f>
        <v>Guides</v>
      </c>
      <c r="F841" s="724" t="s">
        <v>323</v>
      </c>
      <c r="G841" s="725" t="s">
        <v>453</v>
      </c>
      <c r="H841" s="330" t="str">
        <f t="shared" si="14"/>
        <v>CAR5227</v>
      </c>
      <c r="I841" s="314"/>
      <c r="J841" s="314">
        <v>-91.558441558441558</v>
      </c>
      <c r="K841" s="203"/>
      <c r="L841" s="456">
        <v>46061</v>
      </c>
      <c r="M841" s="330"/>
      <c r="N841" s="203" t="s">
        <v>1407</v>
      </c>
      <c r="O841" s="330"/>
      <c r="P841" s="330"/>
      <c r="Q841" s="330"/>
      <c r="R841" s="728" t="s">
        <v>3370</v>
      </c>
    </row>
    <row r="842" spans="1:20" ht="25">
      <c r="A842" s="737" t="s">
        <v>3388</v>
      </c>
      <c r="B842" s="315"/>
      <c r="C842" s="330"/>
      <c r="D842" s="203" t="s">
        <v>676</v>
      </c>
      <c r="E842" s="714" t="str">
        <f>+VLOOKUP(F842,Resumen_Base!$C$8:$G$287,5,0)</f>
        <v>Guides</v>
      </c>
      <c r="F842" s="724" t="s">
        <v>323</v>
      </c>
      <c r="G842" s="725" t="s">
        <v>453</v>
      </c>
      <c r="H842" s="330" t="str">
        <f t="shared" si="14"/>
        <v>CAR5227</v>
      </c>
      <c r="I842" s="314"/>
      <c r="J842" s="314">
        <v>-110.3896103896104</v>
      </c>
      <c r="K842" s="203"/>
      <c r="L842" s="456">
        <v>46061</v>
      </c>
      <c r="M842" s="330"/>
      <c r="N842" s="203" t="s">
        <v>1407</v>
      </c>
      <c r="O842" s="330"/>
      <c r="P842" s="330"/>
      <c r="Q842" s="330"/>
      <c r="R842" s="728" t="s">
        <v>3371</v>
      </c>
    </row>
    <row r="843" spans="1:20" ht="25">
      <c r="A843" s="737" t="s">
        <v>3388</v>
      </c>
      <c r="B843" s="315"/>
      <c r="C843" s="330"/>
      <c r="D843" s="203" t="s">
        <v>676</v>
      </c>
      <c r="E843" s="714" t="str">
        <f>+VLOOKUP(F843,Resumen_Base!$C$8:$G$287,5,0)</f>
        <v>Guides</v>
      </c>
      <c r="F843" s="724" t="s">
        <v>323</v>
      </c>
      <c r="G843" s="725" t="s">
        <v>453</v>
      </c>
      <c r="H843" s="330" t="str">
        <f t="shared" si="14"/>
        <v>CAR5227</v>
      </c>
      <c r="I843" s="314"/>
      <c r="J843" s="314">
        <v>-525.32467532467535</v>
      </c>
      <c r="K843" s="203"/>
      <c r="L843" s="456">
        <v>46061</v>
      </c>
      <c r="M843" s="330"/>
      <c r="N843" s="203" t="s">
        <v>1407</v>
      </c>
      <c r="O843" s="330"/>
      <c r="P843" s="330"/>
      <c r="Q843" s="330"/>
      <c r="R843" s="728" t="s">
        <v>3372</v>
      </c>
    </row>
    <row r="844" spans="1:20" ht="25">
      <c r="A844" s="737" t="s">
        <v>3388</v>
      </c>
      <c r="B844" s="315"/>
      <c r="C844" s="330"/>
      <c r="D844" s="203" t="s">
        <v>676</v>
      </c>
      <c r="E844" s="714" t="str">
        <f>+VLOOKUP(F844,Resumen_Base!$C$8:$G$287,5,0)</f>
        <v>Guides</v>
      </c>
      <c r="F844" s="724" t="s">
        <v>323</v>
      </c>
      <c r="G844" s="725" t="s">
        <v>453</v>
      </c>
      <c r="H844" s="330" t="str">
        <f t="shared" si="14"/>
        <v>CAR5227</v>
      </c>
      <c r="I844" s="314"/>
      <c r="J844" s="314">
        <v>-88.311688311688314</v>
      </c>
      <c r="K844" s="203"/>
      <c r="L844" s="456">
        <v>46061</v>
      </c>
      <c r="M844" s="330"/>
      <c r="N844" s="203" t="s">
        <v>1407</v>
      </c>
      <c r="O844" s="330"/>
      <c r="P844" s="330"/>
      <c r="Q844" s="330"/>
      <c r="R844" s="728" t="s">
        <v>3373</v>
      </c>
    </row>
    <row r="845" spans="1:20" ht="25">
      <c r="A845" s="737" t="s">
        <v>3388</v>
      </c>
      <c r="B845" s="315"/>
      <c r="C845" s="330"/>
      <c r="D845" s="203" t="s">
        <v>676</v>
      </c>
      <c r="E845" s="714" t="str">
        <f>+VLOOKUP(F845,Resumen_Base!$C$8:$G$287,5,0)</f>
        <v>Guides</v>
      </c>
      <c r="F845" s="724" t="s">
        <v>323</v>
      </c>
      <c r="G845" s="725" t="s">
        <v>453</v>
      </c>
      <c r="H845" s="330" t="str">
        <f t="shared" si="14"/>
        <v>CAR5227</v>
      </c>
      <c r="I845" s="314"/>
      <c r="J845" s="314">
        <v>-176.62337662337663</v>
      </c>
      <c r="K845" s="203"/>
      <c r="L845" s="456">
        <v>46061</v>
      </c>
      <c r="M845" s="330"/>
      <c r="N845" s="203" t="s">
        <v>1407</v>
      </c>
      <c r="O845" s="330"/>
      <c r="P845" s="330"/>
      <c r="Q845" s="330"/>
      <c r="R845" s="728" t="s">
        <v>3374</v>
      </c>
    </row>
    <row r="846" spans="1:20" ht="25">
      <c r="A846" s="737" t="s">
        <v>3388</v>
      </c>
      <c r="B846" s="315"/>
      <c r="C846" s="330"/>
      <c r="D846" s="203" t="s">
        <v>676</v>
      </c>
      <c r="E846" s="714" t="str">
        <f>+VLOOKUP(F846,Resumen_Base!$C$8:$G$287,5,0)</f>
        <v>Guides</v>
      </c>
      <c r="F846" s="724" t="s">
        <v>323</v>
      </c>
      <c r="G846" s="725" t="s">
        <v>453</v>
      </c>
      <c r="H846" s="330" t="str">
        <f t="shared" si="14"/>
        <v>CAR5227</v>
      </c>
      <c r="I846" s="314"/>
      <c r="J846" s="314">
        <v>-154.54545454545453</v>
      </c>
      <c r="K846" s="203"/>
      <c r="L846" s="456">
        <v>46061</v>
      </c>
      <c r="M846" s="330"/>
      <c r="N846" s="203" t="s">
        <v>1407</v>
      </c>
      <c r="O846" s="330"/>
      <c r="P846" s="330"/>
      <c r="Q846" s="330"/>
      <c r="R846" s="728" t="s">
        <v>3375</v>
      </c>
    </row>
    <row r="847" spans="1:20" ht="25">
      <c r="A847" s="737" t="s">
        <v>3388</v>
      </c>
      <c r="B847" s="315"/>
      <c r="C847" s="330"/>
      <c r="D847" s="203" t="s">
        <v>676</v>
      </c>
      <c r="E847" s="714" t="str">
        <f>+VLOOKUP(F847,Resumen_Base!$C$8:$G$287,5,0)</f>
        <v>Guides</v>
      </c>
      <c r="F847" s="724" t="s">
        <v>323</v>
      </c>
      <c r="G847" s="725" t="s">
        <v>453</v>
      </c>
      <c r="H847" s="330" t="str">
        <f t="shared" ref="H847:H910" si="15">+D847&amp;F847</f>
        <v>CAR5227</v>
      </c>
      <c r="I847" s="314"/>
      <c r="J847" s="314">
        <v>-375.3246753246753</v>
      </c>
      <c r="K847" s="203"/>
      <c r="L847" s="456">
        <v>46061</v>
      </c>
      <c r="M847" s="330"/>
      <c r="N847" s="203" t="s">
        <v>1407</v>
      </c>
      <c r="O847" s="330"/>
      <c r="P847" s="330"/>
      <c r="Q847" s="330"/>
      <c r="R847" s="728" t="s">
        <v>3376</v>
      </c>
    </row>
    <row r="848" spans="1:20" ht="25">
      <c r="A848" s="737" t="s">
        <v>3388</v>
      </c>
      <c r="B848" s="315"/>
      <c r="C848" s="330"/>
      <c r="D848" s="203" t="s">
        <v>676</v>
      </c>
      <c r="E848" s="714" t="str">
        <f>+VLOOKUP(F848,Resumen_Base!$C$8:$G$287,5,0)</f>
        <v>Guides</v>
      </c>
      <c r="F848" s="724" t="s">
        <v>323</v>
      </c>
      <c r="G848" s="725" t="s">
        <v>453</v>
      </c>
      <c r="H848" s="330" t="str">
        <f t="shared" si="15"/>
        <v>CAR5227</v>
      </c>
      <c r="I848" s="314"/>
      <c r="J848" s="314">
        <v>-88.311688311688314</v>
      </c>
      <c r="K848" s="203"/>
      <c r="L848" s="456">
        <v>46061</v>
      </c>
      <c r="M848" s="330"/>
      <c r="N848" s="203" t="s">
        <v>1407</v>
      </c>
      <c r="O848" s="330"/>
      <c r="P848" s="330"/>
      <c r="Q848" s="330"/>
      <c r="R848" s="728" t="s">
        <v>3377</v>
      </c>
    </row>
    <row r="849" spans="1:20" ht="25">
      <c r="A849" s="737" t="s">
        <v>3388</v>
      </c>
      <c r="B849" s="315"/>
      <c r="C849" s="330"/>
      <c r="D849" s="203" t="s">
        <v>676</v>
      </c>
      <c r="E849" s="714" t="str">
        <f>+VLOOKUP(F849,Resumen_Base!$C$8:$G$287,5,0)</f>
        <v>Guides</v>
      </c>
      <c r="F849" s="724" t="s">
        <v>323</v>
      </c>
      <c r="G849" s="725" t="s">
        <v>453</v>
      </c>
      <c r="H849" s="330" t="str">
        <f t="shared" si="15"/>
        <v>CAR5227</v>
      </c>
      <c r="I849" s="314"/>
      <c r="J849" s="314">
        <v>-375.3246753246753</v>
      </c>
      <c r="K849" s="203"/>
      <c r="L849" s="456">
        <v>46061</v>
      </c>
      <c r="M849" s="330"/>
      <c r="N849" s="203" t="s">
        <v>1407</v>
      </c>
      <c r="O849" s="330"/>
      <c r="P849" s="330"/>
      <c r="Q849" s="330"/>
      <c r="R849" s="728" t="s">
        <v>3378</v>
      </c>
    </row>
    <row r="850" spans="1:20" ht="25">
      <c r="A850" s="737" t="s">
        <v>3388</v>
      </c>
      <c r="B850" s="315"/>
      <c r="C850" s="330"/>
      <c r="D850" s="203" t="s">
        <v>676</v>
      </c>
      <c r="E850" s="714" t="str">
        <f>+VLOOKUP(F850,Resumen_Base!$C$8:$G$287,5,0)</f>
        <v>Guides</v>
      </c>
      <c r="F850" s="724" t="s">
        <v>323</v>
      </c>
      <c r="G850" s="725" t="s">
        <v>453</v>
      </c>
      <c r="H850" s="330" t="str">
        <f t="shared" si="15"/>
        <v>CAR5227</v>
      </c>
      <c r="I850" s="314"/>
      <c r="J850" s="314">
        <v>-154.54545454545453</v>
      </c>
      <c r="K850" s="203"/>
      <c r="L850" s="456">
        <v>46061</v>
      </c>
      <c r="M850" s="330"/>
      <c r="N850" s="203" t="s">
        <v>1407</v>
      </c>
      <c r="O850" s="330"/>
      <c r="P850" s="330"/>
      <c r="Q850" s="330"/>
      <c r="R850" s="728" t="s">
        <v>3379</v>
      </c>
    </row>
    <row r="851" spans="1:20" ht="25">
      <c r="A851" s="737" t="s">
        <v>3388</v>
      </c>
      <c r="B851" s="315"/>
      <c r="C851" s="330"/>
      <c r="D851" s="203" t="s">
        <v>676</v>
      </c>
      <c r="E851" s="714" t="str">
        <f>+VLOOKUP(F851,Resumen_Base!$C$8:$G$287,5,0)</f>
        <v>Guides</v>
      </c>
      <c r="F851" s="724" t="s">
        <v>323</v>
      </c>
      <c r="G851" s="725" t="s">
        <v>453</v>
      </c>
      <c r="H851" s="330" t="str">
        <f t="shared" si="15"/>
        <v>CAR5227</v>
      </c>
      <c r="I851" s="314"/>
      <c r="J851" s="314">
        <v>-262.98701298701297</v>
      </c>
      <c r="K851" s="203"/>
      <c r="L851" s="456">
        <v>46061</v>
      </c>
      <c r="M851" s="330"/>
      <c r="N851" s="203" t="s">
        <v>1407</v>
      </c>
      <c r="O851" s="330"/>
      <c r="P851" s="330"/>
      <c r="Q851" s="330"/>
      <c r="R851" s="728" t="s">
        <v>3380</v>
      </c>
    </row>
    <row r="852" spans="1:20" ht="25">
      <c r="A852" s="737" t="s">
        <v>3388</v>
      </c>
      <c r="B852" s="315"/>
      <c r="C852" s="330"/>
      <c r="D852" s="203" t="s">
        <v>676</v>
      </c>
      <c r="E852" s="714" t="str">
        <f>+VLOOKUP(F852,Resumen_Base!$C$8:$G$287,5,0)</f>
        <v>Guides</v>
      </c>
      <c r="F852" s="724" t="s">
        <v>323</v>
      </c>
      <c r="G852" s="725" t="s">
        <v>453</v>
      </c>
      <c r="H852" s="330" t="str">
        <f t="shared" si="15"/>
        <v>CAR5227</v>
      </c>
      <c r="I852" s="314"/>
      <c r="J852" s="314">
        <v>-88.311688311688314</v>
      </c>
      <c r="K852" s="203"/>
      <c r="L852" s="456">
        <v>46061</v>
      </c>
      <c r="M852" s="330"/>
      <c r="N852" s="203" t="s">
        <v>1407</v>
      </c>
      <c r="O852" s="330"/>
      <c r="P852" s="330"/>
      <c r="Q852" s="330"/>
      <c r="R852" s="728" t="s">
        <v>3381</v>
      </c>
    </row>
    <row r="853" spans="1:20" ht="25">
      <c r="A853" s="737" t="s">
        <v>3388</v>
      </c>
      <c r="B853" s="315"/>
      <c r="C853" s="330"/>
      <c r="D853" s="203" t="s">
        <v>676</v>
      </c>
      <c r="E853" s="714" t="str">
        <f>+VLOOKUP(F853,Resumen_Base!$C$8:$G$287,5,0)</f>
        <v>Guides</v>
      </c>
      <c r="F853" s="724" t="s">
        <v>323</v>
      </c>
      <c r="G853" s="725" t="s">
        <v>453</v>
      </c>
      <c r="H853" s="330" t="str">
        <f t="shared" si="15"/>
        <v>CAR5227</v>
      </c>
      <c r="I853" s="314"/>
      <c r="J853" s="314">
        <v>-88.311688311688314</v>
      </c>
      <c r="K853" s="203"/>
      <c r="L853" s="456">
        <v>46061</v>
      </c>
      <c r="M853" s="330"/>
      <c r="N853" s="203" t="s">
        <v>1407</v>
      </c>
      <c r="O853" s="330"/>
      <c r="P853" s="330"/>
      <c r="Q853" s="330"/>
      <c r="R853" s="728" t="s">
        <v>3382</v>
      </c>
    </row>
    <row r="854" spans="1:20" ht="25">
      <c r="A854" s="737" t="s">
        <v>3388</v>
      </c>
      <c r="B854" s="315"/>
      <c r="C854" s="330"/>
      <c r="D854" s="203" t="s">
        <v>676</v>
      </c>
      <c r="E854" s="714" t="str">
        <f>+VLOOKUP(F854,Resumen_Base!$C$8:$G$287,5,0)</f>
        <v>Guides</v>
      </c>
      <c r="F854" s="724" t="s">
        <v>323</v>
      </c>
      <c r="G854" s="725" t="s">
        <v>453</v>
      </c>
      <c r="H854" s="330" t="str">
        <f t="shared" si="15"/>
        <v>CAR5227</v>
      </c>
      <c r="I854" s="314"/>
      <c r="J854" s="314">
        <v>-1015.5844155844156</v>
      </c>
      <c r="K854" s="203"/>
      <c r="L854" s="456">
        <v>46061</v>
      </c>
      <c r="M854" s="330"/>
      <c r="N854" s="203" t="s">
        <v>1407</v>
      </c>
      <c r="O854" s="330"/>
      <c r="P854" s="330"/>
      <c r="Q854" s="330"/>
      <c r="R854" s="728" t="s">
        <v>3383</v>
      </c>
    </row>
    <row r="855" spans="1:20" ht="25">
      <c r="A855" s="737" t="s">
        <v>3388</v>
      </c>
      <c r="B855" s="315"/>
      <c r="C855" s="330"/>
      <c r="D855" s="203" t="s">
        <v>676</v>
      </c>
      <c r="E855" s="714" t="str">
        <f>+VLOOKUP(F855,Resumen_Base!$C$8:$G$287,5,0)</f>
        <v>Guides</v>
      </c>
      <c r="F855" s="724" t="s">
        <v>323</v>
      </c>
      <c r="G855" s="725" t="s">
        <v>453</v>
      </c>
      <c r="H855" s="330" t="str">
        <f t="shared" si="15"/>
        <v>CAR5227</v>
      </c>
      <c r="I855" s="314"/>
      <c r="J855" s="314">
        <v>-281.11688311688312</v>
      </c>
      <c r="K855" s="203"/>
      <c r="L855" s="456">
        <v>46061</v>
      </c>
      <c r="M855" s="330"/>
      <c r="N855" s="203" t="s">
        <v>1407</v>
      </c>
      <c r="O855" s="330"/>
      <c r="P855" s="330"/>
      <c r="Q855" s="330"/>
      <c r="R855" s="728" t="s">
        <v>3384</v>
      </c>
    </row>
    <row r="856" spans="1:20">
      <c r="C856" s="152" t="s">
        <v>2821</v>
      </c>
      <c r="D856" s="474" t="s">
        <v>676</v>
      </c>
      <c r="E856" s="684" t="str">
        <f>+VLOOKUP(F856,Resumen_Base!$C$8:$G$156,5,0)</f>
        <v>Guides</v>
      </c>
      <c r="F856" s="152" t="s">
        <v>323</v>
      </c>
      <c r="G856" s="152" t="s">
        <v>324</v>
      </c>
      <c r="H856" s="152" t="str">
        <f t="shared" si="15"/>
        <v>CAR5227</v>
      </c>
      <c r="I856" s="513">
        <v>2664.9</v>
      </c>
      <c r="J856" s="513">
        <v>1.89</v>
      </c>
      <c r="K856" s="513">
        <v>1410</v>
      </c>
      <c r="L856" s="518" t="s">
        <v>3498</v>
      </c>
      <c r="M856" s="152" t="s">
        <v>780</v>
      </c>
      <c r="N856" s="152" t="s">
        <v>1407</v>
      </c>
      <c r="O856" s="152" t="s">
        <v>3522</v>
      </c>
      <c r="P856" s="152" t="s">
        <v>3489</v>
      </c>
      <c r="Q856" s="152" t="s">
        <v>3523</v>
      </c>
      <c r="R856" s="152" t="s">
        <v>3524</v>
      </c>
      <c r="S856" s="152" t="s">
        <v>3525</v>
      </c>
      <c r="T856" s="152" t="s">
        <v>786</v>
      </c>
    </row>
    <row r="857" spans="1:20">
      <c r="C857" s="152" t="s">
        <v>2821</v>
      </c>
      <c r="D857" s="474" t="s">
        <v>676</v>
      </c>
      <c r="E857" s="684" t="str">
        <f>+VLOOKUP(F857,Resumen_Base!$C$8:$G$156,5,0)</f>
        <v>Guides</v>
      </c>
      <c r="F857" s="152" t="s">
        <v>323</v>
      </c>
      <c r="G857" s="152" t="s">
        <v>324</v>
      </c>
      <c r="H857" s="152" t="str">
        <f t="shared" si="15"/>
        <v>CAR5227</v>
      </c>
      <c r="I857" s="513">
        <v>737380.5</v>
      </c>
      <c r="J857" s="513">
        <v>517.46</v>
      </c>
      <c r="K857" s="513">
        <v>1425</v>
      </c>
      <c r="L857" s="518" t="s">
        <v>3504</v>
      </c>
      <c r="M857" s="152" t="s">
        <v>780</v>
      </c>
      <c r="N857" s="152" t="s">
        <v>1407</v>
      </c>
      <c r="O857" s="152" t="s">
        <v>3665</v>
      </c>
      <c r="P857" s="152" t="s">
        <v>3489</v>
      </c>
      <c r="Q857" s="152" t="s">
        <v>3666</v>
      </c>
      <c r="R857" s="152" t="s">
        <v>3667</v>
      </c>
      <c r="S857" s="152" t="s">
        <v>3668</v>
      </c>
      <c r="T857" s="152" t="s">
        <v>786</v>
      </c>
    </row>
    <row r="858" spans="1:20">
      <c r="C858" s="152" t="s">
        <v>2821</v>
      </c>
      <c r="D858" s="474" t="s">
        <v>676</v>
      </c>
      <c r="E858" s="684" t="str">
        <f>+VLOOKUP(F858,Resumen_Base!$C$8:$G$156,5,0)</f>
        <v>Guides</v>
      </c>
      <c r="F858" s="152" t="s">
        <v>323</v>
      </c>
      <c r="G858" s="152" t="s">
        <v>324</v>
      </c>
      <c r="H858" s="152" t="str">
        <f t="shared" si="15"/>
        <v>CAR5227</v>
      </c>
      <c r="I858" s="513">
        <v>285136.65000000002</v>
      </c>
      <c r="J858" s="513">
        <v>201.51</v>
      </c>
      <c r="K858" s="513">
        <v>1415</v>
      </c>
      <c r="L858" s="518" t="s">
        <v>3632</v>
      </c>
      <c r="M858" s="152" t="s">
        <v>780</v>
      </c>
      <c r="N858" s="152" t="s">
        <v>1407</v>
      </c>
      <c r="O858" s="152" t="s">
        <v>3673</v>
      </c>
      <c r="P858" s="152" t="s">
        <v>3489</v>
      </c>
      <c r="Q858" s="152" t="s">
        <v>3674</v>
      </c>
      <c r="R858" s="152" t="s">
        <v>3675</v>
      </c>
      <c r="S858" s="152" t="s">
        <v>3676</v>
      </c>
      <c r="T858" s="152" t="s">
        <v>786</v>
      </c>
    </row>
    <row r="859" spans="1:20">
      <c r="C859" s="152" t="s">
        <v>2821</v>
      </c>
      <c r="D859" s="474" t="s">
        <v>676</v>
      </c>
      <c r="E859" s="684" t="str">
        <f>+VLOOKUP(F859,Resumen_Base!$C$8:$G$156,5,0)</f>
        <v>Guides</v>
      </c>
      <c r="F859" s="152" t="s">
        <v>323</v>
      </c>
      <c r="G859" s="152" t="s">
        <v>324</v>
      </c>
      <c r="H859" s="152" t="str">
        <f t="shared" si="15"/>
        <v>CAR5227</v>
      </c>
      <c r="I859" s="513">
        <v>222840</v>
      </c>
      <c r="J859" s="513">
        <v>154.75</v>
      </c>
      <c r="K859" s="513">
        <v>1440</v>
      </c>
      <c r="L859" s="518" t="s">
        <v>3517</v>
      </c>
      <c r="M859" s="152" t="s">
        <v>780</v>
      </c>
      <c r="N859" s="152" t="s">
        <v>1407</v>
      </c>
      <c r="O859" s="152" t="s">
        <v>3655</v>
      </c>
      <c r="P859" s="152" t="s">
        <v>892</v>
      </c>
      <c r="Q859" s="152" t="s">
        <v>3656</v>
      </c>
      <c r="R859" s="152" t="s">
        <v>3705</v>
      </c>
      <c r="S859" s="152" t="s">
        <v>3658</v>
      </c>
      <c r="T859" s="152" t="s">
        <v>786</v>
      </c>
    </row>
    <row r="860" spans="1:20">
      <c r="C860" s="152" t="s">
        <v>2821</v>
      </c>
      <c r="D860" s="474" t="s">
        <v>676</v>
      </c>
      <c r="E860" s="684" t="str">
        <f>+VLOOKUP(F860,Resumen_Base!$C$8:$G$156,5,0)</f>
        <v>Guides</v>
      </c>
      <c r="F860" s="152" t="s">
        <v>323</v>
      </c>
      <c r="G860" s="152" t="s">
        <v>324</v>
      </c>
      <c r="H860" s="152" t="str">
        <f t="shared" si="15"/>
        <v>CAR5227</v>
      </c>
      <c r="I860" s="513">
        <v>132019.20000000001</v>
      </c>
      <c r="J860" s="513">
        <v>91.68</v>
      </c>
      <c r="K860" s="513">
        <v>1440</v>
      </c>
      <c r="L860" s="518" t="s">
        <v>3517</v>
      </c>
      <c r="M860" s="152" t="s">
        <v>780</v>
      </c>
      <c r="N860" s="152" t="s">
        <v>1407</v>
      </c>
      <c r="O860" s="152" t="s">
        <v>3655</v>
      </c>
      <c r="P860" s="152" t="s">
        <v>892</v>
      </c>
      <c r="Q860" s="152" t="s">
        <v>3656</v>
      </c>
      <c r="R860" s="152" t="s">
        <v>3706</v>
      </c>
      <c r="S860" s="152" t="s">
        <v>3658</v>
      </c>
      <c r="T860" s="152" t="s">
        <v>786</v>
      </c>
    </row>
    <row r="861" spans="1:20">
      <c r="C861" s="152" t="s">
        <v>2821</v>
      </c>
      <c r="D861" s="474" t="s">
        <v>676</v>
      </c>
      <c r="E861" s="684" t="str">
        <f>+VLOOKUP(F861,Resumen_Base!$C$8:$G$156,5,0)</f>
        <v>Guides</v>
      </c>
      <c r="F861" s="152" t="s">
        <v>323</v>
      </c>
      <c r="G861" s="152" t="s">
        <v>324</v>
      </c>
      <c r="H861" s="152" t="str">
        <f t="shared" si="15"/>
        <v>CAR5227</v>
      </c>
      <c r="I861" s="513">
        <v>159163.20000000001</v>
      </c>
      <c r="J861" s="513">
        <v>110.53</v>
      </c>
      <c r="K861" s="513">
        <v>1440</v>
      </c>
      <c r="L861" s="518" t="s">
        <v>3517</v>
      </c>
      <c r="M861" s="152" t="s">
        <v>780</v>
      </c>
      <c r="N861" s="152" t="s">
        <v>1407</v>
      </c>
      <c r="O861" s="152" t="s">
        <v>3655</v>
      </c>
      <c r="P861" s="152" t="s">
        <v>892</v>
      </c>
      <c r="Q861" s="152" t="s">
        <v>3656</v>
      </c>
      <c r="R861" s="152" t="s">
        <v>3707</v>
      </c>
      <c r="S861" s="152" t="s">
        <v>3658</v>
      </c>
      <c r="T861" s="152" t="s">
        <v>786</v>
      </c>
    </row>
    <row r="862" spans="1:20">
      <c r="C862" s="152" t="s">
        <v>2821</v>
      </c>
      <c r="D862" s="474" t="s">
        <v>676</v>
      </c>
      <c r="E862" s="684" t="str">
        <f>+VLOOKUP(F862,Resumen_Base!$C$8:$G$156,5,0)</f>
        <v>Guides</v>
      </c>
      <c r="F862" s="152" t="s">
        <v>323</v>
      </c>
      <c r="G862" s="152" t="s">
        <v>324</v>
      </c>
      <c r="H862" s="152" t="str">
        <f t="shared" si="15"/>
        <v>CAR5227</v>
      </c>
      <c r="I862" s="513">
        <v>757454.4</v>
      </c>
      <c r="J862" s="513">
        <v>526.01</v>
      </c>
      <c r="K862" s="513">
        <v>1440</v>
      </c>
      <c r="L862" s="518" t="s">
        <v>3517</v>
      </c>
      <c r="M862" s="152" t="s">
        <v>780</v>
      </c>
      <c r="N862" s="152" t="s">
        <v>1407</v>
      </c>
      <c r="O862" s="152" t="s">
        <v>3655</v>
      </c>
      <c r="P862" s="152" t="s">
        <v>892</v>
      </c>
      <c r="Q862" s="152" t="s">
        <v>3656</v>
      </c>
      <c r="R862" s="152" t="s">
        <v>3708</v>
      </c>
      <c r="S862" s="152" t="s">
        <v>3658</v>
      </c>
      <c r="T862" s="152" t="s">
        <v>786</v>
      </c>
    </row>
    <row r="863" spans="1:20">
      <c r="C863" s="152" t="s">
        <v>2821</v>
      </c>
      <c r="D863" s="474" t="s">
        <v>676</v>
      </c>
      <c r="E863" s="684" t="str">
        <f>+VLOOKUP(F863,Resumen_Base!$C$8:$G$156,5,0)</f>
        <v>Guides</v>
      </c>
      <c r="F863" s="152" t="s">
        <v>323</v>
      </c>
      <c r="G863" s="152" t="s">
        <v>324</v>
      </c>
      <c r="H863" s="152" t="str">
        <f t="shared" si="15"/>
        <v>CAR5227</v>
      </c>
      <c r="I863" s="513">
        <v>127339.2</v>
      </c>
      <c r="J863" s="513">
        <v>88.43</v>
      </c>
      <c r="K863" s="513">
        <v>1440</v>
      </c>
      <c r="L863" s="518" t="s">
        <v>3517</v>
      </c>
      <c r="M863" s="152" t="s">
        <v>780</v>
      </c>
      <c r="N863" s="152" t="s">
        <v>1407</v>
      </c>
      <c r="O863" s="152" t="s">
        <v>3655</v>
      </c>
      <c r="P863" s="152" t="s">
        <v>892</v>
      </c>
      <c r="Q863" s="152" t="s">
        <v>3656</v>
      </c>
      <c r="R863" s="152" t="s">
        <v>3709</v>
      </c>
      <c r="S863" s="152" t="s">
        <v>3658</v>
      </c>
      <c r="T863" s="152" t="s">
        <v>786</v>
      </c>
    </row>
    <row r="864" spans="1:20">
      <c r="C864" s="152" t="s">
        <v>2821</v>
      </c>
      <c r="D864" s="474" t="s">
        <v>676</v>
      </c>
      <c r="E864" s="684" t="str">
        <f>+VLOOKUP(F864,Resumen_Base!$C$8:$G$156,5,0)</f>
        <v>Guides</v>
      </c>
      <c r="F864" s="152" t="s">
        <v>323</v>
      </c>
      <c r="G864" s="152" t="s">
        <v>324</v>
      </c>
      <c r="H864" s="152" t="str">
        <f t="shared" si="15"/>
        <v>CAR5227</v>
      </c>
      <c r="I864" s="513">
        <v>254664</v>
      </c>
      <c r="J864" s="513">
        <v>176.85</v>
      </c>
      <c r="K864" s="513">
        <v>1440</v>
      </c>
      <c r="L864" s="518" t="s">
        <v>3517</v>
      </c>
      <c r="M864" s="152" t="s">
        <v>780</v>
      </c>
      <c r="N864" s="152" t="s">
        <v>1407</v>
      </c>
      <c r="O864" s="152" t="s">
        <v>3655</v>
      </c>
      <c r="P864" s="152" t="s">
        <v>892</v>
      </c>
      <c r="Q864" s="152" t="s">
        <v>3656</v>
      </c>
      <c r="R864" s="152" t="s">
        <v>3710</v>
      </c>
      <c r="S864" s="152" t="s">
        <v>3658</v>
      </c>
      <c r="T864" s="152" t="s">
        <v>786</v>
      </c>
    </row>
    <row r="865" spans="3:20">
      <c r="C865" s="152" t="s">
        <v>2821</v>
      </c>
      <c r="D865" s="474" t="s">
        <v>676</v>
      </c>
      <c r="E865" s="684" t="str">
        <f>+VLOOKUP(F865,Resumen_Base!$C$8:$G$156,5,0)</f>
        <v>Guides</v>
      </c>
      <c r="F865" s="152" t="s">
        <v>323</v>
      </c>
      <c r="G865" s="152" t="s">
        <v>324</v>
      </c>
      <c r="H865" s="152" t="str">
        <f t="shared" si="15"/>
        <v>CAR5227</v>
      </c>
      <c r="I865" s="513">
        <v>222840</v>
      </c>
      <c r="J865" s="513">
        <v>154.75</v>
      </c>
      <c r="K865" s="513">
        <v>1440</v>
      </c>
      <c r="L865" s="518" t="s">
        <v>3517</v>
      </c>
      <c r="M865" s="152" t="s">
        <v>780</v>
      </c>
      <c r="N865" s="152" t="s">
        <v>1407</v>
      </c>
      <c r="O865" s="152" t="s">
        <v>3655</v>
      </c>
      <c r="P865" s="152" t="s">
        <v>892</v>
      </c>
      <c r="Q865" s="152" t="s">
        <v>3656</v>
      </c>
      <c r="R865" s="152" t="s">
        <v>3711</v>
      </c>
      <c r="S865" s="152" t="s">
        <v>3658</v>
      </c>
      <c r="T865" s="152" t="s">
        <v>786</v>
      </c>
    </row>
    <row r="866" spans="3:20">
      <c r="C866" s="152" t="s">
        <v>2821</v>
      </c>
      <c r="D866" s="474" t="s">
        <v>676</v>
      </c>
      <c r="E866" s="684" t="str">
        <f>+VLOOKUP(F866,Resumen_Base!$C$8:$G$156,5,0)</f>
        <v>Guides</v>
      </c>
      <c r="F866" s="152" t="s">
        <v>323</v>
      </c>
      <c r="G866" s="152" t="s">
        <v>324</v>
      </c>
      <c r="H866" s="152" t="str">
        <f t="shared" si="15"/>
        <v>CAR5227</v>
      </c>
      <c r="I866" s="513">
        <v>541166.4</v>
      </c>
      <c r="J866" s="513">
        <v>375.81</v>
      </c>
      <c r="K866" s="513">
        <v>1440</v>
      </c>
      <c r="L866" s="518" t="s">
        <v>3517</v>
      </c>
      <c r="M866" s="152" t="s">
        <v>780</v>
      </c>
      <c r="N866" s="152" t="s">
        <v>1407</v>
      </c>
      <c r="O866" s="152" t="s">
        <v>3655</v>
      </c>
      <c r="P866" s="152" t="s">
        <v>892</v>
      </c>
      <c r="Q866" s="152" t="s">
        <v>3656</v>
      </c>
      <c r="R866" s="152" t="s">
        <v>3712</v>
      </c>
      <c r="S866" s="152" t="s">
        <v>3658</v>
      </c>
      <c r="T866" s="152" t="s">
        <v>786</v>
      </c>
    </row>
    <row r="867" spans="3:20">
      <c r="C867" s="152" t="s">
        <v>2821</v>
      </c>
      <c r="D867" s="474" t="s">
        <v>676</v>
      </c>
      <c r="E867" s="684" t="str">
        <f>+VLOOKUP(F867,Resumen_Base!$C$8:$G$156,5,0)</f>
        <v>Guides</v>
      </c>
      <c r="F867" s="152" t="s">
        <v>323</v>
      </c>
      <c r="G867" s="152" t="s">
        <v>324</v>
      </c>
      <c r="H867" s="152" t="str">
        <f t="shared" si="15"/>
        <v>CAR5227</v>
      </c>
      <c r="I867" s="513">
        <v>127339.2</v>
      </c>
      <c r="J867" s="513">
        <v>88.43</v>
      </c>
      <c r="K867" s="513">
        <v>1440</v>
      </c>
      <c r="L867" s="518" t="s">
        <v>3517</v>
      </c>
      <c r="M867" s="152" t="s">
        <v>780</v>
      </c>
      <c r="N867" s="152" t="s">
        <v>1407</v>
      </c>
      <c r="O867" s="152" t="s">
        <v>3655</v>
      </c>
      <c r="P867" s="152" t="s">
        <v>892</v>
      </c>
      <c r="Q867" s="152" t="s">
        <v>3656</v>
      </c>
      <c r="R867" s="152" t="s">
        <v>3713</v>
      </c>
      <c r="S867" s="152" t="s">
        <v>3658</v>
      </c>
      <c r="T867" s="152" t="s">
        <v>786</v>
      </c>
    </row>
    <row r="868" spans="3:20">
      <c r="C868" s="152" t="s">
        <v>2821</v>
      </c>
      <c r="D868" s="474" t="s">
        <v>676</v>
      </c>
      <c r="E868" s="684" t="str">
        <f>+VLOOKUP(F868,Resumen_Base!$C$8:$G$156,5,0)</f>
        <v>Guides</v>
      </c>
      <c r="F868" s="152" t="s">
        <v>323</v>
      </c>
      <c r="G868" s="152" t="s">
        <v>324</v>
      </c>
      <c r="H868" s="152" t="str">
        <f t="shared" si="15"/>
        <v>CAR5227</v>
      </c>
      <c r="I868" s="513">
        <v>541166.4</v>
      </c>
      <c r="J868" s="513">
        <v>375.81</v>
      </c>
      <c r="K868" s="513">
        <v>1440</v>
      </c>
      <c r="L868" s="518" t="s">
        <v>3517</v>
      </c>
      <c r="M868" s="152" t="s">
        <v>780</v>
      </c>
      <c r="N868" s="152" t="s">
        <v>1407</v>
      </c>
      <c r="O868" s="152" t="s">
        <v>3655</v>
      </c>
      <c r="P868" s="152" t="s">
        <v>892</v>
      </c>
      <c r="Q868" s="152" t="s">
        <v>3656</v>
      </c>
      <c r="R868" s="152" t="s">
        <v>3714</v>
      </c>
      <c r="S868" s="152" t="s">
        <v>3658</v>
      </c>
      <c r="T868" s="152" t="s">
        <v>786</v>
      </c>
    </row>
    <row r="869" spans="3:20">
      <c r="C869" s="152" t="s">
        <v>2821</v>
      </c>
      <c r="D869" s="474" t="s">
        <v>676</v>
      </c>
      <c r="E869" s="684" t="str">
        <f>+VLOOKUP(F869,Resumen_Base!$C$8:$G$156,5,0)</f>
        <v>Guides</v>
      </c>
      <c r="F869" s="152" t="s">
        <v>323</v>
      </c>
      <c r="G869" s="152" t="s">
        <v>324</v>
      </c>
      <c r="H869" s="152" t="str">
        <f t="shared" si="15"/>
        <v>CAR5227</v>
      </c>
      <c r="I869" s="513">
        <v>222840</v>
      </c>
      <c r="J869" s="513">
        <v>154.75</v>
      </c>
      <c r="K869" s="513">
        <v>1440</v>
      </c>
      <c r="L869" s="518" t="s">
        <v>3517</v>
      </c>
      <c r="M869" s="152" t="s">
        <v>780</v>
      </c>
      <c r="N869" s="152" t="s">
        <v>1407</v>
      </c>
      <c r="O869" s="152" t="s">
        <v>3655</v>
      </c>
      <c r="P869" s="152" t="s">
        <v>892</v>
      </c>
      <c r="Q869" s="152" t="s">
        <v>3656</v>
      </c>
      <c r="R869" s="152" t="s">
        <v>3715</v>
      </c>
      <c r="S869" s="152" t="s">
        <v>3658</v>
      </c>
      <c r="T869" s="152" t="s">
        <v>786</v>
      </c>
    </row>
    <row r="870" spans="3:20">
      <c r="C870" s="152" t="s">
        <v>2821</v>
      </c>
      <c r="D870" s="474" t="s">
        <v>676</v>
      </c>
      <c r="E870" s="684" t="str">
        <f>+VLOOKUP(F870,Resumen_Base!$C$8:$G$156,5,0)</f>
        <v>Guides</v>
      </c>
      <c r="F870" s="152" t="s">
        <v>323</v>
      </c>
      <c r="G870" s="152" t="s">
        <v>324</v>
      </c>
      <c r="H870" s="152" t="str">
        <f t="shared" si="15"/>
        <v>CAR5227</v>
      </c>
      <c r="I870" s="513">
        <v>379195.2</v>
      </c>
      <c r="J870" s="513">
        <v>263.33</v>
      </c>
      <c r="K870" s="513">
        <v>1440</v>
      </c>
      <c r="L870" s="518" t="s">
        <v>3517</v>
      </c>
      <c r="M870" s="152" t="s">
        <v>780</v>
      </c>
      <c r="N870" s="152" t="s">
        <v>1407</v>
      </c>
      <c r="O870" s="152" t="s">
        <v>3655</v>
      </c>
      <c r="P870" s="152" t="s">
        <v>892</v>
      </c>
      <c r="Q870" s="152" t="s">
        <v>3656</v>
      </c>
      <c r="R870" s="152" t="s">
        <v>3716</v>
      </c>
      <c r="S870" s="152" t="s">
        <v>3658</v>
      </c>
      <c r="T870" s="152" t="s">
        <v>786</v>
      </c>
    </row>
    <row r="871" spans="3:20">
      <c r="C871" s="152" t="s">
        <v>2821</v>
      </c>
      <c r="D871" s="474" t="s">
        <v>676</v>
      </c>
      <c r="E871" s="684" t="str">
        <f>+VLOOKUP(F871,Resumen_Base!$C$8:$G$156,5,0)</f>
        <v>Guides</v>
      </c>
      <c r="F871" s="152" t="s">
        <v>323</v>
      </c>
      <c r="G871" s="152" t="s">
        <v>324</v>
      </c>
      <c r="H871" s="152" t="str">
        <f t="shared" si="15"/>
        <v>CAR5227</v>
      </c>
      <c r="I871" s="513">
        <v>127339.2</v>
      </c>
      <c r="J871" s="513">
        <v>88.43</v>
      </c>
      <c r="K871" s="513">
        <v>1440</v>
      </c>
      <c r="L871" s="518" t="s">
        <v>3517</v>
      </c>
      <c r="M871" s="152" t="s">
        <v>780</v>
      </c>
      <c r="N871" s="152" t="s">
        <v>1407</v>
      </c>
      <c r="O871" s="152" t="s">
        <v>3655</v>
      </c>
      <c r="P871" s="152" t="s">
        <v>892</v>
      </c>
      <c r="Q871" s="152" t="s">
        <v>3656</v>
      </c>
      <c r="R871" s="152" t="s">
        <v>3717</v>
      </c>
      <c r="S871" s="152" t="s">
        <v>3658</v>
      </c>
      <c r="T871" s="152" t="s">
        <v>786</v>
      </c>
    </row>
    <row r="872" spans="3:20">
      <c r="C872" s="152" t="s">
        <v>2821</v>
      </c>
      <c r="D872" s="474" t="s">
        <v>676</v>
      </c>
      <c r="E872" s="684" t="str">
        <f>+VLOOKUP(F872,Resumen_Base!$C$8:$G$156,5,0)</f>
        <v>Guides</v>
      </c>
      <c r="F872" s="152" t="s">
        <v>323</v>
      </c>
      <c r="G872" s="152" t="s">
        <v>324</v>
      </c>
      <c r="H872" s="152" t="str">
        <f t="shared" si="15"/>
        <v>CAR5227</v>
      </c>
      <c r="I872" s="513">
        <v>378024</v>
      </c>
      <c r="J872" s="513">
        <v>265.27999999999997</v>
      </c>
      <c r="K872" s="513">
        <v>1425</v>
      </c>
      <c r="L872" s="518" t="s">
        <v>3637</v>
      </c>
      <c r="M872" s="152" t="s">
        <v>780</v>
      </c>
      <c r="N872" s="152" t="s">
        <v>1407</v>
      </c>
      <c r="O872" s="152" t="s">
        <v>3680</v>
      </c>
      <c r="P872" s="152" t="s">
        <v>2865</v>
      </c>
      <c r="Q872" s="152" t="s">
        <v>3681</v>
      </c>
      <c r="R872" s="152" t="s">
        <v>3718</v>
      </c>
      <c r="S872" s="152" t="s">
        <v>3683</v>
      </c>
      <c r="T872" s="152" t="s">
        <v>786</v>
      </c>
    </row>
    <row r="873" spans="3:20">
      <c r="C873" s="152" t="s">
        <v>2821</v>
      </c>
      <c r="D873" s="474" t="s">
        <v>676</v>
      </c>
      <c r="E873" s="684" t="str">
        <f>+VLOOKUP(F873,Resumen_Base!$C$8:$G$156,5,0)</f>
        <v>Guides</v>
      </c>
      <c r="F873" s="152" t="s">
        <v>323</v>
      </c>
      <c r="G873" s="152" t="s">
        <v>324</v>
      </c>
      <c r="H873" s="152" t="str">
        <f t="shared" si="15"/>
        <v>CAR5227</v>
      </c>
      <c r="I873" s="513">
        <v>127339.2</v>
      </c>
      <c r="J873" s="513">
        <v>88.43</v>
      </c>
      <c r="K873" s="513">
        <v>1440</v>
      </c>
      <c r="L873" s="518" t="s">
        <v>3517</v>
      </c>
      <c r="M873" s="152" t="s">
        <v>780</v>
      </c>
      <c r="N873" s="152" t="s">
        <v>1407</v>
      </c>
      <c r="O873" s="152" t="s">
        <v>3655</v>
      </c>
      <c r="P873" s="152" t="s">
        <v>892</v>
      </c>
      <c r="Q873" s="152" t="s">
        <v>3656</v>
      </c>
      <c r="R873" s="152" t="s">
        <v>3719</v>
      </c>
      <c r="S873" s="152" t="s">
        <v>3658</v>
      </c>
      <c r="T873" s="152" t="s">
        <v>786</v>
      </c>
    </row>
    <row r="874" spans="3:20">
      <c r="C874" s="152" t="s">
        <v>2821</v>
      </c>
      <c r="D874" s="474" t="s">
        <v>676</v>
      </c>
      <c r="E874" s="684" t="str">
        <f>+VLOOKUP(F874,Resumen_Base!$C$8:$G$156,5,0)</f>
        <v>Guides</v>
      </c>
      <c r="F874" s="152" t="s">
        <v>323</v>
      </c>
      <c r="G874" s="152" t="s">
        <v>324</v>
      </c>
      <c r="H874" s="152" t="str">
        <f t="shared" si="15"/>
        <v>CAR5227</v>
      </c>
      <c r="I874" s="513">
        <v>313386</v>
      </c>
      <c r="J874" s="513">
        <v>219.92</v>
      </c>
      <c r="K874" s="513">
        <v>1425</v>
      </c>
      <c r="L874" s="518" t="s">
        <v>3504</v>
      </c>
      <c r="M874" s="152" t="s">
        <v>780</v>
      </c>
      <c r="N874" s="152" t="s">
        <v>1407</v>
      </c>
      <c r="O874" s="152" t="s">
        <v>3665</v>
      </c>
      <c r="P874" s="152" t="s">
        <v>3489</v>
      </c>
      <c r="Q874" s="152" t="s">
        <v>3666</v>
      </c>
      <c r="R874" s="152" t="s">
        <v>3720</v>
      </c>
      <c r="S874" s="152" t="s">
        <v>3668</v>
      </c>
      <c r="T874" s="152" t="s">
        <v>786</v>
      </c>
    </row>
    <row r="875" spans="3:20">
      <c r="C875" s="152" t="s">
        <v>2821</v>
      </c>
      <c r="D875" s="474" t="s">
        <v>676</v>
      </c>
      <c r="E875" s="684" t="str">
        <f>+VLOOKUP(F875,Resumen_Base!$C$8:$G$156,5,0)</f>
        <v>Guides</v>
      </c>
      <c r="F875" s="152" t="s">
        <v>323</v>
      </c>
      <c r="G875" s="152" t="s">
        <v>324</v>
      </c>
      <c r="H875" s="152" t="str">
        <f t="shared" si="15"/>
        <v>CAR5227</v>
      </c>
      <c r="I875" s="513">
        <v>407407.5</v>
      </c>
      <c r="J875" s="513">
        <v>285.89999999999998</v>
      </c>
      <c r="K875" s="513">
        <v>1425</v>
      </c>
      <c r="L875" s="518" t="s">
        <v>3504</v>
      </c>
      <c r="M875" s="152" t="s">
        <v>780</v>
      </c>
      <c r="N875" s="152" t="s">
        <v>1407</v>
      </c>
      <c r="O875" s="152" t="s">
        <v>3665</v>
      </c>
      <c r="P875" s="152" t="s">
        <v>3489</v>
      </c>
      <c r="Q875" s="152" t="s">
        <v>3666</v>
      </c>
      <c r="R875" s="152" t="s">
        <v>3721</v>
      </c>
      <c r="S875" s="152" t="s">
        <v>3668</v>
      </c>
      <c r="T875" s="152" t="s">
        <v>786</v>
      </c>
    </row>
    <row r="876" spans="3:20">
      <c r="C876" s="152" t="s">
        <v>2821</v>
      </c>
      <c r="D876" s="474" t="s">
        <v>676</v>
      </c>
      <c r="E876" s="684" t="str">
        <f>+VLOOKUP(F876,Resumen_Base!$C$8:$G$156,5,0)</f>
        <v>Guides</v>
      </c>
      <c r="F876" s="152" t="s">
        <v>323</v>
      </c>
      <c r="G876" s="152" t="s">
        <v>324</v>
      </c>
      <c r="H876" s="152" t="str">
        <f t="shared" si="15"/>
        <v>CAR5227</v>
      </c>
      <c r="I876" s="513">
        <v>125357.25</v>
      </c>
      <c r="J876" s="513">
        <v>87.97</v>
      </c>
      <c r="K876" s="513">
        <v>1425</v>
      </c>
      <c r="L876" s="518" t="s">
        <v>3504</v>
      </c>
      <c r="M876" s="152" t="s">
        <v>780</v>
      </c>
      <c r="N876" s="152" t="s">
        <v>1407</v>
      </c>
      <c r="O876" s="152" t="s">
        <v>3665</v>
      </c>
      <c r="P876" s="152" t="s">
        <v>3489</v>
      </c>
      <c r="Q876" s="152" t="s">
        <v>3666</v>
      </c>
      <c r="R876" s="152" t="s">
        <v>3722</v>
      </c>
      <c r="S876" s="152" t="s">
        <v>3668</v>
      </c>
      <c r="T876" s="152" t="s">
        <v>786</v>
      </c>
    </row>
    <row r="877" spans="3:20">
      <c r="C877" s="152" t="s">
        <v>2821</v>
      </c>
      <c r="D877" s="474" t="s">
        <v>676</v>
      </c>
      <c r="E877" s="684" t="str">
        <f>+VLOOKUP(F877,Resumen_Base!$C$8:$G$156,5,0)</f>
        <v>Guides</v>
      </c>
      <c r="F877" s="152" t="s">
        <v>323</v>
      </c>
      <c r="G877" s="152" t="s">
        <v>324</v>
      </c>
      <c r="H877" s="152" t="str">
        <f t="shared" si="15"/>
        <v>CAR5227</v>
      </c>
      <c r="I877" s="513">
        <v>958597.5</v>
      </c>
      <c r="J877" s="513">
        <v>672.7</v>
      </c>
      <c r="K877" s="513">
        <v>1425</v>
      </c>
      <c r="L877" s="518" t="s">
        <v>3504</v>
      </c>
      <c r="M877" s="152" t="s">
        <v>780</v>
      </c>
      <c r="N877" s="152" t="s">
        <v>1407</v>
      </c>
      <c r="O877" s="152" t="s">
        <v>3665</v>
      </c>
      <c r="P877" s="152" t="s">
        <v>3489</v>
      </c>
      <c r="Q877" s="152" t="s">
        <v>3666</v>
      </c>
      <c r="R877" s="152" t="s">
        <v>3723</v>
      </c>
      <c r="S877" s="152" t="s">
        <v>3668</v>
      </c>
      <c r="T877" s="152" t="s">
        <v>786</v>
      </c>
    </row>
    <row r="878" spans="3:20">
      <c r="C878" s="152" t="s">
        <v>2821</v>
      </c>
      <c r="D878" s="474" t="s">
        <v>676</v>
      </c>
      <c r="E878" s="684" t="str">
        <f>+VLOOKUP(F878,Resumen_Base!$C$8:$G$156,5,0)</f>
        <v>Guides</v>
      </c>
      <c r="F878" s="152" t="s">
        <v>323</v>
      </c>
      <c r="G878" s="152" t="s">
        <v>324</v>
      </c>
      <c r="H878" s="152" t="str">
        <f t="shared" si="15"/>
        <v>CAR5227</v>
      </c>
      <c r="I878" s="513">
        <v>501429</v>
      </c>
      <c r="J878" s="513">
        <v>351.88</v>
      </c>
      <c r="K878" s="513">
        <v>1425</v>
      </c>
      <c r="L878" s="518" t="s">
        <v>3504</v>
      </c>
      <c r="M878" s="152" t="s">
        <v>780</v>
      </c>
      <c r="N878" s="152" t="s">
        <v>1407</v>
      </c>
      <c r="O878" s="152" t="s">
        <v>3665</v>
      </c>
      <c r="P878" s="152" t="s">
        <v>3489</v>
      </c>
      <c r="Q878" s="152" t="s">
        <v>3666</v>
      </c>
      <c r="R878" s="152" t="s">
        <v>3724</v>
      </c>
      <c r="S878" s="152" t="s">
        <v>3668</v>
      </c>
      <c r="T878" s="152" t="s">
        <v>786</v>
      </c>
    </row>
    <row r="879" spans="3:20">
      <c r="C879" s="152" t="s">
        <v>2821</v>
      </c>
      <c r="D879" s="474" t="s">
        <v>676</v>
      </c>
      <c r="E879" s="684" t="str">
        <f>+VLOOKUP(F879,Resumen_Base!$C$8:$G$156,5,0)</f>
        <v>Guides</v>
      </c>
      <c r="F879" s="152" t="s">
        <v>323</v>
      </c>
      <c r="G879" s="152" t="s">
        <v>324</v>
      </c>
      <c r="H879" s="152" t="str">
        <f t="shared" si="15"/>
        <v>CAR5227</v>
      </c>
      <c r="I879" s="513">
        <v>407407.5</v>
      </c>
      <c r="J879" s="513">
        <v>285.89999999999998</v>
      </c>
      <c r="K879" s="513">
        <v>1425</v>
      </c>
      <c r="L879" s="518" t="s">
        <v>3504</v>
      </c>
      <c r="M879" s="152" t="s">
        <v>780</v>
      </c>
      <c r="N879" s="152" t="s">
        <v>1407</v>
      </c>
      <c r="O879" s="152" t="s">
        <v>3665</v>
      </c>
      <c r="P879" s="152" t="s">
        <v>3489</v>
      </c>
      <c r="Q879" s="152" t="s">
        <v>3666</v>
      </c>
      <c r="R879" s="152" t="s">
        <v>3725</v>
      </c>
      <c r="S879" s="152" t="s">
        <v>3668</v>
      </c>
      <c r="T879" s="152" t="s">
        <v>786</v>
      </c>
    </row>
    <row r="880" spans="3:20">
      <c r="C880" s="152" t="s">
        <v>2821</v>
      </c>
      <c r="D880" s="474" t="s">
        <v>676</v>
      </c>
      <c r="E880" s="684" t="str">
        <f>+VLOOKUP(F880,Resumen_Base!$C$8:$G$156,5,0)</f>
        <v>Guides</v>
      </c>
      <c r="F880" s="152" t="s">
        <v>323</v>
      </c>
      <c r="G880" s="152" t="s">
        <v>324</v>
      </c>
      <c r="H880" s="152" t="str">
        <f t="shared" si="15"/>
        <v>CAR5227</v>
      </c>
      <c r="I880" s="513">
        <v>626772</v>
      </c>
      <c r="J880" s="513">
        <v>439.84</v>
      </c>
      <c r="K880" s="513">
        <v>1425</v>
      </c>
      <c r="L880" s="518" t="s">
        <v>3504</v>
      </c>
      <c r="M880" s="152" t="s">
        <v>780</v>
      </c>
      <c r="N880" s="152" t="s">
        <v>1407</v>
      </c>
      <c r="O880" s="152" t="s">
        <v>3665</v>
      </c>
      <c r="P880" s="152" t="s">
        <v>3489</v>
      </c>
      <c r="Q880" s="152" t="s">
        <v>3666</v>
      </c>
      <c r="R880" s="152" t="s">
        <v>3726</v>
      </c>
      <c r="S880" s="152" t="s">
        <v>3668</v>
      </c>
      <c r="T880" s="152" t="s">
        <v>786</v>
      </c>
    </row>
    <row r="881" spans="3:20">
      <c r="C881" s="152" t="s">
        <v>2821</v>
      </c>
      <c r="D881" s="474" t="s">
        <v>676</v>
      </c>
      <c r="E881" s="684" t="str">
        <f>+VLOOKUP(F881,Resumen_Base!$C$8:$G$156,5,0)</f>
        <v>Guides</v>
      </c>
      <c r="F881" s="152" t="s">
        <v>323</v>
      </c>
      <c r="G881" s="152" t="s">
        <v>324</v>
      </c>
      <c r="H881" s="152" t="str">
        <f t="shared" si="15"/>
        <v>CAR5227</v>
      </c>
      <c r="I881" s="513">
        <v>-316107.75</v>
      </c>
      <c r="J881" s="513">
        <v>-221.83</v>
      </c>
      <c r="K881" s="513">
        <v>1425</v>
      </c>
      <c r="L881" s="518" t="s">
        <v>3727</v>
      </c>
      <c r="M881" s="152" t="s">
        <v>780</v>
      </c>
      <c r="N881" s="152" t="s">
        <v>1407</v>
      </c>
      <c r="O881" s="152" t="s">
        <v>3728</v>
      </c>
      <c r="P881" s="152" t="s">
        <v>3489</v>
      </c>
      <c r="Q881" s="152" t="s">
        <v>3729</v>
      </c>
      <c r="R881" s="152" t="s">
        <v>3730</v>
      </c>
      <c r="S881" s="152" t="s">
        <v>3731</v>
      </c>
      <c r="T881" s="152" t="s">
        <v>786</v>
      </c>
    </row>
    <row r="882" spans="3:20">
      <c r="C882" s="152" t="s">
        <v>2821</v>
      </c>
      <c r="D882" s="474" t="s">
        <v>676</v>
      </c>
      <c r="E882" s="684" t="str">
        <f>+VLOOKUP(F882,Resumen_Base!$C$8:$G$156,5,0)</f>
        <v>Guides</v>
      </c>
      <c r="F882" s="152" t="s">
        <v>323</v>
      </c>
      <c r="G882" s="152" t="s">
        <v>324</v>
      </c>
      <c r="H882" s="152" t="str">
        <f t="shared" si="15"/>
        <v>CAR5227</v>
      </c>
      <c r="I882" s="513">
        <v>313386</v>
      </c>
      <c r="J882" s="513">
        <v>219.92</v>
      </c>
      <c r="K882" s="513">
        <v>1425</v>
      </c>
      <c r="L882" s="518" t="s">
        <v>3504</v>
      </c>
      <c r="M882" s="152" t="s">
        <v>780</v>
      </c>
      <c r="N882" s="152" t="s">
        <v>1407</v>
      </c>
      <c r="O882" s="152" t="s">
        <v>3665</v>
      </c>
      <c r="P882" s="152" t="s">
        <v>3489</v>
      </c>
      <c r="Q882" s="152" t="s">
        <v>3666</v>
      </c>
      <c r="R882" s="152" t="s">
        <v>3730</v>
      </c>
      <c r="S882" s="152" t="s">
        <v>3668</v>
      </c>
      <c r="T882" s="152" t="s">
        <v>786</v>
      </c>
    </row>
    <row r="883" spans="3:20">
      <c r="C883" s="152" t="s">
        <v>2821</v>
      </c>
      <c r="D883" s="474" t="s">
        <v>676</v>
      </c>
      <c r="E883" s="684" t="str">
        <f>+VLOOKUP(F883,Resumen_Base!$C$8:$G$156,5,0)</f>
        <v>Guides</v>
      </c>
      <c r="F883" s="152" t="s">
        <v>323</v>
      </c>
      <c r="G883" s="152" t="s">
        <v>324</v>
      </c>
      <c r="H883" s="152" t="str">
        <f t="shared" si="15"/>
        <v>CAR5227</v>
      </c>
      <c r="I883" s="513">
        <v>564100.5</v>
      </c>
      <c r="J883" s="513">
        <v>395.86</v>
      </c>
      <c r="K883" s="513">
        <v>1425</v>
      </c>
      <c r="L883" s="518" t="s">
        <v>3504</v>
      </c>
      <c r="M883" s="152" t="s">
        <v>780</v>
      </c>
      <c r="N883" s="152" t="s">
        <v>1407</v>
      </c>
      <c r="O883" s="152" t="s">
        <v>3665</v>
      </c>
      <c r="P883" s="152" t="s">
        <v>3489</v>
      </c>
      <c r="Q883" s="152" t="s">
        <v>3666</v>
      </c>
      <c r="R883" s="152" t="s">
        <v>3732</v>
      </c>
      <c r="S883" s="152" t="s">
        <v>3668</v>
      </c>
      <c r="T883" s="152" t="s">
        <v>786</v>
      </c>
    </row>
    <row r="884" spans="3:20">
      <c r="C884" s="152" t="s">
        <v>2821</v>
      </c>
      <c r="D884" s="474" t="s">
        <v>676</v>
      </c>
      <c r="E884" s="684" t="str">
        <f>+VLOOKUP(F884,Resumen_Base!$C$8:$G$156,5,0)</f>
        <v>Guides</v>
      </c>
      <c r="F884" s="152" t="s">
        <v>323</v>
      </c>
      <c r="G884" s="152" t="s">
        <v>324</v>
      </c>
      <c r="H884" s="152" t="str">
        <f t="shared" si="15"/>
        <v>CAR5227</v>
      </c>
      <c r="I884" s="513">
        <v>94021.5</v>
      </c>
      <c r="J884" s="513">
        <v>65.98</v>
      </c>
      <c r="K884" s="513">
        <v>1425</v>
      </c>
      <c r="L884" s="518" t="s">
        <v>3504</v>
      </c>
      <c r="M884" s="152" t="s">
        <v>780</v>
      </c>
      <c r="N884" s="152" t="s">
        <v>1407</v>
      </c>
      <c r="O884" s="152" t="s">
        <v>3665</v>
      </c>
      <c r="P884" s="152" t="s">
        <v>3489</v>
      </c>
      <c r="Q884" s="152" t="s">
        <v>3666</v>
      </c>
      <c r="R884" s="152" t="s">
        <v>3733</v>
      </c>
      <c r="S884" s="152" t="s">
        <v>3668</v>
      </c>
      <c r="T884" s="152" t="s">
        <v>786</v>
      </c>
    </row>
    <row r="885" spans="3:20">
      <c r="C885" s="152" t="s">
        <v>2821</v>
      </c>
      <c r="D885" s="474" t="s">
        <v>676</v>
      </c>
      <c r="E885" s="684" t="str">
        <f>+VLOOKUP(F885,Resumen_Base!$C$8:$G$156,5,0)</f>
        <v>Guides</v>
      </c>
      <c r="F885" s="152" t="s">
        <v>323</v>
      </c>
      <c r="G885" s="152" t="s">
        <v>324</v>
      </c>
      <c r="H885" s="152" t="str">
        <f t="shared" si="15"/>
        <v>CAR5227</v>
      </c>
      <c r="I885" s="513">
        <v>282050.25</v>
      </c>
      <c r="J885" s="513">
        <v>197.93</v>
      </c>
      <c r="K885" s="513">
        <v>1425</v>
      </c>
      <c r="L885" s="518" t="s">
        <v>3504</v>
      </c>
      <c r="M885" s="152" t="s">
        <v>780</v>
      </c>
      <c r="N885" s="152" t="s">
        <v>1407</v>
      </c>
      <c r="O885" s="152" t="s">
        <v>3665</v>
      </c>
      <c r="P885" s="152" t="s">
        <v>3489</v>
      </c>
      <c r="Q885" s="152" t="s">
        <v>3666</v>
      </c>
      <c r="R885" s="152" t="s">
        <v>3734</v>
      </c>
      <c r="S885" s="152" t="s">
        <v>3668</v>
      </c>
      <c r="T885" s="152" t="s">
        <v>786</v>
      </c>
    </row>
    <row r="886" spans="3:20">
      <c r="C886" s="152" t="s">
        <v>2821</v>
      </c>
      <c r="D886" s="474" t="s">
        <v>676</v>
      </c>
      <c r="E886" s="684" t="str">
        <f>+VLOOKUP(F886,Resumen_Base!$C$8:$G$156,5,0)</f>
        <v>Guides</v>
      </c>
      <c r="F886" s="152" t="s">
        <v>323</v>
      </c>
      <c r="G886" s="152" t="s">
        <v>324</v>
      </c>
      <c r="H886" s="152" t="str">
        <f t="shared" si="15"/>
        <v>CAR5227</v>
      </c>
      <c r="I886" s="513">
        <v>51984</v>
      </c>
      <c r="J886" s="513">
        <v>36.479999999999997</v>
      </c>
      <c r="K886" s="513">
        <v>1425</v>
      </c>
      <c r="L886" s="518" t="s">
        <v>3504</v>
      </c>
      <c r="M886" s="152" t="s">
        <v>780</v>
      </c>
      <c r="N886" s="152" t="s">
        <v>1407</v>
      </c>
      <c r="O886" s="152" t="s">
        <v>3665</v>
      </c>
      <c r="P886" s="152" t="s">
        <v>3489</v>
      </c>
      <c r="Q886" s="152" t="s">
        <v>3666</v>
      </c>
      <c r="R886" s="152" t="s">
        <v>3735</v>
      </c>
      <c r="S886" s="152" t="s">
        <v>3668</v>
      </c>
      <c r="T886" s="152" t="s">
        <v>786</v>
      </c>
    </row>
    <row r="887" spans="3:20">
      <c r="C887" s="152" t="s">
        <v>2821</v>
      </c>
      <c r="D887" s="474" t="s">
        <v>676</v>
      </c>
      <c r="E887" s="684" t="str">
        <f>+VLOOKUP(F887,Resumen_Base!$C$8:$G$156,5,0)</f>
        <v>Guides</v>
      </c>
      <c r="F887" s="152" t="s">
        <v>323</v>
      </c>
      <c r="G887" s="152" t="s">
        <v>324</v>
      </c>
      <c r="H887" s="152" t="str">
        <f t="shared" si="15"/>
        <v>CAR5227</v>
      </c>
      <c r="I887" s="513">
        <v>313386</v>
      </c>
      <c r="J887" s="513">
        <v>219.92</v>
      </c>
      <c r="K887" s="513">
        <v>1425</v>
      </c>
      <c r="L887" s="518" t="s">
        <v>3504</v>
      </c>
      <c r="M887" s="152" t="s">
        <v>780</v>
      </c>
      <c r="N887" s="152" t="s">
        <v>1407</v>
      </c>
      <c r="O887" s="152" t="s">
        <v>3665</v>
      </c>
      <c r="P887" s="152" t="s">
        <v>3489</v>
      </c>
      <c r="Q887" s="152" t="s">
        <v>3666</v>
      </c>
      <c r="R887" s="152" t="s">
        <v>3736</v>
      </c>
      <c r="S887" s="152" t="s">
        <v>3668</v>
      </c>
      <c r="T887" s="152" t="s">
        <v>786</v>
      </c>
    </row>
    <row r="888" spans="3:20">
      <c r="C888" s="152" t="s">
        <v>2821</v>
      </c>
      <c r="D888" s="474" t="s">
        <v>676</v>
      </c>
      <c r="E888" s="684" t="str">
        <f>+VLOOKUP(F888,Resumen_Base!$C$8:$G$156,5,0)</f>
        <v>Guides</v>
      </c>
      <c r="F888" s="152" t="s">
        <v>323</v>
      </c>
      <c r="G888" s="152" t="s">
        <v>324</v>
      </c>
      <c r="H888" s="152" t="str">
        <f t="shared" si="15"/>
        <v>CAR5227</v>
      </c>
      <c r="I888" s="513">
        <v>488518.5</v>
      </c>
      <c r="J888" s="513">
        <v>342.82</v>
      </c>
      <c r="K888" s="513">
        <v>1425</v>
      </c>
      <c r="L888" s="518" t="s">
        <v>3504</v>
      </c>
      <c r="M888" s="152" t="s">
        <v>780</v>
      </c>
      <c r="N888" s="152" t="s">
        <v>1407</v>
      </c>
      <c r="O888" s="152" t="s">
        <v>3665</v>
      </c>
      <c r="P888" s="152" t="s">
        <v>3489</v>
      </c>
      <c r="Q888" s="152" t="s">
        <v>3666</v>
      </c>
      <c r="R888" s="152" t="s">
        <v>3737</v>
      </c>
      <c r="S888" s="152" t="s">
        <v>3668</v>
      </c>
      <c r="T888" s="152" t="s">
        <v>786</v>
      </c>
    </row>
    <row r="889" spans="3:20">
      <c r="C889" s="152" t="s">
        <v>2821</v>
      </c>
      <c r="D889" s="474" t="s">
        <v>676</v>
      </c>
      <c r="E889" s="684" t="str">
        <f>+VLOOKUP(F889,Resumen_Base!$C$8:$G$156,5,0)</f>
        <v>Guides</v>
      </c>
      <c r="F889" s="152" t="s">
        <v>323</v>
      </c>
      <c r="G889" s="152" t="s">
        <v>324</v>
      </c>
      <c r="H889" s="152" t="str">
        <f t="shared" si="15"/>
        <v>CAR5227</v>
      </c>
      <c r="I889" s="513">
        <v>212656.2</v>
      </c>
      <c r="J889" s="513">
        <v>150.82</v>
      </c>
      <c r="K889" s="513">
        <v>1410</v>
      </c>
      <c r="L889" s="518" t="s">
        <v>3498</v>
      </c>
      <c r="M889" s="152" t="s">
        <v>780</v>
      </c>
      <c r="N889" s="152" t="s">
        <v>1407</v>
      </c>
      <c r="O889" s="152" t="s">
        <v>3522</v>
      </c>
      <c r="P889" s="152" t="s">
        <v>3489</v>
      </c>
      <c r="Q889" s="152" t="s">
        <v>3523</v>
      </c>
      <c r="R889" s="152" t="s">
        <v>3738</v>
      </c>
      <c r="S889" s="152" t="s">
        <v>3525</v>
      </c>
      <c r="T889" s="152" t="s">
        <v>786</v>
      </c>
    </row>
    <row r="890" spans="3:20">
      <c r="C890" s="152" t="s">
        <v>2821</v>
      </c>
      <c r="D890" s="474" t="s">
        <v>676</v>
      </c>
      <c r="E890" s="684" t="str">
        <f>+VLOOKUP(F890,Resumen_Base!$C$8:$G$156,5,0)</f>
        <v>Guides</v>
      </c>
      <c r="F890" s="152" t="s">
        <v>323</v>
      </c>
      <c r="G890" s="152" t="s">
        <v>324</v>
      </c>
      <c r="H890" s="152" t="str">
        <f t="shared" si="15"/>
        <v>CAR5227</v>
      </c>
      <c r="I890" s="513">
        <v>425326.5</v>
      </c>
      <c r="J890" s="513">
        <v>301.64999999999998</v>
      </c>
      <c r="K890" s="513">
        <v>1410</v>
      </c>
      <c r="L890" s="518" t="s">
        <v>3498</v>
      </c>
      <c r="M890" s="152" t="s">
        <v>780</v>
      </c>
      <c r="N890" s="152" t="s">
        <v>1407</v>
      </c>
      <c r="O890" s="152" t="s">
        <v>3522</v>
      </c>
      <c r="P890" s="152" t="s">
        <v>3489</v>
      </c>
      <c r="Q890" s="152" t="s">
        <v>3523</v>
      </c>
      <c r="R890" s="152" t="s">
        <v>3739</v>
      </c>
      <c r="S890" s="152" t="s">
        <v>3525</v>
      </c>
      <c r="T890" s="152" t="s">
        <v>786</v>
      </c>
    </row>
    <row r="891" spans="3:20">
      <c r="C891" s="152" t="s">
        <v>2821</v>
      </c>
      <c r="D891" s="474" t="s">
        <v>676</v>
      </c>
      <c r="E891" s="684" t="str">
        <f>+VLOOKUP(F891,Resumen_Base!$C$8:$G$156,5,0)</f>
        <v>Guides</v>
      </c>
      <c r="F891" s="152" t="s">
        <v>323</v>
      </c>
      <c r="G891" s="152" t="s">
        <v>324</v>
      </c>
      <c r="H891" s="152" t="str">
        <f t="shared" si="15"/>
        <v>CAR5227</v>
      </c>
      <c r="I891" s="513">
        <v>516468.9</v>
      </c>
      <c r="J891" s="513">
        <v>366.29</v>
      </c>
      <c r="K891" s="513">
        <v>1410</v>
      </c>
      <c r="L891" s="518" t="s">
        <v>3498</v>
      </c>
      <c r="M891" s="152" t="s">
        <v>780</v>
      </c>
      <c r="N891" s="152" t="s">
        <v>1407</v>
      </c>
      <c r="O891" s="152" t="s">
        <v>3522</v>
      </c>
      <c r="P891" s="152" t="s">
        <v>3489</v>
      </c>
      <c r="Q891" s="152" t="s">
        <v>3523</v>
      </c>
      <c r="R891" s="152" t="s">
        <v>3740</v>
      </c>
      <c r="S891" s="152" t="s">
        <v>3525</v>
      </c>
      <c r="T891" s="152" t="s">
        <v>786</v>
      </c>
    </row>
    <row r="892" spans="3:20">
      <c r="C892" s="152" t="s">
        <v>2821</v>
      </c>
      <c r="D892" s="474" t="s">
        <v>676</v>
      </c>
      <c r="E892" s="684" t="str">
        <f>+VLOOKUP(F892,Resumen_Base!$C$8:$G$156,5,0)</f>
        <v>Guides</v>
      </c>
      <c r="F892" s="152" t="s">
        <v>323</v>
      </c>
      <c r="G892" s="152" t="s">
        <v>324</v>
      </c>
      <c r="H892" s="152" t="str">
        <f t="shared" si="15"/>
        <v>CAR5227</v>
      </c>
      <c r="I892" s="513">
        <v>881024.4</v>
      </c>
      <c r="J892" s="513">
        <v>624.84</v>
      </c>
      <c r="K892" s="513">
        <v>1410</v>
      </c>
      <c r="L892" s="518" t="s">
        <v>3498</v>
      </c>
      <c r="M892" s="152" t="s">
        <v>780</v>
      </c>
      <c r="N892" s="152" t="s">
        <v>1407</v>
      </c>
      <c r="O892" s="152" t="s">
        <v>3522</v>
      </c>
      <c r="P892" s="152" t="s">
        <v>3489</v>
      </c>
      <c r="Q892" s="152" t="s">
        <v>3523</v>
      </c>
      <c r="R892" s="152" t="s">
        <v>3741</v>
      </c>
      <c r="S892" s="152" t="s">
        <v>3525</v>
      </c>
      <c r="T892" s="152" t="s">
        <v>786</v>
      </c>
    </row>
    <row r="893" spans="3:20">
      <c r="C893" s="152" t="s">
        <v>2821</v>
      </c>
      <c r="D893" s="474" t="s">
        <v>676</v>
      </c>
      <c r="E893" s="684" t="str">
        <f>+VLOOKUP(F893,Resumen_Base!$C$8:$G$156,5,0)</f>
        <v>Guides</v>
      </c>
      <c r="F893" s="152" t="s">
        <v>323</v>
      </c>
      <c r="G893" s="152" t="s">
        <v>324</v>
      </c>
      <c r="H893" s="152" t="str">
        <f t="shared" si="15"/>
        <v>CAR5227</v>
      </c>
      <c r="I893" s="513">
        <v>486083.4</v>
      </c>
      <c r="J893" s="513">
        <v>344.74</v>
      </c>
      <c r="K893" s="513">
        <v>1410</v>
      </c>
      <c r="L893" s="518" t="s">
        <v>3498</v>
      </c>
      <c r="M893" s="152" t="s">
        <v>780</v>
      </c>
      <c r="N893" s="152" t="s">
        <v>1407</v>
      </c>
      <c r="O893" s="152" t="s">
        <v>3522</v>
      </c>
      <c r="P893" s="152" t="s">
        <v>3489</v>
      </c>
      <c r="Q893" s="152" t="s">
        <v>3523</v>
      </c>
      <c r="R893" s="152" t="s">
        <v>3742</v>
      </c>
      <c r="S893" s="152" t="s">
        <v>3525</v>
      </c>
      <c r="T893" s="152" t="s">
        <v>786</v>
      </c>
    </row>
    <row r="894" spans="3:20">
      <c r="C894" s="152" t="s">
        <v>2821</v>
      </c>
      <c r="D894" s="474" t="s">
        <v>676</v>
      </c>
      <c r="E894" s="684" t="str">
        <f>+VLOOKUP(F894,Resumen_Base!$C$8:$G$156,5,0)</f>
        <v>Guides</v>
      </c>
      <c r="F894" s="152" t="s">
        <v>323</v>
      </c>
      <c r="G894" s="152" t="s">
        <v>324</v>
      </c>
      <c r="H894" s="152" t="str">
        <f t="shared" si="15"/>
        <v>CAR5227</v>
      </c>
      <c r="I894" s="513">
        <v>486083.4</v>
      </c>
      <c r="J894" s="513">
        <v>344.74</v>
      </c>
      <c r="K894" s="513">
        <v>1410</v>
      </c>
      <c r="L894" s="518" t="s">
        <v>3498</v>
      </c>
      <c r="M894" s="152" t="s">
        <v>780</v>
      </c>
      <c r="N894" s="152" t="s">
        <v>1407</v>
      </c>
      <c r="O894" s="152" t="s">
        <v>3522</v>
      </c>
      <c r="P894" s="152" t="s">
        <v>3489</v>
      </c>
      <c r="Q894" s="152" t="s">
        <v>3523</v>
      </c>
      <c r="R894" s="152" t="s">
        <v>3743</v>
      </c>
      <c r="S894" s="152" t="s">
        <v>3525</v>
      </c>
      <c r="T894" s="152" t="s">
        <v>786</v>
      </c>
    </row>
    <row r="895" spans="3:20">
      <c r="C895" s="152" t="s">
        <v>2821</v>
      </c>
      <c r="D895" s="474" t="s">
        <v>676</v>
      </c>
      <c r="E895" s="684" t="str">
        <f>+VLOOKUP(F895,Resumen_Base!$C$8:$G$156,5,0)</f>
        <v>Guides</v>
      </c>
      <c r="F895" s="152" t="s">
        <v>323</v>
      </c>
      <c r="G895" s="152" t="s">
        <v>324</v>
      </c>
      <c r="H895" s="152" t="str">
        <f t="shared" si="15"/>
        <v>CAR5227</v>
      </c>
      <c r="I895" s="513">
        <v>236964.6</v>
      </c>
      <c r="J895" s="513">
        <v>168.06</v>
      </c>
      <c r="K895" s="513">
        <v>1410</v>
      </c>
      <c r="L895" s="518" t="s">
        <v>3498</v>
      </c>
      <c r="M895" s="152" t="s">
        <v>780</v>
      </c>
      <c r="N895" s="152" t="s">
        <v>1407</v>
      </c>
      <c r="O895" s="152" t="s">
        <v>3522</v>
      </c>
      <c r="P895" s="152" t="s">
        <v>3489</v>
      </c>
      <c r="Q895" s="152" t="s">
        <v>3523</v>
      </c>
      <c r="R895" s="152" t="s">
        <v>3744</v>
      </c>
      <c r="S895" s="152" t="s">
        <v>3525</v>
      </c>
      <c r="T895" s="152" t="s">
        <v>786</v>
      </c>
    </row>
    <row r="896" spans="3:20">
      <c r="C896" s="152" t="s">
        <v>2821</v>
      </c>
      <c r="D896" s="474" t="s">
        <v>676</v>
      </c>
      <c r="E896" s="684" t="str">
        <f>+VLOOKUP(F896,Resumen_Base!$C$8:$G$156,5,0)</f>
        <v>Guides</v>
      </c>
      <c r="F896" s="152" t="s">
        <v>323</v>
      </c>
      <c r="G896" s="152" t="s">
        <v>324</v>
      </c>
      <c r="H896" s="152" t="str">
        <f t="shared" si="15"/>
        <v>CAR5227</v>
      </c>
      <c r="I896" s="513">
        <v>546840.30000000005</v>
      </c>
      <c r="J896" s="513">
        <v>387.83</v>
      </c>
      <c r="K896" s="513">
        <v>1410</v>
      </c>
      <c r="L896" s="518" t="s">
        <v>3498</v>
      </c>
      <c r="M896" s="152" t="s">
        <v>780</v>
      </c>
      <c r="N896" s="152" t="s">
        <v>1407</v>
      </c>
      <c r="O896" s="152" t="s">
        <v>3522</v>
      </c>
      <c r="P896" s="152" t="s">
        <v>3489</v>
      </c>
      <c r="Q896" s="152" t="s">
        <v>3523</v>
      </c>
      <c r="R896" s="152" t="s">
        <v>3745</v>
      </c>
      <c r="S896" s="152" t="s">
        <v>3525</v>
      </c>
      <c r="T896" s="152" t="s">
        <v>786</v>
      </c>
    </row>
    <row r="897" spans="3:20">
      <c r="C897" s="152" t="s">
        <v>2821</v>
      </c>
      <c r="D897" s="474" t="s">
        <v>676</v>
      </c>
      <c r="E897" s="684" t="str">
        <f>+VLOOKUP(F897,Resumen_Base!$C$8:$G$156,5,0)</f>
        <v>Guides</v>
      </c>
      <c r="F897" s="152" t="s">
        <v>323</v>
      </c>
      <c r="G897" s="152" t="s">
        <v>324</v>
      </c>
      <c r="H897" s="152" t="str">
        <f t="shared" si="15"/>
        <v>CAR5227</v>
      </c>
      <c r="I897" s="513">
        <v>394941</v>
      </c>
      <c r="J897" s="513">
        <v>280.10000000000002</v>
      </c>
      <c r="K897" s="513">
        <v>1410</v>
      </c>
      <c r="L897" s="518" t="s">
        <v>3498</v>
      </c>
      <c r="M897" s="152" t="s">
        <v>780</v>
      </c>
      <c r="N897" s="152" t="s">
        <v>1407</v>
      </c>
      <c r="O897" s="152" t="s">
        <v>3522</v>
      </c>
      <c r="P897" s="152" t="s">
        <v>3489</v>
      </c>
      <c r="Q897" s="152" t="s">
        <v>3523</v>
      </c>
      <c r="R897" s="152" t="s">
        <v>3746</v>
      </c>
      <c r="S897" s="152" t="s">
        <v>3525</v>
      </c>
      <c r="T897" s="152" t="s">
        <v>786</v>
      </c>
    </row>
    <row r="898" spans="3:20">
      <c r="C898" s="152" t="s">
        <v>2821</v>
      </c>
      <c r="D898" s="474" t="s">
        <v>676</v>
      </c>
      <c r="E898" s="684" t="str">
        <f>+VLOOKUP(F898,Resumen_Base!$C$8:$G$156,5,0)</f>
        <v>Guides</v>
      </c>
      <c r="F898" s="152" t="s">
        <v>323</v>
      </c>
      <c r="G898" s="152" t="s">
        <v>324</v>
      </c>
      <c r="H898" s="152" t="str">
        <f t="shared" si="15"/>
        <v>CAR5227</v>
      </c>
      <c r="I898" s="513">
        <v>486083.4</v>
      </c>
      <c r="J898" s="513">
        <v>344.74</v>
      </c>
      <c r="K898" s="513">
        <v>1410</v>
      </c>
      <c r="L898" s="518" t="s">
        <v>3498</v>
      </c>
      <c r="M898" s="152" t="s">
        <v>780</v>
      </c>
      <c r="N898" s="152" t="s">
        <v>1407</v>
      </c>
      <c r="O898" s="152" t="s">
        <v>3522</v>
      </c>
      <c r="P898" s="152" t="s">
        <v>3489</v>
      </c>
      <c r="Q898" s="152" t="s">
        <v>3523</v>
      </c>
      <c r="R898" s="152" t="s">
        <v>3747</v>
      </c>
      <c r="S898" s="152" t="s">
        <v>3525</v>
      </c>
      <c r="T898" s="152" t="s">
        <v>786</v>
      </c>
    </row>
    <row r="899" spans="3:20">
      <c r="C899" s="152" t="s">
        <v>2821</v>
      </c>
      <c r="D899" s="474" t="s">
        <v>676</v>
      </c>
      <c r="E899" s="684" t="str">
        <f>+VLOOKUP(F899,Resumen_Base!$C$8:$G$156,5,0)</f>
        <v>Guides</v>
      </c>
      <c r="F899" s="152" t="s">
        <v>323</v>
      </c>
      <c r="G899" s="152" t="s">
        <v>324</v>
      </c>
      <c r="H899" s="152" t="str">
        <f t="shared" si="15"/>
        <v>CAR5227</v>
      </c>
      <c r="I899" s="513">
        <v>303798.59999999998</v>
      </c>
      <c r="J899" s="513">
        <v>215.46</v>
      </c>
      <c r="K899" s="513">
        <v>1410</v>
      </c>
      <c r="L899" s="518" t="s">
        <v>3498</v>
      </c>
      <c r="M899" s="152" t="s">
        <v>780</v>
      </c>
      <c r="N899" s="152" t="s">
        <v>1407</v>
      </c>
      <c r="O899" s="152" t="s">
        <v>3522</v>
      </c>
      <c r="P899" s="152" t="s">
        <v>3489</v>
      </c>
      <c r="Q899" s="152" t="s">
        <v>3523</v>
      </c>
      <c r="R899" s="152" t="s">
        <v>3748</v>
      </c>
      <c r="S899" s="152" t="s">
        <v>3525</v>
      </c>
      <c r="T899" s="152" t="s">
        <v>786</v>
      </c>
    </row>
    <row r="900" spans="3:20">
      <c r="C900" s="152" t="s">
        <v>2821</v>
      </c>
      <c r="D900" s="474" t="s">
        <v>676</v>
      </c>
      <c r="E900" s="684" t="str">
        <f>+VLOOKUP(F900,Resumen_Base!$C$8:$G$156,5,0)</f>
        <v>Guides</v>
      </c>
      <c r="F900" s="152" t="s">
        <v>323</v>
      </c>
      <c r="G900" s="152" t="s">
        <v>324</v>
      </c>
      <c r="H900" s="152" t="str">
        <f t="shared" si="15"/>
        <v>CAR5227</v>
      </c>
      <c r="I900" s="513">
        <v>243041.7</v>
      </c>
      <c r="J900" s="513">
        <v>172.37</v>
      </c>
      <c r="K900" s="513">
        <v>1410</v>
      </c>
      <c r="L900" s="518" t="s">
        <v>3498</v>
      </c>
      <c r="M900" s="152" t="s">
        <v>780</v>
      </c>
      <c r="N900" s="152" t="s">
        <v>1407</v>
      </c>
      <c r="O900" s="152" t="s">
        <v>3522</v>
      </c>
      <c r="P900" s="152" t="s">
        <v>3489</v>
      </c>
      <c r="Q900" s="152" t="s">
        <v>3523</v>
      </c>
      <c r="R900" s="152" t="s">
        <v>3749</v>
      </c>
      <c r="S900" s="152" t="s">
        <v>3525</v>
      </c>
      <c r="T900" s="152" t="s">
        <v>786</v>
      </c>
    </row>
    <row r="901" spans="3:20">
      <c r="C901" s="152" t="s">
        <v>2821</v>
      </c>
      <c r="D901" s="474" t="s">
        <v>676</v>
      </c>
      <c r="E901" s="684" t="str">
        <f>+VLOOKUP(F901,Resumen_Base!$C$8:$G$156,5,0)</f>
        <v>Guides</v>
      </c>
      <c r="F901" s="152" t="s">
        <v>323</v>
      </c>
      <c r="G901" s="152" t="s">
        <v>324</v>
      </c>
      <c r="H901" s="152" t="str">
        <f t="shared" si="15"/>
        <v>CAR5227</v>
      </c>
      <c r="I901" s="513">
        <v>486083.4</v>
      </c>
      <c r="J901" s="513">
        <v>344.74</v>
      </c>
      <c r="K901" s="513">
        <v>1410</v>
      </c>
      <c r="L901" s="518" t="s">
        <v>3498</v>
      </c>
      <c r="M901" s="152" t="s">
        <v>780</v>
      </c>
      <c r="N901" s="152" t="s">
        <v>1407</v>
      </c>
      <c r="O901" s="152" t="s">
        <v>3522</v>
      </c>
      <c r="P901" s="152" t="s">
        <v>3489</v>
      </c>
      <c r="Q901" s="152" t="s">
        <v>3523</v>
      </c>
      <c r="R901" s="152" t="s">
        <v>3750</v>
      </c>
      <c r="S901" s="152" t="s">
        <v>3525</v>
      </c>
      <c r="T901" s="152" t="s">
        <v>786</v>
      </c>
    </row>
    <row r="902" spans="3:20">
      <c r="C902" s="152" t="s">
        <v>2821</v>
      </c>
      <c r="D902" s="474" t="s">
        <v>676</v>
      </c>
      <c r="E902" s="684" t="str">
        <f>+VLOOKUP(F902,Resumen_Base!$C$8:$G$156,5,0)</f>
        <v>Guides</v>
      </c>
      <c r="F902" s="152" t="s">
        <v>323</v>
      </c>
      <c r="G902" s="152" t="s">
        <v>324</v>
      </c>
      <c r="H902" s="152" t="str">
        <f t="shared" si="15"/>
        <v>CAR5227</v>
      </c>
      <c r="I902" s="513">
        <v>611178.6</v>
      </c>
      <c r="J902" s="513">
        <v>433.46</v>
      </c>
      <c r="K902" s="513">
        <v>1410</v>
      </c>
      <c r="L902" s="518" t="s">
        <v>3498</v>
      </c>
      <c r="M902" s="152" t="s">
        <v>780</v>
      </c>
      <c r="N902" s="152" t="s">
        <v>1407</v>
      </c>
      <c r="O902" s="152" t="s">
        <v>3522</v>
      </c>
      <c r="P902" s="152" t="s">
        <v>3489</v>
      </c>
      <c r="Q902" s="152" t="s">
        <v>3523</v>
      </c>
      <c r="R902" s="152" t="s">
        <v>3751</v>
      </c>
      <c r="S902" s="152" t="s">
        <v>3525</v>
      </c>
      <c r="T902" s="152" t="s">
        <v>786</v>
      </c>
    </row>
    <row r="903" spans="3:20">
      <c r="C903" s="152" t="s">
        <v>2821</v>
      </c>
      <c r="D903" s="474" t="s">
        <v>676</v>
      </c>
      <c r="E903" s="684" t="str">
        <f>+VLOOKUP(F903,Resumen_Base!$C$8:$G$156,5,0)</f>
        <v>Guides</v>
      </c>
      <c r="F903" s="152" t="s">
        <v>323</v>
      </c>
      <c r="G903" s="152" t="s">
        <v>324</v>
      </c>
      <c r="H903" s="152" t="str">
        <f t="shared" si="15"/>
        <v>CAR5227</v>
      </c>
      <c r="I903" s="513">
        <v>605917.15</v>
      </c>
      <c r="J903" s="513">
        <v>428.21</v>
      </c>
      <c r="K903" s="513">
        <v>1415</v>
      </c>
      <c r="L903" s="518" t="s">
        <v>3632</v>
      </c>
      <c r="M903" s="152" t="s">
        <v>780</v>
      </c>
      <c r="N903" s="152" t="s">
        <v>1407</v>
      </c>
      <c r="O903" s="152" t="s">
        <v>3673</v>
      </c>
      <c r="P903" s="152" t="s">
        <v>3489</v>
      </c>
      <c r="Q903" s="152" t="s">
        <v>3674</v>
      </c>
      <c r="R903" s="152" t="s">
        <v>3752</v>
      </c>
      <c r="S903" s="152" t="s">
        <v>3676</v>
      </c>
      <c r="T903" s="152" t="s">
        <v>786</v>
      </c>
    </row>
    <row r="904" spans="3:20">
      <c r="C904" s="152" t="s">
        <v>2821</v>
      </c>
      <c r="D904" s="474" t="s">
        <v>676</v>
      </c>
      <c r="E904" s="684" t="str">
        <f>+VLOOKUP(F904,Resumen_Base!$C$8:$G$156,5,0)</f>
        <v>Guides</v>
      </c>
      <c r="F904" s="152" t="s">
        <v>323</v>
      </c>
      <c r="G904" s="152" t="s">
        <v>324</v>
      </c>
      <c r="H904" s="152" t="str">
        <f t="shared" si="15"/>
        <v>CAR5227</v>
      </c>
      <c r="I904" s="513">
        <v>30295.15</v>
      </c>
      <c r="J904" s="513">
        <v>21.41</v>
      </c>
      <c r="K904" s="513">
        <v>1415</v>
      </c>
      <c r="L904" s="518" t="s">
        <v>3632</v>
      </c>
      <c r="M904" s="152" t="s">
        <v>780</v>
      </c>
      <c r="N904" s="152" t="s">
        <v>1407</v>
      </c>
      <c r="O904" s="152" t="s">
        <v>3673</v>
      </c>
      <c r="P904" s="152" t="s">
        <v>3489</v>
      </c>
      <c r="Q904" s="152" t="s">
        <v>3674</v>
      </c>
      <c r="R904" s="152" t="s">
        <v>3753</v>
      </c>
      <c r="S904" s="152" t="s">
        <v>3676</v>
      </c>
      <c r="T904" s="152" t="s">
        <v>786</v>
      </c>
    </row>
    <row r="905" spans="3:20">
      <c r="C905" s="152" t="s">
        <v>2821</v>
      </c>
      <c r="D905" s="474" t="s">
        <v>676</v>
      </c>
      <c r="E905" s="684" t="str">
        <f>+VLOOKUP(F905,Resumen_Base!$C$8:$G$156,5,0)</f>
        <v>Guides</v>
      </c>
      <c r="F905" s="152" t="s">
        <v>323</v>
      </c>
      <c r="G905" s="152" t="s">
        <v>324</v>
      </c>
      <c r="H905" s="152" t="str">
        <f t="shared" si="15"/>
        <v>CAR5227</v>
      </c>
      <c r="I905" s="513">
        <v>424146.25</v>
      </c>
      <c r="J905" s="513">
        <v>299.75</v>
      </c>
      <c r="K905" s="513">
        <v>1415</v>
      </c>
      <c r="L905" s="518" t="s">
        <v>3632</v>
      </c>
      <c r="M905" s="152" t="s">
        <v>780</v>
      </c>
      <c r="N905" s="152" t="s">
        <v>1407</v>
      </c>
      <c r="O905" s="152" t="s">
        <v>3673</v>
      </c>
      <c r="P905" s="152" t="s">
        <v>3489</v>
      </c>
      <c r="Q905" s="152" t="s">
        <v>3674</v>
      </c>
      <c r="R905" s="152" t="s">
        <v>3754</v>
      </c>
      <c r="S905" s="152" t="s">
        <v>3676</v>
      </c>
      <c r="T905" s="152" t="s">
        <v>786</v>
      </c>
    </row>
    <row r="906" spans="3:20">
      <c r="C906" s="152" t="s">
        <v>2821</v>
      </c>
      <c r="D906" s="474" t="s">
        <v>676</v>
      </c>
      <c r="E906" s="684" t="str">
        <f>+VLOOKUP(F906,Resumen_Base!$C$8:$G$156,5,0)</f>
        <v>Guides</v>
      </c>
      <c r="F906" s="152" t="s">
        <v>323</v>
      </c>
      <c r="G906" s="152" t="s">
        <v>324</v>
      </c>
      <c r="H906" s="152" t="str">
        <f t="shared" si="15"/>
        <v>CAR5227</v>
      </c>
      <c r="I906" s="513">
        <v>848292.5</v>
      </c>
      <c r="J906" s="513">
        <v>599.5</v>
      </c>
      <c r="K906" s="513">
        <v>1415</v>
      </c>
      <c r="L906" s="518" t="s">
        <v>3632</v>
      </c>
      <c r="M906" s="152" t="s">
        <v>780</v>
      </c>
      <c r="N906" s="152" t="s">
        <v>1407</v>
      </c>
      <c r="O906" s="152" t="s">
        <v>3673</v>
      </c>
      <c r="P906" s="152" t="s">
        <v>3489</v>
      </c>
      <c r="Q906" s="152" t="s">
        <v>3674</v>
      </c>
      <c r="R906" s="152" t="s">
        <v>3755</v>
      </c>
      <c r="S906" s="152" t="s">
        <v>3676</v>
      </c>
      <c r="T906" s="152" t="s">
        <v>786</v>
      </c>
    </row>
    <row r="907" spans="3:20">
      <c r="C907" s="152" t="s">
        <v>2821</v>
      </c>
      <c r="D907" s="474" t="s">
        <v>676</v>
      </c>
      <c r="E907" s="684" t="str">
        <f>+VLOOKUP(F907,Resumen_Base!$C$8:$G$156,5,0)</f>
        <v>Guides</v>
      </c>
      <c r="F907" s="152" t="s">
        <v>323</v>
      </c>
      <c r="G907" s="152" t="s">
        <v>324</v>
      </c>
      <c r="H907" s="152" t="str">
        <f t="shared" si="15"/>
        <v>CAR5227</v>
      </c>
      <c r="I907" s="513">
        <v>424146.25</v>
      </c>
      <c r="J907" s="513">
        <v>299.75</v>
      </c>
      <c r="K907" s="513">
        <v>1415</v>
      </c>
      <c r="L907" s="518" t="s">
        <v>3632</v>
      </c>
      <c r="M907" s="152" t="s">
        <v>780</v>
      </c>
      <c r="N907" s="152" t="s">
        <v>1407</v>
      </c>
      <c r="O907" s="152" t="s">
        <v>3673</v>
      </c>
      <c r="P907" s="152" t="s">
        <v>3489</v>
      </c>
      <c r="Q907" s="152" t="s">
        <v>3674</v>
      </c>
      <c r="R907" s="152" t="s">
        <v>3756</v>
      </c>
      <c r="S907" s="152" t="s">
        <v>3676</v>
      </c>
      <c r="T907" s="152" t="s">
        <v>786</v>
      </c>
    </row>
    <row r="908" spans="3:20">
      <c r="C908" s="152" t="s">
        <v>2821</v>
      </c>
      <c r="D908" s="474" t="s">
        <v>676</v>
      </c>
      <c r="E908" s="684" t="str">
        <f>+VLOOKUP(F908,Resumen_Base!$C$8:$G$156,5,0)</f>
        <v>Guides</v>
      </c>
      <c r="F908" s="152" t="s">
        <v>323</v>
      </c>
      <c r="G908" s="152" t="s">
        <v>324</v>
      </c>
      <c r="H908" s="152" t="str">
        <f t="shared" si="15"/>
        <v>CAR5227</v>
      </c>
      <c r="I908" s="513">
        <v>1326435.1499999999</v>
      </c>
      <c r="J908" s="513">
        <v>937.41</v>
      </c>
      <c r="K908" s="513">
        <v>1415</v>
      </c>
      <c r="L908" s="518" t="s">
        <v>3632</v>
      </c>
      <c r="M908" s="152" t="s">
        <v>780</v>
      </c>
      <c r="N908" s="152" t="s">
        <v>1407</v>
      </c>
      <c r="O908" s="152" t="s">
        <v>3673</v>
      </c>
      <c r="P908" s="152" t="s">
        <v>3489</v>
      </c>
      <c r="Q908" s="152" t="s">
        <v>3674</v>
      </c>
      <c r="R908" s="152" t="s">
        <v>3757</v>
      </c>
      <c r="S908" s="152" t="s">
        <v>3676</v>
      </c>
      <c r="T908" s="152" t="s">
        <v>786</v>
      </c>
    </row>
    <row r="909" spans="3:20">
      <c r="C909" s="152" t="s">
        <v>2821</v>
      </c>
      <c r="D909" s="474" t="s">
        <v>676</v>
      </c>
      <c r="E909" s="684" t="str">
        <f>+VLOOKUP(F909,Resumen_Base!$C$8:$G$156,5,0)</f>
        <v>Guides</v>
      </c>
      <c r="F909" s="152" t="s">
        <v>323</v>
      </c>
      <c r="G909" s="152" t="s">
        <v>324</v>
      </c>
      <c r="H909" s="152" t="str">
        <f t="shared" si="15"/>
        <v>CAR5227</v>
      </c>
      <c r="I909" s="513">
        <v>424146.25</v>
      </c>
      <c r="J909" s="513">
        <v>299.75</v>
      </c>
      <c r="K909" s="513">
        <v>1415</v>
      </c>
      <c r="L909" s="518" t="s">
        <v>3632</v>
      </c>
      <c r="M909" s="152" t="s">
        <v>780</v>
      </c>
      <c r="N909" s="152" t="s">
        <v>1407</v>
      </c>
      <c r="O909" s="152" t="s">
        <v>3673</v>
      </c>
      <c r="P909" s="152" t="s">
        <v>3489</v>
      </c>
      <c r="Q909" s="152" t="s">
        <v>3674</v>
      </c>
      <c r="R909" s="152" t="s">
        <v>3758</v>
      </c>
      <c r="S909" s="152" t="s">
        <v>3676</v>
      </c>
      <c r="T909" s="152" t="s">
        <v>786</v>
      </c>
    </row>
    <row r="910" spans="3:20">
      <c r="C910" s="152" t="s">
        <v>2821</v>
      </c>
      <c r="D910" s="474" t="s">
        <v>676</v>
      </c>
      <c r="E910" s="684" t="str">
        <f>+VLOOKUP(F910,Resumen_Base!$C$8:$G$156,5,0)</f>
        <v>Guides</v>
      </c>
      <c r="F910" s="152" t="s">
        <v>323</v>
      </c>
      <c r="G910" s="152" t="s">
        <v>324</v>
      </c>
      <c r="H910" s="152" t="str">
        <f t="shared" si="15"/>
        <v>CAR5227</v>
      </c>
      <c r="I910" s="513">
        <v>333260.79999999999</v>
      </c>
      <c r="J910" s="513">
        <v>235.52</v>
      </c>
      <c r="K910" s="513">
        <v>1415</v>
      </c>
      <c r="L910" s="518" t="s">
        <v>3632</v>
      </c>
      <c r="M910" s="152" t="s">
        <v>780</v>
      </c>
      <c r="N910" s="152" t="s">
        <v>1407</v>
      </c>
      <c r="O910" s="152" t="s">
        <v>3673</v>
      </c>
      <c r="P910" s="152" t="s">
        <v>3489</v>
      </c>
      <c r="Q910" s="152" t="s">
        <v>3674</v>
      </c>
      <c r="R910" s="152" t="s">
        <v>3759</v>
      </c>
      <c r="S910" s="152" t="s">
        <v>3676</v>
      </c>
      <c r="T910" s="152" t="s">
        <v>786</v>
      </c>
    </row>
    <row r="911" spans="3:20">
      <c r="C911" s="152" t="s">
        <v>2821</v>
      </c>
      <c r="D911" s="474" t="s">
        <v>676</v>
      </c>
      <c r="E911" s="684" t="str">
        <f>+VLOOKUP(F911,Resumen_Base!$C$8:$G$156,5,0)</f>
        <v>Guides</v>
      </c>
      <c r="F911" s="152" t="s">
        <v>323</v>
      </c>
      <c r="G911" s="152" t="s">
        <v>324</v>
      </c>
      <c r="H911" s="152" t="str">
        <f t="shared" ref="H911:H974" si="16">+D911&amp;F911</f>
        <v>CAR5227</v>
      </c>
      <c r="I911" s="513">
        <v>212066.05</v>
      </c>
      <c r="J911" s="513">
        <v>149.87</v>
      </c>
      <c r="K911" s="513">
        <v>1415</v>
      </c>
      <c r="L911" s="518" t="s">
        <v>3632</v>
      </c>
      <c r="M911" s="152" t="s">
        <v>780</v>
      </c>
      <c r="N911" s="152" t="s">
        <v>1407</v>
      </c>
      <c r="O911" s="152" t="s">
        <v>3673</v>
      </c>
      <c r="P911" s="152" t="s">
        <v>3489</v>
      </c>
      <c r="Q911" s="152" t="s">
        <v>3674</v>
      </c>
      <c r="R911" s="152" t="s">
        <v>3760</v>
      </c>
      <c r="S911" s="152" t="s">
        <v>3676</v>
      </c>
      <c r="T911" s="152" t="s">
        <v>786</v>
      </c>
    </row>
    <row r="912" spans="3:20">
      <c r="C912" s="152" t="s">
        <v>2821</v>
      </c>
      <c r="D912" s="474" t="s">
        <v>676</v>
      </c>
      <c r="E912" s="684" t="str">
        <f>+VLOOKUP(F912,Resumen_Base!$C$8:$G$156,5,0)</f>
        <v>Guides</v>
      </c>
      <c r="F912" s="152" t="s">
        <v>323</v>
      </c>
      <c r="G912" s="152" t="s">
        <v>324</v>
      </c>
      <c r="H912" s="152" t="str">
        <f t="shared" si="16"/>
        <v>CAR5227</v>
      </c>
      <c r="I912" s="513">
        <v>30295.15</v>
      </c>
      <c r="J912" s="513">
        <v>21.41</v>
      </c>
      <c r="K912" s="513">
        <v>1415</v>
      </c>
      <c r="L912" s="518" t="s">
        <v>3632</v>
      </c>
      <c r="M912" s="152" t="s">
        <v>780</v>
      </c>
      <c r="N912" s="152" t="s">
        <v>1407</v>
      </c>
      <c r="O912" s="152" t="s">
        <v>3673</v>
      </c>
      <c r="P912" s="152" t="s">
        <v>3489</v>
      </c>
      <c r="Q912" s="152" t="s">
        <v>3674</v>
      </c>
      <c r="R912" s="152" t="s">
        <v>3761</v>
      </c>
      <c r="S912" s="152" t="s">
        <v>3676</v>
      </c>
      <c r="T912" s="152" t="s">
        <v>786</v>
      </c>
    </row>
    <row r="913" spans="3:20">
      <c r="C913" s="152" t="s">
        <v>2821</v>
      </c>
      <c r="D913" s="474" t="s">
        <v>676</v>
      </c>
      <c r="E913" s="684" t="str">
        <f>+VLOOKUP(F913,Resumen_Base!$C$8:$G$156,5,0)</f>
        <v>Guides</v>
      </c>
      <c r="F913" s="152" t="s">
        <v>323</v>
      </c>
      <c r="G913" s="152" t="s">
        <v>324</v>
      </c>
      <c r="H913" s="152" t="str">
        <f t="shared" si="16"/>
        <v>CAR5227</v>
      </c>
      <c r="I913" s="513">
        <v>515031.7</v>
      </c>
      <c r="J913" s="513">
        <v>363.98</v>
      </c>
      <c r="K913" s="513">
        <v>1415</v>
      </c>
      <c r="L913" s="518" t="s">
        <v>3632</v>
      </c>
      <c r="M913" s="152" t="s">
        <v>780</v>
      </c>
      <c r="N913" s="152" t="s">
        <v>1407</v>
      </c>
      <c r="O913" s="152" t="s">
        <v>3673</v>
      </c>
      <c r="P913" s="152" t="s">
        <v>3489</v>
      </c>
      <c r="Q913" s="152" t="s">
        <v>3674</v>
      </c>
      <c r="R913" s="152" t="s">
        <v>3762</v>
      </c>
      <c r="S913" s="152" t="s">
        <v>3676</v>
      </c>
      <c r="T913" s="152" t="s">
        <v>786</v>
      </c>
    </row>
    <row r="914" spans="3:20">
      <c r="C914" s="152" t="s">
        <v>2821</v>
      </c>
      <c r="D914" s="474" t="s">
        <v>676</v>
      </c>
      <c r="E914" s="684" t="str">
        <f>+VLOOKUP(F914,Resumen_Base!$C$8:$G$156,5,0)</f>
        <v>Guides</v>
      </c>
      <c r="F914" s="152" t="s">
        <v>323</v>
      </c>
      <c r="G914" s="152" t="s">
        <v>324</v>
      </c>
      <c r="H914" s="152" t="str">
        <f t="shared" si="16"/>
        <v>CAR5227</v>
      </c>
      <c r="I914" s="513">
        <v>121180.6</v>
      </c>
      <c r="J914" s="513">
        <v>85.64</v>
      </c>
      <c r="K914" s="513">
        <v>1415</v>
      </c>
      <c r="L914" s="518" t="s">
        <v>3632</v>
      </c>
      <c r="M914" s="152" t="s">
        <v>780</v>
      </c>
      <c r="N914" s="152" t="s">
        <v>1407</v>
      </c>
      <c r="O914" s="152" t="s">
        <v>3673</v>
      </c>
      <c r="P914" s="152" t="s">
        <v>3489</v>
      </c>
      <c r="Q914" s="152" t="s">
        <v>3674</v>
      </c>
      <c r="R914" s="152" t="s">
        <v>3763</v>
      </c>
      <c r="S914" s="152" t="s">
        <v>3676</v>
      </c>
      <c r="T914" s="152" t="s">
        <v>786</v>
      </c>
    </row>
    <row r="915" spans="3:20">
      <c r="C915" s="152" t="s">
        <v>2821</v>
      </c>
      <c r="D915" s="474" t="s">
        <v>676</v>
      </c>
      <c r="E915" s="684" t="str">
        <f>+VLOOKUP(F915,Resumen_Base!$C$8:$G$156,5,0)</f>
        <v>Guides</v>
      </c>
      <c r="F915" s="152" t="s">
        <v>323</v>
      </c>
      <c r="G915" s="152" t="s">
        <v>324</v>
      </c>
      <c r="H915" s="152" t="str">
        <f t="shared" si="16"/>
        <v>CAR5227</v>
      </c>
      <c r="I915" s="513">
        <v>705717.1</v>
      </c>
      <c r="J915" s="513">
        <v>498.74</v>
      </c>
      <c r="K915" s="513">
        <v>1415</v>
      </c>
      <c r="L915" s="518" t="s">
        <v>3632</v>
      </c>
      <c r="M915" s="152" t="s">
        <v>780</v>
      </c>
      <c r="N915" s="152" t="s">
        <v>1407</v>
      </c>
      <c r="O915" s="152" t="s">
        <v>3673</v>
      </c>
      <c r="P915" s="152" t="s">
        <v>3489</v>
      </c>
      <c r="Q915" s="152" t="s">
        <v>3674</v>
      </c>
      <c r="R915" s="152" t="s">
        <v>3764</v>
      </c>
      <c r="S915" s="152" t="s">
        <v>3676</v>
      </c>
      <c r="T915" s="152" t="s">
        <v>786</v>
      </c>
    </row>
    <row r="916" spans="3:20">
      <c r="C916" s="152" t="s">
        <v>2821</v>
      </c>
      <c r="D916" s="474" t="s">
        <v>676</v>
      </c>
      <c r="E916" s="684" t="str">
        <f>+VLOOKUP(F916,Resumen_Base!$C$8:$G$156,5,0)</f>
        <v>Guides</v>
      </c>
      <c r="F916" s="152" t="s">
        <v>323</v>
      </c>
      <c r="G916" s="152" t="s">
        <v>324</v>
      </c>
      <c r="H916" s="152" t="str">
        <f t="shared" si="16"/>
        <v>CAR5227</v>
      </c>
      <c r="I916" s="513">
        <v>1006418</v>
      </c>
      <c r="J916" s="513">
        <v>718.87</v>
      </c>
      <c r="K916" s="513">
        <v>1400</v>
      </c>
      <c r="L916" s="518" t="s">
        <v>3659</v>
      </c>
      <c r="M916" s="152" t="s">
        <v>780</v>
      </c>
      <c r="N916" s="152" t="s">
        <v>1407</v>
      </c>
      <c r="O916" s="152" t="s">
        <v>3660</v>
      </c>
      <c r="P916" s="152" t="s">
        <v>3489</v>
      </c>
      <c r="Q916" s="152" t="s">
        <v>3661</v>
      </c>
      <c r="R916" s="152" t="s">
        <v>3779</v>
      </c>
      <c r="S916" s="152" t="s">
        <v>3663</v>
      </c>
      <c r="T916" s="152" t="s">
        <v>786</v>
      </c>
    </row>
    <row r="917" spans="3:20">
      <c r="C917" s="152" t="s">
        <v>2821</v>
      </c>
      <c r="D917" s="474" t="s">
        <v>676</v>
      </c>
      <c r="E917" s="684" t="str">
        <f>+VLOOKUP(F917,Resumen_Base!$C$8:$G$156,5,0)</f>
        <v>Guides</v>
      </c>
      <c r="F917" s="152" t="s">
        <v>323</v>
      </c>
      <c r="G917" s="152" t="s">
        <v>324</v>
      </c>
      <c r="H917" s="152" t="str">
        <f t="shared" si="16"/>
        <v>CAR5227</v>
      </c>
      <c r="I917" s="513">
        <v>51300</v>
      </c>
      <c r="J917" s="513">
        <v>36</v>
      </c>
      <c r="K917" s="513">
        <v>1425</v>
      </c>
      <c r="L917" s="518" t="s">
        <v>3504</v>
      </c>
      <c r="M917" s="152" t="s">
        <v>780</v>
      </c>
      <c r="N917" s="152" t="s">
        <v>1407</v>
      </c>
      <c r="O917" s="152" t="s">
        <v>3768</v>
      </c>
      <c r="P917" s="152" t="s">
        <v>3489</v>
      </c>
      <c r="Q917" s="152" t="s">
        <v>3769</v>
      </c>
      <c r="R917" s="152" t="s">
        <v>3793</v>
      </c>
      <c r="S917" s="152" t="s">
        <v>3771</v>
      </c>
      <c r="T917" s="152" t="s">
        <v>786</v>
      </c>
    </row>
    <row r="918" spans="3:20">
      <c r="C918" s="152" t="s">
        <v>2821</v>
      </c>
      <c r="D918" s="474" t="s">
        <v>676</v>
      </c>
      <c r="E918" s="684" t="str">
        <f>+VLOOKUP(F918,Resumen_Base!$C$8:$G$156,5,0)</f>
        <v>Guides</v>
      </c>
      <c r="F918" s="152" t="s">
        <v>323</v>
      </c>
      <c r="G918" s="152" t="s">
        <v>324</v>
      </c>
      <c r="H918" s="152" t="str">
        <f t="shared" si="16"/>
        <v>CAR5227</v>
      </c>
      <c r="I918" s="513">
        <v>2721.75</v>
      </c>
      <c r="J918" s="513">
        <v>1.91</v>
      </c>
      <c r="K918" s="513">
        <v>1425</v>
      </c>
      <c r="L918" s="518" t="s">
        <v>3504</v>
      </c>
      <c r="M918" s="152" t="s">
        <v>780</v>
      </c>
      <c r="N918" s="152" t="s">
        <v>1407</v>
      </c>
      <c r="O918" s="152" t="s">
        <v>3665</v>
      </c>
      <c r="P918" s="152" t="s">
        <v>3489</v>
      </c>
      <c r="Q918" s="152" t="s">
        <v>3666</v>
      </c>
      <c r="R918" s="152" t="s">
        <v>3861</v>
      </c>
      <c r="S918" s="152" t="s">
        <v>3668</v>
      </c>
      <c r="T918" s="152" t="s">
        <v>786</v>
      </c>
    </row>
    <row r="919" spans="3:20">
      <c r="C919" s="152" t="s">
        <v>2821</v>
      </c>
      <c r="D919" s="474" t="s">
        <v>676</v>
      </c>
      <c r="E919" s="684" t="str">
        <f>+VLOOKUP(F919,Resumen_Base!$C$8:$G$156,5,0)</f>
        <v>Guides</v>
      </c>
      <c r="F919" s="152" t="s">
        <v>323</v>
      </c>
      <c r="G919" s="152" t="s">
        <v>324</v>
      </c>
      <c r="H919" s="152" t="str">
        <f t="shared" si="16"/>
        <v>CAR5227</v>
      </c>
      <c r="I919" s="513">
        <v>2664.9</v>
      </c>
      <c r="J919" s="513">
        <v>1.89</v>
      </c>
      <c r="K919" s="513">
        <v>1410</v>
      </c>
      <c r="L919" s="518" t="s">
        <v>3498</v>
      </c>
      <c r="M919" s="152" t="s">
        <v>780</v>
      </c>
      <c r="N919" s="152" t="s">
        <v>1407</v>
      </c>
      <c r="O919" s="152" t="s">
        <v>3522</v>
      </c>
      <c r="P919" s="152" t="s">
        <v>3489</v>
      </c>
      <c r="Q919" s="152" t="s">
        <v>3523</v>
      </c>
      <c r="R919" s="152" t="s">
        <v>3861</v>
      </c>
      <c r="S919" s="152" t="s">
        <v>3525</v>
      </c>
      <c r="T919" s="152" t="s">
        <v>786</v>
      </c>
    </row>
    <row r="920" spans="3:20">
      <c r="C920" s="152" t="s">
        <v>2821</v>
      </c>
      <c r="D920" s="474" t="s">
        <v>676</v>
      </c>
      <c r="E920" s="684" t="str">
        <f>+VLOOKUP(F920,Resumen_Base!$C$8:$G$156,5,0)</f>
        <v>Guides</v>
      </c>
      <c r="F920" s="152" t="s">
        <v>323</v>
      </c>
      <c r="G920" s="152" t="s">
        <v>324</v>
      </c>
      <c r="H920" s="152" t="str">
        <f t="shared" si="16"/>
        <v>CAR5227</v>
      </c>
      <c r="I920" s="513">
        <v>2764.8</v>
      </c>
      <c r="J920" s="513">
        <v>1.92</v>
      </c>
      <c r="K920" s="513">
        <v>1440</v>
      </c>
      <c r="L920" s="518" t="s">
        <v>3517</v>
      </c>
      <c r="M920" s="152" t="s">
        <v>780</v>
      </c>
      <c r="N920" s="152" t="s">
        <v>1407</v>
      </c>
      <c r="O920" s="152" t="s">
        <v>3655</v>
      </c>
      <c r="P920" s="152" t="s">
        <v>892</v>
      </c>
      <c r="Q920" s="152" t="s">
        <v>3656</v>
      </c>
      <c r="R920" s="152" t="s">
        <v>1515</v>
      </c>
      <c r="S920" s="152" t="s">
        <v>3658</v>
      </c>
      <c r="T920" s="152" t="s">
        <v>786</v>
      </c>
    </row>
    <row r="921" spans="3:20">
      <c r="C921" s="152" t="s">
        <v>2821</v>
      </c>
      <c r="D921" s="474" t="s">
        <v>676</v>
      </c>
      <c r="E921" s="684" t="str">
        <f>+VLOOKUP(F921,Resumen_Base!$C$8:$G$156,5,0)</f>
        <v>Guides</v>
      </c>
      <c r="F921" s="152" t="s">
        <v>323</v>
      </c>
      <c r="G921" s="152" t="s">
        <v>324</v>
      </c>
      <c r="H921" s="152" t="str">
        <f t="shared" si="16"/>
        <v>CAR5227</v>
      </c>
      <c r="I921" s="513">
        <v>2764.8</v>
      </c>
      <c r="J921" s="513">
        <v>1.92</v>
      </c>
      <c r="K921" s="513">
        <v>1440</v>
      </c>
      <c r="L921" s="518" t="s">
        <v>3517</v>
      </c>
      <c r="M921" s="152" t="s">
        <v>780</v>
      </c>
      <c r="N921" s="152" t="s">
        <v>1407</v>
      </c>
      <c r="O921" s="152" t="s">
        <v>3655</v>
      </c>
      <c r="P921" s="152" t="s">
        <v>892</v>
      </c>
      <c r="Q921" s="152" t="s">
        <v>3656</v>
      </c>
      <c r="R921" s="152" t="s">
        <v>1515</v>
      </c>
      <c r="S921" s="152" t="s">
        <v>3658</v>
      </c>
      <c r="T921" s="152" t="s">
        <v>786</v>
      </c>
    </row>
    <row r="922" spans="3:20">
      <c r="C922" s="152" t="s">
        <v>2821</v>
      </c>
      <c r="D922" s="474" t="s">
        <v>676</v>
      </c>
      <c r="E922" s="684" t="str">
        <f>+VLOOKUP(F922,Resumen_Base!$C$8:$G$156,5,0)</f>
        <v>Guides</v>
      </c>
      <c r="F922" s="152" t="s">
        <v>323</v>
      </c>
      <c r="G922" s="152" t="s">
        <v>324</v>
      </c>
      <c r="H922" s="152" t="str">
        <f t="shared" si="16"/>
        <v>CAR5227</v>
      </c>
      <c r="I922" s="513">
        <v>2764.8</v>
      </c>
      <c r="J922" s="513">
        <v>1.92</v>
      </c>
      <c r="K922" s="513">
        <v>1440</v>
      </c>
      <c r="L922" s="518" t="s">
        <v>3517</v>
      </c>
      <c r="M922" s="152" t="s">
        <v>780</v>
      </c>
      <c r="N922" s="152" t="s">
        <v>1407</v>
      </c>
      <c r="O922" s="152" t="s">
        <v>3655</v>
      </c>
      <c r="P922" s="152" t="s">
        <v>892</v>
      </c>
      <c r="Q922" s="152" t="s">
        <v>3656</v>
      </c>
      <c r="R922" s="152" t="s">
        <v>1515</v>
      </c>
      <c r="S922" s="152" t="s">
        <v>3658</v>
      </c>
      <c r="T922" s="152" t="s">
        <v>786</v>
      </c>
    </row>
    <row r="923" spans="3:20">
      <c r="C923" s="152" t="s">
        <v>2821</v>
      </c>
      <c r="D923" s="474" t="s">
        <v>676</v>
      </c>
      <c r="E923" s="684" t="str">
        <f>+VLOOKUP(F923,Resumen_Base!$C$8:$G$156,5,0)</f>
        <v>Guides</v>
      </c>
      <c r="F923" s="152" t="s">
        <v>323</v>
      </c>
      <c r="G923" s="152" t="s">
        <v>324</v>
      </c>
      <c r="H923" s="152" t="str">
        <f t="shared" si="16"/>
        <v>CAR5227</v>
      </c>
      <c r="I923" s="513">
        <v>2764.8</v>
      </c>
      <c r="J923" s="513">
        <v>1.92</v>
      </c>
      <c r="K923" s="513">
        <v>1440</v>
      </c>
      <c r="L923" s="518" t="s">
        <v>3517</v>
      </c>
      <c r="M923" s="152" t="s">
        <v>780</v>
      </c>
      <c r="N923" s="152" t="s">
        <v>1407</v>
      </c>
      <c r="O923" s="152" t="s">
        <v>3655</v>
      </c>
      <c r="P923" s="152" t="s">
        <v>892</v>
      </c>
      <c r="Q923" s="152" t="s">
        <v>3656</v>
      </c>
      <c r="R923" s="152" t="s">
        <v>1515</v>
      </c>
      <c r="S923" s="152" t="s">
        <v>3658</v>
      </c>
      <c r="T923" s="152" t="s">
        <v>786</v>
      </c>
    </row>
    <row r="924" spans="3:20">
      <c r="C924" s="152" t="s">
        <v>2821</v>
      </c>
      <c r="D924" s="474" t="s">
        <v>676</v>
      </c>
      <c r="E924" s="684" t="str">
        <f>+VLOOKUP(F924,Resumen_Base!$C$8:$G$156,5,0)</f>
        <v>Guides</v>
      </c>
      <c r="F924" s="152" t="s">
        <v>323</v>
      </c>
      <c r="G924" s="152" t="s">
        <v>324</v>
      </c>
      <c r="H924" s="152" t="str">
        <f t="shared" si="16"/>
        <v>CAR5227</v>
      </c>
      <c r="I924" s="513">
        <v>2764.8</v>
      </c>
      <c r="J924" s="513">
        <v>1.92</v>
      </c>
      <c r="K924" s="513">
        <v>1440</v>
      </c>
      <c r="L924" s="518" t="s">
        <v>3517</v>
      </c>
      <c r="M924" s="152" t="s">
        <v>780</v>
      </c>
      <c r="N924" s="152" t="s">
        <v>1407</v>
      </c>
      <c r="O924" s="152" t="s">
        <v>3655</v>
      </c>
      <c r="P924" s="152" t="s">
        <v>892</v>
      </c>
      <c r="Q924" s="152" t="s">
        <v>3656</v>
      </c>
      <c r="R924" s="152" t="s">
        <v>1515</v>
      </c>
      <c r="S924" s="152" t="s">
        <v>3658</v>
      </c>
      <c r="T924" s="152" t="s">
        <v>786</v>
      </c>
    </row>
    <row r="925" spans="3:20">
      <c r="C925" s="152" t="s">
        <v>2821</v>
      </c>
      <c r="D925" s="474" t="s">
        <v>676</v>
      </c>
      <c r="E925" s="684" t="str">
        <f>+VLOOKUP(F925,Resumen_Base!$C$8:$G$156,5,0)</f>
        <v>Guides</v>
      </c>
      <c r="F925" s="152" t="s">
        <v>323</v>
      </c>
      <c r="G925" s="152" t="s">
        <v>324</v>
      </c>
      <c r="H925" s="152" t="str">
        <f t="shared" si="16"/>
        <v>CAR5227</v>
      </c>
      <c r="I925" s="513">
        <v>2764.8</v>
      </c>
      <c r="J925" s="513">
        <v>1.92</v>
      </c>
      <c r="K925" s="513">
        <v>1440</v>
      </c>
      <c r="L925" s="518" t="s">
        <v>3517</v>
      </c>
      <c r="M925" s="152" t="s">
        <v>780</v>
      </c>
      <c r="N925" s="152" t="s">
        <v>1407</v>
      </c>
      <c r="O925" s="152" t="s">
        <v>3655</v>
      </c>
      <c r="P925" s="152" t="s">
        <v>892</v>
      </c>
      <c r="Q925" s="152" t="s">
        <v>3656</v>
      </c>
      <c r="R925" s="152" t="s">
        <v>1515</v>
      </c>
      <c r="S925" s="152" t="s">
        <v>3658</v>
      </c>
      <c r="T925" s="152" t="s">
        <v>786</v>
      </c>
    </row>
    <row r="926" spans="3:20">
      <c r="C926" s="152" t="s">
        <v>2821</v>
      </c>
      <c r="D926" s="474" t="s">
        <v>676</v>
      </c>
      <c r="E926" s="684" t="str">
        <f>+VLOOKUP(F926,Resumen_Base!$C$8:$G$156,5,0)</f>
        <v>Guides</v>
      </c>
      <c r="F926" s="152" t="s">
        <v>323</v>
      </c>
      <c r="G926" s="152" t="s">
        <v>324</v>
      </c>
      <c r="H926" s="152" t="str">
        <f t="shared" si="16"/>
        <v>CAR5227</v>
      </c>
      <c r="I926" s="513">
        <v>2764.8</v>
      </c>
      <c r="J926" s="513">
        <v>1.92</v>
      </c>
      <c r="K926" s="513">
        <v>1440</v>
      </c>
      <c r="L926" s="518" t="s">
        <v>3517</v>
      </c>
      <c r="M926" s="152" t="s">
        <v>780</v>
      </c>
      <c r="N926" s="152" t="s">
        <v>1407</v>
      </c>
      <c r="O926" s="152" t="s">
        <v>3655</v>
      </c>
      <c r="P926" s="152" t="s">
        <v>892</v>
      </c>
      <c r="Q926" s="152" t="s">
        <v>3656</v>
      </c>
      <c r="R926" s="152" t="s">
        <v>1515</v>
      </c>
      <c r="S926" s="152" t="s">
        <v>3658</v>
      </c>
      <c r="T926" s="152" t="s">
        <v>786</v>
      </c>
    </row>
    <row r="927" spans="3:20">
      <c r="C927" s="152" t="s">
        <v>2821</v>
      </c>
      <c r="D927" s="474" t="s">
        <v>676</v>
      </c>
      <c r="E927" s="684" t="str">
        <f>+VLOOKUP(F927,Resumen_Base!$C$8:$G$156,5,0)</f>
        <v>Guides</v>
      </c>
      <c r="F927" s="152" t="s">
        <v>323</v>
      </c>
      <c r="G927" s="152" t="s">
        <v>324</v>
      </c>
      <c r="H927" s="152" t="str">
        <f t="shared" si="16"/>
        <v>CAR5227</v>
      </c>
      <c r="I927" s="513">
        <v>2764.8</v>
      </c>
      <c r="J927" s="513">
        <v>1.92</v>
      </c>
      <c r="K927" s="513">
        <v>1440</v>
      </c>
      <c r="L927" s="518" t="s">
        <v>3517</v>
      </c>
      <c r="M927" s="152" t="s">
        <v>780</v>
      </c>
      <c r="N927" s="152" t="s">
        <v>1407</v>
      </c>
      <c r="O927" s="152" t="s">
        <v>3655</v>
      </c>
      <c r="P927" s="152" t="s">
        <v>892</v>
      </c>
      <c r="Q927" s="152" t="s">
        <v>3656</v>
      </c>
      <c r="R927" s="152" t="s">
        <v>1515</v>
      </c>
      <c r="S927" s="152" t="s">
        <v>3658</v>
      </c>
      <c r="T927" s="152" t="s">
        <v>786</v>
      </c>
    </row>
    <row r="928" spans="3:20">
      <c r="C928" s="152" t="s">
        <v>2821</v>
      </c>
      <c r="D928" s="474" t="s">
        <v>676</v>
      </c>
      <c r="E928" s="684" t="str">
        <f>+VLOOKUP(F928,Resumen_Base!$C$8:$G$156,5,0)</f>
        <v>Guides</v>
      </c>
      <c r="F928" s="152" t="s">
        <v>323</v>
      </c>
      <c r="G928" s="152" t="s">
        <v>324</v>
      </c>
      <c r="H928" s="152" t="str">
        <f t="shared" si="16"/>
        <v>CAR5227</v>
      </c>
      <c r="I928" s="513">
        <v>2764.8</v>
      </c>
      <c r="J928" s="513">
        <v>1.92</v>
      </c>
      <c r="K928" s="513">
        <v>1440</v>
      </c>
      <c r="L928" s="518" t="s">
        <v>3517</v>
      </c>
      <c r="M928" s="152" t="s">
        <v>780</v>
      </c>
      <c r="N928" s="152" t="s">
        <v>1407</v>
      </c>
      <c r="O928" s="152" t="s">
        <v>3655</v>
      </c>
      <c r="P928" s="152" t="s">
        <v>892</v>
      </c>
      <c r="Q928" s="152" t="s">
        <v>3656</v>
      </c>
      <c r="R928" s="152" t="s">
        <v>1515</v>
      </c>
      <c r="S928" s="152" t="s">
        <v>3658</v>
      </c>
      <c r="T928" s="152" t="s">
        <v>786</v>
      </c>
    </row>
    <row r="929" spans="3:20">
      <c r="C929" s="152" t="s">
        <v>2821</v>
      </c>
      <c r="D929" s="474" t="s">
        <v>676</v>
      </c>
      <c r="E929" s="684" t="str">
        <f>+VLOOKUP(F929,Resumen_Base!$C$8:$G$156,5,0)</f>
        <v>Guides</v>
      </c>
      <c r="F929" s="152" t="s">
        <v>323</v>
      </c>
      <c r="G929" s="152" t="s">
        <v>324</v>
      </c>
      <c r="H929" s="152" t="str">
        <f t="shared" si="16"/>
        <v>CAR5227</v>
      </c>
      <c r="I929" s="513">
        <v>2764.8</v>
      </c>
      <c r="J929" s="513">
        <v>1.92</v>
      </c>
      <c r="K929" s="513">
        <v>1440</v>
      </c>
      <c r="L929" s="518" t="s">
        <v>3517</v>
      </c>
      <c r="M929" s="152" t="s">
        <v>780</v>
      </c>
      <c r="N929" s="152" t="s">
        <v>1407</v>
      </c>
      <c r="O929" s="152" t="s">
        <v>3655</v>
      </c>
      <c r="P929" s="152" t="s">
        <v>892</v>
      </c>
      <c r="Q929" s="152" t="s">
        <v>3656</v>
      </c>
      <c r="R929" s="152" t="s">
        <v>1515</v>
      </c>
      <c r="S929" s="152" t="s">
        <v>3658</v>
      </c>
      <c r="T929" s="152" t="s">
        <v>786</v>
      </c>
    </row>
    <row r="930" spans="3:20">
      <c r="C930" s="152" t="s">
        <v>2821</v>
      </c>
      <c r="D930" s="474" t="s">
        <v>676</v>
      </c>
      <c r="E930" s="684" t="str">
        <f>+VLOOKUP(F930,Resumen_Base!$C$8:$G$156,5,0)</f>
        <v>Guides</v>
      </c>
      <c r="F930" s="152" t="s">
        <v>323</v>
      </c>
      <c r="G930" s="152" t="s">
        <v>324</v>
      </c>
      <c r="H930" s="152" t="str">
        <f t="shared" si="16"/>
        <v>CAR5227</v>
      </c>
      <c r="I930" s="513">
        <v>2764.8</v>
      </c>
      <c r="J930" s="513">
        <v>1.92</v>
      </c>
      <c r="K930" s="513">
        <v>1440</v>
      </c>
      <c r="L930" s="518" t="s">
        <v>3517</v>
      </c>
      <c r="M930" s="152" t="s">
        <v>780</v>
      </c>
      <c r="N930" s="152" t="s">
        <v>1407</v>
      </c>
      <c r="O930" s="152" t="s">
        <v>3655</v>
      </c>
      <c r="P930" s="152" t="s">
        <v>892</v>
      </c>
      <c r="Q930" s="152" t="s">
        <v>3656</v>
      </c>
      <c r="R930" s="152" t="s">
        <v>1515</v>
      </c>
      <c r="S930" s="152" t="s">
        <v>3658</v>
      </c>
      <c r="T930" s="152" t="s">
        <v>786</v>
      </c>
    </row>
    <row r="931" spans="3:20">
      <c r="C931" s="152" t="s">
        <v>2821</v>
      </c>
      <c r="D931" s="474" t="s">
        <v>676</v>
      </c>
      <c r="E931" s="684" t="str">
        <f>+VLOOKUP(F931,Resumen_Base!$C$8:$G$156,5,0)</f>
        <v>Guides</v>
      </c>
      <c r="F931" s="152" t="s">
        <v>323</v>
      </c>
      <c r="G931" s="152" t="s">
        <v>324</v>
      </c>
      <c r="H931" s="152" t="str">
        <f t="shared" si="16"/>
        <v>CAR5227</v>
      </c>
      <c r="I931" s="513">
        <v>2764.8</v>
      </c>
      <c r="J931" s="513">
        <v>1.92</v>
      </c>
      <c r="K931" s="513">
        <v>1440</v>
      </c>
      <c r="L931" s="518" t="s">
        <v>3517</v>
      </c>
      <c r="M931" s="152" t="s">
        <v>780</v>
      </c>
      <c r="N931" s="152" t="s">
        <v>1407</v>
      </c>
      <c r="O931" s="152" t="s">
        <v>3655</v>
      </c>
      <c r="P931" s="152" t="s">
        <v>892</v>
      </c>
      <c r="Q931" s="152" t="s">
        <v>3656</v>
      </c>
      <c r="R931" s="152" t="s">
        <v>1515</v>
      </c>
      <c r="S931" s="152" t="s">
        <v>3658</v>
      </c>
      <c r="T931" s="152" t="s">
        <v>786</v>
      </c>
    </row>
    <row r="932" spans="3:20">
      <c r="C932" s="152" t="s">
        <v>2821</v>
      </c>
      <c r="D932" s="474" t="s">
        <v>676</v>
      </c>
      <c r="E932" s="684" t="str">
        <f>+VLOOKUP(F932,Resumen_Base!$C$8:$G$156,5,0)</f>
        <v>Guides</v>
      </c>
      <c r="F932" s="152" t="s">
        <v>323</v>
      </c>
      <c r="G932" s="152" t="s">
        <v>324</v>
      </c>
      <c r="H932" s="152" t="str">
        <f t="shared" si="16"/>
        <v>CAR5227</v>
      </c>
      <c r="I932" s="513">
        <v>2764.8</v>
      </c>
      <c r="J932" s="513">
        <v>1.92</v>
      </c>
      <c r="K932" s="513">
        <v>1440</v>
      </c>
      <c r="L932" s="518" t="s">
        <v>3517</v>
      </c>
      <c r="M932" s="152" t="s">
        <v>780</v>
      </c>
      <c r="N932" s="152" t="s">
        <v>1407</v>
      </c>
      <c r="O932" s="152" t="s">
        <v>3655</v>
      </c>
      <c r="P932" s="152" t="s">
        <v>892</v>
      </c>
      <c r="Q932" s="152" t="s">
        <v>3656</v>
      </c>
      <c r="R932" s="152" t="s">
        <v>1515</v>
      </c>
      <c r="S932" s="152" t="s">
        <v>3658</v>
      </c>
      <c r="T932" s="152" t="s">
        <v>786</v>
      </c>
    </row>
    <row r="933" spans="3:20">
      <c r="C933" s="152" t="s">
        <v>2821</v>
      </c>
      <c r="D933" s="474" t="s">
        <v>676</v>
      </c>
      <c r="E933" s="684" t="str">
        <f>+VLOOKUP(F933,Resumen_Base!$C$8:$G$156,5,0)</f>
        <v>Guides</v>
      </c>
      <c r="F933" s="152" t="s">
        <v>323</v>
      </c>
      <c r="G933" s="152" t="s">
        <v>324</v>
      </c>
      <c r="H933" s="152" t="str">
        <f t="shared" si="16"/>
        <v>CAR5227</v>
      </c>
      <c r="I933" s="513">
        <v>2764.8</v>
      </c>
      <c r="J933" s="513">
        <v>1.92</v>
      </c>
      <c r="K933" s="513">
        <v>1440</v>
      </c>
      <c r="L933" s="518" t="s">
        <v>3517</v>
      </c>
      <c r="M933" s="152" t="s">
        <v>780</v>
      </c>
      <c r="N933" s="152" t="s">
        <v>1407</v>
      </c>
      <c r="O933" s="152" t="s">
        <v>3655</v>
      </c>
      <c r="P933" s="152" t="s">
        <v>892</v>
      </c>
      <c r="Q933" s="152" t="s">
        <v>3656</v>
      </c>
      <c r="R933" s="152" t="s">
        <v>1515</v>
      </c>
      <c r="S933" s="152" t="s">
        <v>3658</v>
      </c>
      <c r="T933" s="152" t="s">
        <v>786</v>
      </c>
    </row>
    <row r="934" spans="3:20">
      <c r="C934" s="152" t="s">
        <v>2821</v>
      </c>
      <c r="D934" s="474" t="s">
        <v>676</v>
      </c>
      <c r="E934" s="684" t="str">
        <f>+VLOOKUP(F934,Resumen_Base!$C$8:$G$156,5,0)</f>
        <v>Guides</v>
      </c>
      <c r="F934" s="152" t="s">
        <v>323</v>
      </c>
      <c r="G934" s="152" t="s">
        <v>324</v>
      </c>
      <c r="H934" s="152" t="str">
        <f t="shared" si="16"/>
        <v>CAR5227</v>
      </c>
      <c r="I934" s="513">
        <v>2707.5</v>
      </c>
      <c r="J934" s="513">
        <v>1.9</v>
      </c>
      <c r="K934" s="513">
        <v>1425</v>
      </c>
      <c r="L934" s="518" t="s">
        <v>3637</v>
      </c>
      <c r="M934" s="152" t="s">
        <v>780</v>
      </c>
      <c r="N934" s="152" t="s">
        <v>1407</v>
      </c>
      <c r="O934" s="152" t="s">
        <v>3680</v>
      </c>
      <c r="P934" s="152" t="s">
        <v>2865</v>
      </c>
      <c r="Q934" s="152" t="s">
        <v>3681</v>
      </c>
      <c r="R934" s="152" t="s">
        <v>1515</v>
      </c>
      <c r="S934" s="152" t="s">
        <v>3683</v>
      </c>
      <c r="T934" s="152" t="s">
        <v>786</v>
      </c>
    </row>
    <row r="935" spans="3:20">
      <c r="C935" s="152" t="s">
        <v>2821</v>
      </c>
      <c r="D935" s="474" t="s">
        <v>676</v>
      </c>
      <c r="E935" s="684" t="str">
        <f>+VLOOKUP(F935,Resumen_Base!$C$8:$G$156,5,0)</f>
        <v>Guides</v>
      </c>
      <c r="F935" s="152" t="s">
        <v>323</v>
      </c>
      <c r="G935" s="152" t="s">
        <v>324</v>
      </c>
      <c r="H935" s="152" t="str">
        <f t="shared" si="16"/>
        <v>CAR5227</v>
      </c>
      <c r="I935" s="513">
        <v>2721.75</v>
      </c>
      <c r="J935" s="513">
        <v>1.91</v>
      </c>
      <c r="K935" s="513">
        <v>1425</v>
      </c>
      <c r="L935" s="518" t="s">
        <v>3504</v>
      </c>
      <c r="M935" s="152" t="s">
        <v>780</v>
      </c>
      <c r="N935" s="152" t="s">
        <v>1407</v>
      </c>
      <c r="O935" s="152" t="s">
        <v>3665</v>
      </c>
      <c r="P935" s="152" t="s">
        <v>3489</v>
      </c>
      <c r="Q935" s="152" t="s">
        <v>3666</v>
      </c>
      <c r="R935" s="152" t="s">
        <v>1515</v>
      </c>
      <c r="S935" s="152" t="s">
        <v>3668</v>
      </c>
      <c r="T935" s="152" t="s">
        <v>786</v>
      </c>
    </row>
    <row r="936" spans="3:20">
      <c r="C936" s="152" t="s">
        <v>2821</v>
      </c>
      <c r="D936" s="474" t="s">
        <v>676</v>
      </c>
      <c r="E936" s="684" t="str">
        <f>+VLOOKUP(F936,Resumen_Base!$C$8:$G$156,5,0)</f>
        <v>Guides</v>
      </c>
      <c r="F936" s="152" t="s">
        <v>323</v>
      </c>
      <c r="G936" s="152" t="s">
        <v>324</v>
      </c>
      <c r="H936" s="152" t="str">
        <f t="shared" si="16"/>
        <v>CAR5227</v>
      </c>
      <c r="I936" s="513">
        <v>2721.75</v>
      </c>
      <c r="J936" s="513">
        <v>1.91</v>
      </c>
      <c r="K936" s="513">
        <v>1425</v>
      </c>
      <c r="L936" s="518" t="s">
        <v>3504</v>
      </c>
      <c r="M936" s="152" t="s">
        <v>780</v>
      </c>
      <c r="N936" s="152" t="s">
        <v>1407</v>
      </c>
      <c r="O936" s="152" t="s">
        <v>3665</v>
      </c>
      <c r="P936" s="152" t="s">
        <v>3489</v>
      </c>
      <c r="Q936" s="152" t="s">
        <v>3666</v>
      </c>
      <c r="R936" s="152" t="s">
        <v>1515</v>
      </c>
      <c r="S936" s="152" t="s">
        <v>3668</v>
      </c>
      <c r="T936" s="152" t="s">
        <v>786</v>
      </c>
    </row>
    <row r="937" spans="3:20">
      <c r="C937" s="152" t="s">
        <v>2821</v>
      </c>
      <c r="D937" s="474" t="s">
        <v>676</v>
      </c>
      <c r="E937" s="684" t="str">
        <f>+VLOOKUP(F937,Resumen_Base!$C$8:$G$156,5,0)</f>
        <v>Guides</v>
      </c>
      <c r="F937" s="152" t="s">
        <v>323</v>
      </c>
      <c r="G937" s="152" t="s">
        <v>324</v>
      </c>
      <c r="H937" s="152" t="str">
        <f t="shared" si="16"/>
        <v>CAR5227</v>
      </c>
      <c r="I937" s="513">
        <v>2721.75</v>
      </c>
      <c r="J937" s="513">
        <v>1.91</v>
      </c>
      <c r="K937" s="513">
        <v>1425</v>
      </c>
      <c r="L937" s="518" t="s">
        <v>3504</v>
      </c>
      <c r="M937" s="152" t="s">
        <v>780</v>
      </c>
      <c r="N937" s="152" t="s">
        <v>1407</v>
      </c>
      <c r="O937" s="152" t="s">
        <v>3665</v>
      </c>
      <c r="P937" s="152" t="s">
        <v>3489</v>
      </c>
      <c r="Q937" s="152" t="s">
        <v>3666</v>
      </c>
      <c r="R937" s="152" t="s">
        <v>1515</v>
      </c>
      <c r="S937" s="152" t="s">
        <v>3668</v>
      </c>
      <c r="T937" s="152" t="s">
        <v>786</v>
      </c>
    </row>
    <row r="938" spans="3:20">
      <c r="C938" s="152" t="s">
        <v>2821</v>
      </c>
      <c r="D938" s="474" t="s">
        <v>676</v>
      </c>
      <c r="E938" s="684" t="str">
        <f>+VLOOKUP(F938,Resumen_Base!$C$8:$G$156,5,0)</f>
        <v>Guides</v>
      </c>
      <c r="F938" s="152" t="s">
        <v>323</v>
      </c>
      <c r="G938" s="152" t="s">
        <v>324</v>
      </c>
      <c r="H938" s="152" t="str">
        <f t="shared" si="16"/>
        <v>CAR5227</v>
      </c>
      <c r="I938" s="513">
        <v>2721.75</v>
      </c>
      <c r="J938" s="513">
        <v>1.91</v>
      </c>
      <c r="K938" s="513">
        <v>1425</v>
      </c>
      <c r="L938" s="518" t="s">
        <v>3504</v>
      </c>
      <c r="M938" s="152" t="s">
        <v>780</v>
      </c>
      <c r="N938" s="152" t="s">
        <v>1407</v>
      </c>
      <c r="O938" s="152" t="s">
        <v>3665</v>
      </c>
      <c r="P938" s="152" t="s">
        <v>3489</v>
      </c>
      <c r="Q938" s="152" t="s">
        <v>3666</v>
      </c>
      <c r="R938" s="152" t="s">
        <v>1515</v>
      </c>
      <c r="S938" s="152" t="s">
        <v>3668</v>
      </c>
      <c r="T938" s="152" t="s">
        <v>786</v>
      </c>
    </row>
    <row r="939" spans="3:20">
      <c r="C939" s="152" t="s">
        <v>2821</v>
      </c>
      <c r="D939" s="474" t="s">
        <v>676</v>
      </c>
      <c r="E939" s="684" t="str">
        <f>+VLOOKUP(F939,Resumen_Base!$C$8:$G$156,5,0)</f>
        <v>Guides</v>
      </c>
      <c r="F939" s="152" t="s">
        <v>323</v>
      </c>
      <c r="G939" s="152" t="s">
        <v>324</v>
      </c>
      <c r="H939" s="152" t="str">
        <f t="shared" si="16"/>
        <v>CAR5227</v>
      </c>
      <c r="I939" s="513">
        <v>2721.75</v>
      </c>
      <c r="J939" s="513">
        <v>1.91</v>
      </c>
      <c r="K939" s="513">
        <v>1425</v>
      </c>
      <c r="L939" s="518" t="s">
        <v>3504</v>
      </c>
      <c r="M939" s="152" t="s">
        <v>780</v>
      </c>
      <c r="N939" s="152" t="s">
        <v>1407</v>
      </c>
      <c r="O939" s="152" t="s">
        <v>3665</v>
      </c>
      <c r="P939" s="152" t="s">
        <v>3489</v>
      </c>
      <c r="Q939" s="152" t="s">
        <v>3666</v>
      </c>
      <c r="R939" s="152" t="s">
        <v>1515</v>
      </c>
      <c r="S939" s="152" t="s">
        <v>3668</v>
      </c>
      <c r="T939" s="152" t="s">
        <v>786</v>
      </c>
    </row>
    <row r="940" spans="3:20">
      <c r="C940" s="152" t="s">
        <v>2821</v>
      </c>
      <c r="D940" s="474" t="s">
        <v>676</v>
      </c>
      <c r="E940" s="684" t="str">
        <f>+VLOOKUP(F940,Resumen_Base!$C$8:$G$156,5,0)</f>
        <v>Guides</v>
      </c>
      <c r="F940" s="152" t="s">
        <v>323</v>
      </c>
      <c r="G940" s="152" t="s">
        <v>324</v>
      </c>
      <c r="H940" s="152" t="str">
        <f t="shared" si="16"/>
        <v>CAR5227</v>
      </c>
      <c r="I940" s="513">
        <v>2721.75</v>
      </c>
      <c r="J940" s="513">
        <v>1.91</v>
      </c>
      <c r="K940" s="513">
        <v>1425</v>
      </c>
      <c r="L940" s="518" t="s">
        <v>3504</v>
      </c>
      <c r="M940" s="152" t="s">
        <v>780</v>
      </c>
      <c r="N940" s="152" t="s">
        <v>1407</v>
      </c>
      <c r="O940" s="152" t="s">
        <v>3665</v>
      </c>
      <c r="P940" s="152" t="s">
        <v>3489</v>
      </c>
      <c r="Q940" s="152" t="s">
        <v>3666</v>
      </c>
      <c r="R940" s="152" t="s">
        <v>1515</v>
      </c>
      <c r="S940" s="152" t="s">
        <v>3668</v>
      </c>
      <c r="T940" s="152" t="s">
        <v>786</v>
      </c>
    </row>
    <row r="941" spans="3:20">
      <c r="C941" s="152" t="s">
        <v>2821</v>
      </c>
      <c r="D941" s="474" t="s">
        <v>676</v>
      </c>
      <c r="E941" s="684" t="str">
        <f>+VLOOKUP(F941,Resumen_Base!$C$8:$G$156,5,0)</f>
        <v>Guides</v>
      </c>
      <c r="F941" s="152" t="s">
        <v>323</v>
      </c>
      <c r="G941" s="152" t="s">
        <v>324</v>
      </c>
      <c r="H941" s="152" t="str">
        <f t="shared" si="16"/>
        <v>CAR5227</v>
      </c>
      <c r="I941" s="513">
        <v>2721.75</v>
      </c>
      <c r="J941" s="513">
        <v>1.91</v>
      </c>
      <c r="K941" s="513">
        <v>1425</v>
      </c>
      <c r="L941" s="518" t="s">
        <v>3504</v>
      </c>
      <c r="M941" s="152" t="s">
        <v>780</v>
      </c>
      <c r="N941" s="152" t="s">
        <v>1407</v>
      </c>
      <c r="O941" s="152" t="s">
        <v>3665</v>
      </c>
      <c r="P941" s="152" t="s">
        <v>3489</v>
      </c>
      <c r="Q941" s="152" t="s">
        <v>3666</v>
      </c>
      <c r="R941" s="152" t="s">
        <v>1515</v>
      </c>
      <c r="S941" s="152" t="s">
        <v>3668</v>
      </c>
      <c r="T941" s="152" t="s">
        <v>786</v>
      </c>
    </row>
    <row r="942" spans="3:20">
      <c r="C942" s="152" t="s">
        <v>2821</v>
      </c>
      <c r="D942" s="474" t="s">
        <v>676</v>
      </c>
      <c r="E942" s="684" t="str">
        <f>+VLOOKUP(F942,Resumen_Base!$C$8:$G$156,5,0)</f>
        <v>Guides</v>
      </c>
      <c r="F942" s="152" t="s">
        <v>323</v>
      </c>
      <c r="G942" s="152" t="s">
        <v>324</v>
      </c>
      <c r="H942" s="152" t="str">
        <f t="shared" si="16"/>
        <v>CAR5227</v>
      </c>
      <c r="I942" s="513">
        <v>2721.75</v>
      </c>
      <c r="J942" s="513">
        <v>1.91</v>
      </c>
      <c r="K942" s="513">
        <v>1425</v>
      </c>
      <c r="L942" s="518" t="s">
        <v>3504</v>
      </c>
      <c r="M942" s="152" t="s">
        <v>780</v>
      </c>
      <c r="N942" s="152" t="s">
        <v>1407</v>
      </c>
      <c r="O942" s="152" t="s">
        <v>3665</v>
      </c>
      <c r="P942" s="152" t="s">
        <v>3489</v>
      </c>
      <c r="Q942" s="152" t="s">
        <v>3666</v>
      </c>
      <c r="R942" s="152" t="s">
        <v>1515</v>
      </c>
      <c r="S942" s="152" t="s">
        <v>3668</v>
      </c>
      <c r="T942" s="152" t="s">
        <v>786</v>
      </c>
    </row>
    <row r="943" spans="3:20">
      <c r="C943" s="152" t="s">
        <v>2821</v>
      </c>
      <c r="D943" s="474" t="s">
        <v>676</v>
      </c>
      <c r="E943" s="684" t="str">
        <f>+VLOOKUP(F943,Resumen_Base!$C$8:$G$156,5,0)</f>
        <v>Guides</v>
      </c>
      <c r="F943" s="152" t="s">
        <v>323</v>
      </c>
      <c r="G943" s="152" t="s">
        <v>324</v>
      </c>
      <c r="H943" s="152" t="str">
        <f t="shared" si="16"/>
        <v>CAR5227</v>
      </c>
      <c r="I943" s="513">
        <v>2721.75</v>
      </c>
      <c r="J943" s="513">
        <v>1.91</v>
      </c>
      <c r="K943" s="513">
        <v>1425</v>
      </c>
      <c r="L943" s="518" t="s">
        <v>3504</v>
      </c>
      <c r="M943" s="152" t="s">
        <v>780</v>
      </c>
      <c r="N943" s="152" t="s">
        <v>1407</v>
      </c>
      <c r="O943" s="152" t="s">
        <v>3665</v>
      </c>
      <c r="P943" s="152" t="s">
        <v>3489</v>
      </c>
      <c r="Q943" s="152" t="s">
        <v>3666</v>
      </c>
      <c r="R943" s="152" t="s">
        <v>1515</v>
      </c>
      <c r="S943" s="152" t="s">
        <v>3668</v>
      </c>
      <c r="T943" s="152" t="s">
        <v>786</v>
      </c>
    </row>
    <row r="944" spans="3:20">
      <c r="C944" s="152" t="s">
        <v>2821</v>
      </c>
      <c r="D944" s="474" t="s">
        <v>676</v>
      </c>
      <c r="E944" s="684" t="str">
        <f>+VLOOKUP(F944,Resumen_Base!$C$8:$G$156,5,0)</f>
        <v>Guides</v>
      </c>
      <c r="F944" s="152" t="s">
        <v>323</v>
      </c>
      <c r="G944" s="152" t="s">
        <v>324</v>
      </c>
      <c r="H944" s="152" t="str">
        <f t="shared" si="16"/>
        <v>CAR5227</v>
      </c>
      <c r="I944" s="513">
        <v>2721.75</v>
      </c>
      <c r="J944" s="513">
        <v>1.91</v>
      </c>
      <c r="K944" s="513">
        <v>1425</v>
      </c>
      <c r="L944" s="518" t="s">
        <v>3504</v>
      </c>
      <c r="M944" s="152" t="s">
        <v>780</v>
      </c>
      <c r="N944" s="152" t="s">
        <v>1407</v>
      </c>
      <c r="O944" s="152" t="s">
        <v>3665</v>
      </c>
      <c r="P944" s="152" t="s">
        <v>3489</v>
      </c>
      <c r="Q944" s="152" t="s">
        <v>3666</v>
      </c>
      <c r="R944" s="152" t="s">
        <v>1515</v>
      </c>
      <c r="S944" s="152" t="s">
        <v>3668</v>
      </c>
      <c r="T944" s="152" t="s">
        <v>786</v>
      </c>
    </row>
    <row r="945" spans="3:20">
      <c r="C945" s="152" t="s">
        <v>2821</v>
      </c>
      <c r="D945" s="474" t="s">
        <v>676</v>
      </c>
      <c r="E945" s="684" t="str">
        <f>+VLOOKUP(F945,Resumen_Base!$C$8:$G$156,5,0)</f>
        <v>Guides</v>
      </c>
      <c r="F945" s="152" t="s">
        <v>323</v>
      </c>
      <c r="G945" s="152" t="s">
        <v>324</v>
      </c>
      <c r="H945" s="152" t="str">
        <f t="shared" si="16"/>
        <v>CAR5227</v>
      </c>
      <c r="I945" s="513">
        <v>2721.75</v>
      </c>
      <c r="J945" s="513">
        <v>1.91</v>
      </c>
      <c r="K945" s="513">
        <v>1425</v>
      </c>
      <c r="L945" s="518" t="s">
        <v>3504</v>
      </c>
      <c r="M945" s="152" t="s">
        <v>780</v>
      </c>
      <c r="N945" s="152" t="s">
        <v>1407</v>
      </c>
      <c r="O945" s="152" t="s">
        <v>3665</v>
      </c>
      <c r="P945" s="152" t="s">
        <v>3489</v>
      </c>
      <c r="Q945" s="152" t="s">
        <v>3666</v>
      </c>
      <c r="R945" s="152" t="s">
        <v>1515</v>
      </c>
      <c r="S945" s="152" t="s">
        <v>3668</v>
      </c>
      <c r="T945" s="152" t="s">
        <v>786</v>
      </c>
    </row>
    <row r="946" spans="3:20">
      <c r="C946" s="152" t="s">
        <v>2821</v>
      </c>
      <c r="D946" s="474" t="s">
        <v>676</v>
      </c>
      <c r="E946" s="684" t="str">
        <f>+VLOOKUP(F946,Resumen_Base!$C$8:$G$156,5,0)</f>
        <v>Guides</v>
      </c>
      <c r="F946" s="152" t="s">
        <v>323</v>
      </c>
      <c r="G946" s="152" t="s">
        <v>324</v>
      </c>
      <c r="H946" s="152" t="str">
        <f t="shared" si="16"/>
        <v>CAR5227</v>
      </c>
      <c r="I946" s="513">
        <v>2721.75</v>
      </c>
      <c r="J946" s="513">
        <v>1.91</v>
      </c>
      <c r="K946" s="513">
        <v>1425</v>
      </c>
      <c r="L946" s="518" t="s">
        <v>3504</v>
      </c>
      <c r="M946" s="152" t="s">
        <v>780</v>
      </c>
      <c r="N946" s="152" t="s">
        <v>1407</v>
      </c>
      <c r="O946" s="152" t="s">
        <v>3665</v>
      </c>
      <c r="P946" s="152" t="s">
        <v>3489</v>
      </c>
      <c r="Q946" s="152" t="s">
        <v>3666</v>
      </c>
      <c r="R946" s="152" t="s">
        <v>1515</v>
      </c>
      <c r="S946" s="152" t="s">
        <v>3668</v>
      </c>
      <c r="T946" s="152" t="s">
        <v>786</v>
      </c>
    </row>
    <row r="947" spans="3:20">
      <c r="C947" s="152" t="s">
        <v>2821</v>
      </c>
      <c r="D947" s="474" t="s">
        <v>676</v>
      </c>
      <c r="E947" s="684" t="str">
        <f>+VLOOKUP(F947,Resumen_Base!$C$8:$G$156,5,0)</f>
        <v>Guides</v>
      </c>
      <c r="F947" s="152" t="s">
        <v>323</v>
      </c>
      <c r="G947" s="152" t="s">
        <v>324</v>
      </c>
      <c r="H947" s="152" t="str">
        <f t="shared" si="16"/>
        <v>CAR5227</v>
      </c>
      <c r="I947" s="513">
        <v>2721.75</v>
      </c>
      <c r="J947" s="513">
        <v>1.91</v>
      </c>
      <c r="K947" s="513">
        <v>1425</v>
      </c>
      <c r="L947" s="518" t="s">
        <v>3504</v>
      </c>
      <c r="M947" s="152" t="s">
        <v>780</v>
      </c>
      <c r="N947" s="152" t="s">
        <v>1407</v>
      </c>
      <c r="O947" s="152" t="s">
        <v>3665</v>
      </c>
      <c r="P947" s="152" t="s">
        <v>3489</v>
      </c>
      <c r="Q947" s="152" t="s">
        <v>3666</v>
      </c>
      <c r="R947" s="152" t="s">
        <v>1515</v>
      </c>
      <c r="S947" s="152" t="s">
        <v>3668</v>
      </c>
      <c r="T947" s="152" t="s">
        <v>786</v>
      </c>
    </row>
    <row r="948" spans="3:20">
      <c r="C948" s="152" t="s">
        <v>2821</v>
      </c>
      <c r="D948" s="474" t="s">
        <v>676</v>
      </c>
      <c r="E948" s="684" t="str">
        <f>+VLOOKUP(F948,Resumen_Base!$C$8:$G$156,5,0)</f>
        <v>Guides</v>
      </c>
      <c r="F948" s="152" t="s">
        <v>323</v>
      </c>
      <c r="G948" s="152" t="s">
        <v>324</v>
      </c>
      <c r="H948" s="152" t="str">
        <f t="shared" si="16"/>
        <v>CAR5227</v>
      </c>
      <c r="I948" s="513">
        <v>2721.75</v>
      </c>
      <c r="J948" s="513">
        <v>1.91</v>
      </c>
      <c r="K948" s="513">
        <v>1425</v>
      </c>
      <c r="L948" s="518" t="s">
        <v>3504</v>
      </c>
      <c r="M948" s="152" t="s">
        <v>780</v>
      </c>
      <c r="N948" s="152" t="s">
        <v>1407</v>
      </c>
      <c r="O948" s="152" t="s">
        <v>3665</v>
      </c>
      <c r="P948" s="152" t="s">
        <v>3489</v>
      </c>
      <c r="Q948" s="152" t="s">
        <v>3666</v>
      </c>
      <c r="R948" s="152" t="s">
        <v>1515</v>
      </c>
      <c r="S948" s="152" t="s">
        <v>3668</v>
      </c>
      <c r="T948" s="152" t="s">
        <v>786</v>
      </c>
    </row>
    <row r="949" spans="3:20">
      <c r="C949" s="152" t="s">
        <v>2821</v>
      </c>
      <c r="D949" s="474" t="s">
        <v>676</v>
      </c>
      <c r="E949" s="684" t="str">
        <f>+VLOOKUP(F949,Resumen_Base!$C$8:$G$156,5,0)</f>
        <v>Guides</v>
      </c>
      <c r="F949" s="152" t="s">
        <v>323</v>
      </c>
      <c r="G949" s="152" t="s">
        <v>324</v>
      </c>
      <c r="H949" s="152" t="str">
        <f t="shared" si="16"/>
        <v>CAR5227</v>
      </c>
      <c r="I949" s="513">
        <v>2707.5</v>
      </c>
      <c r="J949" s="513">
        <v>1.9</v>
      </c>
      <c r="K949" s="513">
        <v>1425</v>
      </c>
      <c r="L949" s="518" t="s">
        <v>3504</v>
      </c>
      <c r="M949" s="152" t="s">
        <v>780</v>
      </c>
      <c r="N949" s="152" t="s">
        <v>1407</v>
      </c>
      <c r="O949" s="152" t="s">
        <v>3768</v>
      </c>
      <c r="P949" s="152" t="s">
        <v>3489</v>
      </c>
      <c r="Q949" s="152" t="s">
        <v>3769</v>
      </c>
      <c r="R949" s="152" t="s">
        <v>1515</v>
      </c>
      <c r="S949" s="152" t="s">
        <v>3771</v>
      </c>
      <c r="T949" s="152" t="s">
        <v>786</v>
      </c>
    </row>
    <row r="950" spans="3:20">
      <c r="C950" s="152" t="s">
        <v>2821</v>
      </c>
      <c r="D950" s="474" t="s">
        <v>676</v>
      </c>
      <c r="E950" s="684" t="str">
        <f>+VLOOKUP(F950,Resumen_Base!$C$8:$G$156,5,0)</f>
        <v>Guides</v>
      </c>
      <c r="F950" s="152" t="s">
        <v>323</v>
      </c>
      <c r="G950" s="152" t="s">
        <v>324</v>
      </c>
      <c r="H950" s="152" t="str">
        <f t="shared" si="16"/>
        <v>CAR5227</v>
      </c>
      <c r="I950" s="513">
        <v>2707.5</v>
      </c>
      <c r="J950" s="513">
        <v>1.9</v>
      </c>
      <c r="K950" s="513">
        <v>1425</v>
      </c>
      <c r="L950" s="518" t="s">
        <v>3504</v>
      </c>
      <c r="M950" s="152" t="s">
        <v>780</v>
      </c>
      <c r="N950" s="152" t="s">
        <v>1407</v>
      </c>
      <c r="O950" s="152" t="s">
        <v>3768</v>
      </c>
      <c r="P950" s="152" t="s">
        <v>3489</v>
      </c>
      <c r="Q950" s="152" t="s">
        <v>3769</v>
      </c>
      <c r="R950" s="152" t="s">
        <v>1515</v>
      </c>
      <c r="S950" s="152" t="s">
        <v>3771</v>
      </c>
      <c r="T950" s="152" t="s">
        <v>786</v>
      </c>
    </row>
    <row r="951" spans="3:20">
      <c r="C951" s="152" t="s">
        <v>2821</v>
      </c>
      <c r="D951" s="474" t="s">
        <v>676</v>
      </c>
      <c r="E951" s="684" t="str">
        <f>+VLOOKUP(F951,Resumen_Base!$C$8:$G$156,5,0)</f>
        <v>Guides</v>
      </c>
      <c r="F951" s="152" t="s">
        <v>323</v>
      </c>
      <c r="G951" s="152" t="s">
        <v>324</v>
      </c>
      <c r="H951" s="152" t="str">
        <f t="shared" si="16"/>
        <v>CAR5227</v>
      </c>
      <c r="I951" s="513">
        <v>2664.9</v>
      </c>
      <c r="J951" s="513">
        <v>1.89</v>
      </c>
      <c r="K951" s="513">
        <v>1410</v>
      </c>
      <c r="L951" s="518" t="s">
        <v>3498</v>
      </c>
      <c r="M951" s="152" t="s">
        <v>780</v>
      </c>
      <c r="N951" s="152" t="s">
        <v>1407</v>
      </c>
      <c r="O951" s="152" t="s">
        <v>3522</v>
      </c>
      <c r="P951" s="152" t="s">
        <v>3489</v>
      </c>
      <c r="Q951" s="152" t="s">
        <v>3523</v>
      </c>
      <c r="R951" s="152" t="s">
        <v>1515</v>
      </c>
      <c r="S951" s="152" t="s">
        <v>3525</v>
      </c>
      <c r="T951" s="152" t="s">
        <v>786</v>
      </c>
    </row>
    <row r="952" spans="3:20">
      <c r="C952" s="152" t="s">
        <v>2821</v>
      </c>
      <c r="D952" s="474" t="s">
        <v>676</v>
      </c>
      <c r="E952" s="684" t="str">
        <f>+VLOOKUP(F952,Resumen_Base!$C$8:$G$156,5,0)</f>
        <v>Guides</v>
      </c>
      <c r="F952" s="152" t="s">
        <v>323</v>
      </c>
      <c r="G952" s="152" t="s">
        <v>324</v>
      </c>
      <c r="H952" s="152" t="str">
        <f t="shared" si="16"/>
        <v>CAR5227</v>
      </c>
      <c r="I952" s="513">
        <v>2664.9</v>
      </c>
      <c r="J952" s="513">
        <v>1.89</v>
      </c>
      <c r="K952" s="513">
        <v>1410</v>
      </c>
      <c r="L952" s="518" t="s">
        <v>3498</v>
      </c>
      <c r="M952" s="152" t="s">
        <v>780</v>
      </c>
      <c r="N952" s="152" t="s">
        <v>1407</v>
      </c>
      <c r="O952" s="152" t="s">
        <v>3522</v>
      </c>
      <c r="P952" s="152" t="s">
        <v>3489</v>
      </c>
      <c r="Q952" s="152" t="s">
        <v>3523</v>
      </c>
      <c r="R952" s="152" t="s">
        <v>1515</v>
      </c>
      <c r="S952" s="152" t="s">
        <v>3525</v>
      </c>
      <c r="T952" s="152" t="s">
        <v>786</v>
      </c>
    </row>
    <row r="953" spans="3:20">
      <c r="C953" s="152" t="s">
        <v>2821</v>
      </c>
      <c r="D953" s="474" t="s">
        <v>676</v>
      </c>
      <c r="E953" s="684" t="str">
        <f>+VLOOKUP(F953,Resumen_Base!$C$8:$G$156,5,0)</f>
        <v>Guides</v>
      </c>
      <c r="F953" s="152" t="s">
        <v>323</v>
      </c>
      <c r="G953" s="152" t="s">
        <v>324</v>
      </c>
      <c r="H953" s="152" t="str">
        <f t="shared" si="16"/>
        <v>CAR5227</v>
      </c>
      <c r="I953" s="513">
        <v>2664.9</v>
      </c>
      <c r="J953" s="513">
        <v>1.89</v>
      </c>
      <c r="K953" s="513">
        <v>1410</v>
      </c>
      <c r="L953" s="518" t="s">
        <v>3498</v>
      </c>
      <c r="M953" s="152" t="s">
        <v>780</v>
      </c>
      <c r="N953" s="152" t="s">
        <v>1407</v>
      </c>
      <c r="O953" s="152" t="s">
        <v>3522</v>
      </c>
      <c r="P953" s="152" t="s">
        <v>3489</v>
      </c>
      <c r="Q953" s="152" t="s">
        <v>3523</v>
      </c>
      <c r="R953" s="152" t="s">
        <v>1515</v>
      </c>
      <c r="S953" s="152" t="s">
        <v>3525</v>
      </c>
      <c r="T953" s="152" t="s">
        <v>786</v>
      </c>
    </row>
    <row r="954" spans="3:20">
      <c r="C954" s="152" t="s">
        <v>2821</v>
      </c>
      <c r="D954" s="474" t="s">
        <v>676</v>
      </c>
      <c r="E954" s="684" t="str">
        <f>+VLOOKUP(F954,Resumen_Base!$C$8:$G$156,5,0)</f>
        <v>Guides</v>
      </c>
      <c r="F954" s="152" t="s">
        <v>323</v>
      </c>
      <c r="G954" s="152" t="s">
        <v>324</v>
      </c>
      <c r="H954" s="152" t="str">
        <f t="shared" si="16"/>
        <v>CAR5227</v>
      </c>
      <c r="I954" s="513">
        <v>2664.9</v>
      </c>
      <c r="J954" s="513">
        <v>1.89</v>
      </c>
      <c r="K954" s="513">
        <v>1410</v>
      </c>
      <c r="L954" s="518" t="s">
        <v>3498</v>
      </c>
      <c r="M954" s="152" t="s">
        <v>780</v>
      </c>
      <c r="N954" s="152" t="s">
        <v>1407</v>
      </c>
      <c r="O954" s="152" t="s">
        <v>3522</v>
      </c>
      <c r="P954" s="152" t="s">
        <v>3489</v>
      </c>
      <c r="Q954" s="152" t="s">
        <v>3523</v>
      </c>
      <c r="R954" s="152" t="s">
        <v>1515</v>
      </c>
      <c r="S954" s="152" t="s">
        <v>3525</v>
      </c>
      <c r="T954" s="152" t="s">
        <v>786</v>
      </c>
    </row>
    <row r="955" spans="3:20">
      <c r="C955" s="152" t="s">
        <v>2821</v>
      </c>
      <c r="D955" s="474" t="s">
        <v>676</v>
      </c>
      <c r="E955" s="684" t="str">
        <f>+VLOOKUP(F955,Resumen_Base!$C$8:$G$156,5,0)</f>
        <v>Guides</v>
      </c>
      <c r="F955" s="152" t="s">
        <v>323</v>
      </c>
      <c r="G955" s="152" t="s">
        <v>324</v>
      </c>
      <c r="H955" s="152" t="str">
        <f t="shared" si="16"/>
        <v>CAR5227</v>
      </c>
      <c r="I955" s="513">
        <v>2664.9</v>
      </c>
      <c r="J955" s="513">
        <v>1.89</v>
      </c>
      <c r="K955" s="513">
        <v>1410</v>
      </c>
      <c r="L955" s="518" t="s">
        <v>3498</v>
      </c>
      <c r="M955" s="152" t="s">
        <v>780</v>
      </c>
      <c r="N955" s="152" t="s">
        <v>1407</v>
      </c>
      <c r="O955" s="152" t="s">
        <v>3522</v>
      </c>
      <c r="P955" s="152" t="s">
        <v>3489</v>
      </c>
      <c r="Q955" s="152" t="s">
        <v>3523</v>
      </c>
      <c r="R955" s="152" t="s">
        <v>1515</v>
      </c>
      <c r="S955" s="152" t="s">
        <v>3525</v>
      </c>
      <c r="T955" s="152" t="s">
        <v>786</v>
      </c>
    </row>
    <row r="956" spans="3:20">
      <c r="C956" s="152" t="s">
        <v>2821</v>
      </c>
      <c r="D956" s="474" t="s">
        <v>676</v>
      </c>
      <c r="E956" s="684" t="str">
        <f>+VLOOKUP(F956,Resumen_Base!$C$8:$G$156,5,0)</f>
        <v>Guides</v>
      </c>
      <c r="F956" s="152" t="s">
        <v>323</v>
      </c>
      <c r="G956" s="152" t="s">
        <v>324</v>
      </c>
      <c r="H956" s="152" t="str">
        <f t="shared" si="16"/>
        <v>CAR5227</v>
      </c>
      <c r="I956" s="513">
        <v>2664.9</v>
      </c>
      <c r="J956" s="513">
        <v>1.89</v>
      </c>
      <c r="K956" s="513">
        <v>1410</v>
      </c>
      <c r="L956" s="518" t="s">
        <v>3498</v>
      </c>
      <c r="M956" s="152" t="s">
        <v>780</v>
      </c>
      <c r="N956" s="152" t="s">
        <v>1407</v>
      </c>
      <c r="O956" s="152" t="s">
        <v>3522</v>
      </c>
      <c r="P956" s="152" t="s">
        <v>3489</v>
      </c>
      <c r="Q956" s="152" t="s">
        <v>3523</v>
      </c>
      <c r="R956" s="152" t="s">
        <v>1515</v>
      </c>
      <c r="S956" s="152" t="s">
        <v>3525</v>
      </c>
      <c r="T956" s="152" t="s">
        <v>786</v>
      </c>
    </row>
    <row r="957" spans="3:20">
      <c r="C957" s="152" t="s">
        <v>2821</v>
      </c>
      <c r="D957" s="474" t="s">
        <v>676</v>
      </c>
      <c r="E957" s="684" t="str">
        <f>+VLOOKUP(F957,Resumen_Base!$C$8:$G$156,5,0)</f>
        <v>Guides</v>
      </c>
      <c r="F957" s="152" t="s">
        <v>323</v>
      </c>
      <c r="G957" s="152" t="s">
        <v>324</v>
      </c>
      <c r="H957" s="152" t="str">
        <f t="shared" si="16"/>
        <v>CAR5227</v>
      </c>
      <c r="I957" s="513">
        <v>2664.9</v>
      </c>
      <c r="J957" s="513">
        <v>1.89</v>
      </c>
      <c r="K957" s="513">
        <v>1410</v>
      </c>
      <c r="L957" s="518" t="s">
        <v>3498</v>
      </c>
      <c r="M957" s="152" t="s">
        <v>780</v>
      </c>
      <c r="N957" s="152" t="s">
        <v>1407</v>
      </c>
      <c r="O957" s="152" t="s">
        <v>3522</v>
      </c>
      <c r="P957" s="152" t="s">
        <v>3489</v>
      </c>
      <c r="Q957" s="152" t="s">
        <v>3523</v>
      </c>
      <c r="R957" s="152" t="s">
        <v>1515</v>
      </c>
      <c r="S957" s="152" t="s">
        <v>3525</v>
      </c>
      <c r="T957" s="152" t="s">
        <v>786</v>
      </c>
    </row>
    <row r="958" spans="3:20">
      <c r="C958" s="152" t="s">
        <v>2821</v>
      </c>
      <c r="D958" s="474" t="s">
        <v>676</v>
      </c>
      <c r="E958" s="684" t="str">
        <f>+VLOOKUP(F958,Resumen_Base!$C$8:$G$156,5,0)</f>
        <v>Guides</v>
      </c>
      <c r="F958" s="152" t="s">
        <v>323</v>
      </c>
      <c r="G958" s="152" t="s">
        <v>324</v>
      </c>
      <c r="H958" s="152" t="str">
        <f t="shared" si="16"/>
        <v>CAR5227</v>
      </c>
      <c r="I958" s="513">
        <v>2664.9</v>
      </c>
      <c r="J958" s="513">
        <v>1.89</v>
      </c>
      <c r="K958" s="513">
        <v>1410</v>
      </c>
      <c r="L958" s="518" t="s">
        <v>3498</v>
      </c>
      <c r="M958" s="152" t="s">
        <v>780</v>
      </c>
      <c r="N958" s="152" t="s">
        <v>1407</v>
      </c>
      <c r="O958" s="152" t="s">
        <v>3522</v>
      </c>
      <c r="P958" s="152" t="s">
        <v>3489</v>
      </c>
      <c r="Q958" s="152" t="s">
        <v>3523</v>
      </c>
      <c r="R958" s="152" t="s">
        <v>1515</v>
      </c>
      <c r="S958" s="152" t="s">
        <v>3525</v>
      </c>
      <c r="T958" s="152" t="s">
        <v>786</v>
      </c>
    </row>
    <row r="959" spans="3:20">
      <c r="C959" s="152" t="s">
        <v>2821</v>
      </c>
      <c r="D959" s="474" t="s">
        <v>676</v>
      </c>
      <c r="E959" s="684" t="str">
        <f>+VLOOKUP(F959,Resumen_Base!$C$8:$G$156,5,0)</f>
        <v>Guides</v>
      </c>
      <c r="F959" s="152" t="s">
        <v>323</v>
      </c>
      <c r="G959" s="152" t="s">
        <v>324</v>
      </c>
      <c r="H959" s="152" t="str">
        <f t="shared" si="16"/>
        <v>CAR5227</v>
      </c>
      <c r="I959" s="513">
        <v>2664.9</v>
      </c>
      <c r="J959" s="513">
        <v>1.89</v>
      </c>
      <c r="K959" s="513">
        <v>1410</v>
      </c>
      <c r="L959" s="518" t="s">
        <v>3498</v>
      </c>
      <c r="M959" s="152" t="s">
        <v>780</v>
      </c>
      <c r="N959" s="152" t="s">
        <v>1407</v>
      </c>
      <c r="O959" s="152" t="s">
        <v>3522</v>
      </c>
      <c r="P959" s="152" t="s">
        <v>3489</v>
      </c>
      <c r="Q959" s="152" t="s">
        <v>3523</v>
      </c>
      <c r="R959" s="152" t="s">
        <v>1515</v>
      </c>
      <c r="S959" s="152" t="s">
        <v>3525</v>
      </c>
      <c r="T959" s="152" t="s">
        <v>786</v>
      </c>
    </row>
    <row r="960" spans="3:20">
      <c r="C960" s="152" t="s">
        <v>2821</v>
      </c>
      <c r="D960" s="474" t="s">
        <v>676</v>
      </c>
      <c r="E960" s="684" t="str">
        <f>+VLOOKUP(F960,Resumen_Base!$C$8:$G$156,5,0)</f>
        <v>Guides</v>
      </c>
      <c r="F960" s="152" t="s">
        <v>323</v>
      </c>
      <c r="G960" s="152" t="s">
        <v>324</v>
      </c>
      <c r="H960" s="152" t="str">
        <f t="shared" si="16"/>
        <v>CAR5227</v>
      </c>
      <c r="I960" s="513">
        <v>2664.9</v>
      </c>
      <c r="J960" s="513">
        <v>1.89</v>
      </c>
      <c r="K960" s="513">
        <v>1410</v>
      </c>
      <c r="L960" s="518" t="s">
        <v>3498</v>
      </c>
      <c r="M960" s="152" t="s">
        <v>780</v>
      </c>
      <c r="N960" s="152" t="s">
        <v>1407</v>
      </c>
      <c r="O960" s="152" t="s">
        <v>3522</v>
      </c>
      <c r="P960" s="152" t="s">
        <v>3489</v>
      </c>
      <c r="Q960" s="152" t="s">
        <v>3523</v>
      </c>
      <c r="R960" s="152" t="s">
        <v>1515</v>
      </c>
      <c r="S960" s="152" t="s">
        <v>3525</v>
      </c>
      <c r="T960" s="152" t="s">
        <v>786</v>
      </c>
    </row>
    <row r="961" spans="3:20">
      <c r="C961" s="152" t="s">
        <v>2821</v>
      </c>
      <c r="D961" s="474" t="s">
        <v>676</v>
      </c>
      <c r="E961" s="684" t="str">
        <f>+VLOOKUP(F961,Resumen_Base!$C$8:$G$156,5,0)</f>
        <v>Guides</v>
      </c>
      <c r="F961" s="152" t="s">
        <v>323</v>
      </c>
      <c r="G961" s="152" t="s">
        <v>324</v>
      </c>
      <c r="H961" s="152" t="str">
        <f t="shared" si="16"/>
        <v>CAR5227</v>
      </c>
      <c r="I961" s="513">
        <v>2664.9</v>
      </c>
      <c r="J961" s="513">
        <v>1.89</v>
      </c>
      <c r="K961" s="513">
        <v>1410</v>
      </c>
      <c r="L961" s="518" t="s">
        <v>3498</v>
      </c>
      <c r="M961" s="152" t="s">
        <v>780</v>
      </c>
      <c r="N961" s="152" t="s">
        <v>1407</v>
      </c>
      <c r="O961" s="152" t="s">
        <v>3522</v>
      </c>
      <c r="P961" s="152" t="s">
        <v>3489</v>
      </c>
      <c r="Q961" s="152" t="s">
        <v>3523</v>
      </c>
      <c r="R961" s="152" t="s">
        <v>1515</v>
      </c>
      <c r="S961" s="152" t="s">
        <v>3525</v>
      </c>
      <c r="T961" s="152" t="s">
        <v>786</v>
      </c>
    </row>
    <row r="962" spans="3:20">
      <c r="C962" s="152" t="s">
        <v>2821</v>
      </c>
      <c r="D962" s="474" t="s">
        <v>676</v>
      </c>
      <c r="E962" s="684" t="str">
        <f>+VLOOKUP(F962,Resumen_Base!$C$8:$G$156,5,0)</f>
        <v>Guides</v>
      </c>
      <c r="F962" s="152" t="s">
        <v>323</v>
      </c>
      <c r="G962" s="152" t="s">
        <v>324</v>
      </c>
      <c r="H962" s="152" t="str">
        <f t="shared" si="16"/>
        <v>CAR5227</v>
      </c>
      <c r="I962" s="513">
        <v>2664.9</v>
      </c>
      <c r="J962" s="513">
        <v>1.89</v>
      </c>
      <c r="K962" s="513">
        <v>1410</v>
      </c>
      <c r="L962" s="518" t="s">
        <v>3498</v>
      </c>
      <c r="M962" s="152" t="s">
        <v>780</v>
      </c>
      <c r="N962" s="152" t="s">
        <v>1407</v>
      </c>
      <c r="O962" s="152" t="s">
        <v>3522</v>
      </c>
      <c r="P962" s="152" t="s">
        <v>3489</v>
      </c>
      <c r="Q962" s="152" t="s">
        <v>3523</v>
      </c>
      <c r="R962" s="152" t="s">
        <v>1515</v>
      </c>
      <c r="S962" s="152" t="s">
        <v>3525</v>
      </c>
      <c r="T962" s="152" t="s">
        <v>786</v>
      </c>
    </row>
    <row r="963" spans="3:20">
      <c r="C963" s="152" t="s">
        <v>2821</v>
      </c>
      <c r="D963" s="474" t="s">
        <v>676</v>
      </c>
      <c r="E963" s="684" t="str">
        <f>+VLOOKUP(F963,Resumen_Base!$C$8:$G$156,5,0)</f>
        <v>Guides</v>
      </c>
      <c r="F963" s="152" t="s">
        <v>323</v>
      </c>
      <c r="G963" s="152" t="s">
        <v>324</v>
      </c>
      <c r="H963" s="152" t="str">
        <f t="shared" si="16"/>
        <v>CAR5227</v>
      </c>
      <c r="I963" s="513">
        <v>2759.25</v>
      </c>
      <c r="J963" s="513">
        <v>1.95</v>
      </c>
      <c r="K963" s="513">
        <v>1415</v>
      </c>
      <c r="L963" s="518" t="s">
        <v>3632</v>
      </c>
      <c r="M963" s="152" t="s">
        <v>780</v>
      </c>
      <c r="N963" s="152" t="s">
        <v>1407</v>
      </c>
      <c r="O963" s="152" t="s">
        <v>3673</v>
      </c>
      <c r="P963" s="152" t="s">
        <v>3489</v>
      </c>
      <c r="Q963" s="152" t="s">
        <v>3674</v>
      </c>
      <c r="R963" s="152" t="s">
        <v>1515</v>
      </c>
      <c r="S963" s="152" t="s">
        <v>3676</v>
      </c>
      <c r="T963" s="152" t="s">
        <v>786</v>
      </c>
    </row>
    <row r="964" spans="3:20">
      <c r="C964" s="152" t="s">
        <v>2821</v>
      </c>
      <c r="D964" s="474" t="s">
        <v>676</v>
      </c>
      <c r="E964" s="684" t="str">
        <f>+VLOOKUP(F964,Resumen_Base!$C$8:$G$156,5,0)</f>
        <v>Guides</v>
      </c>
      <c r="F964" s="152" t="s">
        <v>323</v>
      </c>
      <c r="G964" s="152" t="s">
        <v>324</v>
      </c>
      <c r="H964" s="152" t="str">
        <f t="shared" si="16"/>
        <v>CAR5227</v>
      </c>
      <c r="I964" s="513">
        <v>2759.25</v>
      </c>
      <c r="J964" s="513">
        <v>1.95</v>
      </c>
      <c r="K964" s="513">
        <v>1415</v>
      </c>
      <c r="L964" s="518" t="s">
        <v>3632</v>
      </c>
      <c r="M964" s="152" t="s">
        <v>780</v>
      </c>
      <c r="N964" s="152" t="s">
        <v>1407</v>
      </c>
      <c r="O964" s="152" t="s">
        <v>3673</v>
      </c>
      <c r="P964" s="152" t="s">
        <v>3489</v>
      </c>
      <c r="Q964" s="152" t="s">
        <v>3674</v>
      </c>
      <c r="R964" s="152" t="s">
        <v>1515</v>
      </c>
      <c r="S964" s="152" t="s">
        <v>3676</v>
      </c>
      <c r="T964" s="152" t="s">
        <v>786</v>
      </c>
    </row>
    <row r="965" spans="3:20">
      <c r="C965" s="152" t="s">
        <v>2821</v>
      </c>
      <c r="D965" s="474" t="s">
        <v>676</v>
      </c>
      <c r="E965" s="684" t="str">
        <f>+VLOOKUP(F965,Resumen_Base!$C$8:$G$156,5,0)</f>
        <v>Guides</v>
      </c>
      <c r="F965" s="152" t="s">
        <v>323</v>
      </c>
      <c r="G965" s="152" t="s">
        <v>324</v>
      </c>
      <c r="H965" s="152" t="str">
        <f t="shared" si="16"/>
        <v>CAR5227</v>
      </c>
      <c r="I965" s="513">
        <v>2759.25</v>
      </c>
      <c r="J965" s="513">
        <v>1.95</v>
      </c>
      <c r="K965" s="513">
        <v>1415</v>
      </c>
      <c r="L965" s="518" t="s">
        <v>3632</v>
      </c>
      <c r="M965" s="152" t="s">
        <v>780</v>
      </c>
      <c r="N965" s="152" t="s">
        <v>1407</v>
      </c>
      <c r="O965" s="152" t="s">
        <v>3673</v>
      </c>
      <c r="P965" s="152" t="s">
        <v>3489</v>
      </c>
      <c r="Q965" s="152" t="s">
        <v>3674</v>
      </c>
      <c r="R965" s="152" t="s">
        <v>1515</v>
      </c>
      <c r="S965" s="152" t="s">
        <v>3676</v>
      </c>
      <c r="T965" s="152" t="s">
        <v>786</v>
      </c>
    </row>
    <row r="966" spans="3:20">
      <c r="C966" s="152" t="s">
        <v>2821</v>
      </c>
      <c r="D966" s="474" t="s">
        <v>676</v>
      </c>
      <c r="E966" s="684" t="str">
        <f>+VLOOKUP(F966,Resumen_Base!$C$8:$G$156,5,0)</f>
        <v>Guides</v>
      </c>
      <c r="F966" s="152" t="s">
        <v>323</v>
      </c>
      <c r="G966" s="152" t="s">
        <v>324</v>
      </c>
      <c r="H966" s="152" t="str">
        <f t="shared" si="16"/>
        <v>CAR5227</v>
      </c>
      <c r="I966" s="513">
        <v>2759.25</v>
      </c>
      <c r="J966" s="513">
        <v>1.95</v>
      </c>
      <c r="K966" s="513">
        <v>1415</v>
      </c>
      <c r="L966" s="518" t="s">
        <v>3632</v>
      </c>
      <c r="M966" s="152" t="s">
        <v>780</v>
      </c>
      <c r="N966" s="152" t="s">
        <v>1407</v>
      </c>
      <c r="O966" s="152" t="s">
        <v>3673</v>
      </c>
      <c r="P966" s="152" t="s">
        <v>3489</v>
      </c>
      <c r="Q966" s="152" t="s">
        <v>3674</v>
      </c>
      <c r="R966" s="152" t="s">
        <v>1515</v>
      </c>
      <c r="S966" s="152" t="s">
        <v>3676</v>
      </c>
      <c r="T966" s="152" t="s">
        <v>786</v>
      </c>
    </row>
    <row r="967" spans="3:20">
      <c r="C967" s="152" t="s">
        <v>2821</v>
      </c>
      <c r="D967" s="474" t="s">
        <v>676</v>
      </c>
      <c r="E967" s="684" t="str">
        <f>+VLOOKUP(F967,Resumen_Base!$C$8:$G$156,5,0)</f>
        <v>Guides</v>
      </c>
      <c r="F967" s="152" t="s">
        <v>323</v>
      </c>
      <c r="G967" s="152" t="s">
        <v>324</v>
      </c>
      <c r="H967" s="152" t="str">
        <f t="shared" si="16"/>
        <v>CAR5227</v>
      </c>
      <c r="I967" s="513">
        <v>2759.25</v>
      </c>
      <c r="J967" s="513">
        <v>1.95</v>
      </c>
      <c r="K967" s="513">
        <v>1415</v>
      </c>
      <c r="L967" s="518" t="s">
        <v>3632</v>
      </c>
      <c r="M967" s="152" t="s">
        <v>780</v>
      </c>
      <c r="N967" s="152" t="s">
        <v>1407</v>
      </c>
      <c r="O967" s="152" t="s">
        <v>3673</v>
      </c>
      <c r="P967" s="152" t="s">
        <v>3489</v>
      </c>
      <c r="Q967" s="152" t="s">
        <v>3674</v>
      </c>
      <c r="R967" s="152" t="s">
        <v>1515</v>
      </c>
      <c r="S967" s="152" t="s">
        <v>3676</v>
      </c>
      <c r="T967" s="152" t="s">
        <v>786</v>
      </c>
    </row>
    <row r="968" spans="3:20">
      <c r="C968" s="152" t="s">
        <v>2821</v>
      </c>
      <c r="D968" s="474" t="s">
        <v>676</v>
      </c>
      <c r="E968" s="684" t="str">
        <f>+VLOOKUP(F968,Resumen_Base!$C$8:$G$156,5,0)</f>
        <v>Guides</v>
      </c>
      <c r="F968" s="152" t="s">
        <v>323</v>
      </c>
      <c r="G968" s="152" t="s">
        <v>324</v>
      </c>
      <c r="H968" s="152" t="str">
        <f t="shared" si="16"/>
        <v>CAR5227</v>
      </c>
      <c r="I968" s="513">
        <v>2759.25</v>
      </c>
      <c r="J968" s="513">
        <v>1.95</v>
      </c>
      <c r="K968" s="513">
        <v>1415</v>
      </c>
      <c r="L968" s="518" t="s">
        <v>3632</v>
      </c>
      <c r="M968" s="152" t="s">
        <v>780</v>
      </c>
      <c r="N968" s="152" t="s">
        <v>1407</v>
      </c>
      <c r="O968" s="152" t="s">
        <v>3673</v>
      </c>
      <c r="P968" s="152" t="s">
        <v>3489</v>
      </c>
      <c r="Q968" s="152" t="s">
        <v>3674</v>
      </c>
      <c r="R968" s="152" t="s">
        <v>1515</v>
      </c>
      <c r="S968" s="152" t="s">
        <v>3676</v>
      </c>
      <c r="T968" s="152" t="s">
        <v>786</v>
      </c>
    </row>
    <row r="969" spans="3:20">
      <c r="C969" s="152" t="s">
        <v>2821</v>
      </c>
      <c r="D969" s="474" t="s">
        <v>676</v>
      </c>
      <c r="E969" s="684" t="str">
        <f>+VLOOKUP(F969,Resumen_Base!$C$8:$G$156,5,0)</f>
        <v>Guides</v>
      </c>
      <c r="F969" s="152" t="s">
        <v>323</v>
      </c>
      <c r="G969" s="152" t="s">
        <v>324</v>
      </c>
      <c r="H969" s="152" t="str">
        <f t="shared" si="16"/>
        <v>CAR5227</v>
      </c>
      <c r="I969" s="513">
        <v>2759.25</v>
      </c>
      <c r="J969" s="513">
        <v>1.95</v>
      </c>
      <c r="K969" s="513">
        <v>1415</v>
      </c>
      <c r="L969" s="518" t="s">
        <v>3632</v>
      </c>
      <c r="M969" s="152" t="s">
        <v>780</v>
      </c>
      <c r="N969" s="152" t="s">
        <v>1407</v>
      </c>
      <c r="O969" s="152" t="s">
        <v>3673</v>
      </c>
      <c r="P969" s="152" t="s">
        <v>3489</v>
      </c>
      <c r="Q969" s="152" t="s">
        <v>3674</v>
      </c>
      <c r="R969" s="152" t="s">
        <v>1515</v>
      </c>
      <c r="S969" s="152" t="s">
        <v>3676</v>
      </c>
      <c r="T969" s="152" t="s">
        <v>786</v>
      </c>
    </row>
    <row r="970" spans="3:20">
      <c r="C970" s="152" t="s">
        <v>2821</v>
      </c>
      <c r="D970" s="474" t="s">
        <v>676</v>
      </c>
      <c r="E970" s="684" t="str">
        <f>+VLOOKUP(F970,Resumen_Base!$C$8:$G$156,5,0)</f>
        <v>Guides</v>
      </c>
      <c r="F970" s="152" t="s">
        <v>323</v>
      </c>
      <c r="G970" s="152" t="s">
        <v>324</v>
      </c>
      <c r="H970" s="152" t="str">
        <f t="shared" si="16"/>
        <v>CAR5227</v>
      </c>
      <c r="I970" s="513">
        <v>2759.25</v>
      </c>
      <c r="J970" s="513">
        <v>1.95</v>
      </c>
      <c r="K970" s="513">
        <v>1415</v>
      </c>
      <c r="L970" s="518" t="s">
        <v>3632</v>
      </c>
      <c r="M970" s="152" t="s">
        <v>780</v>
      </c>
      <c r="N970" s="152" t="s">
        <v>1407</v>
      </c>
      <c r="O970" s="152" t="s">
        <v>3673</v>
      </c>
      <c r="P970" s="152" t="s">
        <v>3489</v>
      </c>
      <c r="Q970" s="152" t="s">
        <v>3674</v>
      </c>
      <c r="R970" s="152" t="s">
        <v>1515</v>
      </c>
      <c r="S970" s="152" t="s">
        <v>3676</v>
      </c>
      <c r="T970" s="152" t="s">
        <v>786</v>
      </c>
    </row>
    <row r="971" spans="3:20">
      <c r="C971" s="152" t="s">
        <v>2821</v>
      </c>
      <c r="D971" s="474" t="s">
        <v>676</v>
      </c>
      <c r="E971" s="684" t="str">
        <f>+VLOOKUP(F971,Resumen_Base!$C$8:$G$156,5,0)</f>
        <v>Guides</v>
      </c>
      <c r="F971" s="152" t="s">
        <v>323</v>
      </c>
      <c r="G971" s="152" t="s">
        <v>324</v>
      </c>
      <c r="H971" s="152" t="str">
        <f t="shared" si="16"/>
        <v>CAR5227</v>
      </c>
      <c r="I971" s="513">
        <v>2759.25</v>
      </c>
      <c r="J971" s="513">
        <v>1.95</v>
      </c>
      <c r="K971" s="513">
        <v>1415</v>
      </c>
      <c r="L971" s="518" t="s">
        <v>3632</v>
      </c>
      <c r="M971" s="152" t="s">
        <v>780</v>
      </c>
      <c r="N971" s="152" t="s">
        <v>1407</v>
      </c>
      <c r="O971" s="152" t="s">
        <v>3673</v>
      </c>
      <c r="P971" s="152" t="s">
        <v>3489</v>
      </c>
      <c r="Q971" s="152" t="s">
        <v>3674</v>
      </c>
      <c r="R971" s="152" t="s">
        <v>1515</v>
      </c>
      <c r="S971" s="152" t="s">
        <v>3676</v>
      </c>
      <c r="T971" s="152" t="s">
        <v>786</v>
      </c>
    </row>
    <row r="972" spans="3:20">
      <c r="C972" s="152" t="s">
        <v>2821</v>
      </c>
      <c r="D972" s="474" t="s">
        <v>676</v>
      </c>
      <c r="E972" s="684" t="str">
        <f>+VLOOKUP(F972,Resumen_Base!$C$8:$G$156,5,0)</f>
        <v>Guides</v>
      </c>
      <c r="F972" s="152" t="s">
        <v>323</v>
      </c>
      <c r="G972" s="152" t="s">
        <v>324</v>
      </c>
      <c r="H972" s="152" t="str">
        <f t="shared" si="16"/>
        <v>CAR5227</v>
      </c>
      <c r="I972" s="513">
        <v>2759.25</v>
      </c>
      <c r="J972" s="513">
        <v>1.95</v>
      </c>
      <c r="K972" s="513">
        <v>1415</v>
      </c>
      <c r="L972" s="518" t="s">
        <v>3632</v>
      </c>
      <c r="M972" s="152" t="s">
        <v>780</v>
      </c>
      <c r="N972" s="152" t="s">
        <v>1407</v>
      </c>
      <c r="O972" s="152" t="s">
        <v>3673</v>
      </c>
      <c r="P972" s="152" t="s">
        <v>3489</v>
      </c>
      <c r="Q972" s="152" t="s">
        <v>3674</v>
      </c>
      <c r="R972" s="152" t="s">
        <v>1515</v>
      </c>
      <c r="S972" s="152" t="s">
        <v>3676</v>
      </c>
      <c r="T972" s="152" t="s">
        <v>786</v>
      </c>
    </row>
    <row r="973" spans="3:20">
      <c r="C973" s="152" t="s">
        <v>2821</v>
      </c>
      <c r="D973" s="474" t="s">
        <v>676</v>
      </c>
      <c r="E973" s="684" t="str">
        <f>+VLOOKUP(F973,Resumen_Base!$C$8:$G$156,5,0)</f>
        <v>Guides</v>
      </c>
      <c r="F973" s="152" t="s">
        <v>323</v>
      </c>
      <c r="G973" s="152" t="s">
        <v>324</v>
      </c>
      <c r="H973" s="152" t="str">
        <f t="shared" si="16"/>
        <v>CAR5227</v>
      </c>
      <c r="I973" s="513">
        <v>2759.25</v>
      </c>
      <c r="J973" s="513">
        <v>1.95</v>
      </c>
      <c r="K973" s="513">
        <v>1415</v>
      </c>
      <c r="L973" s="518" t="s">
        <v>3632</v>
      </c>
      <c r="M973" s="152" t="s">
        <v>780</v>
      </c>
      <c r="N973" s="152" t="s">
        <v>1407</v>
      </c>
      <c r="O973" s="152" t="s">
        <v>3673</v>
      </c>
      <c r="P973" s="152" t="s">
        <v>3489</v>
      </c>
      <c r="Q973" s="152" t="s">
        <v>3674</v>
      </c>
      <c r="R973" s="152" t="s">
        <v>1515</v>
      </c>
      <c r="S973" s="152" t="s">
        <v>3676</v>
      </c>
      <c r="T973" s="152" t="s">
        <v>786</v>
      </c>
    </row>
    <row r="974" spans="3:20">
      <c r="C974" s="152" t="s">
        <v>2821</v>
      </c>
      <c r="D974" s="474" t="s">
        <v>676</v>
      </c>
      <c r="E974" s="684" t="str">
        <f>+VLOOKUP(F974,Resumen_Base!$C$8:$G$156,5,0)</f>
        <v>Guides</v>
      </c>
      <c r="F974" s="152" t="s">
        <v>323</v>
      </c>
      <c r="G974" s="152" t="s">
        <v>324</v>
      </c>
      <c r="H974" s="152" t="str">
        <f t="shared" si="16"/>
        <v>CAR5227</v>
      </c>
      <c r="I974" s="513">
        <v>2759.25</v>
      </c>
      <c r="J974" s="513">
        <v>1.95</v>
      </c>
      <c r="K974" s="513">
        <v>1415</v>
      </c>
      <c r="L974" s="518" t="s">
        <v>3632</v>
      </c>
      <c r="M974" s="152" t="s">
        <v>780</v>
      </c>
      <c r="N974" s="152" t="s">
        <v>1407</v>
      </c>
      <c r="O974" s="152" t="s">
        <v>3673</v>
      </c>
      <c r="P974" s="152" t="s">
        <v>3489</v>
      </c>
      <c r="Q974" s="152" t="s">
        <v>3674</v>
      </c>
      <c r="R974" s="152" t="s">
        <v>1515</v>
      </c>
      <c r="S974" s="152" t="s">
        <v>3676</v>
      </c>
      <c r="T974" s="152" t="s">
        <v>786</v>
      </c>
    </row>
    <row r="975" spans="3:20">
      <c r="C975" s="152" t="s">
        <v>2821</v>
      </c>
      <c r="D975" s="474" t="s">
        <v>676</v>
      </c>
      <c r="E975" s="684" t="str">
        <f>+VLOOKUP(F975,Resumen_Base!$C$8:$G$156,5,0)</f>
        <v>Guides</v>
      </c>
      <c r="F975" s="152" t="s">
        <v>323</v>
      </c>
      <c r="G975" s="152" t="s">
        <v>324</v>
      </c>
      <c r="H975" s="152" t="str">
        <f t="shared" ref="H975:H1048" si="17">+D975&amp;F975</f>
        <v>CAR5227</v>
      </c>
      <c r="I975" s="513">
        <v>2759.25</v>
      </c>
      <c r="J975" s="513">
        <v>1.95</v>
      </c>
      <c r="K975" s="513">
        <v>1415</v>
      </c>
      <c r="L975" s="518" t="s">
        <v>3632</v>
      </c>
      <c r="M975" s="152" t="s">
        <v>780</v>
      </c>
      <c r="N975" s="152" t="s">
        <v>1407</v>
      </c>
      <c r="O975" s="152" t="s">
        <v>3673</v>
      </c>
      <c r="P975" s="152" t="s">
        <v>3489</v>
      </c>
      <c r="Q975" s="152" t="s">
        <v>3674</v>
      </c>
      <c r="R975" s="152" t="s">
        <v>1515</v>
      </c>
      <c r="S975" s="152" t="s">
        <v>3676</v>
      </c>
      <c r="T975" s="152" t="s">
        <v>786</v>
      </c>
    </row>
    <row r="976" spans="3:20">
      <c r="C976" s="152" t="s">
        <v>2821</v>
      </c>
      <c r="D976" s="474" t="s">
        <v>676</v>
      </c>
      <c r="E976" s="684" t="str">
        <f>+VLOOKUP(F976,Resumen_Base!$C$8:$G$156,5,0)</f>
        <v>Guides</v>
      </c>
      <c r="F976" s="152" t="s">
        <v>323</v>
      </c>
      <c r="G976" s="152" t="s">
        <v>324</v>
      </c>
      <c r="H976" s="152" t="str">
        <f t="shared" si="17"/>
        <v>CAR5227</v>
      </c>
      <c r="I976" s="513">
        <v>2759.25</v>
      </c>
      <c r="J976" s="513">
        <v>1.95</v>
      </c>
      <c r="K976" s="513">
        <v>1415</v>
      </c>
      <c r="L976" s="518" t="s">
        <v>3632</v>
      </c>
      <c r="M976" s="152" t="s">
        <v>780</v>
      </c>
      <c r="N976" s="152" t="s">
        <v>1407</v>
      </c>
      <c r="O976" s="152" t="s">
        <v>3673</v>
      </c>
      <c r="P976" s="152" t="s">
        <v>3489</v>
      </c>
      <c r="Q976" s="152" t="s">
        <v>3674</v>
      </c>
      <c r="R976" s="152" t="s">
        <v>1515</v>
      </c>
      <c r="S976" s="152" t="s">
        <v>3676</v>
      </c>
      <c r="T976" s="152" t="s">
        <v>786</v>
      </c>
    </row>
    <row r="977" spans="1:20">
      <c r="C977" s="152" t="s">
        <v>2821</v>
      </c>
      <c r="D977" s="474" t="s">
        <v>676</v>
      </c>
      <c r="E977" s="684" t="str">
        <f>+VLOOKUP(F977,Resumen_Base!$C$8:$G$156,5,0)</f>
        <v>Guides</v>
      </c>
      <c r="F977" s="152" t="s">
        <v>323</v>
      </c>
      <c r="G977" s="152" t="s">
        <v>324</v>
      </c>
      <c r="H977" s="152" t="str">
        <f t="shared" si="17"/>
        <v>CAR5227</v>
      </c>
      <c r="I977" s="513">
        <v>1528800</v>
      </c>
      <c r="J977" s="513">
        <v>1092</v>
      </c>
      <c r="K977" s="513">
        <v>1400</v>
      </c>
      <c r="L977" s="518" t="s">
        <v>3659</v>
      </c>
      <c r="M977" s="152" t="s">
        <v>780</v>
      </c>
      <c r="N977" s="152" t="s">
        <v>1407</v>
      </c>
      <c r="O977" s="152" t="s">
        <v>3795</v>
      </c>
      <c r="P977" s="152" t="s">
        <v>3489</v>
      </c>
      <c r="Q977" s="152" t="s">
        <v>3796</v>
      </c>
      <c r="R977" s="152" t="s">
        <v>3985</v>
      </c>
      <c r="S977" s="152" t="s">
        <v>3798</v>
      </c>
      <c r="T977" s="152" t="s">
        <v>786</v>
      </c>
    </row>
    <row r="978" spans="1:20">
      <c r="C978" s="152" t="s">
        <v>2821</v>
      </c>
      <c r="D978" s="474" t="s">
        <v>676</v>
      </c>
      <c r="E978" s="684" t="str">
        <f>+VLOOKUP(F978,Resumen_Base!$C$8:$G$156,5,0)</f>
        <v>Guides</v>
      </c>
      <c r="F978" s="152" t="s">
        <v>323</v>
      </c>
      <c r="G978" s="152" t="s">
        <v>324</v>
      </c>
      <c r="H978" s="152" t="str">
        <f t="shared" si="17"/>
        <v>CAR5227</v>
      </c>
      <c r="I978" s="513">
        <v>1330000</v>
      </c>
      <c r="J978" s="513">
        <v>950</v>
      </c>
      <c r="K978" s="513">
        <v>1400</v>
      </c>
      <c r="L978" s="518" t="s">
        <v>3659</v>
      </c>
      <c r="M978" s="152" t="s">
        <v>780</v>
      </c>
      <c r="N978" s="152" t="s">
        <v>1407</v>
      </c>
      <c r="O978" s="152" t="s">
        <v>3795</v>
      </c>
      <c r="P978" s="152" t="s">
        <v>3489</v>
      </c>
      <c r="Q978" s="152" t="s">
        <v>3796</v>
      </c>
      <c r="R978" s="152" t="s">
        <v>3986</v>
      </c>
      <c r="S978" s="152" t="s">
        <v>3798</v>
      </c>
      <c r="T978" s="152" t="s">
        <v>786</v>
      </c>
    </row>
    <row r="979" spans="1:20">
      <c r="C979" s="152" t="s">
        <v>2821</v>
      </c>
      <c r="D979" s="474" t="s">
        <v>676</v>
      </c>
      <c r="E979" s="684" t="str">
        <f>+VLOOKUP(F979,Resumen_Base!$C$8:$G$156,5,0)</f>
        <v>Guides</v>
      </c>
      <c r="F979" s="152" t="s">
        <v>323</v>
      </c>
      <c r="G979" s="152" t="s">
        <v>324</v>
      </c>
      <c r="H979" s="152" t="str">
        <f t="shared" si="17"/>
        <v>CAR5227</v>
      </c>
      <c r="I979" s="513">
        <v>3321302.15</v>
      </c>
      <c r="J979" s="513">
        <v>2347.21</v>
      </c>
      <c r="K979" s="513">
        <v>1415</v>
      </c>
      <c r="L979" s="518" t="s">
        <v>3498</v>
      </c>
      <c r="M979" s="152" t="s">
        <v>780</v>
      </c>
      <c r="N979" s="152" t="s">
        <v>1407</v>
      </c>
      <c r="O979" s="152" t="s">
        <v>3522</v>
      </c>
      <c r="P979" s="152" t="s">
        <v>3489</v>
      </c>
      <c r="Q979" s="152" t="s">
        <v>3523</v>
      </c>
      <c r="R979" s="152" t="s">
        <v>4046</v>
      </c>
      <c r="S979" s="152" t="s">
        <v>3525</v>
      </c>
      <c r="T979" s="152" t="s">
        <v>786</v>
      </c>
    </row>
    <row r="980" spans="1:20">
      <c r="C980" s="152" t="s">
        <v>2821</v>
      </c>
      <c r="D980" s="474" t="s">
        <v>676</v>
      </c>
      <c r="E980" s="684" t="str">
        <f>+VLOOKUP(F980,Resumen_Base!$C$8:$G$156,5,0)</f>
        <v>Guides</v>
      </c>
      <c r="F980" s="152" t="s">
        <v>323</v>
      </c>
      <c r="G980" s="152" t="s">
        <v>324</v>
      </c>
      <c r="H980" s="152" t="str">
        <f t="shared" si="17"/>
        <v>CAR5227</v>
      </c>
      <c r="I980" s="513">
        <v>1464350.4</v>
      </c>
      <c r="J980" s="513">
        <v>1016.91</v>
      </c>
      <c r="K980" s="513">
        <v>1440</v>
      </c>
      <c r="L980" s="518" t="s">
        <v>3517</v>
      </c>
      <c r="M980" s="152" t="s">
        <v>780</v>
      </c>
      <c r="N980" s="152" t="s">
        <v>1407</v>
      </c>
      <c r="O980" s="152" t="s">
        <v>3655</v>
      </c>
      <c r="P980" s="152" t="s">
        <v>892</v>
      </c>
      <c r="Q980" s="152" t="s">
        <v>3656</v>
      </c>
      <c r="R980" s="152" t="s">
        <v>4047</v>
      </c>
      <c r="S980" s="152" t="s">
        <v>3658</v>
      </c>
      <c r="T980" s="152" t="s">
        <v>786</v>
      </c>
    </row>
    <row r="981" spans="1:20">
      <c r="C981" s="152" t="s">
        <v>2821</v>
      </c>
      <c r="D981" s="474" t="s">
        <v>676</v>
      </c>
      <c r="E981" s="684" t="str">
        <f>+VLOOKUP(F981,Resumen_Base!$C$8:$G$156,5,0)</f>
        <v>Guides</v>
      </c>
      <c r="F981" s="152" t="s">
        <v>323</v>
      </c>
      <c r="G981" s="152" t="s">
        <v>324</v>
      </c>
      <c r="H981" s="152" t="str">
        <f t="shared" si="17"/>
        <v>CAR5227</v>
      </c>
      <c r="I981" s="513">
        <v>405331.20000000001</v>
      </c>
      <c r="J981" s="513">
        <v>281.48</v>
      </c>
      <c r="K981" s="513">
        <v>1440</v>
      </c>
      <c r="L981" s="518" t="s">
        <v>3517</v>
      </c>
      <c r="M981" s="152" t="s">
        <v>780</v>
      </c>
      <c r="N981" s="152" t="s">
        <v>1407</v>
      </c>
      <c r="O981" s="152" t="s">
        <v>3655</v>
      </c>
      <c r="P981" s="152" t="s">
        <v>892</v>
      </c>
      <c r="Q981" s="152" t="s">
        <v>3656</v>
      </c>
      <c r="R981" s="152" t="s">
        <v>4048</v>
      </c>
      <c r="S981" s="152" t="s">
        <v>3658</v>
      </c>
      <c r="T981" s="152" t="s">
        <v>786</v>
      </c>
    </row>
    <row r="982" spans="1:20">
      <c r="C982" s="152" t="s">
        <v>2821</v>
      </c>
      <c r="D982" s="474" t="s">
        <v>676</v>
      </c>
      <c r="E982" s="684" t="str">
        <f>+VLOOKUP(F982,Resumen_Base!$C$8:$G$156,5,0)</f>
        <v>Guides</v>
      </c>
      <c r="F982" s="152" t="s">
        <v>323</v>
      </c>
      <c r="G982" s="152" t="s">
        <v>324</v>
      </c>
      <c r="H982" s="152" t="str">
        <f t="shared" si="17"/>
        <v>CAR5227</v>
      </c>
      <c r="I982" s="513">
        <v>2814642</v>
      </c>
      <c r="J982" s="513">
        <v>1996.2</v>
      </c>
      <c r="K982" s="513">
        <v>1410</v>
      </c>
      <c r="L982" s="518" t="s">
        <v>3498</v>
      </c>
      <c r="M982" s="152" t="s">
        <v>780</v>
      </c>
      <c r="N982" s="152" t="s">
        <v>1407</v>
      </c>
      <c r="O982" s="152" t="s">
        <v>3522</v>
      </c>
      <c r="P982" s="152" t="s">
        <v>3489</v>
      </c>
      <c r="Q982" s="152" t="s">
        <v>3523</v>
      </c>
      <c r="R982" s="152" t="s">
        <v>4054</v>
      </c>
      <c r="S982" s="152" t="s">
        <v>3525</v>
      </c>
      <c r="T982" s="152" t="s">
        <v>786</v>
      </c>
    </row>
    <row r="983" spans="1:20">
      <c r="C983" s="152" t="s">
        <v>2821</v>
      </c>
      <c r="D983" s="474" t="s">
        <v>676</v>
      </c>
      <c r="E983" s="684" t="str">
        <f>+VLOOKUP(F983,Resumen_Base!$C$8:$G$156,5,0)</f>
        <v>Guides</v>
      </c>
      <c r="F983" s="152" t="s">
        <v>323</v>
      </c>
      <c r="G983" s="152" t="s">
        <v>324</v>
      </c>
      <c r="H983" s="152" t="str">
        <f t="shared" si="17"/>
        <v>CAR5227</v>
      </c>
      <c r="I983" s="513">
        <v>3717112.5</v>
      </c>
      <c r="J983" s="513">
        <v>2636.25</v>
      </c>
      <c r="K983" s="513">
        <v>1410</v>
      </c>
      <c r="L983" s="518" t="s">
        <v>3498</v>
      </c>
      <c r="M983" s="152" t="s">
        <v>780</v>
      </c>
      <c r="N983" s="152" t="s">
        <v>1407</v>
      </c>
      <c r="O983" s="152" t="s">
        <v>3522</v>
      </c>
      <c r="P983" s="152" t="s">
        <v>3489</v>
      </c>
      <c r="Q983" s="152" t="s">
        <v>3523</v>
      </c>
      <c r="R983" s="152" t="s">
        <v>4055</v>
      </c>
      <c r="S983" s="152" t="s">
        <v>3525</v>
      </c>
      <c r="T983" s="152" t="s">
        <v>786</v>
      </c>
    </row>
    <row r="984" spans="1:20">
      <c r="C984" s="152" t="s">
        <v>2821</v>
      </c>
      <c r="D984" s="474" t="s">
        <v>676</v>
      </c>
      <c r="E984" s="684" t="str">
        <f>+VLOOKUP(F984,Resumen_Base!$C$8:$G$156,5,0)</f>
        <v>Guides</v>
      </c>
      <c r="F984" s="152" t="s">
        <v>323</v>
      </c>
      <c r="G984" s="152" t="s">
        <v>324</v>
      </c>
      <c r="H984" s="152" t="str">
        <f t="shared" si="17"/>
        <v>CAR5227</v>
      </c>
      <c r="I984" s="513">
        <v>2301754.5</v>
      </c>
      <c r="J984" s="513">
        <v>1632.45</v>
      </c>
      <c r="K984" s="513">
        <v>1410</v>
      </c>
      <c r="L984" s="518" t="s">
        <v>3498</v>
      </c>
      <c r="M984" s="152" t="s">
        <v>780</v>
      </c>
      <c r="N984" s="152" t="s">
        <v>1407</v>
      </c>
      <c r="O984" s="152" t="s">
        <v>3522</v>
      </c>
      <c r="P984" s="152" t="s">
        <v>3489</v>
      </c>
      <c r="Q984" s="152" t="s">
        <v>3523</v>
      </c>
      <c r="R984" s="152" t="s">
        <v>4056</v>
      </c>
      <c r="S984" s="152" t="s">
        <v>3525</v>
      </c>
      <c r="T984" s="152" t="s">
        <v>786</v>
      </c>
    </row>
    <row r="985" spans="1:20">
      <c r="C985" s="152" t="s">
        <v>2821</v>
      </c>
      <c r="D985" s="474" t="s">
        <v>676</v>
      </c>
      <c r="E985" s="684" t="str">
        <f>+VLOOKUP(F985,Resumen_Base!$C$8:$G$156,5,0)</f>
        <v>Guides</v>
      </c>
      <c r="F985" s="152" t="s">
        <v>323</v>
      </c>
      <c r="G985" s="152" t="s">
        <v>324</v>
      </c>
      <c r="H985" s="152" t="str">
        <f t="shared" si="17"/>
        <v>CAR5227</v>
      </c>
      <c r="I985" s="513">
        <v>857801.7</v>
      </c>
      <c r="J985" s="513">
        <v>608.37</v>
      </c>
      <c r="K985" s="513">
        <v>1410</v>
      </c>
      <c r="L985" s="518" t="s">
        <v>3498</v>
      </c>
      <c r="M985" s="152" t="s">
        <v>780</v>
      </c>
      <c r="N985" s="152" t="s">
        <v>1407</v>
      </c>
      <c r="O985" s="152" t="s">
        <v>3522</v>
      </c>
      <c r="P985" s="152" t="s">
        <v>3489</v>
      </c>
      <c r="Q985" s="152" t="s">
        <v>3523</v>
      </c>
      <c r="R985" s="152" t="s">
        <v>4057</v>
      </c>
      <c r="S985" s="152" t="s">
        <v>3525</v>
      </c>
      <c r="T985" s="152" t="s">
        <v>786</v>
      </c>
    </row>
    <row r="986" spans="1:20">
      <c r="C986" s="152" t="s">
        <v>2821</v>
      </c>
      <c r="D986" s="474" t="s">
        <v>676</v>
      </c>
      <c r="E986" s="684" t="str">
        <f>+VLOOKUP(F986,Resumen_Base!$C$8:$G$156,5,0)</f>
        <v>Guides</v>
      </c>
      <c r="F986" s="152" t="s">
        <v>323</v>
      </c>
      <c r="G986" s="152" t="s">
        <v>324</v>
      </c>
      <c r="H986" s="152" t="str">
        <f t="shared" si="17"/>
        <v>CAR5227</v>
      </c>
      <c r="I986" s="513">
        <v>1930036.2</v>
      </c>
      <c r="J986" s="513">
        <v>1368.82</v>
      </c>
      <c r="K986" s="513">
        <v>1410</v>
      </c>
      <c r="L986" s="518" t="s">
        <v>3498</v>
      </c>
      <c r="M986" s="152" t="s">
        <v>780</v>
      </c>
      <c r="N986" s="152" t="s">
        <v>1407</v>
      </c>
      <c r="O986" s="152" t="s">
        <v>3522</v>
      </c>
      <c r="P986" s="152" t="s">
        <v>3489</v>
      </c>
      <c r="Q986" s="152" t="s">
        <v>3523</v>
      </c>
      <c r="R986" s="152" t="s">
        <v>4058</v>
      </c>
      <c r="S986" s="152" t="s">
        <v>3525</v>
      </c>
      <c r="T986" s="152" t="s">
        <v>786</v>
      </c>
    </row>
    <row r="987" spans="1:20">
      <c r="C987" s="152" t="s">
        <v>2821</v>
      </c>
      <c r="D987" s="474" t="s">
        <v>676</v>
      </c>
      <c r="E987" s="684" t="str">
        <f>+VLOOKUP(F987,Resumen_Base!$C$8:$G$156,5,0)</f>
        <v>Guides</v>
      </c>
      <c r="F987" s="152" t="s">
        <v>323</v>
      </c>
      <c r="G987" s="152" t="s">
        <v>324</v>
      </c>
      <c r="H987" s="152" t="str">
        <f t="shared" si="17"/>
        <v>CAR5227</v>
      </c>
      <c r="I987" s="513">
        <v>982530.3</v>
      </c>
      <c r="J987" s="513">
        <v>696.83</v>
      </c>
      <c r="K987" s="513">
        <v>1410</v>
      </c>
      <c r="L987" s="518" t="s">
        <v>3498</v>
      </c>
      <c r="M987" s="152" t="s">
        <v>780</v>
      </c>
      <c r="N987" s="152" t="s">
        <v>1407</v>
      </c>
      <c r="O987" s="152" t="s">
        <v>3522</v>
      </c>
      <c r="P987" s="152" t="s">
        <v>3489</v>
      </c>
      <c r="Q987" s="152" t="s">
        <v>3523</v>
      </c>
      <c r="R987" s="152" t="s">
        <v>4059</v>
      </c>
      <c r="S987" s="152" t="s">
        <v>3525</v>
      </c>
      <c r="T987" s="152" t="s">
        <v>786</v>
      </c>
    </row>
    <row r="988" spans="1:20">
      <c r="C988" s="152" t="s">
        <v>2821</v>
      </c>
      <c r="D988" s="474" t="s">
        <v>676</v>
      </c>
      <c r="E988" s="684" t="str">
        <f>+VLOOKUP(F988,Resumen_Base!$C$8:$G$156,5,0)</f>
        <v>Guides</v>
      </c>
      <c r="F988" s="152" t="s">
        <v>323</v>
      </c>
      <c r="G988" s="152" t="s">
        <v>324</v>
      </c>
      <c r="H988" s="152" t="str">
        <f t="shared" si="17"/>
        <v>CAR5227</v>
      </c>
      <c r="I988" s="513">
        <v>1296750</v>
      </c>
      <c r="J988" s="513">
        <v>910</v>
      </c>
      <c r="K988" s="513">
        <v>1425</v>
      </c>
      <c r="L988" s="518" t="s">
        <v>3504</v>
      </c>
      <c r="M988" s="152" t="s">
        <v>780</v>
      </c>
      <c r="N988" s="152" t="s">
        <v>1407</v>
      </c>
      <c r="O988" s="152" t="s">
        <v>3768</v>
      </c>
      <c r="P988" s="152" t="s">
        <v>3489</v>
      </c>
      <c r="Q988" s="152" t="s">
        <v>3769</v>
      </c>
      <c r="R988" s="152" t="s">
        <v>4071</v>
      </c>
      <c r="S988" s="152" t="s">
        <v>3771</v>
      </c>
      <c r="T988" s="152" t="s">
        <v>786</v>
      </c>
    </row>
    <row r="989" spans="1:20">
      <c r="C989" s="152" t="s">
        <v>2821</v>
      </c>
      <c r="D989" s="474" t="s">
        <v>676</v>
      </c>
      <c r="E989" s="684" t="str">
        <f>+VLOOKUP(F989,Resumen_Base!$C$8:$G$156,5,0)</f>
        <v>Guides</v>
      </c>
      <c r="F989" s="152" t="s">
        <v>323</v>
      </c>
      <c r="G989" s="152" t="s">
        <v>324</v>
      </c>
      <c r="H989" s="152" t="str">
        <f t="shared" si="17"/>
        <v>CAR5227</v>
      </c>
      <c r="I989" s="513">
        <v>902025</v>
      </c>
      <c r="J989" s="513">
        <v>633</v>
      </c>
      <c r="K989" s="513">
        <v>1425</v>
      </c>
      <c r="L989" s="518" t="s">
        <v>3504</v>
      </c>
      <c r="M989" s="152" t="s">
        <v>780</v>
      </c>
      <c r="N989" s="152" t="s">
        <v>1407</v>
      </c>
      <c r="O989" s="152" t="s">
        <v>3768</v>
      </c>
      <c r="P989" s="152" t="s">
        <v>3489</v>
      </c>
      <c r="Q989" s="152" t="s">
        <v>3769</v>
      </c>
      <c r="R989" s="152" t="s">
        <v>4072</v>
      </c>
      <c r="S989" s="152" t="s">
        <v>3771</v>
      </c>
      <c r="T989" s="152" t="s">
        <v>786</v>
      </c>
    </row>
    <row r="990" spans="1:20" ht="25">
      <c r="A990" s="737" t="s">
        <v>3388</v>
      </c>
      <c r="B990" s="315"/>
      <c r="C990" s="330"/>
      <c r="D990" s="203" t="s">
        <v>676</v>
      </c>
      <c r="E990" s="714" t="str">
        <f>+VLOOKUP(F990,Resumen_Base!$C$8:$G$287,5,0)</f>
        <v>Manager</v>
      </c>
      <c r="F990" s="724" t="s">
        <v>325</v>
      </c>
      <c r="G990" s="725" t="s">
        <v>452</v>
      </c>
      <c r="H990" s="330" t="str">
        <f t="shared" si="17"/>
        <v>CAR5228</v>
      </c>
      <c r="I990" s="314"/>
      <c r="J990" s="314">
        <v>-145</v>
      </c>
      <c r="K990" s="203"/>
      <c r="L990" s="456">
        <v>46062</v>
      </c>
      <c r="M990" s="330"/>
      <c r="N990" s="203" t="s">
        <v>1407</v>
      </c>
      <c r="O990" s="330"/>
      <c r="P990" s="330"/>
      <c r="Q990" s="330"/>
      <c r="R990" s="728" t="s">
        <v>3363</v>
      </c>
    </row>
    <row r="991" spans="1:20" ht="25">
      <c r="A991" s="737" t="s">
        <v>3388</v>
      </c>
      <c r="B991" s="315"/>
      <c r="C991" s="330"/>
      <c r="D991" s="203" t="s">
        <v>676</v>
      </c>
      <c r="E991" s="714" t="str">
        <f>+VLOOKUP(F991,Resumen_Base!$C$8:$G$287,5,0)</f>
        <v>Manager</v>
      </c>
      <c r="F991" s="724" t="s">
        <v>325</v>
      </c>
      <c r="G991" s="725" t="s">
        <v>452</v>
      </c>
      <c r="H991" s="330" t="str">
        <f t="shared" si="17"/>
        <v>CAR5228</v>
      </c>
      <c r="I991" s="314"/>
      <c r="J991" s="314">
        <v>-722</v>
      </c>
      <c r="K991" s="203"/>
      <c r="L991" s="456">
        <v>46062</v>
      </c>
      <c r="M991" s="330"/>
      <c r="N991" s="203" t="s">
        <v>1407</v>
      </c>
      <c r="O991" s="330"/>
      <c r="P991" s="330"/>
      <c r="Q991" s="330"/>
      <c r="R991" s="728" t="s">
        <v>3364</v>
      </c>
    </row>
    <row r="992" spans="1:20" ht="25">
      <c r="A992" s="737" t="s">
        <v>3388</v>
      </c>
      <c r="B992" s="315"/>
      <c r="C992" s="330"/>
      <c r="D992" s="203" t="s">
        <v>676</v>
      </c>
      <c r="E992" s="714" t="str">
        <f>+VLOOKUP(F992,Resumen_Base!$C$8:$G$287,5,0)</f>
        <v>Manager</v>
      </c>
      <c r="F992" s="724" t="s">
        <v>325</v>
      </c>
      <c r="G992" s="725" t="s">
        <v>452</v>
      </c>
      <c r="H992" s="330" t="str">
        <f t="shared" si="17"/>
        <v>CAR5228</v>
      </c>
      <c r="I992" s="314"/>
      <c r="J992" s="314">
        <v>-602.59740259740261</v>
      </c>
      <c r="K992" s="203"/>
      <c r="L992" s="456">
        <v>46061</v>
      </c>
      <c r="M992" s="330"/>
      <c r="N992" s="203" t="s">
        <v>1407</v>
      </c>
      <c r="O992" s="330"/>
      <c r="P992" s="330"/>
      <c r="Q992" s="330"/>
      <c r="R992" s="728" t="s">
        <v>3385</v>
      </c>
    </row>
    <row r="993" spans="1:20" ht="37.5">
      <c r="A993" s="737" t="s">
        <v>5852</v>
      </c>
      <c r="B993" s="315"/>
      <c r="C993" s="330"/>
      <c r="D993" s="203" t="s">
        <v>670</v>
      </c>
      <c r="E993" s="714" t="str">
        <f>+VLOOKUP(F993,Resumen_Base!$C$8:$G$287,5,0)</f>
        <v>Manager</v>
      </c>
      <c r="F993" s="724" t="s">
        <v>325</v>
      </c>
      <c r="G993" s="725" t="s">
        <v>452</v>
      </c>
      <c r="H993" s="330" t="str">
        <f t="shared" ref="H993" si="18">+D993&amp;F993</f>
        <v>SJ5228</v>
      </c>
      <c r="I993" s="314"/>
      <c r="J993" s="314">
        <v>-350</v>
      </c>
      <c r="K993" s="203"/>
      <c r="L993" s="456">
        <v>46075</v>
      </c>
      <c r="M993" s="330"/>
      <c r="N993" s="203" t="s">
        <v>781</v>
      </c>
      <c r="O993" s="330"/>
      <c r="P993" s="330"/>
      <c r="Q993" s="330"/>
      <c r="R993" s="728" t="s">
        <v>3346</v>
      </c>
    </row>
    <row r="994" spans="1:20" ht="37.5">
      <c r="A994" s="737" t="s">
        <v>5852</v>
      </c>
      <c r="B994" s="315"/>
      <c r="C994" s="330"/>
      <c r="D994" s="203" t="s">
        <v>676</v>
      </c>
      <c r="E994" s="714" t="str">
        <f>+VLOOKUP(F994,Resumen_Base!$C$8:$G$287,5,0)</f>
        <v>Manager</v>
      </c>
      <c r="F994" s="724" t="s">
        <v>325</v>
      </c>
      <c r="G994" s="725" t="s">
        <v>452</v>
      </c>
      <c r="H994" s="330" t="str">
        <f t="shared" si="17"/>
        <v>CAR5228</v>
      </c>
      <c r="I994" s="314"/>
      <c r="J994" s="314">
        <v>-350</v>
      </c>
      <c r="K994" s="203"/>
      <c r="L994" s="456">
        <v>46075</v>
      </c>
      <c r="M994" s="330"/>
      <c r="N994" s="203" t="s">
        <v>781</v>
      </c>
      <c r="O994" s="330"/>
      <c r="P994" s="330"/>
      <c r="Q994" s="330"/>
      <c r="R994" s="728" t="s">
        <v>3346</v>
      </c>
    </row>
    <row r="995" spans="1:20" ht="37.5">
      <c r="A995" s="737" t="s">
        <v>5852</v>
      </c>
      <c r="B995" s="315"/>
      <c r="C995" s="330"/>
      <c r="D995" s="203" t="s">
        <v>670</v>
      </c>
      <c r="E995" s="714" t="str">
        <f>+VLOOKUP(F995,Resumen_Base!$C$8:$G$287,5,0)</f>
        <v>Manager</v>
      </c>
      <c r="F995" s="724" t="s">
        <v>325</v>
      </c>
      <c r="G995" s="725" t="s">
        <v>452</v>
      </c>
      <c r="H995" s="330" t="str">
        <f t="shared" ref="H995" si="19">+D995&amp;F995</f>
        <v>SJ5228</v>
      </c>
      <c r="I995" s="314"/>
      <c r="J995" s="314">
        <v>-500</v>
      </c>
      <c r="K995" s="203"/>
      <c r="L995" s="456">
        <v>46075</v>
      </c>
      <c r="M995" s="330"/>
      <c r="N995" s="203" t="s">
        <v>781</v>
      </c>
      <c r="O995" s="330"/>
      <c r="P995" s="330"/>
      <c r="Q995" s="330"/>
      <c r="R995" s="728" t="s">
        <v>3347</v>
      </c>
    </row>
    <row r="996" spans="1:20" ht="37.5">
      <c r="A996" s="737" t="s">
        <v>5852</v>
      </c>
      <c r="B996" s="315"/>
      <c r="C996" s="330"/>
      <c r="D996" s="203" t="s">
        <v>676</v>
      </c>
      <c r="E996" s="714" t="str">
        <f>+VLOOKUP(F996,Resumen_Base!$C$8:$G$287,5,0)</f>
        <v>Manager</v>
      </c>
      <c r="F996" s="724" t="s">
        <v>325</v>
      </c>
      <c r="G996" s="725" t="s">
        <v>452</v>
      </c>
      <c r="H996" s="330" t="str">
        <f t="shared" si="17"/>
        <v>CAR5228</v>
      </c>
      <c r="I996" s="314"/>
      <c r="J996" s="314">
        <v>-500</v>
      </c>
      <c r="K996" s="203"/>
      <c r="L996" s="456">
        <v>46075</v>
      </c>
      <c r="M996" s="330"/>
      <c r="N996" s="203" t="s">
        <v>781</v>
      </c>
      <c r="O996" s="330"/>
      <c r="P996" s="330"/>
      <c r="Q996" s="330"/>
      <c r="R996" s="728" t="s">
        <v>3347</v>
      </c>
    </row>
    <row r="997" spans="1:20" ht="37.5">
      <c r="A997" s="737" t="s">
        <v>5852</v>
      </c>
      <c r="B997" s="315"/>
      <c r="C997" s="330"/>
      <c r="D997" s="203" t="s">
        <v>670</v>
      </c>
      <c r="E997" s="714" t="str">
        <f>+VLOOKUP(F997,Resumen_Base!$C$8:$G$287,5,0)</f>
        <v>Manager</v>
      </c>
      <c r="F997" s="724" t="s">
        <v>325</v>
      </c>
      <c r="G997" s="725" t="s">
        <v>452</v>
      </c>
      <c r="H997" s="330" t="str">
        <f t="shared" ref="H997" si="20">+D997&amp;F997</f>
        <v>SJ5228</v>
      </c>
      <c r="I997" s="314"/>
      <c r="J997" s="314">
        <v>-350</v>
      </c>
      <c r="K997" s="203"/>
      <c r="L997" s="456">
        <v>46068</v>
      </c>
      <c r="M997" s="330"/>
      <c r="N997" s="203" t="s">
        <v>781</v>
      </c>
      <c r="O997" s="330"/>
      <c r="P997" s="330"/>
      <c r="Q997" s="330"/>
      <c r="R997" s="728" t="s">
        <v>3356</v>
      </c>
    </row>
    <row r="998" spans="1:20" ht="37.5">
      <c r="A998" s="737" t="s">
        <v>5852</v>
      </c>
      <c r="B998" s="315"/>
      <c r="C998" s="330"/>
      <c r="D998" s="203" t="s">
        <v>676</v>
      </c>
      <c r="E998" s="714" t="str">
        <f>+VLOOKUP(F998,Resumen_Base!$C$8:$G$287,5,0)</f>
        <v>Manager</v>
      </c>
      <c r="F998" s="724" t="s">
        <v>325</v>
      </c>
      <c r="G998" s="725" t="s">
        <v>452</v>
      </c>
      <c r="H998" s="330" t="str">
        <f t="shared" si="17"/>
        <v>CAR5228</v>
      </c>
      <c r="I998" s="314"/>
      <c r="J998" s="314">
        <v>-350</v>
      </c>
      <c r="K998" s="203"/>
      <c r="L998" s="456">
        <v>46068</v>
      </c>
      <c r="M998" s="330"/>
      <c r="N998" s="203" t="s">
        <v>781</v>
      </c>
      <c r="O998" s="330"/>
      <c r="P998" s="330"/>
      <c r="Q998" s="330"/>
      <c r="R998" s="728" t="s">
        <v>3356</v>
      </c>
    </row>
    <row r="999" spans="1:20">
      <c r="A999" s="684" t="s">
        <v>5851</v>
      </c>
      <c r="C999" s="152" t="s">
        <v>2821</v>
      </c>
      <c r="D999" s="474" t="s">
        <v>670</v>
      </c>
      <c r="E999" s="684" t="str">
        <f>+VLOOKUP(F999,Resumen_Base!$C$8:$G$156,5,0)</f>
        <v>Manager</v>
      </c>
      <c r="F999" s="152" t="s">
        <v>325</v>
      </c>
      <c r="G999" s="152" t="s">
        <v>326</v>
      </c>
      <c r="H999" s="152" t="str">
        <f t="shared" si="17"/>
        <v>SJ5228</v>
      </c>
      <c r="I999" s="513">
        <v>498750</v>
      </c>
      <c r="J999" s="513">
        <v>350</v>
      </c>
      <c r="K999" s="513">
        <v>1425</v>
      </c>
      <c r="L999" s="518" t="s">
        <v>3637</v>
      </c>
      <c r="M999" s="152" t="s">
        <v>780</v>
      </c>
      <c r="N999" s="152" t="s">
        <v>781</v>
      </c>
      <c r="O999" s="152" t="s">
        <v>4751</v>
      </c>
      <c r="P999" s="152" t="s">
        <v>2865</v>
      </c>
      <c r="Q999" s="152" t="s">
        <v>4752</v>
      </c>
      <c r="R999" s="152" t="s">
        <v>4782</v>
      </c>
      <c r="S999" s="152" t="s">
        <v>4754</v>
      </c>
      <c r="T999" s="152" t="s">
        <v>786</v>
      </c>
    </row>
    <row r="1000" spans="1:20">
      <c r="A1000" s="684" t="s">
        <v>5851</v>
      </c>
      <c r="C1000" s="152" t="s">
        <v>2821</v>
      </c>
      <c r="D1000" s="474" t="s">
        <v>670</v>
      </c>
      <c r="E1000" s="684" t="str">
        <f>+VLOOKUP(F1000,Resumen_Base!$C$8:$G$156,5,0)</f>
        <v>Manager</v>
      </c>
      <c r="F1000" s="152" t="s">
        <v>325</v>
      </c>
      <c r="G1000" s="152" t="s">
        <v>326</v>
      </c>
      <c r="H1000" s="152" t="str">
        <f t="shared" si="17"/>
        <v>SJ5228</v>
      </c>
      <c r="I1000" s="513">
        <v>1332.45</v>
      </c>
      <c r="J1000" s="513">
        <v>0.94499999999999995</v>
      </c>
      <c r="K1000" s="513">
        <v>1410</v>
      </c>
      <c r="L1000" s="518" t="s">
        <v>3498</v>
      </c>
      <c r="M1000" s="152" t="s">
        <v>780</v>
      </c>
      <c r="N1000" s="152" t="s">
        <v>781</v>
      </c>
      <c r="O1000" s="152" t="s">
        <v>4743</v>
      </c>
      <c r="P1000" s="152" t="s">
        <v>3489</v>
      </c>
      <c r="Q1000" s="152" t="s">
        <v>4744</v>
      </c>
      <c r="R1000" s="152" t="s">
        <v>953</v>
      </c>
      <c r="S1000" s="152" t="s">
        <v>4746</v>
      </c>
      <c r="T1000" s="152" t="s">
        <v>786</v>
      </c>
    </row>
    <row r="1001" spans="1:20">
      <c r="A1001" s="684" t="s">
        <v>5851</v>
      </c>
      <c r="C1001" s="152" t="s">
        <v>2821</v>
      </c>
      <c r="D1001" s="474" t="s">
        <v>670</v>
      </c>
      <c r="E1001" s="684" t="str">
        <f>+VLOOKUP(F1001,Resumen_Base!$C$8:$G$156,5,0)</f>
        <v>Manager</v>
      </c>
      <c r="F1001" s="152" t="s">
        <v>325</v>
      </c>
      <c r="G1001" s="152" t="s">
        <v>326</v>
      </c>
      <c r="H1001" s="152" t="str">
        <f t="shared" si="17"/>
        <v>SJ5228</v>
      </c>
      <c r="I1001" s="513">
        <v>498750</v>
      </c>
      <c r="J1001" s="513">
        <v>350</v>
      </c>
      <c r="K1001" s="513">
        <v>1425</v>
      </c>
      <c r="L1001" s="518" t="s">
        <v>3504</v>
      </c>
      <c r="M1001" s="152" t="s">
        <v>780</v>
      </c>
      <c r="N1001" s="152" t="s">
        <v>781</v>
      </c>
      <c r="O1001" s="152" t="s">
        <v>4804</v>
      </c>
      <c r="P1001" s="152" t="s">
        <v>3489</v>
      </c>
      <c r="Q1001" s="152" t="s">
        <v>4805</v>
      </c>
      <c r="R1001" s="152" t="s">
        <v>4840</v>
      </c>
      <c r="S1001" s="152" t="s">
        <v>4807</v>
      </c>
      <c r="T1001" s="152" t="s">
        <v>786</v>
      </c>
    </row>
    <row r="1002" spans="1:20">
      <c r="A1002" s="684" t="s">
        <v>5851</v>
      </c>
      <c r="C1002" s="152" t="s">
        <v>2821</v>
      </c>
      <c r="D1002" s="474" t="s">
        <v>670</v>
      </c>
      <c r="E1002" s="684" t="str">
        <f>+VLOOKUP(F1002,Resumen_Base!$C$8:$G$156,5,0)</f>
        <v>Manager</v>
      </c>
      <c r="F1002" s="152" t="s">
        <v>325</v>
      </c>
      <c r="G1002" s="152" t="s">
        <v>326</v>
      </c>
      <c r="H1002" s="152" t="str">
        <f t="shared" si="17"/>
        <v>SJ5228</v>
      </c>
      <c r="I1002" s="513">
        <v>1486845</v>
      </c>
      <c r="J1002" s="513">
        <v>1054.5</v>
      </c>
      <c r="K1002" s="513">
        <v>1410</v>
      </c>
      <c r="L1002" s="518" t="s">
        <v>3498</v>
      </c>
      <c r="M1002" s="152" t="s">
        <v>780</v>
      </c>
      <c r="N1002" s="152" t="s">
        <v>781</v>
      </c>
      <c r="O1002" s="152" t="s">
        <v>4743</v>
      </c>
      <c r="P1002" s="152" t="s">
        <v>3489</v>
      </c>
      <c r="Q1002" s="152" t="s">
        <v>4744</v>
      </c>
      <c r="R1002" s="152" t="s">
        <v>4841</v>
      </c>
      <c r="S1002" s="152" t="s">
        <v>4746</v>
      </c>
      <c r="T1002" s="152" t="s">
        <v>786</v>
      </c>
    </row>
    <row r="1003" spans="1:20">
      <c r="A1003" s="684" t="s">
        <v>5851</v>
      </c>
      <c r="C1003" s="152" t="s">
        <v>2821</v>
      </c>
      <c r="D1003" s="474" t="s">
        <v>670</v>
      </c>
      <c r="E1003" s="684" t="str">
        <f>+VLOOKUP(F1003,Resumen_Base!$C$8:$G$156,5,0)</f>
        <v>Manager</v>
      </c>
      <c r="F1003" s="152" t="s">
        <v>325</v>
      </c>
      <c r="G1003" s="152" t="s">
        <v>326</v>
      </c>
      <c r="H1003" s="152" t="str">
        <f t="shared" si="17"/>
        <v>SJ5228</v>
      </c>
      <c r="I1003" s="513">
        <v>493500</v>
      </c>
      <c r="J1003" s="513">
        <v>350</v>
      </c>
      <c r="K1003" s="513">
        <v>1410</v>
      </c>
      <c r="L1003" s="518" t="s">
        <v>3498</v>
      </c>
      <c r="M1003" s="152" t="s">
        <v>780</v>
      </c>
      <c r="N1003" s="152" t="s">
        <v>781</v>
      </c>
      <c r="O1003" s="152" t="s">
        <v>4731</v>
      </c>
      <c r="P1003" s="152" t="s">
        <v>3489</v>
      </c>
      <c r="Q1003" s="152" t="s">
        <v>4732</v>
      </c>
      <c r="R1003" s="152" t="s">
        <v>4842</v>
      </c>
      <c r="S1003" s="152" t="s">
        <v>4734</v>
      </c>
      <c r="T1003" s="152" t="s">
        <v>786</v>
      </c>
    </row>
    <row r="1004" spans="1:20">
      <c r="A1004" s="684" t="s">
        <v>5851</v>
      </c>
      <c r="C1004" s="152" t="s">
        <v>2821</v>
      </c>
      <c r="D1004" s="474" t="s">
        <v>670</v>
      </c>
      <c r="E1004" s="684" t="str">
        <f>+VLOOKUP(F1004,Resumen_Base!$C$8:$G$156,5,0)</f>
        <v>Manager</v>
      </c>
      <c r="F1004" s="152" t="s">
        <v>325</v>
      </c>
      <c r="G1004" s="152" t="s">
        <v>326</v>
      </c>
      <c r="H1004" s="152" t="str">
        <f t="shared" si="17"/>
        <v>SJ5228</v>
      </c>
      <c r="I1004" s="513">
        <v>712500</v>
      </c>
      <c r="J1004" s="513">
        <v>500</v>
      </c>
      <c r="K1004" s="513">
        <v>1425</v>
      </c>
      <c r="L1004" s="518" t="s">
        <v>3504</v>
      </c>
      <c r="M1004" s="152" t="s">
        <v>780</v>
      </c>
      <c r="N1004" s="152" t="s">
        <v>781</v>
      </c>
      <c r="O1004" s="152" t="s">
        <v>4804</v>
      </c>
      <c r="P1004" s="152" t="s">
        <v>3489</v>
      </c>
      <c r="Q1004" s="152" t="s">
        <v>4805</v>
      </c>
      <c r="R1004" s="152" t="s">
        <v>4843</v>
      </c>
      <c r="S1004" s="152" t="s">
        <v>4807</v>
      </c>
      <c r="T1004" s="152" t="s">
        <v>786</v>
      </c>
    </row>
    <row r="1005" spans="1:20">
      <c r="A1005" s="684" t="s">
        <v>5851</v>
      </c>
      <c r="C1005" s="152" t="s">
        <v>2821</v>
      </c>
      <c r="D1005" s="474" t="s">
        <v>670</v>
      </c>
      <c r="E1005" s="684" t="str">
        <f>+VLOOKUP(F1005,Resumen_Base!$C$8:$G$156,5,0)</f>
        <v>Manager</v>
      </c>
      <c r="F1005" s="152" t="s">
        <v>325</v>
      </c>
      <c r="G1005" s="152" t="s">
        <v>326</v>
      </c>
      <c r="H1005" s="152" t="str">
        <f t="shared" si="17"/>
        <v>SJ5228</v>
      </c>
      <c r="I1005" s="513">
        <v>705000</v>
      </c>
      <c r="J1005" s="513">
        <v>500</v>
      </c>
      <c r="K1005" s="513">
        <v>1410</v>
      </c>
      <c r="L1005" s="518" t="s">
        <v>3498</v>
      </c>
      <c r="M1005" s="152" t="s">
        <v>780</v>
      </c>
      <c r="N1005" s="152" t="s">
        <v>781</v>
      </c>
      <c r="O1005" s="152" t="s">
        <v>4731</v>
      </c>
      <c r="P1005" s="152" t="s">
        <v>3489</v>
      </c>
      <c r="Q1005" s="152" t="s">
        <v>4732</v>
      </c>
      <c r="R1005" s="152" t="s">
        <v>4844</v>
      </c>
      <c r="S1005" s="152" t="s">
        <v>4734</v>
      </c>
      <c r="T1005" s="152" t="s">
        <v>786</v>
      </c>
    </row>
    <row r="1006" spans="1:20">
      <c r="A1006" s="684" t="s">
        <v>5851</v>
      </c>
      <c r="C1006" s="152" t="s">
        <v>2821</v>
      </c>
      <c r="D1006" s="474" t="s">
        <v>676</v>
      </c>
      <c r="E1006" s="684" t="str">
        <f>+VLOOKUP(F1006,Resumen_Base!$C$8:$G$156,5,0)</f>
        <v>Manager</v>
      </c>
      <c r="F1006" s="152" t="s">
        <v>325</v>
      </c>
      <c r="G1006" s="152" t="s">
        <v>326</v>
      </c>
      <c r="H1006" s="152" t="str">
        <f t="shared" ref="H1006:H1012" si="21">+D1006&amp;F1006</f>
        <v>CAR5228</v>
      </c>
      <c r="I1006" s="513">
        <v>498750</v>
      </c>
      <c r="J1006" s="513">
        <v>350</v>
      </c>
      <c r="K1006" s="513">
        <v>1425</v>
      </c>
      <c r="L1006" s="518" t="s">
        <v>3637</v>
      </c>
      <c r="M1006" s="152" t="s">
        <v>780</v>
      </c>
      <c r="N1006" s="152" t="s">
        <v>781</v>
      </c>
      <c r="O1006" s="152" t="s">
        <v>4751</v>
      </c>
      <c r="P1006" s="152" t="s">
        <v>2865</v>
      </c>
      <c r="Q1006" s="152" t="s">
        <v>4752</v>
      </c>
      <c r="R1006" s="152" t="s">
        <v>4782</v>
      </c>
      <c r="S1006" s="152" t="s">
        <v>4754</v>
      </c>
      <c r="T1006" s="152" t="s">
        <v>786</v>
      </c>
    </row>
    <row r="1007" spans="1:20">
      <c r="A1007" s="684" t="s">
        <v>5851</v>
      </c>
      <c r="C1007" s="152" t="s">
        <v>2821</v>
      </c>
      <c r="D1007" s="474" t="s">
        <v>676</v>
      </c>
      <c r="E1007" s="684" t="str">
        <f>+VLOOKUP(F1007,Resumen_Base!$C$8:$G$156,5,0)</f>
        <v>Manager</v>
      </c>
      <c r="F1007" s="152" t="s">
        <v>325</v>
      </c>
      <c r="G1007" s="152" t="s">
        <v>326</v>
      </c>
      <c r="H1007" s="152" t="str">
        <f t="shared" si="21"/>
        <v>CAR5228</v>
      </c>
      <c r="I1007" s="513">
        <v>1332.45</v>
      </c>
      <c r="J1007" s="513">
        <v>0.94499999999999995</v>
      </c>
      <c r="K1007" s="513">
        <v>1410</v>
      </c>
      <c r="L1007" s="518" t="s">
        <v>3498</v>
      </c>
      <c r="M1007" s="152" t="s">
        <v>780</v>
      </c>
      <c r="N1007" s="152" t="s">
        <v>781</v>
      </c>
      <c r="O1007" s="152" t="s">
        <v>4743</v>
      </c>
      <c r="P1007" s="152" t="s">
        <v>3489</v>
      </c>
      <c r="Q1007" s="152" t="s">
        <v>4744</v>
      </c>
      <c r="R1007" s="152" t="s">
        <v>953</v>
      </c>
      <c r="S1007" s="152" t="s">
        <v>4746</v>
      </c>
      <c r="T1007" s="152" t="s">
        <v>786</v>
      </c>
    </row>
    <row r="1008" spans="1:20">
      <c r="A1008" s="684" t="s">
        <v>5851</v>
      </c>
      <c r="C1008" s="152" t="s">
        <v>2821</v>
      </c>
      <c r="D1008" s="474" t="s">
        <v>676</v>
      </c>
      <c r="E1008" s="684" t="str">
        <f>+VLOOKUP(F1008,Resumen_Base!$C$8:$G$156,5,0)</f>
        <v>Manager</v>
      </c>
      <c r="F1008" s="152" t="s">
        <v>325</v>
      </c>
      <c r="G1008" s="152" t="s">
        <v>326</v>
      </c>
      <c r="H1008" s="152" t="str">
        <f t="shared" si="21"/>
        <v>CAR5228</v>
      </c>
      <c r="I1008" s="513">
        <v>498750</v>
      </c>
      <c r="J1008" s="513">
        <v>350</v>
      </c>
      <c r="K1008" s="513">
        <v>1425</v>
      </c>
      <c r="L1008" s="518" t="s">
        <v>3504</v>
      </c>
      <c r="M1008" s="152" t="s">
        <v>780</v>
      </c>
      <c r="N1008" s="152" t="s">
        <v>781</v>
      </c>
      <c r="O1008" s="152" t="s">
        <v>4804</v>
      </c>
      <c r="P1008" s="152" t="s">
        <v>3489</v>
      </c>
      <c r="Q1008" s="152" t="s">
        <v>4805</v>
      </c>
      <c r="R1008" s="152" t="s">
        <v>4840</v>
      </c>
      <c r="S1008" s="152" t="s">
        <v>4807</v>
      </c>
      <c r="T1008" s="152" t="s">
        <v>786</v>
      </c>
    </row>
    <row r="1009" spans="1:20">
      <c r="A1009" s="684" t="s">
        <v>5851</v>
      </c>
      <c r="C1009" s="152" t="s">
        <v>2821</v>
      </c>
      <c r="D1009" s="474" t="s">
        <v>676</v>
      </c>
      <c r="E1009" s="684" t="str">
        <f>+VLOOKUP(F1009,Resumen_Base!$C$8:$G$156,5,0)</f>
        <v>Manager</v>
      </c>
      <c r="F1009" s="152" t="s">
        <v>325</v>
      </c>
      <c r="G1009" s="152" t="s">
        <v>326</v>
      </c>
      <c r="H1009" s="152" t="str">
        <f t="shared" si="21"/>
        <v>CAR5228</v>
      </c>
      <c r="I1009" s="513">
        <v>1486845</v>
      </c>
      <c r="J1009" s="513">
        <v>1054.5</v>
      </c>
      <c r="K1009" s="513">
        <v>1410</v>
      </c>
      <c r="L1009" s="518" t="s">
        <v>3498</v>
      </c>
      <c r="M1009" s="152" t="s">
        <v>780</v>
      </c>
      <c r="N1009" s="152" t="s">
        <v>781</v>
      </c>
      <c r="O1009" s="152" t="s">
        <v>4743</v>
      </c>
      <c r="P1009" s="152" t="s">
        <v>3489</v>
      </c>
      <c r="Q1009" s="152" t="s">
        <v>4744</v>
      </c>
      <c r="R1009" s="152" t="s">
        <v>4841</v>
      </c>
      <c r="S1009" s="152" t="s">
        <v>4746</v>
      </c>
      <c r="T1009" s="152" t="s">
        <v>786</v>
      </c>
    </row>
    <row r="1010" spans="1:20">
      <c r="A1010" s="684" t="s">
        <v>5851</v>
      </c>
      <c r="C1010" s="152" t="s">
        <v>2821</v>
      </c>
      <c r="D1010" s="474" t="s">
        <v>676</v>
      </c>
      <c r="E1010" s="684" t="str">
        <f>+VLOOKUP(F1010,Resumen_Base!$C$8:$G$156,5,0)</f>
        <v>Manager</v>
      </c>
      <c r="F1010" s="152" t="s">
        <v>325</v>
      </c>
      <c r="G1010" s="152" t="s">
        <v>326</v>
      </c>
      <c r="H1010" s="152" t="str">
        <f t="shared" si="21"/>
        <v>CAR5228</v>
      </c>
      <c r="I1010" s="513">
        <v>493500</v>
      </c>
      <c r="J1010" s="513">
        <v>350</v>
      </c>
      <c r="K1010" s="513">
        <v>1410</v>
      </c>
      <c r="L1010" s="518" t="s">
        <v>3498</v>
      </c>
      <c r="M1010" s="152" t="s">
        <v>780</v>
      </c>
      <c r="N1010" s="152" t="s">
        <v>781</v>
      </c>
      <c r="O1010" s="152" t="s">
        <v>4731</v>
      </c>
      <c r="P1010" s="152" t="s">
        <v>3489</v>
      </c>
      <c r="Q1010" s="152" t="s">
        <v>4732</v>
      </c>
      <c r="R1010" s="152" t="s">
        <v>4842</v>
      </c>
      <c r="S1010" s="152" t="s">
        <v>4734</v>
      </c>
      <c r="T1010" s="152" t="s">
        <v>786</v>
      </c>
    </row>
    <row r="1011" spans="1:20">
      <c r="A1011" s="684" t="s">
        <v>5851</v>
      </c>
      <c r="C1011" s="152" t="s">
        <v>2821</v>
      </c>
      <c r="D1011" s="474" t="s">
        <v>676</v>
      </c>
      <c r="E1011" s="684" t="str">
        <f>+VLOOKUP(F1011,Resumen_Base!$C$8:$G$156,5,0)</f>
        <v>Manager</v>
      </c>
      <c r="F1011" s="152" t="s">
        <v>325</v>
      </c>
      <c r="G1011" s="152" t="s">
        <v>326</v>
      </c>
      <c r="H1011" s="152" t="str">
        <f t="shared" si="21"/>
        <v>CAR5228</v>
      </c>
      <c r="I1011" s="513">
        <v>712500</v>
      </c>
      <c r="J1011" s="513">
        <v>500</v>
      </c>
      <c r="K1011" s="513">
        <v>1425</v>
      </c>
      <c r="L1011" s="518" t="s">
        <v>3504</v>
      </c>
      <c r="M1011" s="152" t="s">
        <v>780</v>
      </c>
      <c r="N1011" s="152" t="s">
        <v>781</v>
      </c>
      <c r="O1011" s="152" t="s">
        <v>4804</v>
      </c>
      <c r="P1011" s="152" t="s">
        <v>3489</v>
      </c>
      <c r="Q1011" s="152" t="s">
        <v>4805</v>
      </c>
      <c r="R1011" s="152" t="s">
        <v>4843</v>
      </c>
      <c r="S1011" s="152" t="s">
        <v>4807</v>
      </c>
      <c r="T1011" s="152" t="s">
        <v>786</v>
      </c>
    </row>
    <row r="1012" spans="1:20">
      <c r="A1012" s="684" t="s">
        <v>5851</v>
      </c>
      <c r="C1012" s="152" t="s">
        <v>2821</v>
      </c>
      <c r="D1012" s="474" t="s">
        <v>676</v>
      </c>
      <c r="E1012" s="684" t="str">
        <f>+VLOOKUP(F1012,Resumen_Base!$C$8:$G$156,5,0)</f>
        <v>Manager</v>
      </c>
      <c r="F1012" s="152" t="s">
        <v>325</v>
      </c>
      <c r="G1012" s="152" t="s">
        <v>326</v>
      </c>
      <c r="H1012" s="152" t="str">
        <f t="shared" si="21"/>
        <v>CAR5228</v>
      </c>
      <c r="I1012" s="513">
        <v>705000</v>
      </c>
      <c r="J1012" s="513">
        <v>500</v>
      </c>
      <c r="K1012" s="513">
        <v>1410</v>
      </c>
      <c r="L1012" s="518" t="s">
        <v>3498</v>
      </c>
      <c r="M1012" s="152" t="s">
        <v>780</v>
      </c>
      <c r="N1012" s="152" t="s">
        <v>781</v>
      </c>
      <c r="O1012" s="152" t="s">
        <v>4731</v>
      </c>
      <c r="P1012" s="152" t="s">
        <v>3489</v>
      </c>
      <c r="Q1012" s="152" t="s">
        <v>4732</v>
      </c>
      <c r="R1012" s="152" t="s">
        <v>4844</v>
      </c>
      <c r="S1012" s="152" t="s">
        <v>4734</v>
      </c>
      <c r="T1012" s="152" t="s">
        <v>786</v>
      </c>
    </row>
    <row r="1013" spans="1:20">
      <c r="A1013" s="684" t="s">
        <v>5855</v>
      </c>
      <c r="B1013" s="210" t="s">
        <v>5857</v>
      </c>
      <c r="C1013" s="152" t="s">
        <v>2821</v>
      </c>
      <c r="D1013" s="474" t="s">
        <v>676</v>
      </c>
      <c r="E1013" s="684" t="str">
        <f>+VLOOKUP(F1013,Resumen_Base!$C$8:$G$156,5,0)</f>
        <v>Services/House</v>
      </c>
      <c r="F1013" s="152" t="s">
        <v>321</v>
      </c>
      <c r="G1013" s="152" t="s">
        <v>322</v>
      </c>
      <c r="H1013" s="152" t="str">
        <f t="shared" si="17"/>
        <v>CAR5226</v>
      </c>
      <c r="I1013" s="513">
        <v>208800</v>
      </c>
      <c r="J1013" s="513">
        <v>145</v>
      </c>
      <c r="K1013" s="513">
        <v>1440</v>
      </c>
      <c r="L1013" s="518" t="s">
        <v>3637</v>
      </c>
      <c r="M1013" s="152" t="s">
        <v>780</v>
      </c>
      <c r="N1013" s="152" t="s">
        <v>1407</v>
      </c>
      <c r="O1013" s="152" t="s">
        <v>3638</v>
      </c>
      <c r="P1013" s="152" t="s">
        <v>2865</v>
      </c>
      <c r="Q1013" s="152" t="s">
        <v>3639</v>
      </c>
      <c r="R1013" s="152" t="s">
        <v>3982</v>
      </c>
      <c r="S1013" s="152" t="s">
        <v>3641</v>
      </c>
      <c r="T1013" s="152" t="s">
        <v>786</v>
      </c>
    </row>
    <row r="1014" spans="1:20">
      <c r="C1014" s="152" t="s">
        <v>2821</v>
      </c>
      <c r="D1014" s="474" t="s">
        <v>676</v>
      </c>
      <c r="E1014" s="684" t="str">
        <f>+VLOOKUP(F1014,Resumen_Base!$C$8:$G$156,5,0)</f>
        <v>Manager</v>
      </c>
      <c r="F1014" s="152" t="s">
        <v>325</v>
      </c>
      <c r="G1014" s="152" t="s">
        <v>326</v>
      </c>
      <c r="H1014" s="152" t="str">
        <f t="shared" si="17"/>
        <v>CAR5228</v>
      </c>
      <c r="I1014" s="513">
        <v>1039680</v>
      </c>
      <c r="J1014" s="513">
        <v>722</v>
      </c>
      <c r="K1014" s="513">
        <v>1440</v>
      </c>
      <c r="L1014" s="518" t="s">
        <v>3637</v>
      </c>
      <c r="M1014" s="152" t="s">
        <v>780</v>
      </c>
      <c r="N1014" s="152" t="s">
        <v>1407</v>
      </c>
      <c r="O1014" s="152" t="s">
        <v>3638</v>
      </c>
      <c r="P1014" s="152" t="s">
        <v>2865</v>
      </c>
      <c r="Q1014" s="152" t="s">
        <v>3639</v>
      </c>
      <c r="R1014" s="152" t="s">
        <v>3987</v>
      </c>
      <c r="S1014" s="152" t="s">
        <v>3641</v>
      </c>
      <c r="T1014" s="152" t="s">
        <v>786</v>
      </c>
    </row>
    <row r="1015" spans="1:20">
      <c r="C1015" s="152" t="s">
        <v>2821</v>
      </c>
      <c r="D1015" s="474" t="s">
        <v>676</v>
      </c>
      <c r="E1015" s="684" t="str">
        <f>+VLOOKUP(F1015,Resumen_Base!$C$8:$G$156,5,0)</f>
        <v>Manager</v>
      </c>
      <c r="F1015" s="152" t="s">
        <v>325</v>
      </c>
      <c r="G1015" s="152" t="s">
        <v>326</v>
      </c>
      <c r="H1015" s="152" t="str">
        <f t="shared" si="17"/>
        <v>CAR5228</v>
      </c>
      <c r="I1015" s="513">
        <v>868867.2</v>
      </c>
      <c r="J1015" s="513">
        <v>603.38</v>
      </c>
      <c r="K1015" s="513">
        <v>1440</v>
      </c>
      <c r="L1015" s="518" t="s">
        <v>3517</v>
      </c>
      <c r="M1015" s="152" t="s">
        <v>780</v>
      </c>
      <c r="N1015" s="152" t="s">
        <v>1407</v>
      </c>
      <c r="O1015" s="152" t="s">
        <v>3655</v>
      </c>
      <c r="P1015" s="152" t="s">
        <v>892</v>
      </c>
      <c r="Q1015" s="152" t="s">
        <v>3656</v>
      </c>
      <c r="R1015" s="152" t="s">
        <v>4042</v>
      </c>
      <c r="S1015" s="152" t="s">
        <v>3658</v>
      </c>
      <c r="T1015" s="152" t="s">
        <v>786</v>
      </c>
    </row>
    <row r="1016" spans="1:20">
      <c r="C1016" s="152" t="s">
        <v>2821</v>
      </c>
      <c r="D1016" s="474" t="s">
        <v>676</v>
      </c>
      <c r="E1016" s="684" t="str">
        <f>+VLOOKUP(F1016,Resumen_Base!$C$8:$G$156,5,0)</f>
        <v>Manager</v>
      </c>
      <c r="F1016" s="152" t="s">
        <v>325</v>
      </c>
      <c r="G1016" s="152" t="s">
        <v>326</v>
      </c>
      <c r="H1016" s="152" t="str">
        <f t="shared" si="17"/>
        <v>CAR5228</v>
      </c>
      <c r="I1016" s="513">
        <v>5981220</v>
      </c>
      <c r="J1016" s="513">
        <v>4242</v>
      </c>
      <c r="K1016" s="513">
        <v>1410</v>
      </c>
      <c r="L1016" s="518" t="s">
        <v>3498</v>
      </c>
      <c r="M1016" s="152" t="s">
        <v>780</v>
      </c>
      <c r="N1016" s="152" t="s">
        <v>1407</v>
      </c>
      <c r="O1016" s="152" t="s">
        <v>3499</v>
      </c>
      <c r="P1016" s="152" t="s">
        <v>3489</v>
      </c>
      <c r="Q1016" s="152" t="s">
        <v>3500</v>
      </c>
      <c r="R1016" s="152" t="s">
        <v>4074</v>
      </c>
      <c r="S1016" s="152" t="s">
        <v>3502</v>
      </c>
      <c r="T1016" s="152" t="s">
        <v>786</v>
      </c>
    </row>
    <row r="1017" spans="1:20">
      <c r="C1017" s="152" t="s">
        <v>2821</v>
      </c>
      <c r="D1017" s="474" t="s">
        <v>676</v>
      </c>
      <c r="E1017" s="684" t="str">
        <f>+VLOOKUP(F1017,Resumen_Base!$C$8:$G$156,5,0)</f>
        <v>Manager</v>
      </c>
      <c r="F1017" s="152" t="s">
        <v>325</v>
      </c>
      <c r="G1017" s="152" t="s">
        <v>326</v>
      </c>
      <c r="H1017" s="152" t="str">
        <f t="shared" si="17"/>
        <v>CAR5228</v>
      </c>
      <c r="I1017" s="513">
        <v>2107500</v>
      </c>
      <c r="J1017" s="513">
        <v>1500</v>
      </c>
      <c r="K1017" s="513">
        <v>1405</v>
      </c>
      <c r="L1017" s="518" t="s">
        <v>3493</v>
      </c>
      <c r="M1017" s="152" t="s">
        <v>780</v>
      </c>
      <c r="N1017" s="152" t="s">
        <v>1407</v>
      </c>
      <c r="O1017" s="152" t="s">
        <v>4124</v>
      </c>
      <c r="P1017" s="152" t="s">
        <v>3489</v>
      </c>
      <c r="Q1017" s="152" t="s">
        <v>4125</v>
      </c>
      <c r="R1017" s="152" t="s">
        <v>4204</v>
      </c>
      <c r="S1017" s="152" t="s">
        <v>4127</v>
      </c>
      <c r="T1017" s="152" t="s">
        <v>786</v>
      </c>
    </row>
    <row r="1018" spans="1:20">
      <c r="C1018" s="152" t="s">
        <v>2821</v>
      </c>
      <c r="D1018" s="474" t="s">
        <v>676</v>
      </c>
      <c r="E1018" s="684" t="str">
        <f>+VLOOKUP(F1018,Resumen_Base!$C$8:$G$156,5,0)</f>
        <v>Manager</v>
      </c>
      <c r="F1018" s="152" t="s">
        <v>325</v>
      </c>
      <c r="G1018" s="152" t="s">
        <v>326</v>
      </c>
      <c r="H1018" s="152" t="str">
        <f t="shared" si="17"/>
        <v>CAR5228</v>
      </c>
      <c r="I1018" s="513">
        <v>2107500</v>
      </c>
      <c r="J1018" s="513">
        <v>1500</v>
      </c>
      <c r="K1018" s="513">
        <v>1405</v>
      </c>
      <c r="L1018" s="518" t="s">
        <v>3493</v>
      </c>
      <c r="M1018" s="152" t="s">
        <v>780</v>
      </c>
      <c r="N1018" s="152" t="s">
        <v>1407</v>
      </c>
      <c r="O1018" s="152" t="s">
        <v>4124</v>
      </c>
      <c r="P1018" s="152" t="s">
        <v>3489</v>
      </c>
      <c r="Q1018" s="152" t="s">
        <v>4125</v>
      </c>
      <c r="R1018" s="152" t="s">
        <v>4205</v>
      </c>
      <c r="S1018" s="152" t="s">
        <v>4127</v>
      </c>
      <c r="T1018" s="152" t="s">
        <v>786</v>
      </c>
    </row>
    <row r="1019" spans="1:20">
      <c r="C1019" s="152" t="s">
        <v>2821</v>
      </c>
      <c r="D1019" s="474" t="s">
        <v>676</v>
      </c>
      <c r="E1019" s="684" t="str">
        <f>+VLOOKUP(F1019,Resumen_Base!$C$8:$G$156,5,0)</f>
        <v>Manager</v>
      </c>
      <c r="F1019" s="152" t="s">
        <v>325</v>
      </c>
      <c r="G1019" s="152" t="s">
        <v>326</v>
      </c>
      <c r="H1019" s="152" t="str">
        <f t="shared" si="17"/>
        <v>CAR5228</v>
      </c>
      <c r="I1019" s="513">
        <v>2122500</v>
      </c>
      <c r="J1019" s="513">
        <v>1500</v>
      </c>
      <c r="K1019" s="513">
        <v>1415</v>
      </c>
      <c r="L1019" s="518" t="s">
        <v>3511</v>
      </c>
      <c r="M1019" s="152" t="s">
        <v>780</v>
      </c>
      <c r="N1019" s="152" t="s">
        <v>1407</v>
      </c>
      <c r="O1019" s="152" t="s">
        <v>3530</v>
      </c>
      <c r="P1019" s="152" t="s">
        <v>3489</v>
      </c>
      <c r="Q1019" s="152" t="s">
        <v>3531</v>
      </c>
      <c r="R1019" s="152" t="s">
        <v>4223</v>
      </c>
      <c r="S1019" s="152" t="s">
        <v>3533</v>
      </c>
      <c r="T1019" s="152" t="s">
        <v>786</v>
      </c>
    </row>
    <row r="1020" spans="1:20">
      <c r="A1020" s="684" t="s">
        <v>5855</v>
      </c>
      <c r="B1020" s="210" t="s">
        <v>5857</v>
      </c>
      <c r="C1020" s="152" t="s">
        <v>2821</v>
      </c>
      <c r="D1020" s="474" t="s">
        <v>676</v>
      </c>
      <c r="E1020" s="684" t="str">
        <f>+VLOOKUP(F1020,Resumen_Base!$C$8:$G$156,5,0)</f>
        <v>Services/House</v>
      </c>
      <c r="F1020" s="152" t="s">
        <v>321</v>
      </c>
      <c r="G1020" s="152" t="s">
        <v>322</v>
      </c>
      <c r="H1020" s="152" t="str">
        <f t="shared" si="17"/>
        <v>CAR5226</v>
      </c>
      <c r="I1020" s="513">
        <v>1826500</v>
      </c>
      <c r="J1020" s="513">
        <v>1300</v>
      </c>
      <c r="K1020" s="513">
        <v>1405</v>
      </c>
      <c r="L1020" s="518" t="s">
        <v>3493</v>
      </c>
      <c r="M1020" s="152" t="s">
        <v>780</v>
      </c>
      <c r="N1020" s="152" t="s">
        <v>1407</v>
      </c>
      <c r="O1020" s="152" t="s">
        <v>4197</v>
      </c>
      <c r="P1020" s="152" t="s">
        <v>3489</v>
      </c>
      <c r="Q1020" s="152" t="s">
        <v>4198</v>
      </c>
      <c r="R1020" s="152" t="s">
        <v>4226</v>
      </c>
      <c r="S1020" s="152" t="s">
        <v>4200</v>
      </c>
      <c r="T1020" s="152" t="s">
        <v>786</v>
      </c>
    </row>
    <row r="1021" spans="1:20">
      <c r="C1021" s="152" t="s">
        <v>2821</v>
      </c>
      <c r="D1021" s="474" t="s">
        <v>676</v>
      </c>
      <c r="E1021" s="684" t="str">
        <f>+VLOOKUP(F1021,Resumen_Base!$C$8:$G$156,5,0)</f>
        <v>Manager</v>
      </c>
      <c r="F1021" s="152" t="s">
        <v>325</v>
      </c>
      <c r="G1021" s="152" t="s">
        <v>326</v>
      </c>
      <c r="H1021" s="152" t="str">
        <f t="shared" si="17"/>
        <v>CAR5228</v>
      </c>
      <c r="I1021" s="513">
        <v>2122500</v>
      </c>
      <c r="J1021" s="513">
        <v>1500</v>
      </c>
      <c r="K1021" s="513">
        <v>1415</v>
      </c>
      <c r="L1021" s="518" t="s">
        <v>3511</v>
      </c>
      <c r="M1021" s="152" t="s">
        <v>780</v>
      </c>
      <c r="N1021" s="152" t="s">
        <v>1407</v>
      </c>
      <c r="O1021" s="152" t="s">
        <v>3530</v>
      </c>
      <c r="P1021" s="152" t="s">
        <v>3489</v>
      </c>
      <c r="Q1021" s="152" t="s">
        <v>3531</v>
      </c>
      <c r="R1021" s="152" t="s">
        <v>4227</v>
      </c>
      <c r="S1021" s="152" t="s">
        <v>3533</v>
      </c>
      <c r="T1021" s="152" t="s">
        <v>786</v>
      </c>
    </row>
    <row r="1022" spans="1:20">
      <c r="C1022" s="152" t="s">
        <v>2821</v>
      </c>
      <c r="D1022" s="474" t="s">
        <v>676</v>
      </c>
      <c r="E1022" s="684" t="str">
        <f>+VLOOKUP(F1022,Resumen_Base!$C$8:$G$156,5,0)</f>
        <v>Manager</v>
      </c>
      <c r="F1022" s="152" t="s">
        <v>325</v>
      </c>
      <c r="G1022" s="152" t="s">
        <v>326</v>
      </c>
      <c r="H1022" s="152" t="str">
        <f t="shared" si="17"/>
        <v>CAR5228</v>
      </c>
      <c r="I1022" s="513">
        <v>2058000</v>
      </c>
      <c r="J1022" s="513">
        <v>1470</v>
      </c>
      <c r="K1022" s="513">
        <v>1400</v>
      </c>
      <c r="L1022" s="518" t="s">
        <v>3557</v>
      </c>
      <c r="M1022" s="152" t="s">
        <v>780</v>
      </c>
      <c r="N1022" s="152" t="s">
        <v>1407</v>
      </c>
      <c r="O1022" s="152" t="s">
        <v>4138</v>
      </c>
      <c r="P1022" s="152" t="s">
        <v>3489</v>
      </c>
      <c r="Q1022" s="152" t="s">
        <v>4139</v>
      </c>
      <c r="R1022" s="152" t="s">
        <v>4232</v>
      </c>
      <c r="S1022" s="152" t="s">
        <v>4140</v>
      </c>
      <c r="T1022" s="152" t="s">
        <v>786</v>
      </c>
    </row>
    <row r="1023" spans="1:20" ht="25">
      <c r="C1023" s="152" t="s">
        <v>2821</v>
      </c>
      <c r="D1023" s="474" t="s">
        <v>676</v>
      </c>
      <c r="E1023" s="684" t="str">
        <f>+VLOOKUP(F1023,Resumen_Base!$C$8:$G$156,5,0)</f>
        <v>Social Security Contributions</v>
      </c>
      <c r="F1023" s="152" t="s">
        <v>329</v>
      </c>
      <c r="G1023" s="152" t="s">
        <v>330</v>
      </c>
      <c r="H1023" s="152" t="str">
        <f t="shared" si="17"/>
        <v>CAR5235</v>
      </c>
      <c r="I1023" s="513">
        <v>2440875</v>
      </c>
      <c r="J1023" s="513">
        <v>1725</v>
      </c>
      <c r="K1023" s="513">
        <v>1415</v>
      </c>
      <c r="L1023" s="518" t="s">
        <v>3498</v>
      </c>
      <c r="M1023" s="152" t="s">
        <v>780</v>
      </c>
      <c r="N1023" s="152" t="s">
        <v>1407</v>
      </c>
      <c r="O1023" s="152" t="s">
        <v>3522</v>
      </c>
      <c r="P1023" s="152" t="s">
        <v>3489</v>
      </c>
      <c r="Q1023" s="152" t="s">
        <v>3523</v>
      </c>
      <c r="R1023" s="152" t="s">
        <v>3777</v>
      </c>
      <c r="S1023" s="152" t="s">
        <v>3525</v>
      </c>
      <c r="T1023" s="152" t="s">
        <v>786</v>
      </c>
    </row>
    <row r="1024" spans="1:20" ht="25">
      <c r="C1024" s="152" t="s">
        <v>2821</v>
      </c>
      <c r="D1024" s="474" t="s">
        <v>676</v>
      </c>
      <c r="E1024" s="684" t="str">
        <f>+VLOOKUP(F1024,Resumen_Base!$C$8:$G$156,5,0)</f>
        <v>Social Security Contributions</v>
      </c>
      <c r="F1024" s="152" t="s">
        <v>331</v>
      </c>
      <c r="G1024" s="152" t="s">
        <v>332</v>
      </c>
      <c r="H1024" s="152" t="str">
        <f t="shared" si="17"/>
        <v>CAR5236</v>
      </c>
      <c r="I1024" s="513">
        <v>619215.6</v>
      </c>
      <c r="J1024" s="513">
        <v>439.16</v>
      </c>
      <c r="K1024" s="513">
        <v>1410</v>
      </c>
      <c r="L1024" s="518" t="s">
        <v>3498</v>
      </c>
      <c r="M1024" s="152" t="s">
        <v>780</v>
      </c>
      <c r="N1024" s="152" t="s">
        <v>1407</v>
      </c>
      <c r="O1024" s="152" t="s">
        <v>3522</v>
      </c>
      <c r="P1024" s="152" t="s">
        <v>3489</v>
      </c>
      <c r="Q1024" s="152" t="s">
        <v>3523</v>
      </c>
      <c r="R1024" s="152" t="s">
        <v>3785</v>
      </c>
      <c r="S1024" s="152" t="s">
        <v>3525</v>
      </c>
      <c r="T1024" s="152" t="s">
        <v>786</v>
      </c>
    </row>
    <row r="1025" spans="1:20" ht="25">
      <c r="C1025" s="152" t="s">
        <v>2821</v>
      </c>
      <c r="D1025" s="474" t="s">
        <v>676</v>
      </c>
      <c r="E1025" s="684" t="str">
        <f>+VLOOKUP(F1025,Resumen_Base!$C$8:$G$156,5,0)</f>
        <v>Social Security Contributions</v>
      </c>
      <c r="F1025" s="152" t="s">
        <v>331</v>
      </c>
      <c r="G1025" s="152" t="s">
        <v>332</v>
      </c>
      <c r="H1025" s="152" t="str">
        <f t="shared" si="17"/>
        <v>CAR5236</v>
      </c>
      <c r="I1025" s="513">
        <v>1111827.75</v>
      </c>
      <c r="J1025" s="513">
        <v>780.23</v>
      </c>
      <c r="K1025" s="513">
        <v>1425</v>
      </c>
      <c r="L1025" s="518" t="s">
        <v>3637</v>
      </c>
      <c r="N1025" s="152" t="s">
        <v>1407</v>
      </c>
      <c r="P1025" s="152" t="s">
        <v>5051</v>
      </c>
      <c r="Q1025" s="152" t="s">
        <v>5054</v>
      </c>
      <c r="R1025" s="152" t="s">
        <v>5054</v>
      </c>
      <c r="S1025" s="152" t="s">
        <v>5053</v>
      </c>
      <c r="T1025" s="152" t="s">
        <v>786</v>
      </c>
    </row>
    <row r="1026" spans="1:20" ht="25">
      <c r="C1026" s="152" t="s">
        <v>2821</v>
      </c>
      <c r="D1026" s="474" t="s">
        <v>676</v>
      </c>
      <c r="E1026" s="684" t="str">
        <f>+VLOOKUP(F1026,Resumen_Base!$C$8:$G$156,5,0)</f>
        <v>Social Security Contributions</v>
      </c>
      <c r="F1026" s="152" t="s">
        <v>331</v>
      </c>
      <c r="G1026" s="152" t="s">
        <v>332</v>
      </c>
      <c r="H1026" s="152" t="str">
        <f t="shared" si="17"/>
        <v>CAR5236</v>
      </c>
      <c r="I1026" s="513">
        <v>2707.5</v>
      </c>
      <c r="J1026" s="513">
        <v>1.9</v>
      </c>
      <c r="K1026" s="513">
        <v>1425</v>
      </c>
      <c r="L1026" s="518" t="s">
        <v>3637</v>
      </c>
      <c r="N1026" s="152" t="s">
        <v>1407</v>
      </c>
      <c r="P1026" s="152" t="s">
        <v>5051</v>
      </c>
      <c r="Q1026" s="152" t="s">
        <v>5059</v>
      </c>
      <c r="R1026" s="152" t="s">
        <v>5059</v>
      </c>
      <c r="S1026" s="152" t="s">
        <v>5053</v>
      </c>
      <c r="T1026" s="152" t="s">
        <v>786</v>
      </c>
    </row>
    <row r="1027" spans="1:20" ht="25">
      <c r="A1027" s="737" t="s">
        <v>3388</v>
      </c>
      <c r="B1027" s="315"/>
      <c r="C1027" s="330"/>
      <c r="D1027" s="203" t="s">
        <v>676</v>
      </c>
      <c r="E1027" s="714" t="str">
        <f>+VLOOKUP(F1027,Resumen_Base!$C$8:$G$287,5,0)</f>
        <v>Social Security Contributions</v>
      </c>
      <c r="F1027" s="724" t="s">
        <v>333</v>
      </c>
      <c r="G1027" s="725" t="s">
        <v>334</v>
      </c>
      <c r="H1027" s="330" t="str">
        <f t="shared" si="17"/>
        <v>CAR5237</v>
      </c>
      <c r="I1027" s="314"/>
      <c r="J1027" s="314">
        <v>-732.77922077922074</v>
      </c>
      <c r="K1027" s="203"/>
      <c r="L1027" s="456">
        <v>46068</v>
      </c>
      <c r="M1027" s="330"/>
      <c r="N1027" s="203" t="s">
        <v>1407</v>
      </c>
      <c r="O1027" s="330"/>
      <c r="P1027" s="330"/>
      <c r="Q1027" s="330"/>
      <c r="R1027" s="728" t="s">
        <v>3355</v>
      </c>
    </row>
    <row r="1028" spans="1:20" ht="25">
      <c r="C1028" s="152" t="s">
        <v>2821</v>
      </c>
      <c r="D1028" s="474" t="s">
        <v>670</v>
      </c>
      <c r="E1028" s="684" t="str">
        <f>+VLOOKUP(F1028,Resumen_Base!$C$8:$G$156,5,0)</f>
        <v>Social Security Contributions</v>
      </c>
      <c r="F1028" s="152" t="s">
        <v>333</v>
      </c>
      <c r="G1028" s="152" t="s">
        <v>334</v>
      </c>
      <c r="H1028" s="152" t="str">
        <f t="shared" si="17"/>
        <v>SJ5237</v>
      </c>
      <c r="I1028" s="513">
        <v>189433.5</v>
      </c>
      <c r="J1028" s="513">
        <v>134.35</v>
      </c>
      <c r="K1028" s="513">
        <v>1410</v>
      </c>
      <c r="L1028" s="518" t="s">
        <v>3498</v>
      </c>
      <c r="M1028" s="152" t="s">
        <v>780</v>
      </c>
      <c r="N1028" s="152" t="s">
        <v>781</v>
      </c>
      <c r="O1028" s="152" t="s">
        <v>4743</v>
      </c>
      <c r="P1028" s="152" t="s">
        <v>3489</v>
      </c>
      <c r="Q1028" s="152" t="s">
        <v>4744</v>
      </c>
      <c r="R1028" s="152" t="s">
        <v>4774</v>
      </c>
      <c r="S1028" s="152" t="s">
        <v>4746</v>
      </c>
      <c r="T1028" s="152" t="s">
        <v>786</v>
      </c>
    </row>
    <row r="1029" spans="1:20" ht="25">
      <c r="C1029" s="152" t="s">
        <v>2821</v>
      </c>
      <c r="D1029" s="474" t="s">
        <v>670</v>
      </c>
      <c r="E1029" s="684" t="str">
        <f>+VLOOKUP(F1029,Resumen_Base!$C$8:$G$156,5,0)</f>
        <v>Social Security Contributions</v>
      </c>
      <c r="F1029" s="152" t="s">
        <v>333</v>
      </c>
      <c r="G1029" s="152" t="s">
        <v>334</v>
      </c>
      <c r="H1029" s="152" t="str">
        <f t="shared" si="17"/>
        <v>SJ5237</v>
      </c>
      <c r="I1029" s="513">
        <v>997828.8</v>
      </c>
      <c r="J1029" s="513">
        <v>707.68</v>
      </c>
      <c r="K1029" s="513">
        <v>1410</v>
      </c>
      <c r="L1029" s="518" t="s">
        <v>3498</v>
      </c>
      <c r="M1029" s="152" t="s">
        <v>780</v>
      </c>
      <c r="N1029" s="152" t="s">
        <v>781</v>
      </c>
      <c r="O1029" s="152" t="s">
        <v>4743</v>
      </c>
      <c r="P1029" s="152" t="s">
        <v>3489</v>
      </c>
      <c r="Q1029" s="152" t="s">
        <v>4744</v>
      </c>
      <c r="R1029" s="152" t="s">
        <v>4775</v>
      </c>
      <c r="S1029" s="152" t="s">
        <v>4746</v>
      </c>
      <c r="T1029" s="152" t="s">
        <v>786</v>
      </c>
    </row>
    <row r="1030" spans="1:20" ht="25">
      <c r="C1030" s="152" t="s">
        <v>2821</v>
      </c>
      <c r="D1030" s="474" t="s">
        <v>670</v>
      </c>
      <c r="E1030" s="684" t="str">
        <f>+VLOOKUP(F1030,Resumen_Base!$C$8:$G$156,5,0)</f>
        <v>Social Security Contributions</v>
      </c>
      <c r="F1030" s="152" t="s">
        <v>333</v>
      </c>
      <c r="G1030" s="152" t="s">
        <v>334</v>
      </c>
      <c r="H1030" s="152" t="str">
        <f t="shared" si="17"/>
        <v>SJ5237</v>
      </c>
      <c r="I1030" s="513">
        <v>2664.9</v>
      </c>
      <c r="J1030" s="513">
        <v>1.89</v>
      </c>
      <c r="K1030" s="513">
        <v>1410</v>
      </c>
      <c r="L1030" s="518" t="s">
        <v>3498</v>
      </c>
      <c r="M1030" s="152" t="s">
        <v>780</v>
      </c>
      <c r="N1030" s="152" t="s">
        <v>781</v>
      </c>
      <c r="O1030" s="152" t="s">
        <v>4743</v>
      </c>
      <c r="P1030" s="152" t="s">
        <v>3489</v>
      </c>
      <c r="Q1030" s="152" t="s">
        <v>4744</v>
      </c>
      <c r="R1030" s="152" t="s">
        <v>953</v>
      </c>
      <c r="S1030" s="152" t="s">
        <v>4746</v>
      </c>
      <c r="T1030" s="152" t="s">
        <v>786</v>
      </c>
    </row>
    <row r="1031" spans="1:20" ht="25">
      <c r="C1031" s="152" t="s">
        <v>2821</v>
      </c>
      <c r="D1031" s="474" t="s">
        <v>670</v>
      </c>
      <c r="E1031" s="684" t="str">
        <f>+VLOOKUP(F1031,Resumen_Base!$C$8:$G$156,5,0)</f>
        <v>Social Security Contributions</v>
      </c>
      <c r="F1031" s="152" t="s">
        <v>333</v>
      </c>
      <c r="G1031" s="152" t="s">
        <v>334</v>
      </c>
      <c r="H1031" s="152" t="str">
        <f t="shared" si="17"/>
        <v>SJ5237</v>
      </c>
      <c r="I1031" s="513">
        <v>176323.15</v>
      </c>
      <c r="J1031" s="513">
        <v>124.61</v>
      </c>
      <c r="K1031" s="513">
        <v>1415</v>
      </c>
      <c r="L1031" s="518" t="s">
        <v>3498</v>
      </c>
      <c r="M1031" s="152" t="s">
        <v>780</v>
      </c>
      <c r="N1031" s="152" t="s">
        <v>781</v>
      </c>
      <c r="O1031" s="152" t="s">
        <v>4743</v>
      </c>
      <c r="P1031" s="152" t="s">
        <v>3489</v>
      </c>
      <c r="Q1031" s="152" t="s">
        <v>4744</v>
      </c>
      <c r="R1031" s="152" t="s">
        <v>4815</v>
      </c>
      <c r="S1031" s="152" t="s">
        <v>4746</v>
      </c>
      <c r="T1031" s="152" t="s">
        <v>786</v>
      </c>
    </row>
    <row r="1032" spans="1:20" ht="25">
      <c r="C1032" s="152" t="s">
        <v>2821</v>
      </c>
      <c r="D1032" s="474" t="s">
        <v>676</v>
      </c>
      <c r="E1032" s="684" t="str">
        <f>+VLOOKUP(F1032,Resumen_Base!$C$8:$G$156,5,0)</f>
        <v>Social Security Contributions</v>
      </c>
      <c r="F1032" s="152" t="s">
        <v>333</v>
      </c>
      <c r="G1032" s="152" t="s">
        <v>334</v>
      </c>
      <c r="H1032" s="152" t="str">
        <f t="shared" si="17"/>
        <v>CAR5237</v>
      </c>
      <c r="I1032" s="513">
        <v>1045565.25</v>
      </c>
      <c r="J1032" s="513">
        <v>733.73</v>
      </c>
      <c r="K1032" s="513">
        <v>1425</v>
      </c>
      <c r="L1032" s="518" t="s">
        <v>3637</v>
      </c>
      <c r="M1032" s="152" t="s">
        <v>780</v>
      </c>
      <c r="N1032" s="152" t="s">
        <v>1407</v>
      </c>
      <c r="O1032" s="152" t="s">
        <v>3680</v>
      </c>
      <c r="P1032" s="152" t="s">
        <v>2865</v>
      </c>
      <c r="Q1032" s="152" t="s">
        <v>3681</v>
      </c>
      <c r="R1032" s="152" t="s">
        <v>3776</v>
      </c>
      <c r="S1032" s="152" t="s">
        <v>3683</v>
      </c>
      <c r="T1032" s="152" t="s">
        <v>786</v>
      </c>
    </row>
    <row r="1033" spans="1:20" ht="25">
      <c r="C1033" s="152" t="s">
        <v>2821</v>
      </c>
      <c r="D1033" s="474" t="s">
        <v>676</v>
      </c>
      <c r="E1033" s="684" t="str">
        <f>+VLOOKUP(F1033,Resumen_Base!$C$8:$G$156,5,0)</f>
        <v>Social Security Contributions</v>
      </c>
      <c r="F1033" s="152" t="s">
        <v>333</v>
      </c>
      <c r="G1033" s="152" t="s">
        <v>334</v>
      </c>
      <c r="H1033" s="152" t="str">
        <f t="shared" si="17"/>
        <v>CAR5237</v>
      </c>
      <c r="I1033" s="513">
        <v>866390.4</v>
      </c>
      <c r="J1033" s="513">
        <v>601.66</v>
      </c>
      <c r="K1033" s="513">
        <v>1440</v>
      </c>
      <c r="L1033" s="518" t="s">
        <v>3517</v>
      </c>
      <c r="M1033" s="152" t="s">
        <v>780</v>
      </c>
      <c r="N1033" s="152" t="s">
        <v>1407</v>
      </c>
      <c r="O1033" s="152" t="s">
        <v>3655</v>
      </c>
      <c r="P1033" s="152" t="s">
        <v>892</v>
      </c>
      <c r="Q1033" s="152" t="s">
        <v>3656</v>
      </c>
      <c r="R1033" s="152" t="s">
        <v>3778</v>
      </c>
      <c r="S1033" s="152" t="s">
        <v>3658</v>
      </c>
      <c r="T1033" s="152" t="s">
        <v>786</v>
      </c>
    </row>
    <row r="1034" spans="1:20" ht="25">
      <c r="A1034" s="737" t="s">
        <v>3388</v>
      </c>
      <c r="B1034" s="315"/>
      <c r="C1034" s="330"/>
      <c r="D1034" s="203" t="s">
        <v>676</v>
      </c>
      <c r="E1034" s="714" t="str">
        <f>+VLOOKUP(F1034,Resumen_Base!$C$8:$G$287,5,0)</f>
        <v>Electricity</v>
      </c>
      <c r="F1034" s="724" t="s">
        <v>41</v>
      </c>
      <c r="G1034" s="725" t="s">
        <v>459</v>
      </c>
      <c r="H1034" s="330" t="str">
        <f t="shared" si="17"/>
        <v>CAR5247</v>
      </c>
      <c r="I1034" s="314"/>
      <c r="J1034" s="314">
        <v>-233.92207792207793</v>
      </c>
      <c r="K1034" s="203"/>
      <c r="L1034" s="456">
        <v>46068</v>
      </c>
      <c r="M1034" s="330"/>
      <c r="N1034" s="203" t="s">
        <v>1407</v>
      </c>
      <c r="O1034" s="330"/>
      <c r="P1034" s="330"/>
      <c r="Q1034" s="330"/>
      <c r="R1034" s="728" t="s">
        <v>3353</v>
      </c>
    </row>
    <row r="1035" spans="1:20" ht="25">
      <c r="A1035" s="737" t="s">
        <v>3388</v>
      </c>
      <c r="B1035" s="315"/>
      <c r="C1035" s="330"/>
      <c r="D1035" s="203" t="s">
        <v>676</v>
      </c>
      <c r="E1035" s="714" t="str">
        <f>+VLOOKUP(F1035,Resumen_Base!$C$8:$G$287,5,0)</f>
        <v>Electricity</v>
      </c>
      <c r="F1035" s="724" t="s">
        <v>41</v>
      </c>
      <c r="G1035" s="725" t="s">
        <v>459</v>
      </c>
      <c r="H1035" s="330" t="str">
        <f t="shared" si="17"/>
        <v>CAR5247</v>
      </c>
      <c r="I1035" s="314"/>
      <c r="J1035" s="314">
        <v>-1517.8961038961038</v>
      </c>
      <c r="K1035" s="203"/>
      <c r="L1035" s="456">
        <v>46068</v>
      </c>
      <c r="M1035" s="330"/>
      <c r="N1035" s="203" t="s">
        <v>1407</v>
      </c>
      <c r="O1035" s="330"/>
      <c r="P1035" s="330"/>
      <c r="Q1035" s="330"/>
      <c r="R1035" s="728" t="s">
        <v>3354</v>
      </c>
    </row>
    <row r="1036" spans="1:20">
      <c r="C1036" s="152" t="s">
        <v>2821</v>
      </c>
      <c r="D1036" s="474" t="s">
        <v>676</v>
      </c>
      <c r="E1036" s="684" t="str">
        <f>+VLOOKUP(F1036,Resumen_Base!$C$8:$G$156,5,0)</f>
        <v>Electricity</v>
      </c>
      <c r="F1036" s="152" t="s">
        <v>41</v>
      </c>
      <c r="G1036" s="152" t="s">
        <v>40</v>
      </c>
      <c r="H1036" s="152" t="str">
        <f t="shared" si="17"/>
        <v>CAR5247</v>
      </c>
      <c r="I1036" s="513">
        <v>524734</v>
      </c>
      <c r="J1036" s="513">
        <v>374.81</v>
      </c>
      <c r="K1036" s="513">
        <v>1400</v>
      </c>
      <c r="L1036" s="518" t="s">
        <v>3659</v>
      </c>
      <c r="M1036" s="152" t="s">
        <v>780</v>
      </c>
      <c r="N1036" s="152" t="s">
        <v>1407</v>
      </c>
      <c r="O1036" s="152" t="s">
        <v>3660</v>
      </c>
      <c r="P1036" s="152" t="s">
        <v>3489</v>
      </c>
      <c r="Q1036" s="152" t="s">
        <v>3661</v>
      </c>
      <c r="R1036" s="152" t="s">
        <v>3786</v>
      </c>
      <c r="S1036" s="152" t="s">
        <v>3663</v>
      </c>
      <c r="T1036" s="152" t="s">
        <v>786</v>
      </c>
    </row>
    <row r="1037" spans="1:20">
      <c r="C1037" s="152" t="s">
        <v>2821</v>
      </c>
      <c r="D1037" s="474" t="s">
        <v>676</v>
      </c>
      <c r="E1037" s="684" t="str">
        <f>+VLOOKUP(F1037,Resumen_Base!$C$8:$G$156,5,0)</f>
        <v>Electricity</v>
      </c>
      <c r="F1037" s="152" t="s">
        <v>41</v>
      </c>
      <c r="G1037" s="152" t="s">
        <v>40</v>
      </c>
      <c r="H1037" s="152" t="str">
        <f t="shared" si="17"/>
        <v>CAR5247</v>
      </c>
      <c r="I1037" s="513">
        <v>2744</v>
      </c>
      <c r="J1037" s="513">
        <v>1.96</v>
      </c>
      <c r="K1037" s="513">
        <v>1400</v>
      </c>
      <c r="L1037" s="518" t="s">
        <v>3659</v>
      </c>
      <c r="M1037" s="152" t="s">
        <v>780</v>
      </c>
      <c r="N1037" s="152" t="s">
        <v>1407</v>
      </c>
      <c r="O1037" s="152" t="s">
        <v>3660</v>
      </c>
      <c r="P1037" s="152" t="s">
        <v>3489</v>
      </c>
      <c r="Q1037" s="152" t="s">
        <v>3661</v>
      </c>
      <c r="R1037" s="152" t="s">
        <v>1515</v>
      </c>
      <c r="S1037" s="152" t="s">
        <v>3663</v>
      </c>
      <c r="T1037" s="152" t="s">
        <v>786</v>
      </c>
    </row>
    <row r="1038" spans="1:20">
      <c r="C1038" s="152" t="s">
        <v>2821</v>
      </c>
      <c r="D1038" s="474" t="s">
        <v>676</v>
      </c>
      <c r="E1038" s="684" t="str">
        <f>+VLOOKUP(F1038,Resumen_Base!$C$8:$G$156,5,0)</f>
        <v>Electricity</v>
      </c>
      <c r="F1038" s="152" t="s">
        <v>41</v>
      </c>
      <c r="G1038" s="152" t="s">
        <v>40</v>
      </c>
      <c r="H1038" s="152" t="str">
        <f t="shared" si="17"/>
        <v>CAR5247</v>
      </c>
      <c r="I1038" s="513">
        <v>72604</v>
      </c>
      <c r="J1038" s="513">
        <v>51.86</v>
      </c>
      <c r="K1038" s="513">
        <v>1400</v>
      </c>
      <c r="L1038" s="518" t="s">
        <v>3659</v>
      </c>
      <c r="M1038" s="152" t="s">
        <v>780</v>
      </c>
      <c r="N1038" s="152" t="s">
        <v>1407</v>
      </c>
      <c r="O1038" s="152" t="s">
        <v>3660</v>
      </c>
      <c r="P1038" s="152" t="s">
        <v>3489</v>
      </c>
      <c r="Q1038" s="152" t="s">
        <v>3661</v>
      </c>
      <c r="R1038" s="152" t="s">
        <v>3882</v>
      </c>
      <c r="S1038" s="152" t="s">
        <v>3663</v>
      </c>
      <c r="T1038" s="152" t="s">
        <v>786</v>
      </c>
    </row>
    <row r="1039" spans="1:20" ht="25">
      <c r="A1039" s="684" t="s">
        <v>5854</v>
      </c>
      <c r="B1039" s="210" t="s">
        <v>5858</v>
      </c>
      <c r="C1039" s="152" t="s">
        <v>2821</v>
      </c>
      <c r="D1039" s="474" t="s">
        <v>676</v>
      </c>
      <c r="E1039" s="684" t="str">
        <f>+VLOOKUP(F1039,Resumen_Base!$C$8:$G$156,5,0)</f>
        <v>Communications - Phone, internet and satellite TV</v>
      </c>
      <c r="F1039" s="607" t="s">
        <v>56</v>
      </c>
      <c r="G1039" s="597" t="s">
        <v>57</v>
      </c>
      <c r="H1039" s="152" t="str">
        <f t="shared" si="17"/>
        <v>CAR5209</v>
      </c>
      <c r="I1039" s="513">
        <v>-8316</v>
      </c>
      <c r="J1039" s="513">
        <v>-5.94</v>
      </c>
      <c r="K1039" s="513">
        <v>1400</v>
      </c>
      <c r="L1039" s="518" t="s">
        <v>3659</v>
      </c>
      <c r="M1039" s="152" t="s">
        <v>780</v>
      </c>
      <c r="N1039" s="152" t="s">
        <v>1407</v>
      </c>
      <c r="O1039" s="152" t="s">
        <v>4017</v>
      </c>
      <c r="P1039" s="152" t="s">
        <v>3489</v>
      </c>
      <c r="Q1039" s="152" t="s">
        <v>4018</v>
      </c>
      <c r="R1039" s="152" t="s">
        <v>4019</v>
      </c>
      <c r="S1039" s="152" t="s">
        <v>4020</v>
      </c>
      <c r="T1039" s="152" t="s">
        <v>786</v>
      </c>
    </row>
    <row r="1040" spans="1:20">
      <c r="C1040" s="152" t="s">
        <v>2821</v>
      </c>
      <c r="D1040" s="474" t="s">
        <v>676</v>
      </c>
      <c r="E1040" s="684" t="str">
        <f>+VLOOKUP(F1040,Resumen_Base!$C$8:$G$156,5,0)</f>
        <v>Electricity</v>
      </c>
      <c r="F1040" s="152" t="s">
        <v>41</v>
      </c>
      <c r="G1040" s="152" t="s">
        <v>40</v>
      </c>
      <c r="H1040" s="152" t="str">
        <f t="shared" si="17"/>
        <v>CAR5247</v>
      </c>
      <c r="I1040" s="513">
        <v>2978052</v>
      </c>
      <c r="J1040" s="513">
        <v>2127.1799999999998</v>
      </c>
      <c r="K1040" s="513">
        <v>1400</v>
      </c>
      <c r="L1040" s="518" t="s">
        <v>3659</v>
      </c>
      <c r="M1040" s="152" t="s">
        <v>780</v>
      </c>
      <c r="N1040" s="152" t="s">
        <v>1407</v>
      </c>
      <c r="O1040" s="152" t="s">
        <v>3702</v>
      </c>
      <c r="P1040" s="152" t="s">
        <v>3489</v>
      </c>
      <c r="Q1040" s="152" t="s">
        <v>3703</v>
      </c>
      <c r="R1040" s="152" t="s">
        <v>4100</v>
      </c>
      <c r="S1040" s="152" t="s">
        <v>3704</v>
      </c>
      <c r="T1040" s="152" t="s">
        <v>786</v>
      </c>
    </row>
    <row r="1041" spans="3:20">
      <c r="C1041" s="152" t="s">
        <v>2821</v>
      </c>
      <c r="D1041" s="474" t="s">
        <v>676</v>
      </c>
      <c r="E1041" s="684" t="str">
        <f>+VLOOKUP(F1041,Resumen_Base!$C$8:$G$156,5,0)</f>
        <v>Electricity</v>
      </c>
      <c r="F1041" s="152" t="s">
        <v>41</v>
      </c>
      <c r="G1041" s="152" t="s">
        <v>40</v>
      </c>
      <c r="H1041" s="152" t="str">
        <f t="shared" si="17"/>
        <v>CAR5247</v>
      </c>
      <c r="I1041" s="513">
        <v>333777.75</v>
      </c>
      <c r="J1041" s="513">
        <v>234.23</v>
      </c>
      <c r="K1041" s="513">
        <v>1425</v>
      </c>
      <c r="L1041" s="518" t="s">
        <v>3637</v>
      </c>
      <c r="M1041" s="152" t="s">
        <v>780</v>
      </c>
      <c r="N1041" s="152" t="s">
        <v>1407</v>
      </c>
      <c r="O1041" s="152" t="s">
        <v>3680</v>
      </c>
      <c r="P1041" s="152" t="s">
        <v>2865</v>
      </c>
      <c r="Q1041" s="152" t="s">
        <v>3681</v>
      </c>
      <c r="R1041" s="152" t="s">
        <v>4101</v>
      </c>
      <c r="S1041" s="152" t="s">
        <v>3683</v>
      </c>
      <c r="T1041" s="152" t="s">
        <v>786</v>
      </c>
    </row>
    <row r="1042" spans="3:20">
      <c r="C1042" s="152" t="s">
        <v>2821</v>
      </c>
      <c r="D1042" s="474" t="s">
        <v>676</v>
      </c>
      <c r="E1042" s="684" t="str">
        <f>+VLOOKUP(F1042,Resumen_Base!$C$8:$G$156,5,0)</f>
        <v>Electricity</v>
      </c>
      <c r="F1042" s="152" t="s">
        <v>41</v>
      </c>
      <c r="G1042" s="152" t="s">
        <v>40</v>
      </c>
      <c r="H1042" s="152" t="str">
        <f t="shared" si="17"/>
        <v>CAR5247</v>
      </c>
      <c r="I1042" s="513">
        <v>2165814.75</v>
      </c>
      <c r="J1042" s="513">
        <v>1519.87</v>
      </c>
      <c r="K1042" s="513">
        <v>1425</v>
      </c>
      <c r="L1042" s="518" t="s">
        <v>3637</v>
      </c>
      <c r="M1042" s="152" t="s">
        <v>780</v>
      </c>
      <c r="N1042" s="152" t="s">
        <v>1407</v>
      </c>
      <c r="O1042" s="152" t="s">
        <v>3680</v>
      </c>
      <c r="P1042" s="152" t="s">
        <v>2865</v>
      </c>
      <c r="Q1042" s="152" t="s">
        <v>3681</v>
      </c>
      <c r="R1042" s="152" t="s">
        <v>4102</v>
      </c>
      <c r="S1042" s="152" t="s">
        <v>3683</v>
      </c>
      <c r="T1042" s="152" t="s">
        <v>786</v>
      </c>
    </row>
    <row r="1043" spans="3:20" ht="25">
      <c r="C1043" s="152" t="s">
        <v>2821</v>
      </c>
      <c r="D1043" s="474" t="s">
        <v>670</v>
      </c>
      <c r="E1043" s="684" t="str">
        <f>+VLOOKUP(F1043,Resumen_Base!$C$8:$G$156,5,0)</f>
        <v>Electricity - Gas for Boats &amp; Vehicles</v>
      </c>
      <c r="F1043" s="152" t="s">
        <v>64</v>
      </c>
      <c r="G1043" s="152" t="s">
        <v>65</v>
      </c>
      <c r="H1043" s="152" t="str">
        <f t="shared" si="17"/>
        <v>SJ5248</v>
      </c>
      <c r="I1043" s="513">
        <v>328476.75</v>
      </c>
      <c r="J1043" s="513">
        <v>230.51</v>
      </c>
      <c r="K1043" s="513">
        <v>1425</v>
      </c>
      <c r="L1043" s="518" t="s">
        <v>3637</v>
      </c>
      <c r="M1043" s="152" t="s">
        <v>780</v>
      </c>
      <c r="N1043" s="152" t="s">
        <v>781</v>
      </c>
      <c r="O1043" s="152" t="s">
        <v>4770</v>
      </c>
      <c r="P1043" s="152" t="s">
        <v>2865</v>
      </c>
      <c r="Q1043" s="152" t="s">
        <v>4771</v>
      </c>
      <c r="R1043" s="152" t="s">
        <v>4777</v>
      </c>
      <c r="S1043" s="152" t="s">
        <v>4773</v>
      </c>
      <c r="T1043" s="152" t="s">
        <v>786</v>
      </c>
    </row>
    <row r="1044" spans="3:20" ht="25">
      <c r="C1044" s="152" t="s">
        <v>2821</v>
      </c>
      <c r="D1044" s="474" t="s">
        <v>670</v>
      </c>
      <c r="E1044" s="684" t="str">
        <f>+VLOOKUP(F1044,Resumen_Base!$C$8:$G$156,5,0)</f>
        <v>Electricity - Gas for Boats &amp; Vehicles</v>
      </c>
      <c r="F1044" s="152" t="s">
        <v>64</v>
      </c>
      <c r="G1044" s="152" t="s">
        <v>65</v>
      </c>
      <c r="H1044" s="152" t="str">
        <f t="shared" si="17"/>
        <v>SJ5248</v>
      </c>
      <c r="I1044" s="513">
        <v>142959.9</v>
      </c>
      <c r="J1044" s="513">
        <v>101.39</v>
      </c>
      <c r="K1044" s="513">
        <v>1410</v>
      </c>
      <c r="L1044" s="518" t="s">
        <v>3498</v>
      </c>
      <c r="M1044" s="152" t="s">
        <v>780</v>
      </c>
      <c r="N1044" s="152" t="s">
        <v>781</v>
      </c>
      <c r="O1044" s="152" t="s">
        <v>4743</v>
      </c>
      <c r="P1044" s="152" t="s">
        <v>3489</v>
      </c>
      <c r="Q1044" s="152" t="s">
        <v>4744</v>
      </c>
      <c r="R1044" s="152" t="s">
        <v>4778</v>
      </c>
      <c r="S1044" s="152" t="s">
        <v>4746</v>
      </c>
      <c r="T1044" s="152" t="s">
        <v>786</v>
      </c>
    </row>
    <row r="1045" spans="3:20" ht="25">
      <c r="C1045" s="152" t="s">
        <v>2821</v>
      </c>
      <c r="D1045" s="474" t="s">
        <v>670</v>
      </c>
      <c r="E1045" s="684" t="str">
        <f>+VLOOKUP(F1045,Resumen_Base!$C$8:$G$156,5,0)</f>
        <v>Electricity - Gas for Boats &amp; Vehicles</v>
      </c>
      <c r="F1045" s="152" t="s">
        <v>64</v>
      </c>
      <c r="G1045" s="152" t="s">
        <v>65</v>
      </c>
      <c r="H1045" s="152" t="str">
        <f t="shared" si="17"/>
        <v>SJ5248</v>
      </c>
      <c r="I1045" s="513">
        <v>322206.75</v>
      </c>
      <c r="J1045" s="513">
        <v>226.11</v>
      </c>
      <c r="K1045" s="513">
        <v>1425</v>
      </c>
      <c r="L1045" s="518" t="s">
        <v>3637</v>
      </c>
      <c r="M1045" s="152" t="s">
        <v>780</v>
      </c>
      <c r="N1045" s="152" t="s">
        <v>781</v>
      </c>
      <c r="O1045" s="152" t="s">
        <v>4770</v>
      </c>
      <c r="P1045" s="152" t="s">
        <v>2865</v>
      </c>
      <c r="Q1045" s="152" t="s">
        <v>4771</v>
      </c>
      <c r="R1045" s="152" t="s">
        <v>4779</v>
      </c>
      <c r="S1045" s="152" t="s">
        <v>4773</v>
      </c>
      <c r="T1045" s="152" t="s">
        <v>786</v>
      </c>
    </row>
    <row r="1046" spans="3:20" ht="25">
      <c r="C1046" s="152" t="s">
        <v>2821</v>
      </c>
      <c r="D1046" s="474" t="s">
        <v>670</v>
      </c>
      <c r="E1046" s="684" t="str">
        <f>+VLOOKUP(F1046,Resumen_Base!$C$8:$G$156,5,0)</f>
        <v>Electricity - Gas for Boats &amp; Vehicles</v>
      </c>
      <c r="F1046" s="152" t="s">
        <v>64</v>
      </c>
      <c r="G1046" s="152" t="s">
        <v>65</v>
      </c>
      <c r="H1046" s="152" t="str">
        <f t="shared" si="17"/>
        <v>SJ5248</v>
      </c>
      <c r="I1046" s="513">
        <v>2707.5</v>
      </c>
      <c r="J1046" s="513">
        <v>1.9</v>
      </c>
      <c r="K1046" s="513">
        <v>1425</v>
      </c>
      <c r="L1046" s="518" t="s">
        <v>3637</v>
      </c>
      <c r="M1046" s="152" t="s">
        <v>780</v>
      </c>
      <c r="N1046" s="152" t="s">
        <v>781</v>
      </c>
      <c r="O1046" s="152" t="s">
        <v>4770</v>
      </c>
      <c r="P1046" s="152" t="s">
        <v>2865</v>
      </c>
      <c r="Q1046" s="152" t="s">
        <v>4771</v>
      </c>
      <c r="R1046" s="152" t="s">
        <v>953</v>
      </c>
      <c r="S1046" s="152" t="s">
        <v>4773</v>
      </c>
      <c r="T1046" s="152" t="s">
        <v>786</v>
      </c>
    </row>
    <row r="1047" spans="3:20" ht="25">
      <c r="C1047" s="152" t="s">
        <v>2821</v>
      </c>
      <c r="D1047" s="474" t="s">
        <v>670</v>
      </c>
      <c r="E1047" s="684" t="str">
        <f>+VLOOKUP(F1047,Resumen_Base!$C$8:$G$156,5,0)</f>
        <v>Electricity - Gas for Boats &amp; Vehicles</v>
      </c>
      <c r="F1047" s="152" t="s">
        <v>64</v>
      </c>
      <c r="G1047" s="152" t="s">
        <v>65</v>
      </c>
      <c r="H1047" s="152" t="str">
        <f t="shared" si="17"/>
        <v>SJ5248</v>
      </c>
      <c r="I1047" s="513">
        <v>2707.5</v>
      </c>
      <c r="J1047" s="513">
        <v>1.9</v>
      </c>
      <c r="K1047" s="513">
        <v>1425</v>
      </c>
      <c r="L1047" s="518" t="s">
        <v>3637</v>
      </c>
      <c r="M1047" s="152" t="s">
        <v>780</v>
      </c>
      <c r="N1047" s="152" t="s">
        <v>781</v>
      </c>
      <c r="O1047" s="152" t="s">
        <v>4770</v>
      </c>
      <c r="P1047" s="152" t="s">
        <v>2865</v>
      </c>
      <c r="Q1047" s="152" t="s">
        <v>4771</v>
      </c>
      <c r="R1047" s="152" t="s">
        <v>953</v>
      </c>
      <c r="S1047" s="152" t="s">
        <v>4773</v>
      </c>
      <c r="T1047" s="152" t="s">
        <v>786</v>
      </c>
    </row>
    <row r="1048" spans="3:20" ht="25">
      <c r="C1048" s="152" t="s">
        <v>2821</v>
      </c>
      <c r="D1048" s="474" t="s">
        <v>670</v>
      </c>
      <c r="E1048" s="684" t="str">
        <f>+VLOOKUP(F1048,Resumen_Base!$C$8:$G$156,5,0)</f>
        <v>Electricity - Gas for Boats &amp; Vehicles</v>
      </c>
      <c r="F1048" s="152" t="s">
        <v>64</v>
      </c>
      <c r="G1048" s="152" t="s">
        <v>65</v>
      </c>
      <c r="H1048" s="152" t="str">
        <f t="shared" si="17"/>
        <v>SJ5248</v>
      </c>
      <c r="I1048" s="513">
        <v>553427.25</v>
      </c>
      <c r="J1048" s="513">
        <v>388.37</v>
      </c>
      <c r="K1048" s="513">
        <v>1425</v>
      </c>
      <c r="L1048" s="518" t="s">
        <v>3637</v>
      </c>
      <c r="M1048" s="152" t="s">
        <v>780</v>
      </c>
      <c r="N1048" s="152" t="s">
        <v>781</v>
      </c>
      <c r="O1048" s="152" t="s">
        <v>4770</v>
      </c>
      <c r="P1048" s="152" t="s">
        <v>2865</v>
      </c>
      <c r="Q1048" s="152" t="s">
        <v>4771</v>
      </c>
      <c r="R1048" s="152" t="s">
        <v>4838</v>
      </c>
      <c r="S1048" s="152" t="s">
        <v>4773</v>
      </c>
      <c r="T1048" s="152" t="s">
        <v>786</v>
      </c>
    </row>
    <row r="1049" spans="3:20" ht="25">
      <c r="C1049" s="152" t="s">
        <v>2821</v>
      </c>
      <c r="D1049" s="474" t="s">
        <v>675</v>
      </c>
      <c r="E1049" s="684" t="str">
        <f>+VLOOKUP(F1049,Resumen_Base!$C$8:$G$156,5,0)</f>
        <v>Electricity - Gas for Boats &amp; Vehicles</v>
      </c>
      <c r="F1049" s="152" t="s">
        <v>64</v>
      </c>
      <c r="G1049" s="152" t="s">
        <v>65</v>
      </c>
      <c r="H1049" s="152" t="str">
        <f t="shared" ref="H1049:H1112" si="22">+D1049&amp;F1049</f>
        <v>UL5248</v>
      </c>
      <c r="I1049" s="513">
        <v>269570</v>
      </c>
      <c r="J1049" s="513">
        <v>192.55</v>
      </c>
      <c r="K1049" s="513">
        <v>1400</v>
      </c>
      <c r="L1049" s="518" t="s">
        <v>3659</v>
      </c>
      <c r="M1049" s="152" t="s">
        <v>780</v>
      </c>
      <c r="N1049" s="152" t="s">
        <v>1272</v>
      </c>
      <c r="O1049" s="152" t="s">
        <v>4919</v>
      </c>
      <c r="P1049" s="152" t="s">
        <v>3489</v>
      </c>
      <c r="Q1049" s="152" t="s">
        <v>4920</v>
      </c>
      <c r="R1049" s="152" t="s">
        <v>4934</v>
      </c>
      <c r="S1049" s="152" t="s">
        <v>4922</v>
      </c>
      <c r="T1049" s="152" t="s">
        <v>786</v>
      </c>
    </row>
    <row r="1050" spans="3:20" ht="25">
      <c r="C1050" s="152" t="s">
        <v>2821</v>
      </c>
      <c r="D1050" s="474" t="s">
        <v>676</v>
      </c>
      <c r="E1050" s="684" t="str">
        <f>+VLOOKUP(F1050,Resumen_Base!$C$8:$G$156,5,0)</f>
        <v>Electricity - Gas for Boats &amp; Vehicles</v>
      </c>
      <c r="F1050" s="152" t="s">
        <v>64</v>
      </c>
      <c r="G1050" s="152" t="s">
        <v>65</v>
      </c>
      <c r="H1050" s="152" t="str">
        <f t="shared" si="22"/>
        <v>CAR5248</v>
      </c>
      <c r="I1050" s="513">
        <v>5091820.9000000004</v>
      </c>
      <c r="J1050" s="513">
        <v>3598.46</v>
      </c>
      <c r="K1050" s="513">
        <v>1415</v>
      </c>
      <c r="L1050" s="518" t="s">
        <v>3632</v>
      </c>
      <c r="M1050" s="152" t="s">
        <v>780</v>
      </c>
      <c r="N1050" s="152" t="s">
        <v>1407</v>
      </c>
      <c r="O1050" s="152" t="s">
        <v>3673</v>
      </c>
      <c r="P1050" s="152" t="s">
        <v>3489</v>
      </c>
      <c r="Q1050" s="152" t="s">
        <v>3674</v>
      </c>
      <c r="R1050" s="152" t="s">
        <v>3791</v>
      </c>
      <c r="S1050" s="152" t="s">
        <v>3676</v>
      </c>
      <c r="T1050" s="152" t="s">
        <v>786</v>
      </c>
    </row>
    <row r="1051" spans="3:20" ht="25">
      <c r="C1051" s="152" t="s">
        <v>2821</v>
      </c>
      <c r="D1051" s="474" t="s">
        <v>676</v>
      </c>
      <c r="E1051" s="684" t="str">
        <f>+VLOOKUP(F1051,Resumen_Base!$C$8:$G$156,5,0)</f>
        <v>Electricity - Gas for Boats &amp; Vehicles</v>
      </c>
      <c r="F1051" s="152" t="s">
        <v>64</v>
      </c>
      <c r="G1051" s="152" t="s">
        <v>65</v>
      </c>
      <c r="H1051" s="152" t="str">
        <f t="shared" si="22"/>
        <v>CAR5248</v>
      </c>
      <c r="I1051" s="513">
        <v>2745.1</v>
      </c>
      <c r="J1051" s="513">
        <v>1.94</v>
      </c>
      <c r="K1051" s="513">
        <v>1415</v>
      </c>
      <c r="L1051" s="518" t="s">
        <v>3632</v>
      </c>
      <c r="M1051" s="152" t="s">
        <v>780</v>
      </c>
      <c r="N1051" s="152" t="s">
        <v>1407</v>
      </c>
      <c r="O1051" s="152" t="s">
        <v>3673</v>
      </c>
      <c r="P1051" s="152" t="s">
        <v>3489</v>
      </c>
      <c r="Q1051" s="152" t="s">
        <v>3674</v>
      </c>
      <c r="R1051" s="152" t="s">
        <v>1515</v>
      </c>
      <c r="S1051" s="152" t="s">
        <v>3676</v>
      </c>
      <c r="T1051" s="152" t="s">
        <v>786</v>
      </c>
    </row>
    <row r="1052" spans="3:20" ht="25">
      <c r="C1052" s="152" t="s">
        <v>2821</v>
      </c>
      <c r="D1052" s="474" t="s">
        <v>676</v>
      </c>
      <c r="E1052" s="684" t="str">
        <f>+VLOOKUP(F1052,Resumen_Base!$C$8:$G$156,5,0)</f>
        <v>Electricity - Gas for Boats &amp; Vehicles</v>
      </c>
      <c r="F1052" s="152" t="s">
        <v>64</v>
      </c>
      <c r="G1052" s="152" t="s">
        <v>65</v>
      </c>
      <c r="H1052" s="152" t="str">
        <f t="shared" si="22"/>
        <v>CAR5248</v>
      </c>
      <c r="I1052" s="513">
        <v>134947.5</v>
      </c>
      <c r="J1052" s="513">
        <v>94.7</v>
      </c>
      <c r="K1052" s="513">
        <v>1425</v>
      </c>
      <c r="L1052" s="518" t="s">
        <v>3504</v>
      </c>
      <c r="M1052" s="152" t="s">
        <v>780</v>
      </c>
      <c r="N1052" s="152" t="s">
        <v>1407</v>
      </c>
      <c r="O1052" s="152" t="s">
        <v>3665</v>
      </c>
      <c r="P1052" s="152" t="s">
        <v>3489</v>
      </c>
      <c r="Q1052" s="152" t="s">
        <v>3666</v>
      </c>
      <c r="R1052" s="152" t="s">
        <v>3902</v>
      </c>
      <c r="S1052" s="152" t="s">
        <v>3668</v>
      </c>
      <c r="T1052" s="152" t="s">
        <v>786</v>
      </c>
    </row>
    <row r="1053" spans="3:20" ht="25">
      <c r="C1053" s="152" t="s">
        <v>2821</v>
      </c>
      <c r="D1053" s="474" t="s">
        <v>676</v>
      </c>
      <c r="E1053" s="684" t="str">
        <f>+VLOOKUP(F1053,Resumen_Base!$C$8:$G$156,5,0)</f>
        <v>Electricity - Gas for Boats &amp; Vehicles</v>
      </c>
      <c r="F1053" s="152" t="s">
        <v>64</v>
      </c>
      <c r="G1053" s="152" t="s">
        <v>65</v>
      </c>
      <c r="H1053" s="152" t="str">
        <f t="shared" si="22"/>
        <v>CAR5248</v>
      </c>
      <c r="I1053" s="513">
        <v>149803.20000000001</v>
      </c>
      <c r="J1053" s="513">
        <v>104.03</v>
      </c>
      <c r="K1053" s="513">
        <v>1440</v>
      </c>
      <c r="L1053" s="518" t="s">
        <v>3517</v>
      </c>
      <c r="M1053" s="152" t="s">
        <v>780</v>
      </c>
      <c r="N1053" s="152" t="s">
        <v>1407</v>
      </c>
      <c r="O1053" s="152" t="s">
        <v>3655</v>
      </c>
      <c r="P1053" s="152" t="s">
        <v>892</v>
      </c>
      <c r="Q1053" s="152" t="s">
        <v>3656</v>
      </c>
      <c r="R1053" s="152" t="s">
        <v>3955</v>
      </c>
      <c r="S1053" s="152" t="s">
        <v>3658</v>
      </c>
      <c r="T1053" s="152" t="s">
        <v>786</v>
      </c>
    </row>
    <row r="1054" spans="3:20">
      <c r="C1054" s="152" t="s">
        <v>2821</v>
      </c>
      <c r="D1054" s="474" t="s">
        <v>676</v>
      </c>
      <c r="E1054" s="684" t="str">
        <f>+VLOOKUP(F1054,Resumen_Base!$C$8:$G$156,5,0)</f>
        <v>Propane</v>
      </c>
      <c r="F1054" s="152" t="s">
        <v>39</v>
      </c>
      <c r="G1054" s="152" t="s">
        <v>38</v>
      </c>
      <c r="H1054" s="152" t="str">
        <f t="shared" si="22"/>
        <v>CAR5249</v>
      </c>
      <c r="I1054" s="513">
        <v>180554</v>
      </c>
      <c r="J1054" s="513">
        <v>127.6</v>
      </c>
      <c r="K1054" s="513">
        <v>1415</v>
      </c>
      <c r="L1054" s="518" t="s">
        <v>3498</v>
      </c>
      <c r="M1054" s="152" t="s">
        <v>780</v>
      </c>
      <c r="N1054" s="152" t="s">
        <v>1407</v>
      </c>
      <c r="O1054" s="152" t="s">
        <v>3499</v>
      </c>
      <c r="P1054" s="152" t="s">
        <v>3489</v>
      </c>
      <c r="Q1054" s="152" t="s">
        <v>3500</v>
      </c>
      <c r="R1054" s="152" t="s">
        <v>3821</v>
      </c>
      <c r="S1054" s="152" t="s">
        <v>3502</v>
      </c>
      <c r="T1054" s="152" t="s">
        <v>786</v>
      </c>
    </row>
    <row r="1055" spans="3:20">
      <c r="C1055" s="152" t="s">
        <v>2821</v>
      </c>
      <c r="D1055" s="474" t="s">
        <v>676</v>
      </c>
      <c r="E1055" s="684" t="str">
        <f>+VLOOKUP(F1055,Resumen_Base!$C$8:$G$156,5,0)</f>
        <v>Propane</v>
      </c>
      <c r="F1055" s="152" t="s">
        <v>39</v>
      </c>
      <c r="G1055" s="152" t="s">
        <v>38</v>
      </c>
      <c r="H1055" s="152" t="str">
        <f t="shared" si="22"/>
        <v>CAR5249</v>
      </c>
      <c r="I1055" s="513">
        <v>222062.4</v>
      </c>
      <c r="J1055" s="513">
        <v>154.21</v>
      </c>
      <c r="K1055" s="513">
        <v>1440</v>
      </c>
      <c r="L1055" s="518" t="s">
        <v>3517</v>
      </c>
      <c r="M1055" s="152" t="s">
        <v>780</v>
      </c>
      <c r="N1055" s="152" t="s">
        <v>1407</v>
      </c>
      <c r="O1055" s="152" t="s">
        <v>3518</v>
      </c>
      <c r="P1055" s="152" t="s">
        <v>892</v>
      </c>
      <c r="Q1055" s="152" t="s">
        <v>3519</v>
      </c>
      <c r="R1055" s="152" t="s">
        <v>3901</v>
      </c>
      <c r="S1055" s="152" t="s">
        <v>3521</v>
      </c>
      <c r="T1055" s="152" t="s">
        <v>786</v>
      </c>
    </row>
    <row r="1056" spans="3:20">
      <c r="C1056" s="152" t="s">
        <v>2821</v>
      </c>
      <c r="D1056" s="474" t="s">
        <v>670</v>
      </c>
      <c r="E1056" s="684" t="str">
        <f>+VLOOKUP(F1056,Resumen_Base!$C$8:$G$156,5,0)</f>
        <v>Food &amp; Wine</v>
      </c>
      <c r="F1056" s="152" t="s">
        <v>37</v>
      </c>
      <c r="G1056" s="152" t="s">
        <v>36</v>
      </c>
      <c r="H1056" s="152" t="str">
        <f t="shared" si="22"/>
        <v>SJ5250</v>
      </c>
      <c r="I1056" s="513">
        <v>221093.75</v>
      </c>
      <c r="J1056" s="513">
        <v>156.25</v>
      </c>
      <c r="K1056" s="513">
        <v>1415</v>
      </c>
      <c r="L1056" s="518" t="s">
        <v>3498</v>
      </c>
      <c r="M1056" s="152" t="s">
        <v>780</v>
      </c>
      <c r="N1056" s="152" t="s">
        <v>781</v>
      </c>
      <c r="O1056" s="152" t="s">
        <v>4743</v>
      </c>
      <c r="P1056" s="152" t="s">
        <v>3489</v>
      </c>
      <c r="Q1056" s="152" t="s">
        <v>4744</v>
      </c>
      <c r="R1056" s="152" t="s">
        <v>4745</v>
      </c>
      <c r="S1056" s="152" t="s">
        <v>4746</v>
      </c>
      <c r="T1056" s="152" t="s">
        <v>786</v>
      </c>
    </row>
    <row r="1057" spans="3:20">
      <c r="C1057" s="152" t="s">
        <v>2821</v>
      </c>
      <c r="D1057" s="474" t="s">
        <v>670</v>
      </c>
      <c r="E1057" s="684" t="str">
        <f>+VLOOKUP(F1057,Resumen_Base!$C$8:$G$156,5,0)</f>
        <v>Food &amp; Wine</v>
      </c>
      <c r="F1057" s="152" t="s">
        <v>37</v>
      </c>
      <c r="G1057" s="152" t="s">
        <v>36</v>
      </c>
      <c r="H1057" s="152" t="str">
        <f t="shared" si="22"/>
        <v>SJ5250</v>
      </c>
      <c r="I1057" s="513">
        <v>2688.5</v>
      </c>
      <c r="J1057" s="513">
        <v>1.9</v>
      </c>
      <c r="K1057" s="513">
        <v>1415</v>
      </c>
      <c r="L1057" s="518" t="s">
        <v>3498</v>
      </c>
      <c r="M1057" s="152" t="s">
        <v>780</v>
      </c>
      <c r="N1057" s="152" t="s">
        <v>781</v>
      </c>
      <c r="O1057" s="152" t="s">
        <v>4743</v>
      </c>
      <c r="P1057" s="152" t="s">
        <v>3489</v>
      </c>
      <c r="Q1057" s="152" t="s">
        <v>4744</v>
      </c>
      <c r="R1057" s="152" t="s">
        <v>953</v>
      </c>
      <c r="S1057" s="152" t="s">
        <v>4746</v>
      </c>
      <c r="T1057" s="152" t="s">
        <v>786</v>
      </c>
    </row>
    <row r="1058" spans="3:20">
      <c r="C1058" s="152" t="s">
        <v>2821</v>
      </c>
      <c r="D1058" s="474" t="s">
        <v>676</v>
      </c>
      <c r="E1058" s="684" t="str">
        <f>+VLOOKUP(F1058,Resumen_Base!$C$8:$G$156,5,0)</f>
        <v>Food &amp; Wine</v>
      </c>
      <c r="F1058" s="152" t="s">
        <v>37</v>
      </c>
      <c r="G1058" s="152" t="s">
        <v>36</v>
      </c>
      <c r="H1058" s="152" t="str">
        <f t="shared" si="22"/>
        <v>CAR5250</v>
      </c>
      <c r="I1058" s="513">
        <v>209076</v>
      </c>
      <c r="J1058" s="513">
        <v>146.72</v>
      </c>
      <c r="K1058" s="513">
        <v>1425</v>
      </c>
      <c r="L1058" s="518" t="s">
        <v>3504</v>
      </c>
      <c r="M1058" s="152" t="s">
        <v>780</v>
      </c>
      <c r="N1058" s="152" t="s">
        <v>1407</v>
      </c>
      <c r="O1058" s="152" t="s">
        <v>3505</v>
      </c>
      <c r="P1058" s="152" t="s">
        <v>3489</v>
      </c>
      <c r="Q1058" s="152" t="s">
        <v>3506</v>
      </c>
      <c r="R1058" s="152" t="s">
        <v>3509</v>
      </c>
      <c r="S1058" s="152" t="s">
        <v>3508</v>
      </c>
      <c r="T1058" s="152" t="s">
        <v>786</v>
      </c>
    </row>
    <row r="1059" spans="3:20">
      <c r="C1059" s="152" t="s">
        <v>2821</v>
      </c>
      <c r="D1059" s="474" t="s">
        <v>676</v>
      </c>
      <c r="E1059" s="684" t="str">
        <f>+VLOOKUP(F1059,Resumen_Base!$C$8:$G$156,5,0)</f>
        <v>Food &amp; Wine</v>
      </c>
      <c r="F1059" s="152" t="s">
        <v>37</v>
      </c>
      <c r="G1059" s="152" t="s">
        <v>36</v>
      </c>
      <c r="H1059" s="152" t="str">
        <f t="shared" si="22"/>
        <v>CAR5250</v>
      </c>
      <c r="I1059" s="513">
        <v>239035.95</v>
      </c>
      <c r="J1059" s="513">
        <v>168.93</v>
      </c>
      <c r="K1059" s="513">
        <v>1415</v>
      </c>
      <c r="L1059" s="518" t="s">
        <v>3511</v>
      </c>
      <c r="M1059" s="152" t="s">
        <v>780</v>
      </c>
      <c r="N1059" s="152" t="s">
        <v>1407</v>
      </c>
      <c r="O1059" s="152" t="s">
        <v>3512</v>
      </c>
      <c r="P1059" s="152" t="s">
        <v>3489</v>
      </c>
      <c r="Q1059" s="152" t="s">
        <v>3513</v>
      </c>
      <c r="R1059" s="152" t="s">
        <v>3514</v>
      </c>
      <c r="S1059" s="152" t="s">
        <v>3515</v>
      </c>
      <c r="T1059" s="152" t="s">
        <v>786</v>
      </c>
    </row>
    <row r="1060" spans="3:20">
      <c r="C1060" s="152" t="s">
        <v>2821</v>
      </c>
      <c r="D1060" s="474" t="s">
        <v>676</v>
      </c>
      <c r="E1060" s="684" t="str">
        <f>+VLOOKUP(F1060,Resumen_Base!$C$8:$G$156,5,0)</f>
        <v>Food &amp; Wine</v>
      </c>
      <c r="F1060" s="152" t="s">
        <v>37</v>
      </c>
      <c r="G1060" s="152" t="s">
        <v>36</v>
      </c>
      <c r="H1060" s="152" t="str">
        <f t="shared" si="22"/>
        <v>CAR5250</v>
      </c>
      <c r="I1060" s="513">
        <v>36374.400000000001</v>
      </c>
      <c r="J1060" s="513">
        <v>25.26</v>
      </c>
      <c r="K1060" s="513">
        <v>1440</v>
      </c>
      <c r="L1060" s="518" t="s">
        <v>3517</v>
      </c>
      <c r="M1060" s="152" t="s">
        <v>780</v>
      </c>
      <c r="N1060" s="152" t="s">
        <v>1407</v>
      </c>
      <c r="O1060" s="152" t="s">
        <v>3518</v>
      </c>
      <c r="P1060" s="152" t="s">
        <v>892</v>
      </c>
      <c r="Q1060" s="152" t="s">
        <v>3519</v>
      </c>
      <c r="R1060" s="152" t="s">
        <v>3520</v>
      </c>
      <c r="S1060" s="152" t="s">
        <v>3521</v>
      </c>
      <c r="T1060" s="152" t="s">
        <v>786</v>
      </c>
    </row>
    <row r="1061" spans="3:20">
      <c r="C1061" s="152" t="s">
        <v>2821</v>
      </c>
      <c r="D1061" s="474" t="s">
        <v>676</v>
      </c>
      <c r="E1061" s="684" t="str">
        <f>+VLOOKUP(F1061,Resumen_Base!$C$8:$G$156,5,0)</f>
        <v>Food &amp; Wine</v>
      </c>
      <c r="F1061" s="152" t="s">
        <v>37</v>
      </c>
      <c r="G1061" s="152" t="s">
        <v>36</v>
      </c>
      <c r="H1061" s="152" t="str">
        <f t="shared" si="22"/>
        <v>CAR5250</v>
      </c>
      <c r="I1061" s="513">
        <v>10430</v>
      </c>
      <c r="J1061" s="513">
        <v>7.45</v>
      </c>
      <c r="K1061" s="513">
        <v>1400</v>
      </c>
      <c r="L1061" s="518" t="s">
        <v>3632</v>
      </c>
      <c r="M1061" s="152" t="s">
        <v>780</v>
      </c>
      <c r="N1061" s="152" t="s">
        <v>1407</v>
      </c>
      <c r="O1061" s="152" t="s">
        <v>3633</v>
      </c>
      <c r="P1061" s="152" t="s">
        <v>3489</v>
      </c>
      <c r="Q1061" s="152" t="s">
        <v>3634</v>
      </c>
      <c r="R1061" s="152" t="s">
        <v>3635</v>
      </c>
      <c r="S1061" s="152" t="s">
        <v>3636</v>
      </c>
      <c r="T1061" s="152" t="s">
        <v>786</v>
      </c>
    </row>
    <row r="1062" spans="3:20">
      <c r="C1062" s="152" t="s">
        <v>2821</v>
      </c>
      <c r="D1062" s="474" t="s">
        <v>676</v>
      </c>
      <c r="E1062" s="684" t="str">
        <f>+VLOOKUP(F1062,Resumen_Base!$C$8:$G$156,5,0)</f>
        <v>Food &amp; Wine</v>
      </c>
      <c r="F1062" s="152" t="s">
        <v>37</v>
      </c>
      <c r="G1062" s="152" t="s">
        <v>36</v>
      </c>
      <c r="H1062" s="152" t="str">
        <f t="shared" si="22"/>
        <v>CAR5250</v>
      </c>
      <c r="I1062" s="513">
        <v>155847.29999999999</v>
      </c>
      <c r="J1062" s="513">
        <v>110.53</v>
      </c>
      <c r="K1062" s="513">
        <v>1410</v>
      </c>
      <c r="L1062" s="518" t="s">
        <v>3498</v>
      </c>
      <c r="M1062" s="152" t="s">
        <v>780</v>
      </c>
      <c r="N1062" s="152" t="s">
        <v>1407</v>
      </c>
      <c r="O1062" s="152" t="s">
        <v>3499</v>
      </c>
      <c r="P1062" s="152" t="s">
        <v>3489</v>
      </c>
      <c r="Q1062" s="152" t="s">
        <v>3500</v>
      </c>
      <c r="R1062" s="152" t="s">
        <v>2902</v>
      </c>
      <c r="S1062" s="152" t="s">
        <v>3502</v>
      </c>
      <c r="T1062" s="152" t="s">
        <v>786</v>
      </c>
    </row>
    <row r="1063" spans="3:20">
      <c r="C1063" s="152" t="s">
        <v>2821</v>
      </c>
      <c r="D1063" s="474" t="s">
        <v>676</v>
      </c>
      <c r="E1063" s="684" t="str">
        <f>+VLOOKUP(F1063,Resumen_Base!$C$8:$G$156,5,0)</f>
        <v>Food &amp; Wine</v>
      </c>
      <c r="F1063" s="152" t="s">
        <v>37</v>
      </c>
      <c r="G1063" s="152" t="s">
        <v>36</v>
      </c>
      <c r="H1063" s="152" t="str">
        <f t="shared" si="22"/>
        <v>CAR5250</v>
      </c>
      <c r="I1063" s="513">
        <v>234720</v>
      </c>
      <c r="J1063" s="513">
        <v>163</v>
      </c>
      <c r="K1063" s="513">
        <v>1440</v>
      </c>
      <c r="L1063" s="518" t="s">
        <v>3517</v>
      </c>
      <c r="M1063" s="152" t="s">
        <v>780</v>
      </c>
      <c r="N1063" s="152" t="s">
        <v>1407</v>
      </c>
      <c r="O1063" s="152" t="s">
        <v>3518</v>
      </c>
      <c r="P1063" s="152" t="s">
        <v>892</v>
      </c>
      <c r="Q1063" s="152" t="s">
        <v>3519</v>
      </c>
      <c r="R1063" s="152" t="s">
        <v>3645</v>
      </c>
      <c r="S1063" s="152" t="s">
        <v>3521</v>
      </c>
      <c r="T1063" s="152" t="s">
        <v>786</v>
      </c>
    </row>
    <row r="1064" spans="3:20">
      <c r="C1064" s="152" t="s">
        <v>2821</v>
      </c>
      <c r="D1064" s="474" t="s">
        <v>676</v>
      </c>
      <c r="E1064" s="684" t="str">
        <f>+VLOOKUP(F1064,Resumen_Base!$C$8:$G$156,5,0)</f>
        <v>Food &amp; Wine</v>
      </c>
      <c r="F1064" s="152" t="s">
        <v>37</v>
      </c>
      <c r="G1064" s="152" t="s">
        <v>36</v>
      </c>
      <c r="H1064" s="152" t="str">
        <f t="shared" si="22"/>
        <v>CAR5250</v>
      </c>
      <c r="I1064" s="513">
        <v>235623.75</v>
      </c>
      <c r="J1064" s="513">
        <v>165.35</v>
      </c>
      <c r="K1064" s="513">
        <v>1425</v>
      </c>
      <c r="L1064" s="518" t="s">
        <v>3637</v>
      </c>
      <c r="M1064" s="152" t="s">
        <v>780</v>
      </c>
      <c r="N1064" s="152" t="s">
        <v>1407</v>
      </c>
      <c r="O1064" s="152" t="s">
        <v>3638</v>
      </c>
      <c r="P1064" s="152" t="s">
        <v>2865</v>
      </c>
      <c r="Q1064" s="152" t="s">
        <v>3639</v>
      </c>
      <c r="R1064" s="152" t="s">
        <v>3645</v>
      </c>
      <c r="S1064" s="152" t="s">
        <v>3641</v>
      </c>
      <c r="T1064" s="152" t="s">
        <v>786</v>
      </c>
    </row>
    <row r="1065" spans="3:20">
      <c r="C1065" s="152" t="s">
        <v>2821</v>
      </c>
      <c r="D1065" s="474" t="s">
        <v>676</v>
      </c>
      <c r="E1065" s="684" t="str">
        <f>+VLOOKUP(F1065,Resumen_Base!$C$8:$G$156,5,0)</f>
        <v>Food &amp; Wine</v>
      </c>
      <c r="F1065" s="152" t="s">
        <v>37</v>
      </c>
      <c r="G1065" s="152" t="s">
        <v>36</v>
      </c>
      <c r="H1065" s="152" t="str">
        <f t="shared" si="22"/>
        <v>CAR5250</v>
      </c>
      <c r="I1065" s="513">
        <v>232144.9</v>
      </c>
      <c r="J1065" s="513">
        <v>164.06</v>
      </c>
      <c r="K1065" s="513">
        <v>1415</v>
      </c>
      <c r="L1065" s="518" t="s">
        <v>3498</v>
      </c>
      <c r="M1065" s="152" t="s">
        <v>780</v>
      </c>
      <c r="N1065" s="152" t="s">
        <v>1407</v>
      </c>
      <c r="O1065" s="152" t="s">
        <v>3499</v>
      </c>
      <c r="P1065" s="152" t="s">
        <v>3489</v>
      </c>
      <c r="Q1065" s="152" t="s">
        <v>3500</v>
      </c>
      <c r="R1065" s="152" t="s">
        <v>3645</v>
      </c>
      <c r="S1065" s="152" t="s">
        <v>3502</v>
      </c>
      <c r="T1065" s="152" t="s">
        <v>786</v>
      </c>
    </row>
    <row r="1066" spans="3:20">
      <c r="C1066" s="152" t="s">
        <v>2821</v>
      </c>
      <c r="D1066" s="474" t="s">
        <v>676</v>
      </c>
      <c r="E1066" s="684" t="str">
        <f>+VLOOKUP(F1066,Resumen_Base!$C$8:$G$156,5,0)</f>
        <v>Food &amp; Wine</v>
      </c>
      <c r="F1066" s="152" t="s">
        <v>37</v>
      </c>
      <c r="G1066" s="152" t="s">
        <v>36</v>
      </c>
      <c r="H1066" s="152" t="str">
        <f t="shared" si="22"/>
        <v>CAR5250</v>
      </c>
      <c r="I1066" s="513">
        <v>232403.25</v>
      </c>
      <c r="J1066" s="513">
        <v>163.09</v>
      </c>
      <c r="K1066" s="513">
        <v>1425</v>
      </c>
      <c r="L1066" s="518" t="s">
        <v>3504</v>
      </c>
      <c r="M1066" s="152" t="s">
        <v>780</v>
      </c>
      <c r="N1066" s="152" t="s">
        <v>1407</v>
      </c>
      <c r="O1066" s="152" t="s">
        <v>3505</v>
      </c>
      <c r="P1066" s="152" t="s">
        <v>3489</v>
      </c>
      <c r="Q1066" s="152" t="s">
        <v>3506</v>
      </c>
      <c r="R1066" s="152" t="s">
        <v>3646</v>
      </c>
      <c r="S1066" s="152" t="s">
        <v>3508</v>
      </c>
      <c r="T1066" s="152" t="s">
        <v>786</v>
      </c>
    </row>
    <row r="1067" spans="3:20">
      <c r="C1067" s="152" t="s">
        <v>2821</v>
      </c>
      <c r="D1067" s="474" t="s">
        <v>676</v>
      </c>
      <c r="E1067" s="684" t="str">
        <f>+VLOOKUP(F1067,Resumen_Base!$C$8:$G$156,5,0)</f>
        <v>Food &amp; Wine</v>
      </c>
      <c r="F1067" s="152" t="s">
        <v>37</v>
      </c>
      <c r="G1067" s="152" t="s">
        <v>36</v>
      </c>
      <c r="H1067" s="152" t="str">
        <f t="shared" si="22"/>
        <v>CAR5250</v>
      </c>
      <c r="I1067" s="513">
        <v>28046</v>
      </c>
      <c r="J1067" s="513">
        <v>18.95</v>
      </c>
      <c r="K1067" s="513">
        <v>1480</v>
      </c>
      <c r="L1067" s="518" t="s">
        <v>3517</v>
      </c>
      <c r="M1067" s="152" t="s">
        <v>780</v>
      </c>
      <c r="N1067" s="152" t="s">
        <v>1407</v>
      </c>
      <c r="O1067" s="152" t="s">
        <v>3518</v>
      </c>
      <c r="P1067" s="152" t="s">
        <v>892</v>
      </c>
      <c r="Q1067" s="152" t="s">
        <v>3519</v>
      </c>
      <c r="R1067" s="152" t="s">
        <v>3647</v>
      </c>
      <c r="S1067" s="152" t="s">
        <v>3521</v>
      </c>
      <c r="T1067" s="152" t="s">
        <v>786</v>
      </c>
    </row>
    <row r="1068" spans="3:20">
      <c r="C1068" s="152" t="s">
        <v>2821</v>
      </c>
      <c r="D1068" s="474" t="s">
        <v>676</v>
      </c>
      <c r="E1068" s="684" t="str">
        <f>+VLOOKUP(F1068,Resumen_Base!$C$8:$G$156,5,0)</f>
        <v>Food &amp; Wine</v>
      </c>
      <c r="F1068" s="152" t="s">
        <v>37</v>
      </c>
      <c r="G1068" s="152" t="s">
        <v>36</v>
      </c>
      <c r="H1068" s="152" t="str">
        <f t="shared" si="22"/>
        <v>CAR5250</v>
      </c>
      <c r="I1068" s="513">
        <v>325600</v>
      </c>
      <c r="J1068" s="513">
        <v>220</v>
      </c>
      <c r="K1068" s="513">
        <v>1480</v>
      </c>
      <c r="L1068" s="518" t="s">
        <v>3517</v>
      </c>
      <c r="M1068" s="152" t="s">
        <v>780</v>
      </c>
      <c r="N1068" s="152" t="s">
        <v>1407</v>
      </c>
      <c r="O1068" s="152" t="s">
        <v>3518</v>
      </c>
      <c r="P1068" s="152" t="s">
        <v>892</v>
      </c>
      <c r="Q1068" s="152" t="s">
        <v>3519</v>
      </c>
      <c r="R1068" s="152" t="s">
        <v>1625</v>
      </c>
      <c r="S1068" s="152" t="s">
        <v>3521</v>
      </c>
      <c r="T1068" s="152" t="s">
        <v>786</v>
      </c>
    </row>
    <row r="1069" spans="3:20">
      <c r="C1069" s="152" t="s">
        <v>2821</v>
      </c>
      <c r="D1069" s="474" t="s">
        <v>676</v>
      </c>
      <c r="E1069" s="684" t="str">
        <f>+VLOOKUP(F1069,Resumen_Base!$C$8:$G$156,5,0)</f>
        <v>Food &amp; Wine</v>
      </c>
      <c r="F1069" s="152" t="s">
        <v>37</v>
      </c>
      <c r="G1069" s="152" t="s">
        <v>36</v>
      </c>
      <c r="H1069" s="152" t="str">
        <f t="shared" si="22"/>
        <v>CAR5250</v>
      </c>
      <c r="I1069" s="513">
        <v>312785.75</v>
      </c>
      <c r="J1069" s="513">
        <v>221.05</v>
      </c>
      <c r="K1069" s="513">
        <v>1415</v>
      </c>
      <c r="L1069" s="518" t="s">
        <v>3511</v>
      </c>
      <c r="M1069" s="152" t="s">
        <v>780</v>
      </c>
      <c r="N1069" s="152" t="s">
        <v>1407</v>
      </c>
      <c r="O1069" s="152" t="s">
        <v>3512</v>
      </c>
      <c r="P1069" s="152" t="s">
        <v>3489</v>
      </c>
      <c r="Q1069" s="152" t="s">
        <v>3513</v>
      </c>
      <c r="R1069" s="152" t="s">
        <v>1625</v>
      </c>
      <c r="S1069" s="152" t="s">
        <v>3515</v>
      </c>
      <c r="T1069" s="152" t="s">
        <v>786</v>
      </c>
    </row>
    <row r="1070" spans="3:20">
      <c r="C1070" s="152" t="s">
        <v>2821</v>
      </c>
      <c r="D1070" s="474" t="s">
        <v>676</v>
      </c>
      <c r="E1070" s="684" t="str">
        <f>+VLOOKUP(F1070,Resumen_Base!$C$8:$G$156,5,0)</f>
        <v>Food &amp; Wine</v>
      </c>
      <c r="F1070" s="152" t="s">
        <v>37</v>
      </c>
      <c r="G1070" s="152" t="s">
        <v>36</v>
      </c>
      <c r="H1070" s="152" t="str">
        <f t="shared" si="22"/>
        <v>CAR5250</v>
      </c>
      <c r="I1070" s="513">
        <v>36374.400000000001</v>
      </c>
      <c r="J1070" s="513">
        <v>25.26</v>
      </c>
      <c r="K1070" s="513">
        <v>1440</v>
      </c>
      <c r="L1070" s="518" t="s">
        <v>3517</v>
      </c>
      <c r="M1070" s="152" t="s">
        <v>780</v>
      </c>
      <c r="N1070" s="152" t="s">
        <v>1407</v>
      </c>
      <c r="O1070" s="152" t="s">
        <v>3518</v>
      </c>
      <c r="P1070" s="152" t="s">
        <v>892</v>
      </c>
      <c r="Q1070" s="152" t="s">
        <v>3519</v>
      </c>
      <c r="R1070" s="152" t="s">
        <v>3649</v>
      </c>
      <c r="S1070" s="152" t="s">
        <v>3521</v>
      </c>
      <c r="T1070" s="152" t="s">
        <v>786</v>
      </c>
    </row>
    <row r="1071" spans="3:20">
      <c r="C1071" s="152" t="s">
        <v>2821</v>
      </c>
      <c r="D1071" s="474" t="s">
        <v>676</v>
      </c>
      <c r="E1071" s="684" t="str">
        <f>+VLOOKUP(F1071,Resumen_Base!$C$8:$G$156,5,0)</f>
        <v>Food &amp; Wine</v>
      </c>
      <c r="F1071" s="152" t="s">
        <v>37</v>
      </c>
      <c r="G1071" s="152" t="s">
        <v>36</v>
      </c>
      <c r="H1071" s="152" t="str">
        <f t="shared" si="22"/>
        <v>CAR5250</v>
      </c>
      <c r="I1071" s="513">
        <v>35411.25</v>
      </c>
      <c r="J1071" s="513">
        <v>24.85</v>
      </c>
      <c r="K1071" s="513">
        <v>1425</v>
      </c>
      <c r="L1071" s="518" t="s">
        <v>3504</v>
      </c>
      <c r="M1071" s="152" t="s">
        <v>780</v>
      </c>
      <c r="N1071" s="152" t="s">
        <v>1407</v>
      </c>
      <c r="O1071" s="152" t="s">
        <v>3505</v>
      </c>
      <c r="P1071" s="152" t="s">
        <v>3489</v>
      </c>
      <c r="Q1071" s="152" t="s">
        <v>3506</v>
      </c>
      <c r="R1071" s="152" t="s">
        <v>3649</v>
      </c>
      <c r="S1071" s="152" t="s">
        <v>3508</v>
      </c>
      <c r="T1071" s="152" t="s">
        <v>786</v>
      </c>
    </row>
    <row r="1072" spans="3:20">
      <c r="C1072" s="152" t="s">
        <v>2821</v>
      </c>
      <c r="D1072" s="474" t="s">
        <v>676</v>
      </c>
      <c r="E1072" s="684" t="str">
        <f>+VLOOKUP(F1072,Resumen_Base!$C$8:$G$156,5,0)</f>
        <v>Food &amp; Wine</v>
      </c>
      <c r="F1072" s="152" t="s">
        <v>37</v>
      </c>
      <c r="G1072" s="152" t="s">
        <v>36</v>
      </c>
      <c r="H1072" s="152" t="str">
        <f t="shared" si="22"/>
        <v>CAR5250</v>
      </c>
      <c r="I1072" s="513">
        <v>35582.25</v>
      </c>
      <c r="J1072" s="513">
        <v>24.97</v>
      </c>
      <c r="K1072" s="513">
        <v>1425</v>
      </c>
      <c r="L1072" s="518" t="s">
        <v>3504</v>
      </c>
      <c r="M1072" s="152" t="s">
        <v>780</v>
      </c>
      <c r="N1072" s="152" t="s">
        <v>1407</v>
      </c>
      <c r="O1072" s="152" t="s">
        <v>3505</v>
      </c>
      <c r="P1072" s="152" t="s">
        <v>3489</v>
      </c>
      <c r="Q1072" s="152" t="s">
        <v>3506</v>
      </c>
      <c r="R1072" s="152" t="s">
        <v>3649</v>
      </c>
      <c r="S1072" s="152" t="s">
        <v>3508</v>
      </c>
      <c r="T1072" s="152" t="s">
        <v>786</v>
      </c>
    </row>
    <row r="1073" spans="3:20">
      <c r="C1073" s="152" t="s">
        <v>2821</v>
      </c>
      <c r="D1073" s="474" t="s">
        <v>676</v>
      </c>
      <c r="E1073" s="684" t="str">
        <f>+VLOOKUP(F1073,Resumen_Base!$C$8:$G$156,5,0)</f>
        <v>Food &amp; Wine</v>
      </c>
      <c r="F1073" s="152" t="s">
        <v>37</v>
      </c>
      <c r="G1073" s="152" t="s">
        <v>36</v>
      </c>
      <c r="H1073" s="152" t="str">
        <f t="shared" si="22"/>
        <v>CAR5250</v>
      </c>
      <c r="I1073" s="513">
        <v>72931.5</v>
      </c>
      <c r="J1073" s="513">
        <v>51.18</v>
      </c>
      <c r="K1073" s="513">
        <v>1425</v>
      </c>
      <c r="L1073" s="518" t="s">
        <v>3637</v>
      </c>
      <c r="M1073" s="152" t="s">
        <v>780</v>
      </c>
      <c r="N1073" s="152" t="s">
        <v>1407</v>
      </c>
      <c r="O1073" s="152" t="s">
        <v>3638</v>
      </c>
      <c r="P1073" s="152" t="s">
        <v>2865</v>
      </c>
      <c r="Q1073" s="152" t="s">
        <v>3639</v>
      </c>
      <c r="R1073" s="152" t="s">
        <v>3650</v>
      </c>
      <c r="S1073" s="152" t="s">
        <v>3641</v>
      </c>
      <c r="T1073" s="152" t="s">
        <v>786</v>
      </c>
    </row>
    <row r="1074" spans="3:20">
      <c r="C1074" s="152" t="s">
        <v>2821</v>
      </c>
      <c r="D1074" s="474" t="s">
        <v>676</v>
      </c>
      <c r="E1074" s="684" t="str">
        <f>+VLOOKUP(F1074,Resumen_Base!$C$8:$G$156,5,0)</f>
        <v>Food &amp; Wine</v>
      </c>
      <c r="F1074" s="152" t="s">
        <v>37</v>
      </c>
      <c r="G1074" s="152" t="s">
        <v>36</v>
      </c>
      <c r="H1074" s="152" t="str">
        <f t="shared" si="22"/>
        <v>CAR5250</v>
      </c>
      <c r="I1074" s="513">
        <v>47361.599999999999</v>
      </c>
      <c r="J1074" s="513">
        <v>32.89</v>
      </c>
      <c r="K1074" s="513">
        <v>1440</v>
      </c>
      <c r="L1074" s="518" t="s">
        <v>3517</v>
      </c>
      <c r="M1074" s="152" t="s">
        <v>780</v>
      </c>
      <c r="N1074" s="152" t="s">
        <v>1407</v>
      </c>
      <c r="O1074" s="152" t="s">
        <v>3518</v>
      </c>
      <c r="P1074" s="152" t="s">
        <v>892</v>
      </c>
      <c r="Q1074" s="152" t="s">
        <v>3519</v>
      </c>
      <c r="R1074" s="152" t="s">
        <v>2916</v>
      </c>
      <c r="S1074" s="152" t="s">
        <v>3521</v>
      </c>
      <c r="T1074" s="152" t="s">
        <v>786</v>
      </c>
    </row>
    <row r="1075" spans="3:20">
      <c r="C1075" s="152" t="s">
        <v>2821</v>
      </c>
      <c r="D1075" s="474" t="s">
        <v>676</v>
      </c>
      <c r="E1075" s="684" t="str">
        <f>+VLOOKUP(F1075,Resumen_Base!$C$8:$G$156,5,0)</f>
        <v>Food &amp; Wine</v>
      </c>
      <c r="F1075" s="152" t="s">
        <v>37</v>
      </c>
      <c r="G1075" s="152" t="s">
        <v>36</v>
      </c>
      <c r="H1075" s="152" t="str">
        <f t="shared" si="22"/>
        <v>CAR5250</v>
      </c>
      <c r="I1075" s="513">
        <v>62524.800000000003</v>
      </c>
      <c r="J1075" s="513">
        <v>43.42</v>
      </c>
      <c r="K1075" s="513">
        <v>1440</v>
      </c>
      <c r="L1075" s="518" t="s">
        <v>3517</v>
      </c>
      <c r="M1075" s="152" t="s">
        <v>780</v>
      </c>
      <c r="N1075" s="152" t="s">
        <v>1407</v>
      </c>
      <c r="O1075" s="152" t="s">
        <v>3518</v>
      </c>
      <c r="P1075" s="152" t="s">
        <v>892</v>
      </c>
      <c r="Q1075" s="152" t="s">
        <v>3519</v>
      </c>
      <c r="R1075" s="152" t="s">
        <v>3651</v>
      </c>
      <c r="S1075" s="152" t="s">
        <v>3521</v>
      </c>
      <c r="T1075" s="152" t="s">
        <v>786</v>
      </c>
    </row>
    <row r="1076" spans="3:20">
      <c r="C1076" s="152" t="s">
        <v>2821</v>
      </c>
      <c r="D1076" s="474" t="s">
        <v>676</v>
      </c>
      <c r="E1076" s="684" t="str">
        <f>+VLOOKUP(F1076,Resumen_Base!$C$8:$G$156,5,0)</f>
        <v>Food &amp; Wine</v>
      </c>
      <c r="F1076" s="152" t="s">
        <v>37</v>
      </c>
      <c r="G1076" s="152" t="s">
        <v>36</v>
      </c>
      <c r="H1076" s="152" t="str">
        <f t="shared" si="22"/>
        <v>CAR5250</v>
      </c>
      <c r="I1076" s="513">
        <v>486083.4</v>
      </c>
      <c r="J1076" s="513">
        <v>344.74</v>
      </c>
      <c r="K1076" s="513">
        <v>1410</v>
      </c>
      <c r="L1076" s="518" t="s">
        <v>3498</v>
      </c>
      <c r="M1076" s="152" t="s">
        <v>780</v>
      </c>
      <c r="N1076" s="152" t="s">
        <v>1407</v>
      </c>
      <c r="O1076" s="152" t="s">
        <v>3522</v>
      </c>
      <c r="P1076" s="152" t="s">
        <v>3489</v>
      </c>
      <c r="Q1076" s="152" t="s">
        <v>3523</v>
      </c>
      <c r="R1076" s="152" t="s">
        <v>3653</v>
      </c>
      <c r="S1076" s="152" t="s">
        <v>3525</v>
      </c>
      <c r="T1076" s="152" t="s">
        <v>786</v>
      </c>
    </row>
    <row r="1077" spans="3:20">
      <c r="C1077" s="152" t="s">
        <v>2821</v>
      </c>
      <c r="D1077" s="474" t="s">
        <v>676</v>
      </c>
      <c r="E1077" s="684" t="str">
        <f>+VLOOKUP(F1077,Resumen_Base!$C$8:$G$156,5,0)</f>
        <v>Food &amp; Wine</v>
      </c>
      <c r="F1077" s="152" t="s">
        <v>37</v>
      </c>
      <c r="G1077" s="152" t="s">
        <v>36</v>
      </c>
      <c r="H1077" s="152" t="str">
        <f t="shared" si="22"/>
        <v>CAR5250</v>
      </c>
      <c r="I1077" s="513">
        <v>299399.84999999998</v>
      </c>
      <c r="J1077" s="513">
        <v>211.59</v>
      </c>
      <c r="K1077" s="513">
        <v>1415</v>
      </c>
      <c r="L1077" s="518" t="s">
        <v>3493</v>
      </c>
      <c r="M1077" s="152" t="s">
        <v>780</v>
      </c>
      <c r="N1077" s="152" t="s">
        <v>1407</v>
      </c>
      <c r="O1077" s="152" t="s">
        <v>3677</v>
      </c>
      <c r="P1077" s="152" t="s">
        <v>3489</v>
      </c>
      <c r="Q1077" s="152" t="s">
        <v>3678</v>
      </c>
      <c r="R1077" s="152" t="s">
        <v>2926</v>
      </c>
      <c r="S1077" s="152" t="s">
        <v>3679</v>
      </c>
      <c r="T1077" s="152" t="s">
        <v>786</v>
      </c>
    </row>
    <row r="1078" spans="3:20">
      <c r="C1078" s="152" t="s">
        <v>2821</v>
      </c>
      <c r="D1078" s="474" t="s">
        <v>676</v>
      </c>
      <c r="E1078" s="684" t="str">
        <f>+VLOOKUP(F1078,Resumen_Base!$C$8:$G$156,5,0)</f>
        <v>Food &amp; Wine</v>
      </c>
      <c r="F1078" s="152" t="s">
        <v>37</v>
      </c>
      <c r="G1078" s="152" t="s">
        <v>36</v>
      </c>
      <c r="H1078" s="152" t="str">
        <f t="shared" si="22"/>
        <v>CAR5250</v>
      </c>
      <c r="I1078" s="513">
        <v>453927.4</v>
      </c>
      <c r="J1078" s="513">
        <v>323.08</v>
      </c>
      <c r="K1078" s="513">
        <v>1405</v>
      </c>
      <c r="L1078" s="518" t="s">
        <v>3493</v>
      </c>
      <c r="M1078" s="152" t="s">
        <v>780</v>
      </c>
      <c r="N1078" s="152" t="s">
        <v>1407</v>
      </c>
      <c r="O1078" s="152" t="s">
        <v>3677</v>
      </c>
      <c r="P1078" s="152" t="s">
        <v>3489</v>
      </c>
      <c r="Q1078" s="152" t="s">
        <v>3678</v>
      </c>
      <c r="R1078" s="152" t="s">
        <v>2926</v>
      </c>
      <c r="S1078" s="152" t="s">
        <v>3679</v>
      </c>
      <c r="T1078" s="152" t="s">
        <v>786</v>
      </c>
    </row>
    <row r="1079" spans="3:20">
      <c r="C1079" s="152" t="s">
        <v>2821</v>
      </c>
      <c r="D1079" s="474" t="s">
        <v>676</v>
      </c>
      <c r="E1079" s="684" t="str">
        <f>+VLOOKUP(F1079,Resumen_Base!$C$8:$G$156,5,0)</f>
        <v>Food &amp; Wine</v>
      </c>
      <c r="F1079" s="152" t="s">
        <v>37</v>
      </c>
      <c r="G1079" s="152" t="s">
        <v>36</v>
      </c>
      <c r="H1079" s="152" t="str">
        <f t="shared" si="22"/>
        <v>CAR5250</v>
      </c>
      <c r="I1079" s="513">
        <v>314179.20000000001</v>
      </c>
      <c r="J1079" s="513">
        <v>218.18</v>
      </c>
      <c r="K1079" s="513">
        <v>1440</v>
      </c>
      <c r="L1079" s="518" t="s">
        <v>3637</v>
      </c>
      <c r="M1079" s="152" t="s">
        <v>780</v>
      </c>
      <c r="N1079" s="152" t="s">
        <v>1407</v>
      </c>
      <c r="O1079" s="152" t="s">
        <v>3638</v>
      </c>
      <c r="P1079" s="152" t="s">
        <v>2865</v>
      </c>
      <c r="Q1079" s="152" t="s">
        <v>3639</v>
      </c>
      <c r="R1079" s="152" t="s">
        <v>1624</v>
      </c>
      <c r="S1079" s="152" t="s">
        <v>3641</v>
      </c>
      <c r="T1079" s="152" t="s">
        <v>786</v>
      </c>
    </row>
    <row r="1080" spans="3:20">
      <c r="C1080" s="152" t="s">
        <v>2821</v>
      </c>
      <c r="D1080" s="474" t="s">
        <v>676</v>
      </c>
      <c r="E1080" s="684" t="str">
        <f>+VLOOKUP(F1080,Resumen_Base!$C$8:$G$156,5,0)</f>
        <v>Food &amp; Wine</v>
      </c>
      <c r="F1080" s="152" t="s">
        <v>37</v>
      </c>
      <c r="G1080" s="152" t="s">
        <v>36</v>
      </c>
      <c r="H1080" s="152" t="str">
        <f t="shared" si="22"/>
        <v>CAR5250</v>
      </c>
      <c r="I1080" s="513">
        <v>150523.20000000001</v>
      </c>
      <c r="J1080" s="513">
        <v>104.53</v>
      </c>
      <c r="K1080" s="513">
        <v>1440</v>
      </c>
      <c r="L1080" s="518" t="s">
        <v>3517</v>
      </c>
      <c r="M1080" s="152" t="s">
        <v>780</v>
      </c>
      <c r="N1080" s="152" t="s">
        <v>1407</v>
      </c>
      <c r="O1080" s="152" t="s">
        <v>3518</v>
      </c>
      <c r="P1080" s="152" t="s">
        <v>892</v>
      </c>
      <c r="Q1080" s="152" t="s">
        <v>3519</v>
      </c>
      <c r="R1080" s="152" t="s">
        <v>3691</v>
      </c>
      <c r="S1080" s="152" t="s">
        <v>3521</v>
      </c>
      <c r="T1080" s="152" t="s">
        <v>786</v>
      </c>
    </row>
    <row r="1081" spans="3:20">
      <c r="C1081" s="152" t="s">
        <v>2821</v>
      </c>
      <c r="D1081" s="474" t="s">
        <v>676</v>
      </c>
      <c r="E1081" s="684" t="str">
        <f>+VLOOKUP(F1081,Resumen_Base!$C$8:$G$156,5,0)</f>
        <v>Food &amp; Wine</v>
      </c>
      <c r="F1081" s="152" t="s">
        <v>37</v>
      </c>
      <c r="G1081" s="152" t="s">
        <v>36</v>
      </c>
      <c r="H1081" s="152" t="str">
        <f t="shared" si="22"/>
        <v>CAR5250</v>
      </c>
      <c r="I1081" s="513">
        <v>23774.400000000001</v>
      </c>
      <c r="J1081" s="513">
        <v>16.510000000000002</v>
      </c>
      <c r="K1081" s="513">
        <v>1440</v>
      </c>
      <c r="L1081" s="518" t="s">
        <v>3517</v>
      </c>
      <c r="M1081" s="152" t="s">
        <v>780</v>
      </c>
      <c r="N1081" s="152" t="s">
        <v>1407</v>
      </c>
      <c r="O1081" s="152" t="s">
        <v>3518</v>
      </c>
      <c r="P1081" s="152" t="s">
        <v>892</v>
      </c>
      <c r="Q1081" s="152" t="s">
        <v>3519</v>
      </c>
      <c r="R1081" s="152" t="s">
        <v>3693</v>
      </c>
      <c r="S1081" s="152" t="s">
        <v>3521</v>
      </c>
      <c r="T1081" s="152" t="s">
        <v>786</v>
      </c>
    </row>
    <row r="1082" spans="3:20">
      <c r="C1082" s="152" t="s">
        <v>2821</v>
      </c>
      <c r="D1082" s="474" t="s">
        <v>676</v>
      </c>
      <c r="E1082" s="684" t="str">
        <f>+VLOOKUP(F1082,Resumen_Base!$C$8:$G$156,5,0)</f>
        <v>Food &amp; Wine</v>
      </c>
      <c r="F1082" s="152" t="s">
        <v>37</v>
      </c>
      <c r="G1082" s="152" t="s">
        <v>36</v>
      </c>
      <c r="H1082" s="152" t="str">
        <f t="shared" si="22"/>
        <v>CAR5250</v>
      </c>
      <c r="I1082" s="513">
        <v>2413642</v>
      </c>
      <c r="J1082" s="513">
        <v>1724.03</v>
      </c>
      <c r="K1082" s="513">
        <v>1400</v>
      </c>
      <c r="L1082" s="518" t="s">
        <v>3659</v>
      </c>
      <c r="M1082" s="152" t="s">
        <v>780</v>
      </c>
      <c r="N1082" s="152" t="s">
        <v>1407</v>
      </c>
      <c r="O1082" s="152" t="s">
        <v>3660</v>
      </c>
      <c r="P1082" s="152" t="s">
        <v>3489</v>
      </c>
      <c r="Q1082" s="152" t="s">
        <v>3661</v>
      </c>
      <c r="R1082" s="152" t="s">
        <v>3766</v>
      </c>
      <c r="S1082" s="152" t="s">
        <v>3663</v>
      </c>
      <c r="T1082" s="152" t="s">
        <v>786</v>
      </c>
    </row>
    <row r="1083" spans="3:20">
      <c r="C1083" s="152" t="s">
        <v>2821</v>
      </c>
      <c r="D1083" s="474" t="s">
        <v>676</v>
      </c>
      <c r="E1083" s="684" t="str">
        <f>+VLOOKUP(F1083,Resumen_Base!$C$8:$G$156,5,0)</f>
        <v>Food &amp; Wine</v>
      </c>
      <c r="F1083" s="152" t="s">
        <v>37</v>
      </c>
      <c r="G1083" s="152" t="s">
        <v>36</v>
      </c>
      <c r="H1083" s="152" t="str">
        <f t="shared" si="22"/>
        <v>CAR5250</v>
      </c>
      <c r="I1083" s="513">
        <v>51758</v>
      </c>
      <c r="J1083" s="513">
        <v>36.97</v>
      </c>
      <c r="K1083" s="513">
        <v>1400</v>
      </c>
      <c r="L1083" s="518" t="s">
        <v>3632</v>
      </c>
      <c r="M1083" s="152" t="s">
        <v>780</v>
      </c>
      <c r="N1083" s="152" t="s">
        <v>1407</v>
      </c>
      <c r="O1083" s="152" t="s">
        <v>3633</v>
      </c>
      <c r="P1083" s="152" t="s">
        <v>3489</v>
      </c>
      <c r="Q1083" s="152" t="s">
        <v>3634</v>
      </c>
      <c r="R1083" s="152" t="s">
        <v>1955</v>
      </c>
      <c r="S1083" s="152" t="s">
        <v>3636</v>
      </c>
      <c r="T1083" s="152" t="s">
        <v>786</v>
      </c>
    </row>
    <row r="1084" spans="3:20">
      <c r="C1084" s="152" t="s">
        <v>2821</v>
      </c>
      <c r="D1084" s="474" t="s">
        <v>676</v>
      </c>
      <c r="E1084" s="684" t="str">
        <f>+VLOOKUP(F1084,Resumen_Base!$C$8:$G$156,5,0)</f>
        <v>Food &amp; Wine</v>
      </c>
      <c r="F1084" s="152" t="s">
        <v>37</v>
      </c>
      <c r="G1084" s="152" t="s">
        <v>36</v>
      </c>
      <c r="H1084" s="152" t="str">
        <f t="shared" si="22"/>
        <v>CAR5250</v>
      </c>
      <c r="I1084" s="513">
        <v>42775.45</v>
      </c>
      <c r="J1084" s="513">
        <v>30.23</v>
      </c>
      <c r="K1084" s="513">
        <v>1415</v>
      </c>
      <c r="L1084" s="518" t="s">
        <v>3493</v>
      </c>
      <c r="M1084" s="152" t="s">
        <v>780</v>
      </c>
      <c r="N1084" s="152" t="s">
        <v>1407</v>
      </c>
      <c r="O1084" s="152" t="s">
        <v>3677</v>
      </c>
      <c r="P1084" s="152" t="s">
        <v>3489</v>
      </c>
      <c r="Q1084" s="152" t="s">
        <v>3678</v>
      </c>
      <c r="R1084" s="152" t="s">
        <v>1955</v>
      </c>
      <c r="S1084" s="152" t="s">
        <v>3679</v>
      </c>
      <c r="T1084" s="152" t="s">
        <v>786</v>
      </c>
    </row>
    <row r="1085" spans="3:20">
      <c r="C1085" s="152" t="s">
        <v>2821</v>
      </c>
      <c r="D1085" s="474" t="s">
        <v>676</v>
      </c>
      <c r="E1085" s="684" t="str">
        <f>+VLOOKUP(F1085,Resumen_Base!$C$8:$G$156,5,0)</f>
        <v>Food &amp; Wine</v>
      </c>
      <c r="F1085" s="152" t="s">
        <v>37</v>
      </c>
      <c r="G1085" s="152" t="s">
        <v>36</v>
      </c>
      <c r="H1085" s="152" t="str">
        <f t="shared" si="22"/>
        <v>CAR5250</v>
      </c>
      <c r="I1085" s="513">
        <v>141103.5</v>
      </c>
      <c r="J1085" s="513">
        <v>99.02</v>
      </c>
      <c r="K1085" s="513">
        <v>1425</v>
      </c>
      <c r="L1085" s="518" t="s">
        <v>3504</v>
      </c>
      <c r="M1085" s="152" t="s">
        <v>780</v>
      </c>
      <c r="N1085" s="152" t="s">
        <v>1407</v>
      </c>
      <c r="O1085" s="152" t="s">
        <v>3665</v>
      </c>
      <c r="P1085" s="152" t="s">
        <v>3489</v>
      </c>
      <c r="Q1085" s="152" t="s">
        <v>3666</v>
      </c>
      <c r="R1085" s="152" t="s">
        <v>3792</v>
      </c>
      <c r="S1085" s="152" t="s">
        <v>3668</v>
      </c>
      <c r="T1085" s="152" t="s">
        <v>786</v>
      </c>
    </row>
    <row r="1086" spans="3:20">
      <c r="C1086" s="152" t="s">
        <v>2821</v>
      </c>
      <c r="D1086" s="474" t="s">
        <v>676</v>
      </c>
      <c r="E1086" s="684" t="str">
        <f>+VLOOKUP(F1086,Resumen_Base!$C$8:$G$156,5,0)</f>
        <v>Food &amp; Wine</v>
      </c>
      <c r="F1086" s="152" t="s">
        <v>37</v>
      </c>
      <c r="G1086" s="152" t="s">
        <v>36</v>
      </c>
      <c r="H1086" s="152" t="str">
        <f t="shared" si="22"/>
        <v>CAR5250</v>
      </c>
      <c r="I1086" s="513">
        <v>228876.25</v>
      </c>
      <c r="J1086" s="513">
        <v>161.75</v>
      </c>
      <c r="K1086" s="513">
        <v>1415</v>
      </c>
      <c r="L1086" s="518" t="s">
        <v>3632</v>
      </c>
      <c r="M1086" s="152" t="s">
        <v>780</v>
      </c>
      <c r="N1086" s="152" t="s">
        <v>1407</v>
      </c>
      <c r="O1086" s="152" t="s">
        <v>3633</v>
      </c>
      <c r="P1086" s="152" t="s">
        <v>3489</v>
      </c>
      <c r="Q1086" s="152" t="s">
        <v>3634</v>
      </c>
      <c r="R1086" s="152" t="s">
        <v>3794</v>
      </c>
      <c r="S1086" s="152" t="s">
        <v>3636</v>
      </c>
      <c r="T1086" s="152" t="s">
        <v>786</v>
      </c>
    </row>
    <row r="1087" spans="3:20">
      <c r="C1087" s="152" t="s">
        <v>2821</v>
      </c>
      <c r="D1087" s="474" t="s">
        <v>676</v>
      </c>
      <c r="E1087" s="684" t="str">
        <f>+VLOOKUP(F1087,Resumen_Base!$C$8:$G$156,5,0)</f>
        <v>Food &amp; Wine</v>
      </c>
      <c r="F1087" s="152" t="s">
        <v>37</v>
      </c>
      <c r="G1087" s="152" t="s">
        <v>36</v>
      </c>
      <c r="H1087" s="152" t="str">
        <f t="shared" si="22"/>
        <v>CAR5250</v>
      </c>
      <c r="I1087" s="513">
        <v>286832</v>
      </c>
      <c r="J1087" s="513">
        <v>204.88</v>
      </c>
      <c r="K1087" s="513">
        <v>1400</v>
      </c>
      <c r="L1087" s="518" t="s">
        <v>3659</v>
      </c>
      <c r="M1087" s="152" t="s">
        <v>780</v>
      </c>
      <c r="N1087" s="152" t="s">
        <v>1407</v>
      </c>
      <c r="O1087" s="152" t="s">
        <v>3795</v>
      </c>
      <c r="P1087" s="152" t="s">
        <v>3489</v>
      </c>
      <c r="Q1087" s="152" t="s">
        <v>3796</v>
      </c>
      <c r="R1087" s="152" t="s">
        <v>3797</v>
      </c>
      <c r="S1087" s="152" t="s">
        <v>3798</v>
      </c>
      <c r="T1087" s="152" t="s">
        <v>786</v>
      </c>
    </row>
    <row r="1088" spans="3:20">
      <c r="C1088" s="152" t="s">
        <v>2821</v>
      </c>
      <c r="D1088" s="474" t="s">
        <v>676</v>
      </c>
      <c r="E1088" s="684" t="str">
        <f>+VLOOKUP(F1088,Resumen_Base!$C$8:$G$156,5,0)</f>
        <v>Food &amp; Wine</v>
      </c>
      <c r="F1088" s="152" t="s">
        <v>37</v>
      </c>
      <c r="G1088" s="152" t="s">
        <v>36</v>
      </c>
      <c r="H1088" s="152" t="str">
        <f t="shared" si="22"/>
        <v>CAR5250</v>
      </c>
      <c r="I1088" s="513">
        <v>35582.25</v>
      </c>
      <c r="J1088" s="513">
        <v>24.97</v>
      </c>
      <c r="K1088" s="513">
        <v>1425</v>
      </c>
      <c r="L1088" s="518" t="s">
        <v>3504</v>
      </c>
      <c r="M1088" s="152" t="s">
        <v>780</v>
      </c>
      <c r="N1088" s="152" t="s">
        <v>1407</v>
      </c>
      <c r="O1088" s="152" t="s">
        <v>3505</v>
      </c>
      <c r="P1088" s="152" t="s">
        <v>3489</v>
      </c>
      <c r="Q1088" s="152" t="s">
        <v>3506</v>
      </c>
      <c r="R1088" s="152" t="s">
        <v>3799</v>
      </c>
      <c r="S1088" s="152" t="s">
        <v>3508</v>
      </c>
      <c r="T1088" s="152" t="s">
        <v>786</v>
      </c>
    </row>
    <row r="1089" spans="3:20">
      <c r="C1089" s="152" t="s">
        <v>2821</v>
      </c>
      <c r="D1089" s="474" t="s">
        <v>676</v>
      </c>
      <c r="E1089" s="684" t="str">
        <f>+VLOOKUP(F1089,Resumen_Base!$C$8:$G$156,5,0)</f>
        <v>Food &amp; Wine</v>
      </c>
      <c r="F1089" s="152" t="s">
        <v>37</v>
      </c>
      <c r="G1089" s="152" t="s">
        <v>36</v>
      </c>
      <c r="H1089" s="152" t="str">
        <f t="shared" si="22"/>
        <v>CAR5250</v>
      </c>
      <c r="I1089" s="513">
        <v>35211.75</v>
      </c>
      <c r="J1089" s="513">
        <v>24.71</v>
      </c>
      <c r="K1089" s="513">
        <v>1425</v>
      </c>
      <c r="L1089" s="518" t="s">
        <v>3504</v>
      </c>
      <c r="M1089" s="152" t="s">
        <v>780</v>
      </c>
      <c r="N1089" s="152" t="s">
        <v>1407</v>
      </c>
      <c r="O1089" s="152" t="s">
        <v>3505</v>
      </c>
      <c r="P1089" s="152" t="s">
        <v>3489</v>
      </c>
      <c r="Q1089" s="152" t="s">
        <v>3506</v>
      </c>
      <c r="R1089" s="152" t="s">
        <v>3800</v>
      </c>
      <c r="S1089" s="152" t="s">
        <v>3508</v>
      </c>
      <c r="T1089" s="152" t="s">
        <v>786</v>
      </c>
    </row>
    <row r="1090" spans="3:20">
      <c r="C1090" s="152" t="s">
        <v>2821</v>
      </c>
      <c r="D1090" s="474" t="s">
        <v>676</v>
      </c>
      <c r="E1090" s="684" t="str">
        <f>+VLOOKUP(F1090,Resumen_Base!$C$8:$G$156,5,0)</f>
        <v>Food &amp; Wine</v>
      </c>
      <c r="F1090" s="152" t="s">
        <v>37</v>
      </c>
      <c r="G1090" s="152" t="s">
        <v>36</v>
      </c>
      <c r="H1090" s="152" t="str">
        <f t="shared" si="22"/>
        <v>CAR5250</v>
      </c>
      <c r="I1090" s="513">
        <v>35375</v>
      </c>
      <c r="J1090" s="513">
        <v>25</v>
      </c>
      <c r="K1090" s="513">
        <v>1415</v>
      </c>
      <c r="L1090" s="518" t="s">
        <v>3511</v>
      </c>
      <c r="M1090" s="152" t="s">
        <v>780</v>
      </c>
      <c r="N1090" s="152" t="s">
        <v>1407</v>
      </c>
      <c r="O1090" s="152" t="s">
        <v>3512</v>
      </c>
      <c r="P1090" s="152" t="s">
        <v>3489</v>
      </c>
      <c r="Q1090" s="152" t="s">
        <v>3513</v>
      </c>
      <c r="R1090" s="152" t="s">
        <v>3800</v>
      </c>
      <c r="S1090" s="152" t="s">
        <v>3515</v>
      </c>
      <c r="T1090" s="152" t="s">
        <v>786</v>
      </c>
    </row>
    <row r="1091" spans="3:20">
      <c r="C1091" s="152" t="s">
        <v>2821</v>
      </c>
      <c r="D1091" s="474" t="s">
        <v>676</v>
      </c>
      <c r="E1091" s="684" t="str">
        <f>+VLOOKUP(F1091,Resumen_Base!$C$8:$G$156,5,0)</f>
        <v>Food &amp; Wine</v>
      </c>
      <c r="F1091" s="152" t="s">
        <v>37</v>
      </c>
      <c r="G1091" s="152" t="s">
        <v>36</v>
      </c>
      <c r="H1091" s="152" t="str">
        <f t="shared" si="22"/>
        <v>CAR5250</v>
      </c>
      <c r="I1091" s="513">
        <v>35397</v>
      </c>
      <c r="J1091" s="513">
        <v>24.84</v>
      </c>
      <c r="K1091" s="513">
        <v>1425</v>
      </c>
      <c r="L1091" s="518" t="s">
        <v>3511</v>
      </c>
      <c r="M1091" s="152" t="s">
        <v>780</v>
      </c>
      <c r="N1091" s="152" t="s">
        <v>1407</v>
      </c>
      <c r="O1091" s="152" t="s">
        <v>3512</v>
      </c>
      <c r="P1091" s="152" t="s">
        <v>3489</v>
      </c>
      <c r="Q1091" s="152" t="s">
        <v>3513</v>
      </c>
      <c r="R1091" s="152" t="s">
        <v>3800</v>
      </c>
      <c r="S1091" s="152" t="s">
        <v>3515</v>
      </c>
      <c r="T1091" s="152" t="s">
        <v>786</v>
      </c>
    </row>
    <row r="1092" spans="3:20">
      <c r="C1092" s="152" t="s">
        <v>2821</v>
      </c>
      <c r="D1092" s="474" t="s">
        <v>676</v>
      </c>
      <c r="E1092" s="684" t="str">
        <f>+VLOOKUP(F1092,Resumen_Base!$C$8:$G$156,5,0)</f>
        <v>Food &amp; Wine</v>
      </c>
      <c r="F1092" s="152" t="s">
        <v>37</v>
      </c>
      <c r="G1092" s="152" t="s">
        <v>36</v>
      </c>
      <c r="H1092" s="152" t="str">
        <f t="shared" si="22"/>
        <v>CAR5250</v>
      </c>
      <c r="I1092" s="513">
        <v>32774</v>
      </c>
      <c r="J1092" s="513">
        <v>23.41</v>
      </c>
      <c r="K1092" s="513">
        <v>1400</v>
      </c>
      <c r="L1092" s="518" t="s">
        <v>3659</v>
      </c>
      <c r="M1092" s="152" t="s">
        <v>780</v>
      </c>
      <c r="N1092" s="152" t="s">
        <v>1407</v>
      </c>
      <c r="O1092" s="152" t="s">
        <v>3795</v>
      </c>
      <c r="P1092" s="152" t="s">
        <v>3489</v>
      </c>
      <c r="Q1092" s="152" t="s">
        <v>3796</v>
      </c>
      <c r="R1092" s="152" t="s">
        <v>3800</v>
      </c>
      <c r="S1092" s="152" t="s">
        <v>3798</v>
      </c>
      <c r="T1092" s="152" t="s">
        <v>786</v>
      </c>
    </row>
    <row r="1093" spans="3:20">
      <c r="C1093" s="152" t="s">
        <v>2821</v>
      </c>
      <c r="D1093" s="474" t="s">
        <v>676</v>
      </c>
      <c r="E1093" s="684" t="str">
        <f>+VLOOKUP(F1093,Resumen_Base!$C$8:$G$156,5,0)</f>
        <v>Food &amp; Wine</v>
      </c>
      <c r="F1093" s="152" t="s">
        <v>37</v>
      </c>
      <c r="G1093" s="152" t="s">
        <v>36</v>
      </c>
      <c r="H1093" s="152" t="str">
        <f t="shared" si="22"/>
        <v>CAR5250</v>
      </c>
      <c r="I1093" s="513">
        <v>34305.300000000003</v>
      </c>
      <c r="J1093" s="513">
        <v>24.33</v>
      </c>
      <c r="K1093" s="513">
        <v>1410</v>
      </c>
      <c r="L1093" s="518" t="s">
        <v>3659</v>
      </c>
      <c r="M1093" s="152" t="s">
        <v>780</v>
      </c>
      <c r="N1093" s="152" t="s">
        <v>1407</v>
      </c>
      <c r="O1093" s="152" t="s">
        <v>3795</v>
      </c>
      <c r="P1093" s="152" t="s">
        <v>3489</v>
      </c>
      <c r="Q1093" s="152" t="s">
        <v>3796</v>
      </c>
      <c r="R1093" s="152" t="s">
        <v>3800</v>
      </c>
      <c r="S1093" s="152" t="s">
        <v>3798</v>
      </c>
      <c r="T1093" s="152" t="s">
        <v>786</v>
      </c>
    </row>
    <row r="1094" spans="3:20">
      <c r="C1094" s="152" t="s">
        <v>2821</v>
      </c>
      <c r="D1094" s="474" t="s">
        <v>676</v>
      </c>
      <c r="E1094" s="684" t="str">
        <f>+VLOOKUP(F1094,Resumen_Base!$C$8:$G$156,5,0)</f>
        <v>Food &amp; Wine</v>
      </c>
      <c r="F1094" s="152" t="s">
        <v>37</v>
      </c>
      <c r="G1094" s="152" t="s">
        <v>36</v>
      </c>
      <c r="H1094" s="152" t="str">
        <f t="shared" si="22"/>
        <v>CAR5250</v>
      </c>
      <c r="I1094" s="513">
        <v>35364</v>
      </c>
      <c r="J1094" s="513">
        <v>25.26</v>
      </c>
      <c r="K1094" s="513">
        <v>1400</v>
      </c>
      <c r="L1094" s="518" t="s">
        <v>3659</v>
      </c>
      <c r="M1094" s="152" t="s">
        <v>780</v>
      </c>
      <c r="N1094" s="152" t="s">
        <v>1407</v>
      </c>
      <c r="O1094" s="152" t="s">
        <v>3795</v>
      </c>
      <c r="P1094" s="152" t="s">
        <v>3489</v>
      </c>
      <c r="Q1094" s="152" t="s">
        <v>3796</v>
      </c>
      <c r="R1094" s="152" t="s">
        <v>3801</v>
      </c>
      <c r="S1094" s="152" t="s">
        <v>3798</v>
      </c>
      <c r="T1094" s="152" t="s">
        <v>786</v>
      </c>
    </row>
    <row r="1095" spans="3:20">
      <c r="C1095" s="152" t="s">
        <v>2821</v>
      </c>
      <c r="D1095" s="474" t="s">
        <v>676</v>
      </c>
      <c r="E1095" s="684" t="str">
        <f>+VLOOKUP(F1095,Resumen_Base!$C$8:$G$156,5,0)</f>
        <v>Food &amp; Wine</v>
      </c>
      <c r="F1095" s="152" t="s">
        <v>37</v>
      </c>
      <c r="G1095" s="152" t="s">
        <v>36</v>
      </c>
      <c r="H1095" s="152" t="str">
        <f t="shared" si="22"/>
        <v>CAR5250</v>
      </c>
      <c r="I1095" s="513">
        <v>322854.95</v>
      </c>
      <c r="J1095" s="513">
        <v>229.79</v>
      </c>
      <c r="K1095" s="513">
        <v>1405</v>
      </c>
      <c r="L1095" s="518" t="s">
        <v>3493</v>
      </c>
      <c r="M1095" s="152" t="s">
        <v>780</v>
      </c>
      <c r="N1095" s="152" t="s">
        <v>1407</v>
      </c>
      <c r="O1095" s="152" t="s">
        <v>3677</v>
      </c>
      <c r="P1095" s="152" t="s">
        <v>3489</v>
      </c>
      <c r="Q1095" s="152" t="s">
        <v>3678</v>
      </c>
      <c r="R1095" s="152" t="s">
        <v>3803</v>
      </c>
      <c r="S1095" s="152" t="s">
        <v>3679</v>
      </c>
      <c r="T1095" s="152" t="s">
        <v>786</v>
      </c>
    </row>
    <row r="1096" spans="3:20">
      <c r="C1096" s="152" t="s">
        <v>2821</v>
      </c>
      <c r="D1096" s="474" t="s">
        <v>676</v>
      </c>
      <c r="E1096" s="684" t="str">
        <f>+VLOOKUP(F1096,Resumen_Base!$C$8:$G$156,5,0)</f>
        <v>Food &amp; Wine</v>
      </c>
      <c r="F1096" s="152" t="s">
        <v>37</v>
      </c>
      <c r="G1096" s="152" t="s">
        <v>36</v>
      </c>
      <c r="H1096" s="152" t="str">
        <f t="shared" si="22"/>
        <v>CAR5250</v>
      </c>
      <c r="I1096" s="513">
        <v>223930</v>
      </c>
      <c r="J1096" s="513">
        <v>159.94999999999999</v>
      </c>
      <c r="K1096" s="513">
        <v>1400</v>
      </c>
      <c r="L1096" s="518" t="s">
        <v>3659</v>
      </c>
      <c r="M1096" s="152" t="s">
        <v>780</v>
      </c>
      <c r="N1096" s="152" t="s">
        <v>1407</v>
      </c>
      <c r="O1096" s="152" t="s">
        <v>3795</v>
      </c>
      <c r="P1096" s="152" t="s">
        <v>3489</v>
      </c>
      <c r="Q1096" s="152" t="s">
        <v>3796</v>
      </c>
      <c r="R1096" s="152" t="s">
        <v>3804</v>
      </c>
      <c r="S1096" s="152" t="s">
        <v>3798</v>
      </c>
      <c r="T1096" s="152" t="s">
        <v>786</v>
      </c>
    </row>
    <row r="1097" spans="3:20">
      <c r="C1097" s="152" t="s">
        <v>2821</v>
      </c>
      <c r="D1097" s="474" t="s">
        <v>676</v>
      </c>
      <c r="E1097" s="684" t="str">
        <f>+VLOOKUP(F1097,Resumen_Base!$C$8:$G$156,5,0)</f>
        <v>Food &amp; Wine</v>
      </c>
      <c r="F1097" s="152" t="s">
        <v>37</v>
      </c>
      <c r="G1097" s="152" t="s">
        <v>36</v>
      </c>
      <c r="H1097" s="152" t="str">
        <f t="shared" si="22"/>
        <v>CAR5250</v>
      </c>
      <c r="I1097" s="513">
        <v>21093.599999999999</v>
      </c>
      <c r="J1097" s="513">
        <v>14.96</v>
      </c>
      <c r="K1097" s="513">
        <v>1410</v>
      </c>
      <c r="L1097" s="518" t="s">
        <v>3498</v>
      </c>
      <c r="M1097" s="152" t="s">
        <v>780</v>
      </c>
      <c r="N1097" s="152" t="s">
        <v>1407</v>
      </c>
      <c r="O1097" s="152" t="s">
        <v>3499</v>
      </c>
      <c r="P1097" s="152" t="s">
        <v>3489</v>
      </c>
      <c r="Q1097" s="152" t="s">
        <v>3500</v>
      </c>
      <c r="R1097" s="152" t="s">
        <v>3822</v>
      </c>
      <c r="S1097" s="152" t="s">
        <v>3502</v>
      </c>
      <c r="T1097" s="152" t="s">
        <v>786</v>
      </c>
    </row>
    <row r="1098" spans="3:20">
      <c r="C1098" s="152" t="s">
        <v>2821</v>
      </c>
      <c r="D1098" s="474" t="s">
        <v>676</v>
      </c>
      <c r="E1098" s="684" t="str">
        <f>+VLOOKUP(F1098,Resumen_Base!$C$8:$G$156,5,0)</f>
        <v>Food &amp; Wine</v>
      </c>
      <c r="F1098" s="152" t="s">
        <v>37</v>
      </c>
      <c r="G1098" s="152" t="s">
        <v>36</v>
      </c>
      <c r="H1098" s="152" t="str">
        <f t="shared" si="22"/>
        <v>CAR5250</v>
      </c>
      <c r="I1098" s="513">
        <v>52312.55</v>
      </c>
      <c r="J1098" s="513">
        <v>36.97</v>
      </c>
      <c r="K1098" s="513">
        <v>1415</v>
      </c>
      <c r="L1098" s="518" t="s">
        <v>3632</v>
      </c>
      <c r="M1098" s="152" t="s">
        <v>780</v>
      </c>
      <c r="N1098" s="152" t="s">
        <v>1407</v>
      </c>
      <c r="O1098" s="152" t="s">
        <v>3633</v>
      </c>
      <c r="P1098" s="152" t="s">
        <v>3489</v>
      </c>
      <c r="Q1098" s="152" t="s">
        <v>3634</v>
      </c>
      <c r="R1098" s="152" t="s">
        <v>3823</v>
      </c>
      <c r="S1098" s="152" t="s">
        <v>3636</v>
      </c>
      <c r="T1098" s="152" t="s">
        <v>786</v>
      </c>
    </row>
    <row r="1099" spans="3:20">
      <c r="C1099" s="152" t="s">
        <v>2821</v>
      </c>
      <c r="D1099" s="474" t="s">
        <v>676</v>
      </c>
      <c r="E1099" s="684" t="str">
        <f>+VLOOKUP(F1099,Resumen_Base!$C$8:$G$156,5,0)</f>
        <v>Food &amp; Wine</v>
      </c>
      <c r="F1099" s="152" t="s">
        <v>37</v>
      </c>
      <c r="G1099" s="152" t="s">
        <v>36</v>
      </c>
      <c r="H1099" s="152" t="str">
        <f t="shared" si="22"/>
        <v>CAR5250</v>
      </c>
      <c r="I1099" s="513">
        <v>13902.6</v>
      </c>
      <c r="J1099" s="513">
        <v>9.86</v>
      </c>
      <c r="K1099" s="513">
        <v>1410</v>
      </c>
      <c r="L1099" s="518" t="s">
        <v>3498</v>
      </c>
      <c r="M1099" s="152" t="s">
        <v>780</v>
      </c>
      <c r="N1099" s="152" t="s">
        <v>1407</v>
      </c>
      <c r="O1099" s="152" t="s">
        <v>3499</v>
      </c>
      <c r="P1099" s="152" t="s">
        <v>3489</v>
      </c>
      <c r="Q1099" s="152" t="s">
        <v>3500</v>
      </c>
      <c r="R1099" s="152" t="s">
        <v>3824</v>
      </c>
      <c r="S1099" s="152" t="s">
        <v>3502</v>
      </c>
      <c r="T1099" s="152" t="s">
        <v>786</v>
      </c>
    </row>
    <row r="1100" spans="3:20">
      <c r="C1100" s="152" t="s">
        <v>2821</v>
      </c>
      <c r="D1100" s="474" t="s">
        <v>676</v>
      </c>
      <c r="E1100" s="684" t="str">
        <f>+VLOOKUP(F1100,Resumen_Base!$C$8:$G$156,5,0)</f>
        <v>Food &amp; Wine</v>
      </c>
      <c r="F1100" s="152" t="s">
        <v>37</v>
      </c>
      <c r="G1100" s="152" t="s">
        <v>36</v>
      </c>
      <c r="H1100" s="152" t="str">
        <f t="shared" si="22"/>
        <v>CAR5250</v>
      </c>
      <c r="I1100" s="513">
        <v>35742.9</v>
      </c>
      <c r="J1100" s="513">
        <v>25.26</v>
      </c>
      <c r="K1100" s="513">
        <v>1415</v>
      </c>
      <c r="L1100" s="518" t="s">
        <v>3511</v>
      </c>
      <c r="M1100" s="152" t="s">
        <v>780</v>
      </c>
      <c r="N1100" s="152" t="s">
        <v>1407</v>
      </c>
      <c r="O1100" s="152" t="s">
        <v>3512</v>
      </c>
      <c r="P1100" s="152" t="s">
        <v>3489</v>
      </c>
      <c r="Q1100" s="152" t="s">
        <v>3513</v>
      </c>
      <c r="R1100" s="152" t="s">
        <v>3825</v>
      </c>
      <c r="S1100" s="152" t="s">
        <v>3515</v>
      </c>
      <c r="T1100" s="152" t="s">
        <v>786</v>
      </c>
    </row>
    <row r="1101" spans="3:20">
      <c r="C1101" s="152" t="s">
        <v>2821</v>
      </c>
      <c r="D1101" s="474" t="s">
        <v>676</v>
      </c>
      <c r="E1101" s="684" t="str">
        <f>+VLOOKUP(F1101,Resumen_Base!$C$8:$G$156,5,0)</f>
        <v>Food &amp; Wine</v>
      </c>
      <c r="F1101" s="152" t="s">
        <v>37</v>
      </c>
      <c r="G1101" s="152" t="s">
        <v>36</v>
      </c>
      <c r="H1101" s="152" t="str">
        <f t="shared" si="22"/>
        <v>CAR5250</v>
      </c>
      <c r="I1101" s="513">
        <v>175842.05</v>
      </c>
      <c r="J1101" s="513">
        <v>124.27</v>
      </c>
      <c r="K1101" s="513">
        <v>1415</v>
      </c>
      <c r="L1101" s="518" t="s">
        <v>3632</v>
      </c>
      <c r="M1101" s="152" t="s">
        <v>780</v>
      </c>
      <c r="N1101" s="152" t="s">
        <v>1407</v>
      </c>
      <c r="O1101" s="152" t="s">
        <v>3633</v>
      </c>
      <c r="P1101" s="152" t="s">
        <v>3489</v>
      </c>
      <c r="Q1101" s="152" t="s">
        <v>3634</v>
      </c>
      <c r="R1101" s="152" t="s">
        <v>3827</v>
      </c>
      <c r="S1101" s="152" t="s">
        <v>3636</v>
      </c>
      <c r="T1101" s="152" t="s">
        <v>786</v>
      </c>
    </row>
    <row r="1102" spans="3:20">
      <c r="C1102" s="152" t="s">
        <v>2821</v>
      </c>
      <c r="D1102" s="474" t="s">
        <v>676</v>
      </c>
      <c r="E1102" s="684" t="str">
        <f>+VLOOKUP(F1102,Resumen_Base!$C$8:$G$156,5,0)</f>
        <v>Food &amp; Wine</v>
      </c>
      <c r="F1102" s="152" t="s">
        <v>37</v>
      </c>
      <c r="G1102" s="152" t="s">
        <v>36</v>
      </c>
      <c r="H1102" s="152" t="str">
        <f t="shared" si="22"/>
        <v>CAR5250</v>
      </c>
      <c r="I1102" s="513">
        <v>8390.9500000000007</v>
      </c>
      <c r="J1102" s="513">
        <v>5.93</v>
      </c>
      <c r="K1102" s="513">
        <v>1415</v>
      </c>
      <c r="L1102" s="518" t="s">
        <v>3498</v>
      </c>
      <c r="M1102" s="152" t="s">
        <v>780</v>
      </c>
      <c r="N1102" s="152" t="s">
        <v>1407</v>
      </c>
      <c r="O1102" s="152" t="s">
        <v>3499</v>
      </c>
      <c r="P1102" s="152" t="s">
        <v>3489</v>
      </c>
      <c r="Q1102" s="152" t="s">
        <v>3500</v>
      </c>
      <c r="R1102" s="152" t="s">
        <v>3831</v>
      </c>
      <c r="S1102" s="152" t="s">
        <v>3502</v>
      </c>
      <c r="T1102" s="152" t="s">
        <v>786</v>
      </c>
    </row>
    <row r="1103" spans="3:20">
      <c r="C1103" s="152" t="s">
        <v>2821</v>
      </c>
      <c r="D1103" s="474" t="s">
        <v>676</v>
      </c>
      <c r="E1103" s="684" t="str">
        <f>+VLOOKUP(F1103,Resumen_Base!$C$8:$G$156,5,0)</f>
        <v>Food &amp; Wine</v>
      </c>
      <c r="F1103" s="152" t="s">
        <v>37</v>
      </c>
      <c r="G1103" s="152" t="s">
        <v>36</v>
      </c>
      <c r="H1103" s="152" t="str">
        <f t="shared" si="22"/>
        <v>CAR5250</v>
      </c>
      <c r="I1103" s="513">
        <v>50218</v>
      </c>
      <c r="J1103" s="513">
        <v>35.869999999999997</v>
      </c>
      <c r="K1103" s="513">
        <v>1400</v>
      </c>
      <c r="L1103" s="518" t="s">
        <v>3659</v>
      </c>
      <c r="M1103" s="152" t="s">
        <v>780</v>
      </c>
      <c r="N1103" s="152" t="s">
        <v>1407</v>
      </c>
      <c r="O1103" s="152" t="s">
        <v>3795</v>
      </c>
      <c r="P1103" s="152" t="s">
        <v>3489</v>
      </c>
      <c r="Q1103" s="152" t="s">
        <v>3796</v>
      </c>
      <c r="R1103" s="152" t="s">
        <v>3832</v>
      </c>
      <c r="S1103" s="152" t="s">
        <v>3798</v>
      </c>
      <c r="T1103" s="152" t="s">
        <v>786</v>
      </c>
    </row>
    <row r="1104" spans="3:20">
      <c r="C1104" s="152" t="s">
        <v>2821</v>
      </c>
      <c r="D1104" s="474" t="s">
        <v>676</v>
      </c>
      <c r="E1104" s="684" t="str">
        <f>+VLOOKUP(F1104,Resumen_Base!$C$8:$G$156,5,0)</f>
        <v>Food &amp; Wine</v>
      </c>
      <c r="F1104" s="152" t="s">
        <v>37</v>
      </c>
      <c r="G1104" s="152" t="s">
        <v>36</v>
      </c>
      <c r="H1104" s="152" t="str">
        <f t="shared" si="22"/>
        <v>CAR5250</v>
      </c>
      <c r="I1104" s="513">
        <v>151716.29999999999</v>
      </c>
      <c r="J1104" s="513">
        <v>107.22</v>
      </c>
      <c r="K1104" s="513">
        <v>1415</v>
      </c>
      <c r="L1104" s="518" t="s">
        <v>3498</v>
      </c>
      <c r="M1104" s="152" t="s">
        <v>780</v>
      </c>
      <c r="N1104" s="152" t="s">
        <v>1407</v>
      </c>
      <c r="O1104" s="152" t="s">
        <v>3499</v>
      </c>
      <c r="P1104" s="152" t="s">
        <v>3489</v>
      </c>
      <c r="Q1104" s="152" t="s">
        <v>3500</v>
      </c>
      <c r="R1104" s="152" t="s">
        <v>3840</v>
      </c>
      <c r="S1104" s="152" t="s">
        <v>3502</v>
      </c>
      <c r="T1104" s="152" t="s">
        <v>786</v>
      </c>
    </row>
    <row r="1105" spans="3:20">
      <c r="C1105" s="152" t="s">
        <v>2821</v>
      </c>
      <c r="D1105" s="474" t="s">
        <v>676</v>
      </c>
      <c r="E1105" s="684" t="str">
        <f>+VLOOKUP(F1105,Resumen_Base!$C$8:$G$156,5,0)</f>
        <v>Food &amp; Wine</v>
      </c>
      <c r="F1105" s="152" t="s">
        <v>37</v>
      </c>
      <c r="G1105" s="152" t="s">
        <v>36</v>
      </c>
      <c r="H1105" s="152" t="str">
        <f t="shared" si="22"/>
        <v>CAR5250</v>
      </c>
      <c r="I1105" s="513">
        <v>162763.5</v>
      </c>
      <c r="J1105" s="513">
        <v>114.22</v>
      </c>
      <c r="K1105" s="513">
        <v>1425</v>
      </c>
      <c r="L1105" s="518" t="s">
        <v>3504</v>
      </c>
      <c r="M1105" s="152" t="s">
        <v>780</v>
      </c>
      <c r="N1105" s="152" t="s">
        <v>1407</v>
      </c>
      <c r="O1105" s="152" t="s">
        <v>3505</v>
      </c>
      <c r="P1105" s="152" t="s">
        <v>3489</v>
      </c>
      <c r="Q1105" s="152" t="s">
        <v>3506</v>
      </c>
      <c r="R1105" s="152" t="s">
        <v>3841</v>
      </c>
      <c r="S1105" s="152" t="s">
        <v>3508</v>
      </c>
      <c r="T1105" s="152" t="s">
        <v>786</v>
      </c>
    </row>
    <row r="1106" spans="3:20">
      <c r="C1106" s="152" t="s">
        <v>2821</v>
      </c>
      <c r="D1106" s="474" t="s">
        <v>676</v>
      </c>
      <c r="E1106" s="684" t="str">
        <f>+VLOOKUP(F1106,Resumen_Base!$C$8:$G$156,5,0)</f>
        <v>Food &amp; Wine</v>
      </c>
      <c r="F1106" s="152" t="s">
        <v>37</v>
      </c>
      <c r="G1106" s="152" t="s">
        <v>36</v>
      </c>
      <c r="H1106" s="152" t="str">
        <f t="shared" si="22"/>
        <v>CAR5250</v>
      </c>
      <c r="I1106" s="513">
        <v>122411.65</v>
      </c>
      <c r="J1106" s="513">
        <v>86.51</v>
      </c>
      <c r="K1106" s="513">
        <v>1415</v>
      </c>
      <c r="L1106" s="518" t="s">
        <v>3511</v>
      </c>
      <c r="M1106" s="152" t="s">
        <v>780</v>
      </c>
      <c r="N1106" s="152" t="s">
        <v>1407</v>
      </c>
      <c r="O1106" s="152" t="s">
        <v>3512</v>
      </c>
      <c r="P1106" s="152" t="s">
        <v>3489</v>
      </c>
      <c r="Q1106" s="152" t="s">
        <v>3513</v>
      </c>
      <c r="R1106" s="152" t="s">
        <v>3841</v>
      </c>
      <c r="S1106" s="152" t="s">
        <v>3515</v>
      </c>
      <c r="T1106" s="152" t="s">
        <v>786</v>
      </c>
    </row>
    <row r="1107" spans="3:20">
      <c r="C1107" s="152" t="s">
        <v>2821</v>
      </c>
      <c r="D1107" s="474" t="s">
        <v>676</v>
      </c>
      <c r="E1107" s="684" t="str">
        <f>+VLOOKUP(F1107,Resumen_Base!$C$8:$G$156,5,0)</f>
        <v>Food &amp; Wine</v>
      </c>
      <c r="F1107" s="152" t="s">
        <v>37</v>
      </c>
      <c r="G1107" s="152" t="s">
        <v>36</v>
      </c>
      <c r="H1107" s="152" t="str">
        <f t="shared" si="22"/>
        <v>CAR5250</v>
      </c>
      <c r="I1107" s="513">
        <v>134679.70000000001</v>
      </c>
      <c r="J1107" s="513">
        <v>95.18</v>
      </c>
      <c r="K1107" s="513">
        <v>1415</v>
      </c>
      <c r="L1107" s="518" t="s">
        <v>3632</v>
      </c>
      <c r="M1107" s="152" t="s">
        <v>780</v>
      </c>
      <c r="N1107" s="152" t="s">
        <v>1407</v>
      </c>
      <c r="O1107" s="152" t="s">
        <v>3633</v>
      </c>
      <c r="P1107" s="152" t="s">
        <v>3489</v>
      </c>
      <c r="Q1107" s="152" t="s">
        <v>3634</v>
      </c>
      <c r="R1107" s="152" t="s">
        <v>3841</v>
      </c>
      <c r="S1107" s="152" t="s">
        <v>3636</v>
      </c>
      <c r="T1107" s="152" t="s">
        <v>786</v>
      </c>
    </row>
    <row r="1108" spans="3:20">
      <c r="C1108" s="152" t="s">
        <v>2821</v>
      </c>
      <c r="D1108" s="474" t="s">
        <v>676</v>
      </c>
      <c r="E1108" s="684" t="str">
        <f>+VLOOKUP(F1108,Resumen_Base!$C$8:$G$156,5,0)</f>
        <v>Food &amp; Wine</v>
      </c>
      <c r="F1108" s="152" t="s">
        <v>37</v>
      </c>
      <c r="G1108" s="152" t="s">
        <v>36</v>
      </c>
      <c r="H1108" s="152" t="str">
        <f t="shared" si="22"/>
        <v>CAR5250</v>
      </c>
      <c r="I1108" s="513">
        <v>102438</v>
      </c>
      <c r="J1108" s="513">
        <v>73.17</v>
      </c>
      <c r="K1108" s="513">
        <v>1400</v>
      </c>
      <c r="L1108" s="518" t="s">
        <v>3659</v>
      </c>
      <c r="M1108" s="152" t="s">
        <v>780</v>
      </c>
      <c r="N1108" s="152" t="s">
        <v>1407</v>
      </c>
      <c r="O1108" s="152" t="s">
        <v>3795</v>
      </c>
      <c r="P1108" s="152" t="s">
        <v>3489</v>
      </c>
      <c r="Q1108" s="152" t="s">
        <v>3796</v>
      </c>
      <c r="R1108" s="152" t="s">
        <v>3842</v>
      </c>
      <c r="S1108" s="152" t="s">
        <v>3798</v>
      </c>
      <c r="T1108" s="152" t="s">
        <v>786</v>
      </c>
    </row>
    <row r="1109" spans="3:20">
      <c r="C1109" s="152" t="s">
        <v>2821</v>
      </c>
      <c r="D1109" s="474" t="s">
        <v>676</v>
      </c>
      <c r="E1109" s="684" t="str">
        <f>+VLOOKUP(F1109,Resumen_Base!$C$8:$G$156,5,0)</f>
        <v>Food &amp; Wine</v>
      </c>
      <c r="F1109" s="152" t="s">
        <v>37</v>
      </c>
      <c r="G1109" s="152" t="s">
        <v>36</v>
      </c>
      <c r="H1109" s="152" t="str">
        <f t="shared" si="22"/>
        <v>CAR5250</v>
      </c>
      <c r="I1109" s="513">
        <v>12152</v>
      </c>
      <c r="J1109" s="513">
        <v>8.68</v>
      </c>
      <c r="K1109" s="513">
        <v>1400</v>
      </c>
      <c r="L1109" s="518" t="s">
        <v>3659</v>
      </c>
      <c r="M1109" s="152" t="s">
        <v>780</v>
      </c>
      <c r="N1109" s="152" t="s">
        <v>1407</v>
      </c>
      <c r="O1109" s="152" t="s">
        <v>3795</v>
      </c>
      <c r="P1109" s="152" t="s">
        <v>3489</v>
      </c>
      <c r="Q1109" s="152" t="s">
        <v>3796</v>
      </c>
      <c r="R1109" s="152" t="s">
        <v>3843</v>
      </c>
      <c r="S1109" s="152" t="s">
        <v>3798</v>
      </c>
      <c r="T1109" s="152" t="s">
        <v>786</v>
      </c>
    </row>
    <row r="1110" spans="3:20">
      <c r="C1110" s="152" t="s">
        <v>2821</v>
      </c>
      <c r="D1110" s="474" t="s">
        <v>676</v>
      </c>
      <c r="E1110" s="684" t="str">
        <f>+VLOOKUP(F1110,Resumen_Base!$C$8:$G$156,5,0)</f>
        <v>Food &amp; Wine</v>
      </c>
      <c r="F1110" s="152" t="s">
        <v>37</v>
      </c>
      <c r="G1110" s="152" t="s">
        <v>36</v>
      </c>
      <c r="H1110" s="152" t="str">
        <f t="shared" si="22"/>
        <v>CAR5250</v>
      </c>
      <c r="I1110" s="513">
        <v>10800</v>
      </c>
      <c r="J1110" s="513">
        <v>7.5</v>
      </c>
      <c r="K1110" s="513">
        <v>1440</v>
      </c>
      <c r="L1110" s="518" t="s">
        <v>3517</v>
      </c>
      <c r="M1110" s="152" t="s">
        <v>780</v>
      </c>
      <c r="N1110" s="152" t="s">
        <v>1407</v>
      </c>
      <c r="O1110" s="152" t="s">
        <v>3518</v>
      </c>
      <c r="P1110" s="152" t="s">
        <v>892</v>
      </c>
      <c r="Q1110" s="152" t="s">
        <v>3519</v>
      </c>
      <c r="R1110" s="152" t="s">
        <v>3860</v>
      </c>
      <c r="S1110" s="152" t="s">
        <v>3521</v>
      </c>
      <c r="T1110" s="152" t="s">
        <v>786</v>
      </c>
    </row>
    <row r="1111" spans="3:20">
      <c r="C1111" s="152" t="s">
        <v>2821</v>
      </c>
      <c r="D1111" s="474" t="s">
        <v>676</v>
      </c>
      <c r="E1111" s="684" t="str">
        <f>+VLOOKUP(F1111,Resumen_Base!$C$8:$G$156,5,0)</f>
        <v>Food &amp; Wine</v>
      </c>
      <c r="F1111" s="152" t="s">
        <v>37</v>
      </c>
      <c r="G1111" s="152" t="s">
        <v>36</v>
      </c>
      <c r="H1111" s="152" t="str">
        <f t="shared" si="22"/>
        <v>CAR5250</v>
      </c>
      <c r="I1111" s="513">
        <v>2721.75</v>
      </c>
      <c r="J1111" s="513">
        <v>1.91</v>
      </c>
      <c r="K1111" s="513">
        <v>1425</v>
      </c>
      <c r="L1111" s="518" t="s">
        <v>3504</v>
      </c>
      <c r="M1111" s="152" t="s">
        <v>780</v>
      </c>
      <c r="N1111" s="152" t="s">
        <v>1407</v>
      </c>
      <c r="O1111" s="152" t="s">
        <v>3665</v>
      </c>
      <c r="P1111" s="152" t="s">
        <v>3489</v>
      </c>
      <c r="Q1111" s="152" t="s">
        <v>3666</v>
      </c>
      <c r="R1111" s="152" t="s">
        <v>1515</v>
      </c>
      <c r="S1111" s="152" t="s">
        <v>3668</v>
      </c>
      <c r="T1111" s="152" t="s">
        <v>786</v>
      </c>
    </row>
    <row r="1112" spans="3:20">
      <c r="C1112" s="152" t="s">
        <v>2821</v>
      </c>
      <c r="D1112" s="474" t="s">
        <v>676</v>
      </c>
      <c r="E1112" s="684" t="str">
        <f>+VLOOKUP(F1112,Resumen_Base!$C$8:$G$156,5,0)</f>
        <v>Food &amp; Wine</v>
      </c>
      <c r="F1112" s="152" t="s">
        <v>37</v>
      </c>
      <c r="G1112" s="152" t="s">
        <v>36</v>
      </c>
      <c r="H1112" s="152" t="str">
        <f t="shared" si="22"/>
        <v>CAR5250</v>
      </c>
      <c r="I1112" s="513">
        <v>2664.9</v>
      </c>
      <c r="J1112" s="513">
        <v>1.89</v>
      </c>
      <c r="K1112" s="513">
        <v>1410</v>
      </c>
      <c r="L1112" s="518" t="s">
        <v>3498</v>
      </c>
      <c r="M1112" s="152" t="s">
        <v>780</v>
      </c>
      <c r="N1112" s="152" t="s">
        <v>1407</v>
      </c>
      <c r="O1112" s="152" t="s">
        <v>3522</v>
      </c>
      <c r="P1112" s="152" t="s">
        <v>3489</v>
      </c>
      <c r="Q1112" s="152" t="s">
        <v>3523</v>
      </c>
      <c r="R1112" s="152" t="s">
        <v>1515</v>
      </c>
      <c r="S1112" s="152" t="s">
        <v>3525</v>
      </c>
      <c r="T1112" s="152" t="s">
        <v>786</v>
      </c>
    </row>
    <row r="1113" spans="3:20">
      <c r="C1113" s="152" t="s">
        <v>2821</v>
      </c>
      <c r="D1113" s="474" t="s">
        <v>676</v>
      </c>
      <c r="E1113" s="684" t="str">
        <f>+VLOOKUP(F1113,Resumen_Base!$C$8:$G$156,5,0)</f>
        <v>Food &amp; Wine</v>
      </c>
      <c r="F1113" s="152" t="s">
        <v>37</v>
      </c>
      <c r="G1113" s="152" t="s">
        <v>36</v>
      </c>
      <c r="H1113" s="152" t="str">
        <f t="shared" ref="H1113:H1176" si="23">+D1113&amp;F1113</f>
        <v>CAR5250</v>
      </c>
      <c r="I1113" s="513">
        <v>2664.9</v>
      </c>
      <c r="J1113" s="513">
        <v>1.89</v>
      </c>
      <c r="K1113" s="513">
        <v>1410</v>
      </c>
      <c r="L1113" s="518" t="s">
        <v>3498</v>
      </c>
      <c r="M1113" s="152" t="s">
        <v>780</v>
      </c>
      <c r="N1113" s="152" t="s">
        <v>1407</v>
      </c>
      <c r="O1113" s="152" t="s">
        <v>3522</v>
      </c>
      <c r="P1113" s="152" t="s">
        <v>3489</v>
      </c>
      <c r="Q1113" s="152" t="s">
        <v>3523</v>
      </c>
      <c r="R1113" s="152" t="s">
        <v>1515</v>
      </c>
      <c r="S1113" s="152" t="s">
        <v>3525</v>
      </c>
      <c r="T1113" s="152" t="s">
        <v>786</v>
      </c>
    </row>
    <row r="1114" spans="3:20">
      <c r="C1114" s="152" t="s">
        <v>2821</v>
      </c>
      <c r="D1114" s="474" t="s">
        <v>676</v>
      </c>
      <c r="E1114" s="684" t="str">
        <f>+VLOOKUP(F1114,Resumen_Base!$C$8:$G$156,5,0)</f>
        <v>Food &amp; Wine</v>
      </c>
      <c r="F1114" s="152" t="s">
        <v>37</v>
      </c>
      <c r="G1114" s="152" t="s">
        <v>36</v>
      </c>
      <c r="H1114" s="152" t="str">
        <f t="shared" si="23"/>
        <v>CAR5250</v>
      </c>
      <c r="I1114" s="513">
        <v>2664.9</v>
      </c>
      <c r="J1114" s="513">
        <v>1.89</v>
      </c>
      <c r="K1114" s="513">
        <v>1410</v>
      </c>
      <c r="L1114" s="518" t="s">
        <v>3498</v>
      </c>
      <c r="M1114" s="152" t="s">
        <v>780</v>
      </c>
      <c r="N1114" s="152" t="s">
        <v>1407</v>
      </c>
      <c r="O1114" s="152" t="s">
        <v>3522</v>
      </c>
      <c r="P1114" s="152" t="s">
        <v>3489</v>
      </c>
      <c r="Q1114" s="152" t="s">
        <v>3523</v>
      </c>
      <c r="R1114" s="152" t="s">
        <v>1515</v>
      </c>
      <c r="S1114" s="152" t="s">
        <v>3525</v>
      </c>
      <c r="T1114" s="152" t="s">
        <v>786</v>
      </c>
    </row>
    <row r="1115" spans="3:20">
      <c r="C1115" s="152" t="s">
        <v>2821</v>
      </c>
      <c r="D1115" s="474" t="s">
        <v>676</v>
      </c>
      <c r="E1115" s="684" t="str">
        <f>+VLOOKUP(F1115,Resumen_Base!$C$8:$G$156,5,0)</f>
        <v>Food &amp; Wine</v>
      </c>
      <c r="F1115" s="152" t="s">
        <v>37</v>
      </c>
      <c r="G1115" s="152" t="s">
        <v>36</v>
      </c>
      <c r="H1115" s="152" t="str">
        <f t="shared" si="23"/>
        <v>CAR5250</v>
      </c>
      <c r="I1115" s="513">
        <v>2688.5</v>
      </c>
      <c r="J1115" s="513">
        <v>1.9</v>
      </c>
      <c r="K1115" s="513">
        <v>1415</v>
      </c>
      <c r="L1115" s="518" t="s">
        <v>3498</v>
      </c>
      <c r="M1115" s="152" t="s">
        <v>780</v>
      </c>
      <c r="N1115" s="152" t="s">
        <v>1407</v>
      </c>
      <c r="O1115" s="152" t="s">
        <v>3522</v>
      </c>
      <c r="P1115" s="152" t="s">
        <v>3489</v>
      </c>
      <c r="Q1115" s="152" t="s">
        <v>3523</v>
      </c>
      <c r="R1115" s="152" t="s">
        <v>1515</v>
      </c>
      <c r="S1115" s="152" t="s">
        <v>3525</v>
      </c>
      <c r="T1115" s="152" t="s">
        <v>786</v>
      </c>
    </row>
    <row r="1116" spans="3:20">
      <c r="C1116" s="152" t="s">
        <v>2821</v>
      </c>
      <c r="D1116" s="474" t="s">
        <v>676</v>
      </c>
      <c r="E1116" s="684" t="str">
        <f>+VLOOKUP(F1116,Resumen_Base!$C$8:$G$156,5,0)</f>
        <v>Food &amp; Wine</v>
      </c>
      <c r="F1116" s="152" t="s">
        <v>37</v>
      </c>
      <c r="G1116" s="152" t="s">
        <v>36</v>
      </c>
      <c r="H1116" s="152" t="str">
        <f t="shared" si="23"/>
        <v>CAR5250</v>
      </c>
      <c r="I1116" s="513">
        <v>2744</v>
      </c>
      <c r="J1116" s="513">
        <v>1.96</v>
      </c>
      <c r="K1116" s="513">
        <v>1400</v>
      </c>
      <c r="L1116" s="518" t="s">
        <v>3659</v>
      </c>
      <c r="M1116" s="152" t="s">
        <v>780</v>
      </c>
      <c r="N1116" s="152" t="s">
        <v>1407</v>
      </c>
      <c r="O1116" s="152" t="s">
        <v>3660</v>
      </c>
      <c r="P1116" s="152" t="s">
        <v>3489</v>
      </c>
      <c r="Q1116" s="152" t="s">
        <v>3661</v>
      </c>
      <c r="R1116" s="152" t="s">
        <v>1515</v>
      </c>
      <c r="S1116" s="152" t="s">
        <v>3663</v>
      </c>
      <c r="T1116" s="152" t="s">
        <v>786</v>
      </c>
    </row>
    <row r="1117" spans="3:20">
      <c r="C1117" s="152" t="s">
        <v>2821</v>
      </c>
      <c r="D1117" s="474" t="s">
        <v>676</v>
      </c>
      <c r="E1117" s="684" t="str">
        <f>+VLOOKUP(F1117,Resumen_Base!$C$8:$G$156,5,0)</f>
        <v>Food &amp; Wine</v>
      </c>
      <c r="F1117" s="152" t="s">
        <v>37</v>
      </c>
      <c r="G1117" s="152" t="s">
        <v>36</v>
      </c>
      <c r="H1117" s="152" t="str">
        <f t="shared" si="23"/>
        <v>CAR5250</v>
      </c>
      <c r="I1117" s="513">
        <v>2744</v>
      </c>
      <c r="J1117" s="513">
        <v>1.96</v>
      </c>
      <c r="K1117" s="513">
        <v>1400</v>
      </c>
      <c r="L1117" s="518" t="s">
        <v>3659</v>
      </c>
      <c r="M1117" s="152" t="s">
        <v>780</v>
      </c>
      <c r="N1117" s="152" t="s">
        <v>1407</v>
      </c>
      <c r="O1117" s="152" t="s">
        <v>3660</v>
      </c>
      <c r="P1117" s="152" t="s">
        <v>3489</v>
      </c>
      <c r="Q1117" s="152" t="s">
        <v>3661</v>
      </c>
      <c r="R1117" s="152" t="s">
        <v>1515</v>
      </c>
      <c r="S1117" s="152" t="s">
        <v>3663</v>
      </c>
      <c r="T1117" s="152" t="s">
        <v>786</v>
      </c>
    </row>
    <row r="1118" spans="3:20">
      <c r="C1118" s="152" t="s">
        <v>2821</v>
      </c>
      <c r="D1118" s="474" t="s">
        <v>676</v>
      </c>
      <c r="E1118" s="684" t="str">
        <f>+VLOOKUP(F1118,Resumen_Base!$C$8:$G$156,5,0)</f>
        <v>Food &amp; Wine</v>
      </c>
      <c r="F1118" s="152" t="s">
        <v>37</v>
      </c>
      <c r="G1118" s="152" t="s">
        <v>36</v>
      </c>
      <c r="H1118" s="152" t="str">
        <f t="shared" si="23"/>
        <v>CAR5250</v>
      </c>
      <c r="I1118" s="513">
        <v>2744</v>
      </c>
      <c r="J1118" s="513">
        <v>1.96</v>
      </c>
      <c r="K1118" s="513">
        <v>1400</v>
      </c>
      <c r="L1118" s="518" t="s">
        <v>3659</v>
      </c>
      <c r="M1118" s="152" t="s">
        <v>780</v>
      </c>
      <c r="N1118" s="152" t="s">
        <v>1407</v>
      </c>
      <c r="O1118" s="152" t="s">
        <v>3660</v>
      </c>
      <c r="P1118" s="152" t="s">
        <v>3489</v>
      </c>
      <c r="Q1118" s="152" t="s">
        <v>3661</v>
      </c>
      <c r="R1118" s="152" t="s">
        <v>1515</v>
      </c>
      <c r="S1118" s="152" t="s">
        <v>3663</v>
      </c>
      <c r="T1118" s="152" t="s">
        <v>786</v>
      </c>
    </row>
    <row r="1119" spans="3:20">
      <c r="C1119" s="152" t="s">
        <v>2821</v>
      </c>
      <c r="D1119" s="474" t="s">
        <v>676</v>
      </c>
      <c r="E1119" s="684" t="str">
        <f>+VLOOKUP(F1119,Resumen_Base!$C$8:$G$156,5,0)</f>
        <v>Food &amp; Wine</v>
      </c>
      <c r="F1119" s="152" t="s">
        <v>37</v>
      </c>
      <c r="G1119" s="152" t="s">
        <v>36</v>
      </c>
      <c r="H1119" s="152" t="str">
        <f t="shared" si="23"/>
        <v>CAR5250</v>
      </c>
      <c r="I1119" s="513">
        <v>2688.5</v>
      </c>
      <c r="J1119" s="513">
        <v>1.9</v>
      </c>
      <c r="K1119" s="513">
        <v>1415</v>
      </c>
      <c r="L1119" s="518" t="s">
        <v>3498</v>
      </c>
      <c r="M1119" s="152" t="s">
        <v>780</v>
      </c>
      <c r="N1119" s="152" t="s">
        <v>1407</v>
      </c>
      <c r="O1119" s="152" t="s">
        <v>3522</v>
      </c>
      <c r="P1119" s="152" t="s">
        <v>3489</v>
      </c>
      <c r="Q1119" s="152" t="s">
        <v>3523</v>
      </c>
      <c r="R1119" s="152" t="s">
        <v>3872</v>
      </c>
      <c r="S1119" s="152" t="s">
        <v>3525</v>
      </c>
      <c r="T1119" s="152" t="s">
        <v>786</v>
      </c>
    </row>
    <row r="1120" spans="3:20">
      <c r="C1120" s="152" t="s">
        <v>2821</v>
      </c>
      <c r="D1120" s="474" t="s">
        <v>676</v>
      </c>
      <c r="E1120" s="684" t="str">
        <f>+VLOOKUP(F1120,Resumen_Base!$C$8:$G$156,5,0)</f>
        <v>Food &amp; Wine</v>
      </c>
      <c r="F1120" s="152" t="s">
        <v>37</v>
      </c>
      <c r="G1120" s="152" t="s">
        <v>36</v>
      </c>
      <c r="H1120" s="152" t="str">
        <f t="shared" si="23"/>
        <v>CAR5250</v>
      </c>
      <c r="I1120" s="513">
        <v>2284630.7000000002</v>
      </c>
      <c r="J1120" s="513">
        <v>1614.58</v>
      </c>
      <c r="K1120" s="513">
        <v>1415</v>
      </c>
      <c r="L1120" s="518" t="s">
        <v>3498</v>
      </c>
      <c r="M1120" s="152" t="s">
        <v>780</v>
      </c>
      <c r="N1120" s="152" t="s">
        <v>1407</v>
      </c>
      <c r="O1120" s="152" t="s">
        <v>3522</v>
      </c>
      <c r="P1120" s="152" t="s">
        <v>3489</v>
      </c>
      <c r="Q1120" s="152" t="s">
        <v>3523</v>
      </c>
      <c r="R1120" s="152" t="s">
        <v>3874</v>
      </c>
      <c r="S1120" s="152" t="s">
        <v>3525</v>
      </c>
      <c r="T1120" s="152" t="s">
        <v>786</v>
      </c>
    </row>
    <row r="1121" spans="3:20">
      <c r="C1121" s="152" t="s">
        <v>2821</v>
      </c>
      <c r="D1121" s="474" t="s">
        <v>676</v>
      </c>
      <c r="E1121" s="684" t="str">
        <f>+VLOOKUP(F1121,Resumen_Base!$C$8:$G$156,5,0)</f>
        <v>Food &amp; Wine</v>
      </c>
      <c r="F1121" s="152" t="s">
        <v>37</v>
      </c>
      <c r="G1121" s="152" t="s">
        <v>36</v>
      </c>
      <c r="H1121" s="152" t="str">
        <f t="shared" si="23"/>
        <v>CAR5250</v>
      </c>
      <c r="I1121" s="513">
        <v>1843465.5</v>
      </c>
      <c r="J1121" s="513">
        <v>1293.6600000000001</v>
      </c>
      <c r="K1121" s="513">
        <v>1425</v>
      </c>
      <c r="L1121" s="518" t="s">
        <v>3504</v>
      </c>
      <c r="M1121" s="152" t="s">
        <v>780</v>
      </c>
      <c r="N1121" s="152" t="s">
        <v>1407</v>
      </c>
      <c r="O1121" s="152" t="s">
        <v>3665</v>
      </c>
      <c r="P1121" s="152" t="s">
        <v>3489</v>
      </c>
      <c r="Q1121" s="152" t="s">
        <v>3666</v>
      </c>
      <c r="R1121" s="152" t="s">
        <v>3875</v>
      </c>
      <c r="S1121" s="152" t="s">
        <v>3668</v>
      </c>
      <c r="T1121" s="152" t="s">
        <v>786</v>
      </c>
    </row>
    <row r="1122" spans="3:20">
      <c r="C1122" s="152" t="s">
        <v>2821</v>
      </c>
      <c r="D1122" s="474" t="s">
        <v>676</v>
      </c>
      <c r="E1122" s="684" t="str">
        <f>+VLOOKUP(F1122,Resumen_Base!$C$8:$G$156,5,0)</f>
        <v>Food &amp; Wine</v>
      </c>
      <c r="F1122" s="152" t="s">
        <v>37</v>
      </c>
      <c r="G1122" s="152" t="s">
        <v>36</v>
      </c>
      <c r="H1122" s="152" t="str">
        <f t="shared" si="23"/>
        <v>CAR5250</v>
      </c>
      <c r="I1122" s="513">
        <v>2026690.35</v>
      </c>
      <c r="J1122" s="513">
        <v>1432.29</v>
      </c>
      <c r="K1122" s="513">
        <v>1415</v>
      </c>
      <c r="L1122" s="518" t="s">
        <v>3498</v>
      </c>
      <c r="M1122" s="152" t="s">
        <v>780</v>
      </c>
      <c r="N1122" s="152" t="s">
        <v>1407</v>
      </c>
      <c r="O1122" s="152" t="s">
        <v>3522</v>
      </c>
      <c r="P1122" s="152" t="s">
        <v>3489</v>
      </c>
      <c r="Q1122" s="152" t="s">
        <v>3523</v>
      </c>
      <c r="R1122" s="152" t="s">
        <v>3876</v>
      </c>
      <c r="S1122" s="152" t="s">
        <v>3525</v>
      </c>
      <c r="T1122" s="152" t="s">
        <v>786</v>
      </c>
    </row>
    <row r="1123" spans="3:20">
      <c r="C1123" s="152" t="s">
        <v>2821</v>
      </c>
      <c r="D1123" s="474" t="s">
        <v>676</v>
      </c>
      <c r="E1123" s="684" t="str">
        <f>+VLOOKUP(F1123,Resumen_Base!$C$8:$G$156,5,0)</f>
        <v>Food &amp; Wine</v>
      </c>
      <c r="F1123" s="152" t="s">
        <v>37</v>
      </c>
      <c r="G1123" s="152" t="s">
        <v>36</v>
      </c>
      <c r="H1123" s="152" t="str">
        <f t="shared" si="23"/>
        <v>CAR5250</v>
      </c>
      <c r="I1123" s="513">
        <v>6433463.4000000004</v>
      </c>
      <c r="J1123" s="513">
        <v>4562.74</v>
      </c>
      <c r="K1123" s="513">
        <v>1410</v>
      </c>
      <c r="L1123" s="518" t="s">
        <v>3498</v>
      </c>
      <c r="M1123" s="152" t="s">
        <v>780</v>
      </c>
      <c r="N1123" s="152" t="s">
        <v>1407</v>
      </c>
      <c r="O1123" s="152" t="s">
        <v>3522</v>
      </c>
      <c r="P1123" s="152" t="s">
        <v>3489</v>
      </c>
      <c r="Q1123" s="152" t="s">
        <v>3523</v>
      </c>
      <c r="R1123" s="152" t="s">
        <v>3877</v>
      </c>
      <c r="S1123" s="152" t="s">
        <v>3525</v>
      </c>
      <c r="T1123" s="152" t="s">
        <v>786</v>
      </c>
    </row>
    <row r="1124" spans="3:20">
      <c r="C1124" s="152" t="s">
        <v>2821</v>
      </c>
      <c r="D1124" s="474" t="s">
        <v>676</v>
      </c>
      <c r="E1124" s="684" t="str">
        <f>+VLOOKUP(F1124,Resumen_Base!$C$8:$G$156,5,0)</f>
        <v>Food &amp; Wine</v>
      </c>
      <c r="F1124" s="152" t="s">
        <v>37</v>
      </c>
      <c r="G1124" s="152" t="s">
        <v>36</v>
      </c>
      <c r="H1124" s="152" t="str">
        <f t="shared" si="23"/>
        <v>CAR5250</v>
      </c>
      <c r="I1124" s="513">
        <v>6433463.4000000004</v>
      </c>
      <c r="J1124" s="513">
        <v>4562.74</v>
      </c>
      <c r="K1124" s="513">
        <v>1410</v>
      </c>
      <c r="L1124" s="518" t="s">
        <v>3498</v>
      </c>
      <c r="M1124" s="152" t="s">
        <v>780</v>
      </c>
      <c r="N1124" s="152" t="s">
        <v>1407</v>
      </c>
      <c r="O1124" s="152" t="s">
        <v>3522</v>
      </c>
      <c r="P1124" s="152" t="s">
        <v>3489</v>
      </c>
      <c r="Q1124" s="152" t="s">
        <v>3523</v>
      </c>
      <c r="R1124" s="152" t="s">
        <v>3878</v>
      </c>
      <c r="S1124" s="152" t="s">
        <v>3525</v>
      </c>
      <c r="T1124" s="152" t="s">
        <v>786</v>
      </c>
    </row>
    <row r="1125" spans="3:20">
      <c r="C1125" s="152" t="s">
        <v>2821</v>
      </c>
      <c r="D1125" s="474" t="s">
        <v>676</v>
      </c>
      <c r="E1125" s="684" t="str">
        <f>+VLOOKUP(F1125,Resumen_Base!$C$8:$G$156,5,0)</f>
        <v>Food &amp; Wine</v>
      </c>
      <c r="F1125" s="152" t="s">
        <v>37</v>
      </c>
      <c r="G1125" s="152" t="s">
        <v>36</v>
      </c>
      <c r="H1125" s="152" t="str">
        <f t="shared" si="23"/>
        <v>CAR5250</v>
      </c>
      <c r="I1125" s="513">
        <v>12355.2</v>
      </c>
      <c r="J1125" s="513">
        <v>8.58</v>
      </c>
      <c r="K1125" s="513">
        <v>1440</v>
      </c>
      <c r="L1125" s="518" t="s">
        <v>3637</v>
      </c>
      <c r="M1125" s="152" t="s">
        <v>780</v>
      </c>
      <c r="N1125" s="152" t="s">
        <v>1407</v>
      </c>
      <c r="O1125" s="152" t="s">
        <v>3638</v>
      </c>
      <c r="P1125" s="152" t="s">
        <v>2865</v>
      </c>
      <c r="Q1125" s="152" t="s">
        <v>3639</v>
      </c>
      <c r="R1125" s="152" t="s">
        <v>3892</v>
      </c>
      <c r="S1125" s="152" t="s">
        <v>3641</v>
      </c>
      <c r="T1125" s="152" t="s">
        <v>786</v>
      </c>
    </row>
    <row r="1126" spans="3:20">
      <c r="C1126" s="152" t="s">
        <v>2821</v>
      </c>
      <c r="D1126" s="474" t="s">
        <v>676</v>
      </c>
      <c r="E1126" s="684" t="str">
        <f>+VLOOKUP(F1126,Resumen_Base!$C$8:$G$156,5,0)</f>
        <v>Food &amp; Wine</v>
      </c>
      <c r="F1126" s="152" t="s">
        <v>37</v>
      </c>
      <c r="G1126" s="152" t="s">
        <v>36</v>
      </c>
      <c r="H1126" s="152" t="str">
        <f t="shared" si="23"/>
        <v>CAR5250</v>
      </c>
      <c r="I1126" s="513">
        <v>409472</v>
      </c>
      <c r="J1126" s="513">
        <v>292.48</v>
      </c>
      <c r="K1126" s="513">
        <v>1400</v>
      </c>
      <c r="L1126" s="518" t="s">
        <v>3659</v>
      </c>
      <c r="M1126" s="152" t="s">
        <v>780</v>
      </c>
      <c r="N1126" s="152" t="s">
        <v>1407</v>
      </c>
      <c r="O1126" s="152" t="s">
        <v>3660</v>
      </c>
      <c r="P1126" s="152" t="s">
        <v>3489</v>
      </c>
      <c r="Q1126" s="152" t="s">
        <v>3661</v>
      </c>
      <c r="R1126" s="152" t="s">
        <v>3906</v>
      </c>
      <c r="S1126" s="152" t="s">
        <v>3663</v>
      </c>
      <c r="T1126" s="152" t="s">
        <v>786</v>
      </c>
    </row>
    <row r="1127" spans="3:20">
      <c r="C1127" s="152" t="s">
        <v>2821</v>
      </c>
      <c r="D1127" s="474" t="s">
        <v>676</v>
      </c>
      <c r="E1127" s="684" t="str">
        <f>+VLOOKUP(F1127,Resumen_Base!$C$8:$G$156,5,0)</f>
        <v>Food &amp; Wine</v>
      </c>
      <c r="F1127" s="152" t="s">
        <v>37</v>
      </c>
      <c r="G1127" s="152" t="s">
        <v>36</v>
      </c>
      <c r="H1127" s="152" t="str">
        <f t="shared" si="23"/>
        <v>CAR5250</v>
      </c>
      <c r="I1127" s="513">
        <v>35375</v>
      </c>
      <c r="J1127" s="513">
        <v>25</v>
      </c>
      <c r="K1127" s="513">
        <v>1415</v>
      </c>
      <c r="L1127" s="518" t="s">
        <v>3498</v>
      </c>
      <c r="M1127" s="152" t="s">
        <v>780</v>
      </c>
      <c r="N1127" s="152" t="s">
        <v>1407</v>
      </c>
      <c r="O1127" s="152" t="s">
        <v>3499</v>
      </c>
      <c r="P1127" s="152" t="s">
        <v>3489</v>
      </c>
      <c r="Q1127" s="152" t="s">
        <v>3500</v>
      </c>
      <c r="R1127" s="152" t="s">
        <v>1627</v>
      </c>
      <c r="S1127" s="152" t="s">
        <v>3502</v>
      </c>
      <c r="T1127" s="152" t="s">
        <v>786</v>
      </c>
    </row>
    <row r="1128" spans="3:20">
      <c r="C1128" s="152" t="s">
        <v>2821</v>
      </c>
      <c r="D1128" s="474" t="s">
        <v>676</v>
      </c>
      <c r="E1128" s="684" t="str">
        <f>+VLOOKUP(F1128,Resumen_Base!$C$8:$G$156,5,0)</f>
        <v>Food &amp; Wine</v>
      </c>
      <c r="F1128" s="152" t="s">
        <v>37</v>
      </c>
      <c r="G1128" s="152" t="s">
        <v>36</v>
      </c>
      <c r="H1128" s="152" t="str">
        <f t="shared" si="23"/>
        <v>CAR5250</v>
      </c>
      <c r="I1128" s="513">
        <v>35616.6</v>
      </c>
      <c r="J1128" s="513">
        <v>25.26</v>
      </c>
      <c r="K1128" s="513">
        <v>1410</v>
      </c>
      <c r="L1128" s="518" t="s">
        <v>3498</v>
      </c>
      <c r="M1128" s="152" t="s">
        <v>780</v>
      </c>
      <c r="N1128" s="152" t="s">
        <v>1407</v>
      </c>
      <c r="O1128" s="152" t="s">
        <v>3499</v>
      </c>
      <c r="P1128" s="152" t="s">
        <v>3489</v>
      </c>
      <c r="Q1128" s="152" t="s">
        <v>3500</v>
      </c>
      <c r="R1128" s="152" t="s">
        <v>1627</v>
      </c>
      <c r="S1128" s="152" t="s">
        <v>3502</v>
      </c>
      <c r="T1128" s="152" t="s">
        <v>786</v>
      </c>
    </row>
    <row r="1129" spans="3:20">
      <c r="C1129" s="152" t="s">
        <v>2821</v>
      </c>
      <c r="D1129" s="474" t="s">
        <v>676</v>
      </c>
      <c r="E1129" s="684" t="str">
        <f>+VLOOKUP(F1129,Resumen_Base!$C$8:$G$156,5,0)</f>
        <v>Food &amp; Wine</v>
      </c>
      <c r="F1129" s="152" t="s">
        <v>37</v>
      </c>
      <c r="G1129" s="152" t="s">
        <v>36</v>
      </c>
      <c r="H1129" s="152" t="str">
        <f t="shared" si="23"/>
        <v>CAR5250</v>
      </c>
      <c r="I1129" s="513">
        <v>50580</v>
      </c>
      <c r="J1129" s="513">
        <v>36</v>
      </c>
      <c r="K1129" s="513">
        <v>1405</v>
      </c>
      <c r="L1129" s="518" t="s">
        <v>3493</v>
      </c>
      <c r="M1129" s="152" t="s">
        <v>780</v>
      </c>
      <c r="N1129" s="152" t="s">
        <v>1407</v>
      </c>
      <c r="O1129" s="152" t="s">
        <v>3677</v>
      </c>
      <c r="P1129" s="152" t="s">
        <v>3489</v>
      </c>
      <c r="Q1129" s="152" t="s">
        <v>3678</v>
      </c>
      <c r="R1129" s="152" t="s">
        <v>1627</v>
      </c>
      <c r="S1129" s="152" t="s">
        <v>3679</v>
      </c>
      <c r="T1129" s="152" t="s">
        <v>786</v>
      </c>
    </row>
    <row r="1130" spans="3:20">
      <c r="C1130" s="152" t="s">
        <v>2821</v>
      </c>
      <c r="D1130" s="474" t="s">
        <v>676</v>
      </c>
      <c r="E1130" s="684" t="str">
        <f>+VLOOKUP(F1130,Resumen_Base!$C$8:$G$156,5,0)</f>
        <v>Food &amp; Wine</v>
      </c>
      <c r="F1130" s="152" t="s">
        <v>37</v>
      </c>
      <c r="G1130" s="152" t="s">
        <v>36</v>
      </c>
      <c r="H1130" s="152" t="str">
        <f t="shared" si="23"/>
        <v>CAR5250</v>
      </c>
      <c r="I1130" s="513">
        <v>50580</v>
      </c>
      <c r="J1130" s="513">
        <v>36</v>
      </c>
      <c r="K1130" s="513">
        <v>1405</v>
      </c>
      <c r="L1130" s="518" t="s">
        <v>3493</v>
      </c>
      <c r="M1130" s="152" t="s">
        <v>780</v>
      </c>
      <c r="N1130" s="152" t="s">
        <v>1407</v>
      </c>
      <c r="O1130" s="152" t="s">
        <v>3677</v>
      </c>
      <c r="P1130" s="152" t="s">
        <v>3489</v>
      </c>
      <c r="Q1130" s="152" t="s">
        <v>3678</v>
      </c>
      <c r="R1130" s="152" t="s">
        <v>1627</v>
      </c>
      <c r="S1130" s="152" t="s">
        <v>3679</v>
      </c>
      <c r="T1130" s="152" t="s">
        <v>786</v>
      </c>
    </row>
    <row r="1131" spans="3:20">
      <c r="C1131" s="152" t="s">
        <v>2821</v>
      </c>
      <c r="D1131" s="474" t="s">
        <v>676</v>
      </c>
      <c r="E1131" s="684" t="str">
        <f>+VLOOKUP(F1131,Resumen_Base!$C$8:$G$156,5,0)</f>
        <v>Food &amp; Wine</v>
      </c>
      <c r="F1131" s="152" t="s">
        <v>37</v>
      </c>
      <c r="G1131" s="152" t="s">
        <v>36</v>
      </c>
      <c r="H1131" s="152" t="str">
        <f t="shared" si="23"/>
        <v>CAR5250</v>
      </c>
      <c r="I1131" s="513">
        <v>51872.6</v>
      </c>
      <c r="J1131" s="513">
        <v>36.92</v>
      </c>
      <c r="K1131" s="513">
        <v>1405</v>
      </c>
      <c r="L1131" s="518" t="s">
        <v>3493</v>
      </c>
      <c r="M1131" s="152" t="s">
        <v>780</v>
      </c>
      <c r="N1131" s="152" t="s">
        <v>1407</v>
      </c>
      <c r="O1131" s="152" t="s">
        <v>3677</v>
      </c>
      <c r="P1131" s="152" t="s">
        <v>3489</v>
      </c>
      <c r="Q1131" s="152" t="s">
        <v>3678</v>
      </c>
      <c r="R1131" s="152" t="s">
        <v>1627</v>
      </c>
      <c r="S1131" s="152" t="s">
        <v>3679</v>
      </c>
      <c r="T1131" s="152" t="s">
        <v>786</v>
      </c>
    </row>
    <row r="1132" spans="3:20">
      <c r="C1132" s="152" t="s">
        <v>2821</v>
      </c>
      <c r="D1132" s="474" t="s">
        <v>676</v>
      </c>
      <c r="E1132" s="684" t="str">
        <f>+VLOOKUP(F1132,Resumen_Base!$C$8:$G$156,5,0)</f>
        <v>Food &amp; Wine</v>
      </c>
      <c r="F1132" s="152" t="s">
        <v>37</v>
      </c>
      <c r="G1132" s="152" t="s">
        <v>36</v>
      </c>
      <c r="H1132" s="152" t="str">
        <f t="shared" si="23"/>
        <v>CAR5250</v>
      </c>
      <c r="I1132" s="513">
        <v>35910</v>
      </c>
      <c r="J1132" s="513">
        <v>25.2</v>
      </c>
      <c r="K1132" s="513">
        <v>1425</v>
      </c>
      <c r="L1132" s="518" t="s">
        <v>3637</v>
      </c>
      <c r="M1132" s="152" t="s">
        <v>780</v>
      </c>
      <c r="N1132" s="152" t="s">
        <v>1407</v>
      </c>
      <c r="O1132" s="152" t="s">
        <v>3638</v>
      </c>
      <c r="P1132" s="152" t="s">
        <v>2865</v>
      </c>
      <c r="Q1132" s="152" t="s">
        <v>3639</v>
      </c>
      <c r="R1132" s="152" t="s">
        <v>3907</v>
      </c>
      <c r="S1132" s="152" t="s">
        <v>3641</v>
      </c>
      <c r="T1132" s="152" t="s">
        <v>786</v>
      </c>
    </row>
    <row r="1133" spans="3:20">
      <c r="C1133" s="152" t="s">
        <v>2821</v>
      </c>
      <c r="D1133" s="474" t="s">
        <v>676</v>
      </c>
      <c r="E1133" s="684" t="str">
        <f>+VLOOKUP(F1133,Resumen_Base!$C$8:$G$156,5,0)</f>
        <v>Food &amp; Wine</v>
      </c>
      <c r="F1133" s="152" t="s">
        <v>37</v>
      </c>
      <c r="G1133" s="152" t="s">
        <v>36</v>
      </c>
      <c r="H1133" s="152" t="str">
        <f t="shared" si="23"/>
        <v>CAR5250</v>
      </c>
      <c r="I1133" s="513">
        <v>35956.800000000003</v>
      </c>
      <c r="J1133" s="513">
        <v>24.97</v>
      </c>
      <c r="K1133" s="513">
        <v>1440</v>
      </c>
      <c r="L1133" s="518" t="s">
        <v>3637</v>
      </c>
      <c r="M1133" s="152" t="s">
        <v>780</v>
      </c>
      <c r="N1133" s="152" t="s">
        <v>1407</v>
      </c>
      <c r="O1133" s="152" t="s">
        <v>3638</v>
      </c>
      <c r="P1133" s="152" t="s">
        <v>2865</v>
      </c>
      <c r="Q1133" s="152" t="s">
        <v>3639</v>
      </c>
      <c r="R1133" s="152" t="s">
        <v>3908</v>
      </c>
      <c r="S1133" s="152" t="s">
        <v>3641</v>
      </c>
      <c r="T1133" s="152" t="s">
        <v>786</v>
      </c>
    </row>
    <row r="1134" spans="3:20">
      <c r="C1134" s="152" t="s">
        <v>2821</v>
      </c>
      <c r="D1134" s="474" t="s">
        <v>676</v>
      </c>
      <c r="E1134" s="684" t="str">
        <f>+VLOOKUP(F1134,Resumen_Base!$C$8:$G$156,5,0)</f>
        <v>Food &amp; Wine</v>
      </c>
      <c r="F1134" s="152" t="s">
        <v>37</v>
      </c>
      <c r="G1134" s="152" t="s">
        <v>36</v>
      </c>
      <c r="H1134" s="152" t="str">
        <f t="shared" si="23"/>
        <v>CAR5250</v>
      </c>
      <c r="I1134" s="513">
        <v>204083.4</v>
      </c>
      <c r="J1134" s="513">
        <v>144.74</v>
      </c>
      <c r="K1134" s="513">
        <v>1410</v>
      </c>
      <c r="L1134" s="518" t="s">
        <v>3498</v>
      </c>
      <c r="M1134" s="152" t="s">
        <v>780</v>
      </c>
      <c r="N1134" s="152" t="s">
        <v>1407</v>
      </c>
      <c r="O1134" s="152" t="s">
        <v>3499</v>
      </c>
      <c r="P1134" s="152" t="s">
        <v>3489</v>
      </c>
      <c r="Q1134" s="152" t="s">
        <v>3500</v>
      </c>
      <c r="R1134" s="152" t="s">
        <v>3943</v>
      </c>
      <c r="S1134" s="152" t="s">
        <v>3502</v>
      </c>
      <c r="T1134" s="152" t="s">
        <v>786</v>
      </c>
    </row>
    <row r="1135" spans="3:20">
      <c r="C1135" s="152" t="s">
        <v>2821</v>
      </c>
      <c r="D1135" s="474" t="s">
        <v>676</v>
      </c>
      <c r="E1135" s="684" t="str">
        <f>+VLOOKUP(F1135,Resumen_Base!$C$8:$G$156,5,0)</f>
        <v>Food &amp; Wine</v>
      </c>
      <c r="F1135" s="152" t="s">
        <v>37</v>
      </c>
      <c r="G1135" s="152" t="s">
        <v>36</v>
      </c>
      <c r="H1135" s="152" t="str">
        <f t="shared" si="23"/>
        <v>CAR5250</v>
      </c>
      <c r="I1135" s="513">
        <v>27820.799999999999</v>
      </c>
      <c r="J1135" s="513">
        <v>19.32</v>
      </c>
      <c r="K1135" s="513">
        <v>1440</v>
      </c>
      <c r="L1135" s="518" t="s">
        <v>3517</v>
      </c>
      <c r="M1135" s="152" t="s">
        <v>780</v>
      </c>
      <c r="N1135" s="152" t="s">
        <v>1407</v>
      </c>
      <c r="O1135" s="152" t="s">
        <v>3518</v>
      </c>
      <c r="P1135" s="152" t="s">
        <v>892</v>
      </c>
      <c r="Q1135" s="152" t="s">
        <v>3519</v>
      </c>
      <c r="R1135" s="152" t="s">
        <v>3996</v>
      </c>
      <c r="S1135" s="152" t="s">
        <v>3521</v>
      </c>
      <c r="T1135" s="152" t="s">
        <v>786</v>
      </c>
    </row>
    <row r="1136" spans="3:20">
      <c r="C1136" s="152" t="s">
        <v>2821</v>
      </c>
      <c r="D1136" s="474" t="s">
        <v>676</v>
      </c>
      <c r="E1136" s="684" t="str">
        <f>+VLOOKUP(F1136,Resumen_Base!$C$8:$G$156,5,0)</f>
        <v>Food &amp; Wine</v>
      </c>
      <c r="F1136" s="152" t="s">
        <v>37</v>
      </c>
      <c r="G1136" s="152" t="s">
        <v>36</v>
      </c>
      <c r="H1136" s="152" t="str">
        <f t="shared" si="23"/>
        <v>CAR5250</v>
      </c>
      <c r="I1136" s="513">
        <v>65121.75</v>
      </c>
      <c r="J1136" s="513">
        <v>46.35</v>
      </c>
      <c r="K1136" s="513">
        <v>1405</v>
      </c>
      <c r="L1136" s="518" t="s">
        <v>3493</v>
      </c>
      <c r="M1136" s="152" t="s">
        <v>780</v>
      </c>
      <c r="N1136" s="152" t="s">
        <v>1407</v>
      </c>
      <c r="O1136" s="152" t="s">
        <v>3677</v>
      </c>
      <c r="P1136" s="152" t="s">
        <v>3489</v>
      </c>
      <c r="Q1136" s="152" t="s">
        <v>3678</v>
      </c>
      <c r="R1136" s="152" t="s">
        <v>4007</v>
      </c>
      <c r="S1136" s="152" t="s">
        <v>3679</v>
      </c>
      <c r="T1136" s="152" t="s">
        <v>786</v>
      </c>
    </row>
    <row r="1137" spans="3:20">
      <c r="C1137" s="152" t="s">
        <v>2821</v>
      </c>
      <c r="D1137" s="474" t="s">
        <v>676</v>
      </c>
      <c r="E1137" s="684" t="str">
        <f>+VLOOKUP(F1137,Resumen_Base!$C$8:$G$156,5,0)</f>
        <v>Food &amp; Wine</v>
      </c>
      <c r="F1137" s="152" t="s">
        <v>37</v>
      </c>
      <c r="G1137" s="152" t="s">
        <v>36</v>
      </c>
      <c r="H1137" s="152" t="str">
        <f t="shared" si="23"/>
        <v>CAR5250</v>
      </c>
      <c r="I1137" s="513">
        <v>4856866</v>
      </c>
      <c r="J1137" s="513">
        <v>3469.19</v>
      </c>
      <c r="K1137" s="513">
        <v>1400</v>
      </c>
      <c r="L1137" s="518" t="s">
        <v>3659</v>
      </c>
      <c r="M1137" s="152" t="s">
        <v>780</v>
      </c>
      <c r="N1137" s="152" t="s">
        <v>1407</v>
      </c>
      <c r="O1137" s="152" t="s">
        <v>3660</v>
      </c>
      <c r="P1137" s="152" t="s">
        <v>3489</v>
      </c>
      <c r="Q1137" s="152" t="s">
        <v>3661</v>
      </c>
      <c r="R1137" s="152" t="s">
        <v>4015</v>
      </c>
      <c r="S1137" s="152" t="s">
        <v>3663</v>
      </c>
      <c r="T1137" s="152" t="s">
        <v>786</v>
      </c>
    </row>
    <row r="1138" spans="3:20">
      <c r="C1138" s="152" t="s">
        <v>2821</v>
      </c>
      <c r="D1138" s="474" t="s">
        <v>676</v>
      </c>
      <c r="E1138" s="684" t="str">
        <f>+VLOOKUP(F1138,Resumen_Base!$C$8:$G$156,5,0)</f>
        <v>Food &amp; Wine</v>
      </c>
      <c r="F1138" s="152" t="s">
        <v>37</v>
      </c>
      <c r="G1138" s="152" t="s">
        <v>36</v>
      </c>
      <c r="H1138" s="152" t="str">
        <f t="shared" si="23"/>
        <v>CAR5250</v>
      </c>
      <c r="I1138" s="513">
        <v>33439</v>
      </c>
      <c r="J1138" s="513">
        <v>23.8</v>
      </c>
      <c r="K1138" s="513">
        <v>1405</v>
      </c>
      <c r="L1138" s="518" t="s">
        <v>3493</v>
      </c>
      <c r="M1138" s="152" t="s">
        <v>780</v>
      </c>
      <c r="N1138" s="152" t="s">
        <v>1407</v>
      </c>
      <c r="O1138" s="152" t="s">
        <v>3677</v>
      </c>
      <c r="P1138" s="152" t="s">
        <v>3489</v>
      </c>
      <c r="Q1138" s="152" t="s">
        <v>3678</v>
      </c>
      <c r="R1138" s="152" t="s">
        <v>4016</v>
      </c>
      <c r="S1138" s="152" t="s">
        <v>3679</v>
      </c>
      <c r="T1138" s="152" t="s">
        <v>786</v>
      </c>
    </row>
    <row r="1139" spans="3:20">
      <c r="C1139" s="152" t="s">
        <v>2821</v>
      </c>
      <c r="D1139" s="474" t="s">
        <v>676</v>
      </c>
      <c r="E1139" s="684" t="str">
        <f>+VLOOKUP(F1139,Resumen_Base!$C$8:$G$156,5,0)</f>
        <v>Food &amp; Wine</v>
      </c>
      <c r="F1139" s="152" t="s">
        <v>37</v>
      </c>
      <c r="G1139" s="152" t="s">
        <v>36</v>
      </c>
      <c r="H1139" s="152" t="str">
        <f t="shared" si="23"/>
        <v>CAR5250</v>
      </c>
      <c r="I1139" s="513">
        <v>3275888</v>
      </c>
      <c r="J1139" s="513">
        <v>2339.92</v>
      </c>
      <c r="K1139" s="513">
        <v>1400</v>
      </c>
      <c r="L1139" s="518" t="s">
        <v>3659</v>
      </c>
      <c r="M1139" s="152" t="s">
        <v>780</v>
      </c>
      <c r="N1139" s="152" t="s">
        <v>1407</v>
      </c>
      <c r="O1139" s="152" t="s">
        <v>3660</v>
      </c>
      <c r="P1139" s="152" t="s">
        <v>3489</v>
      </c>
      <c r="Q1139" s="152" t="s">
        <v>3661</v>
      </c>
      <c r="R1139" s="152" t="s">
        <v>4104</v>
      </c>
      <c r="S1139" s="152" t="s">
        <v>3663</v>
      </c>
      <c r="T1139" s="152" t="s">
        <v>786</v>
      </c>
    </row>
    <row r="1140" spans="3:20">
      <c r="C1140" s="152" t="s">
        <v>2821</v>
      </c>
      <c r="D1140" s="474" t="s">
        <v>676</v>
      </c>
      <c r="E1140" s="684" t="str">
        <f>+VLOOKUP(F1140,Resumen_Base!$C$8:$G$156,5,0)</f>
        <v>Food &amp; Wine</v>
      </c>
      <c r="F1140" s="152" t="s">
        <v>37</v>
      </c>
      <c r="G1140" s="152" t="s">
        <v>36</v>
      </c>
      <c r="H1140" s="152" t="str">
        <f t="shared" si="23"/>
        <v>CAR5250</v>
      </c>
      <c r="I1140" s="513">
        <v>76545.600000000006</v>
      </c>
      <c r="J1140" s="513">
        <v>51.72</v>
      </c>
      <c r="K1140" s="513">
        <v>1480</v>
      </c>
      <c r="L1140" s="518" t="s">
        <v>3517</v>
      </c>
      <c r="M1140" s="152" t="s">
        <v>780</v>
      </c>
      <c r="N1140" s="152" t="s">
        <v>1407</v>
      </c>
      <c r="O1140" s="152" t="s">
        <v>3518</v>
      </c>
      <c r="P1140" s="152" t="s">
        <v>892</v>
      </c>
      <c r="Q1140" s="152" t="s">
        <v>3519</v>
      </c>
      <c r="R1140" s="152" t="s">
        <v>4105</v>
      </c>
      <c r="S1140" s="152" t="s">
        <v>3521</v>
      </c>
      <c r="T1140" s="152" t="s">
        <v>786</v>
      </c>
    </row>
    <row r="1141" spans="3:20">
      <c r="C1141" s="152" t="s">
        <v>2821</v>
      </c>
      <c r="D1141" s="474" t="s">
        <v>676</v>
      </c>
      <c r="E1141" s="684" t="str">
        <f>+VLOOKUP(F1141,Resumen_Base!$C$8:$G$156,5,0)</f>
        <v>Food &amp; Wine</v>
      </c>
      <c r="F1141" s="152" t="s">
        <v>37</v>
      </c>
      <c r="G1141" s="152" t="s">
        <v>36</v>
      </c>
      <c r="H1141" s="152" t="str">
        <f t="shared" si="23"/>
        <v>CAR5250</v>
      </c>
      <c r="I1141" s="513">
        <v>80042.25</v>
      </c>
      <c r="J1141" s="513">
        <v>56.17</v>
      </c>
      <c r="K1141" s="513">
        <v>1425</v>
      </c>
      <c r="L1141" s="518" t="s">
        <v>3637</v>
      </c>
      <c r="M1141" s="152" t="s">
        <v>780</v>
      </c>
      <c r="N1141" s="152" t="s">
        <v>1407</v>
      </c>
      <c r="O1141" s="152" t="s">
        <v>3638</v>
      </c>
      <c r="P1141" s="152" t="s">
        <v>2865</v>
      </c>
      <c r="Q1141" s="152" t="s">
        <v>3639</v>
      </c>
      <c r="R1141" s="152" t="s">
        <v>4106</v>
      </c>
      <c r="S1141" s="152" t="s">
        <v>3641</v>
      </c>
      <c r="T1141" s="152" t="s">
        <v>786</v>
      </c>
    </row>
    <row r="1142" spans="3:20">
      <c r="C1142" s="152" t="s">
        <v>2821</v>
      </c>
      <c r="D1142" s="474" t="s">
        <v>676</v>
      </c>
      <c r="E1142" s="684" t="str">
        <f>+VLOOKUP(F1142,Resumen_Base!$C$8:$G$156,5,0)</f>
        <v>Food &amp; Wine</v>
      </c>
      <c r="F1142" s="152" t="s">
        <v>35</v>
      </c>
      <c r="G1142" s="152" t="s">
        <v>34</v>
      </c>
      <c r="H1142" s="152" t="str">
        <f t="shared" si="23"/>
        <v>CAR5251</v>
      </c>
      <c r="I1142" s="513">
        <v>56783.95</v>
      </c>
      <c r="J1142" s="513">
        <v>40.130000000000003</v>
      </c>
      <c r="K1142" s="513">
        <v>1415</v>
      </c>
      <c r="L1142" s="518" t="s">
        <v>3498</v>
      </c>
      <c r="M1142" s="152" t="s">
        <v>780</v>
      </c>
      <c r="N1142" s="152" t="s">
        <v>1407</v>
      </c>
      <c r="O1142" s="152" t="s">
        <v>3499</v>
      </c>
      <c r="P1142" s="152" t="s">
        <v>3489</v>
      </c>
      <c r="Q1142" s="152" t="s">
        <v>3500</v>
      </c>
      <c r="R1142" s="152" t="s">
        <v>3510</v>
      </c>
      <c r="S1142" s="152" t="s">
        <v>3502</v>
      </c>
      <c r="T1142" s="152" t="s">
        <v>786</v>
      </c>
    </row>
    <row r="1143" spans="3:20">
      <c r="C1143" s="152" t="s">
        <v>2821</v>
      </c>
      <c r="D1143" s="474" t="s">
        <v>676</v>
      </c>
      <c r="E1143" s="684" t="str">
        <f>+VLOOKUP(F1143,Resumen_Base!$C$8:$G$156,5,0)</f>
        <v>Food &amp; Wine</v>
      </c>
      <c r="F1143" s="152" t="s">
        <v>35</v>
      </c>
      <c r="G1143" s="152" t="s">
        <v>34</v>
      </c>
      <c r="H1143" s="152" t="str">
        <f t="shared" si="23"/>
        <v>CAR5251</v>
      </c>
      <c r="I1143" s="513">
        <v>21574.5</v>
      </c>
      <c r="J1143" s="513">
        <v>15.14</v>
      </c>
      <c r="K1143" s="513">
        <v>1425</v>
      </c>
      <c r="L1143" s="518" t="s">
        <v>3504</v>
      </c>
      <c r="M1143" s="152" t="s">
        <v>780</v>
      </c>
      <c r="N1143" s="152" t="s">
        <v>1407</v>
      </c>
      <c r="O1143" s="152" t="s">
        <v>3665</v>
      </c>
      <c r="P1143" s="152" t="s">
        <v>3489</v>
      </c>
      <c r="Q1143" s="152" t="s">
        <v>3666</v>
      </c>
      <c r="R1143" s="152" t="s">
        <v>3692</v>
      </c>
      <c r="S1143" s="152" t="s">
        <v>3668</v>
      </c>
      <c r="T1143" s="152" t="s">
        <v>786</v>
      </c>
    </row>
    <row r="1144" spans="3:20">
      <c r="C1144" s="152" t="s">
        <v>2821</v>
      </c>
      <c r="D1144" s="474" t="s">
        <v>676</v>
      </c>
      <c r="E1144" s="684" t="str">
        <f>+VLOOKUP(F1144,Resumen_Base!$C$8:$G$156,5,0)</f>
        <v>Food &amp; Wine</v>
      </c>
      <c r="F1144" s="152" t="s">
        <v>35</v>
      </c>
      <c r="G1144" s="152" t="s">
        <v>34</v>
      </c>
      <c r="H1144" s="152" t="str">
        <f t="shared" si="23"/>
        <v>CAR5251</v>
      </c>
      <c r="I1144" s="513">
        <v>223900.79999999999</v>
      </c>
      <c r="J1144" s="513">
        <v>159.36000000000001</v>
      </c>
      <c r="K1144" s="513">
        <v>1405</v>
      </c>
      <c r="L1144" s="518" t="s">
        <v>3493</v>
      </c>
      <c r="M1144" s="152" t="s">
        <v>780</v>
      </c>
      <c r="N1144" s="152" t="s">
        <v>1407</v>
      </c>
      <c r="O1144" s="152" t="s">
        <v>3677</v>
      </c>
      <c r="P1144" s="152" t="s">
        <v>3489</v>
      </c>
      <c r="Q1144" s="152" t="s">
        <v>3678</v>
      </c>
      <c r="R1144" s="152" t="s">
        <v>3808</v>
      </c>
      <c r="S1144" s="152" t="s">
        <v>3679</v>
      </c>
      <c r="T1144" s="152" t="s">
        <v>786</v>
      </c>
    </row>
    <row r="1145" spans="3:20">
      <c r="C1145" s="152" t="s">
        <v>2821</v>
      </c>
      <c r="D1145" s="474" t="s">
        <v>670</v>
      </c>
      <c r="E1145" s="684" t="str">
        <f>+VLOOKUP(F1145,Resumen_Base!$C$8:$G$156,5,0)</f>
        <v>Maintenance Lodge</v>
      </c>
      <c r="F1145" s="152" t="s">
        <v>33</v>
      </c>
      <c r="G1145" s="152" t="s">
        <v>32</v>
      </c>
      <c r="H1145" s="152" t="str">
        <f t="shared" si="23"/>
        <v>SJ5252</v>
      </c>
      <c r="I1145" s="513">
        <v>388356.05</v>
      </c>
      <c r="J1145" s="513">
        <v>276.41000000000003</v>
      </c>
      <c r="K1145" s="513">
        <v>1405</v>
      </c>
      <c r="L1145" s="518" t="s">
        <v>3493</v>
      </c>
      <c r="M1145" s="152" t="s">
        <v>780</v>
      </c>
      <c r="N1145" s="152" t="s">
        <v>781</v>
      </c>
      <c r="O1145" s="152" t="s">
        <v>4755</v>
      </c>
      <c r="P1145" s="152" t="s">
        <v>3489</v>
      </c>
      <c r="Q1145" s="152" t="s">
        <v>4756</v>
      </c>
      <c r="R1145" s="152" t="s">
        <v>4839</v>
      </c>
      <c r="S1145" s="152" t="s">
        <v>4758</v>
      </c>
      <c r="T1145" s="152" t="s">
        <v>786</v>
      </c>
    </row>
    <row r="1146" spans="3:20">
      <c r="C1146" s="152" t="s">
        <v>2821</v>
      </c>
      <c r="D1146" s="474" t="s">
        <v>676</v>
      </c>
      <c r="E1146" s="684" t="str">
        <f>+VLOOKUP(F1146,Resumen_Base!$C$8:$G$156,5,0)</f>
        <v>Maintenance Lodge</v>
      </c>
      <c r="F1146" s="152" t="s">
        <v>33</v>
      </c>
      <c r="G1146" s="152" t="s">
        <v>32</v>
      </c>
      <c r="H1146" s="152" t="str">
        <f t="shared" si="23"/>
        <v>CAR5252</v>
      </c>
      <c r="I1146" s="513">
        <v>92173.1</v>
      </c>
      <c r="J1146" s="513">
        <v>65.14</v>
      </c>
      <c r="K1146" s="513">
        <v>1415</v>
      </c>
      <c r="L1146" s="518" t="s">
        <v>3498</v>
      </c>
      <c r="M1146" s="152" t="s">
        <v>780</v>
      </c>
      <c r="N1146" s="152" t="s">
        <v>1407</v>
      </c>
      <c r="O1146" s="152" t="s">
        <v>3499</v>
      </c>
      <c r="P1146" s="152" t="s">
        <v>3489</v>
      </c>
      <c r="Q1146" s="152" t="s">
        <v>3500</v>
      </c>
      <c r="R1146" s="152" t="s">
        <v>3503</v>
      </c>
      <c r="S1146" s="152" t="s">
        <v>3502</v>
      </c>
      <c r="T1146" s="152" t="s">
        <v>786</v>
      </c>
    </row>
    <row r="1147" spans="3:20">
      <c r="C1147" s="152" t="s">
        <v>2821</v>
      </c>
      <c r="D1147" s="474" t="s">
        <v>676</v>
      </c>
      <c r="E1147" s="684" t="str">
        <f>+VLOOKUP(F1147,Resumen_Base!$C$8:$G$156,5,0)</f>
        <v>Maintenance Lodge</v>
      </c>
      <c r="F1147" s="152" t="s">
        <v>33</v>
      </c>
      <c r="G1147" s="152" t="s">
        <v>32</v>
      </c>
      <c r="H1147" s="152" t="str">
        <f t="shared" si="23"/>
        <v>CAR5252</v>
      </c>
      <c r="I1147" s="513">
        <v>320625</v>
      </c>
      <c r="J1147" s="513">
        <v>225</v>
      </c>
      <c r="K1147" s="513">
        <v>1425</v>
      </c>
      <c r="L1147" s="518" t="s">
        <v>3504</v>
      </c>
      <c r="M1147" s="152" t="s">
        <v>780</v>
      </c>
      <c r="N1147" s="152" t="s">
        <v>1407</v>
      </c>
      <c r="O1147" s="152" t="s">
        <v>3505</v>
      </c>
      <c r="P1147" s="152" t="s">
        <v>3489</v>
      </c>
      <c r="Q1147" s="152" t="s">
        <v>3506</v>
      </c>
      <c r="R1147" s="152" t="s">
        <v>3516</v>
      </c>
      <c r="S1147" s="152" t="s">
        <v>3508</v>
      </c>
      <c r="T1147" s="152" t="s">
        <v>786</v>
      </c>
    </row>
    <row r="1148" spans="3:20">
      <c r="C1148" s="152" t="s">
        <v>2821</v>
      </c>
      <c r="D1148" s="474" t="s">
        <v>676</v>
      </c>
      <c r="E1148" s="684" t="str">
        <f>+VLOOKUP(F1148,Resumen_Base!$C$8:$G$156,5,0)</f>
        <v>Maintenance Lodge</v>
      </c>
      <c r="F1148" s="152" t="s">
        <v>33</v>
      </c>
      <c r="G1148" s="152" t="s">
        <v>32</v>
      </c>
      <c r="H1148" s="152" t="str">
        <f t="shared" si="23"/>
        <v>CAR5252</v>
      </c>
      <c r="I1148" s="513">
        <v>115200</v>
      </c>
      <c r="J1148" s="513">
        <v>80</v>
      </c>
      <c r="K1148" s="513">
        <v>1440</v>
      </c>
      <c r="L1148" s="518" t="s">
        <v>3637</v>
      </c>
      <c r="M1148" s="152" t="s">
        <v>780</v>
      </c>
      <c r="N1148" s="152" t="s">
        <v>1407</v>
      </c>
      <c r="O1148" s="152" t="s">
        <v>3638</v>
      </c>
      <c r="P1148" s="152" t="s">
        <v>2865</v>
      </c>
      <c r="Q1148" s="152" t="s">
        <v>3639</v>
      </c>
      <c r="R1148" s="152" t="s">
        <v>3664</v>
      </c>
      <c r="S1148" s="152" t="s">
        <v>3641</v>
      </c>
      <c r="T1148" s="152" t="s">
        <v>786</v>
      </c>
    </row>
    <row r="1149" spans="3:20">
      <c r="C1149" s="152" t="s">
        <v>2821</v>
      </c>
      <c r="D1149" s="474" t="s">
        <v>676</v>
      </c>
      <c r="E1149" s="684" t="str">
        <f>+VLOOKUP(F1149,Resumen_Base!$C$8:$G$156,5,0)</f>
        <v>Maintenance Lodge</v>
      </c>
      <c r="F1149" s="152" t="s">
        <v>33</v>
      </c>
      <c r="G1149" s="152" t="s">
        <v>32</v>
      </c>
      <c r="H1149" s="152" t="str">
        <f t="shared" si="23"/>
        <v>CAR5252</v>
      </c>
      <c r="I1149" s="513">
        <v>491750</v>
      </c>
      <c r="J1149" s="513">
        <v>350</v>
      </c>
      <c r="K1149" s="513">
        <v>1405</v>
      </c>
      <c r="L1149" s="518" t="s">
        <v>3493</v>
      </c>
      <c r="M1149" s="152" t="s">
        <v>780</v>
      </c>
      <c r="N1149" s="152" t="s">
        <v>1407</v>
      </c>
      <c r="O1149" s="152" t="s">
        <v>3677</v>
      </c>
      <c r="P1149" s="152" t="s">
        <v>3489</v>
      </c>
      <c r="Q1149" s="152" t="s">
        <v>3678</v>
      </c>
      <c r="R1149" s="152" t="s">
        <v>3687</v>
      </c>
      <c r="S1149" s="152" t="s">
        <v>3679</v>
      </c>
      <c r="T1149" s="152" t="s">
        <v>786</v>
      </c>
    </row>
    <row r="1150" spans="3:20">
      <c r="C1150" s="152" t="s">
        <v>2821</v>
      </c>
      <c r="D1150" s="474" t="s">
        <v>676</v>
      </c>
      <c r="E1150" s="684" t="str">
        <f>+VLOOKUP(F1150,Resumen_Base!$C$8:$G$156,5,0)</f>
        <v>Maintenance Lodge</v>
      </c>
      <c r="F1150" s="152" t="s">
        <v>33</v>
      </c>
      <c r="G1150" s="152" t="s">
        <v>32</v>
      </c>
      <c r="H1150" s="152" t="str">
        <f t="shared" si="23"/>
        <v>CAR5252</v>
      </c>
      <c r="I1150" s="513">
        <v>113913.9</v>
      </c>
      <c r="J1150" s="513">
        <v>80.790000000000006</v>
      </c>
      <c r="K1150" s="513">
        <v>1410</v>
      </c>
      <c r="L1150" s="518" t="s">
        <v>3498</v>
      </c>
      <c r="M1150" s="152" t="s">
        <v>780</v>
      </c>
      <c r="N1150" s="152" t="s">
        <v>1407</v>
      </c>
      <c r="O1150" s="152" t="s">
        <v>3499</v>
      </c>
      <c r="P1150" s="152" t="s">
        <v>3489</v>
      </c>
      <c r="Q1150" s="152" t="s">
        <v>3500</v>
      </c>
      <c r="R1150" s="152" t="s">
        <v>3690</v>
      </c>
      <c r="S1150" s="152" t="s">
        <v>3502</v>
      </c>
      <c r="T1150" s="152" t="s">
        <v>786</v>
      </c>
    </row>
    <row r="1151" spans="3:20">
      <c r="C1151" s="152" t="s">
        <v>2821</v>
      </c>
      <c r="D1151" s="474" t="s">
        <v>676</v>
      </c>
      <c r="E1151" s="684" t="str">
        <f>+VLOOKUP(F1151,Resumen_Base!$C$8:$G$156,5,0)</f>
        <v>Maintenance Lodge</v>
      </c>
      <c r="F1151" s="152" t="s">
        <v>33</v>
      </c>
      <c r="G1151" s="152" t="s">
        <v>32</v>
      </c>
      <c r="H1151" s="152" t="str">
        <f t="shared" si="23"/>
        <v>CAR5252</v>
      </c>
      <c r="I1151" s="513">
        <v>52070.400000000001</v>
      </c>
      <c r="J1151" s="513">
        <v>36.159999999999997</v>
      </c>
      <c r="K1151" s="513">
        <v>1440</v>
      </c>
      <c r="L1151" s="518" t="s">
        <v>3517</v>
      </c>
      <c r="M1151" s="152" t="s">
        <v>780</v>
      </c>
      <c r="N1151" s="152" t="s">
        <v>1407</v>
      </c>
      <c r="O1151" s="152" t="s">
        <v>3518</v>
      </c>
      <c r="P1151" s="152" t="s">
        <v>892</v>
      </c>
      <c r="Q1151" s="152" t="s">
        <v>3519</v>
      </c>
      <c r="R1151" s="152" t="s">
        <v>3694</v>
      </c>
      <c r="S1151" s="152" t="s">
        <v>3521</v>
      </c>
      <c r="T1151" s="152" t="s">
        <v>786</v>
      </c>
    </row>
    <row r="1152" spans="3:20">
      <c r="C1152" s="152" t="s">
        <v>2821</v>
      </c>
      <c r="D1152" s="474" t="s">
        <v>676</v>
      </c>
      <c r="E1152" s="684" t="str">
        <f>+VLOOKUP(F1152,Resumen_Base!$C$8:$G$156,5,0)</f>
        <v>Maintenance Lodge</v>
      </c>
      <c r="F1152" s="152" t="s">
        <v>33</v>
      </c>
      <c r="G1152" s="152" t="s">
        <v>32</v>
      </c>
      <c r="H1152" s="152" t="str">
        <f t="shared" si="23"/>
        <v>CAR5252</v>
      </c>
      <c r="I1152" s="513">
        <v>267321.8</v>
      </c>
      <c r="J1152" s="513">
        <v>188.92</v>
      </c>
      <c r="K1152" s="513">
        <v>1415</v>
      </c>
      <c r="L1152" s="518" t="s">
        <v>3632</v>
      </c>
      <c r="M1152" s="152" t="s">
        <v>780</v>
      </c>
      <c r="N1152" s="152" t="s">
        <v>1407</v>
      </c>
      <c r="O1152" s="152" t="s">
        <v>3673</v>
      </c>
      <c r="P1152" s="152" t="s">
        <v>3489</v>
      </c>
      <c r="Q1152" s="152" t="s">
        <v>3674</v>
      </c>
      <c r="R1152" s="152" t="s">
        <v>3773</v>
      </c>
      <c r="S1152" s="152" t="s">
        <v>3676</v>
      </c>
      <c r="T1152" s="152" t="s">
        <v>786</v>
      </c>
    </row>
    <row r="1153" spans="3:20">
      <c r="C1153" s="152" t="s">
        <v>2821</v>
      </c>
      <c r="D1153" s="474" t="s">
        <v>676</v>
      </c>
      <c r="E1153" s="684" t="str">
        <f>+VLOOKUP(F1153,Resumen_Base!$C$8:$G$156,5,0)</f>
        <v>Maintenance Lodge</v>
      </c>
      <c r="F1153" s="152" t="s">
        <v>33</v>
      </c>
      <c r="G1153" s="152" t="s">
        <v>32</v>
      </c>
      <c r="H1153" s="152" t="str">
        <f t="shared" si="23"/>
        <v>CAR5252</v>
      </c>
      <c r="I1153" s="513">
        <v>213579</v>
      </c>
      <c r="J1153" s="513">
        <v>149.88</v>
      </c>
      <c r="K1153" s="513">
        <v>1425</v>
      </c>
      <c r="L1153" s="518" t="s">
        <v>3637</v>
      </c>
      <c r="M1153" s="152" t="s">
        <v>780</v>
      </c>
      <c r="N1153" s="152" t="s">
        <v>1407</v>
      </c>
      <c r="O1153" s="152" t="s">
        <v>3680</v>
      </c>
      <c r="P1153" s="152" t="s">
        <v>2865</v>
      </c>
      <c r="Q1153" s="152" t="s">
        <v>3681</v>
      </c>
      <c r="R1153" s="152" t="s">
        <v>3774</v>
      </c>
      <c r="S1153" s="152" t="s">
        <v>3683</v>
      </c>
      <c r="T1153" s="152" t="s">
        <v>786</v>
      </c>
    </row>
    <row r="1154" spans="3:20">
      <c r="C1154" s="152" t="s">
        <v>2821</v>
      </c>
      <c r="D1154" s="474" t="s">
        <v>676</v>
      </c>
      <c r="E1154" s="684" t="str">
        <f>+VLOOKUP(F1154,Resumen_Base!$C$8:$G$156,5,0)</f>
        <v>Maintenance Lodge</v>
      </c>
      <c r="F1154" s="152" t="s">
        <v>33</v>
      </c>
      <c r="G1154" s="152" t="s">
        <v>32</v>
      </c>
      <c r="H1154" s="152" t="str">
        <f t="shared" si="23"/>
        <v>CAR5252</v>
      </c>
      <c r="I1154" s="513">
        <v>62356</v>
      </c>
      <c r="J1154" s="513">
        <v>44.54</v>
      </c>
      <c r="K1154" s="513">
        <v>1400</v>
      </c>
      <c r="L1154" s="518" t="s">
        <v>3632</v>
      </c>
      <c r="M1154" s="152" t="s">
        <v>780</v>
      </c>
      <c r="N1154" s="152" t="s">
        <v>1407</v>
      </c>
      <c r="O1154" s="152" t="s">
        <v>3633</v>
      </c>
      <c r="P1154" s="152" t="s">
        <v>3489</v>
      </c>
      <c r="Q1154" s="152" t="s">
        <v>3634</v>
      </c>
      <c r="R1154" s="152" t="s">
        <v>3780</v>
      </c>
      <c r="S1154" s="152" t="s">
        <v>3636</v>
      </c>
      <c r="T1154" s="152" t="s">
        <v>786</v>
      </c>
    </row>
    <row r="1155" spans="3:20">
      <c r="C1155" s="152" t="s">
        <v>2821</v>
      </c>
      <c r="D1155" s="474" t="s">
        <v>676</v>
      </c>
      <c r="E1155" s="684" t="str">
        <f>+VLOOKUP(F1155,Resumen_Base!$C$8:$G$156,5,0)</f>
        <v>Maintenance Lodge</v>
      </c>
      <c r="F1155" s="152" t="s">
        <v>33</v>
      </c>
      <c r="G1155" s="152" t="s">
        <v>32</v>
      </c>
      <c r="H1155" s="152" t="str">
        <f t="shared" si="23"/>
        <v>CAR5252</v>
      </c>
      <c r="I1155" s="513">
        <v>178401.6</v>
      </c>
      <c r="J1155" s="513">
        <v>123.89</v>
      </c>
      <c r="K1155" s="513">
        <v>1440</v>
      </c>
      <c r="L1155" s="518" t="s">
        <v>3517</v>
      </c>
      <c r="M1155" s="152" t="s">
        <v>780</v>
      </c>
      <c r="N1155" s="152" t="s">
        <v>1407</v>
      </c>
      <c r="O1155" s="152" t="s">
        <v>3518</v>
      </c>
      <c r="P1155" s="152" t="s">
        <v>892</v>
      </c>
      <c r="Q1155" s="152" t="s">
        <v>3519</v>
      </c>
      <c r="R1155" s="152" t="s">
        <v>3783</v>
      </c>
      <c r="S1155" s="152" t="s">
        <v>3521</v>
      </c>
      <c r="T1155" s="152" t="s">
        <v>786</v>
      </c>
    </row>
    <row r="1156" spans="3:20">
      <c r="C1156" s="152" t="s">
        <v>2821</v>
      </c>
      <c r="D1156" s="474" t="s">
        <v>676</v>
      </c>
      <c r="E1156" s="684" t="str">
        <f>+VLOOKUP(F1156,Resumen_Base!$C$8:$G$156,5,0)</f>
        <v>Maintenance Lodge</v>
      </c>
      <c r="F1156" s="152" t="s">
        <v>33</v>
      </c>
      <c r="G1156" s="152" t="s">
        <v>32</v>
      </c>
      <c r="H1156" s="152" t="str">
        <f t="shared" si="23"/>
        <v>CAR5252</v>
      </c>
      <c r="I1156" s="513">
        <v>86258.4</v>
      </c>
      <c r="J1156" s="513">
        <v>60.96</v>
      </c>
      <c r="K1156" s="513">
        <v>1415</v>
      </c>
      <c r="L1156" s="518" t="s">
        <v>3632</v>
      </c>
      <c r="M1156" s="152" t="s">
        <v>780</v>
      </c>
      <c r="N1156" s="152" t="s">
        <v>1407</v>
      </c>
      <c r="O1156" s="152" t="s">
        <v>3673</v>
      </c>
      <c r="P1156" s="152" t="s">
        <v>3489</v>
      </c>
      <c r="Q1156" s="152" t="s">
        <v>3674</v>
      </c>
      <c r="R1156" s="152" t="s">
        <v>3790</v>
      </c>
      <c r="S1156" s="152" t="s">
        <v>3676</v>
      </c>
      <c r="T1156" s="152" t="s">
        <v>786</v>
      </c>
    </row>
    <row r="1157" spans="3:20">
      <c r="C1157" s="152" t="s">
        <v>2821</v>
      </c>
      <c r="D1157" s="474" t="s">
        <v>676</v>
      </c>
      <c r="E1157" s="684" t="str">
        <f>+VLOOKUP(F1157,Resumen_Base!$C$8:$G$156,5,0)</f>
        <v>Maintenance Lodge</v>
      </c>
      <c r="F1157" s="152" t="s">
        <v>33</v>
      </c>
      <c r="G1157" s="152" t="s">
        <v>32</v>
      </c>
      <c r="H1157" s="152" t="str">
        <f t="shared" si="23"/>
        <v>CAR5252</v>
      </c>
      <c r="I1157" s="513">
        <v>206535</v>
      </c>
      <c r="J1157" s="513">
        <v>147</v>
      </c>
      <c r="K1157" s="513">
        <v>1405</v>
      </c>
      <c r="L1157" s="518" t="s">
        <v>3493</v>
      </c>
      <c r="M1157" s="152" t="s">
        <v>780</v>
      </c>
      <c r="N1157" s="152" t="s">
        <v>1407</v>
      </c>
      <c r="O1157" s="152" t="s">
        <v>3677</v>
      </c>
      <c r="P1157" s="152" t="s">
        <v>3489</v>
      </c>
      <c r="Q1157" s="152" t="s">
        <v>3678</v>
      </c>
      <c r="R1157" s="152" t="s">
        <v>3802</v>
      </c>
      <c r="S1157" s="152" t="s">
        <v>3679</v>
      </c>
      <c r="T1157" s="152" t="s">
        <v>786</v>
      </c>
    </row>
    <row r="1158" spans="3:20">
      <c r="C1158" s="152" t="s">
        <v>2821</v>
      </c>
      <c r="D1158" s="474" t="s">
        <v>676</v>
      </c>
      <c r="E1158" s="684" t="str">
        <f>+VLOOKUP(F1158,Resumen_Base!$C$8:$G$156,5,0)</f>
        <v>Maintenance Lodge</v>
      </c>
      <c r="F1158" s="152" t="s">
        <v>33</v>
      </c>
      <c r="G1158" s="152" t="s">
        <v>32</v>
      </c>
      <c r="H1158" s="152" t="str">
        <f t="shared" si="23"/>
        <v>CAR5252</v>
      </c>
      <c r="I1158" s="513">
        <v>96881.1</v>
      </c>
      <c r="J1158" s="513">
        <v>68.709999999999994</v>
      </c>
      <c r="K1158" s="513">
        <v>1410</v>
      </c>
      <c r="L1158" s="518" t="s">
        <v>3659</v>
      </c>
      <c r="M1158" s="152" t="s">
        <v>780</v>
      </c>
      <c r="N1158" s="152" t="s">
        <v>1407</v>
      </c>
      <c r="O1158" s="152" t="s">
        <v>3795</v>
      </c>
      <c r="P1158" s="152" t="s">
        <v>3489</v>
      </c>
      <c r="Q1158" s="152" t="s">
        <v>3796</v>
      </c>
      <c r="R1158" s="152" t="s">
        <v>3806</v>
      </c>
      <c r="S1158" s="152" t="s">
        <v>3798</v>
      </c>
      <c r="T1158" s="152" t="s">
        <v>786</v>
      </c>
    </row>
    <row r="1159" spans="3:20">
      <c r="C1159" s="152" t="s">
        <v>2821</v>
      </c>
      <c r="D1159" s="474" t="s">
        <v>676</v>
      </c>
      <c r="E1159" s="684" t="str">
        <f>+VLOOKUP(F1159,Resumen_Base!$C$8:$G$156,5,0)</f>
        <v>Maintenance Lodge</v>
      </c>
      <c r="F1159" s="152" t="s">
        <v>33</v>
      </c>
      <c r="G1159" s="152" t="s">
        <v>32</v>
      </c>
      <c r="H1159" s="152" t="str">
        <f t="shared" si="23"/>
        <v>CAR5252</v>
      </c>
      <c r="I1159" s="513">
        <v>187346</v>
      </c>
      <c r="J1159" s="513">
        <v>132.4</v>
      </c>
      <c r="K1159" s="513">
        <v>1415</v>
      </c>
      <c r="L1159" s="518" t="s">
        <v>3511</v>
      </c>
      <c r="M1159" s="152" t="s">
        <v>780</v>
      </c>
      <c r="N1159" s="152" t="s">
        <v>1407</v>
      </c>
      <c r="O1159" s="152" t="s">
        <v>3512</v>
      </c>
      <c r="P1159" s="152" t="s">
        <v>3489</v>
      </c>
      <c r="Q1159" s="152" t="s">
        <v>3513</v>
      </c>
      <c r="R1159" s="152" t="s">
        <v>3811</v>
      </c>
      <c r="S1159" s="152" t="s">
        <v>3515</v>
      </c>
      <c r="T1159" s="152" t="s">
        <v>786</v>
      </c>
    </row>
    <row r="1160" spans="3:20">
      <c r="C1160" s="152" t="s">
        <v>2821</v>
      </c>
      <c r="D1160" s="474" t="s">
        <v>676</v>
      </c>
      <c r="E1160" s="684" t="str">
        <f>+VLOOKUP(F1160,Resumen_Base!$C$8:$G$156,5,0)</f>
        <v>Maintenance Lodge</v>
      </c>
      <c r="F1160" s="152" t="s">
        <v>33</v>
      </c>
      <c r="G1160" s="152" t="s">
        <v>32</v>
      </c>
      <c r="H1160" s="152" t="str">
        <f t="shared" si="23"/>
        <v>CAR5252</v>
      </c>
      <c r="I1160" s="513">
        <v>40745</v>
      </c>
      <c r="J1160" s="513">
        <v>29</v>
      </c>
      <c r="K1160" s="513">
        <v>1405</v>
      </c>
      <c r="L1160" s="518" t="s">
        <v>3493</v>
      </c>
      <c r="M1160" s="152" t="s">
        <v>780</v>
      </c>
      <c r="N1160" s="152" t="s">
        <v>1407</v>
      </c>
      <c r="O1160" s="152" t="s">
        <v>3677</v>
      </c>
      <c r="P1160" s="152" t="s">
        <v>3489</v>
      </c>
      <c r="Q1160" s="152" t="s">
        <v>3678</v>
      </c>
      <c r="R1160" s="152" t="s">
        <v>3813</v>
      </c>
      <c r="S1160" s="152" t="s">
        <v>3679</v>
      </c>
      <c r="T1160" s="152" t="s">
        <v>786</v>
      </c>
    </row>
    <row r="1161" spans="3:20">
      <c r="C1161" s="152" t="s">
        <v>2821</v>
      </c>
      <c r="D1161" s="474" t="s">
        <v>676</v>
      </c>
      <c r="E1161" s="684" t="str">
        <f>+VLOOKUP(F1161,Resumen_Base!$C$8:$G$156,5,0)</f>
        <v>Maintenance Lodge</v>
      </c>
      <c r="F1161" s="152" t="s">
        <v>33</v>
      </c>
      <c r="G1161" s="152" t="s">
        <v>32</v>
      </c>
      <c r="H1161" s="152" t="str">
        <f t="shared" si="23"/>
        <v>CAR5252</v>
      </c>
      <c r="I1161" s="513">
        <v>16145.15</v>
      </c>
      <c r="J1161" s="513">
        <v>11.41</v>
      </c>
      <c r="K1161" s="513">
        <v>1415</v>
      </c>
      <c r="L1161" s="518" t="s">
        <v>3632</v>
      </c>
      <c r="M1161" s="152" t="s">
        <v>780</v>
      </c>
      <c r="N1161" s="152" t="s">
        <v>1407</v>
      </c>
      <c r="O1161" s="152" t="s">
        <v>3633</v>
      </c>
      <c r="P1161" s="152" t="s">
        <v>3489</v>
      </c>
      <c r="Q1161" s="152" t="s">
        <v>3634</v>
      </c>
      <c r="R1161" s="152" t="s">
        <v>3814</v>
      </c>
      <c r="S1161" s="152" t="s">
        <v>3636</v>
      </c>
      <c r="T1161" s="152" t="s">
        <v>786</v>
      </c>
    </row>
    <row r="1162" spans="3:20">
      <c r="C1162" s="152" t="s">
        <v>2821</v>
      </c>
      <c r="D1162" s="474" t="s">
        <v>676</v>
      </c>
      <c r="E1162" s="684" t="str">
        <f>+VLOOKUP(F1162,Resumen_Base!$C$8:$G$156,5,0)</f>
        <v>Maintenance Lodge</v>
      </c>
      <c r="F1162" s="152" t="s">
        <v>33</v>
      </c>
      <c r="G1162" s="152" t="s">
        <v>32</v>
      </c>
      <c r="H1162" s="152" t="str">
        <f t="shared" si="23"/>
        <v>CAR5252</v>
      </c>
      <c r="I1162" s="513">
        <v>36690.949999999997</v>
      </c>
      <c r="J1162" s="513">
        <v>25.93</v>
      </c>
      <c r="K1162" s="513">
        <v>1415</v>
      </c>
      <c r="L1162" s="518" t="s">
        <v>3632</v>
      </c>
      <c r="M1162" s="152" t="s">
        <v>780</v>
      </c>
      <c r="N1162" s="152" t="s">
        <v>1407</v>
      </c>
      <c r="O1162" s="152" t="s">
        <v>3633</v>
      </c>
      <c r="P1162" s="152" t="s">
        <v>3489</v>
      </c>
      <c r="Q1162" s="152" t="s">
        <v>3634</v>
      </c>
      <c r="R1162" s="152" t="s">
        <v>3816</v>
      </c>
      <c r="S1162" s="152" t="s">
        <v>3636</v>
      </c>
      <c r="T1162" s="152" t="s">
        <v>786</v>
      </c>
    </row>
    <row r="1163" spans="3:20">
      <c r="C1163" s="152" t="s">
        <v>2821</v>
      </c>
      <c r="D1163" s="474" t="s">
        <v>676</v>
      </c>
      <c r="E1163" s="684" t="str">
        <f>+VLOOKUP(F1163,Resumen_Base!$C$8:$G$156,5,0)</f>
        <v>Maintenance Lodge</v>
      </c>
      <c r="F1163" s="152" t="s">
        <v>33</v>
      </c>
      <c r="G1163" s="152" t="s">
        <v>32</v>
      </c>
      <c r="H1163" s="152" t="str">
        <f t="shared" si="23"/>
        <v>CAR5252</v>
      </c>
      <c r="I1163" s="513">
        <v>18174.900000000001</v>
      </c>
      <c r="J1163" s="513">
        <v>12.89</v>
      </c>
      <c r="K1163" s="513">
        <v>1410</v>
      </c>
      <c r="L1163" s="518" t="s">
        <v>3498</v>
      </c>
      <c r="M1163" s="152" t="s">
        <v>780</v>
      </c>
      <c r="N1163" s="152" t="s">
        <v>1407</v>
      </c>
      <c r="O1163" s="152" t="s">
        <v>3499</v>
      </c>
      <c r="P1163" s="152" t="s">
        <v>3489</v>
      </c>
      <c r="Q1163" s="152" t="s">
        <v>3500</v>
      </c>
      <c r="R1163" s="152" t="s">
        <v>3818</v>
      </c>
      <c r="S1163" s="152" t="s">
        <v>3502</v>
      </c>
      <c r="T1163" s="152" t="s">
        <v>786</v>
      </c>
    </row>
    <row r="1164" spans="3:20">
      <c r="C1164" s="152" t="s">
        <v>2821</v>
      </c>
      <c r="D1164" s="474" t="s">
        <v>676</v>
      </c>
      <c r="E1164" s="684" t="str">
        <f>+VLOOKUP(F1164,Resumen_Base!$C$8:$G$156,5,0)</f>
        <v>Maintenance Lodge</v>
      </c>
      <c r="F1164" s="152" t="s">
        <v>33</v>
      </c>
      <c r="G1164" s="152" t="s">
        <v>32</v>
      </c>
      <c r="H1164" s="152" t="str">
        <f t="shared" si="23"/>
        <v>CAR5252</v>
      </c>
      <c r="I1164" s="513">
        <v>75124</v>
      </c>
      <c r="J1164" s="513">
        <v>53.66</v>
      </c>
      <c r="K1164" s="513">
        <v>1400</v>
      </c>
      <c r="L1164" s="518" t="s">
        <v>3659</v>
      </c>
      <c r="M1164" s="152" t="s">
        <v>780</v>
      </c>
      <c r="N1164" s="152" t="s">
        <v>1407</v>
      </c>
      <c r="O1164" s="152" t="s">
        <v>3795</v>
      </c>
      <c r="P1164" s="152" t="s">
        <v>3489</v>
      </c>
      <c r="Q1164" s="152" t="s">
        <v>3796</v>
      </c>
      <c r="R1164" s="152" t="s">
        <v>3819</v>
      </c>
      <c r="S1164" s="152" t="s">
        <v>3798</v>
      </c>
      <c r="T1164" s="152" t="s">
        <v>786</v>
      </c>
    </row>
    <row r="1165" spans="3:20">
      <c r="C1165" s="152" t="s">
        <v>2821</v>
      </c>
      <c r="D1165" s="474" t="s">
        <v>676</v>
      </c>
      <c r="E1165" s="684" t="str">
        <f>+VLOOKUP(F1165,Resumen_Base!$C$8:$G$156,5,0)</f>
        <v>Maintenance Lodge</v>
      </c>
      <c r="F1165" s="152" t="s">
        <v>33</v>
      </c>
      <c r="G1165" s="152" t="s">
        <v>32</v>
      </c>
      <c r="H1165" s="152" t="str">
        <f t="shared" si="23"/>
        <v>CAR5252</v>
      </c>
      <c r="I1165" s="513">
        <v>39110.6</v>
      </c>
      <c r="J1165" s="513">
        <v>27.64</v>
      </c>
      <c r="K1165" s="513">
        <v>1415</v>
      </c>
      <c r="L1165" s="518" t="s">
        <v>3632</v>
      </c>
      <c r="M1165" s="152" t="s">
        <v>780</v>
      </c>
      <c r="N1165" s="152" t="s">
        <v>1407</v>
      </c>
      <c r="O1165" s="152" t="s">
        <v>3633</v>
      </c>
      <c r="P1165" s="152" t="s">
        <v>3489</v>
      </c>
      <c r="Q1165" s="152" t="s">
        <v>3634</v>
      </c>
      <c r="R1165" s="152" t="s">
        <v>3828</v>
      </c>
      <c r="S1165" s="152" t="s">
        <v>3636</v>
      </c>
      <c r="T1165" s="152" t="s">
        <v>786</v>
      </c>
    </row>
    <row r="1166" spans="3:20">
      <c r="C1166" s="152" t="s">
        <v>2821</v>
      </c>
      <c r="D1166" s="474" t="s">
        <v>676</v>
      </c>
      <c r="E1166" s="684" t="str">
        <f>+VLOOKUP(F1166,Resumen_Base!$C$8:$G$156,5,0)</f>
        <v>Maintenance Lodge</v>
      </c>
      <c r="F1166" s="152" t="s">
        <v>33</v>
      </c>
      <c r="G1166" s="152" t="s">
        <v>32</v>
      </c>
      <c r="H1166" s="152" t="str">
        <f t="shared" si="23"/>
        <v>CAR5252</v>
      </c>
      <c r="I1166" s="513">
        <v>98093.7</v>
      </c>
      <c r="J1166" s="513">
        <v>69.569999999999993</v>
      </c>
      <c r="K1166" s="513">
        <v>1410</v>
      </c>
      <c r="L1166" s="518" t="s">
        <v>3659</v>
      </c>
      <c r="M1166" s="152" t="s">
        <v>780</v>
      </c>
      <c r="N1166" s="152" t="s">
        <v>1407</v>
      </c>
      <c r="O1166" s="152" t="s">
        <v>3795</v>
      </c>
      <c r="P1166" s="152" t="s">
        <v>3489</v>
      </c>
      <c r="Q1166" s="152" t="s">
        <v>3796</v>
      </c>
      <c r="R1166" s="152" t="s">
        <v>3833</v>
      </c>
      <c r="S1166" s="152" t="s">
        <v>3798</v>
      </c>
      <c r="T1166" s="152" t="s">
        <v>786</v>
      </c>
    </row>
    <row r="1167" spans="3:20">
      <c r="C1167" s="152" t="s">
        <v>2821</v>
      </c>
      <c r="D1167" s="474" t="s">
        <v>676</v>
      </c>
      <c r="E1167" s="684" t="str">
        <f>+VLOOKUP(F1167,Resumen_Base!$C$8:$G$156,5,0)</f>
        <v>Maintenance Lodge</v>
      </c>
      <c r="F1167" s="152" t="s">
        <v>33</v>
      </c>
      <c r="G1167" s="152" t="s">
        <v>32</v>
      </c>
      <c r="H1167" s="152" t="str">
        <f t="shared" si="23"/>
        <v>CAR5252</v>
      </c>
      <c r="I1167" s="513">
        <v>141500</v>
      </c>
      <c r="J1167" s="513">
        <v>100</v>
      </c>
      <c r="K1167" s="513">
        <v>1415</v>
      </c>
      <c r="L1167" s="518" t="s">
        <v>3493</v>
      </c>
      <c r="M1167" s="152" t="s">
        <v>780</v>
      </c>
      <c r="N1167" s="152" t="s">
        <v>1407</v>
      </c>
      <c r="O1167" s="152" t="s">
        <v>3677</v>
      </c>
      <c r="P1167" s="152" t="s">
        <v>3489</v>
      </c>
      <c r="Q1167" s="152" t="s">
        <v>3678</v>
      </c>
      <c r="R1167" s="152" t="s">
        <v>3834</v>
      </c>
      <c r="S1167" s="152" t="s">
        <v>3679</v>
      </c>
      <c r="T1167" s="152" t="s">
        <v>786</v>
      </c>
    </row>
    <row r="1168" spans="3:20">
      <c r="C1168" s="152" t="s">
        <v>2821</v>
      </c>
      <c r="D1168" s="474" t="s">
        <v>676</v>
      </c>
      <c r="E1168" s="684" t="str">
        <f>+VLOOKUP(F1168,Resumen_Base!$C$8:$G$156,5,0)</f>
        <v>Maintenance Lodge</v>
      </c>
      <c r="F1168" s="152" t="s">
        <v>33</v>
      </c>
      <c r="G1168" s="152" t="s">
        <v>32</v>
      </c>
      <c r="H1168" s="152" t="str">
        <f t="shared" si="23"/>
        <v>CAR5252</v>
      </c>
      <c r="I1168" s="513">
        <v>20927.849999999999</v>
      </c>
      <c r="J1168" s="513">
        <v>14.79</v>
      </c>
      <c r="K1168" s="513">
        <v>1415</v>
      </c>
      <c r="L1168" s="518" t="s">
        <v>3493</v>
      </c>
      <c r="M1168" s="152" t="s">
        <v>780</v>
      </c>
      <c r="N1168" s="152" t="s">
        <v>1407</v>
      </c>
      <c r="O1168" s="152" t="s">
        <v>3677</v>
      </c>
      <c r="P1168" s="152" t="s">
        <v>3489</v>
      </c>
      <c r="Q1168" s="152" t="s">
        <v>3678</v>
      </c>
      <c r="R1168" s="152" t="s">
        <v>3834</v>
      </c>
      <c r="S1168" s="152" t="s">
        <v>3679</v>
      </c>
      <c r="T1168" s="152" t="s">
        <v>786</v>
      </c>
    </row>
    <row r="1169" spans="1:20">
      <c r="C1169" s="152" t="s">
        <v>2821</v>
      </c>
      <c r="D1169" s="474" t="s">
        <v>676</v>
      </c>
      <c r="E1169" s="684" t="str">
        <f>+VLOOKUP(F1169,Resumen_Base!$C$8:$G$156,5,0)</f>
        <v>Maintenance Lodge</v>
      </c>
      <c r="F1169" s="152" t="s">
        <v>33</v>
      </c>
      <c r="G1169" s="152" t="s">
        <v>32</v>
      </c>
      <c r="H1169" s="152" t="str">
        <f t="shared" si="23"/>
        <v>CAR5252</v>
      </c>
      <c r="I1169" s="513">
        <v>22442</v>
      </c>
      <c r="J1169" s="513">
        <v>16.03</v>
      </c>
      <c r="K1169" s="513">
        <v>1400</v>
      </c>
      <c r="L1169" s="518" t="s">
        <v>3659</v>
      </c>
      <c r="M1169" s="152" t="s">
        <v>780</v>
      </c>
      <c r="N1169" s="152" t="s">
        <v>1407</v>
      </c>
      <c r="O1169" s="152" t="s">
        <v>3795</v>
      </c>
      <c r="P1169" s="152" t="s">
        <v>3489</v>
      </c>
      <c r="Q1169" s="152" t="s">
        <v>3796</v>
      </c>
      <c r="R1169" s="152" t="s">
        <v>3838</v>
      </c>
      <c r="S1169" s="152" t="s">
        <v>3798</v>
      </c>
      <c r="T1169" s="152" t="s">
        <v>786</v>
      </c>
    </row>
    <row r="1170" spans="1:20">
      <c r="C1170" s="152" t="s">
        <v>2821</v>
      </c>
      <c r="D1170" s="474" t="s">
        <v>676</v>
      </c>
      <c r="E1170" s="684" t="str">
        <f>+VLOOKUP(F1170,Resumen_Base!$C$8:$G$156,5,0)</f>
        <v>Maintenance Lodge</v>
      </c>
      <c r="F1170" s="152" t="s">
        <v>33</v>
      </c>
      <c r="G1170" s="152" t="s">
        <v>32</v>
      </c>
      <c r="H1170" s="152" t="str">
        <f t="shared" si="23"/>
        <v>CAR5252</v>
      </c>
      <c r="I1170" s="513">
        <v>75995.25</v>
      </c>
      <c r="J1170" s="513">
        <v>53.33</v>
      </c>
      <c r="K1170" s="513">
        <v>1425</v>
      </c>
      <c r="L1170" s="518" t="s">
        <v>3504</v>
      </c>
      <c r="M1170" s="152" t="s">
        <v>780</v>
      </c>
      <c r="N1170" s="152" t="s">
        <v>1407</v>
      </c>
      <c r="O1170" s="152" t="s">
        <v>3505</v>
      </c>
      <c r="P1170" s="152" t="s">
        <v>3489</v>
      </c>
      <c r="Q1170" s="152" t="s">
        <v>3506</v>
      </c>
      <c r="R1170" s="152" t="s">
        <v>3839</v>
      </c>
      <c r="S1170" s="152" t="s">
        <v>3508</v>
      </c>
      <c r="T1170" s="152" t="s">
        <v>786</v>
      </c>
    </row>
    <row r="1171" spans="1:20">
      <c r="C1171" s="152" t="s">
        <v>2821</v>
      </c>
      <c r="D1171" s="474" t="s">
        <v>676</v>
      </c>
      <c r="E1171" s="684" t="str">
        <f>+VLOOKUP(F1171,Resumen_Base!$C$8:$G$156,5,0)</f>
        <v>Maintenance Lodge</v>
      </c>
      <c r="F1171" s="152" t="s">
        <v>33</v>
      </c>
      <c r="G1171" s="152" t="s">
        <v>32</v>
      </c>
      <c r="H1171" s="152" t="str">
        <f t="shared" si="23"/>
        <v>CAR5252</v>
      </c>
      <c r="I1171" s="513">
        <v>24449.4</v>
      </c>
      <c r="J1171" s="513">
        <v>17.34</v>
      </c>
      <c r="K1171" s="513">
        <v>1410</v>
      </c>
      <c r="L1171" s="518" t="s">
        <v>3659</v>
      </c>
      <c r="M1171" s="152" t="s">
        <v>780</v>
      </c>
      <c r="N1171" s="152" t="s">
        <v>1407</v>
      </c>
      <c r="O1171" s="152" t="s">
        <v>3795</v>
      </c>
      <c r="P1171" s="152" t="s">
        <v>3489</v>
      </c>
      <c r="Q1171" s="152" t="s">
        <v>3796</v>
      </c>
      <c r="R1171" s="152" t="s">
        <v>3846</v>
      </c>
      <c r="S1171" s="152" t="s">
        <v>3798</v>
      </c>
      <c r="T1171" s="152" t="s">
        <v>786</v>
      </c>
    </row>
    <row r="1172" spans="1:20">
      <c r="C1172" s="152" t="s">
        <v>2821</v>
      </c>
      <c r="D1172" s="474" t="s">
        <v>676</v>
      </c>
      <c r="E1172" s="684" t="str">
        <f>+VLOOKUP(F1172,Resumen_Base!$C$8:$G$156,5,0)</f>
        <v>Maintenance Lodge</v>
      </c>
      <c r="F1172" s="152" t="s">
        <v>33</v>
      </c>
      <c r="G1172" s="152" t="s">
        <v>32</v>
      </c>
      <c r="H1172" s="152" t="str">
        <f t="shared" si="23"/>
        <v>CAR5252</v>
      </c>
      <c r="I1172" s="513">
        <v>63616</v>
      </c>
      <c r="J1172" s="513">
        <v>45.44</v>
      </c>
      <c r="K1172" s="513">
        <v>1400</v>
      </c>
      <c r="L1172" s="518" t="s">
        <v>3632</v>
      </c>
      <c r="M1172" s="152" t="s">
        <v>780</v>
      </c>
      <c r="N1172" s="152" t="s">
        <v>1407</v>
      </c>
      <c r="O1172" s="152" t="s">
        <v>3633</v>
      </c>
      <c r="P1172" s="152" t="s">
        <v>3489</v>
      </c>
      <c r="Q1172" s="152" t="s">
        <v>3634</v>
      </c>
      <c r="R1172" s="152" t="s">
        <v>3848</v>
      </c>
      <c r="S1172" s="152" t="s">
        <v>3636</v>
      </c>
      <c r="T1172" s="152" t="s">
        <v>786</v>
      </c>
    </row>
    <row r="1173" spans="1:20">
      <c r="C1173" s="152" t="s">
        <v>2821</v>
      </c>
      <c r="D1173" s="474" t="s">
        <v>676</v>
      </c>
      <c r="E1173" s="684" t="str">
        <f>+VLOOKUP(F1173,Resumen_Base!$C$8:$G$156,5,0)</f>
        <v>Maintenance Lodge</v>
      </c>
      <c r="F1173" s="152" t="s">
        <v>33</v>
      </c>
      <c r="G1173" s="152" t="s">
        <v>32</v>
      </c>
      <c r="H1173" s="152" t="str">
        <f t="shared" si="23"/>
        <v>CAR5252</v>
      </c>
      <c r="I1173" s="513">
        <v>44459.3</v>
      </c>
      <c r="J1173" s="513">
        <v>31.42</v>
      </c>
      <c r="K1173" s="513">
        <v>1415</v>
      </c>
      <c r="L1173" s="518" t="s">
        <v>3632</v>
      </c>
      <c r="M1173" s="152" t="s">
        <v>780</v>
      </c>
      <c r="N1173" s="152" t="s">
        <v>1407</v>
      </c>
      <c r="O1173" s="152" t="s">
        <v>3633</v>
      </c>
      <c r="P1173" s="152" t="s">
        <v>3489</v>
      </c>
      <c r="Q1173" s="152" t="s">
        <v>3634</v>
      </c>
      <c r="R1173" s="152" t="s">
        <v>3850</v>
      </c>
      <c r="S1173" s="152" t="s">
        <v>3636</v>
      </c>
      <c r="T1173" s="152" t="s">
        <v>786</v>
      </c>
    </row>
    <row r="1174" spans="1:20">
      <c r="C1174" s="152" t="s">
        <v>2821</v>
      </c>
      <c r="D1174" s="474" t="s">
        <v>676</v>
      </c>
      <c r="E1174" s="684" t="str">
        <f>+VLOOKUP(F1174,Resumen_Base!$C$8:$G$156,5,0)</f>
        <v>Maintenance Lodge</v>
      </c>
      <c r="F1174" s="152" t="s">
        <v>33</v>
      </c>
      <c r="G1174" s="152" t="s">
        <v>32</v>
      </c>
      <c r="H1174" s="152" t="str">
        <f t="shared" si="23"/>
        <v>CAR5252</v>
      </c>
      <c r="I1174" s="513">
        <v>5377</v>
      </c>
      <c r="J1174" s="513">
        <v>3.8</v>
      </c>
      <c r="K1174" s="513">
        <v>1415</v>
      </c>
      <c r="L1174" s="518" t="s">
        <v>3632</v>
      </c>
      <c r="M1174" s="152" t="s">
        <v>780</v>
      </c>
      <c r="N1174" s="152" t="s">
        <v>1407</v>
      </c>
      <c r="O1174" s="152" t="s">
        <v>3633</v>
      </c>
      <c r="P1174" s="152" t="s">
        <v>3489</v>
      </c>
      <c r="Q1174" s="152" t="s">
        <v>3634</v>
      </c>
      <c r="R1174" s="152" t="s">
        <v>3851</v>
      </c>
      <c r="S1174" s="152" t="s">
        <v>3636</v>
      </c>
      <c r="T1174" s="152" t="s">
        <v>786</v>
      </c>
    </row>
    <row r="1175" spans="1:20">
      <c r="C1175" s="152" t="s">
        <v>2821</v>
      </c>
      <c r="D1175" s="474" t="s">
        <v>676</v>
      </c>
      <c r="E1175" s="684" t="str">
        <f>+VLOOKUP(F1175,Resumen_Base!$C$8:$G$156,5,0)</f>
        <v>Maintenance Lodge</v>
      </c>
      <c r="F1175" s="152" t="s">
        <v>33</v>
      </c>
      <c r="G1175" s="152" t="s">
        <v>32</v>
      </c>
      <c r="H1175" s="152" t="str">
        <f t="shared" si="23"/>
        <v>CAR5252</v>
      </c>
      <c r="I1175" s="513">
        <v>12918.95</v>
      </c>
      <c r="J1175" s="513">
        <v>9.1300000000000008</v>
      </c>
      <c r="K1175" s="513">
        <v>1415</v>
      </c>
      <c r="L1175" s="518" t="s">
        <v>3632</v>
      </c>
      <c r="M1175" s="152" t="s">
        <v>780</v>
      </c>
      <c r="N1175" s="152" t="s">
        <v>1407</v>
      </c>
      <c r="O1175" s="152" t="s">
        <v>3633</v>
      </c>
      <c r="P1175" s="152" t="s">
        <v>3489</v>
      </c>
      <c r="Q1175" s="152" t="s">
        <v>3634</v>
      </c>
      <c r="R1175" s="152" t="s">
        <v>3852</v>
      </c>
      <c r="S1175" s="152" t="s">
        <v>3636</v>
      </c>
      <c r="T1175" s="152" t="s">
        <v>786</v>
      </c>
    </row>
    <row r="1176" spans="1:20">
      <c r="C1176" s="152" t="s">
        <v>2821</v>
      </c>
      <c r="D1176" s="474" t="s">
        <v>676</v>
      </c>
      <c r="E1176" s="684" t="str">
        <f>+VLOOKUP(F1176,Resumen_Base!$C$8:$G$156,5,0)</f>
        <v>Maintenance Lodge</v>
      </c>
      <c r="F1176" s="152" t="s">
        <v>33</v>
      </c>
      <c r="G1176" s="152" t="s">
        <v>32</v>
      </c>
      <c r="H1176" s="152" t="str">
        <f t="shared" si="23"/>
        <v>CAR5252</v>
      </c>
      <c r="I1176" s="513">
        <v>26559.55</v>
      </c>
      <c r="J1176" s="513">
        <v>18.77</v>
      </c>
      <c r="K1176" s="513">
        <v>1415</v>
      </c>
      <c r="L1176" s="518" t="s">
        <v>3632</v>
      </c>
      <c r="M1176" s="152" t="s">
        <v>780</v>
      </c>
      <c r="N1176" s="152" t="s">
        <v>1407</v>
      </c>
      <c r="O1176" s="152" t="s">
        <v>3633</v>
      </c>
      <c r="P1176" s="152" t="s">
        <v>3489</v>
      </c>
      <c r="Q1176" s="152" t="s">
        <v>3634</v>
      </c>
      <c r="R1176" s="152" t="s">
        <v>3853</v>
      </c>
      <c r="S1176" s="152" t="s">
        <v>3636</v>
      </c>
      <c r="T1176" s="152" t="s">
        <v>786</v>
      </c>
    </row>
    <row r="1177" spans="1:20">
      <c r="C1177" s="152" t="s">
        <v>2821</v>
      </c>
      <c r="D1177" s="474" t="s">
        <v>676</v>
      </c>
      <c r="E1177" s="684" t="str">
        <f>+VLOOKUP(F1177,Resumen_Base!$C$8:$G$156,5,0)</f>
        <v>Maintenance Lodge</v>
      </c>
      <c r="F1177" s="152" t="s">
        <v>33</v>
      </c>
      <c r="G1177" s="152" t="s">
        <v>32</v>
      </c>
      <c r="H1177" s="152" t="str">
        <f t="shared" ref="H1177:H1240" si="24">+D1177&amp;F1177</f>
        <v>CAR5252</v>
      </c>
      <c r="I1177" s="513">
        <v>71485.8</v>
      </c>
      <c r="J1177" s="513">
        <v>50.52</v>
      </c>
      <c r="K1177" s="513">
        <v>1415</v>
      </c>
      <c r="L1177" s="518" t="s">
        <v>3632</v>
      </c>
      <c r="M1177" s="152" t="s">
        <v>780</v>
      </c>
      <c r="N1177" s="152" t="s">
        <v>1407</v>
      </c>
      <c r="O1177" s="152" t="s">
        <v>3633</v>
      </c>
      <c r="P1177" s="152" t="s">
        <v>3489</v>
      </c>
      <c r="Q1177" s="152" t="s">
        <v>3634</v>
      </c>
      <c r="R1177" s="152" t="s">
        <v>3854</v>
      </c>
      <c r="S1177" s="152" t="s">
        <v>3636</v>
      </c>
      <c r="T1177" s="152" t="s">
        <v>786</v>
      </c>
    </row>
    <row r="1178" spans="1:20">
      <c r="C1178" s="152" t="s">
        <v>2821</v>
      </c>
      <c r="D1178" s="474" t="s">
        <v>676</v>
      </c>
      <c r="E1178" s="684" t="str">
        <f>+VLOOKUP(F1178,Resumen_Base!$C$8:$G$156,5,0)</f>
        <v>Maintenance Lodge</v>
      </c>
      <c r="F1178" s="152" t="s">
        <v>33</v>
      </c>
      <c r="G1178" s="152" t="s">
        <v>32</v>
      </c>
      <c r="H1178" s="152" t="str">
        <f t="shared" si="24"/>
        <v>CAR5252</v>
      </c>
      <c r="I1178" s="513">
        <v>16520</v>
      </c>
      <c r="J1178" s="513">
        <v>11.8</v>
      </c>
      <c r="K1178" s="513">
        <v>1400</v>
      </c>
      <c r="L1178" s="518" t="s">
        <v>3659</v>
      </c>
      <c r="M1178" s="152" t="s">
        <v>780</v>
      </c>
      <c r="N1178" s="152" t="s">
        <v>1407</v>
      </c>
      <c r="O1178" s="152" t="s">
        <v>3795</v>
      </c>
      <c r="P1178" s="152" t="s">
        <v>3489</v>
      </c>
      <c r="Q1178" s="152" t="s">
        <v>3796</v>
      </c>
      <c r="R1178" s="152" t="s">
        <v>3855</v>
      </c>
      <c r="S1178" s="152" t="s">
        <v>3798</v>
      </c>
      <c r="T1178" s="152" t="s">
        <v>786</v>
      </c>
    </row>
    <row r="1179" spans="1:20">
      <c r="C1179" s="152" t="s">
        <v>2821</v>
      </c>
      <c r="D1179" s="474" t="s">
        <v>676</v>
      </c>
      <c r="E1179" s="684" t="str">
        <f>+VLOOKUP(F1179,Resumen_Base!$C$8:$G$156,5,0)</f>
        <v>Maintenance Lodge</v>
      </c>
      <c r="F1179" s="152" t="s">
        <v>33</v>
      </c>
      <c r="G1179" s="152" t="s">
        <v>32</v>
      </c>
      <c r="H1179" s="152" t="str">
        <f t="shared" si="24"/>
        <v>CAR5252</v>
      </c>
      <c r="I1179" s="513">
        <v>22526.799999999999</v>
      </c>
      <c r="J1179" s="513">
        <v>15.92</v>
      </c>
      <c r="K1179" s="513">
        <v>1415</v>
      </c>
      <c r="L1179" s="518" t="s">
        <v>3632</v>
      </c>
      <c r="M1179" s="152" t="s">
        <v>780</v>
      </c>
      <c r="N1179" s="152" t="s">
        <v>1407</v>
      </c>
      <c r="O1179" s="152" t="s">
        <v>3633</v>
      </c>
      <c r="P1179" s="152" t="s">
        <v>3489</v>
      </c>
      <c r="Q1179" s="152" t="s">
        <v>3634</v>
      </c>
      <c r="R1179" s="152" t="s">
        <v>3857</v>
      </c>
      <c r="S1179" s="152" t="s">
        <v>3636</v>
      </c>
      <c r="T1179" s="152" t="s">
        <v>786</v>
      </c>
    </row>
    <row r="1180" spans="1:20" ht="50">
      <c r="A1180" s="684" t="s">
        <v>5849</v>
      </c>
      <c r="B1180" s="210" t="s">
        <v>5859</v>
      </c>
      <c r="C1180" s="152" t="s">
        <v>2821</v>
      </c>
      <c r="D1180" s="474" t="s">
        <v>676</v>
      </c>
      <c r="E1180" s="684" t="str">
        <f>+VLOOKUP(F1180,Resumen_Base!$C$8:$G$156,5,0)</f>
        <v>Fixed Asset's Payments (Investments) Mejoras/equipamiento Lodge</v>
      </c>
      <c r="F1180" s="308" t="s">
        <v>6</v>
      </c>
      <c r="G1180" s="4" t="s">
        <v>5</v>
      </c>
      <c r="H1180" s="152" t="str">
        <f t="shared" si="24"/>
        <v>CAR12020301</v>
      </c>
      <c r="I1180" s="513">
        <v>1643409.75</v>
      </c>
      <c r="J1180" s="513">
        <v>1153.27</v>
      </c>
      <c r="K1180" s="513">
        <v>1425</v>
      </c>
      <c r="L1180" s="518" t="s">
        <v>3504</v>
      </c>
      <c r="M1180" s="152" t="s">
        <v>780</v>
      </c>
      <c r="N1180" s="152" t="s">
        <v>1407</v>
      </c>
      <c r="O1180" s="152" t="s">
        <v>3665</v>
      </c>
      <c r="P1180" s="152" t="s">
        <v>3489</v>
      </c>
      <c r="Q1180" s="152" t="s">
        <v>3666</v>
      </c>
      <c r="R1180" s="152" t="s">
        <v>3858</v>
      </c>
      <c r="S1180" s="152" t="s">
        <v>3668</v>
      </c>
      <c r="T1180" s="152" t="s">
        <v>786</v>
      </c>
    </row>
    <row r="1181" spans="1:20">
      <c r="C1181" s="152" t="s">
        <v>2821</v>
      </c>
      <c r="D1181" s="474" t="s">
        <v>676</v>
      </c>
      <c r="E1181" s="684" t="str">
        <f>+VLOOKUP(F1181,Resumen_Base!$C$8:$G$156,5,0)</f>
        <v>Maintenance Lodge</v>
      </c>
      <c r="F1181" s="152" t="s">
        <v>33</v>
      </c>
      <c r="G1181" s="152" t="s">
        <v>32</v>
      </c>
      <c r="H1181" s="152" t="str">
        <f t="shared" si="24"/>
        <v>CAR5252</v>
      </c>
      <c r="I1181" s="513">
        <v>2758</v>
      </c>
      <c r="J1181" s="513">
        <v>1.97</v>
      </c>
      <c r="K1181" s="513">
        <v>1400</v>
      </c>
      <c r="L1181" s="518" t="s">
        <v>3659</v>
      </c>
      <c r="M1181" s="152" t="s">
        <v>780</v>
      </c>
      <c r="N1181" s="152" t="s">
        <v>1407</v>
      </c>
      <c r="O1181" s="152" t="s">
        <v>3660</v>
      </c>
      <c r="P1181" s="152" t="s">
        <v>3489</v>
      </c>
      <c r="Q1181" s="152" t="s">
        <v>3661</v>
      </c>
      <c r="R1181" s="152" t="s">
        <v>1515</v>
      </c>
      <c r="S1181" s="152" t="s">
        <v>3663</v>
      </c>
      <c r="T1181" s="152" t="s">
        <v>786</v>
      </c>
    </row>
    <row r="1182" spans="1:20">
      <c r="C1182" s="152" t="s">
        <v>2821</v>
      </c>
      <c r="D1182" s="474" t="s">
        <v>676</v>
      </c>
      <c r="E1182" s="684" t="str">
        <f>+VLOOKUP(F1182,Resumen_Base!$C$8:$G$156,5,0)</f>
        <v>Maintenance Lodge</v>
      </c>
      <c r="F1182" s="152" t="s">
        <v>33</v>
      </c>
      <c r="G1182" s="152" t="s">
        <v>32</v>
      </c>
      <c r="H1182" s="152" t="str">
        <f t="shared" si="24"/>
        <v>CAR5252</v>
      </c>
      <c r="I1182" s="513">
        <v>2688.5</v>
      </c>
      <c r="J1182" s="513">
        <v>1.9</v>
      </c>
      <c r="K1182" s="513">
        <v>1415</v>
      </c>
      <c r="L1182" s="518" t="s">
        <v>3632</v>
      </c>
      <c r="M1182" s="152" t="s">
        <v>780</v>
      </c>
      <c r="N1182" s="152" t="s">
        <v>1407</v>
      </c>
      <c r="O1182" s="152" t="s">
        <v>3865</v>
      </c>
      <c r="P1182" s="152" t="s">
        <v>3489</v>
      </c>
      <c r="Q1182" s="152" t="s">
        <v>3866</v>
      </c>
      <c r="R1182" s="152" t="s">
        <v>1515</v>
      </c>
      <c r="S1182" s="152" t="s">
        <v>3867</v>
      </c>
      <c r="T1182" s="152" t="s">
        <v>786</v>
      </c>
    </row>
    <row r="1183" spans="1:20">
      <c r="C1183" s="152" t="s">
        <v>2821</v>
      </c>
      <c r="D1183" s="474" t="s">
        <v>676</v>
      </c>
      <c r="E1183" s="684" t="str">
        <f>+VLOOKUP(F1183,Resumen_Base!$C$8:$G$156,5,0)</f>
        <v>Maintenance Lodge</v>
      </c>
      <c r="F1183" s="152" t="s">
        <v>33</v>
      </c>
      <c r="G1183" s="152" t="s">
        <v>32</v>
      </c>
      <c r="H1183" s="152" t="str">
        <f t="shared" si="24"/>
        <v>CAR5252</v>
      </c>
      <c r="I1183" s="513">
        <v>2759.25</v>
      </c>
      <c r="J1183" s="513">
        <v>1.95</v>
      </c>
      <c r="K1183" s="513">
        <v>1415</v>
      </c>
      <c r="L1183" s="518" t="s">
        <v>3632</v>
      </c>
      <c r="M1183" s="152" t="s">
        <v>780</v>
      </c>
      <c r="N1183" s="152" t="s">
        <v>1407</v>
      </c>
      <c r="O1183" s="152" t="s">
        <v>3673</v>
      </c>
      <c r="P1183" s="152" t="s">
        <v>3489</v>
      </c>
      <c r="Q1183" s="152" t="s">
        <v>3674</v>
      </c>
      <c r="R1183" s="152" t="s">
        <v>1515</v>
      </c>
      <c r="S1183" s="152" t="s">
        <v>3676</v>
      </c>
      <c r="T1183" s="152" t="s">
        <v>786</v>
      </c>
    </row>
    <row r="1184" spans="1:20">
      <c r="C1184" s="152" t="s">
        <v>2821</v>
      </c>
      <c r="D1184" s="474" t="s">
        <v>676</v>
      </c>
      <c r="E1184" s="684" t="str">
        <f>+VLOOKUP(F1184,Resumen_Base!$C$8:$G$156,5,0)</f>
        <v>Maintenance Lodge</v>
      </c>
      <c r="F1184" s="152" t="s">
        <v>33</v>
      </c>
      <c r="G1184" s="152" t="s">
        <v>32</v>
      </c>
      <c r="H1184" s="152" t="str">
        <f t="shared" si="24"/>
        <v>CAR5252</v>
      </c>
      <c r="I1184" s="513">
        <v>2721.75</v>
      </c>
      <c r="J1184" s="513">
        <v>1.91</v>
      </c>
      <c r="K1184" s="513">
        <v>1425</v>
      </c>
      <c r="L1184" s="518" t="s">
        <v>3504</v>
      </c>
      <c r="M1184" s="152" t="s">
        <v>780</v>
      </c>
      <c r="N1184" s="152" t="s">
        <v>1407</v>
      </c>
      <c r="O1184" s="152" t="s">
        <v>3665</v>
      </c>
      <c r="P1184" s="152" t="s">
        <v>3489</v>
      </c>
      <c r="Q1184" s="152" t="s">
        <v>3666</v>
      </c>
      <c r="R1184" s="152" t="s">
        <v>3873</v>
      </c>
      <c r="S1184" s="152" t="s">
        <v>3668</v>
      </c>
      <c r="T1184" s="152" t="s">
        <v>786</v>
      </c>
    </row>
    <row r="1185" spans="3:20">
      <c r="C1185" s="152" t="s">
        <v>2821</v>
      </c>
      <c r="D1185" s="474" t="s">
        <v>676</v>
      </c>
      <c r="E1185" s="684" t="str">
        <f>+VLOOKUP(F1185,Resumen_Base!$C$8:$G$156,5,0)</f>
        <v>Maintenance Lodge</v>
      </c>
      <c r="F1185" s="152" t="s">
        <v>33</v>
      </c>
      <c r="G1185" s="152" t="s">
        <v>32</v>
      </c>
      <c r="H1185" s="152" t="str">
        <f t="shared" si="24"/>
        <v>CAR5252</v>
      </c>
      <c r="I1185" s="513">
        <v>225508.55</v>
      </c>
      <c r="J1185" s="513">
        <v>159.37</v>
      </c>
      <c r="K1185" s="513">
        <v>1415</v>
      </c>
      <c r="L1185" s="518" t="s">
        <v>3511</v>
      </c>
      <c r="M1185" s="152" t="s">
        <v>780</v>
      </c>
      <c r="N1185" s="152" t="s">
        <v>1407</v>
      </c>
      <c r="O1185" s="152" t="s">
        <v>3512</v>
      </c>
      <c r="P1185" s="152" t="s">
        <v>3489</v>
      </c>
      <c r="Q1185" s="152" t="s">
        <v>3513</v>
      </c>
      <c r="R1185" s="152" t="s">
        <v>3881</v>
      </c>
      <c r="S1185" s="152" t="s">
        <v>3515</v>
      </c>
      <c r="T1185" s="152" t="s">
        <v>786</v>
      </c>
    </row>
    <row r="1186" spans="3:20">
      <c r="C1186" s="152" t="s">
        <v>2821</v>
      </c>
      <c r="D1186" s="474" t="s">
        <v>676</v>
      </c>
      <c r="E1186" s="684" t="str">
        <f>+VLOOKUP(F1186,Resumen_Base!$C$8:$G$156,5,0)</f>
        <v>Maintenance Lodge</v>
      </c>
      <c r="F1186" s="152" t="s">
        <v>33</v>
      </c>
      <c r="G1186" s="152" t="s">
        <v>32</v>
      </c>
      <c r="H1186" s="152" t="str">
        <f t="shared" si="24"/>
        <v>CAR5252</v>
      </c>
      <c r="I1186" s="513">
        <v>10670.4</v>
      </c>
      <c r="J1186" s="513">
        <v>7.41</v>
      </c>
      <c r="K1186" s="513">
        <v>1440</v>
      </c>
      <c r="L1186" s="518" t="s">
        <v>3517</v>
      </c>
      <c r="M1186" s="152" t="s">
        <v>780</v>
      </c>
      <c r="N1186" s="152" t="s">
        <v>1407</v>
      </c>
      <c r="O1186" s="152" t="s">
        <v>3655</v>
      </c>
      <c r="P1186" s="152" t="s">
        <v>892</v>
      </c>
      <c r="Q1186" s="152" t="s">
        <v>3656</v>
      </c>
      <c r="R1186" s="152" t="s">
        <v>3884</v>
      </c>
      <c r="S1186" s="152" t="s">
        <v>3658</v>
      </c>
      <c r="T1186" s="152" t="s">
        <v>786</v>
      </c>
    </row>
    <row r="1187" spans="3:20">
      <c r="C1187" s="152" t="s">
        <v>2821</v>
      </c>
      <c r="D1187" s="474" t="s">
        <v>676</v>
      </c>
      <c r="E1187" s="684" t="str">
        <f>+VLOOKUP(F1187,Resumen_Base!$C$8:$G$156,5,0)</f>
        <v>Maintenance Lodge</v>
      </c>
      <c r="F1187" s="152" t="s">
        <v>33</v>
      </c>
      <c r="G1187" s="152" t="s">
        <v>32</v>
      </c>
      <c r="H1187" s="152" t="str">
        <f t="shared" si="24"/>
        <v>CAR5252</v>
      </c>
      <c r="I1187" s="513">
        <v>14025.6</v>
      </c>
      <c r="J1187" s="513">
        <v>9.74</v>
      </c>
      <c r="K1187" s="513">
        <v>1440</v>
      </c>
      <c r="L1187" s="518" t="s">
        <v>3517</v>
      </c>
      <c r="M1187" s="152" t="s">
        <v>780</v>
      </c>
      <c r="N1187" s="152" t="s">
        <v>1407</v>
      </c>
      <c r="O1187" s="152" t="s">
        <v>3518</v>
      </c>
      <c r="P1187" s="152" t="s">
        <v>892</v>
      </c>
      <c r="Q1187" s="152" t="s">
        <v>3519</v>
      </c>
      <c r="R1187" s="152" t="s">
        <v>3894</v>
      </c>
      <c r="S1187" s="152" t="s">
        <v>3521</v>
      </c>
      <c r="T1187" s="152" t="s">
        <v>786</v>
      </c>
    </row>
    <row r="1188" spans="3:20">
      <c r="C1188" s="152" t="s">
        <v>2821</v>
      </c>
      <c r="D1188" s="474" t="s">
        <v>676</v>
      </c>
      <c r="E1188" s="684" t="str">
        <f>+VLOOKUP(F1188,Resumen_Base!$C$8:$G$156,5,0)</f>
        <v>Maintenance Lodge</v>
      </c>
      <c r="F1188" s="152" t="s">
        <v>33</v>
      </c>
      <c r="G1188" s="152" t="s">
        <v>32</v>
      </c>
      <c r="H1188" s="152" t="str">
        <f t="shared" si="24"/>
        <v>CAR5252</v>
      </c>
      <c r="I1188" s="513">
        <v>7481.25</v>
      </c>
      <c r="J1188" s="513">
        <v>5.25</v>
      </c>
      <c r="K1188" s="513">
        <v>1425</v>
      </c>
      <c r="L1188" s="518" t="s">
        <v>3637</v>
      </c>
      <c r="M1188" s="152" t="s">
        <v>780</v>
      </c>
      <c r="N1188" s="152" t="s">
        <v>1407</v>
      </c>
      <c r="O1188" s="152" t="s">
        <v>3638</v>
      </c>
      <c r="P1188" s="152" t="s">
        <v>2865</v>
      </c>
      <c r="Q1188" s="152" t="s">
        <v>3639</v>
      </c>
      <c r="R1188" s="152" t="s">
        <v>3895</v>
      </c>
      <c r="S1188" s="152" t="s">
        <v>3641</v>
      </c>
      <c r="T1188" s="152" t="s">
        <v>786</v>
      </c>
    </row>
    <row r="1189" spans="3:20">
      <c r="C1189" s="152" t="s">
        <v>2821</v>
      </c>
      <c r="D1189" s="474" t="s">
        <v>676</v>
      </c>
      <c r="E1189" s="684" t="str">
        <f>+VLOOKUP(F1189,Resumen_Base!$C$8:$G$156,5,0)</f>
        <v>Maintenance Lodge</v>
      </c>
      <c r="F1189" s="152" t="s">
        <v>33</v>
      </c>
      <c r="G1189" s="152" t="s">
        <v>32</v>
      </c>
      <c r="H1189" s="152" t="str">
        <f t="shared" si="24"/>
        <v>CAR5252</v>
      </c>
      <c r="I1189" s="513">
        <v>35078.400000000001</v>
      </c>
      <c r="J1189" s="513">
        <v>24.36</v>
      </c>
      <c r="K1189" s="513">
        <v>1440</v>
      </c>
      <c r="L1189" s="518" t="s">
        <v>3637</v>
      </c>
      <c r="M1189" s="152" t="s">
        <v>780</v>
      </c>
      <c r="N1189" s="152" t="s">
        <v>1407</v>
      </c>
      <c r="O1189" s="152" t="s">
        <v>3638</v>
      </c>
      <c r="P1189" s="152" t="s">
        <v>2865</v>
      </c>
      <c r="Q1189" s="152" t="s">
        <v>3639</v>
      </c>
      <c r="R1189" s="152" t="s">
        <v>3897</v>
      </c>
      <c r="S1189" s="152" t="s">
        <v>3641</v>
      </c>
      <c r="T1189" s="152" t="s">
        <v>786</v>
      </c>
    </row>
    <row r="1190" spans="3:20">
      <c r="C1190" s="152" t="s">
        <v>2821</v>
      </c>
      <c r="D1190" s="474" t="s">
        <v>676</v>
      </c>
      <c r="E1190" s="684" t="str">
        <f>+VLOOKUP(F1190,Resumen_Base!$C$8:$G$156,5,0)</f>
        <v>Maintenance Lodge</v>
      </c>
      <c r="F1190" s="152" t="s">
        <v>33</v>
      </c>
      <c r="G1190" s="152" t="s">
        <v>32</v>
      </c>
      <c r="H1190" s="152" t="str">
        <f t="shared" si="24"/>
        <v>CAR5252</v>
      </c>
      <c r="I1190" s="513">
        <v>180129.5</v>
      </c>
      <c r="J1190" s="513">
        <v>127.3</v>
      </c>
      <c r="K1190" s="513">
        <v>1415</v>
      </c>
      <c r="L1190" s="518" t="s">
        <v>3632</v>
      </c>
      <c r="M1190" s="152" t="s">
        <v>780</v>
      </c>
      <c r="N1190" s="152" t="s">
        <v>1407</v>
      </c>
      <c r="O1190" s="152" t="s">
        <v>3865</v>
      </c>
      <c r="P1190" s="152" t="s">
        <v>3489</v>
      </c>
      <c r="Q1190" s="152" t="s">
        <v>3866</v>
      </c>
      <c r="R1190" s="152" t="s">
        <v>3934</v>
      </c>
      <c r="S1190" s="152" t="s">
        <v>3867</v>
      </c>
      <c r="T1190" s="152" t="s">
        <v>786</v>
      </c>
    </row>
    <row r="1191" spans="3:20">
      <c r="C1191" s="152" t="s">
        <v>2821</v>
      </c>
      <c r="D1191" s="474" t="s">
        <v>676</v>
      </c>
      <c r="E1191" s="684" t="str">
        <f>+VLOOKUP(F1191,Resumen_Base!$C$8:$G$156,5,0)</f>
        <v>Maintenance Lodge</v>
      </c>
      <c r="F1191" s="152" t="s">
        <v>33</v>
      </c>
      <c r="G1191" s="152" t="s">
        <v>32</v>
      </c>
      <c r="H1191" s="152" t="str">
        <f t="shared" si="24"/>
        <v>CAR5252</v>
      </c>
      <c r="I1191" s="513">
        <v>80697.75</v>
      </c>
      <c r="J1191" s="513">
        <v>56.63</v>
      </c>
      <c r="K1191" s="513">
        <v>1425</v>
      </c>
      <c r="L1191" s="518" t="s">
        <v>3504</v>
      </c>
      <c r="M1191" s="152" t="s">
        <v>780</v>
      </c>
      <c r="N1191" s="152" t="s">
        <v>1407</v>
      </c>
      <c r="O1191" s="152" t="s">
        <v>3505</v>
      </c>
      <c r="P1191" s="152" t="s">
        <v>3489</v>
      </c>
      <c r="Q1191" s="152" t="s">
        <v>3506</v>
      </c>
      <c r="R1191" s="152" t="s">
        <v>3935</v>
      </c>
      <c r="S1191" s="152" t="s">
        <v>3508</v>
      </c>
      <c r="T1191" s="152" t="s">
        <v>786</v>
      </c>
    </row>
    <row r="1192" spans="3:20">
      <c r="C1192" s="152" t="s">
        <v>2821</v>
      </c>
      <c r="D1192" s="474" t="s">
        <v>676</v>
      </c>
      <c r="E1192" s="684" t="str">
        <f>+VLOOKUP(F1192,Resumen_Base!$C$8:$G$156,5,0)</f>
        <v>Maintenance Lodge</v>
      </c>
      <c r="F1192" s="152" t="s">
        <v>33</v>
      </c>
      <c r="G1192" s="152" t="s">
        <v>32</v>
      </c>
      <c r="H1192" s="152" t="str">
        <f t="shared" si="24"/>
        <v>CAR5252</v>
      </c>
      <c r="I1192" s="513">
        <v>142500</v>
      </c>
      <c r="J1192" s="513">
        <v>100</v>
      </c>
      <c r="K1192" s="513">
        <v>1425</v>
      </c>
      <c r="L1192" s="518" t="s">
        <v>3504</v>
      </c>
      <c r="M1192" s="152" t="s">
        <v>780</v>
      </c>
      <c r="N1192" s="152" t="s">
        <v>1407</v>
      </c>
      <c r="O1192" s="152" t="s">
        <v>3505</v>
      </c>
      <c r="P1192" s="152" t="s">
        <v>3489</v>
      </c>
      <c r="Q1192" s="152" t="s">
        <v>3506</v>
      </c>
      <c r="R1192" s="152" t="s">
        <v>3938</v>
      </c>
      <c r="S1192" s="152" t="s">
        <v>3508</v>
      </c>
      <c r="T1192" s="152" t="s">
        <v>786</v>
      </c>
    </row>
    <row r="1193" spans="3:20">
      <c r="C1193" s="152" t="s">
        <v>2821</v>
      </c>
      <c r="D1193" s="474" t="s">
        <v>676</v>
      </c>
      <c r="E1193" s="684" t="str">
        <f>+VLOOKUP(F1193,Resumen_Base!$C$8:$G$156,5,0)</f>
        <v>Maintenance Lodge</v>
      </c>
      <c r="F1193" s="152" t="s">
        <v>33</v>
      </c>
      <c r="G1193" s="152" t="s">
        <v>32</v>
      </c>
      <c r="H1193" s="152" t="str">
        <f t="shared" si="24"/>
        <v>CAR5252</v>
      </c>
      <c r="I1193" s="513">
        <v>46612.800000000003</v>
      </c>
      <c r="J1193" s="513">
        <v>32.369999999999997</v>
      </c>
      <c r="K1193" s="513">
        <v>1440</v>
      </c>
      <c r="L1193" s="518" t="s">
        <v>3517</v>
      </c>
      <c r="M1193" s="152" t="s">
        <v>780</v>
      </c>
      <c r="N1193" s="152" t="s">
        <v>1407</v>
      </c>
      <c r="O1193" s="152" t="s">
        <v>3518</v>
      </c>
      <c r="P1193" s="152" t="s">
        <v>892</v>
      </c>
      <c r="Q1193" s="152" t="s">
        <v>3519</v>
      </c>
      <c r="R1193" s="152" t="s">
        <v>3939</v>
      </c>
      <c r="S1193" s="152" t="s">
        <v>3521</v>
      </c>
      <c r="T1193" s="152" t="s">
        <v>786</v>
      </c>
    </row>
    <row r="1194" spans="3:20">
      <c r="C1194" s="152" t="s">
        <v>2821</v>
      </c>
      <c r="D1194" s="474" t="s">
        <v>676</v>
      </c>
      <c r="E1194" s="684" t="str">
        <f>+VLOOKUP(F1194,Resumen_Base!$C$8:$G$156,5,0)</f>
        <v>Maintenance Lodge</v>
      </c>
      <c r="F1194" s="152" t="s">
        <v>33</v>
      </c>
      <c r="G1194" s="152" t="s">
        <v>32</v>
      </c>
      <c r="H1194" s="152" t="str">
        <f t="shared" si="24"/>
        <v>CAR5252</v>
      </c>
      <c r="I1194" s="513">
        <v>57956.25</v>
      </c>
      <c r="J1194" s="513">
        <v>41.25</v>
      </c>
      <c r="K1194" s="513">
        <v>1405</v>
      </c>
      <c r="L1194" s="518" t="s">
        <v>3493</v>
      </c>
      <c r="M1194" s="152" t="s">
        <v>780</v>
      </c>
      <c r="N1194" s="152" t="s">
        <v>1407</v>
      </c>
      <c r="O1194" s="152" t="s">
        <v>3677</v>
      </c>
      <c r="P1194" s="152" t="s">
        <v>3489</v>
      </c>
      <c r="Q1194" s="152" t="s">
        <v>3678</v>
      </c>
      <c r="R1194" s="152" t="s">
        <v>3940</v>
      </c>
      <c r="S1194" s="152" t="s">
        <v>3679</v>
      </c>
      <c r="T1194" s="152" t="s">
        <v>786</v>
      </c>
    </row>
    <row r="1195" spans="3:20">
      <c r="C1195" s="152" t="s">
        <v>2821</v>
      </c>
      <c r="D1195" s="474" t="s">
        <v>676</v>
      </c>
      <c r="E1195" s="684" t="str">
        <f>+VLOOKUP(F1195,Resumen_Base!$C$8:$G$156,5,0)</f>
        <v>Maintenance Lodge</v>
      </c>
      <c r="F1195" s="152" t="s">
        <v>33</v>
      </c>
      <c r="G1195" s="152" t="s">
        <v>32</v>
      </c>
      <c r="H1195" s="152" t="str">
        <f t="shared" si="24"/>
        <v>CAR5252</v>
      </c>
      <c r="I1195" s="513">
        <v>153833.45000000001</v>
      </c>
      <c r="J1195" s="513">
        <v>109.49</v>
      </c>
      <c r="K1195" s="513">
        <v>1405</v>
      </c>
      <c r="L1195" s="518" t="s">
        <v>3493</v>
      </c>
      <c r="M1195" s="152" t="s">
        <v>780</v>
      </c>
      <c r="N1195" s="152" t="s">
        <v>1407</v>
      </c>
      <c r="O1195" s="152" t="s">
        <v>3677</v>
      </c>
      <c r="P1195" s="152" t="s">
        <v>3489</v>
      </c>
      <c r="Q1195" s="152" t="s">
        <v>3678</v>
      </c>
      <c r="R1195" s="152" t="s">
        <v>3941</v>
      </c>
      <c r="S1195" s="152" t="s">
        <v>3679</v>
      </c>
      <c r="T1195" s="152" t="s">
        <v>786</v>
      </c>
    </row>
    <row r="1196" spans="3:20">
      <c r="C1196" s="152" t="s">
        <v>2821</v>
      </c>
      <c r="D1196" s="474" t="s">
        <v>676</v>
      </c>
      <c r="E1196" s="684" t="str">
        <f>+VLOOKUP(F1196,Resumen_Base!$C$8:$G$156,5,0)</f>
        <v>Maintenance Lodge</v>
      </c>
      <c r="F1196" s="152" t="s">
        <v>33</v>
      </c>
      <c r="G1196" s="152" t="s">
        <v>32</v>
      </c>
      <c r="H1196" s="152" t="str">
        <f t="shared" si="24"/>
        <v>CAR5252</v>
      </c>
      <c r="I1196" s="513">
        <v>193187.5</v>
      </c>
      <c r="J1196" s="513">
        <v>137.5</v>
      </c>
      <c r="K1196" s="513">
        <v>1405</v>
      </c>
      <c r="L1196" s="518" t="s">
        <v>3493</v>
      </c>
      <c r="M1196" s="152" t="s">
        <v>780</v>
      </c>
      <c r="N1196" s="152" t="s">
        <v>1407</v>
      </c>
      <c r="O1196" s="152" t="s">
        <v>3677</v>
      </c>
      <c r="P1196" s="152" t="s">
        <v>3489</v>
      </c>
      <c r="Q1196" s="152" t="s">
        <v>3678</v>
      </c>
      <c r="R1196" s="152" t="s">
        <v>3962</v>
      </c>
      <c r="S1196" s="152" t="s">
        <v>3679</v>
      </c>
      <c r="T1196" s="152" t="s">
        <v>786</v>
      </c>
    </row>
    <row r="1197" spans="3:20">
      <c r="C1197" s="152" t="s">
        <v>2821</v>
      </c>
      <c r="D1197" s="474" t="s">
        <v>676</v>
      </c>
      <c r="E1197" s="684" t="str">
        <f>+VLOOKUP(F1197,Resumen_Base!$C$8:$G$156,5,0)</f>
        <v>Maintenance Lodge</v>
      </c>
      <c r="F1197" s="152" t="s">
        <v>33</v>
      </c>
      <c r="G1197" s="152" t="s">
        <v>32</v>
      </c>
      <c r="H1197" s="152" t="str">
        <f t="shared" si="24"/>
        <v>CAR5252</v>
      </c>
      <c r="I1197" s="513">
        <v>13640.6</v>
      </c>
      <c r="J1197" s="513">
        <v>9.64</v>
      </c>
      <c r="K1197" s="513">
        <v>1415</v>
      </c>
      <c r="L1197" s="518" t="s">
        <v>3632</v>
      </c>
      <c r="M1197" s="152" t="s">
        <v>780</v>
      </c>
      <c r="N1197" s="152" t="s">
        <v>1407</v>
      </c>
      <c r="O1197" s="152" t="s">
        <v>3633</v>
      </c>
      <c r="P1197" s="152" t="s">
        <v>3489</v>
      </c>
      <c r="Q1197" s="152" t="s">
        <v>3634</v>
      </c>
      <c r="R1197" s="152" t="s">
        <v>3964</v>
      </c>
      <c r="S1197" s="152" t="s">
        <v>3636</v>
      </c>
      <c r="T1197" s="152" t="s">
        <v>786</v>
      </c>
    </row>
    <row r="1198" spans="3:20">
      <c r="C1198" s="152" t="s">
        <v>2821</v>
      </c>
      <c r="D1198" s="474" t="s">
        <v>676</v>
      </c>
      <c r="E1198" s="684" t="str">
        <f>+VLOOKUP(F1198,Resumen_Base!$C$8:$G$156,5,0)</f>
        <v>Maintenance Lodge</v>
      </c>
      <c r="F1198" s="152" t="s">
        <v>33</v>
      </c>
      <c r="G1198" s="152" t="s">
        <v>32</v>
      </c>
      <c r="H1198" s="152" t="str">
        <f t="shared" si="24"/>
        <v>CAR5252</v>
      </c>
      <c r="I1198" s="513">
        <v>8942.7999999999993</v>
      </c>
      <c r="J1198" s="513">
        <v>6.32</v>
      </c>
      <c r="K1198" s="513">
        <v>1415</v>
      </c>
      <c r="L1198" s="518" t="s">
        <v>3632</v>
      </c>
      <c r="M1198" s="152" t="s">
        <v>780</v>
      </c>
      <c r="N1198" s="152" t="s">
        <v>1407</v>
      </c>
      <c r="O1198" s="152" t="s">
        <v>3633</v>
      </c>
      <c r="P1198" s="152" t="s">
        <v>3489</v>
      </c>
      <c r="Q1198" s="152" t="s">
        <v>3634</v>
      </c>
      <c r="R1198" s="152" t="s">
        <v>3966</v>
      </c>
      <c r="S1198" s="152" t="s">
        <v>3636</v>
      </c>
      <c r="T1198" s="152" t="s">
        <v>786</v>
      </c>
    </row>
    <row r="1199" spans="3:20">
      <c r="C1199" s="152" t="s">
        <v>2821</v>
      </c>
      <c r="D1199" s="474" t="s">
        <v>676</v>
      </c>
      <c r="E1199" s="684" t="str">
        <f>+VLOOKUP(F1199,Resumen_Base!$C$8:$G$156,5,0)</f>
        <v>Maintenance Lodge</v>
      </c>
      <c r="F1199" s="152" t="s">
        <v>33</v>
      </c>
      <c r="G1199" s="152" t="s">
        <v>32</v>
      </c>
      <c r="H1199" s="152" t="str">
        <f t="shared" si="24"/>
        <v>CAR5252</v>
      </c>
      <c r="I1199" s="513">
        <v>9441.6</v>
      </c>
      <c r="J1199" s="513">
        <v>6.72</v>
      </c>
      <c r="K1199" s="513">
        <v>1405</v>
      </c>
      <c r="L1199" s="518" t="s">
        <v>3493</v>
      </c>
      <c r="M1199" s="152" t="s">
        <v>780</v>
      </c>
      <c r="N1199" s="152" t="s">
        <v>1407</v>
      </c>
      <c r="O1199" s="152" t="s">
        <v>3677</v>
      </c>
      <c r="P1199" s="152" t="s">
        <v>3489</v>
      </c>
      <c r="Q1199" s="152" t="s">
        <v>3678</v>
      </c>
      <c r="R1199" s="152" t="s">
        <v>3997</v>
      </c>
      <c r="S1199" s="152" t="s">
        <v>3679</v>
      </c>
      <c r="T1199" s="152" t="s">
        <v>786</v>
      </c>
    </row>
    <row r="1200" spans="3:20">
      <c r="C1200" s="152" t="s">
        <v>2821</v>
      </c>
      <c r="D1200" s="474" t="s">
        <v>676</v>
      </c>
      <c r="E1200" s="684" t="str">
        <f>+VLOOKUP(F1200,Resumen_Base!$C$8:$G$156,5,0)</f>
        <v>Maintenance Lodge</v>
      </c>
      <c r="F1200" s="152" t="s">
        <v>33</v>
      </c>
      <c r="G1200" s="152" t="s">
        <v>32</v>
      </c>
      <c r="H1200" s="152" t="str">
        <f t="shared" si="24"/>
        <v>CAR5252</v>
      </c>
      <c r="I1200" s="513">
        <v>12476.4</v>
      </c>
      <c r="J1200" s="513">
        <v>8.8800000000000008</v>
      </c>
      <c r="K1200" s="513">
        <v>1405</v>
      </c>
      <c r="L1200" s="518" t="s">
        <v>3493</v>
      </c>
      <c r="M1200" s="152" t="s">
        <v>780</v>
      </c>
      <c r="N1200" s="152" t="s">
        <v>1407</v>
      </c>
      <c r="O1200" s="152" t="s">
        <v>3677</v>
      </c>
      <c r="P1200" s="152" t="s">
        <v>3489</v>
      </c>
      <c r="Q1200" s="152" t="s">
        <v>3678</v>
      </c>
      <c r="R1200" s="152" t="s">
        <v>4000</v>
      </c>
      <c r="S1200" s="152" t="s">
        <v>3679</v>
      </c>
      <c r="T1200" s="152" t="s">
        <v>786</v>
      </c>
    </row>
    <row r="1201" spans="3:20">
      <c r="C1201" s="152" t="s">
        <v>2821</v>
      </c>
      <c r="D1201" s="474" t="s">
        <v>676</v>
      </c>
      <c r="E1201" s="684" t="str">
        <f>+VLOOKUP(F1201,Resumen_Base!$C$8:$G$156,5,0)</f>
        <v>Maintenance Lodge</v>
      </c>
      <c r="F1201" s="152" t="s">
        <v>33</v>
      </c>
      <c r="G1201" s="152" t="s">
        <v>32</v>
      </c>
      <c r="H1201" s="152" t="str">
        <f t="shared" si="24"/>
        <v>CAR5252</v>
      </c>
      <c r="I1201" s="513">
        <v>54036.3</v>
      </c>
      <c r="J1201" s="513">
        <v>38.46</v>
      </c>
      <c r="K1201" s="513">
        <v>1405</v>
      </c>
      <c r="L1201" s="518" t="s">
        <v>3493</v>
      </c>
      <c r="M1201" s="152" t="s">
        <v>780</v>
      </c>
      <c r="N1201" s="152" t="s">
        <v>1407</v>
      </c>
      <c r="O1201" s="152" t="s">
        <v>3677</v>
      </c>
      <c r="P1201" s="152" t="s">
        <v>3489</v>
      </c>
      <c r="Q1201" s="152" t="s">
        <v>3678</v>
      </c>
      <c r="R1201" s="152" t="s">
        <v>4024</v>
      </c>
      <c r="S1201" s="152" t="s">
        <v>3679</v>
      </c>
      <c r="T1201" s="152" t="s">
        <v>786</v>
      </c>
    </row>
    <row r="1202" spans="3:20">
      <c r="C1202" s="152" t="s">
        <v>2821</v>
      </c>
      <c r="D1202" s="474" t="s">
        <v>676</v>
      </c>
      <c r="E1202" s="684" t="str">
        <f>+VLOOKUP(F1202,Resumen_Base!$C$8:$G$156,5,0)</f>
        <v>Maintenance Lodge</v>
      </c>
      <c r="F1202" s="152" t="s">
        <v>33</v>
      </c>
      <c r="G1202" s="152" t="s">
        <v>32</v>
      </c>
      <c r="H1202" s="152" t="str">
        <f t="shared" si="24"/>
        <v>CAR5252</v>
      </c>
      <c r="I1202" s="513">
        <v>40550.400000000001</v>
      </c>
      <c r="J1202" s="513">
        <v>28.16</v>
      </c>
      <c r="K1202" s="513">
        <v>1440</v>
      </c>
      <c r="L1202" s="518" t="s">
        <v>3517</v>
      </c>
      <c r="M1202" s="152" t="s">
        <v>780</v>
      </c>
      <c r="N1202" s="152" t="s">
        <v>1407</v>
      </c>
      <c r="O1202" s="152" t="s">
        <v>3518</v>
      </c>
      <c r="P1202" s="152" t="s">
        <v>892</v>
      </c>
      <c r="Q1202" s="152" t="s">
        <v>3519</v>
      </c>
      <c r="R1202" s="152" t="s">
        <v>4025</v>
      </c>
      <c r="S1202" s="152" t="s">
        <v>3521</v>
      </c>
      <c r="T1202" s="152" t="s">
        <v>786</v>
      </c>
    </row>
    <row r="1203" spans="3:20">
      <c r="C1203" s="152" t="s">
        <v>2821</v>
      </c>
      <c r="D1203" s="474" t="s">
        <v>676</v>
      </c>
      <c r="E1203" s="684" t="str">
        <f>+VLOOKUP(F1203,Resumen_Base!$C$8:$G$156,5,0)</f>
        <v>Maintenance Lodge</v>
      </c>
      <c r="F1203" s="152" t="s">
        <v>33</v>
      </c>
      <c r="G1203" s="152" t="s">
        <v>32</v>
      </c>
      <c r="H1203" s="152" t="str">
        <f t="shared" si="24"/>
        <v>CAR5252</v>
      </c>
      <c r="I1203" s="513">
        <v>53458.7</v>
      </c>
      <c r="J1203" s="513">
        <v>37.78</v>
      </c>
      <c r="K1203" s="513">
        <v>1415</v>
      </c>
      <c r="L1203" s="518" t="s">
        <v>3493</v>
      </c>
      <c r="M1203" s="152" t="s">
        <v>780</v>
      </c>
      <c r="N1203" s="152" t="s">
        <v>1407</v>
      </c>
      <c r="O1203" s="152" t="s">
        <v>3677</v>
      </c>
      <c r="P1203" s="152" t="s">
        <v>3489</v>
      </c>
      <c r="Q1203" s="152" t="s">
        <v>3678</v>
      </c>
      <c r="R1203" s="152" t="s">
        <v>4026</v>
      </c>
      <c r="S1203" s="152" t="s">
        <v>3679</v>
      </c>
      <c r="T1203" s="152" t="s">
        <v>786</v>
      </c>
    </row>
    <row r="1204" spans="3:20">
      <c r="C1204" s="152" t="s">
        <v>2821</v>
      </c>
      <c r="D1204" s="474" t="s">
        <v>676</v>
      </c>
      <c r="E1204" s="684" t="str">
        <f>+VLOOKUP(F1204,Resumen_Base!$C$8:$G$156,5,0)</f>
        <v>Maintenance Lodge</v>
      </c>
      <c r="F1204" s="152" t="s">
        <v>33</v>
      </c>
      <c r="G1204" s="152" t="s">
        <v>32</v>
      </c>
      <c r="H1204" s="152" t="str">
        <f t="shared" si="24"/>
        <v>CAR5252</v>
      </c>
      <c r="I1204" s="513">
        <v>427712.05</v>
      </c>
      <c r="J1204" s="513">
        <v>302.27</v>
      </c>
      <c r="K1204" s="513">
        <v>1415</v>
      </c>
      <c r="L1204" s="518" t="s">
        <v>3632</v>
      </c>
      <c r="M1204" s="152" t="s">
        <v>780</v>
      </c>
      <c r="N1204" s="152" t="s">
        <v>1407</v>
      </c>
      <c r="O1204" s="152" t="s">
        <v>3673</v>
      </c>
      <c r="P1204" s="152" t="s">
        <v>3489</v>
      </c>
      <c r="Q1204" s="152" t="s">
        <v>3674</v>
      </c>
      <c r="R1204" s="152" t="s">
        <v>4031</v>
      </c>
      <c r="S1204" s="152" t="s">
        <v>3676</v>
      </c>
      <c r="T1204" s="152" t="s">
        <v>786</v>
      </c>
    </row>
    <row r="1205" spans="3:20">
      <c r="C1205" s="152" t="s">
        <v>2821</v>
      </c>
      <c r="D1205" s="474" t="s">
        <v>676</v>
      </c>
      <c r="E1205" s="684" t="str">
        <f>+VLOOKUP(F1205,Resumen_Base!$C$8:$G$156,5,0)</f>
        <v>Maintenance Lodge</v>
      </c>
      <c r="F1205" s="152" t="s">
        <v>33</v>
      </c>
      <c r="G1205" s="152" t="s">
        <v>32</v>
      </c>
      <c r="H1205" s="152" t="str">
        <f t="shared" si="24"/>
        <v>CAR5252</v>
      </c>
      <c r="I1205" s="513">
        <v>93628.800000000003</v>
      </c>
      <c r="J1205" s="513">
        <v>65.02</v>
      </c>
      <c r="K1205" s="513">
        <v>1440</v>
      </c>
      <c r="L1205" s="518" t="s">
        <v>3517</v>
      </c>
      <c r="M1205" s="152" t="s">
        <v>780</v>
      </c>
      <c r="N1205" s="152" t="s">
        <v>1407</v>
      </c>
      <c r="O1205" s="152" t="s">
        <v>3655</v>
      </c>
      <c r="P1205" s="152" t="s">
        <v>892</v>
      </c>
      <c r="Q1205" s="152" t="s">
        <v>3656</v>
      </c>
      <c r="R1205" s="152" t="s">
        <v>4037</v>
      </c>
      <c r="S1205" s="152" t="s">
        <v>3658</v>
      </c>
      <c r="T1205" s="152" t="s">
        <v>786</v>
      </c>
    </row>
    <row r="1206" spans="3:20">
      <c r="C1206" s="152" t="s">
        <v>2821</v>
      </c>
      <c r="D1206" s="474" t="s">
        <v>676</v>
      </c>
      <c r="E1206" s="684" t="str">
        <f>+VLOOKUP(F1206,Resumen_Base!$C$8:$G$156,5,0)</f>
        <v>Maintenance Lodge</v>
      </c>
      <c r="F1206" s="152" t="s">
        <v>33</v>
      </c>
      <c r="G1206" s="152" t="s">
        <v>32</v>
      </c>
      <c r="H1206" s="152" t="str">
        <f t="shared" si="24"/>
        <v>CAR5252</v>
      </c>
      <c r="I1206" s="513">
        <v>74798.25</v>
      </c>
      <c r="J1206" s="513">
        <v>52.49</v>
      </c>
      <c r="K1206" s="513">
        <v>1425</v>
      </c>
      <c r="L1206" s="518" t="s">
        <v>3637</v>
      </c>
      <c r="M1206" s="152" t="s">
        <v>780</v>
      </c>
      <c r="N1206" s="152" t="s">
        <v>1407</v>
      </c>
      <c r="O1206" s="152" t="s">
        <v>3638</v>
      </c>
      <c r="P1206" s="152" t="s">
        <v>2865</v>
      </c>
      <c r="Q1206" s="152" t="s">
        <v>3639</v>
      </c>
      <c r="R1206" s="152" t="s">
        <v>4038</v>
      </c>
      <c r="S1206" s="152" t="s">
        <v>3641</v>
      </c>
      <c r="T1206" s="152" t="s">
        <v>786</v>
      </c>
    </row>
    <row r="1207" spans="3:20">
      <c r="C1207" s="152" t="s">
        <v>2821</v>
      </c>
      <c r="D1207" s="474" t="s">
        <v>676</v>
      </c>
      <c r="E1207" s="684" t="str">
        <f>+VLOOKUP(F1207,Resumen_Base!$C$8:$G$156,5,0)</f>
        <v>Maintenance Lodge</v>
      </c>
      <c r="F1207" s="152" t="s">
        <v>33</v>
      </c>
      <c r="G1207" s="152" t="s">
        <v>32</v>
      </c>
      <c r="H1207" s="152" t="str">
        <f t="shared" si="24"/>
        <v>CAR5252</v>
      </c>
      <c r="I1207" s="513">
        <v>431326</v>
      </c>
      <c r="J1207" s="513">
        <v>308.08999999999997</v>
      </c>
      <c r="K1207" s="513">
        <v>1400</v>
      </c>
      <c r="L1207" s="518" t="s">
        <v>3659</v>
      </c>
      <c r="M1207" s="152" t="s">
        <v>780</v>
      </c>
      <c r="N1207" s="152" t="s">
        <v>1407</v>
      </c>
      <c r="O1207" s="152" t="s">
        <v>3660</v>
      </c>
      <c r="P1207" s="152" t="s">
        <v>3489</v>
      </c>
      <c r="Q1207" s="152" t="s">
        <v>3661</v>
      </c>
      <c r="R1207" s="152" t="s">
        <v>4039</v>
      </c>
      <c r="S1207" s="152" t="s">
        <v>3663</v>
      </c>
      <c r="T1207" s="152" t="s">
        <v>786</v>
      </c>
    </row>
    <row r="1208" spans="3:20">
      <c r="C1208" s="152" t="s">
        <v>2821</v>
      </c>
      <c r="D1208" s="474" t="s">
        <v>676</v>
      </c>
      <c r="E1208" s="684" t="str">
        <f>+VLOOKUP(F1208,Resumen_Base!$C$8:$G$156,5,0)</f>
        <v>Maintenance Lodge</v>
      </c>
      <c r="F1208" s="152" t="s">
        <v>33</v>
      </c>
      <c r="G1208" s="152" t="s">
        <v>32</v>
      </c>
      <c r="H1208" s="152" t="str">
        <f t="shared" si="24"/>
        <v>CAR5252</v>
      </c>
      <c r="I1208" s="513">
        <v>82281.600000000006</v>
      </c>
      <c r="J1208" s="513">
        <v>57.14</v>
      </c>
      <c r="K1208" s="513">
        <v>1440</v>
      </c>
      <c r="L1208" s="518" t="s">
        <v>3637</v>
      </c>
      <c r="M1208" s="152" t="s">
        <v>780</v>
      </c>
      <c r="N1208" s="152" t="s">
        <v>1407</v>
      </c>
      <c r="O1208" s="152" t="s">
        <v>3638</v>
      </c>
      <c r="P1208" s="152" t="s">
        <v>2865</v>
      </c>
      <c r="Q1208" s="152" t="s">
        <v>3639</v>
      </c>
      <c r="R1208" s="152" t="s">
        <v>4067</v>
      </c>
      <c r="S1208" s="152" t="s">
        <v>3641</v>
      </c>
      <c r="T1208" s="152" t="s">
        <v>786</v>
      </c>
    </row>
    <row r="1209" spans="3:20">
      <c r="C1209" s="152" t="s">
        <v>2821</v>
      </c>
      <c r="D1209" s="474" t="s">
        <v>676</v>
      </c>
      <c r="E1209" s="684" t="str">
        <f>+VLOOKUP(F1209,Resumen_Base!$C$8:$G$156,5,0)</f>
        <v>Maintenance Lodge</v>
      </c>
      <c r="F1209" s="152" t="s">
        <v>33</v>
      </c>
      <c r="G1209" s="152" t="s">
        <v>32</v>
      </c>
      <c r="H1209" s="152" t="str">
        <f t="shared" si="24"/>
        <v>CAR5252</v>
      </c>
      <c r="I1209" s="513">
        <v>44861.65</v>
      </c>
      <c r="J1209" s="513">
        <v>31.93</v>
      </c>
      <c r="K1209" s="513">
        <v>1405</v>
      </c>
      <c r="L1209" s="518" t="s">
        <v>3493</v>
      </c>
      <c r="M1209" s="152" t="s">
        <v>780</v>
      </c>
      <c r="N1209" s="152" t="s">
        <v>1407</v>
      </c>
      <c r="O1209" s="152" t="s">
        <v>3677</v>
      </c>
      <c r="P1209" s="152" t="s">
        <v>3489</v>
      </c>
      <c r="Q1209" s="152" t="s">
        <v>3678</v>
      </c>
      <c r="R1209" s="152" t="s">
        <v>4069</v>
      </c>
      <c r="S1209" s="152" t="s">
        <v>3679</v>
      </c>
      <c r="T1209" s="152" t="s">
        <v>786</v>
      </c>
    </row>
    <row r="1210" spans="3:20">
      <c r="C1210" s="152" t="s">
        <v>2821</v>
      </c>
      <c r="D1210" s="474" t="s">
        <v>676</v>
      </c>
      <c r="E1210" s="684" t="str">
        <f>+VLOOKUP(F1210,Resumen_Base!$C$8:$G$156,5,0)</f>
        <v>Maintenance Lodge</v>
      </c>
      <c r="F1210" s="152" t="s">
        <v>33</v>
      </c>
      <c r="G1210" s="152" t="s">
        <v>32</v>
      </c>
      <c r="H1210" s="152" t="str">
        <f t="shared" si="24"/>
        <v>CAR5252</v>
      </c>
      <c r="I1210" s="513">
        <v>117570.4</v>
      </c>
      <c r="J1210" s="513">
        <v>83.68</v>
      </c>
      <c r="K1210" s="513">
        <v>1405</v>
      </c>
      <c r="L1210" s="518" t="s">
        <v>3493</v>
      </c>
      <c r="M1210" s="152" t="s">
        <v>780</v>
      </c>
      <c r="N1210" s="152" t="s">
        <v>1407</v>
      </c>
      <c r="O1210" s="152" t="s">
        <v>3677</v>
      </c>
      <c r="P1210" s="152" t="s">
        <v>3489</v>
      </c>
      <c r="Q1210" s="152" t="s">
        <v>3678</v>
      </c>
      <c r="R1210" s="152" t="s">
        <v>4070</v>
      </c>
      <c r="S1210" s="152" t="s">
        <v>3679</v>
      </c>
      <c r="T1210" s="152" t="s">
        <v>786</v>
      </c>
    </row>
    <row r="1211" spans="3:20">
      <c r="C1211" s="152" t="s">
        <v>2821</v>
      </c>
      <c r="D1211" s="474" t="s">
        <v>676</v>
      </c>
      <c r="E1211" s="684" t="str">
        <f>+VLOOKUP(F1211,Resumen_Base!$C$8:$G$156,5,0)</f>
        <v>Maintenance Lodge</v>
      </c>
      <c r="F1211" s="152" t="s">
        <v>33</v>
      </c>
      <c r="G1211" s="152" t="s">
        <v>32</v>
      </c>
      <c r="H1211" s="152" t="str">
        <f t="shared" si="24"/>
        <v>CAR5252</v>
      </c>
      <c r="I1211" s="513">
        <v>4320</v>
      </c>
      <c r="J1211" s="513">
        <v>3</v>
      </c>
      <c r="K1211" s="513">
        <v>1440</v>
      </c>
      <c r="L1211" s="518" t="s">
        <v>3517</v>
      </c>
      <c r="M1211" s="152" t="s">
        <v>780</v>
      </c>
      <c r="N1211" s="152" t="s">
        <v>1407</v>
      </c>
      <c r="O1211" s="152" t="s">
        <v>3518</v>
      </c>
      <c r="P1211" s="152" t="s">
        <v>892</v>
      </c>
      <c r="Q1211" s="152" t="s">
        <v>3519</v>
      </c>
      <c r="R1211" s="152" t="s">
        <v>4103</v>
      </c>
      <c r="S1211" s="152" t="s">
        <v>3521</v>
      </c>
      <c r="T1211" s="152" t="s">
        <v>786</v>
      </c>
    </row>
    <row r="1212" spans="3:20">
      <c r="C1212" s="152" t="s">
        <v>2821</v>
      </c>
      <c r="D1212" s="474" t="s">
        <v>676</v>
      </c>
      <c r="E1212" s="684" t="str">
        <f>+VLOOKUP(F1212,Resumen_Base!$C$8:$G$156,5,0)</f>
        <v>Maintenance Lodge</v>
      </c>
      <c r="F1212" s="152" t="s">
        <v>33</v>
      </c>
      <c r="G1212" s="152" t="s">
        <v>32</v>
      </c>
      <c r="H1212" s="152" t="str">
        <f t="shared" si="24"/>
        <v>CAR5252</v>
      </c>
      <c r="I1212" s="513">
        <v>171527.25</v>
      </c>
      <c r="J1212" s="513">
        <v>120.37</v>
      </c>
      <c r="K1212" s="513">
        <v>1425</v>
      </c>
      <c r="L1212" s="518" t="s">
        <v>3637</v>
      </c>
      <c r="N1212" s="152" t="s">
        <v>1407</v>
      </c>
      <c r="P1212" s="152" t="s">
        <v>5051</v>
      </c>
      <c r="Q1212" s="152" t="s">
        <v>5057</v>
      </c>
      <c r="R1212" s="152" t="s">
        <v>5057</v>
      </c>
      <c r="S1212" s="152" t="s">
        <v>5053</v>
      </c>
      <c r="T1212" s="152" t="s">
        <v>786</v>
      </c>
    </row>
    <row r="1213" spans="3:20" ht="25">
      <c r="C1213" s="152" t="s">
        <v>2821</v>
      </c>
      <c r="D1213" s="474" t="s">
        <v>676</v>
      </c>
      <c r="E1213" s="684" t="str">
        <f>+VLOOKUP(F1213,Resumen_Base!$C$8:$G$156,5,0)</f>
        <v>Maintenance  Boats / Vehicles</v>
      </c>
      <c r="F1213" s="152" t="s">
        <v>66</v>
      </c>
      <c r="G1213" s="152" t="s">
        <v>67</v>
      </c>
      <c r="H1213" s="152" t="str">
        <f t="shared" si="24"/>
        <v>CAR5253</v>
      </c>
      <c r="I1213" s="513">
        <v>195295</v>
      </c>
      <c r="J1213" s="513">
        <v>139</v>
      </c>
      <c r="K1213" s="513">
        <v>1405</v>
      </c>
      <c r="L1213" s="518" t="s">
        <v>3493</v>
      </c>
      <c r="M1213" s="152" t="s">
        <v>780</v>
      </c>
      <c r="N1213" s="152" t="s">
        <v>1407</v>
      </c>
      <c r="O1213" s="152" t="s">
        <v>3695</v>
      </c>
      <c r="P1213" s="152" t="s">
        <v>3489</v>
      </c>
      <c r="Q1213" s="152" t="s">
        <v>3696</v>
      </c>
      <c r="R1213" s="152" t="s">
        <v>3697</v>
      </c>
      <c r="S1213" s="152" t="s">
        <v>3698</v>
      </c>
      <c r="T1213" s="152" t="s">
        <v>786</v>
      </c>
    </row>
    <row r="1214" spans="3:20" ht="25">
      <c r="C1214" s="152" t="s">
        <v>2821</v>
      </c>
      <c r="D1214" s="474" t="s">
        <v>676</v>
      </c>
      <c r="E1214" s="684" t="str">
        <f>+VLOOKUP(F1214,Resumen_Base!$C$8:$G$156,5,0)</f>
        <v>Maintenance  Boats / Vehicles</v>
      </c>
      <c r="F1214" s="152" t="s">
        <v>66</v>
      </c>
      <c r="G1214" s="152" t="s">
        <v>67</v>
      </c>
      <c r="H1214" s="152" t="str">
        <f t="shared" si="24"/>
        <v>CAR5253</v>
      </c>
      <c r="I1214" s="513">
        <v>124520</v>
      </c>
      <c r="J1214" s="513">
        <v>88</v>
      </c>
      <c r="K1214" s="513">
        <v>1415</v>
      </c>
      <c r="L1214" s="518" t="s">
        <v>3511</v>
      </c>
      <c r="M1214" s="152" t="s">
        <v>780</v>
      </c>
      <c r="N1214" s="152" t="s">
        <v>1407</v>
      </c>
      <c r="O1214" s="152" t="s">
        <v>3512</v>
      </c>
      <c r="P1214" s="152" t="s">
        <v>3489</v>
      </c>
      <c r="Q1214" s="152" t="s">
        <v>3513</v>
      </c>
      <c r="R1214" s="152" t="s">
        <v>3815</v>
      </c>
      <c r="S1214" s="152" t="s">
        <v>3515</v>
      </c>
      <c r="T1214" s="152" t="s">
        <v>786</v>
      </c>
    </row>
    <row r="1215" spans="3:20" ht="25">
      <c r="C1215" s="152" t="s">
        <v>2821</v>
      </c>
      <c r="D1215" s="474" t="s">
        <v>676</v>
      </c>
      <c r="E1215" s="684" t="str">
        <f>+VLOOKUP(F1215,Resumen_Base!$C$8:$G$156,5,0)</f>
        <v>Maintenance  Boats / Vehicles</v>
      </c>
      <c r="F1215" s="152" t="s">
        <v>66</v>
      </c>
      <c r="G1215" s="152" t="s">
        <v>67</v>
      </c>
      <c r="H1215" s="152" t="str">
        <f t="shared" si="24"/>
        <v>CAR5253</v>
      </c>
      <c r="I1215" s="513">
        <v>62999.25</v>
      </c>
      <c r="J1215" s="513">
        <v>44.21</v>
      </c>
      <c r="K1215" s="513">
        <v>1425</v>
      </c>
      <c r="L1215" s="518" t="s">
        <v>3637</v>
      </c>
      <c r="M1215" s="152" t="s">
        <v>780</v>
      </c>
      <c r="N1215" s="152" t="s">
        <v>1407</v>
      </c>
      <c r="O1215" s="152" t="s">
        <v>3680</v>
      </c>
      <c r="P1215" s="152" t="s">
        <v>2865</v>
      </c>
      <c r="Q1215" s="152" t="s">
        <v>3681</v>
      </c>
      <c r="R1215" s="152" t="s">
        <v>3859</v>
      </c>
      <c r="S1215" s="152" t="s">
        <v>3683</v>
      </c>
      <c r="T1215" s="152" t="s">
        <v>786</v>
      </c>
    </row>
    <row r="1216" spans="3:20" ht="25">
      <c r="C1216" s="152" t="s">
        <v>2821</v>
      </c>
      <c r="D1216" s="474" t="s">
        <v>676</v>
      </c>
      <c r="E1216" s="684" t="str">
        <f>+VLOOKUP(F1216,Resumen_Base!$C$8:$G$156,5,0)</f>
        <v>Maintenance  Boats / Vehicles</v>
      </c>
      <c r="F1216" s="152" t="s">
        <v>66</v>
      </c>
      <c r="G1216" s="152" t="s">
        <v>67</v>
      </c>
      <c r="H1216" s="152" t="str">
        <f t="shared" si="24"/>
        <v>CAR5253</v>
      </c>
      <c r="I1216" s="513">
        <v>2721.75</v>
      </c>
      <c r="J1216" s="513">
        <v>1.91</v>
      </c>
      <c r="K1216" s="513">
        <v>1425</v>
      </c>
      <c r="L1216" s="518" t="s">
        <v>3637</v>
      </c>
      <c r="M1216" s="152" t="s">
        <v>780</v>
      </c>
      <c r="N1216" s="152" t="s">
        <v>1407</v>
      </c>
      <c r="O1216" s="152" t="s">
        <v>3680</v>
      </c>
      <c r="P1216" s="152" t="s">
        <v>2865</v>
      </c>
      <c r="Q1216" s="152" t="s">
        <v>3681</v>
      </c>
      <c r="R1216" s="152" t="s">
        <v>1515</v>
      </c>
      <c r="S1216" s="152" t="s">
        <v>3683</v>
      </c>
      <c r="T1216" s="152" t="s">
        <v>786</v>
      </c>
    </row>
    <row r="1217" spans="1:20" ht="25">
      <c r="C1217" s="152" t="s">
        <v>2821</v>
      </c>
      <c r="D1217" s="474" t="s">
        <v>676</v>
      </c>
      <c r="E1217" s="684" t="str">
        <f>+VLOOKUP(F1217,Resumen_Base!$C$8:$G$156,5,0)</f>
        <v>Maintenance  Boats / Vehicles</v>
      </c>
      <c r="F1217" s="152" t="s">
        <v>66</v>
      </c>
      <c r="G1217" s="152" t="s">
        <v>67</v>
      </c>
      <c r="H1217" s="152" t="str">
        <f t="shared" si="24"/>
        <v>CAR5253</v>
      </c>
      <c r="I1217" s="513">
        <v>2707.5</v>
      </c>
      <c r="J1217" s="513">
        <v>1.9</v>
      </c>
      <c r="K1217" s="513">
        <v>1425</v>
      </c>
      <c r="L1217" s="518" t="s">
        <v>3504</v>
      </c>
      <c r="M1217" s="152" t="s">
        <v>780</v>
      </c>
      <c r="N1217" s="152" t="s">
        <v>1407</v>
      </c>
      <c r="O1217" s="152" t="s">
        <v>3768</v>
      </c>
      <c r="P1217" s="152" t="s">
        <v>3489</v>
      </c>
      <c r="Q1217" s="152" t="s">
        <v>3769</v>
      </c>
      <c r="R1217" s="152" t="s">
        <v>1515</v>
      </c>
      <c r="S1217" s="152" t="s">
        <v>3771</v>
      </c>
      <c r="T1217" s="152" t="s">
        <v>786</v>
      </c>
    </row>
    <row r="1218" spans="1:20" ht="25">
      <c r="C1218" s="152" t="s">
        <v>2821</v>
      </c>
      <c r="D1218" s="474" t="s">
        <v>676</v>
      </c>
      <c r="E1218" s="684" t="str">
        <f>+VLOOKUP(F1218,Resumen_Base!$C$8:$G$156,5,0)</f>
        <v>Maintenance  Boats / Vehicles</v>
      </c>
      <c r="F1218" s="152" t="s">
        <v>66</v>
      </c>
      <c r="G1218" s="152" t="s">
        <v>67</v>
      </c>
      <c r="H1218" s="152" t="str">
        <f t="shared" si="24"/>
        <v>CAR5253</v>
      </c>
      <c r="I1218" s="513">
        <v>2669.5</v>
      </c>
      <c r="J1218" s="513">
        <v>1.9</v>
      </c>
      <c r="K1218" s="513">
        <v>1405</v>
      </c>
      <c r="L1218" s="518" t="s">
        <v>3493</v>
      </c>
      <c r="M1218" s="152" t="s">
        <v>780</v>
      </c>
      <c r="N1218" s="152" t="s">
        <v>1407</v>
      </c>
      <c r="O1218" s="152" t="s">
        <v>3695</v>
      </c>
      <c r="P1218" s="152" t="s">
        <v>3489</v>
      </c>
      <c r="Q1218" s="152" t="s">
        <v>3696</v>
      </c>
      <c r="R1218" s="152" t="s">
        <v>1515</v>
      </c>
      <c r="S1218" s="152" t="s">
        <v>3698</v>
      </c>
      <c r="T1218" s="152" t="s">
        <v>786</v>
      </c>
    </row>
    <row r="1219" spans="1:20" ht="25">
      <c r="C1219" s="152" t="s">
        <v>2821</v>
      </c>
      <c r="D1219" s="474" t="s">
        <v>676</v>
      </c>
      <c r="E1219" s="684" t="str">
        <f>+VLOOKUP(F1219,Resumen_Base!$C$8:$G$156,5,0)</f>
        <v>Maintenance  Boats / Vehicles</v>
      </c>
      <c r="F1219" s="152" t="s">
        <v>66</v>
      </c>
      <c r="G1219" s="152" t="s">
        <v>67</v>
      </c>
      <c r="H1219" s="152" t="str">
        <f t="shared" si="24"/>
        <v>CAR5253</v>
      </c>
      <c r="I1219" s="513">
        <v>168600</v>
      </c>
      <c r="J1219" s="513">
        <v>120</v>
      </c>
      <c r="K1219" s="513">
        <v>1405</v>
      </c>
      <c r="L1219" s="518" t="s">
        <v>3493</v>
      </c>
      <c r="M1219" s="152" t="s">
        <v>780</v>
      </c>
      <c r="N1219" s="152" t="s">
        <v>1407</v>
      </c>
      <c r="O1219" s="152" t="s">
        <v>3695</v>
      </c>
      <c r="P1219" s="152" t="s">
        <v>3489</v>
      </c>
      <c r="Q1219" s="152" t="s">
        <v>3696</v>
      </c>
      <c r="R1219" s="152" t="s">
        <v>3903</v>
      </c>
      <c r="S1219" s="152" t="s">
        <v>3698</v>
      </c>
      <c r="T1219" s="152" t="s">
        <v>786</v>
      </c>
    </row>
    <row r="1220" spans="1:20" ht="25">
      <c r="C1220" s="152" t="s">
        <v>2821</v>
      </c>
      <c r="D1220" s="474" t="s">
        <v>676</v>
      </c>
      <c r="E1220" s="684" t="str">
        <f>+VLOOKUP(F1220,Resumen_Base!$C$8:$G$156,5,0)</f>
        <v>Maintenance  Boats / Vehicles</v>
      </c>
      <c r="F1220" s="152" t="s">
        <v>66</v>
      </c>
      <c r="G1220" s="152" t="s">
        <v>67</v>
      </c>
      <c r="H1220" s="152" t="str">
        <f t="shared" si="24"/>
        <v>CAR5253</v>
      </c>
      <c r="I1220" s="513">
        <v>335795</v>
      </c>
      <c r="J1220" s="513">
        <v>239</v>
      </c>
      <c r="K1220" s="513">
        <v>1405</v>
      </c>
      <c r="L1220" s="518" t="s">
        <v>3493</v>
      </c>
      <c r="M1220" s="152" t="s">
        <v>780</v>
      </c>
      <c r="N1220" s="152" t="s">
        <v>1407</v>
      </c>
      <c r="O1220" s="152" t="s">
        <v>3695</v>
      </c>
      <c r="P1220" s="152" t="s">
        <v>3489</v>
      </c>
      <c r="Q1220" s="152" t="s">
        <v>3696</v>
      </c>
      <c r="R1220" s="152" t="s">
        <v>3953</v>
      </c>
      <c r="S1220" s="152" t="s">
        <v>3698</v>
      </c>
      <c r="T1220" s="152" t="s">
        <v>786</v>
      </c>
    </row>
    <row r="1221" spans="1:20" ht="25">
      <c r="C1221" s="152" t="s">
        <v>2821</v>
      </c>
      <c r="D1221" s="474" t="s">
        <v>676</v>
      </c>
      <c r="E1221" s="684" t="str">
        <f>+VLOOKUP(F1221,Resumen_Base!$C$8:$G$156,5,0)</f>
        <v>Maintenance  Boats / Vehicles</v>
      </c>
      <c r="F1221" s="152" t="s">
        <v>66</v>
      </c>
      <c r="G1221" s="152" t="s">
        <v>67</v>
      </c>
      <c r="H1221" s="152" t="str">
        <f t="shared" si="24"/>
        <v>CAR5253</v>
      </c>
      <c r="I1221" s="513">
        <v>18555.599999999999</v>
      </c>
      <c r="J1221" s="513">
        <v>13.16</v>
      </c>
      <c r="K1221" s="513">
        <v>1410</v>
      </c>
      <c r="L1221" s="518" t="s">
        <v>3498</v>
      </c>
      <c r="M1221" s="152" t="s">
        <v>780</v>
      </c>
      <c r="N1221" s="152" t="s">
        <v>1407</v>
      </c>
      <c r="O1221" s="152" t="s">
        <v>3499</v>
      </c>
      <c r="P1221" s="152" t="s">
        <v>3489</v>
      </c>
      <c r="Q1221" s="152" t="s">
        <v>3500</v>
      </c>
      <c r="R1221" s="152" t="s">
        <v>4008</v>
      </c>
      <c r="S1221" s="152" t="s">
        <v>3502</v>
      </c>
      <c r="T1221" s="152" t="s">
        <v>786</v>
      </c>
    </row>
    <row r="1222" spans="1:20" ht="25">
      <c r="C1222" s="152" t="s">
        <v>2821</v>
      </c>
      <c r="D1222" s="474" t="s">
        <v>676</v>
      </c>
      <c r="E1222" s="684" t="str">
        <f>+VLOOKUP(F1222,Resumen_Base!$C$8:$G$156,5,0)</f>
        <v>Maintenance  Boats / Vehicles</v>
      </c>
      <c r="F1222" s="152" t="s">
        <v>66</v>
      </c>
      <c r="G1222" s="152" t="s">
        <v>67</v>
      </c>
      <c r="H1222" s="152" t="str">
        <f t="shared" si="24"/>
        <v>CAR5253</v>
      </c>
      <c r="I1222" s="513">
        <v>119700</v>
      </c>
      <c r="J1222" s="513">
        <v>84</v>
      </c>
      <c r="K1222" s="513">
        <v>1425</v>
      </c>
      <c r="L1222" s="518" t="s">
        <v>3504</v>
      </c>
      <c r="M1222" s="152" t="s">
        <v>780</v>
      </c>
      <c r="N1222" s="152" t="s">
        <v>1407</v>
      </c>
      <c r="O1222" s="152" t="s">
        <v>3768</v>
      </c>
      <c r="P1222" s="152" t="s">
        <v>3489</v>
      </c>
      <c r="Q1222" s="152" t="s">
        <v>3769</v>
      </c>
      <c r="R1222" s="152" t="s">
        <v>4021</v>
      </c>
      <c r="S1222" s="152" t="s">
        <v>3771</v>
      </c>
      <c r="T1222" s="152" t="s">
        <v>786</v>
      </c>
    </row>
    <row r="1223" spans="1:20" ht="25">
      <c r="C1223" s="152" t="s">
        <v>2821</v>
      </c>
      <c r="D1223" s="474" t="s">
        <v>676</v>
      </c>
      <c r="E1223" s="684" t="str">
        <f>+VLOOKUP(F1223,Resumen_Base!$C$8:$G$156,5,0)</f>
        <v>Maintenance  Boats / Vehicles</v>
      </c>
      <c r="F1223" s="152" t="s">
        <v>66</v>
      </c>
      <c r="G1223" s="152" t="s">
        <v>67</v>
      </c>
      <c r="H1223" s="152" t="str">
        <f t="shared" si="24"/>
        <v>CAR5253</v>
      </c>
      <c r="I1223" s="513">
        <v>786892.80000000005</v>
      </c>
      <c r="J1223" s="513">
        <v>558.08000000000004</v>
      </c>
      <c r="K1223" s="513">
        <v>1410</v>
      </c>
      <c r="L1223" s="518" t="s">
        <v>3498</v>
      </c>
      <c r="M1223" s="152" t="s">
        <v>780</v>
      </c>
      <c r="N1223" s="152" t="s">
        <v>1407</v>
      </c>
      <c r="O1223" s="152" t="s">
        <v>3499</v>
      </c>
      <c r="P1223" s="152" t="s">
        <v>3489</v>
      </c>
      <c r="Q1223" s="152" t="s">
        <v>3500</v>
      </c>
      <c r="R1223" s="152" t="s">
        <v>4040</v>
      </c>
      <c r="S1223" s="152" t="s">
        <v>3502</v>
      </c>
      <c r="T1223" s="152" t="s">
        <v>786</v>
      </c>
    </row>
    <row r="1224" spans="1:20" ht="25">
      <c r="C1224" s="152" t="s">
        <v>2821</v>
      </c>
      <c r="D1224" s="474" t="s">
        <v>676</v>
      </c>
      <c r="E1224" s="684" t="str">
        <f>+VLOOKUP(F1224,Resumen_Base!$C$8:$G$156,5,0)</f>
        <v>Maintenance  Boats / Vehicles</v>
      </c>
      <c r="F1224" s="152" t="s">
        <v>66</v>
      </c>
      <c r="G1224" s="152" t="s">
        <v>67</v>
      </c>
      <c r="H1224" s="152" t="str">
        <f t="shared" si="24"/>
        <v>CAR5253</v>
      </c>
      <c r="I1224" s="513">
        <v>1004724</v>
      </c>
      <c r="J1224" s="513">
        <v>717.66</v>
      </c>
      <c r="K1224" s="513">
        <v>1400</v>
      </c>
      <c r="L1224" s="518" t="s">
        <v>3659</v>
      </c>
      <c r="M1224" s="152" t="s">
        <v>780</v>
      </c>
      <c r="N1224" s="152" t="s">
        <v>1407</v>
      </c>
      <c r="O1224" s="152" t="s">
        <v>3660</v>
      </c>
      <c r="P1224" s="152" t="s">
        <v>3489</v>
      </c>
      <c r="Q1224" s="152" t="s">
        <v>3661</v>
      </c>
      <c r="R1224" s="152" t="s">
        <v>4041</v>
      </c>
      <c r="S1224" s="152" t="s">
        <v>3663</v>
      </c>
      <c r="T1224" s="152" t="s">
        <v>786</v>
      </c>
    </row>
    <row r="1225" spans="1:20">
      <c r="C1225" s="152" t="s">
        <v>2821</v>
      </c>
      <c r="D1225" s="474" t="s">
        <v>670</v>
      </c>
      <c r="E1225" s="684" t="str">
        <f>+VLOOKUP(F1225,Resumen_Base!$C$8:$G$156,5,0)</f>
        <v>Maintenance  Equipment</v>
      </c>
      <c r="F1225" s="152" t="s">
        <v>31</v>
      </c>
      <c r="G1225" s="152" t="s">
        <v>335</v>
      </c>
      <c r="H1225" s="152" t="str">
        <f t="shared" si="24"/>
        <v>SJ5254</v>
      </c>
      <c r="I1225" s="513">
        <v>2664.9</v>
      </c>
      <c r="J1225" s="513">
        <v>1.89</v>
      </c>
      <c r="K1225" s="513">
        <v>1410</v>
      </c>
      <c r="L1225" s="518" t="s">
        <v>3498</v>
      </c>
      <c r="M1225" s="152" t="s">
        <v>780</v>
      </c>
      <c r="N1225" s="152" t="s">
        <v>781</v>
      </c>
      <c r="O1225" s="152" t="s">
        <v>4743</v>
      </c>
      <c r="P1225" s="152" t="s">
        <v>3489</v>
      </c>
      <c r="Q1225" s="152" t="s">
        <v>4744</v>
      </c>
      <c r="R1225" s="152" t="s">
        <v>953</v>
      </c>
      <c r="S1225" s="152" t="s">
        <v>4746</v>
      </c>
      <c r="T1225" s="152" t="s">
        <v>786</v>
      </c>
    </row>
    <row r="1226" spans="1:20" ht="50">
      <c r="A1226" s="684" t="s">
        <v>5849</v>
      </c>
      <c r="B1226" s="210" t="s">
        <v>5861</v>
      </c>
      <c r="C1226" s="152" t="s">
        <v>2821</v>
      </c>
      <c r="D1226" s="474" t="s">
        <v>670</v>
      </c>
      <c r="E1226" s="684" t="str">
        <f>+VLOOKUP(F1226,Resumen_Base!$C$8:$G$156,5,0)</f>
        <v>Fixed Asset's Payments (Investments) Mejoras/equipamiento Lodge</v>
      </c>
      <c r="F1226" s="308" t="s">
        <v>6</v>
      </c>
      <c r="G1226" s="4" t="s">
        <v>5</v>
      </c>
      <c r="H1226" s="152" t="str">
        <f t="shared" si="24"/>
        <v>SJ12020301</v>
      </c>
      <c r="I1226" s="513">
        <v>2198415.6</v>
      </c>
      <c r="J1226" s="513">
        <v>1559.16</v>
      </c>
      <c r="K1226" s="513">
        <v>1410</v>
      </c>
      <c r="L1226" s="518" t="s">
        <v>3498</v>
      </c>
      <c r="M1226" s="152" t="s">
        <v>780</v>
      </c>
      <c r="N1226" s="152" t="s">
        <v>781</v>
      </c>
      <c r="O1226" s="152" t="s">
        <v>4743</v>
      </c>
      <c r="P1226" s="152" t="s">
        <v>3489</v>
      </c>
      <c r="Q1226" s="152" t="s">
        <v>4744</v>
      </c>
      <c r="R1226" s="152" t="s">
        <v>4808</v>
      </c>
      <c r="S1226" s="152" t="s">
        <v>4746</v>
      </c>
      <c r="T1226" s="152" t="s">
        <v>786</v>
      </c>
    </row>
    <row r="1227" spans="1:20" ht="50">
      <c r="A1227" s="684" t="s">
        <v>5849</v>
      </c>
      <c r="B1227" s="210" t="s">
        <v>5861</v>
      </c>
      <c r="C1227" s="152" t="s">
        <v>2821</v>
      </c>
      <c r="D1227" s="474" t="s">
        <v>670</v>
      </c>
      <c r="E1227" s="684" t="str">
        <f>+VLOOKUP(F1227,Resumen_Base!$C$8:$G$156,5,0)</f>
        <v>Fixed Asset's Payments (Investments) Mejoras/equipamiento Lodge</v>
      </c>
      <c r="F1227" s="308" t="s">
        <v>6</v>
      </c>
      <c r="G1227" s="4" t="s">
        <v>5</v>
      </c>
      <c r="H1227" s="152" t="str">
        <f t="shared" si="24"/>
        <v>SJ12020301</v>
      </c>
      <c r="I1227" s="513">
        <v>456876</v>
      </c>
      <c r="J1227" s="513">
        <v>326.33999999999997</v>
      </c>
      <c r="K1227" s="513">
        <v>1400</v>
      </c>
      <c r="L1227" s="518" t="s">
        <v>3659</v>
      </c>
      <c r="M1227" s="152" t="s">
        <v>780</v>
      </c>
      <c r="N1227" s="152" t="s">
        <v>781</v>
      </c>
      <c r="O1227" s="152" t="s">
        <v>4791</v>
      </c>
      <c r="P1227" s="152" t="s">
        <v>3489</v>
      </c>
      <c r="Q1227" s="152" t="s">
        <v>4792</v>
      </c>
      <c r="R1227" s="152" t="s">
        <v>4808</v>
      </c>
      <c r="S1227" s="152" t="s">
        <v>4793</v>
      </c>
      <c r="T1227" s="152" t="s">
        <v>786</v>
      </c>
    </row>
    <row r="1228" spans="1:20" ht="50">
      <c r="A1228" s="684" t="s">
        <v>5849</v>
      </c>
      <c r="B1228" s="210" t="s">
        <v>5861</v>
      </c>
      <c r="C1228" s="152" t="s">
        <v>2821</v>
      </c>
      <c r="D1228" s="474" t="s">
        <v>670</v>
      </c>
      <c r="E1228" s="684" t="str">
        <f>+VLOOKUP(F1228,Resumen_Base!$C$8:$G$156,5,0)</f>
        <v>Fixed Asset's Payments (Investments) Mejoras/equipamiento Lodge</v>
      </c>
      <c r="F1228" s="308" t="s">
        <v>6</v>
      </c>
      <c r="G1228" s="4" t="s">
        <v>5</v>
      </c>
      <c r="H1228" s="152" t="str">
        <f t="shared" si="24"/>
        <v>SJ12020301</v>
      </c>
      <c r="I1228" s="513">
        <v>234466.4</v>
      </c>
      <c r="J1228" s="513">
        <v>166.88</v>
      </c>
      <c r="K1228" s="513">
        <v>1405</v>
      </c>
      <c r="L1228" s="518" t="s">
        <v>3493</v>
      </c>
      <c r="M1228" s="152" t="s">
        <v>780</v>
      </c>
      <c r="N1228" s="152" t="s">
        <v>781</v>
      </c>
      <c r="O1228" s="152" t="s">
        <v>4827</v>
      </c>
      <c r="P1228" s="152" t="s">
        <v>3489</v>
      </c>
      <c r="Q1228" s="152" t="s">
        <v>4828</v>
      </c>
      <c r="R1228" s="152" t="s">
        <v>4829</v>
      </c>
      <c r="S1228" s="152" t="s">
        <v>4830</v>
      </c>
      <c r="T1228" s="152" t="s">
        <v>786</v>
      </c>
    </row>
    <row r="1229" spans="1:20">
      <c r="C1229" s="152" t="s">
        <v>2821</v>
      </c>
      <c r="D1229" s="474" t="s">
        <v>676</v>
      </c>
      <c r="E1229" s="684" t="str">
        <f>+VLOOKUP(F1229,Resumen_Base!$C$8:$G$156,5,0)</f>
        <v>Maintenance  Equipment</v>
      </c>
      <c r="F1229" s="152" t="s">
        <v>31</v>
      </c>
      <c r="G1229" s="152" t="s">
        <v>335</v>
      </c>
      <c r="H1229" s="152" t="str">
        <f t="shared" si="24"/>
        <v>CAR5254</v>
      </c>
      <c r="I1229" s="513">
        <v>86925</v>
      </c>
      <c r="J1229" s="513">
        <v>61</v>
      </c>
      <c r="K1229" s="513">
        <v>1425</v>
      </c>
      <c r="L1229" s="518" t="s">
        <v>3504</v>
      </c>
      <c r="M1229" s="152" t="s">
        <v>780</v>
      </c>
      <c r="N1229" s="152" t="s">
        <v>1407</v>
      </c>
      <c r="O1229" s="152" t="s">
        <v>3768</v>
      </c>
      <c r="P1229" s="152" t="s">
        <v>3489</v>
      </c>
      <c r="Q1229" s="152" t="s">
        <v>3769</v>
      </c>
      <c r="R1229" s="152" t="s">
        <v>3770</v>
      </c>
      <c r="S1229" s="152" t="s">
        <v>3771</v>
      </c>
      <c r="T1229" s="152" t="s">
        <v>786</v>
      </c>
    </row>
    <row r="1230" spans="1:20">
      <c r="C1230" s="152" t="s">
        <v>2821</v>
      </c>
      <c r="D1230" s="474" t="s">
        <v>676</v>
      </c>
      <c r="E1230" s="684" t="str">
        <f>+VLOOKUP(F1230,Resumen_Base!$C$8:$G$156,5,0)</f>
        <v>Maintenance  Equipment</v>
      </c>
      <c r="F1230" s="152" t="s">
        <v>31</v>
      </c>
      <c r="G1230" s="152" t="s">
        <v>335</v>
      </c>
      <c r="H1230" s="152" t="str">
        <f t="shared" si="24"/>
        <v>CAR5254</v>
      </c>
      <c r="I1230" s="513">
        <v>23140.799999999999</v>
      </c>
      <c r="J1230" s="513">
        <v>16.07</v>
      </c>
      <c r="K1230" s="513">
        <v>1440</v>
      </c>
      <c r="L1230" s="518" t="s">
        <v>3517</v>
      </c>
      <c r="M1230" s="152" t="s">
        <v>780</v>
      </c>
      <c r="N1230" s="152" t="s">
        <v>1407</v>
      </c>
      <c r="O1230" s="152" t="s">
        <v>3655</v>
      </c>
      <c r="P1230" s="152" t="s">
        <v>892</v>
      </c>
      <c r="Q1230" s="152" t="s">
        <v>3656</v>
      </c>
      <c r="R1230" s="152" t="s">
        <v>3781</v>
      </c>
      <c r="S1230" s="152" t="s">
        <v>3658</v>
      </c>
      <c r="T1230" s="152" t="s">
        <v>786</v>
      </c>
    </row>
    <row r="1231" spans="1:20">
      <c r="C1231" s="152" t="s">
        <v>2821</v>
      </c>
      <c r="D1231" s="474" t="s">
        <v>676</v>
      </c>
      <c r="E1231" s="684" t="str">
        <f>+VLOOKUP(F1231,Resumen_Base!$C$8:$G$156,5,0)</f>
        <v>Maintenance  Equipment</v>
      </c>
      <c r="F1231" s="152" t="s">
        <v>31</v>
      </c>
      <c r="G1231" s="152" t="s">
        <v>335</v>
      </c>
      <c r="H1231" s="152" t="str">
        <f t="shared" si="24"/>
        <v>CAR5254</v>
      </c>
      <c r="I1231" s="513">
        <v>74160</v>
      </c>
      <c r="J1231" s="513">
        <v>51.5</v>
      </c>
      <c r="K1231" s="513">
        <v>1440</v>
      </c>
      <c r="L1231" s="518" t="s">
        <v>3517</v>
      </c>
      <c r="M1231" s="152" t="s">
        <v>780</v>
      </c>
      <c r="N1231" s="152" t="s">
        <v>1407</v>
      </c>
      <c r="O1231" s="152" t="s">
        <v>3655</v>
      </c>
      <c r="P1231" s="152" t="s">
        <v>892</v>
      </c>
      <c r="Q1231" s="152" t="s">
        <v>3656</v>
      </c>
      <c r="R1231" s="152" t="s">
        <v>3880</v>
      </c>
      <c r="S1231" s="152" t="s">
        <v>3658</v>
      </c>
      <c r="T1231" s="152" t="s">
        <v>786</v>
      </c>
    </row>
    <row r="1232" spans="1:20">
      <c r="C1232" s="152" t="s">
        <v>2821</v>
      </c>
      <c r="D1232" s="474" t="s">
        <v>676</v>
      </c>
      <c r="E1232" s="684" t="str">
        <f>+VLOOKUP(F1232,Resumen_Base!$C$8:$G$156,5,0)</f>
        <v>Maintenance  Equipment</v>
      </c>
      <c r="F1232" s="152" t="s">
        <v>31</v>
      </c>
      <c r="G1232" s="152" t="s">
        <v>335</v>
      </c>
      <c r="H1232" s="152" t="str">
        <f t="shared" si="24"/>
        <v>CAR5254</v>
      </c>
      <c r="I1232" s="513">
        <v>117975.75</v>
      </c>
      <c r="J1232" s="513">
        <v>82.79</v>
      </c>
      <c r="K1232" s="513">
        <v>1425</v>
      </c>
      <c r="L1232" s="518" t="s">
        <v>3504</v>
      </c>
      <c r="M1232" s="152" t="s">
        <v>780</v>
      </c>
      <c r="N1232" s="152" t="s">
        <v>1407</v>
      </c>
      <c r="O1232" s="152" t="s">
        <v>3665</v>
      </c>
      <c r="P1232" s="152" t="s">
        <v>3489</v>
      </c>
      <c r="Q1232" s="152" t="s">
        <v>3666</v>
      </c>
      <c r="R1232" s="152" t="s">
        <v>4068</v>
      </c>
      <c r="S1232" s="152" t="s">
        <v>3668</v>
      </c>
      <c r="T1232" s="152" t="s">
        <v>786</v>
      </c>
    </row>
    <row r="1233" spans="3:20" ht="25">
      <c r="C1233" s="152" t="s">
        <v>2821</v>
      </c>
      <c r="D1233" s="474" t="s">
        <v>676</v>
      </c>
      <c r="E1233" s="684" t="str">
        <f>+VLOOKUP(F1233,Resumen_Base!$C$8:$G$156,5,0)</f>
        <v>Travel for personnel (employees)</v>
      </c>
      <c r="F1233" s="152" t="s">
        <v>68</v>
      </c>
      <c r="G1233" s="152" t="s">
        <v>69</v>
      </c>
      <c r="H1233" s="152" t="str">
        <f t="shared" si="24"/>
        <v>CAR5255</v>
      </c>
      <c r="I1233" s="513">
        <v>117445</v>
      </c>
      <c r="J1233" s="513">
        <v>83</v>
      </c>
      <c r="K1233" s="513">
        <v>1415</v>
      </c>
      <c r="L1233" s="518" t="s">
        <v>3511</v>
      </c>
      <c r="M1233" s="152" t="s">
        <v>780</v>
      </c>
      <c r="N1233" s="152" t="s">
        <v>1407</v>
      </c>
      <c r="O1233" s="152" t="s">
        <v>4206</v>
      </c>
      <c r="P1233" s="152" t="s">
        <v>3489</v>
      </c>
      <c r="Q1233" s="152" t="s">
        <v>4207</v>
      </c>
      <c r="R1233" s="152" t="s">
        <v>4208</v>
      </c>
      <c r="S1233" s="152" t="s">
        <v>4209</v>
      </c>
      <c r="T1233" s="152" t="s">
        <v>786</v>
      </c>
    </row>
    <row r="1234" spans="3:20" ht="25">
      <c r="C1234" s="152" t="s">
        <v>2821</v>
      </c>
      <c r="D1234" s="474" t="s">
        <v>676</v>
      </c>
      <c r="E1234" s="684" t="str">
        <f>+VLOOKUP(F1234,Resumen_Base!$C$8:$G$156,5,0)</f>
        <v>Travel for personnel (employees)</v>
      </c>
      <c r="F1234" s="152" t="s">
        <v>68</v>
      </c>
      <c r="G1234" s="152" t="s">
        <v>69</v>
      </c>
      <c r="H1234" s="152" t="str">
        <f t="shared" si="24"/>
        <v>CAR5255</v>
      </c>
      <c r="I1234" s="513">
        <v>170000</v>
      </c>
      <c r="J1234" s="513">
        <v>120.996441281139</v>
      </c>
      <c r="K1234" s="513">
        <v>1405</v>
      </c>
      <c r="L1234" s="518" t="s">
        <v>3493</v>
      </c>
      <c r="M1234" s="152" t="s">
        <v>780</v>
      </c>
      <c r="N1234" s="152" t="s">
        <v>1407</v>
      </c>
      <c r="O1234" s="152" t="s">
        <v>4197</v>
      </c>
      <c r="P1234" s="152" t="s">
        <v>3489</v>
      </c>
      <c r="Q1234" s="152" t="s">
        <v>4198</v>
      </c>
      <c r="R1234" s="152" t="s">
        <v>4234</v>
      </c>
      <c r="S1234" s="152" t="s">
        <v>4200</v>
      </c>
      <c r="T1234" s="152" t="s">
        <v>786</v>
      </c>
    </row>
    <row r="1235" spans="3:20">
      <c r="C1235" s="152" t="s">
        <v>2821</v>
      </c>
      <c r="D1235" s="474" t="s">
        <v>676</v>
      </c>
      <c r="E1235" s="684" t="str">
        <f>+VLOOKUP(F1235,Resumen_Base!$C$8:$G$156,5,0)</f>
        <v>Food &amp; Wine</v>
      </c>
      <c r="F1235" s="152" t="s">
        <v>1718</v>
      </c>
      <c r="G1235" s="152" t="s">
        <v>1719</v>
      </c>
      <c r="H1235" s="152" t="str">
        <f t="shared" si="24"/>
        <v>CAR5257</v>
      </c>
      <c r="I1235" s="513">
        <v>526167.75</v>
      </c>
      <c r="J1235" s="513">
        <v>371.85</v>
      </c>
      <c r="K1235" s="513">
        <v>1415</v>
      </c>
      <c r="L1235" s="518" t="s">
        <v>3498</v>
      </c>
      <c r="M1235" s="152" t="s">
        <v>780</v>
      </c>
      <c r="N1235" s="152" t="s">
        <v>1407</v>
      </c>
      <c r="O1235" s="152" t="s">
        <v>3499</v>
      </c>
      <c r="P1235" s="152" t="s">
        <v>3489</v>
      </c>
      <c r="Q1235" s="152" t="s">
        <v>3500</v>
      </c>
      <c r="R1235" s="152" t="s">
        <v>3501</v>
      </c>
      <c r="S1235" s="152" t="s">
        <v>3502</v>
      </c>
      <c r="T1235" s="152" t="s">
        <v>786</v>
      </c>
    </row>
    <row r="1236" spans="3:20">
      <c r="C1236" s="152" t="s">
        <v>2821</v>
      </c>
      <c r="D1236" s="474" t="s">
        <v>676</v>
      </c>
      <c r="E1236" s="684" t="str">
        <f>+VLOOKUP(F1236,Resumen_Base!$C$8:$G$156,5,0)</f>
        <v>Food &amp; Wine</v>
      </c>
      <c r="F1236" s="152" t="s">
        <v>1718</v>
      </c>
      <c r="G1236" s="152" t="s">
        <v>1719</v>
      </c>
      <c r="H1236" s="152" t="str">
        <f t="shared" si="24"/>
        <v>CAR5257</v>
      </c>
      <c r="I1236" s="513">
        <v>770113.75</v>
      </c>
      <c r="J1236" s="513">
        <v>544.25</v>
      </c>
      <c r="K1236" s="513">
        <v>1415</v>
      </c>
      <c r="L1236" s="518" t="s">
        <v>3498</v>
      </c>
      <c r="M1236" s="152" t="s">
        <v>780</v>
      </c>
      <c r="N1236" s="152" t="s">
        <v>1407</v>
      </c>
      <c r="O1236" s="152" t="s">
        <v>3499</v>
      </c>
      <c r="P1236" s="152" t="s">
        <v>3489</v>
      </c>
      <c r="Q1236" s="152" t="s">
        <v>3500</v>
      </c>
      <c r="R1236" s="152" t="s">
        <v>3510</v>
      </c>
      <c r="S1236" s="152" t="s">
        <v>3502</v>
      </c>
      <c r="T1236" s="152" t="s">
        <v>786</v>
      </c>
    </row>
    <row r="1237" spans="3:20">
      <c r="C1237" s="152" t="s">
        <v>2821</v>
      </c>
      <c r="D1237" s="474" t="s">
        <v>676</v>
      </c>
      <c r="E1237" s="684" t="str">
        <f>+VLOOKUP(F1237,Resumen_Base!$C$8:$G$156,5,0)</f>
        <v>Food &amp; Wine</v>
      </c>
      <c r="F1237" s="152" t="s">
        <v>1718</v>
      </c>
      <c r="G1237" s="152" t="s">
        <v>1719</v>
      </c>
      <c r="H1237" s="152" t="str">
        <f t="shared" si="24"/>
        <v>CAR5257</v>
      </c>
      <c r="I1237" s="513">
        <v>297283.95</v>
      </c>
      <c r="J1237" s="513">
        <v>211.59</v>
      </c>
      <c r="K1237" s="513">
        <v>1405</v>
      </c>
      <c r="L1237" s="518" t="s">
        <v>3493</v>
      </c>
      <c r="M1237" s="152" t="s">
        <v>780</v>
      </c>
      <c r="N1237" s="152" t="s">
        <v>1407</v>
      </c>
      <c r="O1237" s="152" t="s">
        <v>3677</v>
      </c>
      <c r="P1237" s="152" t="s">
        <v>3489</v>
      </c>
      <c r="Q1237" s="152" t="s">
        <v>3678</v>
      </c>
      <c r="R1237" s="152" t="s">
        <v>3765</v>
      </c>
      <c r="S1237" s="152" t="s">
        <v>3679</v>
      </c>
      <c r="T1237" s="152" t="s">
        <v>786</v>
      </c>
    </row>
    <row r="1238" spans="3:20">
      <c r="C1238" s="152" t="s">
        <v>2821</v>
      </c>
      <c r="D1238" s="474" t="s">
        <v>676</v>
      </c>
      <c r="E1238" s="684" t="str">
        <f>+VLOOKUP(F1238,Resumen_Base!$C$8:$G$156,5,0)</f>
        <v>Food &amp; Wine</v>
      </c>
      <c r="F1238" s="152" t="s">
        <v>1718</v>
      </c>
      <c r="G1238" s="152" t="s">
        <v>1719</v>
      </c>
      <c r="H1238" s="152" t="str">
        <f t="shared" si="24"/>
        <v>CAR5257</v>
      </c>
      <c r="I1238" s="513">
        <v>28465.3</v>
      </c>
      <c r="J1238" s="513">
        <v>20.260000000000002</v>
      </c>
      <c r="K1238" s="513">
        <v>1405</v>
      </c>
      <c r="L1238" s="518" t="s">
        <v>3493</v>
      </c>
      <c r="M1238" s="152" t="s">
        <v>780</v>
      </c>
      <c r="N1238" s="152" t="s">
        <v>1407</v>
      </c>
      <c r="O1238" s="152" t="s">
        <v>3677</v>
      </c>
      <c r="P1238" s="152" t="s">
        <v>3489</v>
      </c>
      <c r="Q1238" s="152" t="s">
        <v>3678</v>
      </c>
      <c r="R1238" s="152" t="s">
        <v>3809</v>
      </c>
      <c r="S1238" s="152" t="s">
        <v>3679</v>
      </c>
      <c r="T1238" s="152" t="s">
        <v>786</v>
      </c>
    </row>
    <row r="1239" spans="3:20">
      <c r="C1239" s="152" t="s">
        <v>2821</v>
      </c>
      <c r="D1239" s="474" t="s">
        <v>676</v>
      </c>
      <c r="E1239" s="684" t="str">
        <f>+VLOOKUP(F1239,Resumen_Base!$C$8:$G$156,5,0)</f>
        <v>Food &amp; Wine</v>
      </c>
      <c r="F1239" s="152" t="s">
        <v>1718</v>
      </c>
      <c r="G1239" s="152" t="s">
        <v>1719</v>
      </c>
      <c r="H1239" s="152" t="str">
        <f t="shared" si="24"/>
        <v>CAR5257</v>
      </c>
      <c r="I1239" s="513">
        <v>148143.20000000001</v>
      </c>
      <c r="J1239" s="513">
        <v>105.44</v>
      </c>
      <c r="K1239" s="513">
        <v>1405</v>
      </c>
      <c r="L1239" s="518" t="s">
        <v>3493</v>
      </c>
      <c r="M1239" s="152" t="s">
        <v>780</v>
      </c>
      <c r="N1239" s="152" t="s">
        <v>1407</v>
      </c>
      <c r="O1239" s="152" t="s">
        <v>3677</v>
      </c>
      <c r="P1239" s="152" t="s">
        <v>3489</v>
      </c>
      <c r="Q1239" s="152" t="s">
        <v>3678</v>
      </c>
      <c r="R1239" s="152" t="s">
        <v>3810</v>
      </c>
      <c r="S1239" s="152" t="s">
        <v>3679</v>
      </c>
      <c r="T1239" s="152" t="s">
        <v>786</v>
      </c>
    </row>
    <row r="1240" spans="3:20">
      <c r="C1240" s="152" t="s">
        <v>2821</v>
      </c>
      <c r="D1240" s="474" t="s">
        <v>676</v>
      </c>
      <c r="E1240" s="684" t="str">
        <f>+VLOOKUP(F1240,Resumen_Base!$C$8:$G$156,5,0)</f>
        <v>Food &amp; Wine</v>
      </c>
      <c r="F1240" s="152" t="s">
        <v>1718</v>
      </c>
      <c r="G1240" s="152" t="s">
        <v>1719</v>
      </c>
      <c r="H1240" s="152" t="str">
        <f t="shared" si="24"/>
        <v>CAR5257</v>
      </c>
      <c r="I1240" s="513">
        <v>449600</v>
      </c>
      <c r="J1240" s="513">
        <v>320</v>
      </c>
      <c r="K1240" s="513">
        <v>1405</v>
      </c>
      <c r="L1240" s="518" t="s">
        <v>3493</v>
      </c>
      <c r="M1240" s="152" t="s">
        <v>780</v>
      </c>
      <c r="N1240" s="152" t="s">
        <v>1407</v>
      </c>
      <c r="O1240" s="152" t="s">
        <v>3677</v>
      </c>
      <c r="P1240" s="152" t="s">
        <v>3489</v>
      </c>
      <c r="Q1240" s="152" t="s">
        <v>3678</v>
      </c>
      <c r="R1240" s="152" t="s">
        <v>3830</v>
      </c>
      <c r="S1240" s="152" t="s">
        <v>3679</v>
      </c>
      <c r="T1240" s="152" t="s">
        <v>786</v>
      </c>
    </row>
    <row r="1241" spans="3:20">
      <c r="C1241" s="152" t="s">
        <v>2821</v>
      </c>
      <c r="D1241" s="474" t="s">
        <v>676</v>
      </c>
      <c r="E1241" s="684" t="str">
        <f>+VLOOKUP(F1241,Resumen_Base!$C$8:$G$156,5,0)</f>
        <v>Food &amp; Wine</v>
      </c>
      <c r="F1241" s="152" t="s">
        <v>1718</v>
      </c>
      <c r="G1241" s="152" t="s">
        <v>1719</v>
      </c>
      <c r="H1241" s="152" t="str">
        <f t="shared" ref="H1241:H1273" si="25">+D1241&amp;F1241</f>
        <v>CAR5257</v>
      </c>
      <c r="I1241" s="513">
        <v>22116</v>
      </c>
      <c r="J1241" s="513">
        <v>15.52</v>
      </c>
      <c r="K1241" s="513">
        <v>1425</v>
      </c>
      <c r="L1241" s="518" t="s">
        <v>3504</v>
      </c>
      <c r="M1241" s="152" t="s">
        <v>780</v>
      </c>
      <c r="N1241" s="152" t="s">
        <v>1407</v>
      </c>
      <c r="O1241" s="152" t="s">
        <v>3505</v>
      </c>
      <c r="P1241" s="152" t="s">
        <v>3489</v>
      </c>
      <c r="Q1241" s="152" t="s">
        <v>3506</v>
      </c>
      <c r="R1241" s="152" t="s">
        <v>3891</v>
      </c>
      <c r="S1241" s="152" t="s">
        <v>3508</v>
      </c>
      <c r="T1241" s="152" t="s">
        <v>786</v>
      </c>
    </row>
    <row r="1242" spans="3:20">
      <c r="C1242" s="152" t="s">
        <v>2821</v>
      </c>
      <c r="D1242" s="474" t="s">
        <v>676</v>
      </c>
      <c r="E1242" s="684" t="str">
        <f>+VLOOKUP(F1242,Resumen_Base!$C$8:$G$156,5,0)</f>
        <v>Food &amp; Wine</v>
      </c>
      <c r="F1242" s="152" t="s">
        <v>1718</v>
      </c>
      <c r="G1242" s="152" t="s">
        <v>1719</v>
      </c>
      <c r="H1242" s="152" t="str">
        <f t="shared" si="25"/>
        <v>CAR5257</v>
      </c>
      <c r="I1242" s="513">
        <v>8865.5499999999993</v>
      </c>
      <c r="J1242" s="513">
        <v>6.31</v>
      </c>
      <c r="K1242" s="513">
        <v>1405</v>
      </c>
      <c r="L1242" s="518" t="s">
        <v>3493</v>
      </c>
      <c r="M1242" s="152" t="s">
        <v>780</v>
      </c>
      <c r="N1242" s="152" t="s">
        <v>1407</v>
      </c>
      <c r="O1242" s="152" t="s">
        <v>3677</v>
      </c>
      <c r="P1242" s="152" t="s">
        <v>3489</v>
      </c>
      <c r="Q1242" s="152" t="s">
        <v>3678</v>
      </c>
      <c r="R1242" s="152" t="s">
        <v>3893</v>
      </c>
      <c r="S1242" s="152" t="s">
        <v>3679</v>
      </c>
      <c r="T1242" s="152" t="s">
        <v>786</v>
      </c>
    </row>
    <row r="1243" spans="3:20">
      <c r="C1243" s="152" t="s">
        <v>2821</v>
      </c>
      <c r="D1243" s="474" t="s">
        <v>676</v>
      </c>
      <c r="E1243" s="684" t="str">
        <f>+VLOOKUP(F1243,Resumen_Base!$C$8:$G$156,5,0)</f>
        <v>Food &amp; Wine</v>
      </c>
      <c r="F1243" s="152" t="s">
        <v>1718</v>
      </c>
      <c r="G1243" s="152" t="s">
        <v>1719</v>
      </c>
      <c r="H1243" s="152" t="str">
        <f t="shared" si="25"/>
        <v>CAR5257</v>
      </c>
      <c r="I1243" s="513">
        <v>64840.75</v>
      </c>
      <c r="J1243" s="513">
        <v>46.15</v>
      </c>
      <c r="K1243" s="513">
        <v>1405</v>
      </c>
      <c r="L1243" s="518" t="s">
        <v>3493</v>
      </c>
      <c r="M1243" s="152" t="s">
        <v>780</v>
      </c>
      <c r="N1243" s="152" t="s">
        <v>1407</v>
      </c>
      <c r="O1243" s="152" t="s">
        <v>3677</v>
      </c>
      <c r="P1243" s="152" t="s">
        <v>3489</v>
      </c>
      <c r="Q1243" s="152" t="s">
        <v>3678</v>
      </c>
      <c r="R1243" s="152" t="s">
        <v>4009</v>
      </c>
      <c r="S1243" s="152" t="s">
        <v>3679</v>
      </c>
      <c r="T1243" s="152" t="s">
        <v>786</v>
      </c>
    </row>
    <row r="1244" spans="3:20">
      <c r="C1244" s="152" t="s">
        <v>2821</v>
      </c>
      <c r="D1244" s="474" t="s">
        <v>676</v>
      </c>
      <c r="E1244" s="684" t="str">
        <f>+VLOOKUP(F1244,Resumen_Base!$C$8:$G$156,5,0)</f>
        <v>Food &amp; Wine</v>
      </c>
      <c r="F1244" s="152" t="s">
        <v>1718</v>
      </c>
      <c r="G1244" s="152" t="s">
        <v>1719</v>
      </c>
      <c r="H1244" s="152" t="str">
        <f t="shared" si="25"/>
        <v>CAR5257</v>
      </c>
      <c r="I1244" s="513">
        <v>12111.1</v>
      </c>
      <c r="J1244" s="513">
        <v>8.6199999999999992</v>
      </c>
      <c r="K1244" s="513">
        <v>1405</v>
      </c>
      <c r="L1244" s="518" t="s">
        <v>3493</v>
      </c>
      <c r="M1244" s="152" t="s">
        <v>780</v>
      </c>
      <c r="N1244" s="152" t="s">
        <v>1407</v>
      </c>
      <c r="O1244" s="152" t="s">
        <v>3677</v>
      </c>
      <c r="P1244" s="152" t="s">
        <v>3489</v>
      </c>
      <c r="Q1244" s="152" t="s">
        <v>3678</v>
      </c>
      <c r="R1244" s="152" t="s">
        <v>4110</v>
      </c>
      <c r="S1244" s="152" t="s">
        <v>3679</v>
      </c>
      <c r="T1244" s="152" t="s">
        <v>786</v>
      </c>
    </row>
    <row r="1245" spans="3:20">
      <c r="C1245" s="152" t="s">
        <v>2821</v>
      </c>
      <c r="D1245" s="474" t="s">
        <v>676</v>
      </c>
      <c r="E1245" s="684" t="str">
        <f>+VLOOKUP(F1245,Resumen_Base!$C$8:$G$156,5,0)</f>
        <v>Electricity</v>
      </c>
      <c r="F1245" s="152" t="s">
        <v>70</v>
      </c>
      <c r="G1245" s="152" t="s">
        <v>71</v>
      </c>
      <c r="H1245" s="152" t="str">
        <f t="shared" si="25"/>
        <v>CAR5259</v>
      </c>
      <c r="I1245" s="513">
        <v>296000</v>
      </c>
      <c r="J1245" s="513">
        <v>200</v>
      </c>
      <c r="K1245" s="513">
        <v>1480</v>
      </c>
      <c r="L1245" s="518" t="s">
        <v>3517</v>
      </c>
      <c r="M1245" s="152" t="s">
        <v>780</v>
      </c>
      <c r="N1245" s="152" t="s">
        <v>1407</v>
      </c>
      <c r="O1245" s="152" t="s">
        <v>3518</v>
      </c>
      <c r="P1245" s="152" t="s">
        <v>892</v>
      </c>
      <c r="Q1245" s="152" t="s">
        <v>3519</v>
      </c>
      <c r="R1245" s="152" t="s">
        <v>3642</v>
      </c>
      <c r="S1245" s="152" t="s">
        <v>3521</v>
      </c>
      <c r="T1245" s="152" t="s">
        <v>786</v>
      </c>
    </row>
    <row r="1246" spans="3:20">
      <c r="C1246" s="152" t="s">
        <v>2821</v>
      </c>
      <c r="D1246" s="474" t="s">
        <v>676</v>
      </c>
      <c r="E1246" s="684" t="str">
        <f>+VLOOKUP(F1246,Resumen_Base!$C$8:$G$156,5,0)</f>
        <v>Electricity</v>
      </c>
      <c r="F1246" s="152" t="s">
        <v>70</v>
      </c>
      <c r="G1246" s="152" t="s">
        <v>71</v>
      </c>
      <c r="H1246" s="152" t="str">
        <f t="shared" si="25"/>
        <v>CAR5259</v>
      </c>
      <c r="I1246" s="513">
        <v>1425000</v>
      </c>
      <c r="J1246" s="513">
        <v>1000</v>
      </c>
      <c r="K1246" s="513">
        <v>1425</v>
      </c>
      <c r="L1246" s="518" t="s">
        <v>3637</v>
      </c>
      <c r="M1246" s="152" t="s">
        <v>780</v>
      </c>
      <c r="N1246" s="152" t="s">
        <v>1407</v>
      </c>
      <c r="O1246" s="152" t="s">
        <v>3638</v>
      </c>
      <c r="P1246" s="152" t="s">
        <v>2865</v>
      </c>
      <c r="Q1246" s="152" t="s">
        <v>3639</v>
      </c>
      <c r="R1246" s="152" t="s">
        <v>3936</v>
      </c>
      <c r="S1246" s="152" t="s">
        <v>3641</v>
      </c>
      <c r="T1246" s="152" t="s">
        <v>786</v>
      </c>
    </row>
    <row r="1247" spans="3:20">
      <c r="C1247" s="152" t="s">
        <v>2821</v>
      </c>
      <c r="D1247" s="474" t="s">
        <v>676</v>
      </c>
      <c r="E1247" s="684" t="str">
        <f>+VLOOKUP(F1247,Resumen_Base!$C$8:$G$156,5,0)</f>
        <v>Miscellaneous &amp; Shipping</v>
      </c>
      <c r="F1247" s="152" t="s">
        <v>28</v>
      </c>
      <c r="G1247" s="152" t="s">
        <v>336</v>
      </c>
      <c r="H1247" s="152" t="str">
        <f t="shared" si="25"/>
        <v>CAR5263</v>
      </c>
      <c r="I1247" s="513">
        <v>2764.8</v>
      </c>
      <c r="J1247" s="513">
        <v>1.92</v>
      </c>
      <c r="K1247" s="513">
        <v>1440</v>
      </c>
      <c r="L1247" s="518" t="s">
        <v>3517</v>
      </c>
      <c r="M1247" s="152" t="s">
        <v>780</v>
      </c>
      <c r="N1247" s="152" t="s">
        <v>1407</v>
      </c>
      <c r="O1247" s="152" t="s">
        <v>3655</v>
      </c>
      <c r="P1247" s="152" t="s">
        <v>892</v>
      </c>
      <c r="Q1247" s="152" t="s">
        <v>3656</v>
      </c>
      <c r="R1247" s="152" t="s">
        <v>1515</v>
      </c>
      <c r="S1247" s="152" t="s">
        <v>3658</v>
      </c>
      <c r="T1247" s="152" t="s">
        <v>786</v>
      </c>
    </row>
    <row r="1248" spans="3:20">
      <c r="C1248" s="152" t="s">
        <v>2821</v>
      </c>
      <c r="D1248" s="474" t="s">
        <v>676</v>
      </c>
      <c r="E1248" s="684" t="str">
        <f>+VLOOKUP(F1248,Resumen_Base!$C$8:$G$156,5,0)</f>
        <v>Miscellaneous &amp; Shipping</v>
      </c>
      <c r="F1248" s="152" t="s">
        <v>28</v>
      </c>
      <c r="G1248" s="152" t="s">
        <v>336</v>
      </c>
      <c r="H1248" s="152" t="str">
        <f t="shared" si="25"/>
        <v>CAR5263</v>
      </c>
      <c r="I1248" s="513">
        <v>2758</v>
      </c>
      <c r="J1248" s="513">
        <v>1.97</v>
      </c>
      <c r="K1248" s="513">
        <v>1400</v>
      </c>
      <c r="L1248" s="518" t="s">
        <v>3659</v>
      </c>
      <c r="M1248" s="152" t="s">
        <v>780</v>
      </c>
      <c r="N1248" s="152" t="s">
        <v>1407</v>
      </c>
      <c r="O1248" s="152" t="s">
        <v>3660</v>
      </c>
      <c r="P1248" s="152" t="s">
        <v>3489</v>
      </c>
      <c r="Q1248" s="152" t="s">
        <v>3661</v>
      </c>
      <c r="R1248" s="152" t="s">
        <v>1515</v>
      </c>
      <c r="S1248" s="152" t="s">
        <v>3663</v>
      </c>
      <c r="T1248" s="152" t="s">
        <v>786</v>
      </c>
    </row>
    <row r="1249" spans="1:20">
      <c r="C1249" s="152" t="s">
        <v>2821</v>
      </c>
      <c r="D1249" s="474" t="s">
        <v>676</v>
      </c>
      <c r="E1249" s="684" t="str">
        <f>+VLOOKUP(F1249,Resumen_Base!$C$8:$G$156,5,0)</f>
        <v>Miscellaneous &amp; Shipping</v>
      </c>
      <c r="F1249" s="152" t="s">
        <v>28</v>
      </c>
      <c r="G1249" s="152" t="s">
        <v>336</v>
      </c>
      <c r="H1249" s="152" t="str">
        <f t="shared" si="25"/>
        <v>CAR5263</v>
      </c>
      <c r="I1249" s="513">
        <v>291144</v>
      </c>
      <c r="J1249" s="513">
        <v>207.96</v>
      </c>
      <c r="K1249" s="513">
        <v>1400</v>
      </c>
      <c r="L1249" s="518" t="s">
        <v>3659</v>
      </c>
      <c r="M1249" s="152" t="s">
        <v>780</v>
      </c>
      <c r="N1249" s="152" t="s">
        <v>1407</v>
      </c>
      <c r="O1249" s="152" t="s">
        <v>3660</v>
      </c>
      <c r="P1249" s="152" t="s">
        <v>3489</v>
      </c>
      <c r="Q1249" s="152" t="s">
        <v>3661</v>
      </c>
      <c r="R1249" s="152" t="s">
        <v>3883</v>
      </c>
      <c r="S1249" s="152" t="s">
        <v>3663</v>
      </c>
      <c r="T1249" s="152" t="s">
        <v>786</v>
      </c>
    </row>
    <row r="1250" spans="1:20">
      <c r="A1250" s="684" t="s">
        <v>3391</v>
      </c>
      <c r="B1250" s="210" t="s">
        <v>5860</v>
      </c>
      <c r="C1250" s="152" t="s">
        <v>2821</v>
      </c>
      <c r="D1250" s="474" t="s">
        <v>676</v>
      </c>
      <c r="E1250" s="684" t="str">
        <f>+VLOOKUP(F1250,Resumen_Base!$C$8:$G$156,5,0)</f>
        <v>Extras</v>
      </c>
      <c r="F1250" s="607" t="s">
        <v>337</v>
      </c>
      <c r="G1250" s="597" t="s">
        <v>447</v>
      </c>
      <c r="H1250" s="152" t="str">
        <f t="shared" si="25"/>
        <v>CAR5285</v>
      </c>
      <c r="I1250" s="513">
        <v>636750</v>
      </c>
      <c r="J1250" s="513">
        <v>450</v>
      </c>
      <c r="K1250" s="513">
        <v>1415</v>
      </c>
      <c r="L1250" s="518" t="s">
        <v>3632</v>
      </c>
      <c r="M1250" s="152" t="s">
        <v>780</v>
      </c>
      <c r="N1250" s="152" t="s">
        <v>1407</v>
      </c>
      <c r="O1250" s="152" t="s">
        <v>3633</v>
      </c>
      <c r="P1250" s="152" t="s">
        <v>3489</v>
      </c>
      <c r="Q1250" s="152" t="s">
        <v>3634</v>
      </c>
      <c r="R1250" s="152" t="s">
        <v>3900</v>
      </c>
      <c r="S1250" s="152" t="s">
        <v>3636</v>
      </c>
      <c r="T1250" s="152" t="s">
        <v>786</v>
      </c>
    </row>
    <row r="1251" spans="1:20">
      <c r="A1251" s="684" t="s">
        <v>3391</v>
      </c>
      <c r="B1251" s="210" t="s">
        <v>5860</v>
      </c>
      <c r="C1251" s="152" t="s">
        <v>2821</v>
      </c>
      <c r="D1251" s="474" t="s">
        <v>676</v>
      </c>
      <c r="E1251" s="684" t="str">
        <f>+VLOOKUP(F1251,Resumen_Base!$C$8:$G$156,5,0)</f>
        <v>Extras</v>
      </c>
      <c r="F1251" s="607" t="s">
        <v>337</v>
      </c>
      <c r="G1251" s="597" t="s">
        <v>447</v>
      </c>
      <c r="H1251" s="152" t="str">
        <f t="shared" si="25"/>
        <v>CAR5285</v>
      </c>
      <c r="I1251" s="513">
        <v>1264500</v>
      </c>
      <c r="J1251" s="513">
        <v>900</v>
      </c>
      <c r="K1251" s="513">
        <v>1405</v>
      </c>
      <c r="L1251" s="518" t="s">
        <v>3493</v>
      </c>
      <c r="M1251" s="152" t="s">
        <v>780</v>
      </c>
      <c r="N1251" s="152" t="s">
        <v>1407</v>
      </c>
      <c r="O1251" s="152" t="s">
        <v>3677</v>
      </c>
      <c r="P1251" s="152" t="s">
        <v>3489</v>
      </c>
      <c r="Q1251" s="152" t="s">
        <v>3678</v>
      </c>
      <c r="R1251" s="152" t="s">
        <v>3904</v>
      </c>
      <c r="S1251" s="152" t="s">
        <v>3679</v>
      </c>
      <c r="T1251" s="152" t="s">
        <v>786</v>
      </c>
    </row>
    <row r="1252" spans="1:20">
      <c r="A1252" s="684" t="s">
        <v>3391</v>
      </c>
      <c r="B1252" s="210" t="s">
        <v>5860</v>
      </c>
      <c r="C1252" s="152" t="s">
        <v>2821</v>
      </c>
      <c r="D1252" s="474" t="s">
        <v>676</v>
      </c>
      <c r="E1252" s="684" t="str">
        <f>+VLOOKUP(F1252,Resumen_Base!$C$8:$G$156,5,0)</f>
        <v>Extras</v>
      </c>
      <c r="F1252" s="607" t="s">
        <v>337</v>
      </c>
      <c r="G1252" s="597" t="s">
        <v>447</v>
      </c>
      <c r="H1252" s="152" t="str">
        <f t="shared" si="25"/>
        <v>CAR5285</v>
      </c>
      <c r="I1252" s="513">
        <v>451200</v>
      </c>
      <c r="J1252" s="513">
        <v>320</v>
      </c>
      <c r="K1252" s="513">
        <v>1410</v>
      </c>
      <c r="L1252" s="518" t="s">
        <v>3659</v>
      </c>
      <c r="M1252" s="152" t="s">
        <v>780</v>
      </c>
      <c r="N1252" s="152" t="s">
        <v>1407</v>
      </c>
      <c r="O1252" s="152" t="s">
        <v>3795</v>
      </c>
      <c r="P1252" s="152" t="s">
        <v>3489</v>
      </c>
      <c r="Q1252" s="152" t="s">
        <v>3796</v>
      </c>
      <c r="R1252" s="152" t="s">
        <v>3959</v>
      </c>
      <c r="S1252" s="152" t="s">
        <v>3798</v>
      </c>
      <c r="T1252" s="152" t="s">
        <v>786</v>
      </c>
    </row>
    <row r="1253" spans="1:20">
      <c r="A1253" s="684" t="s">
        <v>3391</v>
      </c>
      <c r="B1253" s="210" t="s">
        <v>5860</v>
      </c>
      <c r="C1253" s="152" t="s">
        <v>2821</v>
      </c>
      <c r="D1253" s="474" t="s">
        <v>676</v>
      </c>
      <c r="E1253" s="684" t="str">
        <f>+VLOOKUP(F1253,Resumen_Base!$C$8:$G$156,5,0)</f>
        <v>Extras</v>
      </c>
      <c r="F1253" s="607" t="s">
        <v>337</v>
      </c>
      <c r="G1253" s="597" t="s">
        <v>447</v>
      </c>
      <c r="H1253" s="152" t="str">
        <f t="shared" si="25"/>
        <v>CAR5285</v>
      </c>
      <c r="I1253" s="513">
        <v>212250</v>
      </c>
      <c r="J1253" s="513">
        <v>150</v>
      </c>
      <c r="K1253" s="513">
        <v>1415</v>
      </c>
      <c r="L1253" s="518" t="s">
        <v>3632</v>
      </c>
      <c r="M1253" s="152" t="s">
        <v>780</v>
      </c>
      <c r="N1253" s="152" t="s">
        <v>1407</v>
      </c>
      <c r="O1253" s="152" t="s">
        <v>3633</v>
      </c>
      <c r="P1253" s="152" t="s">
        <v>3489</v>
      </c>
      <c r="Q1253" s="152" t="s">
        <v>3634</v>
      </c>
      <c r="R1253" s="152" t="s">
        <v>3960</v>
      </c>
      <c r="S1253" s="152" t="s">
        <v>3636</v>
      </c>
      <c r="T1253" s="152" t="s">
        <v>786</v>
      </c>
    </row>
    <row r="1254" spans="1:20">
      <c r="C1254" s="152" t="s">
        <v>2821</v>
      </c>
      <c r="D1254" s="474" t="s">
        <v>676</v>
      </c>
      <c r="E1254" s="684" t="str">
        <f>+VLOOKUP(F1254,Resumen_Base!$C$8:$G$156,5,0)</f>
        <v>Miscellaneous &amp; Shipping</v>
      </c>
      <c r="F1254" s="152" t="s">
        <v>28</v>
      </c>
      <c r="G1254" s="152" t="s">
        <v>336</v>
      </c>
      <c r="H1254" s="152" t="str">
        <f t="shared" si="25"/>
        <v>CAR5263</v>
      </c>
      <c r="I1254" s="513">
        <v>303350.40000000002</v>
      </c>
      <c r="J1254" s="513">
        <v>210.66</v>
      </c>
      <c r="K1254" s="513">
        <v>1440</v>
      </c>
      <c r="L1254" s="518" t="s">
        <v>3517</v>
      </c>
      <c r="M1254" s="152" t="s">
        <v>780</v>
      </c>
      <c r="N1254" s="152" t="s">
        <v>1407</v>
      </c>
      <c r="O1254" s="152" t="s">
        <v>3655</v>
      </c>
      <c r="P1254" s="152" t="s">
        <v>892</v>
      </c>
      <c r="Q1254" s="152" t="s">
        <v>3656</v>
      </c>
      <c r="R1254" s="152" t="s">
        <v>4036</v>
      </c>
      <c r="S1254" s="152" t="s">
        <v>3658</v>
      </c>
      <c r="T1254" s="152" t="s">
        <v>786</v>
      </c>
    </row>
    <row r="1255" spans="1:20">
      <c r="A1255" s="684" t="s">
        <v>3391</v>
      </c>
      <c r="B1255" s="210" t="s">
        <v>5860</v>
      </c>
      <c r="C1255" s="152" t="s">
        <v>2821</v>
      </c>
      <c r="D1255" s="474" t="s">
        <v>676</v>
      </c>
      <c r="E1255" s="684" t="str">
        <f>+VLOOKUP(F1255,Resumen_Base!$C$8:$G$156,5,0)</f>
        <v>Extras</v>
      </c>
      <c r="F1255" s="607" t="s">
        <v>337</v>
      </c>
      <c r="G1255" s="597" t="s">
        <v>447</v>
      </c>
      <c r="H1255" s="152" t="str">
        <f t="shared" si="25"/>
        <v>CAR5285</v>
      </c>
      <c r="I1255" s="513">
        <v>770000</v>
      </c>
      <c r="J1255" s="513">
        <v>550</v>
      </c>
      <c r="K1255" s="513">
        <v>1400</v>
      </c>
      <c r="L1255" s="518" t="s">
        <v>3659</v>
      </c>
      <c r="M1255" s="152" t="s">
        <v>780</v>
      </c>
      <c r="N1255" s="152" t="s">
        <v>1407</v>
      </c>
      <c r="O1255" s="152" t="s">
        <v>3795</v>
      </c>
      <c r="P1255" s="152" t="s">
        <v>3489</v>
      </c>
      <c r="Q1255" s="152" t="s">
        <v>3796</v>
      </c>
      <c r="R1255" s="152" t="s">
        <v>4084</v>
      </c>
      <c r="S1255" s="152" t="s">
        <v>3798</v>
      </c>
      <c r="T1255" s="152" t="s">
        <v>786</v>
      </c>
    </row>
    <row r="1256" spans="1:20">
      <c r="C1256" s="152" t="s">
        <v>2821</v>
      </c>
      <c r="D1256" s="474" t="s">
        <v>676</v>
      </c>
      <c r="E1256" s="684" t="str">
        <f>+VLOOKUP(F1256,Resumen_Base!$C$8:$G$156,5,0)</f>
        <v>Miscellaneous &amp; Shipping</v>
      </c>
      <c r="F1256" s="152" t="s">
        <v>28</v>
      </c>
      <c r="G1256" s="152" t="s">
        <v>336</v>
      </c>
      <c r="H1256" s="152" t="str">
        <f t="shared" si="25"/>
        <v>CAR5263</v>
      </c>
      <c r="I1256" s="513">
        <v>649348.85</v>
      </c>
      <c r="J1256" s="513">
        <v>462.17</v>
      </c>
      <c r="K1256" s="513">
        <v>1405</v>
      </c>
      <c r="L1256" s="518" t="s">
        <v>3493</v>
      </c>
      <c r="M1256" s="152" t="s">
        <v>780</v>
      </c>
      <c r="N1256" s="152" t="s">
        <v>1407</v>
      </c>
      <c r="O1256" s="152" t="s">
        <v>4124</v>
      </c>
      <c r="P1256" s="152" t="s">
        <v>3489</v>
      </c>
      <c r="Q1256" s="152" t="s">
        <v>4125</v>
      </c>
      <c r="R1256" s="152" t="s">
        <v>4126</v>
      </c>
      <c r="S1256" s="152" t="s">
        <v>4127</v>
      </c>
      <c r="T1256" s="152" t="s">
        <v>786</v>
      </c>
    </row>
    <row r="1257" spans="1:20" ht="25">
      <c r="C1257" s="152" t="s">
        <v>2821</v>
      </c>
      <c r="D1257" s="474" t="s">
        <v>670</v>
      </c>
      <c r="E1257" s="684" t="str">
        <f>+VLOOKUP(F1257,Resumen_Base!$C$8:$G$156,5,0)</f>
        <v>Communications - Phone, internet and satellite TV</v>
      </c>
      <c r="F1257" s="152" t="s">
        <v>72</v>
      </c>
      <c r="G1257" s="152" t="s">
        <v>73</v>
      </c>
      <c r="H1257" s="152" t="str">
        <f t="shared" si="25"/>
        <v>SJ5266</v>
      </c>
      <c r="I1257" s="513">
        <v>77401.45</v>
      </c>
      <c r="J1257" s="513">
        <v>55.09</v>
      </c>
      <c r="K1257" s="513">
        <v>1405</v>
      </c>
      <c r="L1257" s="518" t="s">
        <v>3493</v>
      </c>
      <c r="M1257" s="152" t="s">
        <v>780</v>
      </c>
      <c r="N1257" s="152" t="s">
        <v>781</v>
      </c>
      <c r="O1257" s="152" t="s">
        <v>4755</v>
      </c>
      <c r="P1257" s="152" t="s">
        <v>3489</v>
      </c>
      <c r="Q1257" s="152" t="s">
        <v>4756</v>
      </c>
      <c r="R1257" s="152" t="s">
        <v>4757</v>
      </c>
      <c r="S1257" s="152" t="s">
        <v>4758</v>
      </c>
      <c r="T1257" s="152" t="s">
        <v>786</v>
      </c>
    </row>
    <row r="1258" spans="1:20" ht="25">
      <c r="A1258" s="684" t="s">
        <v>5865</v>
      </c>
      <c r="C1258" s="152" t="s">
        <v>2821</v>
      </c>
      <c r="D1258" s="474" t="s">
        <v>676</v>
      </c>
      <c r="E1258" s="684" t="str">
        <f>+VLOOKUP(F1258,Resumen_Base!$C$8:$G$156,5,0)</f>
        <v>Communications - Phone, internet and satellite TV</v>
      </c>
      <c r="F1258" s="152" t="s">
        <v>72</v>
      </c>
      <c r="G1258" s="152" t="s">
        <v>73</v>
      </c>
      <c r="H1258" s="152" t="str">
        <f t="shared" si="25"/>
        <v>CAR5266</v>
      </c>
      <c r="I1258" s="513">
        <v>1303447.5</v>
      </c>
      <c r="J1258" s="513">
        <v>914.7</v>
      </c>
      <c r="K1258" s="513">
        <v>1425</v>
      </c>
      <c r="L1258" s="518" t="s">
        <v>3504</v>
      </c>
      <c r="M1258" s="152" t="s">
        <v>780</v>
      </c>
      <c r="N1258" s="152" t="s">
        <v>781</v>
      </c>
      <c r="O1258" s="152" t="s">
        <v>4739</v>
      </c>
      <c r="P1258" s="152" t="s">
        <v>3489</v>
      </c>
      <c r="Q1258" s="152" t="s">
        <v>4740</v>
      </c>
      <c r="R1258" s="152" t="s">
        <v>4789</v>
      </c>
      <c r="S1258" s="152" t="s">
        <v>4742</v>
      </c>
      <c r="T1258" s="152" t="s">
        <v>786</v>
      </c>
    </row>
    <row r="1259" spans="1:20" ht="25">
      <c r="C1259" s="152" t="s">
        <v>2821</v>
      </c>
      <c r="D1259" s="474" t="s">
        <v>670</v>
      </c>
      <c r="E1259" s="684" t="str">
        <f>+VLOOKUP(F1259,Resumen_Base!$C$8:$G$156,5,0)</f>
        <v>Communications - Phone, internet and satellite TV</v>
      </c>
      <c r="F1259" s="152" t="s">
        <v>72</v>
      </c>
      <c r="G1259" s="152" t="s">
        <v>73</v>
      </c>
      <c r="H1259" s="152" t="str">
        <f t="shared" si="25"/>
        <v>SJ5266</v>
      </c>
      <c r="I1259" s="513">
        <v>86598</v>
      </c>
      <c r="J1259" s="513">
        <v>61.2</v>
      </c>
      <c r="K1259" s="513">
        <v>1415</v>
      </c>
      <c r="L1259" s="518" t="s">
        <v>3498</v>
      </c>
      <c r="M1259" s="152" t="s">
        <v>780</v>
      </c>
      <c r="N1259" s="152" t="s">
        <v>781</v>
      </c>
      <c r="O1259" s="152" t="s">
        <v>4743</v>
      </c>
      <c r="P1259" s="152" t="s">
        <v>3489</v>
      </c>
      <c r="Q1259" s="152" t="s">
        <v>4744</v>
      </c>
      <c r="R1259" s="152" t="s">
        <v>4845</v>
      </c>
      <c r="S1259" s="152" t="s">
        <v>4746</v>
      </c>
      <c r="T1259" s="152" t="s">
        <v>786</v>
      </c>
    </row>
    <row r="1260" spans="1:20" ht="25">
      <c r="A1260" s="684" t="s">
        <v>5865</v>
      </c>
      <c r="C1260" s="152" t="s">
        <v>2821</v>
      </c>
      <c r="D1260" s="474" t="s">
        <v>676</v>
      </c>
      <c r="E1260" s="684" t="str">
        <f>+VLOOKUP(F1260,Resumen_Base!$C$8:$G$156,5,0)</f>
        <v>Communications - Phone, internet and satellite TV</v>
      </c>
      <c r="F1260" s="152" t="s">
        <v>72</v>
      </c>
      <c r="G1260" s="152" t="s">
        <v>73</v>
      </c>
      <c r="H1260" s="152" t="str">
        <f t="shared" si="25"/>
        <v>CAR5266</v>
      </c>
      <c r="I1260" s="513">
        <v>80584</v>
      </c>
      <c r="J1260" s="513">
        <v>57.56</v>
      </c>
      <c r="K1260" s="513">
        <v>1400</v>
      </c>
      <c r="L1260" s="518" t="s">
        <v>3659</v>
      </c>
      <c r="M1260" s="152" t="s">
        <v>780</v>
      </c>
      <c r="N1260" s="152" t="s">
        <v>1272</v>
      </c>
      <c r="O1260" s="152" t="s">
        <v>4919</v>
      </c>
      <c r="P1260" s="152" t="s">
        <v>3489</v>
      </c>
      <c r="Q1260" s="152" t="s">
        <v>4920</v>
      </c>
      <c r="R1260" s="152" t="s">
        <v>4921</v>
      </c>
      <c r="S1260" s="152" t="s">
        <v>4922</v>
      </c>
      <c r="T1260" s="152" t="s">
        <v>786</v>
      </c>
    </row>
    <row r="1261" spans="1:20" ht="25">
      <c r="A1261" s="684" t="s">
        <v>5864</v>
      </c>
      <c r="C1261" s="152" t="s">
        <v>2821</v>
      </c>
      <c r="D1261" s="474" t="s">
        <v>676</v>
      </c>
      <c r="E1261" s="684" t="str">
        <f>+VLOOKUP(F1261,Resumen_Base!$C$8:$G$156,5,0)</f>
        <v>Communications - Phone, internet and satellite TV</v>
      </c>
      <c r="F1261" s="152" t="s">
        <v>72</v>
      </c>
      <c r="G1261" s="152" t="s">
        <v>73</v>
      </c>
      <c r="H1261" s="152" t="str">
        <f t="shared" si="25"/>
        <v>CAR5266</v>
      </c>
      <c r="I1261" s="513">
        <v>87210</v>
      </c>
      <c r="J1261" s="513">
        <v>61.2</v>
      </c>
      <c r="K1261" s="513">
        <v>1425</v>
      </c>
      <c r="L1261" s="518" t="s">
        <v>3504</v>
      </c>
      <c r="M1261" s="152" t="s">
        <v>780</v>
      </c>
      <c r="N1261" s="152" t="s">
        <v>1272</v>
      </c>
      <c r="O1261" s="152" t="s">
        <v>4947</v>
      </c>
      <c r="P1261" s="152" t="s">
        <v>3489</v>
      </c>
      <c r="Q1261" s="152" t="s">
        <v>4948</v>
      </c>
      <c r="R1261" s="152" t="s">
        <v>4949</v>
      </c>
      <c r="S1261" s="152" t="s">
        <v>4950</v>
      </c>
      <c r="T1261" s="152" t="s">
        <v>786</v>
      </c>
    </row>
    <row r="1262" spans="1:20" ht="25">
      <c r="A1262" s="684" t="s">
        <v>5865</v>
      </c>
      <c r="C1262" s="152" t="s">
        <v>2821</v>
      </c>
      <c r="D1262" s="474" t="s">
        <v>676</v>
      </c>
      <c r="E1262" s="684" t="str">
        <f>+VLOOKUP(F1262,Resumen_Base!$C$8:$G$156,5,0)</f>
        <v>Communications - Phone, internet and satellite TV</v>
      </c>
      <c r="F1262" s="152" t="s">
        <v>72</v>
      </c>
      <c r="G1262" s="152" t="s">
        <v>73</v>
      </c>
      <c r="H1262" s="152" t="str">
        <f t="shared" si="25"/>
        <v>CAR5266</v>
      </c>
      <c r="I1262" s="513">
        <v>84319.85</v>
      </c>
      <c r="J1262" s="513">
        <v>59.59</v>
      </c>
      <c r="K1262" s="513">
        <v>1415</v>
      </c>
      <c r="L1262" s="518" t="s">
        <v>3632</v>
      </c>
      <c r="M1262" s="152" t="s">
        <v>780</v>
      </c>
      <c r="N1262" s="152" t="s">
        <v>1272</v>
      </c>
      <c r="O1262" s="152" t="s">
        <v>4951</v>
      </c>
      <c r="P1262" s="152" t="s">
        <v>3489</v>
      </c>
      <c r="Q1262" s="152" t="s">
        <v>4952</v>
      </c>
      <c r="R1262" s="152" t="s">
        <v>4953</v>
      </c>
      <c r="S1262" s="152" t="s">
        <v>4954</v>
      </c>
      <c r="T1262" s="152" t="s">
        <v>786</v>
      </c>
    </row>
    <row r="1263" spans="1:20" ht="25">
      <c r="C1263" s="152" t="s">
        <v>2821</v>
      </c>
      <c r="D1263" s="474" t="s">
        <v>676</v>
      </c>
      <c r="E1263" s="684" t="str">
        <f>+VLOOKUP(F1263,Resumen_Base!$C$8:$G$156,5,0)</f>
        <v>Communications - Phone, internet and satellite TV</v>
      </c>
      <c r="F1263" s="152" t="s">
        <v>72</v>
      </c>
      <c r="G1263" s="152" t="s">
        <v>73</v>
      </c>
      <c r="H1263" s="152" t="str">
        <f t="shared" si="25"/>
        <v>CAR5266</v>
      </c>
      <c r="I1263" s="513">
        <v>119742.75</v>
      </c>
      <c r="J1263" s="513">
        <v>84.03</v>
      </c>
      <c r="K1263" s="513">
        <v>1425</v>
      </c>
      <c r="L1263" s="518" t="s">
        <v>3637</v>
      </c>
      <c r="M1263" s="152" t="s">
        <v>780</v>
      </c>
      <c r="N1263" s="152" t="s">
        <v>1407</v>
      </c>
      <c r="O1263" s="152" t="s">
        <v>3680</v>
      </c>
      <c r="P1263" s="152" t="s">
        <v>2865</v>
      </c>
      <c r="Q1263" s="152" t="s">
        <v>3681</v>
      </c>
      <c r="R1263" s="152" t="s">
        <v>3685</v>
      </c>
      <c r="S1263" s="152" t="s">
        <v>3683</v>
      </c>
      <c r="T1263" s="152" t="s">
        <v>786</v>
      </c>
    </row>
    <row r="1264" spans="1:20" ht="25">
      <c r="C1264" s="152" t="s">
        <v>2821</v>
      </c>
      <c r="D1264" s="474" t="s">
        <v>676</v>
      </c>
      <c r="E1264" s="684" t="str">
        <f>+VLOOKUP(F1264,Resumen_Base!$C$8:$G$156,5,0)</f>
        <v>Communications - Phone, internet and satellite TV</v>
      </c>
      <c r="F1264" s="152" t="s">
        <v>72</v>
      </c>
      <c r="G1264" s="152" t="s">
        <v>73</v>
      </c>
      <c r="H1264" s="152" t="str">
        <f t="shared" si="25"/>
        <v>CAR5266</v>
      </c>
      <c r="I1264" s="513">
        <v>116130</v>
      </c>
      <c r="J1264" s="513">
        <v>82.95</v>
      </c>
      <c r="K1264" s="513">
        <v>1400</v>
      </c>
      <c r="L1264" s="518" t="s">
        <v>3659</v>
      </c>
      <c r="M1264" s="152" t="s">
        <v>780</v>
      </c>
      <c r="N1264" s="152" t="s">
        <v>1407</v>
      </c>
      <c r="O1264" s="152" t="s">
        <v>3660</v>
      </c>
      <c r="P1264" s="152" t="s">
        <v>3489</v>
      </c>
      <c r="Q1264" s="152" t="s">
        <v>3661</v>
      </c>
      <c r="R1264" s="152" t="s">
        <v>3686</v>
      </c>
      <c r="S1264" s="152" t="s">
        <v>3663</v>
      </c>
      <c r="T1264" s="152" t="s">
        <v>786</v>
      </c>
    </row>
    <row r="1265" spans="1:20">
      <c r="C1265" s="152" t="s">
        <v>2821</v>
      </c>
      <c r="D1265" s="474" t="s">
        <v>670</v>
      </c>
      <c r="E1265" s="684" t="str">
        <f>+VLOOKUP(F1265,Resumen_Base!$C$8:$G$156,5,0)</f>
        <v>Maintenance Lodge</v>
      </c>
      <c r="F1265" s="152" t="s">
        <v>261</v>
      </c>
      <c r="G1265" s="152" t="s">
        <v>262</v>
      </c>
      <c r="H1265" s="152" t="str">
        <f t="shared" si="25"/>
        <v>SJ5282</v>
      </c>
      <c r="I1265" s="513">
        <v>2707.5</v>
      </c>
      <c r="J1265" s="513">
        <v>1.9</v>
      </c>
      <c r="K1265" s="513">
        <v>1425</v>
      </c>
      <c r="L1265" s="518" t="s">
        <v>3637</v>
      </c>
      <c r="M1265" s="152" t="s">
        <v>780</v>
      </c>
      <c r="N1265" s="152" t="s">
        <v>781</v>
      </c>
      <c r="O1265" s="152" t="s">
        <v>4751</v>
      </c>
      <c r="P1265" s="152" t="s">
        <v>2865</v>
      </c>
      <c r="Q1265" s="152" t="s">
        <v>4752</v>
      </c>
      <c r="R1265" s="152" t="s">
        <v>953</v>
      </c>
      <c r="S1265" s="152" t="s">
        <v>4754</v>
      </c>
      <c r="T1265" s="152" t="s">
        <v>786</v>
      </c>
    </row>
    <row r="1266" spans="1:20">
      <c r="C1266" s="152" t="s">
        <v>2821</v>
      </c>
      <c r="D1266" s="474" t="s">
        <v>670</v>
      </c>
      <c r="E1266" s="684" t="str">
        <f>+VLOOKUP(F1266,Resumen_Base!$C$8:$G$156,5,0)</f>
        <v>Maintenance Lodge</v>
      </c>
      <c r="F1266" s="152" t="s">
        <v>261</v>
      </c>
      <c r="G1266" s="152" t="s">
        <v>262</v>
      </c>
      <c r="H1266" s="152" t="str">
        <f t="shared" si="25"/>
        <v>SJ5282</v>
      </c>
      <c r="I1266" s="513">
        <v>2744</v>
      </c>
      <c r="J1266" s="513">
        <v>1.96</v>
      </c>
      <c r="K1266" s="513">
        <v>1400</v>
      </c>
      <c r="L1266" s="518" t="s">
        <v>3659</v>
      </c>
      <c r="M1266" s="152" t="s">
        <v>780</v>
      </c>
      <c r="N1266" s="152" t="s">
        <v>781</v>
      </c>
      <c r="O1266" s="152" t="s">
        <v>4791</v>
      </c>
      <c r="P1266" s="152" t="s">
        <v>3489</v>
      </c>
      <c r="Q1266" s="152" t="s">
        <v>4792</v>
      </c>
      <c r="R1266" s="152" t="s">
        <v>953</v>
      </c>
      <c r="S1266" s="152" t="s">
        <v>4793</v>
      </c>
      <c r="T1266" s="152" t="s">
        <v>786</v>
      </c>
    </row>
    <row r="1267" spans="1:20">
      <c r="C1267" s="152" t="s">
        <v>2821</v>
      </c>
      <c r="D1267" s="474" t="s">
        <v>670</v>
      </c>
      <c r="E1267" s="684" t="str">
        <f>+VLOOKUP(F1267,Resumen_Base!$C$8:$G$156,5,0)</f>
        <v>Maintenance Lodge</v>
      </c>
      <c r="F1267" s="152" t="s">
        <v>261</v>
      </c>
      <c r="G1267" s="152" t="s">
        <v>262</v>
      </c>
      <c r="H1267" s="152" t="str">
        <f t="shared" si="25"/>
        <v>SJ5282</v>
      </c>
      <c r="I1267" s="513">
        <v>1101995.25</v>
      </c>
      <c r="J1267" s="513">
        <v>773.33</v>
      </c>
      <c r="K1267" s="513">
        <v>1425</v>
      </c>
      <c r="L1267" s="518" t="s">
        <v>3637</v>
      </c>
      <c r="M1267" s="152" t="s">
        <v>780</v>
      </c>
      <c r="N1267" s="152" t="s">
        <v>781</v>
      </c>
      <c r="O1267" s="152" t="s">
        <v>4751</v>
      </c>
      <c r="P1267" s="152" t="s">
        <v>2865</v>
      </c>
      <c r="Q1267" s="152" t="s">
        <v>4752</v>
      </c>
      <c r="R1267" s="152" t="s">
        <v>4858</v>
      </c>
      <c r="S1267" s="152" t="s">
        <v>4754</v>
      </c>
      <c r="T1267" s="152" t="s">
        <v>786</v>
      </c>
    </row>
    <row r="1268" spans="1:20">
      <c r="C1268" s="152" t="s">
        <v>2821</v>
      </c>
      <c r="D1268" s="474" t="s">
        <v>670</v>
      </c>
      <c r="E1268" s="684" t="str">
        <f>+VLOOKUP(F1268,Resumen_Base!$C$8:$G$156,5,0)</f>
        <v>Maintenance Lodge</v>
      </c>
      <c r="F1268" s="152" t="s">
        <v>261</v>
      </c>
      <c r="G1268" s="152" t="s">
        <v>262</v>
      </c>
      <c r="H1268" s="152" t="str">
        <f t="shared" si="25"/>
        <v>SJ5282</v>
      </c>
      <c r="I1268" s="513">
        <v>646982</v>
      </c>
      <c r="J1268" s="513">
        <v>462.13</v>
      </c>
      <c r="K1268" s="513">
        <v>1400</v>
      </c>
      <c r="L1268" s="518" t="s">
        <v>3659</v>
      </c>
      <c r="M1268" s="152" t="s">
        <v>780</v>
      </c>
      <c r="N1268" s="152" t="s">
        <v>781</v>
      </c>
      <c r="O1268" s="152" t="s">
        <v>4791</v>
      </c>
      <c r="P1268" s="152" t="s">
        <v>3489</v>
      </c>
      <c r="Q1268" s="152" t="s">
        <v>4792</v>
      </c>
      <c r="R1268" s="152" t="s">
        <v>4859</v>
      </c>
      <c r="S1268" s="152" t="s">
        <v>4793</v>
      </c>
      <c r="T1268" s="152" t="s">
        <v>786</v>
      </c>
    </row>
    <row r="1269" spans="1:20">
      <c r="C1269" s="152" t="s">
        <v>2821</v>
      </c>
      <c r="D1269" s="474" t="s">
        <v>670</v>
      </c>
      <c r="E1269" s="684" t="str">
        <f>+VLOOKUP(F1269,Resumen_Base!$C$8:$G$156,5,0)</f>
        <v>Maintenance Lodge</v>
      </c>
      <c r="F1269" s="152" t="s">
        <v>236</v>
      </c>
      <c r="G1269" s="152" t="s">
        <v>237</v>
      </c>
      <c r="H1269" s="152" t="str">
        <f t="shared" si="25"/>
        <v>SJ5283</v>
      </c>
      <c r="I1269" s="513">
        <v>541129.80000000005</v>
      </c>
      <c r="J1269" s="513">
        <v>383.78</v>
      </c>
      <c r="K1269" s="513">
        <v>1410</v>
      </c>
      <c r="L1269" s="518" t="s">
        <v>3498</v>
      </c>
      <c r="M1269" s="152" t="s">
        <v>780</v>
      </c>
      <c r="N1269" s="152" t="s">
        <v>781</v>
      </c>
      <c r="O1269" s="152" t="s">
        <v>4743</v>
      </c>
      <c r="P1269" s="152" t="s">
        <v>3489</v>
      </c>
      <c r="Q1269" s="152" t="s">
        <v>4744</v>
      </c>
      <c r="R1269" s="152" t="s">
        <v>4790</v>
      </c>
      <c r="S1269" s="152" t="s">
        <v>4746</v>
      </c>
      <c r="T1269" s="152" t="s">
        <v>786</v>
      </c>
    </row>
    <row r="1270" spans="1:20">
      <c r="C1270" s="152" t="s">
        <v>2821</v>
      </c>
      <c r="D1270" s="474" t="s">
        <v>670</v>
      </c>
      <c r="E1270" s="684" t="str">
        <f>+VLOOKUP(F1270,Resumen_Base!$C$8:$G$156,5,0)</f>
        <v>Maintenance Lodge</v>
      </c>
      <c r="F1270" s="152" t="s">
        <v>236</v>
      </c>
      <c r="G1270" s="152" t="s">
        <v>237</v>
      </c>
      <c r="H1270" s="152" t="str">
        <f t="shared" si="25"/>
        <v>SJ5283</v>
      </c>
      <c r="I1270" s="513">
        <v>1683309.75</v>
      </c>
      <c r="J1270" s="513">
        <v>1181.27</v>
      </c>
      <c r="K1270" s="513">
        <v>1425</v>
      </c>
      <c r="L1270" s="518" t="s">
        <v>3637</v>
      </c>
      <c r="M1270" s="152" t="s">
        <v>780</v>
      </c>
      <c r="N1270" s="152" t="s">
        <v>781</v>
      </c>
      <c r="O1270" s="152" t="s">
        <v>4770</v>
      </c>
      <c r="P1270" s="152" t="s">
        <v>2865</v>
      </c>
      <c r="Q1270" s="152" t="s">
        <v>4771</v>
      </c>
      <c r="R1270" s="152" t="s">
        <v>1003</v>
      </c>
      <c r="S1270" s="152" t="s">
        <v>4773</v>
      </c>
      <c r="T1270" s="152" t="s">
        <v>786</v>
      </c>
    </row>
    <row r="1271" spans="1:20">
      <c r="C1271" s="152" t="s">
        <v>2821</v>
      </c>
      <c r="D1271" s="474" t="s">
        <v>670</v>
      </c>
      <c r="E1271" s="684" t="str">
        <f>+VLOOKUP(F1271,Resumen_Base!$C$8:$G$156,5,0)</f>
        <v>Miscellaneous &amp; Shipping</v>
      </c>
      <c r="F1271" s="152" t="s">
        <v>777</v>
      </c>
      <c r="G1271" s="152" t="s">
        <v>908</v>
      </c>
      <c r="H1271" s="152" t="str">
        <f t="shared" si="25"/>
        <v>SJ5292</v>
      </c>
      <c r="I1271" s="513">
        <v>493500</v>
      </c>
      <c r="J1271" s="513">
        <v>350</v>
      </c>
      <c r="K1271" s="513">
        <v>1410</v>
      </c>
      <c r="L1271" s="518" t="s">
        <v>3498</v>
      </c>
      <c r="M1271" s="152" t="s">
        <v>780</v>
      </c>
      <c r="N1271" s="152" t="s">
        <v>781</v>
      </c>
      <c r="O1271" s="152" t="s">
        <v>4731</v>
      </c>
      <c r="P1271" s="152" t="s">
        <v>3489</v>
      </c>
      <c r="Q1271" s="152" t="s">
        <v>4732</v>
      </c>
      <c r="R1271" s="152" t="s">
        <v>4733</v>
      </c>
      <c r="S1271" s="152" t="s">
        <v>4734</v>
      </c>
      <c r="T1271" s="152" t="s">
        <v>786</v>
      </c>
    </row>
    <row r="1272" spans="1:20">
      <c r="C1272" s="152" t="s">
        <v>2821</v>
      </c>
      <c r="D1272" s="474" t="s">
        <v>670</v>
      </c>
      <c r="E1272" s="684" t="str">
        <f>+VLOOKUP(F1272,Resumen_Base!$C$8:$G$156,5,0)</f>
        <v>Miscellaneous &amp; Shipping</v>
      </c>
      <c r="F1272" s="152" t="s">
        <v>777</v>
      </c>
      <c r="G1272" s="152" t="s">
        <v>908</v>
      </c>
      <c r="H1272" s="152" t="str">
        <f t="shared" si="25"/>
        <v>SJ5292</v>
      </c>
      <c r="I1272" s="513">
        <v>2679</v>
      </c>
      <c r="J1272" s="513">
        <v>1.9</v>
      </c>
      <c r="K1272" s="513">
        <v>1410</v>
      </c>
      <c r="L1272" s="518" t="s">
        <v>3498</v>
      </c>
      <c r="M1272" s="152" t="s">
        <v>780</v>
      </c>
      <c r="N1272" s="152" t="s">
        <v>781</v>
      </c>
      <c r="O1272" s="152" t="s">
        <v>4731</v>
      </c>
      <c r="P1272" s="152" t="s">
        <v>3489</v>
      </c>
      <c r="Q1272" s="152" t="s">
        <v>4732</v>
      </c>
      <c r="R1272" s="152" t="s">
        <v>953</v>
      </c>
      <c r="S1272" s="152" t="s">
        <v>4734</v>
      </c>
      <c r="T1272" s="152" t="s">
        <v>786</v>
      </c>
    </row>
    <row r="1273" spans="1:20">
      <c r="C1273" s="152" t="s">
        <v>2821</v>
      </c>
      <c r="D1273" s="474" t="s">
        <v>676</v>
      </c>
      <c r="E1273" s="684" t="str">
        <f>+VLOOKUP(F1273,Resumen_Base!$C$8:$G$156,5,0)</f>
        <v>Miscellaneous &amp; Shipping</v>
      </c>
      <c r="F1273" s="152" t="s">
        <v>777</v>
      </c>
      <c r="G1273" s="152" t="s">
        <v>908</v>
      </c>
      <c r="H1273" s="152" t="str">
        <f t="shared" si="25"/>
        <v>CAR5292</v>
      </c>
      <c r="I1273" s="513">
        <v>85705</v>
      </c>
      <c r="J1273" s="513">
        <v>61</v>
      </c>
      <c r="K1273" s="513">
        <v>1405</v>
      </c>
      <c r="L1273" s="518" t="s">
        <v>3493</v>
      </c>
      <c r="M1273" s="152" t="s">
        <v>780</v>
      </c>
      <c r="N1273" s="152" t="s">
        <v>1407</v>
      </c>
      <c r="O1273" s="152" t="s">
        <v>3695</v>
      </c>
      <c r="P1273" s="152" t="s">
        <v>3489</v>
      </c>
      <c r="Q1273" s="152" t="s">
        <v>3696</v>
      </c>
      <c r="R1273" s="152" t="s">
        <v>3767</v>
      </c>
      <c r="S1273" s="152" t="s">
        <v>3698</v>
      </c>
      <c r="T1273" s="152" t="s">
        <v>786</v>
      </c>
    </row>
    <row r="1275" spans="1:20" ht="39">
      <c r="A1275" s="753" t="s">
        <v>5839</v>
      </c>
      <c r="B1275" s="750"/>
      <c r="C1275" s="751"/>
      <c r="D1275" s="792" t="s">
        <v>676</v>
      </c>
      <c r="E1275" s="753" t="str">
        <f>+VLOOKUP(F1275,Resumen_Base!$C$8:$G$156,5,0)</f>
        <v>Electricity - Gas for Boats &amp; Vehicles</v>
      </c>
      <c r="F1275" s="754" t="s">
        <v>64</v>
      </c>
      <c r="G1275" s="755" t="s">
        <v>461</v>
      </c>
      <c r="H1275" s="152" t="str">
        <f t="shared" ref="H1275:H1305" si="26">+D1275&amp;F1275</f>
        <v>CAR5248</v>
      </c>
      <c r="I1275" s="470"/>
      <c r="J1275" s="789">
        <v>2781.0250000000001</v>
      </c>
      <c r="K1275" s="470"/>
      <c r="L1275" s="790">
        <v>46112</v>
      </c>
      <c r="M1275" s="751"/>
      <c r="N1275" s="751"/>
      <c r="O1275" s="790"/>
      <c r="P1275" s="788" t="s">
        <v>5811</v>
      </c>
      <c r="Q1275" s="788" t="s">
        <v>5811</v>
      </c>
      <c r="R1275" s="788" t="s">
        <v>5811</v>
      </c>
      <c r="S1275" s="788"/>
      <c r="T1275" s="788"/>
    </row>
    <row r="1276" spans="1:20" ht="39">
      <c r="A1276" s="753" t="s">
        <v>5839</v>
      </c>
      <c r="B1276" s="750"/>
      <c r="C1276" s="751"/>
      <c r="D1276" s="792" t="s">
        <v>676</v>
      </c>
      <c r="E1276" s="753" t="str">
        <f>+VLOOKUP(F1276,Resumen_Base!$C$8:$G$156,5,0)</f>
        <v>Electricity - Gas for Boats &amp; Vehicles</v>
      </c>
      <c r="F1276" s="754" t="s">
        <v>64</v>
      </c>
      <c r="G1276" s="755" t="s">
        <v>461</v>
      </c>
      <c r="H1276" s="152" t="str">
        <f t="shared" si="26"/>
        <v>CAR5248</v>
      </c>
      <c r="I1276" s="470"/>
      <c r="J1276" s="789">
        <v>1.9289999999999998</v>
      </c>
      <c r="K1276" s="470"/>
      <c r="L1276" s="790">
        <v>46112</v>
      </c>
      <c r="M1276" s="751"/>
      <c r="N1276" s="751"/>
      <c r="O1276" s="790"/>
      <c r="P1276" s="788" t="s">
        <v>2797</v>
      </c>
      <c r="Q1276" s="788" t="s">
        <v>2797</v>
      </c>
      <c r="R1276" s="788" t="s">
        <v>2797</v>
      </c>
      <c r="S1276" s="788"/>
      <c r="T1276" s="788"/>
    </row>
    <row r="1277" spans="1:20" ht="39">
      <c r="A1277" s="753" t="s">
        <v>5839</v>
      </c>
      <c r="B1277" s="750"/>
      <c r="C1277" s="751"/>
      <c r="D1277" s="792" t="s">
        <v>676</v>
      </c>
      <c r="E1277" s="753" t="str">
        <f>+VLOOKUP(F1277,Resumen_Base!$C$8:$G$156,5,0)</f>
        <v>Food &amp; Wine</v>
      </c>
      <c r="F1277" s="754" t="s">
        <v>37</v>
      </c>
      <c r="G1277" s="755" t="s">
        <v>457</v>
      </c>
      <c r="H1277" s="152" t="str">
        <f t="shared" si="26"/>
        <v>CAR5250</v>
      </c>
      <c r="I1277" s="470"/>
      <c r="J1277" s="789">
        <v>1890.9</v>
      </c>
      <c r="K1277" s="470"/>
      <c r="L1277" s="790">
        <v>46112</v>
      </c>
      <c r="M1277" s="751"/>
      <c r="N1277" s="751"/>
      <c r="O1277" s="790"/>
      <c r="P1277" s="788" t="s">
        <v>5812</v>
      </c>
      <c r="Q1277" s="788" t="s">
        <v>5812</v>
      </c>
      <c r="R1277" s="788" t="s">
        <v>5812</v>
      </c>
      <c r="S1277" s="788"/>
      <c r="T1277" s="788"/>
    </row>
    <row r="1278" spans="1:20" ht="39">
      <c r="A1278" s="753" t="s">
        <v>5839</v>
      </c>
      <c r="B1278" s="750"/>
      <c r="C1278" s="751"/>
      <c r="D1278" s="792" t="s">
        <v>676</v>
      </c>
      <c r="E1278" s="753" t="str">
        <f>+VLOOKUP(F1278,Resumen_Base!$C$8:$G$156,5,0)</f>
        <v>Food &amp; Wine</v>
      </c>
      <c r="F1278" s="754" t="s">
        <v>37</v>
      </c>
      <c r="G1278" s="755" t="s">
        <v>457</v>
      </c>
      <c r="H1278" s="152" t="str">
        <f t="shared" si="26"/>
        <v>CAR5250</v>
      </c>
      <c r="I1278" s="470"/>
      <c r="J1278" s="789">
        <v>542.57500000000005</v>
      </c>
      <c r="K1278" s="470"/>
      <c r="L1278" s="790">
        <v>46112</v>
      </c>
      <c r="M1278" s="751"/>
      <c r="N1278" s="751"/>
      <c r="O1278" s="790"/>
      <c r="P1278" s="788" t="s">
        <v>5813</v>
      </c>
      <c r="Q1278" s="788" t="s">
        <v>5813</v>
      </c>
      <c r="R1278" s="788" t="s">
        <v>5813</v>
      </c>
      <c r="S1278" s="788"/>
      <c r="T1278" s="788"/>
    </row>
    <row r="1279" spans="1:20" ht="39">
      <c r="A1279" s="753" t="s">
        <v>5839</v>
      </c>
      <c r="B1279" s="750"/>
      <c r="C1279" s="751"/>
      <c r="D1279" s="792" t="s">
        <v>676</v>
      </c>
      <c r="E1279" s="753" t="str">
        <f>+VLOOKUP(F1279,Resumen_Base!$C$8:$G$156,5,0)</f>
        <v>Food &amp; Wine</v>
      </c>
      <c r="F1279" s="754" t="s">
        <v>37</v>
      </c>
      <c r="G1279" s="755" t="s">
        <v>457</v>
      </c>
      <c r="H1279" s="152" t="str">
        <f t="shared" si="26"/>
        <v>CAR5250</v>
      </c>
      <c r="I1279" s="470"/>
      <c r="J1279" s="789">
        <v>5.7869999999999999</v>
      </c>
      <c r="K1279" s="470"/>
      <c r="L1279" s="790">
        <v>46112</v>
      </c>
      <c r="M1279" s="751"/>
      <c r="N1279" s="751"/>
      <c r="O1279" s="790"/>
      <c r="P1279" s="788" t="s">
        <v>2797</v>
      </c>
      <c r="Q1279" s="788" t="s">
        <v>2797</v>
      </c>
      <c r="R1279" s="788" t="s">
        <v>2797</v>
      </c>
      <c r="S1279" s="788"/>
      <c r="T1279" s="788"/>
    </row>
    <row r="1280" spans="1:20" ht="39">
      <c r="A1280" s="753" t="s">
        <v>5839</v>
      </c>
      <c r="B1280" s="750"/>
      <c r="C1280" s="751"/>
      <c r="D1280" s="792" t="s">
        <v>676</v>
      </c>
      <c r="E1280" s="753" t="str">
        <f>+VLOOKUP(F1280,Resumen_Base!$C$8:$G$156,5,0)</f>
        <v>Food &amp; Wine</v>
      </c>
      <c r="F1280" s="754" t="s">
        <v>37</v>
      </c>
      <c r="G1280" s="755" t="s">
        <v>457</v>
      </c>
      <c r="H1280" s="152" t="str">
        <f t="shared" si="26"/>
        <v>CAR5250</v>
      </c>
      <c r="I1280" s="470"/>
      <c r="J1280" s="789">
        <v>4923.3</v>
      </c>
      <c r="K1280" s="470"/>
      <c r="L1280" s="790">
        <v>46112</v>
      </c>
      <c r="M1280" s="751"/>
      <c r="N1280" s="751"/>
      <c r="O1280" s="790"/>
      <c r="P1280" s="788" t="s">
        <v>5814</v>
      </c>
      <c r="Q1280" s="788" t="s">
        <v>5814</v>
      </c>
      <c r="R1280" s="788" t="s">
        <v>5814</v>
      </c>
      <c r="S1280" s="788"/>
      <c r="T1280" s="788"/>
    </row>
    <row r="1281" spans="1:20" ht="39">
      <c r="A1281" s="753" t="s">
        <v>5839</v>
      </c>
      <c r="B1281" s="750"/>
      <c r="C1281" s="751"/>
      <c r="D1281" s="792" t="s">
        <v>676</v>
      </c>
      <c r="E1281" s="753" t="str">
        <f>+VLOOKUP(F1281,Resumen_Base!$C$8:$G$156,5,0)</f>
        <v>Food &amp; Wine</v>
      </c>
      <c r="F1281" s="754" t="s">
        <v>37</v>
      </c>
      <c r="G1281" s="755" t="s">
        <v>457</v>
      </c>
      <c r="H1281" s="152" t="str">
        <f t="shared" si="26"/>
        <v>CAR5250</v>
      </c>
      <c r="I1281" s="470"/>
      <c r="J1281" s="789">
        <v>2775.0749999999998</v>
      </c>
      <c r="K1281" s="470"/>
      <c r="L1281" s="790">
        <v>46112</v>
      </c>
      <c r="M1281" s="751"/>
      <c r="N1281" s="751"/>
      <c r="O1281" s="790"/>
      <c r="P1281" s="788" t="s">
        <v>5815</v>
      </c>
      <c r="Q1281" s="788" t="s">
        <v>5815</v>
      </c>
      <c r="R1281" s="788" t="s">
        <v>5815</v>
      </c>
      <c r="S1281" s="788"/>
      <c r="T1281" s="788"/>
    </row>
    <row r="1282" spans="1:20" ht="39">
      <c r="A1282" s="753" t="s">
        <v>5839</v>
      </c>
      <c r="B1282" s="750"/>
      <c r="C1282" s="751"/>
      <c r="D1282" s="792" t="s">
        <v>676</v>
      </c>
      <c r="E1282" s="753" t="str">
        <f>+VLOOKUP(F1282,Resumen_Base!$C$8:$G$156,5,0)</f>
        <v>Guides</v>
      </c>
      <c r="F1282" s="754" t="s">
        <v>323</v>
      </c>
      <c r="G1282" s="755" t="s">
        <v>453</v>
      </c>
      <c r="H1282" s="152" t="str">
        <f t="shared" si="26"/>
        <v>CAR5227</v>
      </c>
      <c r="I1282" s="470"/>
      <c r="J1282" s="789">
        <v>377.35</v>
      </c>
      <c r="K1282" s="470"/>
      <c r="L1282" s="790">
        <v>46112</v>
      </c>
      <c r="M1282" s="751"/>
      <c r="N1282" s="751"/>
      <c r="O1282" s="790"/>
      <c r="P1282" s="788" t="s">
        <v>5767</v>
      </c>
      <c r="Q1282" s="788" t="s">
        <v>5767</v>
      </c>
      <c r="R1282" s="788" t="s">
        <v>5767</v>
      </c>
      <c r="S1282" s="788"/>
      <c r="T1282" s="788"/>
    </row>
    <row r="1283" spans="1:20" ht="39">
      <c r="A1283" s="753" t="s">
        <v>5839</v>
      </c>
      <c r="B1283" s="750"/>
      <c r="C1283" s="751"/>
      <c r="D1283" s="792" t="s">
        <v>676</v>
      </c>
      <c r="E1283" s="753" t="str">
        <f>+VLOOKUP(F1283,Resumen_Base!$C$8:$G$156,5,0)</f>
        <v>Guides</v>
      </c>
      <c r="F1283" s="754" t="s">
        <v>323</v>
      </c>
      <c r="G1283" s="755" t="s">
        <v>453</v>
      </c>
      <c r="H1283" s="152" t="str">
        <f t="shared" si="26"/>
        <v>CAR5227</v>
      </c>
      <c r="I1283" s="470"/>
      <c r="J1283" s="789">
        <v>446.25</v>
      </c>
      <c r="K1283" s="470"/>
      <c r="L1283" s="790">
        <v>46112</v>
      </c>
      <c r="M1283" s="751"/>
      <c r="N1283" s="751"/>
      <c r="O1283" s="790"/>
      <c r="P1283" s="788" t="s">
        <v>5787</v>
      </c>
      <c r="Q1283" s="788" t="s">
        <v>5787</v>
      </c>
      <c r="R1283" s="788" t="s">
        <v>5787</v>
      </c>
      <c r="S1283" s="788"/>
      <c r="T1283" s="788"/>
    </row>
    <row r="1284" spans="1:20" ht="39">
      <c r="A1284" s="753" t="s">
        <v>5839</v>
      </c>
      <c r="B1284" s="750"/>
      <c r="C1284" s="751"/>
      <c r="D1284" s="792" t="s">
        <v>676</v>
      </c>
      <c r="E1284" s="753" t="str">
        <f>+VLOOKUP(F1284,Resumen_Base!$C$8:$G$156,5,0)</f>
        <v>Guides</v>
      </c>
      <c r="F1284" s="754" t="s">
        <v>323</v>
      </c>
      <c r="G1284" s="755" t="s">
        <v>453</v>
      </c>
      <c r="H1284" s="152" t="str">
        <f t="shared" si="26"/>
        <v>CAR5227</v>
      </c>
      <c r="I1284" s="470"/>
      <c r="J1284" s="789">
        <v>85</v>
      </c>
      <c r="K1284" s="470"/>
      <c r="L1284" s="790">
        <v>46112</v>
      </c>
      <c r="M1284" s="751"/>
      <c r="N1284" s="751"/>
      <c r="O1284" s="790"/>
      <c r="P1284" s="788" t="s">
        <v>5788</v>
      </c>
      <c r="Q1284" s="788" t="s">
        <v>5788</v>
      </c>
      <c r="R1284" s="788" t="s">
        <v>5788</v>
      </c>
      <c r="S1284" s="788"/>
      <c r="T1284" s="788"/>
    </row>
    <row r="1285" spans="1:20" ht="39">
      <c r="A1285" s="753" t="s">
        <v>5839</v>
      </c>
      <c r="B1285" s="750"/>
      <c r="C1285" s="751"/>
      <c r="D1285" s="792" t="s">
        <v>676</v>
      </c>
      <c r="E1285" s="753" t="str">
        <f>+VLOOKUP(F1285,Resumen_Base!$C$8:$G$156,5,0)</f>
        <v>Guides</v>
      </c>
      <c r="F1285" s="754" t="s">
        <v>323</v>
      </c>
      <c r="G1285" s="755" t="s">
        <v>453</v>
      </c>
      <c r="H1285" s="152" t="str">
        <f t="shared" si="26"/>
        <v>CAR5227</v>
      </c>
      <c r="I1285" s="470"/>
      <c r="J1285" s="789">
        <v>276.25</v>
      </c>
      <c r="K1285" s="470"/>
      <c r="L1285" s="790">
        <v>46112</v>
      </c>
      <c r="M1285" s="751"/>
      <c r="N1285" s="751"/>
      <c r="O1285" s="790"/>
      <c r="P1285" s="788" t="s">
        <v>5789</v>
      </c>
      <c r="Q1285" s="788" t="s">
        <v>5789</v>
      </c>
      <c r="R1285" s="788" t="s">
        <v>5789</v>
      </c>
      <c r="S1285" s="788"/>
      <c r="T1285" s="788"/>
    </row>
    <row r="1286" spans="1:20" ht="39">
      <c r="A1286" s="753" t="s">
        <v>5839</v>
      </c>
      <c r="B1286" s="750"/>
      <c r="C1286" s="751"/>
      <c r="D1286" s="792" t="s">
        <v>676</v>
      </c>
      <c r="E1286" s="753" t="str">
        <f>+VLOOKUP(F1286,Resumen_Base!$C$8:$G$156,5,0)</f>
        <v>Guides</v>
      </c>
      <c r="F1286" s="754" t="s">
        <v>323</v>
      </c>
      <c r="G1286" s="755" t="s">
        <v>453</v>
      </c>
      <c r="H1286" s="152" t="str">
        <f t="shared" si="26"/>
        <v>CAR5227</v>
      </c>
      <c r="I1286" s="470"/>
      <c r="J1286" s="789">
        <v>68.375</v>
      </c>
      <c r="K1286" s="470"/>
      <c r="L1286" s="790">
        <v>46112</v>
      </c>
      <c r="M1286" s="751"/>
      <c r="N1286" s="751"/>
      <c r="O1286" s="790"/>
      <c r="P1286" s="788" t="s">
        <v>5790</v>
      </c>
      <c r="Q1286" s="788" t="s">
        <v>5790</v>
      </c>
      <c r="R1286" s="788" t="s">
        <v>5790</v>
      </c>
      <c r="S1286" s="788"/>
      <c r="T1286" s="788"/>
    </row>
    <row r="1287" spans="1:20" ht="39">
      <c r="A1287" s="753" t="s">
        <v>5839</v>
      </c>
      <c r="B1287" s="750"/>
      <c r="C1287" s="751"/>
      <c r="D1287" s="792" t="s">
        <v>676</v>
      </c>
      <c r="E1287" s="753" t="str">
        <f>+VLOOKUP(F1287,Resumen_Base!$C$8:$G$156,5,0)</f>
        <v>Guides</v>
      </c>
      <c r="F1287" s="754" t="s">
        <v>323</v>
      </c>
      <c r="G1287" s="755" t="s">
        <v>453</v>
      </c>
      <c r="H1287" s="152" t="str">
        <f t="shared" si="26"/>
        <v>CAR5227</v>
      </c>
      <c r="I1287" s="470"/>
      <c r="J1287" s="789">
        <v>297.5</v>
      </c>
      <c r="K1287" s="470"/>
      <c r="L1287" s="790">
        <v>46112</v>
      </c>
      <c r="M1287" s="751"/>
      <c r="N1287" s="751"/>
      <c r="O1287" s="790"/>
      <c r="P1287" s="788" t="s">
        <v>5791</v>
      </c>
      <c r="Q1287" s="788" t="s">
        <v>5791</v>
      </c>
      <c r="R1287" s="788" t="s">
        <v>5791</v>
      </c>
      <c r="S1287" s="788"/>
      <c r="T1287" s="788"/>
    </row>
    <row r="1288" spans="1:20" ht="39">
      <c r="A1288" s="753" t="s">
        <v>5839</v>
      </c>
      <c r="B1288" s="750"/>
      <c r="C1288" s="751"/>
      <c r="D1288" s="792" t="s">
        <v>676</v>
      </c>
      <c r="E1288" s="753" t="str">
        <f>+VLOOKUP(F1288,Resumen_Base!$C$8:$G$156,5,0)</f>
        <v>Guides</v>
      </c>
      <c r="F1288" s="754" t="s">
        <v>323</v>
      </c>
      <c r="G1288" s="755" t="s">
        <v>453</v>
      </c>
      <c r="H1288" s="152" t="str">
        <f t="shared" si="26"/>
        <v>CAR5227</v>
      </c>
      <c r="I1288" s="470"/>
      <c r="J1288" s="789">
        <v>340</v>
      </c>
      <c r="K1288" s="470"/>
      <c r="L1288" s="790">
        <v>46112</v>
      </c>
      <c r="M1288" s="751"/>
      <c r="N1288" s="751"/>
      <c r="O1288" s="790"/>
      <c r="P1288" s="788" t="s">
        <v>5792</v>
      </c>
      <c r="Q1288" s="788" t="s">
        <v>5792</v>
      </c>
      <c r="R1288" s="788" t="s">
        <v>5792</v>
      </c>
      <c r="S1288" s="788"/>
      <c r="T1288" s="788"/>
    </row>
    <row r="1289" spans="1:20" ht="39">
      <c r="A1289" s="753" t="s">
        <v>5839</v>
      </c>
      <c r="B1289" s="750"/>
      <c r="C1289" s="751"/>
      <c r="D1289" s="792" t="s">
        <v>676</v>
      </c>
      <c r="E1289" s="753" t="str">
        <f>+VLOOKUP(F1289,Resumen_Base!$C$8:$G$156,5,0)</f>
        <v>Guides</v>
      </c>
      <c r="F1289" s="754" t="s">
        <v>323</v>
      </c>
      <c r="G1289" s="755" t="s">
        <v>453</v>
      </c>
      <c r="H1289" s="152" t="str">
        <f t="shared" si="26"/>
        <v>CAR5227</v>
      </c>
      <c r="I1289" s="470"/>
      <c r="J1289" s="789">
        <v>191.25</v>
      </c>
      <c r="K1289" s="470"/>
      <c r="L1289" s="790">
        <v>46112</v>
      </c>
      <c r="M1289" s="751"/>
      <c r="N1289" s="751"/>
      <c r="O1289" s="790"/>
      <c r="P1289" s="788" t="s">
        <v>5793</v>
      </c>
      <c r="Q1289" s="788" t="s">
        <v>5793</v>
      </c>
      <c r="R1289" s="788" t="s">
        <v>5793</v>
      </c>
      <c r="S1289" s="788"/>
      <c r="T1289" s="788"/>
    </row>
    <row r="1290" spans="1:20" ht="39">
      <c r="A1290" s="753" t="s">
        <v>5839</v>
      </c>
      <c r="B1290" s="750"/>
      <c r="C1290" s="751"/>
      <c r="D1290" s="792" t="s">
        <v>676</v>
      </c>
      <c r="E1290" s="753" t="str">
        <f>+VLOOKUP(F1290,Resumen_Base!$C$8:$G$156,5,0)</f>
        <v>Guides</v>
      </c>
      <c r="F1290" s="754" t="s">
        <v>323</v>
      </c>
      <c r="G1290" s="755" t="s">
        <v>453</v>
      </c>
      <c r="H1290" s="152" t="str">
        <f t="shared" si="26"/>
        <v>CAR5227</v>
      </c>
      <c r="I1290" s="470"/>
      <c r="J1290" s="789">
        <v>85</v>
      </c>
      <c r="K1290" s="470"/>
      <c r="L1290" s="790">
        <v>46112</v>
      </c>
      <c r="M1290" s="751"/>
      <c r="N1290" s="751"/>
      <c r="O1290" s="790"/>
      <c r="P1290" s="788" t="s">
        <v>5794</v>
      </c>
      <c r="Q1290" s="788" t="s">
        <v>5794</v>
      </c>
      <c r="R1290" s="788" t="s">
        <v>5794</v>
      </c>
      <c r="S1290" s="788"/>
      <c r="T1290" s="788"/>
    </row>
    <row r="1291" spans="1:20" ht="39">
      <c r="A1291" s="753" t="s">
        <v>5839</v>
      </c>
      <c r="B1291" s="750"/>
      <c r="C1291" s="751"/>
      <c r="D1291" s="792" t="s">
        <v>676</v>
      </c>
      <c r="E1291" s="753" t="str">
        <f>+VLOOKUP(F1291,Resumen_Base!$C$8:$G$156,5,0)</f>
        <v>Guides</v>
      </c>
      <c r="F1291" s="754" t="s">
        <v>323</v>
      </c>
      <c r="G1291" s="755" t="s">
        <v>453</v>
      </c>
      <c r="H1291" s="152" t="str">
        <f t="shared" si="26"/>
        <v>CAR5227</v>
      </c>
      <c r="I1291" s="470"/>
      <c r="J1291" s="789">
        <v>127.5</v>
      </c>
      <c r="K1291" s="470"/>
      <c r="L1291" s="790">
        <v>46112</v>
      </c>
      <c r="M1291" s="751"/>
      <c r="N1291" s="751"/>
      <c r="O1291" s="790"/>
      <c r="P1291" s="788" t="s">
        <v>5795</v>
      </c>
      <c r="Q1291" s="788" t="s">
        <v>5795</v>
      </c>
      <c r="R1291" s="788" t="s">
        <v>5795</v>
      </c>
      <c r="S1291" s="788"/>
      <c r="T1291" s="788"/>
    </row>
    <row r="1292" spans="1:20" ht="39">
      <c r="A1292" s="753" t="s">
        <v>5839</v>
      </c>
      <c r="B1292" s="750"/>
      <c r="C1292" s="751"/>
      <c r="D1292" s="792" t="s">
        <v>676</v>
      </c>
      <c r="E1292" s="753" t="str">
        <f>+VLOOKUP(F1292,Resumen_Base!$C$8:$G$156,5,0)</f>
        <v>Guides</v>
      </c>
      <c r="F1292" s="754" t="s">
        <v>323</v>
      </c>
      <c r="G1292" s="755" t="s">
        <v>453</v>
      </c>
      <c r="H1292" s="152" t="str">
        <f t="shared" si="26"/>
        <v>CAR5227</v>
      </c>
      <c r="I1292" s="470"/>
      <c r="J1292" s="789">
        <v>318.75</v>
      </c>
      <c r="K1292" s="470"/>
      <c r="L1292" s="790">
        <v>46112</v>
      </c>
      <c r="M1292" s="751"/>
      <c r="N1292" s="751"/>
      <c r="O1292" s="790"/>
      <c r="P1292" s="788" t="s">
        <v>5796</v>
      </c>
      <c r="Q1292" s="788" t="s">
        <v>5796</v>
      </c>
      <c r="R1292" s="788" t="s">
        <v>5796</v>
      </c>
      <c r="S1292" s="788"/>
      <c r="T1292" s="788"/>
    </row>
    <row r="1293" spans="1:20" ht="39">
      <c r="A1293" s="753" t="s">
        <v>5839</v>
      </c>
      <c r="B1293" s="750"/>
      <c r="C1293" s="751"/>
      <c r="D1293" s="792" t="s">
        <v>676</v>
      </c>
      <c r="E1293" s="753" t="str">
        <f>+VLOOKUP(F1293,Resumen_Base!$C$8:$G$156,5,0)</f>
        <v>Guides</v>
      </c>
      <c r="F1293" s="754" t="s">
        <v>323</v>
      </c>
      <c r="G1293" s="755" t="s">
        <v>453</v>
      </c>
      <c r="H1293" s="152" t="str">
        <f t="shared" si="26"/>
        <v>CAR5227</v>
      </c>
      <c r="I1293" s="470"/>
      <c r="J1293" s="789">
        <v>255</v>
      </c>
      <c r="K1293" s="470"/>
      <c r="L1293" s="790">
        <v>46112</v>
      </c>
      <c r="M1293" s="751"/>
      <c r="N1293" s="751"/>
      <c r="O1293" s="790"/>
      <c r="P1293" s="788" t="s">
        <v>5797</v>
      </c>
      <c r="Q1293" s="788" t="s">
        <v>5797</v>
      </c>
      <c r="R1293" s="788" t="s">
        <v>5797</v>
      </c>
      <c r="S1293" s="788"/>
      <c r="T1293" s="788"/>
    </row>
    <row r="1294" spans="1:20" ht="39">
      <c r="A1294" s="753" t="s">
        <v>5839</v>
      </c>
      <c r="B1294" s="750"/>
      <c r="C1294" s="751"/>
      <c r="D1294" s="792" t="s">
        <v>676</v>
      </c>
      <c r="E1294" s="753" t="str">
        <f>+VLOOKUP(F1294,Resumen_Base!$C$8:$G$156,5,0)</f>
        <v>Guides</v>
      </c>
      <c r="F1294" s="754" t="s">
        <v>323</v>
      </c>
      <c r="G1294" s="755" t="s">
        <v>453</v>
      </c>
      <c r="H1294" s="152" t="str">
        <f t="shared" si="26"/>
        <v>CAR5227</v>
      </c>
      <c r="I1294" s="470"/>
      <c r="J1294" s="789">
        <v>148.75</v>
      </c>
      <c r="K1294" s="470"/>
      <c r="L1294" s="790">
        <v>46112</v>
      </c>
      <c r="M1294" s="751"/>
      <c r="N1294" s="751"/>
      <c r="O1294" s="790"/>
      <c r="P1294" s="788" t="s">
        <v>5798</v>
      </c>
      <c r="Q1294" s="788" t="s">
        <v>5798</v>
      </c>
      <c r="R1294" s="788" t="s">
        <v>5798</v>
      </c>
      <c r="S1294" s="788"/>
      <c r="T1294" s="788"/>
    </row>
    <row r="1295" spans="1:20" ht="39">
      <c r="A1295" s="753" t="s">
        <v>5839</v>
      </c>
      <c r="B1295" s="750"/>
      <c r="C1295" s="751"/>
      <c r="D1295" s="792" t="s">
        <v>676</v>
      </c>
      <c r="E1295" s="753" t="str">
        <f>+VLOOKUP(F1295,Resumen_Base!$C$8:$G$156,5,0)</f>
        <v>Guides</v>
      </c>
      <c r="F1295" s="754" t="s">
        <v>323</v>
      </c>
      <c r="G1295" s="755" t="s">
        <v>453</v>
      </c>
      <c r="H1295" s="152" t="str">
        <f t="shared" si="26"/>
        <v>CAR5227</v>
      </c>
      <c r="I1295" s="470"/>
      <c r="J1295" s="789">
        <v>312.5</v>
      </c>
      <c r="K1295" s="470"/>
      <c r="L1295" s="790">
        <v>46112</v>
      </c>
      <c r="M1295" s="751"/>
      <c r="N1295" s="751"/>
      <c r="O1295" s="790"/>
      <c r="P1295" s="788" t="s">
        <v>5799</v>
      </c>
      <c r="Q1295" s="788" t="s">
        <v>5799</v>
      </c>
      <c r="R1295" s="788" t="s">
        <v>5799</v>
      </c>
      <c r="S1295" s="788"/>
      <c r="T1295" s="788"/>
    </row>
    <row r="1296" spans="1:20" ht="39">
      <c r="A1296" s="753" t="s">
        <v>5839</v>
      </c>
      <c r="B1296" s="750"/>
      <c r="C1296" s="751"/>
      <c r="D1296" s="792" t="s">
        <v>676</v>
      </c>
      <c r="E1296" s="753" t="str">
        <f>+VLOOKUP(F1296,Resumen_Base!$C$8:$G$156,5,0)</f>
        <v>Guides</v>
      </c>
      <c r="F1296" s="754" t="s">
        <v>323</v>
      </c>
      <c r="G1296" s="755" t="s">
        <v>453</v>
      </c>
      <c r="H1296" s="152" t="str">
        <f t="shared" si="26"/>
        <v>CAR5227</v>
      </c>
      <c r="I1296" s="470"/>
      <c r="J1296" s="789">
        <v>1125</v>
      </c>
      <c r="K1296" s="470"/>
      <c r="L1296" s="790">
        <v>46112</v>
      </c>
      <c r="M1296" s="751"/>
      <c r="N1296" s="751"/>
      <c r="O1296" s="790"/>
      <c r="P1296" s="788" t="s">
        <v>5800</v>
      </c>
      <c r="Q1296" s="788" t="s">
        <v>5800</v>
      </c>
      <c r="R1296" s="788" t="s">
        <v>5800</v>
      </c>
      <c r="S1296" s="788"/>
      <c r="T1296" s="788"/>
    </row>
    <row r="1297" spans="1:20" ht="39">
      <c r="A1297" s="753" t="s">
        <v>5839</v>
      </c>
      <c r="B1297" s="750"/>
      <c r="C1297" s="751"/>
      <c r="D1297" s="792" t="s">
        <v>676</v>
      </c>
      <c r="E1297" s="753" t="str">
        <f>+VLOOKUP(F1297,Resumen_Base!$C$8:$G$156,5,0)</f>
        <v>Guides</v>
      </c>
      <c r="F1297" s="754" t="s">
        <v>323</v>
      </c>
      <c r="G1297" s="755" t="s">
        <v>453</v>
      </c>
      <c r="H1297" s="152" t="str">
        <f t="shared" si="26"/>
        <v>CAR5227</v>
      </c>
      <c r="I1297" s="470"/>
      <c r="J1297" s="789">
        <v>25.077249999999999</v>
      </c>
      <c r="K1297" s="470"/>
      <c r="L1297" s="790">
        <v>46112</v>
      </c>
      <c r="M1297" s="751"/>
      <c r="N1297" s="751"/>
      <c r="O1297" s="790"/>
      <c r="P1297" s="788" t="s">
        <v>2797</v>
      </c>
      <c r="Q1297" s="788" t="s">
        <v>2797</v>
      </c>
      <c r="R1297" s="788" t="s">
        <v>2797</v>
      </c>
      <c r="S1297" s="788"/>
      <c r="T1297" s="788"/>
    </row>
    <row r="1298" spans="1:20" ht="39">
      <c r="A1298" s="753" t="s">
        <v>5839</v>
      </c>
      <c r="B1298" s="750"/>
      <c r="C1298" s="751"/>
      <c r="D1298" s="792" t="s">
        <v>676</v>
      </c>
      <c r="E1298" s="753" t="str">
        <f>+VLOOKUP(F1298,Resumen_Base!$C$8:$G$156,5,0)</f>
        <v>Guides</v>
      </c>
      <c r="F1298" s="754" t="s">
        <v>323</v>
      </c>
      <c r="G1298" s="755" t="s">
        <v>453</v>
      </c>
      <c r="H1298" s="152" t="str">
        <f t="shared" si="26"/>
        <v>CAR5227</v>
      </c>
      <c r="I1298" s="470"/>
      <c r="J1298" s="789">
        <v>1.9289999999999998</v>
      </c>
      <c r="K1298" s="470"/>
      <c r="L1298" s="790">
        <v>46112</v>
      </c>
      <c r="M1298" s="751"/>
      <c r="N1298" s="751"/>
      <c r="O1298" s="790"/>
      <c r="P1298" s="788" t="s">
        <v>5801</v>
      </c>
      <c r="Q1298" s="788" t="s">
        <v>5801</v>
      </c>
      <c r="R1298" s="788" t="s">
        <v>5801</v>
      </c>
      <c r="S1298" s="788"/>
      <c r="T1298" s="788"/>
    </row>
    <row r="1299" spans="1:20" ht="39">
      <c r="A1299" s="753" t="s">
        <v>5839</v>
      </c>
      <c r="B1299" s="750"/>
      <c r="C1299" s="751"/>
      <c r="D1299" s="792" t="s">
        <v>676</v>
      </c>
      <c r="E1299" s="753" t="str">
        <f>+VLOOKUP(F1299,Resumen_Base!$C$8:$G$156,5,0)</f>
        <v>Guides</v>
      </c>
      <c r="F1299" s="754" t="s">
        <v>323</v>
      </c>
      <c r="G1299" s="755" t="s">
        <v>453</v>
      </c>
      <c r="H1299" s="152" t="str">
        <f t="shared" si="26"/>
        <v>CAR5227</v>
      </c>
      <c r="I1299" s="470"/>
      <c r="J1299" s="789">
        <v>1968.75</v>
      </c>
      <c r="K1299" s="470"/>
      <c r="L1299" s="790">
        <v>46112</v>
      </c>
      <c r="M1299" s="751"/>
      <c r="N1299" s="751"/>
      <c r="O1299" s="790"/>
      <c r="P1299" s="788" t="s">
        <v>5802</v>
      </c>
      <c r="Q1299" s="788" t="s">
        <v>5802</v>
      </c>
      <c r="R1299" s="788" t="s">
        <v>5802</v>
      </c>
      <c r="S1299" s="788"/>
      <c r="T1299" s="788"/>
    </row>
    <row r="1300" spans="1:20" ht="39">
      <c r="A1300" s="753" t="s">
        <v>5839</v>
      </c>
      <c r="B1300" s="750"/>
      <c r="C1300" s="751"/>
      <c r="D1300" s="792" t="s">
        <v>676</v>
      </c>
      <c r="E1300" s="753" t="str">
        <f>+VLOOKUP(F1300,Resumen_Base!$C$8:$G$156,5,0)</f>
        <v>Guides</v>
      </c>
      <c r="F1300" s="754" t="s">
        <v>323</v>
      </c>
      <c r="G1300" s="755" t="s">
        <v>453</v>
      </c>
      <c r="H1300" s="152" t="str">
        <f t="shared" si="26"/>
        <v>CAR5227</v>
      </c>
      <c r="I1300" s="470"/>
      <c r="J1300" s="789">
        <v>2600</v>
      </c>
      <c r="K1300" s="470"/>
      <c r="L1300" s="790">
        <v>46112</v>
      </c>
      <c r="M1300" s="751"/>
      <c r="N1300" s="751"/>
      <c r="O1300" s="790"/>
      <c r="P1300" s="788" t="s">
        <v>5803</v>
      </c>
      <c r="Q1300" s="788" t="s">
        <v>5803</v>
      </c>
      <c r="R1300" s="788" t="s">
        <v>5803</v>
      </c>
      <c r="S1300" s="788"/>
      <c r="T1300" s="788"/>
    </row>
    <row r="1301" spans="1:20" ht="39">
      <c r="A1301" s="753" t="s">
        <v>5839</v>
      </c>
      <c r="B1301" s="750"/>
      <c r="C1301" s="751"/>
      <c r="D1301" s="792" t="s">
        <v>676</v>
      </c>
      <c r="E1301" s="753" t="str">
        <f>+VLOOKUP(F1301,Resumen_Base!$C$8:$G$156,5,0)</f>
        <v>Guides</v>
      </c>
      <c r="F1301" s="754" t="s">
        <v>323</v>
      </c>
      <c r="G1301" s="755" t="s">
        <v>453</v>
      </c>
      <c r="H1301" s="152" t="str">
        <f t="shared" si="26"/>
        <v>CAR5227</v>
      </c>
      <c r="I1301" s="470"/>
      <c r="J1301" s="789">
        <v>950</v>
      </c>
      <c r="K1301" s="470"/>
      <c r="L1301" s="790">
        <v>46112</v>
      </c>
      <c r="M1301" s="751"/>
      <c r="N1301" s="751"/>
      <c r="O1301" s="790"/>
      <c r="P1301" s="788" t="s">
        <v>5804</v>
      </c>
      <c r="Q1301" s="788" t="s">
        <v>5804</v>
      </c>
      <c r="R1301" s="788" t="s">
        <v>5804</v>
      </c>
      <c r="S1301" s="788"/>
      <c r="T1301" s="788"/>
    </row>
    <row r="1302" spans="1:20" ht="39">
      <c r="A1302" s="753" t="s">
        <v>5839</v>
      </c>
      <c r="B1302" s="750"/>
      <c r="C1302" s="751"/>
      <c r="D1302" s="792" t="s">
        <v>676</v>
      </c>
      <c r="E1302" s="753" t="str">
        <f>+VLOOKUP(F1302,Resumen_Base!$C$8:$G$156,5,0)</f>
        <v>Guides</v>
      </c>
      <c r="F1302" s="754" t="s">
        <v>323</v>
      </c>
      <c r="G1302" s="755" t="s">
        <v>453</v>
      </c>
      <c r="H1302" s="152" t="str">
        <f t="shared" si="26"/>
        <v>CAR5227</v>
      </c>
      <c r="I1302" s="470"/>
      <c r="J1302" s="789">
        <v>1550</v>
      </c>
      <c r="K1302" s="470"/>
      <c r="L1302" s="790">
        <v>46112</v>
      </c>
      <c r="M1302" s="751"/>
      <c r="N1302" s="751"/>
      <c r="O1302" s="790"/>
      <c r="P1302" s="788" t="s">
        <v>5805</v>
      </c>
      <c r="Q1302" s="788" t="s">
        <v>5805</v>
      </c>
      <c r="R1302" s="788" t="s">
        <v>5805</v>
      </c>
      <c r="S1302" s="788"/>
      <c r="T1302" s="788"/>
    </row>
    <row r="1303" spans="1:20" ht="39">
      <c r="A1303" s="753" t="s">
        <v>5839</v>
      </c>
      <c r="B1303" s="750"/>
      <c r="C1303" s="751"/>
      <c r="D1303" s="792" t="s">
        <v>676</v>
      </c>
      <c r="E1303" s="753" t="str">
        <f>+VLOOKUP(F1303,Resumen_Base!$C$8:$G$156,5,0)</f>
        <v>Guides</v>
      </c>
      <c r="F1303" s="754" t="s">
        <v>323</v>
      </c>
      <c r="G1303" s="755" t="s">
        <v>453</v>
      </c>
      <c r="H1303" s="152" t="str">
        <f t="shared" si="26"/>
        <v>CAR5227</v>
      </c>
      <c r="I1303" s="470"/>
      <c r="J1303" s="789">
        <v>1782.5</v>
      </c>
      <c r="K1303" s="470"/>
      <c r="L1303" s="790">
        <v>46112</v>
      </c>
      <c r="M1303" s="751"/>
      <c r="N1303" s="751"/>
      <c r="O1303" s="790"/>
      <c r="P1303" s="788" t="s">
        <v>5807</v>
      </c>
      <c r="Q1303" s="788" t="s">
        <v>5807</v>
      </c>
      <c r="R1303" s="788" t="s">
        <v>5807</v>
      </c>
      <c r="S1303" s="788"/>
      <c r="T1303" s="788"/>
    </row>
    <row r="1304" spans="1:20" ht="39">
      <c r="A1304" s="753" t="s">
        <v>5839</v>
      </c>
      <c r="B1304" s="750"/>
      <c r="C1304" s="751"/>
      <c r="D1304" s="792" t="s">
        <v>676</v>
      </c>
      <c r="E1304" s="753" t="str">
        <f>+VLOOKUP(F1304,Resumen_Base!$C$8:$G$156,5,0)</f>
        <v>Guides</v>
      </c>
      <c r="F1304" s="754" t="s">
        <v>323</v>
      </c>
      <c r="G1304" s="755" t="s">
        <v>453</v>
      </c>
      <c r="H1304" s="152" t="str">
        <f t="shared" si="26"/>
        <v>CAR5227</v>
      </c>
      <c r="I1304" s="470"/>
      <c r="J1304" s="789">
        <v>1050</v>
      </c>
      <c r="K1304" s="470"/>
      <c r="L1304" s="790">
        <v>46112</v>
      </c>
      <c r="M1304" s="751"/>
      <c r="N1304" s="751"/>
      <c r="O1304" s="790"/>
      <c r="P1304" s="788" t="s">
        <v>5808</v>
      </c>
      <c r="Q1304" s="788" t="s">
        <v>5808</v>
      </c>
      <c r="R1304" s="788" t="s">
        <v>5808</v>
      </c>
      <c r="S1304" s="788"/>
      <c r="T1304" s="788"/>
    </row>
    <row r="1305" spans="1:20" ht="39">
      <c r="A1305" s="753" t="s">
        <v>5839</v>
      </c>
      <c r="B1305" s="750"/>
      <c r="C1305" s="751"/>
      <c r="D1305" s="792" t="s">
        <v>676</v>
      </c>
      <c r="E1305" s="753" t="str">
        <f>+VLOOKUP(F1305,Resumen_Base!$C$8:$G$156,5,0)</f>
        <v>Maintenance  Boats / Vehicles</v>
      </c>
      <c r="F1305" s="754" t="s">
        <v>66</v>
      </c>
      <c r="G1305" s="755" t="s">
        <v>469</v>
      </c>
      <c r="H1305" s="152" t="str">
        <f t="shared" si="26"/>
        <v>CAR5253</v>
      </c>
      <c r="I1305" s="470"/>
      <c r="J1305" s="789">
        <v>1.9289999999999998</v>
      </c>
      <c r="K1305" s="470"/>
      <c r="L1305" s="790">
        <v>46112</v>
      </c>
      <c r="M1305" s="751"/>
      <c r="N1305" s="751"/>
      <c r="O1305" s="790"/>
      <c r="P1305" s="788" t="s">
        <v>2797</v>
      </c>
      <c r="Q1305" s="788" t="s">
        <v>2797</v>
      </c>
      <c r="R1305" s="788" t="s">
        <v>2797</v>
      </c>
      <c r="S1305" s="788"/>
      <c r="T1305" s="788"/>
    </row>
    <row r="1306" spans="1:20" ht="39">
      <c r="A1306" s="753" t="s">
        <v>5839</v>
      </c>
      <c r="B1306" s="750"/>
      <c r="C1306" s="751"/>
      <c r="D1306" s="792" t="s">
        <v>676</v>
      </c>
      <c r="E1306" s="753" t="str">
        <f>+VLOOKUP(F1306,Resumen_Base!$C$8:$G$156,5,0)</f>
        <v>Maintenance  Boats / Vehicles</v>
      </c>
      <c r="F1306" s="754" t="s">
        <v>66</v>
      </c>
      <c r="G1306" s="755" t="s">
        <v>469</v>
      </c>
      <c r="H1306" s="152" t="str">
        <f t="shared" ref="H1306:H1337" si="27">+D1306&amp;F1306</f>
        <v>CAR5253</v>
      </c>
      <c r="I1306" s="470"/>
      <c r="J1306" s="789">
        <v>276.25</v>
      </c>
      <c r="K1306" s="470"/>
      <c r="L1306" s="790">
        <v>46112</v>
      </c>
      <c r="M1306" s="751"/>
      <c r="N1306" s="751"/>
      <c r="O1306" s="790"/>
      <c r="P1306" s="788" t="s">
        <v>5817</v>
      </c>
      <c r="Q1306" s="788" t="s">
        <v>5817</v>
      </c>
      <c r="R1306" s="788" t="s">
        <v>5817</v>
      </c>
      <c r="S1306" s="788"/>
      <c r="T1306" s="788"/>
    </row>
    <row r="1307" spans="1:20" ht="39">
      <c r="A1307" s="753" t="s">
        <v>5839</v>
      </c>
      <c r="B1307" s="750"/>
      <c r="C1307" s="751"/>
      <c r="D1307" s="792" t="s">
        <v>676</v>
      </c>
      <c r="E1307" s="753" t="str">
        <f>+VLOOKUP(F1307,Resumen_Base!$C$8:$G$156,5,0)</f>
        <v>Maintenance  Equipment</v>
      </c>
      <c r="F1307" s="754" t="s">
        <v>31</v>
      </c>
      <c r="G1307" s="755" t="s">
        <v>470</v>
      </c>
      <c r="H1307" s="152" t="str">
        <f t="shared" si="27"/>
        <v>CAR5254</v>
      </c>
      <c r="I1307" s="470"/>
      <c r="J1307" s="789">
        <v>276.25</v>
      </c>
      <c r="K1307" s="470"/>
      <c r="L1307" s="790">
        <v>46112</v>
      </c>
      <c r="M1307" s="751"/>
      <c r="N1307" s="751"/>
      <c r="O1307" s="790"/>
      <c r="P1307" s="788" t="s">
        <v>5818</v>
      </c>
      <c r="Q1307" s="788" t="s">
        <v>5818</v>
      </c>
      <c r="R1307" s="788" t="s">
        <v>5818</v>
      </c>
      <c r="S1307" s="788"/>
      <c r="T1307" s="788"/>
    </row>
    <row r="1308" spans="1:20" ht="39">
      <c r="A1308" s="753" t="s">
        <v>5839</v>
      </c>
      <c r="B1308" s="750"/>
      <c r="C1308" s="751"/>
      <c r="D1308" s="792" t="s">
        <v>676</v>
      </c>
      <c r="E1308" s="753" t="str">
        <f>+VLOOKUP(F1308,Resumen_Base!$C$8:$G$156,5,0)</f>
        <v>Maintenance Lodge</v>
      </c>
      <c r="F1308" s="754" t="s">
        <v>33</v>
      </c>
      <c r="G1308" s="755" t="s">
        <v>468</v>
      </c>
      <c r="H1308" s="152" t="str">
        <f t="shared" si="27"/>
        <v>CAR5252</v>
      </c>
      <c r="I1308" s="470"/>
      <c r="J1308" s="789">
        <v>112.52500000000001</v>
      </c>
      <c r="K1308" s="470"/>
      <c r="L1308" s="790">
        <v>46112</v>
      </c>
      <c r="M1308" s="751"/>
      <c r="N1308" s="751"/>
      <c r="O1308" s="790"/>
      <c r="P1308" s="788" t="s">
        <v>5816</v>
      </c>
      <c r="Q1308" s="788" t="s">
        <v>5816</v>
      </c>
      <c r="R1308" s="788" t="s">
        <v>5816</v>
      </c>
      <c r="S1308" s="788"/>
      <c r="T1308" s="788"/>
    </row>
    <row r="1309" spans="1:20" ht="39">
      <c r="A1309" s="753" t="s">
        <v>5839</v>
      </c>
      <c r="B1309" s="750"/>
      <c r="C1309" s="751"/>
      <c r="D1309" s="792" t="s">
        <v>676</v>
      </c>
      <c r="E1309" s="753" t="str">
        <f>+VLOOKUP(F1309,Resumen_Base!$C$8:$G$156,5,0)</f>
        <v>Manager</v>
      </c>
      <c r="F1309" s="754" t="s">
        <v>325</v>
      </c>
      <c r="G1309" s="755" t="s">
        <v>452</v>
      </c>
      <c r="H1309" s="152" t="str">
        <f t="shared" si="27"/>
        <v>CAR5228</v>
      </c>
      <c r="I1309" s="470"/>
      <c r="J1309" s="789">
        <v>6964</v>
      </c>
      <c r="K1309" s="470"/>
      <c r="L1309" s="790">
        <v>46119</v>
      </c>
      <c r="M1309" s="751"/>
      <c r="N1309" s="751"/>
      <c r="O1309" s="790"/>
      <c r="P1309" s="788" t="s">
        <v>5836</v>
      </c>
      <c r="Q1309" s="788" t="s">
        <v>5836</v>
      </c>
      <c r="R1309" s="788" t="s">
        <v>5836</v>
      </c>
      <c r="S1309" s="788"/>
      <c r="T1309" s="788"/>
    </row>
    <row r="1310" spans="1:20" ht="39">
      <c r="A1310" s="753" t="s">
        <v>5839</v>
      </c>
      <c r="B1310" s="750"/>
      <c r="C1310" s="751"/>
      <c r="D1310" s="792" t="s">
        <v>676</v>
      </c>
      <c r="E1310" s="753" t="str">
        <f>+VLOOKUP(F1310,Resumen_Base!$C$8:$G$156,5,0)</f>
        <v>Miscellaneous &amp; Shipping</v>
      </c>
      <c r="F1310" s="754" t="s">
        <v>58</v>
      </c>
      <c r="G1310" s="755" t="s">
        <v>59</v>
      </c>
      <c r="H1310" s="152" t="str">
        <f t="shared" si="27"/>
        <v>CAR5219</v>
      </c>
      <c r="I1310" s="470"/>
      <c r="J1310" s="789">
        <v>26.25</v>
      </c>
      <c r="K1310" s="470"/>
      <c r="L1310" s="790">
        <v>46112</v>
      </c>
      <c r="M1310" s="751"/>
      <c r="N1310" s="751"/>
      <c r="O1310" s="790"/>
      <c r="P1310" s="788" t="s">
        <v>5781</v>
      </c>
      <c r="Q1310" s="788" t="s">
        <v>5781</v>
      </c>
      <c r="R1310" s="788" t="s">
        <v>5781</v>
      </c>
      <c r="S1310" s="788"/>
      <c r="T1310" s="788"/>
    </row>
    <row r="1311" spans="1:20" ht="39">
      <c r="A1311" s="753" t="s">
        <v>5839</v>
      </c>
      <c r="B1311" s="750"/>
      <c r="C1311" s="751"/>
      <c r="D1311" s="792" t="s">
        <v>676</v>
      </c>
      <c r="E1311" s="753" t="str">
        <f>+VLOOKUP(F1311,Resumen_Base!$C$8:$G$156,5,0)</f>
        <v>Miscellaneous &amp; Shipping</v>
      </c>
      <c r="F1311" s="754" t="s">
        <v>58</v>
      </c>
      <c r="G1311" s="755" t="s">
        <v>59</v>
      </c>
      <c r="H1311" s="152" t="str">
        <f t="shared" si="27"/>
        <v>CAR5219</v>
      </c>
      <c r="I1311" s="470"/>
      <c r="J1311" s="789">
        <v>100</v>
      </c>
      <c r="K1311" s="470"/>
      <c r="L1311" s="790">
        <v>46112</v>
      </c>
      <c r="M1311" s="751"/>
      <c r="N1311" s="751"/>
      <c r="O1311" s="790"/>
      <c r="P1311" s="788" t="s">
        <v>5782</v>
      </c>
      <c r="Q1311" s="788" t="s">
        <v>5782</v>
      </c>
      <c r="R1311" s="788" t="s">
        <v>5782</v>
      </c>
      <c r="S1311" s="788"/>
      <c r="T1311" s="788"/>
    </row>
    <row r="1312" spans="1:20" ht="39">
      <c r="A1312" s="753" t="s">
        <v>5839</v>
      </c>
      <c r="B1312" s="750"/>
      <c r="C1312" s="751"/>
      <c r="D1312" s="792" t="s">
        <v>676</v>
      </c>
      <c r="E1312" s="753" t="str">
        <f>+VLOOKUP(F1312,Resumen_Base!$C$8:$G$156,5,0)</f>
        <v>Miscellaneous &amp; Shipping</v>
      </c>
      <c r="F1312" s="754" t="s">
        <v>58</v>
      </c>
      <c r="G1312" s="755" t="s">
        <v>59</v>
      </c>
      <c r="H1312" s="152" t="str">
        <f t="shared" si="27"/>
        <v>CAR5219</v>
      </c>
      <c r="I1312" s="470"/>
      <c r="J1312" s="789">
        <v>1.9295000000000002</v>
      </c>
      <c r="K1312" s="470"/>
      <c r="L1312" s="790">
        <v>46112</v>
      </c>
      <c r="M1312" s="751"/>
      <c r="N1312" s="751"/>
      <c r="O1312" s="790"/>
      <c r="P1312" s="788" t="s">
        <v>2797</v>
      </c>
      <c r="Q1312" s="788" t="s">
        <v>2797</v>
      </c>
      <c r="R1312" s="788" t="s">
        <v>2797</v>
      </c>
      <c r="S1312" s="788"/>
      <c r="T1312" s="788"/>
    </row>
    <row r="1313" spans="1:20" ht="52">
      <c r="A1313" s="753" t="s">
        <v>5856</v>
      </c>
      <c r="B1313" s="210" t="s">
        <v>5862</v>
      </c>
      <c r="C1313" s="751"/>
      <c r="D1313" s="792" t="s">
        <v>676</v>
      </c>
      <c r="E1313" s="753" t="str">
        <f>+VLOOKUP(F1313,Resumen_Base!$C$8:$G$156,5,0)</f>
        <v>Food &amp; Wine</v>
      </c>
      <c r="F1313" s="607" t="s">
        <v>37</v>
      </c>
      <c r="G1313" s="597" t="s">
        <v>457</v>
      </c>
      <c r="H1313" s="152" t="str">
        <f t="shared" si="27"/>
        <v>CAR5250</v>
      </c>
      <c r="I1313" s="470"/>
      <c r="J1313" s="789">
        <v>735.75</v>
      </c>
      <c r="K1313" s="470"/>
      <c r="L1313" s="790">
        <v>46112</v>
      </c>
      <c r="M1313" s="751"/>
      <c r="N1313" s="751"/>
      <c r="O1313" s="790"/>
      <c r="P1313" s="788" t="s">
        <v>5819</v>
      </c>
      <c r="Q1313" s="788" t="s">
        <v>5819</v>
      </c>
      <c r="R1313" s="788" t="s">
        <v>5819</v>
      </c>
      <c r="S1313" s="788"/>
      <c r="T1313" s="788"/>
    </row>
    <row r="1314" spans="1:20" ht="52">
      <c r="A1314" s="753" t="s">
        <v>5856</v>
      </c>
      <c r="B1314" s="210" t="s">
        <v>5862</v>
      </c>
      <c r="C1314" s="751"/>
      <c r="D1314" s="792" t="s">
        <v>676</v>
      </c>
      <c r="E1314" s="753" t="str">
        <f>+VLOOKUP(F1314,Resumen_Base!$C$8:$G$156,5,0)</f>
        <v>Food &amp; Wine</v>
      </c>
      <c r="F1314" s="607" t="s">
        <v>37</v>
      </c>
      <c r="G1314" s="597" t="s">
        <v>457</v>
      </c>
      <c r="H1314" s="152" t="str">
        <f t="shared" si="27"/>
        <v>CAR5250</v>
      </c>
      <c r="I1314" s="470"/>
      <c r="J1314" s="789">
        <v>25</v>
      </c>
      <c r="K1314" s="470"/>
      <c r="L1314" s="790">
        <v>46112</v>
      </c>
      <c r="M1314" s="751"/>
      <c r="N1314" s="751"/>
      <c r="O1314" s="790"/>
      <c r="P1314" s="788" t="s">
        <v>5820</v>
      </c>
      <c r="Q1314" s="788" t="s">
        <v>5820</v>
      </c>
      <c r="R1314" s="788" t="s">
        <v>5820</v>
      </c>
      <c r="S1314" s="788"/>
      <c r="T1314" s="788"/>
    </row>
    <row r="1315" spans="1:20" ht="52">
      <c r="A1315" s="753" t="s">
        <v>5856</v>
      </c>
      <c r="B1315" s="210" t="s">
        <v>5862</v>
      </c>
      <c r="C1315" s="751"/>
      <c r="D1315" s="792" t="s">
        <v>676</v>
      </c>
      <c r="E1315" s="753" t="str">
        <f>+VLOOKUP(F1315,Resumen_Base!$C$8:$G$156,5,0)</f>
        <v>Food &amp; Wine</v>
      </c>
      <c r="F1315" s="607" t="s">
        <v>37</v>
      </c>
      <c r="G1315" s="597" t="s">
        <v>457</v>
      </c>
      <c r="H1315" s="152" t="str">
        <f t="shared" si="27"/>
        <v>CAR5250</v>
      </c>
      <c r="I1315" s="470"/>
      <c r="J1315" s="789">
        <v>263.75</v>
      </c>
      <c r="K1315" s="470"/>
      <c r="L1315" s="790">
        <v>46112</v>
      </c>
      <c r="M1315" s="751"/>
      <c r="N1315" s="751"/>
      <c r="O1315" s="790"/>
      <c r="P1315" s="788" t="s">
        <v>5821</v>
      </c>
      <c r="Q1315" s="788" t="s">
        <v>5821</v>
      </c>
      <c r="R1315" s="788" t="s">
        <v>5821</v>
      </c>
      <c r="S1315" s="788"/>
      <c r="T1315" s="788"/>
    </row>
    <row r="1316" spans="1:20" ht="39">
      <c r="A1316" s="753" t="s">
        <v>5839</v>
      </c>
      <c r="B1316" s="750"/>
      <c r="C1316" s="751"/>
      <c r="D1316" s="792" t="s">
        <v>676</v>
      </c>
      <c r="E1316" s="753" t="str">
        <f>+VLOOKUP(F1316,Resumen_Base!$C$8:$G$156,5,0)</f>
        <v>Services/House</v>
      </c>
      <c r="F1316" s="754" t="s">
        <v>321</v>
      </c>
      <c r="G1316" s="755" t="s">
        <v>455</v>
      </c>
      <c r="H1316" s="152" t="str">
        <f t="shared" si="27"/>
        <v>CAR5226</v>
      </c>
      <c r="I1316" s="470"/>
      <c r="J1316" s="789">
        <v>903.22500000000002</v>
      </c>
      <c r="K1316" s="470"/>
      <c r="L1316" s="790">
        <v>46112</v>
      </c>
      <c r="M1316" s="751"/>
      <c r="N1316" s="751"/>
      <c r="O1316" s="790"/>
      <c r="P1316" s="788" t="s">
        <v>5783</v>
      </c>
      <c r="Q1316" s="788" t="s">
        <v>5783</v>
      </c>
      <c r="R1316" s="788" t="s">
        <v>5783</v>
      </c>
      <c r="S1316" s="788"/>
      <c r="T1316" s="788"/>
    </row>
    <row r="1317" spans="1:20" ht="39">
      <c r="A1317" s="753" t="s">
        <v>5839</v>
      </c>
      <c r="B1317" s="750"/>
      <c r="C1317" s="751"/>
      <c r="D1317" s="792" t="s">
        <v>676</v>
      </c>
      <c r="E1317" s="753" t="str">
        <f>+VLOOKUP(F1317,Resumen_Base!$C$8:$G$156,5,0)</f>
        <v>Services/House</v>
      </c>
      <c r="F1317" s="754" t="s">
        <v>321</v>
      </c>
      <c r="G1317" s="755" t="s">
        <v>455</v>
      </c>
      <c r="H1317" s="152" t="str">
        <f t="shared" si="27"/>
        <v>CAR5226</v>
      </c>
      <c r="I1317" s="470"/>
      <c r="J1317" s="789">
        <v>886.375</v>
      </c>
      <c r="K1317" s="470"/>
      <c r="L1317" s="790">
        <v>46112</v>
      </c>
      <c r="M1317" s="751"/>
      <c r="N1317" s="751"/>
      <c r="O1317" s="790"/>
      <c r="P1317" s="788" t="s">
        <v>5784</v>
      </c>
      <c r="Q1317" s="788" t="s">
        <v>5784</v>
      </c>
      <c r="R1317" s="788" t="s">
        <v>5784</v>
      </c>
      <c r="S1317" s="788"/>
      <c r="T1317" s="788"/>
    </row>
    <row r="1318" spans="1:20" ht="39">
      <c r="A1318" s="753" t="s">
        <v>5839</v>
      </c>
      <c r="B1318" s="750"/>
      <c r="C1318" s="751"/>
      <c r="D1318" s="792" t="s">
        <v>676</v>
      </c>
      <c r="E1318" s="753" t="str">
        <f>+VLOOKUP(F1318,Resumen_Base!$C$8:$G$156,5,0)</f>
        <v>Services/House</v>
      </c>
      <c r="F1318" s="754" t="s">
        <v>321</v>
      </c>
      <c r="G1318" s="755" t="s">
        <v>455</v>
      </c>
      <c r="H1318" s="152" t="str">
        <f t="shared" si="27"/>
        <v>CAR5226</v>
      </c>
      <c r="I1318" s="470"/>
      <c r="J1318" s="789">
        <v>903.22500000000002</v>
      </c>
      <c r="K1318" s="470"/>
      <c r="L1318" s="790">
        <v>46112</v>
      </c>
      <c r="M1318" s="751"/>
      <c r="N1318" s="751"/>
      <c r="O1318" s="790"/>
      <c r="P1318" s="788" t="s">
        <v>5785</v>
      </c>
      <c r="Q1318" s="788" t="s">
        <v>5785</v>
      </c>
      <c r="R1318" s="788" t="s">
        <v>5785</v>
      </c>
      <c r="S1318" s="788"/>
      <c r="T1318" s="788"/>
    </row>
    <row r="1319" spans="1:20" ht="39">
      <c r="A1319" s="753" t="s">
        <v>5839</v>
      </c>
      <c r="B1319" s="750"/>
      <c r="C1319" s="751"/>
      <c r="D1319" s="792" t="s">
        <v>676</v>
      </c>
      <c r="E1319" s="753" t="str">
        <f>+VLOOKUP(F1319,Resumen_Base!$C$8:$G$156,5,0)</f>
        <v>Services/House</v>
      </c>
      <c r="F1319" s="754" t="s">
        <v>321</v>
      </c>
      <c r="G1319" s="755" t="s">
        <v>455</v>
      </c>
      <c r="H1319" s="152" t="str">
        <f t="shared" si="27"/>
        <v>CAR5226</v>
      </c>
      <c r="I1319" s="470"/>
      <c r="J1319" s="789">
        <v>886.375</v>
      </c>
      <c r="K1319" s="470"/>
      <c r="L1319" s="790">
        <v>46112</v>
      </c>
      <c r="M1319" s="751"/>
      <c r="N1319" s="751"/>
      <c r="O1319" s="790"/>
      <c r="P1319" s="788" t="s">
        <v>5786</v>
      </c>
      <c r="Q1319" s="788" t="s">
        <v>5786</v>
      </c>
      <c r="R1319" s="788" t="s">
        <v>5786</v>
      </c>
      <c r="S1319" s="788"/>
      <c r="T1319" s="788"/>
    </row>
    <row r="1320" spans="1:20" ht="39">
      <c r="A1320" s="753" t="s">
        <v>5839</v>
      </c>
      <c r="B1320" s="750"/>
      <c r="C1320" s="751"/>
      <c r="D1320" s="792" t="s">
        <v>676</v>
      </c>
      <c r="E1320" s="753" t="str">
        <f>+VLOOKUP(F1320,Resumen_Base!$C$8:$G$156,5,0)</f>
        <v>Services/House</v>
      </c>
      <c r="F1320" s="754" t="s">
        <v>321</v>
      </c>
      <c r="G1320" s="755" t="s">
        <v>455</v>
      </c>
      <c r="H1320" s="152" t="str">
        <f t="shared" si="27"/>
        <v>CAR5226</v>
      </c>
      <c r="I1320" s="470"/>
      <c r="J1320" s="789">
        <v>1390</v>
      </c>
      <c r="K1320" s="470"/>
      <c r="L1320" s="790">
        <v>46120</v>
      </c>
      <c r="M1320" s="751"/>
      <c r="N1320" s="751"/>
      <c r="O1320" s="790"/>
      <c r="P1320" s="788" t="s">
        <v>5833</v>
      </c>
      <c r="Q1320" s="788" t="s">
        <v>5833</v>
      </c>
      <c r="R1320" s="788" t="s">
        <v>5833</v>
      </c>
      <c r="S1320" s="788"/>
      <c r="T1320" s="788"/>
    </row>
    <row r="1321" spans="1:20" ht="39">
      <c r="A1321" s="753" t="s">
        <v>5839</v>
      </c>
      <c r="B1321" s="750"/>
      <c r="C1321" s="751"/>
      <c r="D1321" s="792" t="s">
        <v>676</v>
      </c>
      <c r="E1321" s="753" t="str">
        <f>+VLOOKUP(F1321,Resumen_Base!$C$8:$G$156,5,0)</f>
        <v>Services/House</v>
      </c>
      <c r="F1321" s="754" t="s">
        <v>321</v>
      </c>
      <c r="G1321" s="755" t="s">
        <v>455</v>
      </c>
      <c r="H1321" s="152" t="str">
        <f t="shared" si="27"/>
        <v>CAR5226</v>
      </c>
      <c r="I1321" s="470"/>
      <c r="J1321" s="789">
        <v>1393</v>
      </c>
      <c r="K1321" s="470"/>
      <c r="L1321" s="790">
        <v>46120</v>
      </c>
      <c r="M1321" s="751"/>
      <c r="N1321" s="751"/>
      <c r="O1321" s="790"/>
      <c r="P1321" s="788" t="s">
        <v>5834</v>
      </c>
      <c r="Q1321" s="788" t="s">
        <v>5834</v>
      </c>
      <c r="R1321" s="788" t="s">
        <v>5834</v>
      </c>
      <c r="S1321" s="788"/>
      <c r="T1321" s="788"/>
    </row>
    <row r="1322" spans="1:20" ht="39">
      <c r="A1322" s="753" t="s">
        <v>5839</v>
      </c>
      <c r="B1322" s="750"/>
      <c r="C1322" s="751"/>
      <c r="D1322" s="792" t="s">
        <v>676</v>
      </c>
      <c r="E1322" s="753" t="str">
        <f>+VLOOKUP(F1322,Resumen_Base!$C$8:$G$156,5,0)</f>
        <v>Services/House</v>
      </c>
      <c r="F1322" s="754" t="s">
        <v>321</v>
      </c>
      <c r="G1322" s="755" t="s">
        <v>455</v>
      </c>
      <c r="H1322" s="152" t="str">
        <f t="shared" si="27"/>
        <v>CAR5226</v>
      </c>
      <c r="I1322" s="470"/>
      <c r="J1322" s="789">
        <v>7823</v>
      </c>
      <c r="K1322" s="470"/>
      <c r="L1322" s="790">
        <v>46119</v>
      </c>
      <c r="M1322" s="751"/>
      <c r="N1322" s="751"/>
      <c r="O1322" s="790"/>
      <c r="P1322" s="788" t="s">
        <v>5835</v>
      </c>
      <c r="Q1322" s="788" t="s">
        <v>5835</v>
      </c>
      <c r="R1322" s="788" t="s">
        <v>5835</v>
      </c>
      <c r="S1322" s="788"/>
      <c r="T1322" s="788"/>
    </row>
    <row r="1323" spans="1:20" ht="39">
      <c r="A1323" s="753" t="s">
        <v>5839</v>
      </c>
      <c r="B1323" s="750"/>
      <c r="C1323" s="751"/>
      <c r="D1323" s="792" t="s">
        <v>676</v>
      </c>
      <c r="E1323" s="753" t="str">
        <f>+VLOOKUP(F1323,Resumen_Base!$C$8:$G$156,5,0)</f>
        <v>Services/House</v>
      </c>
      <c r="F1323" s="754" t="s">
        <v>321</v>
      </c>
      <c r="G1323" s="755" t="s">
        <v>455</v>
      </c>
      <c r="H1323" s="152" t="str">
        <f t="shared" si="27"/>
        <v>CAR5226</v>
      </c>
      <c r="I1323" s="470"/>
      <c r="J1323" s="789">
        <v>900</v>
      </c>
      <c r="K1323" s="470"/>
      <c r="L1323" s="790">
        <v>46118</v>
      </c>
      <c r="M1323" s="751"/>
      <c r="N1323" s="751"/>
      <c r="O1323" s="790"/>
      <c r="P1323" s="788" t="s">
        <v>5837</v>
      </c>
      <c r="Q1323" s="788" t="s">
        <v>5837</v>
      </c>
      <c r="R1323" s="788" t="s">
        <v>5837</v>
      </c>
      <c r="S1323" s="788"/>
      <c r="T1323" s="788"/>
    </row>
    <row r="1324" spans="1:20" ht="39">
      <c r="A1324" s="753" t="s">
        <v>5839</v>
      </c>
      <c r="B1324" s="750"/>
      <c r="C1324" s="751"/>
      <c r="D1324" s="792" t="s">
        <v>676</v>
      </c>
      <c r="E1324" s="753" t="str">
        <f>+VLOOKUP(F1324,Resumen_Base!$C$8:$G$156,5,0)</f>
        <v>Services/House</v>
      </c>
      <c r="F1324" s="754" t="s">
        <v>321</v>
      </c>
      <c r="G1324" s="755" t="s">
        <v>455</v>
      </c>
      <c r="H1324" s="152" t="str">
        <f t="shared" si="27"/>
        <v>CAR5226</v>
      </c>
      <c r="I1324" s="470"/>
      <c r="J1324" s="789">
        <v>662.5</v>
      </c>
      <c r="K1324" s="470"/>
      <c r="L1324" s="790">
        <v>46120</v>
      </c>
      <c r="M1324" s="751"/>
      <c r="N1324" s="751"/>
      <c r="O1324" s="790"/>
      <c r="P1324" s="788" t="s">
        <v>5838</v>
      </c>
      <c r="Q1324" s="788" t="s">
        <v>5838</v>
      </c>
      <c r="R1324" s="788" t="s">
        <v>5838</v>
      </c>
      <c r="S1324" s="788"/>
      <c r="T1324" s="788"/>
    </row>
    <row r="1325" spans="1:20" ht="39">
      <c r="A1325" s="753" t="s">
        <v>5839</v>
      </c>
      <c r="B1325" s="750"/>
      <c r="C1325" s="751"/>
      <c r="D1325" s="792" t="s">
        <v>676</v>
      </c>
      <c r="E1325" s="753" t="str">
        <f>+VLOOKUP(F1325,Resumen_Base!$C$8:$G$156,5,0)</f>
        <v>Social Security Contributions</v>
      </c>
      <c r="F1325" s="754" t="s">
        <v>331</v>
      </c>
      <c r="G1325" s="755" t="s">
        <v>332</v>
      </c>
      <c r="H1325" s="152" t="str">
        <f t="shared" si="27"/>
        <v>CAR5236</v>
      </c>
      <c r="I1325" s="470"/>
      <c r="J1325" s="789">
        <v>584.25</v>
      </c>
      <c r="K1325" s="470"/>
      <c r="L1325" s="790">
        <v>46112</v>
      </c>
      <c r="M1325" s="751"/>
      <c r="N1325" s="751"/>
      <c r="O1325" s="790"/>
      <c r="P1325" s="788" t="s">
        <v>5809</v>
      </c>
      <c r="Q1325" s="788" t="s">
        <v>5809</v>
      </c>
      <c r="R1325" s="788" t="s">
        <v>5809</v>
      </c>
      <c r="S1325" s="788"/>
      <c r="T1325" s="788"/>
    </row>
    <row r="1326" spans="1:20" ht="39">
      <c r="A1326" s="753" t="s">
        <v>5839</v>
      </c>
      <c r="B1326" s="750"/>
      <c r="C1326" s="751"/>
      <c r="D1326" s="792" t="s">
        <v>676</v>
      </c>
      <c r="E1326" s="753" t="str">
        <f>+VLOOKUP(F1326,Resumen_Base!$C$8:$G$156,5,0)</f>
        <v>Social Security Contributions</v>
      </c>
      <c r="F1326" s="754" t="s">
        <v>331</v>
      </c>
      <c r="G1326" s="755" t="s">
        <v>332</v>
      </c>
      <c r="H1326" s="152" t="str">
        <f t="shared" si="27"/>
        <v>CAR5236</v>
      </c>
      <c r="I1326" s="470"/>
      <c r="J1326" s="789">
        <v>412.5</v>
      </c>
      <c r="K1326" s="470"/>
      <c r="L1326" s="790">
        <v>46112</v>
      </c>
      <c r="M1326" s="751"/>
      <c r="N1326" s="751"/>
      <c r="O1326" s="790"/>
      <c r="P1326" s="788" t="s">
        <v>5810</v>
      </c>
      <c r="Q1326" s="788" t="s">
        <v>5810</v>
      </c>
      <c r="R1326" s="788" t="s">
        <v>5810</v>
      </c>
      <c r="S1326" s="788"/>
      <c r="T1326" s="788"/>
    </row>
    <row r="1327" spans="1:20" ht="39">
      <c r="A1327" s="753" t="s">
        <v>5839</v>
      </c>
      <c r="B1327" s="750"/>
      <c r="C1327" s="751"/>
      <c r="D1327" s="792" t="s">
        <v>670</v>
      </c>
      <c r="E1327" s="753" t="str">
        <f>+VLOOKUP(F1327,Resumen_Base!$C$8:$G$156,5,0)</f>
        <v>Electricity - Gas for Boats &amp; Vehicles</v>
      </c>
      <c r="F1327" s="754" t="s">
        <v>64</v>
      </c>
      <c r="G1327" s="755" t="s">
        <v>461</v>
      </c>
      <c r="H1327" s="152" t="str">
        <f t="shared" si="27"/>
        <v>SJ5248</v>
      </c>
      <c r="I1327" s="470"/>
      <c r="J1327" s="789">
        <v>100</v>
      </c>
      <c r="K1327" s="470"/>
      <c r="L1327" s="790">
        <v>46112</v>
      </c>
      <c r="M1327" s="751"/>
      <c r="N1327" s="751"/>
      <c r="O1327" s="790"/>
      <c r="P1327" s="788" t="s">
        <v>5824</v>
      </c>
      <c r="Q1327" s="788" t="s">
        <v>5824</v>
      </c>
      <c r="R1327" s="788" t="s">
        <v>5824</v>
      </c>
      <c r="S1327" s="788"/>
      <c r="T1327" s="788"/>
    </row>
    <row r="1328" spans="1:20" ht="39">
      <c r="A1328" s="753" t="s">
        <v>5839</v>
      </c>
      <c r="B1328" s="750"/>
      <c r="C1328" s="751"/>
      <c r="D1328" s="792" t="s">
        <v>670</v>
      </c>
      <c r="E1328" s="753" t="str">
        <f>+VLOOKUP(F1328,Resumen_Base!$C$8:$G$156,5,0)</f>
        <v>Electricity - Gas for Boats &amp; Vehicles</v>
      </c>
      <c r="F1328" s="754" t="s">
        <v>64</v>
      </c>
      <c r="G1328" s="755" t="s">
        <v>461</v>
      </c>
      <c r="H1328" s="152" t="str">
        <f t="shared" si="27"/>
        <v>SJ5248</v>
      </c>
      <c r="I1328" s="470"/>
      <c r="J1328" s="789">
        <v>1.9155000000000002</v>
      </c>
      <c r="K1328" s="470"/>
      <c r="L1328" s="790">
        <v>46112</v>
      </c>
      <c r="M1328" s="751"/>
      <c r="N1328" s="751"/>
      <c r="O1328" s="790"/>
      <c r="P1328" s="788" t="s">
        <v>2797</v>
      </c>
      <c r="Q1328" s="788" t="s">
        <v>2797</v>
      </c>
      <c r="R1328" s="788" t="s">
        <v>2797</v>
      </c>
      <c r="S1328" s="788"/>
      <c r="T1328" s="788"/>
    </row>
    <row r="1329" spans="1:20" ht="39">
      <c r="A1329" s="753" t="s">
        <v>5839</v>
      </c>
      <c r="B1329" s="750"/>
      <c r="C1329" s="751"/>
      <c r="D1329" s="792" t="s">
        <v>670</v>
      </c>
      <c r="E1329" s="753" t="str">
        <f>+VLOOKUP(F1329,Resumen_Base!$C$8:$G$156,5,0)</f>
        <v>Maintenance Lodge</v>
      </c>
      <c r="F1329" s="754" t="s">
        <v>261</v>
      </c>
      <c r="G1329" s="755" t="s">
        <v>262</v>
      </c>
      <c r="H1329" s="152" t="str">
        <f t="shared" si="27"/>
        <v>SJ5282</v>
      </c>
      <c r="I1329" s="470"/>
      <c r="J1329" s="789">
        <v>1.9155000000000002</v>
      </c>
      <c r="K1329" s="470"/>
      <c r="L1329" s="790">
        <v>46112</v>
      </c>
      <c r="M1329" s="751"/>
      <c r="N1329" s="751"/>
      <c r="O1329" s="790"/>
      <c r="P1329" s="788" t="s">
        <v>2797</v>
      </c>
      <c r="Q1329" s="788" t="s">
        <v>2797</v>
      </c>
      <c r="R1329" s="788" t="s">
        <v>2797</v>
      </c>
      <c r="S1329" s="788"/>
      <c r="T1329" s="788"/>
    </row>
    <row r="1330" spans="1:20" ht="39">
      <c r="A1330" s="753" t="s">
        <v>5839</v>
      </c>
      <c r="B1330" s="750"/>
      <c r="C1330" s="751"/>
      <c r="D1330" s="792" t="s">
        <v>670</v>
      </c>
      <c r="E1330" s="753" t="str">
        <f>+VLOOKUP(F1330,Resumen_Base!$C$8:$G$156,5,0)</f>
        <v>Maintenance Lodge</v>
      </c>
      <c r="F1330" s="754" t="s">
        <v>261</v>
      </c>
      <c r="G1330" s="755" t="s">
        <v>262</v>
      </c>
      <c r="H1330" s="152" t="str">
        <f t="shared" si="27"/>
        <v>SJ5282</v>
      </c>
      <c r="I1330" s="470"/>
      <c r="J1330" s="789">
        <v>450</v>
      </c>
      <c r="K1330" s="470"/>
      <c r="L1330" s="790">
        <v>46112</v>
      </c>
      <c r="M1330" s="751"/>
      <c r="N1330" s="751"/>
      <c r="O1330" s="790"/>
      <c r="P1330" s="788" t="s">
        <v>5826</v>
      </c>
      <c r="Q1330" s="788" t="s">
        <v>5826</v>
      </c>
      <c r="R1330" s="788" t="s">
        <v>5826</v>
      </c>
      <c r="S1330" s="788"/>
      <c r="T1330" s="788"/>
    </row>
    <row r="1331" spans="1:20" ht="52">
      <c r="A1331" s="753" t="s">
        <v>5850</v>
      </c>
      <c r="B1331" s="750"/>
      <c r="C1331" s="751"/>
      <c r="D1331" s="792" t="s">
        <v>670</v>
      </c>
      <c r="E1331" s="753" t="str">
        <f>+VLOOKUP(F1331,Resumen_Base!$C$8:$G$156,5,0)</f>
        <v>Manager</v>
      </c>
      <c r="F1331" s="754" t="s">
        <v>325</v>
      </c>
      <c r="G1331" s="755" t="s">
        <v>452</v>
      </c>
      <c r="H1331" s="152" t="str">
        <f t="shared" ref="H1331" si="28">+D1331&amp;F1331</f>
        <v>SJ5228</v>
      </c>
      <c r="I1331" s="470"/>
      <c r="J1331" s="789">
        <v>350</v>
      </c>
      <c r="K1331" s="470"/>
      <c r="L1331" s="790">
        <v>46112</v>
      </c>
      <c r="M1331" s="751"/>
      <c r="N1331" s="751"/>
      <c r="O1331" s="790"/>
      <c r="P1331" s="788" t="s">
        <v>5769</v>
      </c>
      <c r="Q1331" s="788" t="s">
        <v>5769</v>
      </c>
      <c r="R1331" s="788" t="s">
        <v>5769</v>
      </c>
      <c r="S1331" s="788"/>
      <c r="T1331" s="788"/>
    </row>
    <row r="1332" spans="1:20" ht="52">
      <c r="A1332" s="753" t="s">
        <v>5850</v>
      </c>
      <c r="B1332" s="750"/>
      <c r="C1332" s="751"/>
      <c r="D1332" s="792" t="s">
        <v>676</v>
      </c>
      <c r="E1332" s="753" t="str">
        <f>+VLOOKUP(F1332,Resumen_Base!$C$8:$G$156,5,0)</f>
        <v>Manager</v>
      </c>
      <c r="F1332" s="754" t="s">
        <v>325</v>
      </c>
      <c r="G1332" s="755" t="s">
        <v>452</v>
      </c>
      <c r="H1332" s="152" t="str">
        <f t="shared" si="27"/>
        <v>CAR5228</v>
      </c>
      <c r="I1332" s="470"/>
      <c r="J1332" s="789">
        <v>350</v>
      </c>
      <c r="K1332" s="470"/>
      <c r="L1332" s="790">
        <v>46112</v>
      </c>
      <c r="M1332" s="751"/>
      <c r="N1332" s="751"/>
      <c r="O1332" s="790"/>
      <c r="P1332" s="788" t="s">
        <v>5769</v>
      </c>
      <c r="Q1332" s="788" t="s">
        <v>5769</v>
      </c>
      <c r="R1332" s="788" t="s">
        <v>5769</v>
      </c>
      <c r="S1332" s="788"/>
      <c r="T1332" s="788"/>
    </row>
    <row r="1333" spans="1:20" ht="52">
      <c r="A1333" s="753" t="s">
        <v>5850</v>
      </c>
      <c r="B1333" s="750"/>
      <c r="C1333" s="751"/>
      <c r="D1333" s="792" t="s">
        <v>670</v>
      </c>
      <c r="E1333" s="753" t="str">
        <f>+VLOOKUP(F1333,Resumen_Base!$C$8:$G$156,5,0)</f>
        <v>Manager</v>
      </c>
      <c r="F1333" s="754" t="s">
        <v>325</v>
      </c>
      <c r="G1333" s="755" t="s">
        <v>452</v>
      </c>
      <c r="H1333" s="152" t="str">
        <f t="shared" ref="H1333" si="29">+D1333&amp;F1333</f>
        <v>SJ5228</v>
      </c>
      <c r="I1333" s="470"/>
      <c r="J1333" s="789">
        <v>500</v>
      </c>
      <c r="K1333" s="470"/>
      <c r="L1333" s="790">
        <v>46112</v>
      </c>
      <c r="M1333" s="751"/>
      <c r="N1333" s="751"/>
      <c r="O1333" s="790"/>
      <c r="P1333" s="788" t="s">
        <v>5770</v>
      </c>
      <c r="Q1333" s="788" t="s">
        <v>5770</v>
      </c>
      <c r="R1333" s="788" t="s">
        <v>5770</v>
      </c>
      <c r="S1333" s="788"/>
      <c r="T1333" s="788"/>
    </row>
    <row r="1334" spans="1:20" ht="52">
      <c r="A1334" s="753" t="s">
        <v>5850</v>
      </c>
      <c r="B1334" s="750"/>
      <c r="C1334" s="751"/>
      <c r="D1334" s="792" t="s">
        <v>676</v>
      </c>
      <c r="E1334" s="753" t="str">
        <f>+VLOOKUP(F1334,Resumen_Base!$C$8:$G$156,5,0)</f>
        <v>Manager</v>
      </c>
      <c r="F1334" s="754" t="s">
        <v>325</v>
      </c>
      <c r="G1334" s="755" t="s">
        <v>452</v>
      </c>
      <c r="H1334" s="152" t="str">
        <f t="shared" si="27"/>
        <v>CAR5228</v>
      </c>
      <c r="I1334" s="470"/>
      <c r="J1334" s="789">
        <v>500</v>
      </c>
      <c r="K1334" s="470"/>
      <c r="L1334" s="790">
        <v>46112</v>
      </c>
      <c r="M1334" s="751"/>
      <c r="N1334" s="751"/>
      <c r="O1334" s="790"/>
      <c r="P1334" s="788" t="s">
        <v>5770</v>
      </c>
      <c r="Q1334" s="788" t="s">
        <v>5770</v>
      </c>
      <c r="R1334" s="788" t="s">
        <v>5770</v>
      </c>
      <c r="S1334" s="788"/>
      <c r="T1334" s="788"/>
    </row>
    <row r="1335" spans="1:20" ht="52">
      <c r="A1335" s="753" t="s">
        <v>5850</v>
      </c>
      <c r="B1335" s="750"/>
      <c r="C1335" s="751"/>
      <c r="D1335" s="792" t="s">
        <v>670</v>
      </c>
      <c r="E1335" s="753" t="str">
        <f>+VLOOKUP(F1335,Resumen_Base!$C$8:$G$156,5,0)</f>
        <v>Manager</v>
      </c>
      <c r="F1335" s="754" t="s">
        <v>325</v>
      </c>
      <c r="G1335" s="755" t="s">
        <v>452</v>
      </c>
      <c r="H1335" s="152" t="str">
        <f t="shared" ref="H1335" si="30">+D1335&amp;F1335</f>
        <v>SJ5228</v>
      </c>
      <c r="I1335" s="470"/>
      <c r="J1335" s="814">
        <v>1040</v>
      </c>
      <c r="K1335" s="470"/>
      <c r="L1335" s="790">
        <v>46112</v>
      </c>
      <c r="M1335" s="751"/>
      <c r="N1335" s="751"/>
      <c r="O1335" s="790"/>
      <c r="P1335" s="788" t="s">
        <v>5822</v>
      </c>
      <c r="Q1335" s="788" t="s">
        <v>5822</v>
      </c>
      <c r="R1335" s="788" t="s">
        <v>5822</v>
      </c>
      <c r="S1335" s="788"/>
      <c r="T1335" s="788"/>
    </row>
    <row r="1336" spans="1:20" ht="52">
      <c r="A1336" s="753" t="s">
        <v>5850</v>
      </c>
      <c r="B1336" s="750"/>
      <c r="C1336" s="751"/>
      <c r="D1336" s="792" t="s">
        <v>676</v>
      </c>
      <c r="E1336" s="753" t="str">
        <f>+VLOOKUP(F1336,Resumen_Base!$C$8:$G$156,5,0)</f>
        <v>Manager</v>
      </c>
      <c r="F1336" s="754" t="s">
        <v>325</v>
      </c>
      <c r="G1336" s="755" t="s">
        <v>452</v>
      </c>
      <c r="H1336" s="152" t="str">
        <f t="shared" si="27"/>
        <v>CAR5228</v>
      </c>
      <c r="I1336" s="470"/>
      <c r="J1336" s="814">
        <v>1040</v>
      </c>
      <c r="K1336" s="470"/>
      <c r="L1336" s="790">
        <v>46112</v>
      </c>
      <c r="M1336" s="751"/>
      <c r="N1336" s="751"/>
      <c r="O1336" s="790"/>
      <c r="P1336" s="788" t="s">
        <v>5822</v>
      </c>
      <c r="Q1336" s="788" t="s">
        <v>5822</v>
      </c>
      <c r="R1336" s="788" t="s">
        <v>5822</v>
      </c>
      <c r="S1336" s="788"/>
      <c r="T1336" s="788"/>
    </row>
    <row r="1337" spans="1:20" ht="39">
      <c r="A1337" s="753" t="s">
        <v>5839</v>
      </c>
      <c r="B1337" s="750"/>
      <c r="C1337" s="751"/>
      <c r="D1337" s="792" t="s">
        <v>670</v>
      </c>
      <c r="E1337" s="753" t="str">
        <f>+VLOOKUP(F1337,Resumen_Base!$C$8:$G$156,5,0)</f>
        <v>Social Security Contributions</v>
      </c>
      <c r="F1337" s="754" t="s">
        <v>333</v>
      </c>
      <c r="G1337" s="755" t="s">
        <v>334</v>
      </c>
      <c r="H1337" s="152" t="str">
        <f t="shared" si="27"/>
        <v>SJ5237</v>
      </c>
      <c r="I1337" s="470"/>
      <c r="J1337" s="789">
        <v>697.95</v>
      </c>
      <c r="K1337" s="470"/>
      <c r="L1337" s="790">
        <v>46112</v>
      </c>
      <c r="M1337" s="751"/>
      <c r="N1337" s="751"/>
      <c r="O1337" s="790"/>
      <c r="P1337" s="788" t="s">
        <v>5823</v>
      </c>
      <c r="Q1337" s="788" t="s">
        <v>5823</v>
      </c>
      <c r="R1337" s="788" t="s">
        <v>5823</v>
      </c>
      <c r="S1337" s="788"/>
      <c r="T1337" s="788"/>
    </row>
    <row r="1338" spans="1:20" ht="39">
      <c r="A1338" s="753" t="s">
        <v>5839</v>
      </c>
      <c r="B1338" s="750"/>
      <c r="C1338" s="751"/>
      <c r="D1338" s="792" t="s">
        <v>676</v>
      </c>
      <c r="E1338" s="753" t="str">
        <f>+VLOOKUP(F1338,Resumen_Base!$C$8:$G$156,5,0)</f>
        <v>Guides</v>
      </c>
      <c r="F1338" s="754" t="s">
        <v>323</v>
      </c>
      <c r="G1338" s="755" t="s">
        <v>453</v>
      </c>
      <c r="H1338" s="152" t="str">
        <f>+D1338&amp;F1338</f>
        <v>CAR5227</v>
      </c>
      <c r="I1338" s="470"/>
      <c r="J1338" s="789">
        <v>1500</v>
      </c>
      <c r="K1338" s="470"/>
      <c r="L1338" s="790">
        <v>46112</v>
      </c>
      <c r="M1338" s="751"/>
      <c r="N1338" s="751"/>
      <c r="O1338" s="790"/>
      <c r="P1338" s="788" t="s">
        <v>5806</v>
      </c>
      <c r="Q1338" s="788" t="s">
        <v>5806</v>
      </c>
      <c r="R1338" s="788" t="s">
        <v>5806</v>
      </c>
      <c r="S1338" s="788"/>
      <c r="T1338" s="788"/>
    </row>
    <row r="1339" spans="1:20" ht="39">
      <c r="A1339" s="753" t="s">
        <v>5839</v>
      </c>
      <c r="B1339" s="750"/>
      <c r="C1339" s="751"/>
      <c r="D1339" s="792" t="s">
        <v>676</v>
      </c>
      <c r="E1339" s="753" t="str">
        <f>+VLOOKUP(F1339,Resumen_Base!$C$8:$G$156,5,0)</f>
        <v>Guides</v>
      </c>
      <c r="F1339" s="754" t="s">
        <v>323</v>
      </c>
      <c r="G1339" s="755" t="s">
        <v>453</v>
      </c>
      <c r="H1339" s="152" t="str">
        <f>+D1339&amp;F1339</f>
        <v>CAR5227</v>
      </c>
      <c r="I1339" s="470"/>
      <c r="J1339" s="789">
        <v>-1500</v>
      </c>
      <c r="K1339" s="470"/>
      <c r="L1339" s="790">
        <v>46112</v>
      </c>
      <c r="M1339" s="751"/>
      <c r="N1339" s="751"/>
      <c r="O1339" s="790"/>
      <c r="P1339" s="788" t="s">
        <v>5846</v>
      </c>
      <c r="Q1339" s="788" t="s">
        <v>5806</v>
      </c>
      <c r="R1339" s="788" t="s">
        <v>5806</v>
      </c>
      <c r="S1339" s="788"/>
      <c r="T1339" s="788"/>
    </row>
    <row r="1342" spans="1:20" ht="39">
      <c r="A1342" s="753" t="s">
        <v>5839</v>
      </c>
      <c r="B1342" s="750" t="s">
        <v>5840</v>
      </c>
      <c r="C1342" s="751"/>
      <c r="D1342" s="792" t="s">
        <v>676</v>
      </c>
      <c r="E1342" s="753" t="str">
        <f>+VLOOKUP(F1342,Resumen_Base!$C$8:$G$156,5,0)</f>
        <v>Electricity - Gas for Boats &amp; Vehicles</v>
      </c>
      <c r="F1342" s="607" t="s">
        <v>64</v>
      </c>
      <c r="G1342" s="597" t="s">
        <v>461</v>
      </c>
      <c r="H1342" s="152" t="str">
        <f>+D1342&amp;F1342</f>
        <v>CAR5248</v>
      </c>
      <c r="I1342" s="470"/>
      <c r="J1342" s="789">
        <v>436.52499999999998</v>
      </c>
      <c r="K1342" s="470"/>
      <c r="L1342" s="790">
        <v>46112</v>
      </c>
      <c r="M1342" s="751"/>
      <c r="N1342" s="751"/>
      <c r="O1342" s="790"/>
      <c r="P1342" s="788" t="s">
        <v>5827</v>
      </c>
      <c r="Q1342" s="788" t="s">
        <v>5827</v>
      </c>
      <c r="R1342" s="788" t="s">
        <v>5827</v>
      </c>
      <c r="S1342" s="788"/>
      <c r="T1342" s="788"/>
    </row>
    <row r="1343" spans="1:20" ht="39">
      <c r="A1343" s="753" t="s">
        <v>5839</v>
      </c>
      <c r="B1343" s="750" t="s">
        <v>5840</v>
      </c>
      <c r="C1343" s="751"/>
      <c r="D1343" s="792" t="s">
        <v>676</v>
      </c>
      <c r="E1343" s="753" t="str">
        <f>+VLOOKUP(F1343,Resumen_Base!$C$8:$G$156,5,0)</f>
        <v>Field:</v>
      </c>
      <c r="F1343" s="607" t="s">
        <v>133</v>
      </c>
      <c r="G1343" s="597" t="s">
        <v>451</v>
      </c>
      <c r="H1343" s="152" t="str">
        <f t="shared" ref="H1343:H1353" si="31">+D1343&amp;F1343</f>
        <v>CAR5207</v>
      </c>
      <c r="I1343" s="470"/>
      <c r="J1343" s="789">
        <v>350</v>
      </c>
      <c r="K1343" s="470"/>
      <c r="L1343" s="790">
        <v>46112</v>
      </c>
      <c r="M1343" s="751"/>
      <c r="N1343" s="751"/>
      <c r="O1343" s="790"/>
      <c r="P1343" s="788" t="s">
        <v>5772</v>
      </c>
      <c r="Q1343" s="788" t="s">
        <v>5772</v>
      </c>
      <c r="R1343" s="788" t="s">
        <v>5772</v>
      </c>
      <c r="S1343" s="788"/>
      <c r="T1343" s="788"/>
    </row>
    <row r="1344" spans="1:20" ht="39">
      <c r="A1344" s="753" t="s">
        <v>5839</v>
      </c>
      <c r="B1344" s="750" t="s">
        <v>5840</v>
      </c>
      <c r="C1344" s="751"/>
      <c r="D1344" s="792" t="s">
        <v>676</v>
      </c>
      <c r="E1344" s="753" t="str">
        <f>+VLOOKUP(F1344,Resumen_Base!$C$8:$G$156,5,0)</f>
        <v>Field:</v>
      </c>
      <c r="F1344" s="607" t="s">
        <v>133</v>
      </c>
      <c r="G1344" s="597" t="s">
        <v>451</v>
      </c>
      <c r="H1344" s="152" t="str">
        <f t="shared" si="31"/>
        <v>CAR5207</v>
      </c>
      <c r="I1344" s="470"/>
      <c r="J1344" s="789">
        <v>1950</v>
      </c>
      <c r="K1344" s="470"/>
      <c r="L1344" s="790">
        <v>46112</v>
      </c>
      <c r="M1344" s="751"/>
      <c r="N1344" s="751"/>
      <c r="O1344" s="790"/>
      <c r="P1344" s="788" t="s">
        <v>5773</v>
      </c>
      <c r="Q1344" s="788" t="s">
        <v>5773</v>
      </c>
      <c r="R1344" s="788" t="s">
        <v>5773</v>
      </c>
      <c r="S1344" s="788"/>
      <c r="T1344" s="788"/>
    </row>
    <row r="1345" spans="1:20" ht="39">
      <c r="A1345" s="753" t="s">
        <v>5839</v>
      </c>
      <c r="B1345" s="750" t="s">
        <v>5840</v>
      </c>
      <c r="C1345" s="751"/>
      <c r="D1345" s="792" t="s">
        <v>676</v>
      </c>
      <c r="E1345" s="753" t="str">
        <f>+VLOOKUP(F1345,Resumen_Base!$C$8:$G$156,5,0)</f>
        <v>Field:</v>
      </c>
      <c r="F1345" s="607" t="s">
        <v>133</v>
      </c>
      <c r="G1345" s="597" t="s">
        <v>451</v>
      </c>
      <c r="H1345" s="152" t="str">
        <f t="shared" si="31"/>
        <v>CAR5207</v>
      </c>
      <c r="I1345" s="470"/>
      <c r="J1345" s="789">
        <v>450</v>
      </c>
      <c r="K1345" s="470"/>
      <c r="L1345" s="790">
        <v>46112</v>
      </c>
      <c r="M1345" s="751"/>
      <c r="N1345" s="751"/>
      <c r="O1345" s="790"/>
      <c r="P1345" s="788" t="s">
        <v>5775</v>
      </c>
      <c r="Q1345" s="788" t="s">
        <v>5775</v>
      </c>
      <c r="R1345" s="788" t="s">
        <v>5775</v>
      </c>
      <c r="S1345" s="788"/>
      <c r="T1345" s="788"/>
    </row>
    <row r="1346" spans="1:20" ht="39">
      <c r="A1346" s="753" t="s">
        <v>5839</v>
      </c>
      <c r="B1346" s="750" t="s">
        <v>5840</v>
      </c>
      <c r="C1346" s="751"/>
      <c r="D1346" s="792" t="s">
        <v>676</v>
      </c>
      <c r="E1346" s="753" t="str">
        <f>+VLOOKUP(F1346,Resumen_Base!$C$8:$G$156,5,0)</f>
        <v>Field:</v>
      </c>
      <c r="F1346" s="607" t="s">
        <v>133</v>
      </c>
      <c r="G1346" s="597" t="s">
        <v>451</v>
      </c>
      <c r="H1346" s="152" t="str">
        <f t="shared" si="31"/>
        <v>CAR5207</v>
      </c>
      <c r="I1346" s="470"/>
      <c r="J1346" s="789">
        <v>950</v>
      </c>
      <c r="K1346" s="470"/>
      <c r="L1346" s="790">
        <v>46112</v>
      </c>
      <c r="M1346" s="751"/>
      <c r="N1346" s="751"/>
      <c r="O1346" s="790"/>
      <c r="P1346" s="788" t="s">
        <v>5776</v>
      </c>
      <c r="Q1346" s="788" t="s">
        <v>5776</v>
      </c>
      <c r="R1346" s="788" t="s">
        <v>5776</v>
      </c>
      <c r="S1346" s="788"/>
      <c r="T1346" s="788"/>
    </row>
    <row r="1347" spans="1:20" ht="39">
      <c r="A1347" s="753" t="s">
        <v>5839</v>
      </c>
      <c r="B1347" s="750" t="s">
        <v>5840</v>
      </c>
      <c r="C1347" s="751"/>
      <c r="D1347" s="792" t="s">
        <v>676</v>
      </c>
      <c r="E1347" s="753" t="str">
        <f>+VLOOKUP(F1347,Resumen_Base!$C$8:$G$156,5,0)</f>
        <v>Field:</v>
      </c>
      <c r="F1347" s="607" t="s">
        <v>133</v>
      </c>
      <c r="G1347" s="597" t="s">
        <v>451</v>
      </c>
      <c r="H1347" s="152" t="str">
        <f t="shared" si="31"/>
        <v>CAR5207</v>
      </c>
      <c r="I1347" s="470"/>
      <c r="J1347" s="789">
        <v>250</v>
      </c>
      <c r="K1347" s="470"/>
      <c r="L1347" s="790">
        <v>46112</v>
      </c>
      <c r="M1347" s="751"/>
      <c r="N1347" s="751"/>
      <c r="O1347" s="790"/>
      <c r="P1347" s="788" t="s">
        <v>5777</v>
      </c>
      <c r="Q1347" s="788" t="s">
        <v>5777</v>
      </c>
      <c r="R1347" s="788" t="s">
        <v>5777</v>
      </c>
      <c r="S1347" s="788"/>
      <c r="T1347" s="788"/>
    </row>
    <row r="1348" spans="1:20" ht="39">
      <c r="A1348" s="753" t="s">
        <v>5839</v>
      </c>
      <c r="B1348" s="750" t="s">
        <v>5840</v>
      </c>
      <c r="C1348" s="751"/>
      <c r="D1348" s="792" t="s">
        <v>676</v>
      </c>
      <c r="E1348" s="753" t="str">
        <f>+VLOOKUP(F1348,Resumen_Base!$C$8:$G$156,5,0)</f>
        <v>Field:</v>
      </c>
      <c r="F1348" s="607" t="s">
        <v>133</v>
      </c>
      <c r="G1348" s="597" t="s">
        <v>451</v>
      </c>
      <c r="H1348" s="152" t="str">
        <f t="shared" si="31"/>
        <v>CAR5207</v>
      </c>
      <c r="I1348" s="470"/>
      <c r="J1348" s="789">
        <v>1550</v>
      </c>
      <c r="K1348" s="470"/>
      <c r="L1348" s="790">
        <v>46112</v>
      </c>
      <c r="M1348" s="751"/>
      <c r="N1348" s="751"/>
      <c r="O1348" s="790"/>
      <c r="P1348" s="788" t="s">
        <v>5778</v>
      </c>
      <c r="Q1348" s="788" t="s">
        <v>5778</v>
      </c>
      <c r="R1348" s="788" t="s">
        <v>5778</v>
      </c>
      <c r="S1348" s="788"/>
      <c r="T1348" s="788"/>
    </row>
    <row r="1349" spans="1:20" ht="39">
      <c r="A1349" s="753" t="s">
        <v>5839</v>
      </c>
      <c r="B1349" s="750" t="s">
        <v>5840</v>
      </c>
      <c r="C1349" s="751"/>
      <c r="D1349" s="792" t="s">
        <v>676</v>
      </c>
      <c r="E1349" s="753" t="str">
        <f>+VLOOKUP(F1349,Resumen_Base!$C$8:$G$156,5,0)</f>
        <v>Field:</v>
      </c>
      <c r="F1349" s="607" t="s">
        <v>133</v>
      </c>
      <c r="G1349" s="597" t="s">
        <v>451</v>
      </c>
      <c r="H1349" s="152" t="str">
        <f t="shared" si="31"/>
        <v>CAR5207</v>
      </c>
      <c r="I1349" s="470"/>
      <c r="J1349" s="789">
        <v>750</v>
      </c>
      <c r="K1349" s="470"/>
      <c r="L1349" s="790">
        <v>46112</v>
      </c>
      <c r="M1349" s="751"/>
      <c r="N1349" s="751"/>
      <c r="O1349" s="790"/>
      <c r="P1349" s="788" t="s">
        <v>5779</v>
      </c>
      <c r="Q1349" s="788" t="s">
        <v>5779</v>
      </c>
      <c r="R1349" s="788" t="s">
        <v>5779</v>
      </c>
      <c r="S1349" s="788"/>
      <c r="T1349" s="788"/>
    </row>
    <row r="1350" spans="1:20" ht="39">
      <c r="A1350" s="753" t="s">
        <v>5839</v>
      </c>
      <c r="B1350" s="750" t="s">
        <v>5840</v>
      </c>
      <c r="C1350" s="751"/>
      <c r="D1350" s="792" t="s">
        <v>676</v>
      </c>
      <c r="E1350" s="753" t="str">
        <f>+VLOOKUP(F1350,Resumen_Base!$C$8:$G$156,5,0)</f>
        <v>Field:</v>
      </c>
      <c r="F1350" s="607" t="s">
        <v>133</v>
      </c>
      <c r="G1350" s="597" t="s">
        <v>451</v>
      </c>
      <c r="H1350" s="152" t="str">
        <f t="shared" si="31"/>
        <v>CAR5207</v>
      </c>
      <c r="I1350" s="470"/>
      <c r="J1350" s="789">
        <v>100</v>
      </c>
      <c r="K1350" s="470"/>
      <c r="L1350" s="790">
        <v>46112</v>
      </c>
      <c r="M1350" s="751"/>
      <c r="N1350" s="751"/>
      <c r="O1350" s="790"/>
      <c r="P1350" s="788" t="s">
        <v>5780</v>
      </c>
      <c r="Q1350" s="788" t="s">
        <v>5780</v>
      </c>
      <c r="R1350" s="788" t="s">
        <v>5780</v>
      </c>
      <c r="S1350" s="788"/>
      <c r="T1350" s="788"/>
    </row>
    <row r="1351" spans="1:20" ht="39">
      <c r="A1351" s="753" t="s">
        <v>5839</v>
      </c>
      <c r="B1351" s="750" t="s">
        <v>5840</v>
      </c>
      <c r="C1351" s="751"/>
      <c r="D1351" s="792" t="s">
        <v>676</v>
      </c>
      <c r="E1351" s="753" t="str">
        <f>+VLOOKUP(F1351,Resumen_Base!$C$8:$G$156,5,0)</f>
        <v>Food &amp; Wine</v>
      </c>
      <c r="F1351" s="607" t="s">
        <v>37</v>
      </c>
      <c r="G1351" s="597" t="s">
        <v>457</v>
      </c>
      <c r="H1351" s="152" t="str">
        <f t="shared" si="31"/>
        <v>CAR5250</v>
      </c>
      <c r="I1351" s="470"/>
      <c r="J1351" s="789">
        <v>438.42500000000001</v>
      </c>
      <c r="K1351" s="470"/>
      <c r="L1351" s="790">
        <v>46112</v>
      </c>
      <c r="M1351" s="751"/>
      <c r="N1351" s="751"/>
      <c r="O1351" s="790"/>
      <c r="P1351" s="788" t="s">
        <v>5831</v>
      </c>
      <c r="Q1351" s="788" t="s">
        <v>5831</v>
      </c>
      <c r="R1351" s="788" t="s">
        <v>5831</v>
      </c>
      <c r="S1351" s="788"/>
      <c r="T1351" s="788"/>
    </row>
    <row r="1352" spans="1:20" ht="39">
      <c r="A1352" s="753" t="s">
        <v>5839</v>
      </c>
      <c r="B1352" s="750" t="s">
        <v>5840</v>
      </c>
      <c r="C1352" s="751"/>
      <c r="D1352" s="792" t="s">
        <v>676</v>
      </c>
      <c r="E1352" s="753" t="str">
        <f>+VLOOKUP(F1352,Resumen_Base!$C$8:$G$156,5,0)</f>
        <v>Maintenance  Boats / Vehicles</v>
      </c>
      <c r="F1352" s="607" t="s">
        <v>66</v>
      </c>
      <c r="G1352" s="597" t="s">
        <v>469</v>
      </c>
      <c r="H1352" s="152" t="str">
        <f t="shared" si="31"/>
        <v>CAR5253</v>
      </c>
      <c r="I1352" s="470"/>
      <c r="J1352" s="789">
        <v>456.57499999999999</v>
      </c>
      <c r="K1352" s="470"/>
      <c r="L1352" s="790">
        <v>46112</v>
      </c>
      <c r="M1352" s="751"/>
      <c r="N1352" s="751"/>
      <c r="O1352" s="790"/>
      <c r="P1352" s="788" t="s">
        <v>5829</v>
      </c>
      <c r="Q1352" s="788" t="s">
        <v>5829</v>
      </c>
      <c r="R1352" s="788" t="s">
        <v>5829</v>
      </c>
      <c r="S1352" s="788"/>
      <c r="T1352" s="788"/>
    </row>
    <row r="1353" spans="1:20" ht="39">
      <c r="A1353" s="753" t="s">
        <v>5839</v>
      </c>
      <c r="B1353" s="750" t="s">
        <v>5840</v>
      </c>
      <c r="C1353" s="751"/>
      <c r="D1353" s="792" t="s">
        <v>676</v>
      </c>
      <c r="E1353" s="753" t="str">
        <f>+VLOOKUP(F1353,Resumen_Base!$C$8:$G$156,5,0)</f>
        <v>Maintenance  Equipment</v>
      </c>
      <c r="F1353" s="607" t="s">
        <v>31</v>
      </c>
      <c r="G1353" s="597" t="s">
        <v>470</v>
      </c>
      <c r="H1353" s="152" t="str">
        <f t="shared" si="31"/>
        <v>CAR5254</v>
      </c>
      <c r="I1353" s="470"/>
      <c r="J1353" s="789">
        <v>243.6</v>
      </c>
      <c r="K1353" s="470"/>
      <c r="L1353" s="790">
        <v>46112</v>
      </c>
      <c r="M1353" s="751"/>
      <c r="N1353" s="751"/>
      <c r="O1353" s="790"/>
      <c r="P1353" s="788" t="s">
        <v>5828</v>
      </c>
      <c r="Q1353" s="788" t="s">
        <v>5828</v>
      </c>
      <c r="R1353" s="788" t="s">
        <v>5828</v>
      </c>
      <c r="S1353" s="788"/>
      <c r="T1353" s="788"/>
    </row>
    <row r="1355" spans="1:20" ht="26">
      <c r="A1355" s="753" t="str">
        <f t="shared" ref="A1355:A1371" si="32">+R1355</f>
        <v>SJ - deb comi entrada campos 5207 Carmelo</v>
      </c>
      <c r="B1355" s="750" t="s">
        <v>5840</v>
      </c>
      <c r="C1355" s="751"/>
      <c r="D1355" s="792" t="s">
        <v>676</v>
      </c>
      <c r="E1355" s="753" t="str">
        <f>+VLOOKUP(F1355,Resumen_Base!$C$8:$G$156,5,0)</f>
        <v>Field:</v>
      </c>
      <c r="F1355" s="607" t="s">
        <v>133</v>
      </c>
      <c r="G1355" s="597" t="s">
        <v>451</v>
      </c>
      <c r="H1355" s="152" t="str">
        <f t="shared" ref="H1355:H1371" si="33">+D1355&amp;F1355</f>
        <v>CAR5207</v>
      </c>
      <c r="I1355" s="470">
        <v>18620</v>
      </c>
      <c r="J1355" s="789">
        <v>13.3</v>
      </c>
      <c r="K1355" s="470">
        <v>1400</v>
      </c>
      <c r="L1355" s="790" t="s">
        <v>3659</v>
      </c>
      <c r="M1355" s="751" t="s">
        <v>780</v>
      </c>
      <c r="N1355" s="751" t="s">
        <v>781</v>
      </c>
      <c r="O1355" s="790" t="s">
        <v>4764</v>
      </c>
      <c r="P1355" s="788" t="s">
        <v>3489</v>
      </c>
      <c r="Q1355" s="788" t="s">
        <v>4765</v>
      </c>
      <c r="R1355" s="788" t="s">
        <v>4797</v>
      </c>
      <c r="S1355" s="788" t="s">
        <v>4766</v>
      </c>
      <c r="T1355" s="152" t="s">
        <v>786</v>
      </c>
    </row>
    <row r="1356" spans="1:20" ht="26">
      <c r="A1356" s="753" t="str">
        <f t="shared" si="32"/>
        <v>SJ - entrada campo Carmelo 5207 reembolos Long</v>
      </c>
      <c r="B1356" s="750" t="s">
        <v>5840</v>
      </c>
      <c r="C1356" s="751"/>
      <c r="D1356" s="792" t="s">
        <v>676</v>
      </c>
      <c r="E1356" s="753" t="str">
        <f>+VLOOKUP(F1356,Resumen_Base!$C$8:$G$156,5,0)</f>
        <v>Field:</v>
      </c>
      <c r="F1356" s="607" t="s">
        <v>133</v>
      </c>
      <c r="G1356" s="597" t="s">
        <v>451</v>
      </c>
      <c r="H1356" s="152" t="str">
        <f t="shared" si="33"/>
        <v>CAR5207</v>
      </c>
      <c r="I1356" s="470">
        <v>141500</v>
      </c>
      <c r="J1356" s="789">
        <v>100</v>
      </c>
      <c r="K1356" s="470">
        <v>1415</v>
      </c>
      <c r="L1356" s="790" t="s">
        <v>3632</v>
      </c>
      <c r="M1356" s="751" t="s">
        <v>780</v>
      </c>
      <c r="N1356" s="751" t="s">
        <v>781</v>
      </c>
      <c r="O1356" s="790" t="s">
        <v>4747</v>
      </c>
      <c r="P1356" s="788" t="s">
        <v>3489</v>
      </c>
      <c r="Q1356" s="788" t="s">
        <v>4748</v>
      </c>
      <c r="R1356" s="788" t="s">
        <v>4813</v>
      </c>
      <c r="S1356" s="788" t="s">
        <v>4750</v>
      </c>
      <c r="T1356" s="152" t="s">
        <v>786</v>
      </c>
    </row>
    <row r="1357" spans="1:20" ht="26">
      <c r="A1357" s="753" t="str">
        <f t="shared" si="32"/>
        <v>SJ - entrada campos febrero Carmelo 5207</v>
      </c>
      <c r="B1357" s="750" t="s">
        <v>5840</v>
      </c>
      <c r="C1357" s="751"/>
      <c r="D1357" s="792" t="s">
        <v>676</v>
      </c>
      <c r="E1357" s="753" t="str">
        <f>+VLOOKUP(F1357,Resumen_Base!$C$8:$G$156,5,0)</f>
        <v>Field:</v>
      </c>
      <c r="F1357" s="607" t="s">
        <v>133</v>
      </c>
      <c r="G1357" s="597" t="s">
        <v>451</v>
      </c>
      <c r="H1357" s="152" t="str">
        <f t="shared" si="33"/>
        <v>CAR5207</v>
      </c>
      <c r="I1357" s="470">
        <v>7140000</v>
      </c>
      <c r="J1357" s="789">
        <v>5100</v>
      </c>
      <c r="K1357" s="470">
        <v>1400</v>
      </c>
      <c r="L1357" s="790" t="s">
        <v>3659</v>
      </c>
      <c r="M1357" s="751" t="s">
        <v>780</v>
      </c>
      <c r="N1357" s="751" t="s">
        <v>781</v>
      </c>
      <c r="O1357" s="790" t="s">
        <v>4764</v>
      </c>
      <c r="P1357" s="788" t="s">
        <v>3489</v>
      </c>
      <c r="Q1357" s="788" t="s">
        <v>4765</v>
      </c>
      <c r="R1357" s="788" t="s">
        <v>4814</v>
      </c>
      <c r="S1357" s="788" t="s">
        <v>4766</v>
      </c>
      <c r="T1357" s="152" t="s">
        <v>786</v>
      </c>
    </row>
    <row r="1358" spans="1:20" ht="26">
      <c r="A1358" s="753" t="str">
        <f t="shared" si="32"/>
        <v>SJ - deb comi uniformes 5220 Bombachas campo Carmelo</v>
      </c>
      <c r="B1358" s="750" t="s">
        <v>5840</v>
      </c>
      <c r="C1358" s="751"/>
      <c r="D1358" s="792" t="s">
        <v>676</v>
      </c>
      <c r="E1358" s="753" t="str">
        <f>+VLOOKUP(F1358,Resumen_Base!$C$8:$G$156,5,0)</f>
        <v>Work uniforms for personnel (employees)</v>
      </c>
      <c r="F1358" s="607" t="s">
        <v>60</v>
      </c>
      <c r="G1358" s="597" t="s">
        <v>61</v>
      </c>
      <c r="H1358" s="152" t="str">
        <f t="shared" si="33"/>
        <v>CAR5220</v>
      </c>
      <c r="I1358" s="470">
        <v>1655.55</v>
      </c>
      <c r="J1358" s="789">
        <v>1.17</v>
      </c>
      <c r="K1358" s="470">
        <v>1415</v>
      </c>
      <c r="L1358" s="790" t="s">
        <v>3498</v>
      </c>
      <c r="M1358" s="751" t="s">
        <v>780</v>
      </c>
      <c r="N1358" s="751" t="s">
        <v>781</v>
      </c>
      <c r="O1358" s="790" t="s">
        <v>4743</v>
      </c>
      <c r="P1358" s="788" t="s">
        <v>3489</v>
      </c>
      <c r="Q1358" s="788" t="s">
        <v>4744</v>
      </c>
      <c r="R1358" s="788" t="s">
        <v>4802</v>
      </c>
      <c r="S1358" s="788" t="s">
        <v>4746</v>
      </c>
      <c r="T1358" s="152" t="s">
        <v>786</v>
      </c>
    </row>
    <row r="1359" spans="1:20" ht="26">
      <c r="A1359" s="753" t="str">
        <f t="shared" si="32"/>
        <v>SJ - deb comi envio uniformes Carmelo  5220</v>
      </c>
      <c r="B1359" s="750" t="s">
        <v>5840</v>
      </c>
      <c r="C1359" s="751"/>
      <c r="D1359" s="792" t="s">
        <v>676</v>
      </c>
      <c r="E1359" s="753" t="str">
        <f>+VLOOKUP(F1359,Resumen_Base!$C$8:$G$156,5,0)</f>
        <v>Work uniforms for personnel (employees)</v>
      </c>
      <c r="F1359" s="607" t="s">
        <v>60</v>
      </c>
      <c r="G1359" s="597" t="s">
        <v>61</v>
      </c>
      <c r="H1359" s="152" t="str">
        <f t="shared" si="33"/>
        <v>CAR5220</v>
      </c>
      <c r="I1359" s="470">
        <v>2688.5</v>
      </c>
      <c r="J1359" s="789">
        <v>1.9</v>
      </c>
      <c r="K1359" s="470">
        <v>1415</v>
      </c>
      <c r="L1359" s="790" t="s">
        <v>3498</v>
      </c>
      <c r="M1359" s="751" t="s">
        <v>780</v>
      </c>
      <c r="N1359" s="751" t="s">
        <v>781</v>
      </c>
      <c r="O1359" s="790" t="s">
        <v>4743</v>
      </c>
      <c r="P1359" s="788" t="s">
        <v>3489</v>
      </c>
      <c r="Q1359" s="788" t="s">
        <v>4744</v>
      </c>
      <c r="R1359" s="788" t="s">
        <v>4798</v>
      </c>
      <c r="S1359" s="788" t="s">
        <v>4746</v>
      </c>
      <c r="T1359" s="152" t="s">
        <v>786</v>
      </c>
    </row>
    <row r="1360" spans="1:20" ht="26">
      <c r="A1360" s="753" t="str">
        <f t="shared" si="32"/>
        <v>SJ - encomiendas por envios uniformes Carmelo 5220</v>
      </c>
      <c r="B1360" s="750" t="s">
        <v>5840</v>
      </c>
      <c r="C1360" s="751"/>
      <c r="D1360" s="792" t="s">
        <v>676</v>
      </c>
      <c r="E1360" s="753" t="str">
        <f>+VLOOKUP(F1360,Resumen_Base!$C$8:$G$156,5,0)</f>
        <v>Work uniforms for personnel (employees)</v>
      </c>
      <c r="F1360" s="607" t="s">
        <v>60</v>
      </c>
      <c r="G1360" s="597" t="s">
        <v>61</v>
      </c>
      <c r="H1360" s="152" t="str">
        <f t="shared" si="33"/>
        <v>CAR5220</v>
      </c>
      <c r="I1360" s="470">
        <v>29106.55</v>
      </c>
      <c r="J1360" s="789">
        <v>20.57</v>
      </c>
      <c r="K1360" s="470">
        <v>1415</v>
      </c>
      <c r="L1360" s="790" t="s">
        <v>3498</v>
      </c>
      <c r="M1360" s="751" t="s">
        <v>780</v>
      </c>
      <c r="N1360" s="751" t="s">
        <v>781</v>
      </c>
      <c r="O1360" s="790" t="s">
        <v>4743</v>
      </c>
      <c r="P1360" s="788" t="s">
        <v>3489</v>
      </c>
      <c r="Q1360" s="788" t="s">
        <v>4744</v>
      </c>
      <c r="R1360" s="788" t="s">
        <v>4812</v>
      </c>
      <c r="S1360" s="788" t="s">
        <v>4746</v>
      </c>
      <c r="T1360" s="152" t="s">
        <v>786</v>
      </c>
    </row>
    <row r="1361" spans="1:20" ht="39">
      <c r="A1361" s="753" t="str">
        <f t="shared" si="32"/>
        <v>SJ - comida surtido staff Carmelo 5250 reembolso Long</v>
      </c>
      <c r="B1361" s="750" t="s">
        <v>5840</v>
      </c>
      <c r="C1361" s="751"/>
      <c r="D1361" s="792" t="s">
        <v>676</v>
      </c>
      <c r="E1361" s="753" t="str">
        <f>+VLOOKUP(F1361,Resumen_Base!$C$8:$G$156,5,0)</f>
        <v>Food &amp; Wine</v>
      </c>
      <c r="F1361" s="607" t="s">
        <v>37</v>
      </c>
      <c r="G1361" s="597" t="s">
        <v>457</v>
      </c>
      <c r="H1361" s="152" t="str">
        <f t="shared" si="33"/>
        <v>CAR5250</v>
      </c>
      <c r="I1361" s="470">
        <v>154574.6</v>
      </c>
      <c r="J1361" s="789">
        <v>109.24</v>
      </c>
      <c r="K1361" s="470">
        <v>1415</v>
      </c>
      <c r="L1361" s="790" t="s">
        <v>3632</v>
      </c>
      <c r="M1361" s="751" t="s">
        <v>780</v>
      </c>
      <c r="N1361" s="751" t="s">
        <v>781</v>
      </c>
      <c r="O1361" s="790" t="s">
        <v>4735</v>
      </c>
      <c r="P1361" s="788" t="s">
        <v>3489</v>
      </c>
      <c r="Q1361" s="788" t="s">
        <v>4736</v>
      </c>
      <c r="R1361" s="788" t="s">
        <v>4781</v>
      </c>
      <c r="S1361" s="788" t="s">
        <v>4738</v>
      </c>
      <c r="T1361" s="152" t="s">
        <v>786</v>
      </c>
    </row>
    <row r="1362" spans="1:20" ht="26">
      <c r="A1362" s="753" t="str">
        <f t="shared" si="32"/>
        <v>SJ - deb comi 5253 Carmelo deb comi</v>
      </c>
      <c r="B1362" s="750" t="s">
        <v>5840</v>
      </c>
      <c r="C1362" s="751"/>
      <c r="D1362" s="792" t="s">
        <v>676</v>
      </c>
      <c r="E1362" s="753" t="str">
        <f>+VLOOKUP(F1362,Resumen_Base!$C$8:$G$156,5,0)</f>
        <v>Maintenance  Boats / Vehicles</v>
      </c>
      <c r="F1362" s="607" t="s">
        <v>66</v>
      </c>
      <c r="G1362" s="597" t="s">
        <v>469</v>
      </c>
      <c r="H1362" s="152" t="str">
        <f t="shared" si="33"/>
        <v>CAR5253</v>
      </c>
      <c r="I1362" s="470">
        <v>2688.5</v>
      </c>
      <c r="J1362" s="789">
        <v>1.9</v>
      </c>
      <c r="K1362" s="470">
        <v>1415</v>
      </c>
      <c r="L1362" s="790" t="s">
        <v>3632</v>
      </c>
      <c r="M1362" s="751" t="s">
        <v>780</v>
      </c>
      <c r="N1362" s="751" t="s">
        <v>781</v>
      </c>
      <c r="O1362" s="790" t="s">
        <v>4747</v>
      </c>
      <c r="P1362" s="788" t="s">
        <v>3489</v>
      </c>
      <c r="Q1362" s="788" t="s">
        <v>4748</v>
      </c>
      <c r="R1362" s="788" t="s">
        <v>4794</v>
      </c>
      <c r="S1362" s="788" t="s">
        <v>4750</v>
      </c>
      <c r="T1362" s="152" t="s">
        <v>786</v>
      </c>
    </row>
    <row r="1363" spans="1:20" ht="39">
      <c r="A1363" s="753" t="str">
        <f t="shared" si="32"/>
        <v>SJ - mantenimiento Hyunday cubiertas 5253 reembolso Long Carmelo</v>
      </c>
      <c r="B1363" s="750" t="s">
        <v>5840</v>
      </c>
      <c r="C1363" s="751"/>
      <c r="D1363" s="792" t="s">
        <v>676</v>
      </c>
      <c r="E1363" s="753" t="str">
        <f>+VLOOKUP(F1363,Resumen_Base!$C$8:$G$156,5,0)</f>
        <v>Maintenance  Boats / Vehicles</v>
      </c>
      <c r="F1363" s="607" t="s">
        <v>66</v>
      </c>
      <c r="G1363" s="597" t="s">
        <v>469</v>
      </c>
      <c r="H1363" s="152" t="str">
        <f t="shared" si="33"/>
        <v>CAR5253</v>
      </c>
      <c r="I1363" s="470">
        <v>806550</v>
      </c>
      <c r="J1363" s="789">
        <v>570</v>
      </c>
      <c r="K1363" s="470">
        <v>1415</v>
      </c>
      <c r="L1363" s="790" t="s">
        <v>3632</v>
      </c>
      <c r="M1363" s="751" t="s">
        <v>780</v>
      </c>
      <c r="N1363" s="751" t="s">
        <v>781</v>
      </c>
      <c r="O1363" s="790" t="s">
        <v>4747</v>
      </c>
      <c r="P1363" s="788" t="s">
        <v>3489</v>
      </c>
      <c r="Q1363" s="788" t="s">
        <v>4748</v>
      </c>
      <c r="R1363" s="788" t="s">
        <v>4831</v>
      </c>
      <c r="S1363" s="788" t="s">
        <v>4750</v>
      </c>
      <c r="T1363" s="152" t="s">
        <v>786</v>
      </c>
    </row>
    <row r="1364" spans="1:20" ht="26">
      <c r="A1364" s="753" t="str">
        <f t="shared" si="32"/>
        <v>SJ - deb comi reembolso long 5254</v>
      </c>
      <c r="B1364" s="750" t="s">
        <v>5840</v>
      </c>
      <c r="C1364" s="751"/>
      <c r="D1364" s="792" t="s">
        <v>676</v>
      </c>
      <c r="E1364" s="753" t="str">
        <f>+VLOOKUP(F1364,Resumen_Base!$C$8:$G$156,5,0)</f>
        <v>Maintenance  Equipment</v>
      </c>
      <c r="F1364" s="607" t="s">
        <v>31</v>
      </c>
      <c r="G1364" s="597" t="s">
        <v>470</v>
      </c>
      <c r="H1364" s="152" t="str">
        <f t="shared" si="33"/>
        <v>CAR5254</v>
      </c>
      <c r="I1364" s="470">
        <v>2745.1</v>
      </c>
      <c r="J1364" s="789">
        <v>1.94</v>
      </c>
      <c r="K1364" s="470">
        <v>1415</v>
      </c>
      <c r="L1364" s="790" t="s">
        <v>3632</v>
      </c>
      <c r="M1364" s="751" t="s">
        <v>780</v>
      </c>
      <c r="N1364" s="751" t="s">
        <v>781</v>
      </c>
      <c r="O1364" s="790" t="s">
        <v>4735</v>
      </c>
      <c r="P1364" s="788" t="s">
        <v>3489</v>
      </c>
      <c r="Q1364" s="788" t="s">
        <v>4736</v>
      </c>
      <c r="R1364" s="788" t="s">
        <v>4801</v>
      </c>
      <c r="S1364" s="788" t="s">
        <v>4738</v>
      </c>
      <c r="T1364" s="152" t="s">
        <v>786</v>
      </c>
    </row>
    <row r="1365" spans="1:20" ht="39">
      <c r="A1365" s="753" t="str">
        <f t="shared" si="32"/>
        <v>SJ - bolsas poliuretano remmbolso Long Carmelo 5254</v>
      </c>
      <c r="B1365" s="750" t="s">
        <v>5840</v>
      </c>
      <c r="C1365" s="751"/>
      <c r="D1365" s="792" t="s">
        <v>676</v>
      </c>
      <c r="E1365" s="753" t="str">
        <f>+VLOOKUP(F1365,Resumen_Base!$C$8:$G$156,5,0)</f>
        <v>Maintenance  Equipment</v>
      </c>
      <c r="F1365" s="607" t="s">
        <v>31</v>
      </c>
      <c r="G1365" s="597" t="s">
        <v>470</v>
      </c>
      <c r="H1365" s="152" t="str">
        <f t="shared" si="33"/>
        <v>CAR5254</v>
      </c>
      <c r="I1365" s="470">
        <v>170800</v>
      </c>
      <c r="J1365" s="789">
        <v>122</v>
      </c>
      <c r="K1365" s="470">
        <v>1400</v>
      </c>
      <c r="L1365" s="790" t="s">
        <v>3659</v>
      </c>
      <c r="M1365" s="751" t="s">
        <v>780</v>
      </c>
      <c r="N1365" s="751" t="s">
        <v>781</v>
      </c>
      <c r="O1365" s="790" t="s">
        <v>4764</v>
      </c>
      <c r="P1365" s="788" t="s">
        <v>3489</v>
      </c>
      <c r="Q1365" s="788" t="s">
        <v>4765</v>
      </c>
      <c r="R1365" s="788" t="s">
        <v>4767</v>
      </c>
      <c r="S1365" s="788" t="s">
        <v>4766</v>
      </c>
      <c r="T1365" s="152" t="s">
        <v>786</v>
      </c>
    </row>
    <row r="1366" spans="1:20" ht="39">
      <c r="A1366" s="753" t="str">
        <f t="shared" si="32"/>
        <v>SJ - ,mantenimiento equipos 5254 reembolso Long Carmelo</v>
      </c>
      <c r="B1366" s="750" t="s">
        <v>5840</v>
      </c>
      <c r="C1366" s="751"/>
      <c r="D1366" s="792" t="s">
        <v>676</v>
      </c>
      <c r="E1366" s="753" t="str">
        <f>+VLOOKUP(F1366,Resumen_Base!$C$8:$G$156,5,0)</f>
        <v>Maintenance  Equipment</v>
      </c>
      <c r="F1366" s="607" t="s">
        <v>31</v>
      </c>
      <c r="G1366" s="597" t="s">
        <v>470</v>
      </c>
      <c r="H1366" s="152" t="str">
        <f t="shared" si="33"/>
        <v>CAR5254</v>
      </c>
      <c r="I1366" s="470">
        <v>173252.6</v>
      </c>
      <c r="J1366" s="789">
        <v>122.44</v>
      </c>
      <c r="K1366" s="470">
        <v>1415</v>
      </c>
      <c r="L1366" s="790" t="s">
        <v>3632</v>
      </c>
      <c r="M1366" s="751" t="s">
        <v>780</v>
      </c>
      <c r="N1366" s="751" t="s">
        <v>781</v>
      </c>
      <c r="O1366" s="790" t="s">
        <v>4735</v>
      </c>
      <c r="P1366" s="788" t="s">
        <v>3489</v>
      </c>
      <c r="Q1366" s="788" t="s">
        <v>4736</v>
      </c>
      <c r="R1366" s="788" t="s">
        <v>4737</v>
      </c>
      <c r="S1366" s="788" t="s">
        <v>4738</v>
      </c>
      <c r="T1366" s="152" t="s">
        <v>786</v>
      </c>
    </row>
    <row r="1367" spans="1:20" ht="39">
      <c r="A1367" s="753" t="str">
        <f t="shared" si="32"/>
        <v>SJ - combustible vehiculos 5248 Carmelo reembolso Long</v>
      </c>
      <c r="B1367" s="750" t="s">
        <v>5840</v>
      </c>
      <c r="C1367" s="751"/>
      <c r="D1367" s="792" t="s">
        <v>676</v>
      </c>
      <c r="E1367" s="753" t="str">
        <f>+VLOOKUP(F1367,Resumen_Base!$C$8:$G$156,5,0)</f>
        <v>Electricity - Gas for Boats &amp; Vehicles</v>
      </c>
      <c r="F1367" s="607" t="s">
        <v>64</v>
      </c>
      <c r="G1367" s="597" t="s">
        <v>461</v>
      </c>
      <c r="H1367" s="152" t="str">
        <f t="shared" si="33"/>
        <v>CAR5248</v>
      </c>
      <c r="I1367" s="470">
        <v>229173.4</v>
      </c>
      <c r="J1367" s="789">
        <v>161.96</v>
      </c>
      <c r="K1367" s="470">
        <v>1415</v>
      </c>
      <c r="L1367" s="790" t="s">
        <v>3632</v>
      </c>
      <c r="M1367" s="751" t="s">
        <v>780</v>
      </c>
      <c r="N1367" s="751" t="s">
        <v>781</v>
      </c>
      <c r="O1367" s="790" t="s">
        <v>4735</v>
      </c>
      <c r="P1367" s="788" t="s">
        <v>3489</v>
      </c>
      <c r="Q1367" s="788" t="s">
        <v>4736</v>
      </c>
      <c r="R1367" s="788" t="s">
        <v>4780</v>
      </c>
      <c r="S1367" s="788" t="s">
        <v>4738</v>
      </c>
      <c r="T1367" s="152" t="s">
        <v>786</v>
      </c>
    </row>
    <row r="1368" spans="1:20" ht="26">
      <c r="A1368" s="753" t="str">
        <f t="shared" si="32"/>
        <v>SJ - Bps Carmelo 5235 cargas sociales Carmelo</v>
      </c>
      <c r="B1368" s="750" t="s">
        <v>5840</v>
      </c>
      <c r="C1368" s="751"/>
      <c r="D1368" s="792" t="s">
        <v>676</v>
      </c>
      <c r="E1368" s="753" t="str">
        <f>+VLOOKUP(F1368,Resumen_Base!$C$8:$G$156,5,0)</f>
        <v>Social Security Contributions</v>
      </c>
      <c r="F1368" s="607" t="s">
        <v>329</v>
      </c>
      <c r="G1368" s="597" t="s">
        <v>330</v>
      </c>
      <c r="H1368" s="152" t="str">
        <f t="shared" si="33"/>
        <v>CAR5235</v>
      </c>
      <c r="I1368" s="470">
        <v>3419814.45</v>
      </c>
      <c r="J1368" s="789">
        <v>2416.83</v>
      </c>
      <c r="K1368" s="470">
        <v>1415</v>
      </c>
      <c r="L1368" s="790" t="s">
        <v>3632</v>
      </c>
      <c r="M1368" s="751" t="s">
        <v>780</v>
      </c>
      <c r="N1368" s="751" t="s">
        <v>781</v>
      </c>
      <c r="O1368" s="790" t="s">
        <v>4735</v>
      </c>
      <c r="P1368" s="788" t="s">
        <v>3489</v>
      </c>
      <c r="Q1368" s="788" t="s">
        <v>4736</v>
      </c>
      <c r="R1368" s="788" t="s">
        <v>4769</v>
      </c>
      <c r="S1368" s="788" t="s">
        <v>4738</v>
      </c>
      <c r="T1368" s="152" t="s">
        <v>786</v>
      </c>
    </row>
    <row r="1369" spans="1:20" ht="39">
      <c r="A1369" s="753" t="str">
        <f t="shared" si="32"/>
        <v>SJ - alquiler multicar camionetas 5225 Febrero Carmelo</v>
      </c>
      <c r="B1369" s="750" t="s">
        <v>5840</v>
      </c>
      <c r="C1369" s="751"/>
      <c r="D1369" s="792" t="s">
        <v>676</v>
      </c>
      <c r="E1369" s="753" t="str">
        <f>+VLOOKUP(F1369,Resumen_Base!$C$8:$G$156,5,0)</f>
        <v>Transfer to and from the airport (local taxi) - Vehicle Rental</v>
      </c>
      <c r="F1369" s="607" t="s">
        <v>138</v>
      </c>
      <c r="G1369" s="597" t="s">
        <v>202</v>
      </c>
      <c r="H1369" s="152" t="str">
        <f t="shared" si="33"/>
        <v>CAR5225</v>
      </c>
      <c r="I1369" s="470">
        <v>4941180</v>
      </c>
      <c r="J1369" s="789">
        <v>3492</v>
      </c>
      <c r="K1369" s="470">
        <v>1415</v>
      </c>
      <c r="L1369" s="790" t="s">
        <v>3632</v>
      </c>
      <c r="M1369" s="751" t="s">
        <v>780</v>
      </c>
      <c r="N1369" s="751" t="s">
        <v>781</v>
      </c>
      <c r="O1369" s="790" t="s">
        <v>4747</v>
      </c>
      <c r="P1369" s="788" t="s">
        <v>3489</v>
      </c>
      <c r="Q1369" s="788" t="s">
        <v>4748</v>
      </c>
      <c r="R1369" s="788" t="s">
        <v>4749</v>
      </c>
      <c r="S1369" s="788" t="s">
        <v>4750</v>
      </c>
      <c r="T1369" s="152" t="s">
        <v>786</v>
      </c>
    </row>
    <row r="1370" spans="1:20" ht="39">
      <c r="A1370" s="753" t="str">
        <f t="shared" si="32"/>
        <v>SJ - 5217 - patente anual con decuento Master Minibus CARMELO</v>
      </c>
      <c r="B1370" s="750" t="s">
        <v>5840</v>
      </c>
      <c r="C1370" s="751"/>
      <c r="D1370" s="792" t="s">
        <v>676</v>
      </c>
      <c r="E1370" s="753" t="str">
        <f>+VLOOKUP(F1370,Resumen_Base!$C$8:$G$156,5,0)</f>
        <v>Vehicles Taxes</v>
      </c>
      <c r="F1370" s="607" t="s">
        <v>318</v>
      </c>
      <c r="G1370" s="597" t="s">
        <v>319</v>
      </c>
      <c r="H1370" s="152" t="str">
        <f t="shared" si="33"/>
        <v>CAR5217</v>
      </c>
      <c r="I1370" s="470">
        <v>6006232.5</v>
      </c>
      <c r="J1370" s="789">
        <v>4214.8999999999996</v>
      </c>
      <c r="K1370" s="470">
        <v>1425</v>
      </c>
      <c r="L1370" s="790" t="s">
        <v>3504</v>
      </c>
      <c r="M1370" s="751" t="s">
        <v>780</v>
      </c>
      <c r="N1370" s="751" t="s">
        <v>781</v>
      </c>
      <c r="O1370" s="790" t="s">
        <v>4739</v>
      </c>
      <c r="P1370" s="788" t="s">
        <v>3489</v>
      </c>
      <c r="Q1370" s="788" t="s">
        <v>4740</v>
      </c>
      <c r="R1370" s="788" t="s">
        <v>4741</v>
      </c>
      <c r="S1370" s="788" t="s">
        <v>4742</v>
      </c>
      <c r="T1370" s="152" t="s">
        <v>786</v>
      </c>
    </row>
    <row r="1371" spans="1:20" s="751" customFormat="1" ht="44.5" customHeight="1">
      <c r="A1371" s="753" t="str">
        <f t="shared" si="32"/>
        <v>SJ - uniformes bombachas campo 5220 Carmelo</v>
      </c>
      <c r="B1371" s="750" t="s">
        <v>5840</v>
      </c>
      <c r="D1371" s="792" t="s">
        <v>676</v>
      </c>
      <c r="E1371" s="753" t="str">
        <f>+VLOOKUP(F1371,Resumen_Base!$C$8:$G$156,5,0)</f>
        <v>Work uniforms for personnel (employees)</v>
      </c>
      <c r="F1371" s="607" t="s">
        <v>60</v>
      </c>
      <c r="G1371" s="597" t="s">
        <v>61</v>
      </c>
      <c r="H1371" s="152" t="str">
        <f t="shared" si="33"/>
        <v>CAR5220</v>
      </c>
      <c r="I1371" s="470">
        <v>981656.25</v>
      </c>
      <c r="J1371" s="470">
        <v>693.75</v>
      </c>
      <c r="K1371" s="470">
        <v>1415</v>
      </c>
      <c r="L1371" s="756" t="s">
        <v>3498</v>
      </c>
      <c r="M1371" s="751" t="s">
        <v>780</v>
      </c>
      <c r="N1371" s="751" t="s">
        <v>781</v>
      </c>
      <c r="O1371" s="751" t="s">
        <v>4743</v>
      </c>
      <c r="P1371" s="751" t="s">
        <v>3489</v>
      </c>
      <c r="Q1371" s="751" t="s">
        <v>4744</v>
      </c>
      <c r="R1371" s="751" t="s">
        <v>4857</v>
      </c>
      <c r="S1371" s="751" t="s">
        <v>4746</v>
      </c>
      <c r="T1371" s="751" t="s">
        <v>786</v>
      </c>
    </row>
    <row r="1373" spans="1:20">
      <c r="J1373" s="513">
        <v>0</v>
      </c>
    </row>
    <row r="1375" spans="1:20" s="730" customFormat="1" ht="52">
      <c r="A1375" s="739" t="s">
        <v>3389</v>
      </c>
      <c r="B1375" s="740" t="s">
        <v>5869</v>
      </c>
      <c r="C1375" s="741"/>
      <c r="D1375" s="742" t="s">
        <v>676</v>
      </c>
      <c r="E1375" s="740" t="s">
        <v>3408</v>
      </c>
      <c r="F1375" s="347" t="s">
        <v>50</v>
      </c>
      <c r="G1375" s="597" t="s">
        <v>51</v>
      </c>
      <c r="H1375" s="741" t="s">
        <v>618</v>
      </c>
      <c r="I1375" s="743"/>
      <c r="J1375" s="743">
        <v>-14114</v>
      </c>
      <c r="K1375" s="743"/>
      <c r="L1375" s="744">
        <v>46112</v>
      </c>
      <c r="M1375" s="741" t="s">
        <v>780</v>
      </c>
      <c r="N1375" s="742" t="s">
        <v>1407</v>
      </c>
      <c r="O1375" s="741"/>
      <c r="P1375" s="741"/>
      <c r="Q1375" s="741"/>
      <c r="R1375" s="741"/>
      <c r="S1375" s="741"/>
      <c r="T1375" s="741"/>
    </row>
    <row r="1378" spans="1:23">
      <c r="A1378" s="452" t="s">
        <v>84</v>
      </c>
      <c r="B1378" s="452" t="s">
        <v>84</v>
      </c>
      <c r="C1378" s="452" t="s">
        <v>84</v>
      </c>
      <c r="D1378" s="11" t="s">
        <v>84</v>
      </c>
      <c r="E1378" s="452" t="s">
        <v>84</v>
      </c>
      <c r="F1378" s="453" t="s">
        <v>84</v>
      </c>
      <c r="G1378" s="453" t="s">
        <v>84</v>
      </c>
      <c r="H1378" s="453" t="s">
        <v>84</v>
      </c>
      <c r="I1378" s="187" t="s">
        <v>84</v>
      </c>
      <c r="J1378" s="187" t="s">
        <v>84</v>
      </c>
      <c r="K1378" s="187" t="s">
        <v>84</v>
      </c>
      <c r="L1378" s="457" t="s">
        <v>84</v>
      </c>
      <c r="M1378" s="453" t="s">
        <v>84</v>
      </c>
      <c r="N1378" s="453" t="s">
        <v>84</v>
      </c>
      <c r="O1378" s="453" t="s">
        <v>84</v>
      </c>
      <c r="P1378" s="453" t="s">
        <v>84</v>
      </c>
      <c r="Q1378" s="453" t="s">
        <v>84</v>
      </c>
      <c r="R1378" s="453" t="s">
        <v>84</v>
      </c>
      <c r="S1378" s="453" t="s">
        <v>84</v>
      </c>
      <c r="T1378" s="453" t="s">
        <v>84</v>
      </c>
      <c r="U1378" s="453" t="s">
        <v>84</v>
      </c>
      <c r="V1378" s="453" t="s">
        <v>84</v>
      </c>
      <c r="W1378" s="453" t="s">
        <v>84</v>
      </c>
    </row>
    <row r="1380" spans="1:23" s="730" customFormat="1" ht="26">
      <c r="A1380" s="739" t="s">
        <v>3389</v>
      </c>
      <c r="B1380" s="740" t="s">
        <v>5869</v>
      </c>
      <c r="C1380" s="741"/>
      <c r="D1380" s="474"/>
      <c r="E1380" s="474"/>
      <c r="F1380" s="741" t="s">
        <v>371</v>
      </c>
      <c r="G1380" s="741" t="s">
        <v>353</v>
      </c>
      <c r="H1380" s="741"/>
      <c r="I1380" s="743"/>
      <c r="J1380" s="743">
        <v>14114</v>
      </c>
      <c r="K1380" s="743"/>
      <c r="L1380" s="744">
        <v>46112</v>
      </c>
      <c r="M1380" s="741" t="s">
        <v>780</v>
      </c>
      <c r="N1380" s="742" t="s">
        <v>1407</v>
      </c>
      <c r="O1380" s="741"/>
      <c r="P1380" s="741"/>
      <c r="Q1380" s="741"/>
      <c r="R1380" s="741"/>
      <c r="S1380" s="741"/>
      <c r="T1380" s="741"/>
    </row>
    <row r="1381" spans="1:23">
      <c r="A1381" s="152"/>
    </row>
    <row r="1382" spans="1:23" ht="65">
      <c r="A1382" s="753" t="s">
        <v>5848</v>
      </c>
      <c r="B1382" s="210" t="s">
        <v>5863</v>
      </c>
      <c r="C1382" s="751"/>
      <c r="F1382" s="791">
        <v>110305</v>
      </c>
      <c r="G1382" s="788" t="s">
        <v>5766</v>
      </c>
      <c r="I1382" s="470"/>
      <c r="J1382" s="789">
        <v>253.375</v>
      </c>
      <c r="K1382" s="470"/>
      <c r="L1382" s="790">
        <v>46112</v>
      </c>
      <c r="M1382" s="751"/>
      <c r="N1382" s="751"/>
      <c r="O1382" s="790"/>
      <c r="P1382" s="788" t="s">
        <v>5825</v>
      </c>
      <c r="Q1382" s="788" t="s">
        <v>5825</v>
      </c>
      <c r="R1382" s="788" t="s">
        <v>5825</v>
      </c>
      <c r="S1382" s="788"/>
      <c r="T1382" s="788"/>
    </row>
    <row r="1384" spans="1:23" s="751" customFormat="1" ht="44.5" customHeight="1">
      <c r="A1384" s="750" t="str">
        <f>+R1384</f>
        <v>SJ - uniformes bombachas campo 5220 Carmelo</v>
      </c>
      <c r="B1384" s="750"/>
      <c r="C1384" s="751" t="s">
        <v>2821</v>
      </c>
      <c r="D1384" s="752"/>
      <c r="E1384" s="750"/>
      <c r="F1384" s="751" t="s">
        <v>358</v>
      </c>
      <c r="G1384" s="751" t="s">
        <v>359</v>
      </c>
      <c r="H1384" s="799">
        <f>+I1384</f>
        <v>-981656.25</v>
      </c>
      <c r="I1384" s="470">
        <v>-981656.25</v>
      </c>
      <c r="J1384" s="470">
        <v>-693.75</v>
      </c>
      <c r="K1384" s="470">
        <v>1415</v>
      </c>
      <c r="L1384" s="756" t="s">
        <v>3498</v>
      </c>
      <c r="M1384" s="751" t="s">
        <v>780</v>
      </c>
      <c r="N1384" s="751" t="s">
        <v>781</v>
      </c>
      <c r="O1384" s="751" t="s">
        <v>4743</v>
      </c>
      <c r="P1384" s="751" t="s">
        <v>3489</v>
      </c>
      <c r="Q1384" s="751" t="s">
        <v>4744</v>
      </c>
      <c r="R1384" s="751" t="s">
        <v>4857</v>
      </c>
      <c r="S1384" s="751" t="s">
        <v>4746</v>
      </c>
      <c r="T1384" s="751" t="s">
        <v>786</v>
      </c>
    </row>
    <row r="1385" spans="1:23" s="751" customFormat="1" ht="44.5" customHeight="1">
      <c r="A1385" s="750" t="str">
        <f>+R1385</f>
        <v>SJ - uniformes bombachas campo 5220 Carmelo</v>
      </c>
      <c r="B1385" s="750"/>
      <c r="C1385" s="751" t="s">
        <v>2821</v>
      </c>
      <c r="D1385" s="752"/>
      <c r="E1385" s="750"/>
      <c r="F1385" s="751" t="s">
        <v>358</v>
      </c>
      <c r="G1385" s="751" t="s">
        <v>359</v>
      </c>
      <c r="H1385" s="799">
        <f>+I1385</f>
        <v>981656.25</v>
      </c>
      <c r="I1385" s="470">
        <v>981656.25</v>
      </c>
      <c r="J1385" s="470">
        <v>693.75</v>
      </c>
      <c r="K1385" s="470">
        <v>1415</v>
      </c>
      <c r="L1385" s="756" t="s">
        <v>3498</v>
      </c>
      <c r="M1385" s="751" t="s">
        <v>780</v>
      </c>
      <c r="N1385" s="751" t="s">
        <v>781</v>
      </c>
      <c r="O1385" s="751" t="s">
        <v>4743</v>
      </c>
      <c r="P1385" s="751" t="s">
        <v>3489</v>
      </c>
      <c r="Q1385" s="751" t="s">
        <v>4744</v>
      </c>
      <c r="R1385" s="751" t="s">
        <v>4857</v>
      </c>
      <c r="S1385" s="751" t="s">
        <v>4746</v>
      </c>
      <c r="T1385" s="751" t="s">
        <v>786</v>
      </c>
    </row>
    <row r="1386" spans="1:23" ht="13">
      <c r="A1386" s="750" t="str">
        <f>+R1386</f>
        <v>SJ - Dgi Carmelo 4125</v>
      </c>
      <c r="B1386" s="750" t="s">
        <v>5840</v>
      </c>
      <c r="C1386" s="751"/>
      <c r="F1386" s="152" t="s">
        <v>305</v>
      </c>
      <c r="G1386" s="152" t="s">
        <v>306</v>
      </c>
      <c r="I1386" s="470">
        <v>5189201.2</v>
      </c>
      <c r="J1386" s="789">
        <v>3667.28</v>
      </c>
      <c r="K1386" s="470">
        <v>1415</v>
      </c>
      <c r="L1386" s="790" t="s">
        <v>3632</v>
      </c>
      <c r="M1386" s="751" t="s">
        <v>780</v>
      </c>
      <c r="N1386" s="751" t="s">
        <v>781</v>
      </c>
      <c r="O1386" s="790" t="s">
        <v>4735</v>
      </c>
      <c r="P1386" s="788" t="s">
        <v>3489</v>
      </c>
      <c r="Q1386" s="788" t="s">
        <v>4736</v>
      </c>
      <c r="R1386" s="788" t="s">
        <v>4809</v>
      </c>
      <c r="S1386" s="788" t="s">
        <v>4738</v>
      </c>
      <c r="T1386" s="152" t="s">
        <v>786</v>
      </c>
    </row>
    <row r="1387" spans="1:23" ht="26">
      <c r="A1387" s="750" t="str">
        <f>+R1387</f>
        <v>SJ - Bps Barran wingsshooting Carmelo 4125</v>
      </c>
      <c r="B1387" s="750" t="s">
        <v>5840</v>
      </c>
      <c r="C1387" s="751"/>
      <c r="F1387" s="152" t="s">
        <v>305</v>
      </c>
      <c r="G1387" s="152" t="s">
        <v>306</v>
      </c>
      <c r="I1387" s="470">
        <v>490693.7</v>
      </c>
      <c r="J1387" s="789">
        <v>346.78</v>
      </c>
      <c r="K1387" s="470">
        <v>1415</v>
      </c>
      <c r="L1387" s="790" t="s">
        <v>3632</v>
      </c>
      <c r="M1387" s="751" t="s">
        <v>780</v>
      </c>
      <c r="N1387" s="751" t="s">
        <v>781</v>
      </c>
      <c r="O1387" s="790" t="s">
        <v>4735</v>
      </c>
      <c r="P1387" s="788" t="s">
        <v>3489</v>
      </c>
      <c r="Q1387" s="788" t="s">
        <v>4736</v>
      </c>
      <c r="R1387" s="788" t="s">
        <v>4768</v>
      </c>
      <c r="S1387" s="788" t="s">
        <v>4738</v>
      </c>
      <c r="T1387" s="152" t="s">
        <v>786</v>
      </c>
    </row>
    <row r="1388" spans="1:23" ht="26">
      <c r="A1388" s="750" t="str">
        <f>+R1388</f>
        <v>SJ - deb comi uniformes 5220 Bombachas campo Carmelo</v>
      </c>
      <c r="B1388" s="750" t="s">
        <v>5840</v>
      </c>
      <c r="C1388" s="751" t="s">
        <v>2821</v>
      </c>
      <c r="D1388" s="788"/>
      <c r="F1388" s="791" t="s">
        <v>358</v>
      </c>
      <c r="G1388" s="788" t="s">
        <v>359</v>
      </c>
      <c r="H1388" s="751"/>
      <c r="I1388" s="470">
        <v>-1655.55</v>
      </c>
      <c r="J1388" s="789">
        <v>-1.17</v>
      </c>
      <c r="K1388" s="470">
        <v>1415</v>
      </c>
      <c r="L1388" s="790" t="s">
        <v>3498</v>
      </c>
      <c r="M1388" s="751" t="s">
        <v>780</v>
      </c>
      <c r="N1388" s="751" t="s">
        <v>781</v>
      </c>
      <c r="O1388" s="790" t="s">
        <v>4743</v>
      </c>
      <c r="P1388" s="788" t="s">
        <v>3489</v>
      </c>
      <c r="Q1388" s="788" t="s">
        <v>4744</v>
      </c>
      <c r="R1388" s="788" t="s">
        <v>4802</v>
      </c>
      <c r="S1388" s="788" t="s">
        <v>4746</v>
      </c>
      <c r="T1388" s="152" t="s">
        <v>786</v>
      </c>
    </row>
    <row r="1389" spans="1:23" ht="26">
      <c r="A1389" s="750" t="str">
        <f t="shared" ref="A1389:A1405" si="34">+R1389</f>
        <v>SJ - deb comi 5253 Carmelo deb comi</v>
      </c>
      <c r="B1389" s="750" t="s">
        <v>5840</v>
      </c>
      <c r="C1389" s="751" t="s">
        <v>2821</v>
      </c>
      <c r="D1389" s="788"/>
      <c r="F1389" s="791" t="s">
        <v>358</v>
      </c>
      <c r="G1389" s="788" t="s">
        <v>359</v>
      </c>
      <c r="H1389" s="751"/>
      <c r="I1389" s="470">
        <v>-2688.5</v>
      </c>
      <c r="J1389" s="789">
        <v>-1.9</v>
      </c>
      <c r="K1389" s="470">
        <v>1415</v>
      </c>
      <c r="L1389" s="790" t="s">
        <v>3632</v>
      </c>
      <c r="M1389" s="751" t="s">
        <v>780</v>
      </c>
      <c r="N1389" s="751" t="s">
        <v>781</v>
      </c>
      <c r="O1389" s="790" t="s">
        <v>4747</v>
      </c>
      <c r="P1389" s="788" t="s">
        <v>3489</v>
      </c>
      <c r="Q1389" s="788" t="s">
        <v>4748</v>
      </c>
      <c r="R1389" s="788" t="s">
        <v>4794</v>
      </c>
      <c r="S1389" s="788" t="s">
        <v>4750</v>
      </c>
      <c r="T1389" s="152" t="s">
        <v>786</v>
      </c>
    </row>
    <row r="1390" spans="1:23" ht="26">
      <c r="A1390" s="750" t="str">
        <f t="shared" si="34"/>
        <v>SJ - deb comi envio uniformes Carmelo  5220</v>
      </c>
      <c r="B1390" s="750" t="s">
        <v>5840</v>
      </c>
      <c r="C1390" s="751" t="s">
        <v>2821</v>
      </c>
      <c r="D1390" s="788"/>
      <c r="F1390" s="791" t="s">
        <v>358</v>
      </c>
      <c r="G1390" s="788" t="s">
        <v>359</v>
      </c>
      <c r="H1390" s="751"/>
      <c r="I1390" s="470">
        <v>-2688.5</v>
      </c>
      <c r="J1390" s="789">
        <v>-1.9</v>
      </c>
      <c r="K1390" s="470">
        <v>1415</v>
      </c>
      <c r="L1390" s="790" t="s">
        <v>3498</v>
      </c>
      <c r="M1390" s="751" t="s">
        <v>780</v>
      </c>
      <c r="N1390" s="751" t="s">
        <v>781</v>
      </c>
      <c r="O1390" s="790" t="s">
        <v>4743</v>
      </c>
      <c r="P1390" s="788" t="s">
        <v>3489</v>
      </c>
      <c r="Q1390" s="788" t="s">
        <v>4744</v>
      </c>
      <c r="R1390" s="788" t="s">
        <v>4798</v>
      </c>
      <c r="S1390" s="788" t="s">
        <v>4746</v>
      </c>
      <c r="T1390" s="152" t="s">
        <v>786</v>
      </c>
    </row>
    <row r="1391" spans="1:23" ht="26">
      <c r="A1391" s="750" t="str">
        <f t="shared" si="34"/>
        <v>SJ - deb comi reembolso long 5254</v>
      </c>
      <c r="B1391" s="750" t="s">
        <v>5840</v>
      </c>
      <c r="C1391" s="751" t="s">
        <v>2821</v>
      </c>
      <c r="D1391" s="788"/>
      <c r="F1391" s="791" t="s">
        <v>358</v>
      </c>
      <c r="G1391" s="788" t="s">
        <v>359</v>
      </c>
      <c r="H1391" s="751"/>
      <c r="I1391" s="470">
        <v>-2745.1</v>
      </c>
      <c r="J1391" s="789">
        <v>-1.94</v>
      </c>
      <c r="K1391" s="470">
        <v>1415</v>
      </c>
      <c r="L1391" s="790" t="s">
        <v>3632</v>
      </c>
      <c r="M1391" s="751" t="s">
        <v>780</v>
      </c>
      <c r="N1391" s="751" t="s">
        <v>781</v>
      </c>
      <c r="O1391" s="790" t="s">
        <v>4735</v>
      </c>
      <c r="P1391" s="788" t="s">
        <v>3489</v>
      </c>
      <c r="Q1391" s="788" t="s">
        <v>4736</v>
      </c>
      <c r="R1391" s="788" t="s">
        <v>4801</v>
      </c>
      <c r="S1391" s="788" t="s">
        <v>4738</v>
      </c>
      <c r="T1391" s="152" t="s">
        <v>786</v>
      </c>
    </row>
    <row r="1392" spans="1:23" ht="26">
      <c r="A1392" s="750" t="str">
        <f t="shared" si="34"/>
        <v>SJ - deb comi entrada campos 5207 Carmelo</v>
      </c>
      <c r="B1392" s="750" t="s">
        <v>5840</v>
      </c>
      <c r="C1392" s="751" t="s">
        <v>2821</v>
      </c>
      <c r="D1392" s="788"/>
      <c r="F1392" s="791" t="s">
        <v>358</v>
      </c>
      <c r="G1392" s="788" t="s">
        <v>359</v>
      </c>
      <c r="H1392" s="751"/>
      <c r="I1392" s="470">
        <v>-18620</v>
      </c>
      <c r="J1392" s="789">
        <v>-13.3</v>
      </c>
      <c r="K1392" s="470">
        <v>1400</v>
      </c>
      <c r="L1392" s="790" t="s">
        <v>3659</v>
      </c>
      <c r="M1392" s="751" t="s">
        <v>780</v>
      </c>
      <c r="N1392" s="751" t="s">
        <v>781</v>
      </c>
      <c r="O1392" s="790" t="s">
        <v>4764</v>
      </c>
      <c r="P1392" s="788" t="s">
        <v>3489</v>
      </c>
      <c r="Q1392" s="788" t="s">
        <v>4765</v>
      </c>
      <c r="R1392" s="788" t="s">
        <v>4797</v>
      </c>
      <c r="S1392" s="788" t="s">
        <v>4766</v>
      </c>
      <c r="T1392" s="152" t="s">
        <v>786</v>
      </c>
    </row>
    <row r="1393" spans="1:20" ht="26">
      <c r="A1393" s="750" t="str">
        <f t="shared" si="34"/>
        <v>SJ - encomiendas por envios uniformes Carmelo 5220</v>
      </c>
      <c r="B1393" s="750" t="s">
        <v>5840</v>
      </c>
      <c r="C1393" s="751" t="s">
        <v>2821</v>
      </c>
      <c r="D1393" s="788"/>
      <c r="F1393" s="791" t="s">
        <v>358</v>
      </c>
      <c r="G1393" s="788" t="s">
        <v>359</v>
      </c>
      <c r="H1393" s="751"/>
      <c r="I1393" s="470">
        <v>-29106.55</v>
      </c>
      <c r="J1393" s="789">
        <v>-20.57</v>
      </c>
      <c r="K1393" s="470">
        <v>1415</v>
      </c>
      <c r="L1393" s="790" t="s">
        <v>3498</v>
      </c>
      <c r="M1393" s="751" t="s">
        <v>780</v>
      </c>
      <c r="N1393" s="751" t="s">
        <v>781</v>
      </c>
      <c r="O1393" s="790" t="s">
        <v>4743</v>
      </c>
      <c r="P1393" s="788" t="s">
        <v>3489</v>
      </c>
      <c r="Q1393" s="788" t="s">
        <v>4744</v>
      </c>
      <c r="R1393" s="788" t="s">
        <v>4812</v>
      </c>
      <c r="S1393" s="788" t="s">
        <v>4746</v>
      </c>
      <c r="T1393" s="152" t="s">
        <v>786</v>
      </c>
    </row>
    <row r="1394" spans="1:20" ht="26">
      <c r="A1394" s="750" t="str">
        <f t="shared" si="34"/>
        <v>SJ - entrada campo Carmelo 5207 reembolos Long</v>
      </c>
      <c r="B1394" s="750" t="s">
        <v>5840</v>
      </c>
      <c r="C1394" s="751" t="s">
        <v>2821</v>
      </c>
      <c r="D1394" s="788"/>
      <c r="F1394" s="791" t="s">
        <v>358</v>
      </c>
      <c r="G1394" s="788" t="s">
        <v>359</v>
      </c>
      <c r="H1394" s="751"/>
      <c r="I1394" s="470">
        <v>-141500</v>
      </c>
      <c r="J1394" s="789">
        <v>-100</v>
      </c>
      <c r="K1394" s="470">
        <v>1415</v>
      </c>
      <c r="L1394" s="790" t="s">
        <v>3632</v>
      </c>
      <c r="M1394" s="751" t="s">
        <v>780</v>
      </c>
      <c r="N1394" s="751" t="s">
        <v>781</v>
      </c>
      <c r="O1394" s="790" t="s">
        <v>4747</v>
      </c>
      <c r="P1394" s="788" t="s">
        <v>3489</v>
      </c>
      <c r="Q1394" s="788" t="s">
        <v>4748</v>
      </c>
      <c r="R1394" s="788" t="s">
        <v>4813</v>
      </c>
      <c r="S1394" s="788" t="s">
        <v>4750</v>
      </c>
      <c r="T1394" s="152" t="s">
        <v>786</v>
      </c>
    </row>
    <row r="1395" spans="1:20" ht="39">
      <c r="A1395" s="750" t="str">
        <f t="shared" si="34"/>
        <v>SJ - comida surtido staff Carmelo 5250 reembolso Long</v>
      </c>
      <c r="B1395" s="750" t="s">
        <v>5840</v>
      </c>
      <c r="C1395" s="751" t="s">
        <v>2821</v>
      </c>
      <c r="D1395" s="788"/>
      <c r="F1395" s="791" t="s">
        <v>358</v>
      </c>
      <c r="G1395" s="788" t="s">
        <v>359</v>
      </c>
      <c r="H1395" s="751"/>
      <c r="I1395" s="470">
        <v>-154574.6</v>
      </c>
      <c r="J1395" s="789">
        <v>-109.24</v>
      </c>
      <c r="K1395" s="470">
        <v>1415</v>
      </c>
      <c r="L1395" s="790" t="s">
        <v>3632</v>
      </c>
      <c r="M1395" s="751" t="s">
        <v>780</v>
      </c>
      <c r="N1395" s="751" t="s">
        <v>781</v>
      </c>
      <c r="O1395" s="790" t="s">
        <v>4735</v>
      </c>
      <c r="P1395" s="788" t="s">
        <v>3489</v>
      </c>
      <c r="Q1395" s="788" t="s">
        <v>4736</v>
      </c>
      <c r="R1395" s="788" t="s">
        <v>4781</v>
      </c>
      <c r="S1395" s="788" t="s">
        <v>4738</v>
      </c>
      <c r="T1395" s="152" t="s">
        <v>786</v>
      </c>
    </row>
    <row r="1396" spans="1:20" ht="39">
      <c r="A1396" s="750" t="str">
        <f t="shared" si="34"/>
        <v>SJ - bolsas poliuretano remmbolso Long Carmelo 5254</v>
      </c>
      <c r="B1396" s="750" t="s">
        <v>5840</v>
      </c>
      <c r="C1396" s="751" t="s">
        <v>2821</v>
      </c>
      <c r="D1396" s="788"/>
      <c r="F1396" s="791" t="s">
        <v>358</v>
      </c>
      <c r="G1396" s="788" t="s">
        <v>359</v>
      </c>
      <c r="H1396" s="751"/>
      <c r="I1396" s="470">
        <v>-170800</v>
      </c>
      <c r="J1396" s="789">
        <v>-122</v>
      </c>
      <c r="K1396" s="470">
        <v>1400</v>
      </c>
      <c r="L1396" s="790" t="s">
        <v>3659</v>
      </c>
      <c r="M1396" s="751" t="s">
        <v>780</v>
      </c>
      <c r="N1396" s="751" t="s">
        <v>781</v>
      </c>
      <c r="O1396" s="790" t="s">
        <v>4764</v>
      </c>
      <c r="P1396" s="788" t="s">
        <v>3489</v>
      </c>
      <c r="Q1396" s="788" t="s">
        <v>4765</v>
      </c>
      <c r="R1396" s="788" t="s">
        <v>4767</v>
      </c>
      <c r="S1396" s="788" t="s">
        <v>4766</v>
      </c>
      <c r="T1396" s="152" t="s">
        <v>786</v>
      </c>
    </row>
    <row r="1397" spans="1:20" ht="39">
      <c r="A1397" s="750" t="str">
        <f t="shared" si="34"/>
        <v>SJ - ,mantenimiento equipos 5254 reembolso Long Carmelo</v>
      </c>
      <c r="B1397" s="750" t="s">
        <v>5840</v>
      </c>
      <c r="C1397" s="751" t="s">
        <v>2821</v>
      </c>
      <c r="D1397" s="788"/>
      <c r="F1397" s="791" t="s">
        <v>358</v>
      </c>
      <c r="G1397" s="788" t="s">
        <v>359</v>
      </c>
      <c r="H1397" s="751"/>
      <c r="I1397" s="470">
        <v>-173252.6</v>
      </c>
      <c r="J1397" s="789">
        <v>-122.44</v>
      </c>
      <c r="K1397" s="470">
        <v>1415</v>
      </c>
      <c r="L1397" s="790" t="s">
        <v>3632</v>
      </c>
      <c r="M1397" s="751" t="s">
        <v>780</v>
      </c>
      <c r="N1397" s="751" t="s">
        <v>781</v>
      </c>
      <c r="O1397" s="790" t="s">
        <v>4735</v>
      </c>
      <c r="P1397" s="788" t="s">
        <v>3489</v>
      </c>
      <c r="Q1397" s="788" t="s">
        <v>4736</v>
      </c>
      <c r="R1397" s="788" t="s">
        <v>4737</v>
      </c>
      <c r="S1397" s="788" t="s">
        <v>4738</v>
      </c>
      <c r="T1397" s="152" t="s">
        <v>786</v>
      </c>
    </row>
    <row r="1398" spans="1:20" ht="39">
      <c r="A1398" s="750" t="str">
        <f t="shared" si="34"/>
        <v>SJ - combustible vehiculos 5248 Carmelo reembolso Long</v>
      </c>
      <c r="B1398" s="750" t="s">
        <v>5840</v>
      </c>
      <c r="C1398" s="751" t="s">
        <v>2821</v>
      </c>
      <c r="D1398" s="788"/>
      <c r="F1398" s="791" t="s">
        <v>358</v>
      </c>
      <c r="G1398" s="788" t="s">
        <v>359</v>
      </c>
      <c r="H1398" s="751"/>
      <c r="I1398" s="470">
        <v>-229173.4</v>
      </c>
      <c r="J1398" s="789">
        <v>-161.96</v>
      </c>
      <c r="K1398" s="470">
        <v>1415</v>
      </c>
      <c r="L1398" s="790" t="s">
        <v>3632</v>
      </c>
      <c r="M1398" s="751" t="s">
        <v>780</v>
      </c>
      <c r="N1398" s="751" t="s">
        <v>781</v>
      </c>
      <c r="O1398" s="790" t="s">
        <v>4735</v>
      </c>
      <c r="P1398" s="788" t="s">
        <v>3489</v>
      </c>
      <c r="Q1398" s="788" t="s">
        <v>4736</v>
      </c>
      <c r="R1398" s="788" t="s">
        <v>4780</v>
      </c>
      <c r="S1398" s="788" t="s">
        <v>4738</v>
      </c>
      <c r="T1398" s="152" t="s">
        <v>786</v>
      </c>
    </row>
    <row r="1399" spans="1:20" ht="26">
      <c r="A1399" s="750" t="str">
        <f t="shared" si="34"/>
        <v>SJ - Bps Barran wingsshooting Carmelo 4125</v>
      </c>
      <c r="B1399" s="750" t="s">
        <v>5840</v>
      </c>
      <c r="C1399" s="751" t="s">
        <v>2821</v>
      </c>
      <c r="D1399" s="788"/>
      <c r="F1399" s="791" t="s">
        <v>358</v>
      </c>
      <c r="G1399" s="788" t="s">
        <v>359</v>
      </c>
      <c r="H1399" s="751"/>
      <c r="I1399" s="470">
        <v>-490693.7</v>
      </c>
      <c r="J1399" s="789">
        <v>-346.78</v>
      </c>
      <c r="K1399" s="470">
        <v>1415</v>
      </c>
      <c r="L1399" s="790" t="s">
        <v>3632</v>
      </c>
      <c r="M1399" s="751" t="s">
        <v>780</v>
      </c>
      <c r="N1399" s="751" t="s">
        <v>781</v>
      </c>
      <c r="O1399" s="790" t="s">
        <v>4735</v>
      </c>
      <c r="P1399" s="788" t="s">
        <v>3489</v>
      </c>
      <c r="Q1399" s="788" t="s">
        <v>4736</v>
      </c>
      <c r="R1399" s="788" t="s">
        <v>4768</v>
      </c>
      <c r="S1399" s="788" t="s">
        <v>4738</v>
      </c>
      <c r="T1399" s="152" t="s">
        <v>786</v>
      </c>
    </row>
    <row r="1400" spans="1:20" ht="39">
      <c r="A1400" s="750" t="str">
        <f t="shared" si="34"/>
        <v>SJ - mantenimiento Hyunday cubiertas 5253 reembolso Long Carmelo</v>
      </c>
      <c r="B1400" s="750" t="s">
        <v>5840</v>
      </c>
      <c r="C1400" s="751" t="s">
        <v>2821</v>
      </c>
      <c r="D1400" s="788"/>
      <c r="F1400" s="791" t="s">
        <v>358</v>
      </c>
      <c r="G1400" s="788" t="s">
        <v>359</v>
      </c>
      <c r="H1400" s="751"/>
      <c r="I1400" s="470">
        <v>-806550</v>
      </c>
      <c r="J1400" s="789">
        <v>-570</v>
      </c>
      <c r="K1400" s="470">
        <v>1415</v>
      </c>
      <c r="L1400" s="790" t="s">
        <v>3632</v>
      </c>
      <c r="M1400" s="751" t="s">
        <v>780</v>
      </c>
      <c r="N1400" s="751" t="s">
        <v>781</v>
      </c>
      <c r="O1400" s="790" t="s">
        <v>4747</v>
      </c>
      <c r="P1400" s="788" t="s">
        <v>3489</v>
      </c>
      <c r="Q1400" s="788" t="s">
        <v>4748</v>
      </c>
      <c r="R1400" s="788" t="s">
        <v>4831</v>
      </c>
      <c r="S1400" s="788" t="s">
        <v>4750</v>
      </c>
      <c r="T1400" s="152" t="s">
        <v>786</v>
      </c>
    </row>
    <row r="1401" spans="1:20" ht="26">
      <c r="A1401" s="750" t="str">
        <f t="shared" si="34"/>
        <v>SJ - Bps Carmelo 5235 cargas sociales Carmelo</v>
      </c>
      <c r="B1401" s="750" t="s">
        <v>5840</v>
      </c>
      <c r="C1401" s="751" t="s">
        <v>2821</v>
      </c>
      <c r="D1401" s="788"/>
      <c r="F1401" s="791" t="s">
        <v>358</v>
      </c>
      <c r="G1401" s="788" t="s">
        <v>359</v>
      </c>
      <c r="H1401" s="751"/>
      <c r="I1401" s="470">
        <v>-3419814.45</v>
      </c>
      <c r="J1401" s="789">
        <v>-2416.83</v>
      </c>
      <c r="K1401" s="470">
        <v>1415</v>
      </c>
      <c r="L1401" s="790" t="s">
        <v>3632</v>
      </c>
      <c r="M1401" s="751" t="s">
        <v>780</v>
      </c>
      <c r="N1401" s="751" t="s">
        <v>781</v>
      </c>
      <c r="O1401" s="790" t="s">
        <v>4735</v>
      </c>
      <c r="P1401" s="788" t="s">
        <v>3489</v>
      </c>
      <c r="Q1401" s="788" t="s">
        <v>4736</v>
      </c>
      <c r="R1401" s="788" t="s">
        <v>4769</v>
      </c>
      <c r="S1401" s="788" t="s">
        <v>4738</v>
      </c>
      <c r="T1401" s="152" t="s">
        <v>786</v>
      </c>
    </row>
    <row r="1402" spans="1:20" ht="39">
      <c r="A1402" s="750" t="str">
        <f t="shared" si="34"/>
        <v>SJ - alquiler multicar camionetas 5225 Febrero Carmelo</v>
      </c>
      <c r="B1402" s="750" t="s">
        <v>5840</v>
      </c>
      <c r="C1402" s="751" t="s">
        <v>2821</v>
      </c>
      <c r="D1402" s="788"/>
      <c r="F1402" s="791" t="s">
        <v>358</v>
      </c>
      <c r="G1402" s="788" t="s">
        <v>359</v>
      </c>
      <c r="H1402" s="751"/>
      <c r="I1402" s="470">
        <v>-4941180</v>
      </c>
      <c r="J1402" s="789">
        <v>-3492</v>
      </c>
      <c r="K1402" s="470">
        <v>1415</v>
      </c>
      <c r="L1402" s="790" t="s">
        <v>3632</v>
      </c>
      <c r="M1402" s="751" t="s">
        <v>780</v>
      </c>
      <c r="N1402" s="751" t="s">
        <v>781</v>
      </c>
      <c r="O1402" s="790" t="s">
        <v>4747</v>
      </c>
      <c r="P1402" s="788" t="s">
        <v>3489</v>
      </c>
      <c r="Q1402" s="788" t="s">
        <v>4748</v>
      </c>
      <c r="R1402" s="788" t="s">
        <v>4749</v>
      </c>
      <c r="S1402" s="788" t="s">
        <v>4750</v>
      </c>
      <c r="T1402" s="152" t="s">
        <v>786</v>
      </c>
    </row>
    <row r="1403" spans="1:20" ht="13">
      <c r="A1403" s="750" t="str">
        <f t="shared" si="34"/>
        <v>SJ - Dgi Carmelo 4125</v>
      </c>
      <c r="B1403" s="750" t="s">
        <v>5840</v>
      </c>
      <c r="C1403" s="751" t="s">
        <v>2821</v>
      </c>
      <c r="D1403" s="788"/>
      <c r="F1403" s="791" t="s">
        <v>358</v>
      </c>
      <c r="G1403" s="788" t="s">
        <v>359</v>
      </c>
      <c r="H1403" s="751"/>
      <c r="I1403" s="470">
        <v>-5189201.2</v>
      </c>
      <c r="J1403" s="789">
        <v>-3667.28</v>
      </c>
      <c r="K1403" s="470">
        <v>1415</v>
      </c>
      <c r="L1403" s="790" t="s">
        <v>3632</v>
      </c>
      <c r="M1403" s="751" t="s">
        <v>780</v>
      </c>
      <c r="N1403" s="751" t="s">
        <v>781</v>
      </c>
      <c r="O1403" s="790" t="s">
        <v>4735</v>
      </c>
      <c r="P1403" s="788" t="s">
        <v>3489</v>
      </c>
      <c r="Q1403" s="788" t="s">
        <v>4736</v>
      </c>
      <c r="R1403" s="788" t="s">
        <v>4809</v>
      </c>
      <c r="S1403" s="788" t="s">
        <v>4738</v>
      </c>
      <c r="T1403" s="152" t="s">
        <v>786</v>
      </c>
    </row>
    <row r="1404" spans="1:20" ht="39">
      <c r="A1404" s="750" t="str">
        <f t="shared" si="34"/>
        <v>SJ - 5217 - patente anual con decuento Master Minibus CARMELO</v>
      </c>
      <c r="B1404" s="750" t="s">
        <v>5840</v>
      </c>
      <c r="C1404" s="751" t="s">
        <v>2821</v>
      </c>
      <c r="D1404" s="788"/>
      <c r="F1404" s="791" t="s">
        <v>358</v>
      </c>
      <c r="G1404" s="788" t="s">
        <v>359</v>
      </c>
      <c r="H1404" s="751"/>
      <c r="I1404" s="470">
        <v>-6006232.5</v>
      </c>
      <c r="J1404" s="789">
        <v>-4214.8999999999996</v>
      </c>
      <c r="K1404" s="470">
        <v>1425</v>
      </c>
      <c r="L1404" s="790" t="s">
        <v>3504</v>
      </c>
      <c r="M1404" s="751" t="s">
        <v>780</v>
      </c>
      <c r="N1404" s="751" t="s">
        <v>781</v>
      </c>
      <c r="O1404" s="790" t="s">
        <v>4739</v>
      </c>
      <c r="P1404" s="788" t="s">
        <v>3489</v>
      </c>
      <c r="Q1404" s="788" t="s">
        <v>4740</v>
      </c>
      <c r="R1404" s="788" t="s">
        <v>4741</v>
      </c>
      <c r="S1404" s="788" t="s">
        <v>4742</v>
      </c>
      <c r="T1404" s="152" t="s">
        <v>786</v>
      </c>
    </row>
    <row r="1405" spans="1:20" ht="26">
      <c r="A1405" s="750" t="str">
        <f t="shared" si="34"/>
        <v>SJ - entrada campos febrero Carmelo 5207</v>
      </c>
      <c r="B1405" s="750" t="s">
        <v>5840</v>
      </c>
      <c r="C1405" s="751" t="s">
        <v>2821</v>
      </c>
      <c r="D1405" s="788"/>
      <c r="F1405" s="791" t="s">
        <v>358</v>
      </c>
      <c r="G1405" s="788" t="s">
        <v>359</v>
      </c>
      <c r="H1405" s="751"/>
      <c r="I1405" s="470">
        <v>-7140000</v>
      </c>
      <c r="J1405" s="789">
        <v>-5100</v>
      </c>
      <c r="K1405" s="470">
        <v>1400</v>
      </c>
      <c r="L1405" s="790" t="s">
        <v>3659</v>
      </c>
      <c r="M1405" s="751" t="s">
        <v>780</v>
      </c>
      <c r="N1405" s="751" t="s">
        <v>781</v>
      </c>
      <c r="O1405" s="790" t="s">
        <v>4764</v>
      </c>
      <c r="P1405" s="788" t="s">
        <v>3489</v>
      </c>
      <c r="Q1405" s="788" t="s">
        <v>4765</v>
      </c>
      <c r="R1405" s="788" t="s">
        <v>4814</v>
      </c>
      <c r="S1405" s="788" t="s">
        <v>4766</v>
      </c>
      <c r="T1405" s="152" t="s">
        <v>786</v>
      </c>
    </row>
    <row r="1406" spans="1:20" ht="39">
      <c r="A1406" s="750" t="str">
        <f>+R1406</f>
        <v>Credito por devolucion conservadoras de otro color 5252 CARMELO</v>
      </c>
      <c r="B1406" s="750" t="s">
        <v>5840</v>
      </c>
      <c r="C1406" s="751" t="s">
        <v>2821</v>
      </c>
      <c r="D1406" s="788"/>
      <c r="F1406" s="791" t="s">
        <v>358</v>
      </c>
      <c r="G1406" s="788" t="s">
        <v>359</v>
      </c>
      <c r="H1406" s="751"/>
      <c r="I1406" s="470">
        <v>88008</v>
      </c>
      <c r="J1406" s="789">
        <v>61.76</v>
      </c>
      <c r="K1406" s="470">
        <v>1425</v>
      </c>
      <c r="L1406" s="790" t="s">
        <v>3637</v>
      </c>
      <c r="M1406" s="751"/>
      <c r="N1406" s="751" t="s">
        <v>1407</v>
      </c>
      <c r="O1406" s="790"/>
      <c r="P1406" s="788" t="s">
        <v>5051</v>
      </c>
      <c r="Q1406" s="788" t="s">
        <v>5052</v>
      </c>
      <c r="R1406" s="788" t="s">
        <v>5052</v>
      </c>
      <c r="S1406" s="788" t="s">
        <v>5053</v>
      </c>
      <c r="T1406" s="152" t="s">
        <v>786</v>
      </c>
    </row>
    <row r="1407" spans="1:20" ht="13">
      <c r="A1407" s="750"/>
      <c r="B1407" s="750"/>
      <c r="C1407" s="751"/>
      <c r="D1407" s="788"/>
      <c r="F1407" s="791"/>
      <c r="G1407" s="788"/>
      <c r="H1407" s="751"/>
      <c r="I1407" s="470"/>
      <c r="J1407" s="789"/>
      <c r="K1407" s="470"/>
      <c r="L1407" s="790"/>
      <c r="M1407" s="751"/>
      <c r="N1407" s="751"/>
      <c r="O1407" s="790"/>
      <c r="P1407" s="788"/>
      <c r="Q1407" s="788"/>
      <c r="R1407" s="788"/>
      <c r="S1407" s="788"/>
    </row>
    <row r="1408" spans="1:20" ht="13">
      <c r="A1408" s="750"/>
      <c r="B1408" s="750" t="s">
        <v>5840</v>
      </c>
      <c r="C1408" s="751" t="s">
        <v>2821</v>
      </c>
      <c r="D1408" s="788"/>
      <c r="F1408" s="791" t="s">
        <v>358</v>
      </c>
      <c r="G1408" s="788" t="s">
        <v>359</v>
      </c>
      <c r="H1408" s="751"/>
      <c r="I1408" s="470">
        <v>1655.55</v>
      </c>
      <c r="J1408" s="789">
        <v>1.17</v>
      </c>
      <c r="K1408" s="470">
        <v>1415</v>
      </c>
      <c r="L1408" s="790" t="s">
        <v>3498</v>
      </c>
      <c r="M1408" s="751" t="s">
        <v>780</v>
      </c>
      <c r="N1408" s="751" t="s">
        <v>781</v>
      </c>
      <c r="O1408" s="790" t="s">
        <v>4743</v>
      </c>
      <c r="P1408" s="788" t="s">
        <v>3489</v>
      </c>
      <c r="Q1408" s="788" t="s">
        <v>4744</v>
      </c>
      <c r="R1408" s="788" t="s">
        <v>4802</v>
      </c>
      <c r="S1408" s="788" t="s">
        <v>4746</v>
      </c>
      <c r="T1408" s="152" t="s">
        <v>786</v>
      </c>
    </row>
    <row r="1409" spans="1:20" ht="13">
      <c r="A1409" s="750"/>
      <c r="B1409" s="750" t="s">
        <v>5840</v>
      </c>
      <c r="C1409" s="751" t="s">
        <v>2821</v>
      </c>
      <c r="D1409" s="788"/>
      <c r="F1409" s="791" t="s">
        <v>358</v>
      </c>
      <c r="G1409" s="788" t="s">
        <v>359</v>
      </c>
      <c r="H1409" s="751"/>
      <c r="I1409" s="470">
        <v>2688.5</v>
      </c>
      <c r="J1409" s="789">
        <v>1.9</v>
      </c>
      <c r="K1409" s="470">
        <v>1415</v>
      </c>
      <c r="L1409" s="790" t="s">
        <v>3632</v>
      </c>
      <c r="M1409" s="751" t="s">
        <v>780</v>
      </c>
      <c r="N1409" s="751" t="s">
        <v>781</v>
      </c>
      <c r="O1409" s="790" t="s">
        <v>4747</v>
      </c>
      <c r="P1409" s="788" t="s">
        <v>3489</v>
      </c>
      <c r="Q1409" s="788" t="s">
        <v>4748</v>
      </c>
      <c r="R1409" s="788" t="s">
        <v>4794</v>
      </c>
      <c r="S1409" s="788" t="s">
        <v>4750</v>
      </c>
      <c r="T1409" s="152" t="s">
        <v>786</v>
      </c>
    </row>
    <row r="1410" spans="1:20" ht="13">
      <c r="A1410" s="750"/>
      <c r="B1410" s="750" t="s">
        <v>5840</v>
      </c>
      <c r="C1410" s="751" t="s">
        <v>2821</v>
      </c>
      <c r="D1410" s="788"/>
      <c r="F1410" s="791" t="s">
        <v>358</v>
      </c>
      <c r="G1410" s="788" t="s">
        <v>359</v>
      </c>
      <c r="H1410" s="751"/>
      <c r="I1410" s="470">
        <v>2688.5</v>
      </c>
      <c r="J1410" s="789">
        <v>1.9</v>
      </c>
      <c r="K1410" s="470">
        <v>1415</v>
      </c>
      <c r="L1410" s="790" t="s">
        <v>3498</v>
      </c>
      <c r="M1410" s="751" t="s">
        <v>780</v>
      </c>
      <c r="N1410" s="751" t="s">
        <v>781</v>
      </c>
      <c r="O1410" s="790" t="s">
        <v>4743</v>
      </c>
      <c r="P1410" s="788" t="s">
        <v>3489</v>
      </c>
      <c r="Q1410" s="788" t="s">
        <v>4744</v>
      </c>
      <c r="R1410" s="788" t="s">
        <v>4798</v>
      </c>
      <c r="S1410" s="788" t="s">
        <v>4746</v>
      </c>
      <c r="T1410" s="152" t="s">
        <v>786</v>
      </c>
    </row>
    <row r="1411" spans="1:20" ht="13">
      <c r="A1411" s="750"/>
      <c r="B1411" s="750" t="s">
        <v>5840</v>
      </c>
      <c r="C1411" s="751" t="s">
        <v>2821</v>
      </c>
      <c r="D1411" s="788"/>
      <c r="F1411" s="791" t="s">
        <v>358</v>
      </c>
      <c r="G1411" s="788" t="s">
        <v>359</v>
      </c>
      <c r="H1411" s="751"/>
      <c r="I1411" s="470">
        <v>2745.1</v>
      </c>
      <c r="J1411" s="789">
        <v>1.94</v>
      </c>
      <c r="K1411" s="470">
        <v>1415</v>
      </c>
      <c r="L1411" s="790" t="s">
        <v>3632</v>
      </c>
      <c r="M1411" s="751" t="s">
        <v>780</v>
      </c>
      <c r="N1411" s="751" t="s">
        <v>781</v>
      </c>
      <c r="O1411" s="790" t="s">
        <v>4735</v>
      </c>
      <c r="P1411" s="788" t="s">
        <v>3489</v>
      </c>
      <c r="Q1411" s="788" t="s">
        <v>4736</v>
      </c>
      <c r="R1411" s="788" t="s">
        <v>4801</v>
      </c>
      <c r="S1411" s="788" t="s">
        <v>4738</v>
      </c>
      <c r="T1411" s="152" t="s">
        <v>786</v>
      </c>
    </row>
    <row r="1412" spans="1:20" ht="13">
      <c r="A1412" s="750"/>
      <c r="B1412" s="750" t="s">
        <v>5840</v>
      </c>
      <c r="C1412" s="751" t="s">
        <v>2821</v>
      </c>
      <c r="D1412" s="788"/>
      <c r="F1412" s="791" t="s">
        <v>358</v>
      </c>
      <c r="G1412" s="788" t="s">
        <v>359</v>
      </c>
      <c r="H1412" s="751"/>
      <c r="I1412" s="470">
        <v>18620</v>
      </c>
      <c r="J1412" s="789">
        <v>13.3</v>
      </c>
      <c r="K1412" s="470">
        <v>1400</v>
      </c>
      <c r="L1412" s="790" t="s">
        <v>3659</v>
      </c>
      <c r="M1412" s="751" t="s">
        <v>780</v>
      </c>
      <c r="N1412" s="751" t="s">
        <v>781</v>
      </c>
      <c r="O1412" s="790" t="s">
        <v>4764</v>
      </c>
      <c r="P1412" s="788" t="s">
        <v>3489</v>
      </c>
      <c r="Q1412" s="788" t="s">
        <v>4765</v>
      </c>
      <c r="R1412" s="788" t="s">
        <v>4797</v>
      </c>
      <c r="S1412" s="788" t="s">
        <v>4766</v>
      </c>
      <c r="T1412" s="152" t="s">
        <v>786</v>
      </c>
    </row>
    <row r="1413" spans="1:20" ht="13">
      <c r="A1413" s="750"/>
      <c r="B1413" s="750" t="s">
        <v>5840</v>
      </c>
      <c r="C1413" s="751" t="s">
        <v>2821</v>
      </c>
      <c r="D1413" s="788"/>
      <c r="F1413" s="791" t="s">
        <v>358</v>
      </c>
      <c r="G1413" s="788" t="s">
        <v>359</v>
      </c>
      <c r="H1413" s="751"/>
      <c r="I1413" s="470">
        <v>29106.55</v>
      </c>
      <c r="J1413" s="789">
        <v>20.57</v>
      </c>
      <c r="K1413" s="470">
        <v>1415</v>
      </c>
      <c r="L1413" s="790" t="s">
        <v>3498</v>
      </c>
      <c r="M1413" s="751" t="s">
        <v>780</v>
      </c>
      <c r="N1413" s="751" t="s">
        <v>781</v>
      </c>
      <c r="O1413" s="790" t="s">
        <v>4743</v>
      </c>
      <c r="P1413" s="788" t="s">
        <v>3489</v>
      </c>
      <c r="Q1413" s="788" t="s">
        <v>4744</v>
      </c>
      <c r="R1413" s="788" t="s">
        <v>4812</v>
      </c>
      <c r="S1413" s="788" t="s">
        <v>4746</v>
      </c>
      <c r="T1413" s="152" t="s">
        <v>786</v>
      </c>
    </row>
    <row r="1414" spans="1:20" ht="13">
      <c r="A1414" s="750"/>
      <c r="B1414" s="750" t="s">
        <v>5840</v>
      </c>
      <c r="C1414" s="751" t="s">
        <v>2821</v>
      </c>
      <c r="D1414" s="788"/>
      <c r="F1414" s="791" t="s">
        <v>358</v>
      </c>
      <c r="G1414" s="788" t="s">
        <v>359</v>
      </c>
      <c r="H1414" s="751"/>
      <c r="I1414" s="470">
        <v>141500</v>
      </c>
      <c r="J1414" s="789">
        <v>100</v>
      </c>
      <c r="K1414" s="470">
        <v>1415</v>
      </c>
      <c r="L1414" s="790" t="s">
        <v>3632</v>
      </c>
      <c r="M1414" s="751" t="s">
        <v>780</v>
      </c>
      <c r="N1414" s="751" t="s">
        <v>781</v>
      </c>
      <c r="O1414" s="790" t="s">
        <v>4747</v>
      </c>
      <c r="P1414" s="788" t="s">
        <v>3489</v>
      </c>
      <c r="Q1414" s="788" t="s">
        <v>4748</v>
      </c>
      <c r="R1414" s="788" t="s">
        <v>4813</v>
      </c>
      <c r="S1414" s="788" t="s">
        <v>4750</v>
      </c>
      <c r="T1414" s="152" t="s">
        <v>786</v>
      </c>
    </row>
    <row r="1415" spans="1:20" ht="13">
      <c r="A1415" s="750"/>
      <c r="B1415" s="750" t="s">
        <v>5840</v>
      </c>
      <c r="C1415" s="751" t="s">
        <v>2821</v>
      </c>
      <c r="D1415" s="788"/>
      <c r="F1415" s="791" t="s">
        <v>358</v>
      </c>
      <c r="G1415" s="788" t="s">
        <v>359</v>
      </c>
      <c r="H1415" s="751"/>
      <c r="I1415" s="470">
        <v>154574.6</v>
      </c>
      <c r="J1415" s="789">
        <v>109.24</v>
      </c>
      <c r="K1415" s="470">
        <v>1415</v>
      </c>
      <c r="L1415" s="790" t="s">
        <v>3632</v>
      </c>
      <c r="M1415" s="751" t="s">
        <v>780</v>
      </c>
      <c r="N1415" s="751" t="s">
        <v>781</v>
      </c>
      <c r="O1415" s="790" t="s">
        <v>4735</v>
      </c>
      <c r="P1415" s="788" t="s">
        <v>3489</v>
      </c>
      <c r="Q1415" s="788" t="s">
        <v>4736</v>
      </c>
      <c r="R1415" s="788" t="s">
        <v>4781</v>
      </c>
      <c r="S1415" s="788" t="s">
        <v>4738</v>
      </c>
      <c r="T1415" s="152" t="s">
        <v>786</v>
      </c>
    </row>
    <row r="1416" spans="1:20" ht="13">
      <c r="A1416" s="750"/>
      <c r="B1416" s="750" t="s">
        <v>5840</v>
      </c>
      <c r="C1416" s="751" t="s">
        <v>2821</v>
      </c>
      <c r="D1416" s="788"/>
      <c r="F1416" s="791" t="s">
        <v>358</v>
      </c>
      <c r="G1416" s="788" t="s">
        <v>359</v>
      </c>
      <c r="H1416" s="751"/>
      <c r="I1416" s="470">
        <v>170800</v>
      </c>
      <c r="J1416" s="789">
        <v>122</v>
      </c>
      <c r="K1416" s="470">
        <v>1400</v>
      </c>
      <c r="L1416" s="790" t="s">
        <v>3659</v>
      </c>
      <c r="M1416" s="751" t="s">
        <v>780</v>
      </c>
      <c r="N1416" s="751" t="s">
        <v>781</v>
      </c>
      <c r="O1416" s="790" t="s">
        <v>4764</v>
      </c>
      <c r="P1416" s="788" t="s">
        <v>3489</v>
      </c>
      <c r="Q1416" s="788" t="s">
        <v>4765</v>
      </c>
      <c r="R1416" s="788" t="s">
        <v>4767</v>
      </c>
      <c r="S1416" s="788" t="s">
        <v>4766</v>
      </c>
      <c r="T1416" s="152" t="s">
        <v>786</v>
      </c>
    </row>
    <row r="1417" spans="1:20" ht="13">
      <c r="A1417" s="750"/>
      <c r="B1417" s="750" t="s">
        <v>5840</v>
      </c>
      <c r="C1417" s="751" t="s">
        <v>2821</v>
      </c>
      <c r="D1417" s="788"/>
      <c r="F1417" s="791" t="s">
        <v>358</v>
      </c>
      <c r="G1417" s="788" t="s">
        <v>359</v>
      </c>
      <c r="H1417" s="751"/>
      <c r="I1417" s="470">
        <v>173252.6</v>
      </c>
      <c r="J1417" s="789">
        <v>122.44</v>
      </c>
      <c r="K1417" s="470">
        <v>1415</v>
      </c>
      <c r="L1417" s="790" t="s">
        <v>3632</v>
      </c>
      <c r="M1417" s="751" t="s">
        <v>780</v>
      </c>
      <c r="N1417" s="751" t="s">
        <v>781</v>
      </c>
      <c r="O1417" s="790" t="s">
        <v>4735</v>
      </c>
      <c r="P1417" s="788" t="s">
        <v>3489</v>
      </c>
      <c r="Q1417" s="788" t="s">
        <v>4736</v>
      </c>
      <c r="R1417" s="788" t="s">
        <v>4737</v>
      </c>
      <c r="S1417" s="788" t="s">
        <v>4738</v>
      </c>
      <c r="T1417" s="152" t="s">
        <v>786</v>
      </c>
    </row>
    <row r="1418" spans="1:20" ht="13">
      <c r="A1418" s="750"/>
      <c r="B1418" s="750" t="s">
        <v>5840</v>
      </c>
      <c r="C1418" s="751" t="s">
        <v>2821</v>
      </c>
      <c r="D1418" s="788"/>
      <c r="F1418" s="791" t="s">
        <v>358</v>
      </c>
      <c r="G1418" s="788" t="s">
        <v>359</v>
      </c>
      <c r="H1418" s="751"/>
      <c r="I1418" s="470">
        <v>229173.4</v>
      </c>
      <c r="J1418" s="789">
        <v>161.96</v>
      </c>
      <c r="K1418" s="470">
        <v>1415</v>
      </c>
      <c r="L1418" s="790" t="s">
        <v>3632</v>
      </c>
      <c r="M1418" s="751" t="s">
        <v>780</v>
      </c>
      <c r="N1418" s="751" t="s">
        <v>781</v>
      </c>
      <c r="O1418" s="790" t="s">
        <v>4735</v>
      </c>
      <c r="P1418" s="788" t="s">
        <v>3489</v>
      </c>
      <c r="Q1418" s="788" t="s">
        <v>4736</v>
      </c>
      <c r="R1418" s="788" t="s">
        <v>4780</v>
      </c>
      <c r="S1418" s="788" t="s">
        <v>4738</v>
      </c>
      <c r="T1418" s="152" t="s">
        <v>786</v>
      </c>
    </row>
    <row r="1419" spans="1:20" ht="13">
      <c r="A1419" s="750"/>
      <c r="B1419" s="750" t="s">
        <v>5840</v>
      </c>
      <c r="C1419" s="751" t="s">
        <v>2821</v>
      </c>
      <c r="D1419" s="788"/>
      <c r="F1419" s="791" t="s">
        <v>358</v>
      </c>
      <c r="G1419" s="788" t="s">
        <v>359</v>
      </c>
      <c r="H1419" s="751"/>
      <c r="I1419" s="470">
        <v>490693.7</v>
      </c>
      <c r="J1419" s="789">
        <v>346.78</v>
      </c>
      <c r="K1419" s="470">
        <v>1415</v>
      </c>
      <c r="L1419" s="790" t="s">
        <v>3632</v>
      </c>
      <c r="M1419" s="751" t="s">
        <v>780</v>
      </c>
      <c r="N1419" s="751" t="s">
        <v>781</v>
      </c>
      <c r="O1419" s="790" t="s">
        <v>4735</v>
      </c>
      <c r="P1419" s="788" t="s">
        <v>3489</v>
      </c>
      <c r="Q1419" s="788" t="s">
        <v>4736</v>
      </c>
      <c r="R1419" s="788" t="s">
        <v>4768</v>
      </c>
      <c r="S1419" s="788" t="s">
        <v>4738</v>
      </c>
      <c r="T1419" s="152" t="s">
        <v>786</v>
      </c>
    </row>
    <row r="1420" spans="1:20" ht="13">
      <c r="A1420" s="750"/>
      <c r="B1420" s="750" t="s">
        <v>5840</v>
      </c>
      <c r="C1420" s="751" t="s">
        <v>2821</v>
      </c>
      <c r="D1420" s="788"/>
      <c r="F1420" s="791" t="s">
        <v>358</v>
      </c>
      <c r="G1420" s="788" t="s">
        <v>359</v>
      </c>
      <c r="H1420" s="751"/>
      <c r="I1420" s="470">
        <v>806550</v>
      </c>
      <c r="J1420" s="789">
        <v>570</v>
      </c>
      <c r="K1420" s="470">
        <v>1415</v>
      </c>
      <c r="L1420" s="790" t="s">
        <v>3632</v>
      </c>
      <c r="M1420" s="751" t="s">
        <v>780</v>
      </c>
      <c r="N1420" s="751" t="s">
        <v>781</v>
      </c>
      <c r="O1420" s="790" t="s">
        <v>4747</v>
      </c>
      <c r="P1420" s="788" t="s">
        <v>3489</v>
      </c>
      <c r="Q1420" s="788" t="s">
        <v>4748</v>
      </c>
      <c r="R1420" s="788" t="s">
        <v>4831</v>
      </c>
      <c r="S1420" s="788" t="s">
        <v>4750</v>
      </c>
      <c r="T1420" s="152" t="s">
        <v>786</v>
      </c>
    </row>
    <row r="1421" spans="1:20" ht="13">
      <c r="A1421" s="750"/>
      <c r="B1421" s="750" t="s">
        <v>5840</v>
      </c>
      <c r="C1421" s="751" t="s">
        <v>2821</v>
      </c>
      <c r="D1421" s="788"/>
      <c r="F1421" s="791" t="s">
        <v>358</v>
      </c>
      <c r="G1421" s="788" t="s">
        <v>359</v>
      </c>
      <c r="H1421" s="751"/>
      <c r="I1421" s="470">
        <v>3419814.45</v>
      </c>
      <c r="J1421" s="789">
        <v>2416.83</v>
      </c>
      <c r="K1421" s="470">
        <v>1415</v>
      </c>
      <c r="L1421" s="790" t="s">
        <v>3632</v>
      </c>
      <c r="M1421" s="751" t="s">
        <v>780</v>
      </c>
      <c r="N1421" s="751" t="s">
        <v>781</v>
      </c>
      <c r="O1421" s="790" t="s">
        <v>4735</v>
      </c>
      <c r="P1421" s="788" t="s">
        <v>3489</v>
      </c>
      <c r="Q1421" s="788" t="s">
        <v>4736</v>
      </c>
      <c r="R1421" s="788" t="s">
        <v>4769</v>
      </c>
      <c r="S1421" s="788" t="s">
        <v>4738</v>
      </c>
      <c r="T1421" s="152" t="s">
        <v>786</v>
      </c>
    </row>
    <row r="1422" spans="1:20" ht="13">
      <c r="A1422" s="750"/>
      <c r="B1422" s="750" t="s">
        <v>5840</v>
      </c>
      <c r="C1422" s="751" t="s">
        <v>2821</v>
      </c>
      <c r="D1422" s="788"/>
      <c r="F1422" s="791" t="s">
        <v>358</v>
      </c>
      <c r="G1422" s="788" t="s">
        <v>359</v>
      </c>
      <c r="H1422" s="751"/>
      <c r="I1422" s="470">
        <v>4941180</v>
      </c>
      <c r="J1422" s="789">
        <v>3492</v>
      </c>
      <c r="K1422" s="470">
        <v>1415</v>
      </c>
      <c r="L1422" s="790" t="s">
        <v>3632</v>
      </c>
      <c r="M1422" s="751" t="s">
        <v>780</v>
      </c>
      <c r="N1422" s="751" t="s">
        <v>781</v>
      </c>
      <c r="O1422" s="790" t="s">
        <v>4747</v>
      </c>
      <c r="P1422" s="788" t="s">
        <v>3489</v>
      </c>
      <c r="Q1422" s="788" t="s">
        <v>4748</v>
      </c>
      <c r="R1422" s="788" t="s">
        <v>4749</v>
      </c>
      <c r="S1422" s="788" t="s">
        <v>4750</v>
      </c>
      <c r="T1422" s="152" t="s">
        <v>786</v>
      </c>
    </row>
    <row r="1423" spans="1:20" ht="13">
      <c r="A1423" s="750"/>
      <c r="B1423" s="750" t="s">
        <v>5840</v>
      </c>
      <c r="C1423" s="751" t="s">
        <v>2821</v>
      </c>
      <c r="D1423" s="788"/>
      <c r="F1423" s="791" t="s">
        <v>358</v>
      </c>
      <c r="G1423" s="788" t="s">
        <v>359</v>
      </c>
      <c r="H1423" s="751"/>
      <c r="I1423" s="470">
        <v>5189201.2</v>
      </c>
      <c r="J1423" s="789">
        <v>3667.28</v>
      </c>
      <c r="K1423" s="470">
        <v>1415</v>
      </c>
      <c r="L1423" s="790" t="s">
        <v>3632</v>
      </c>
      <c r="M1423" s="751" t="s">
        <v>780</v>
      </c>
      <c r="N1423" s="751" t="s">
        <v>781</v>
      </c>
      <c r="O1423" s="790" t="s">
        <v>4735</v>
      </c>
      <c r="P1423" s="788" t="s">
        <v>3489</v>
      </c>
      <c r="Q1423" s="788" t="s">
        <v>4736</v>
      </c>
      <c r="R1423" s="788" t="s">
        <v>4809</v>
      </c>
      <c r="S1423" s="788" t="s">
        <v>4738</v>
      </c>
      <c r="T1423" s="152" t="s">
        <v>786</v>
      </c>
    </row>
    <row r="1424" spans="1:20" ht="13">
      <c r="A1424" s="750"/>
      <c r="B1424" s="750" t="s">
        <v>5840</v>
      </c>
      <c r="C1424" s="751" t="s">
        <v>2821</v>
      </c>
      <c r="D1424" s="788"/>
      <c r="F1424" s="791" t="s">
        <v>358</v>
      </c>
      <c r="G1424" s="788" t="s">
        <v>359</v>
      </c>
      <c r="H1424" s="751"/>
      <c r="I1424" s="470">
        <v>6006232.5</v>
      </c>
      <c r="J1424" s="789">
        <v>4214.8999999999996</v>
      </c>
      <c r="K1424" s="470">
        <v>1425</v>
      </c>
      <c r="L1424" s="790" t="s">
        <v>3504</v>
      </c>
      <c r="M1424" s="751" t="s">
        <v>780</v>
      </c>
      <c r="N1424" s="751" t="s">
        <v>781</v>
      </c>
      <c r="O1424" s="790" t="s">
        <v>4739</v>
      </c>
      <c r="P1424" s="788" t="s">
        <v>3489</v>
      </c>
      <c r="Q1424" s="788" t="s">
        <v>4740</v>
      </c>
      <c r="R1424" s="788" t="s">
        <v>4741</v>
      </c>
      <c r="S1424" s="788" t="s">
        <v>4742</v>
      </c>
      <c r="T1424" s="152" t="s">
        <v>786</v>
      </c>
    </row>
    <row r="1425" spans="1:20" ht="13">
      <c r="A1425" s="750"/>
      <c r="B1425" s="750" t="s">
        <v>5840</v>
      </c>
      <c r="C1425" s="751" t="s">
        <v>2821</v>
      </c>
      <c r="D1425" s="788"/>
      <c r="F1425" s="791" t="s">
        <v>358</v>
      </c>
      <c r="G1425" s="788" t="s">
        <v>359</v>
      </c>
      <c r="H1425" s="751"/>
      <c r="I1425" s="470">
        <v>7140000</v>
      </c>
      <c r="J1425" s="789">
        <v>5100</v>
      </c>
      <c r="K1425" s="470">
        <v>1400</v>
      </c>
      <c r="L1425" s="790" t="s">
        <v>3659</v>
      </c>
      <c r="M1425" s="751" t="s">
        <v>780</v>
      </c>
      <c r="N1425" s="751" t="s">
        <v>781</v>
      </c>
      <c r="O1425" s="790" t="s">
        <v>4764</v>
      </c>
      <c r="P1425" s="788" t="s">
        <v>3489</v>
      </c>
      <c r="Q1425" s="788" t="s">
        <v>4765</v>
      </c>
      <c r="R1425" s="788" t="s">
        <v>4814</v>
      </c>
      <c r="S1425" s="788" t="s">
        <v>4766</v>
      </c>
      <c r="T1425" s="152" t="s">
        <v>786</v>
      </c>
    </row>
    <row r="1426" spans="1:20">
      <c r="H1426" s="793"/>
    </row>
    <row r="1427" spans="1:20" ht="39">
      <c r="A1427" s="750" t="s">
        <v>5839</v>
      </c>
      <c r="B1427" s="750"/>
      <c r="C1427" s="751"/>
      <c r="D1427" s="788" t="s">
        <v>5763</v>
      </c>
      <c r="F1427" s="791">
        <v>8101</v>
      </c>
      <c r="G1427" s="788" t="s">
        <v>5764</v>
      </c>
      <c r="H1427" s="751"/>
      <c r="I1427" s="470"/>
      <c r="J1427" s="789">
        <v>35.4</v>
      </c>
      <c r="K1427" s="470"/>
      <c r="L1427" s="790">
        <v>46112</v>
      </c>
      <c r="M1427" s="751"/>
      <c r="N1427" s="751"/>
      <c r="O1427" s="790"/>
      <c r="P1427" s="788" t="s">
        <v>5830</v>
      </c>
      <c r="Q1427" s="788" t="s">
        <v>5830</v>
      </c>
      <c r="R1427" s="788" t="s">
        <v>5830</v>
      </c>
      <c r="S1427" s="788"/>
      <c r="T1427" s="788"/>
    </row>
    <row r="1428" spans="1:20" ht="39">
      <c r="A1428" s="750" t="s">
        <v>5839</v>
      </c>
      <c r="B1428" s="750"/>
      <c r="C1428" s="751"/>
      <c r="D1428" s="788" t="s">
        <v>5763</v>
      </c>
      <c r="F1428" s="791">
        <v>5313</v>
      </c>
      <c r="G1428" s="788" t="s">
        <v>5765</v>
      </c>
      <c r="H1428" s="751"/>
      <c r="I1428" s="470"/>
      <c r="J1428" s="789">
        <v>20</v>
      </c>
      <c r="K1428" s="470"/>
      <c r="L1428" s="790">
        <v>46112</v>
      </c>
      <c r="M1428" s="751"/>
      <c r="N1428" s="751"/>
      <c r="O1428" s="790"/>
      <c r="P1428" s="788" t="s">
        <v>5771</v>
      </c>
      <c r="Q1428" s="788" t="s">
        <v>5771</v>
      </c>
      <c r="R1428" s="788" t="s">
        <v>5771</v>
      </c>
      <c r="S1428" s="788"/>
      <c r="T1428" s="788"/>
    </row>
    <row r="1429" spans="1:20" ht="39">
      <c r="A1429" s="750" t="s">
        <v>5839</v>
      </c>
      <c r="B1429" s="750"/>
      <c r="C1429" s="751"/>
      <c r="D1429" s="788" t="s">
        <v>2771</v>
      </c>
      <c r="F1429" s="791">
        <v>8101</v>
      </c>
      <c r="G1429" s="788" t="s">
        <v>5764</v>
      </c>
      <c r="H1429" s="751"/>
      <c r="I1429" s="470"/>
      <c r="J1429" s="789">
        <v>44.94</v>
      </c>
      <c r="K1429" s="470"/>
      <c r="L1429" s="790">
        <v>46112</v>
      </c>
      <c r="M1429" s="751"/>
      <c r="N1429" s="751"/>
      <c r="O1429" s="790"/>
      <c r="P1429" s="788" t="s">
        <v>5768</v>
      </c>
      <c r="Q1429" s="788" t="s">
        <v>5768</v>
      </c>
      <c r="R1429" s="788" t="s">
        <v>5768</v>
      </c>
      <c r="S1429" s="788"/>
      <c r="T1429" s="788"/>
    </row>
    <row r="1430" spans="1:20" ht="39">
      <c r="A1430" s="750" t="s">
        <v>5839</v>
      </c>
      <c r="B1430" s="750"/>
      <c r="C1430" s="751"/>
      <c r="D1430" s="788" t="s">
        <v>5763</v>
      </c>
      <c r="F1430" s="791">
        <v>8101</v>
      </c>
      <c r="G1430" s="788" t="s">
        <v>5764</v>
      </c>
      <c r="H1430" s="751"/>
      <c r="I1430" s="470"/>
      <c r="J1430" s="789">
        <v>13.3</v>
      </c>
      <c r="K1430" s="470"/>
      <c r="L1430" s="790">
        <v>46112</v>
      </c>
      <c r="M1430" s="751"/>
      <c r="N1430" s="751"/>
      <c r="O1430" s="790"/>
      <c r="P1430" s="788" t="s">
        <v>2797</v>
      </c>
      <c r="Q1430" s="788" t="s">
        <v>2797</v>
      </c>
      <c r="R1430" s="788" t="s">
        <v>2797</v>
      </c>
      <c r="S1430" s="788"/>
      <c r="T1430" s="788"/>
    </row>
    <row r="1431" spans="1:20" ht="39">
      <c r="A1431" s="750" t="s">
        <v>5839</v>
      </c>
      <c r="B1431" s="750"/>
      <c r="C1431" s="751"/>
      <c r="D1431" s="788" t="s">
        <v>5763</v>
      </c>
      <c r="F1431" s="791">
        <v>8101</v>
      </c>
      <c r="G1431" s="788" t="s">
        <v>5764</v>
      </c>
      <c r="H1431" s="751"/>
      <c r="I1431" s="470"/>
      <c r="J1431" s="789">
        <v>1.9</v>
      </c>
      <c r="K1431" s="470"/>
      <c r="L1431" s="790">
        <v>46112</v>
      </c>
      <c r="M1431" s="751"/>
      <c r="N1431" s="751"/>
      <c r="O1431" s="790"/>
      <c r="P1431" s="788" t="s">
        <v>5774</v>
      </c>
      <c r="Q1431" s="788" t="s">
        <v>5774</v>
      </c>
      <c r="R1431" s="788" t="s">
        <v>5774</v>
      </c>
      <c r="S1431" s="788"/>
      <c r="T1431" s="788"/>
    </row>
    <row r="1432" spans="1:20" ht="39">
      <c r="A1432" s="750" t="s">
        <v>5839</v>
      </c>
      <c r="B1432" s="750"/>
      <c r="C1432" s="751"/>
      <c r="D1432" s="788" t="s">
        <v>5763</v>
      </c>
      <c r="F1432" s="791">
        <v>8101</v>
      </c>
      <c r="G1432" s="788" t="s">
        <v>5764</v>
      </c>
      <c r="H1432" s="751"/>
      <c r="I1432" s="470"/>
      <c r="J1432" s="789">
        <v>1.9289999999999998</v>
      </c>
      <c r="K1432" s="470"/>
      <c r="L1432" s="790">
        <v>46112</v>
      </c>
      <c r="M1432" s="751"/>
      <c r="N1432" s="751"/>
      <c r="O1432" s="790"/>
      <c r="P1432" s="788" t="s">
        <v>2797</v>
      </c>
      <c r="Q1432" s="788" t="s">
        <v>2797</v>
      </c>
      <c r="R1432" s="788" t="s">
        <v>2797</v>
      </c>
      <c r="S1432" s="788"/>
      <c r="T1432" s="788"/>
    </row>
    <row r="1433" spans="1:20" ht="39">
      <c r="A1433" s="750" t="s">
        <v>5839</v>
      </c>
      <c r="B1433" s="750"/>
      <c r="C1433" s="751"/>
      <c r="D1433" s="788" t="s">
        <v>5763</v>
      </c>
      <c r="F1433" s="791">
        <v>110305</v>
      </c>
      <c r="G1433" s="788" t="s">
        <v>5766</v>
      </c>
      <c r="H1433" s="751"/>
      <c r="I1433" s="470"/>
      <c r="J1433" s="789">
        <v>1.9155000000000002</v>
      </c>
      <c r="K1433" s="470"/>
      <c r="L1433" s="790">
        <v>46112</v>
      </c>
      <c r="M1433" s="751"/>
      <c r="N1433" s="751"/>
      <c r="O1433" s="790"/>
      <c r="P1433" s="788" t="s">
        <v>2797</v>
      </c>
      <c r="Q1433" s="788" t="s">
        <v>2797</v>
      </c>
      <c r="R1433" s="788" t="s">
        <v>2797</v>
      </c>
      <c r="S1433" s="788"/>
      <c r="T1433" s="788"/>
    </row>
    <row r="1434" spans="1:20" ht="39">
      <c r="A1434" s="750" t="s">
        <v>5839</v>
      </c>
      <c r="B1434" s="750"/>
      <c r="C1434" s="751"/>
      <c r="D1434" s="788" t="s">
        <v>5763</v>
      </c>
      <c r="F1434" s="791">
        <v>110305</v>
      </c>
      <c r="G1434" s="788" t="s">
        <v>5766</v>
      </c>
      <c r="H1434" s="751"/>
      <c r="I1434" s="470"/>
      <c r="J1434" s="789">
        <v>720</v>
      </c>
      <c r="K1434" s="470"/>
      <c r="L1434" s="790">
        <v>46112</v>
      </c>
      <c r="M1434" s="751"/>
      <c r="N1434" s="751"/>
      <c r="O1434" s="790"/>
      <c r="P1434" s="788" t="s">
        <v>5832</v>
      </c>
      <c r="Q1434" s="788" t="s">
        <v>5832</v>
      </c>
      <c r="R1434" s="788" t="s">
        <v>5832</v>
      </c>
      <c r="S1434" s="788"/>
      <c r="T1434" s="788"/>
    </row>
    <row r="1435" spans="1:20" ht="39">
      <c r="A1435" s="750" t="s">
        <v>5839</v>
      </c>
      <c r="B1435" s="750"/>
      <c r="C1435" s="751"/>
      <c r="D1435" s="752"/>
      <c r="E1435" s="750"/>
      <c r="F1435" s="751"/>
      <c r="G1435" s="751"/>
      <c r="H1435" s="751"/>
      <c r="I1435" s="470"/>
      <c r="J1435" s="470">
        <v>-66881</v>
      </c>
      <c r="K1435" s="470"/>
      <c r="L1435" s="790">
        <v>46112</v>
      </c>
      <c r="M1435" s="751"/>
      <c r="N1435" s="751"/>
      <c r="O1435" s="751"/>
      <c r="P1435" s="751"/>
      <c r="Q1435" s="751"/>
      <c r="R1435" s="751"/>
      <c r="S1435" s="751"/>
      <c r="T1435" s="751"/>
    </row>
    <row r="1436" spans="1:20" ht="13">
      <c r="A1436" s="750"/>
      <c r="B1436" s="750"/>
      <c r="C1436" s="751"/>
      <c r="D1436" s="752"/>
      <c r="E1436" s="750"/>
      <c r="F1436" s="751"/>
      <c r="G1436" s="751"/>
      <c r="H1436" s="751"/>
      <c r="I1436" s="470"/>
      <c r="J1436" s="470"/>
      <c r="K1436" s="470"/>
      <c r="L1436" s="790"/>
      <c r="M1436" s="751"/>
      <c r="N1436" s="751"/>
      <c r="O1436" s="751"/>
      <c r="P1436" s="751"/>
      <c r="Q1436" s="751"/>
      <c r="R1436" s="751"/>
      <c r="S1436" s="751"/>
      <c r="T1436" s="751"/>
    </row>
    <row r="1437" spans="1:20" ht="25">
      <c r="A1437" s="509" t="s">
        <v>3388</v>
      </c>
      <c r="B1437" s="315"/>
      <c r="C1437" s="330"/>
      <c r="D1437" s="203"/>
      <c r="E1437" s="315"/>
      <c r="F1437" s="330"/>
      <c r="G1437" s="330"/>
      <c r="H1437" s="330"/>
      <c r="I1437" s="314"/>
      <c r="J1437" s="314">
        <v>19588.6883116883</v>
      </c>
    </row>
    <row r="1439" spans="1:20">
      <c r="C1439" s="152" t="s">
        <v>2821</v>
      </c>
      <c r="F1439" s="152" t="s">
        <v>370</v>
      </c>
      <c r="G1439" s="152" t="s">
        <v>320</v>
      </c>
      <c r="I1439" s="513">
        <v>600000</v>
      </c>
      <c r="J1439" s="513">
        <v>416.66666666666703</v>
      </c>
      <c r="K1439" s="513">
        <v>1440</v>
      </c>
      <c r="L1439" s="518" t="s">
        <v>4128</v>
      </c>
      <c r="M1439" s="152" t="s">
        <v>780</v>
      </c>
      <c r="N1439" s="152" t="s">
        <v>2705</v>
      </c>
      <c r="O1439" s="152" t="s">
        <v>4973</v>
      </c>
      <c r="P1439" s="152" t="s">
        <v>892</v>
      </c>
      <c r="Q1439" s="152" t="s">
        <v>4974</v>
      </c>
      <c r="R1439" s="152" t="s">
        <v>4974</v>
      </c>
      <c r="S1439" s="152" t="s">
        <v>4975</v>
      </c>
      <c r="T1439" s="152" t="s">
        <v>786</v>
      </c>
    </row>
    <row r="1440" spans="1:20">
      <c r="C1440" s="152" t="s">
        <v>2821</v>
      </c>
      <c r="F1440" s="152" t="s">
        <v>370</v>
      </c>
      <c r="G1440" s="152" t="s">
        <v>320</v>
      </c>
      <c r="I1440" s="513">
        <v>1300000</v>
      </c>
      <c r="J1440" s="513">
        <v>921.98581560283696</v>
      </c>
      <c r="K1440" s="513">
        <v>1410</v>
      </c>
      <c r="L1440" s="518" t="s">
        <v>4133</v>
      </c>
      <c r="M1440" s="152" t="s">
        <v>780</v>
      </c>
      <c r="N1440" s="152" t="s">
        <v>2705</v>
      </c>
      <c r="O1440" s="152" t="s">
        <v>5087</v>
      </c>
      <c r="P1440" s="152" t="s">
        <v>3489</v>
      </c>
      <c r="Q1440" s="152" t="s">
        <v>5088</v>
      </c>
      <c r="R1440" s="152" t="s">
        <v>5088</v>
      </c>
      <c r="S1440" s="152" t="s">
        <v>5089</v>
      </c>
      <c r="T1440" s="152" t="s">
        <v>786</v>
      </c>
    </row>
    <row r="1441" spans="3:20">
      <c r="C1441" s="152" t="s">
        <v>2821</v>
      </c>
      <c r="F1441" s="152" t="s">
        <v>370</v>
      </c>
      <c r="G1441" s="152" t="s">
        <v>320</v>
      </c>
      <c r="I1441" s="513">
        <v>400000</v>
      </c>
      <c r="J1441" s="513">
        <v>285.71428571428601</v>
      </c>
      <c r="K1441" s="513">
        <v>1400</v>
      </c>
      <c r="L1441" s="518" t="s">
        <v>3567</v>
      </c>
      <c r="M1441" s="152" t="s">
        <v>780</v>
      </c>
      <c r="N1441" s="152" t="s">
        <v>2705</v>
      </c>
      <c r="O1441" s="152" t="s">
        <v>5090</v>
      </c>
      <c r="P1441" s="152" t="s">
        <v>3489</v>
      </c>
      <c r="Q1441" s="152" t="s">
        <v>5091</v>
      </c>
      <c r="R1441" s="152" t="s">
        <v>5091</v>
      </c>
      <c r="S1441" s="152" t="s">
        <v>5092</v>
      </c>
      <c r="T1441" s="152" t="s">
        <v>786</v>
      </c>
    </row>
    <row r="1442" spans="3:20">
      <c r="C1442" s="152" t="s">
        <v>2821</v>
      </c>
      <c r="F1442" s="152" t="s">
        <v>370</v>
      </c>
      <c r="G1442" s="152" t="s">
        <v>320</v>
      </c>
      <c r="I1442" s="513">
        <v>-155238.1</v>
      </c>
      <c r="J1442" s="513">
        <v>-110.48975088968</v>
      </c>
      <c r="K1442" s="513">
        <v>1405</v>
      </c>
      <c r="L1442" s="518" t="s">
        <v>3493</v>
      </c>
      <c r="M1442" s="152" t="s">
        <v>780</v>
      </c>
      <c r="N1442" s="152" t="s">
        <v>781</v>
      </c>
      <c r="O1442" s="152" t="s">
        <v>4197</v>
      </c>
      <c r="P1442" s="152" t="s">
        <v>3489</v>
      </c>
      <c r="Q1442" s="152" t="s">
        <v>4198</v>
      </c>
      <c r="R1442" s="152" t="s">
        <v>4887</v>
      </c>
      <c r="S1442" s="152" t="s">
        <v>4200</v>
      </c>
      <c r="T1442" s="152" t="s">
        <v>786</v>
      </c>
    </row>
    <row r="1443" spans="3:20">
      <c r="C1443" s="152" t="s">
        <v>2821</v>
      </c>
      <c r="F1443" s="152" t="s">
        <v>370</v>
      </c>
      <c r="G1443" s="152" t="s">
        <v>320</v>
      </c>
      <c r="I1443" s="513">
        <v>-44333.33</v>
      </c>
      <c r="J1443" s="513">
        <v>-31.5539715302491</v>
      </c>
      <c r="K1443" s="513">
        <v>1405</v>
      </c>
      <c r="L1443" s="518" t="s">
        <v>3493</v>
      </c>
      <c r="M1443" s="152" t="s">
        <v>780</v>
      </c>
      <c r="N1443" s="152" t="s">
        <v>781</v>
      </c>
      <c r="O1443" s="152" t="s">
        <v>4197</v>
      </c>
      <c r="P1443" s="152" t="s">
        <v>3489</v>
      </c>
      <c r="Q1443" s="152" t="s">
        <v>4198</v>
      </c>
      <c r="R1443" s="152" t="s">
        <v>4893</v>
      </c>
      <c r="S1443" s="152" t="s">
        <v>4200</v>
      </c>
      <c r="T1443" s="152" t="s">
        <v>786</v>
      </c>
    </row>
    <row r="1444" spans="3:20">
      <c r="C1444" s="152" t="s">
        <v>2821</v>
      </c>
      <c r="F1444" s="152" t="s">
        <v>370</v>
      </c>
      <c r="G1444" s="152" t="s">
        <v>320</v>
      </c>
      <c r="I1444" s="513">
        <v>-33142.86</v>
      </c>
      <c r="J1444" s="513">
        <v>-23.589224199288299</v>
      </c>
      <c r="K1444" s="513">
        <v>1405</v>
      </c>
      <c r="L1444" s="518" t="s">
        <v>3493</v>
      </c>
      <c r="M1444" s="152" t="s">
        <v>780</v>
      </c>
      <c r="N1444" s="152" t="s">
        <v>781</v>
      </c>
      <c r="O1444" s="152" t="s">
        <v>4197</v>
      </c>
      <c r="P1444" s="152" t="s">
        <v>3489</v>
      </c>
      <c r="Q1444" s="152" t="s">
        <v>4198</v>
      </c>
      <c r="R1444" s="152" t="s">
        <v>4894</v>
      </c>
      <c r="S1444" s="152" t="s">
        <v>4200</v>
      </c>
      <c r="T1444" s="152" t="s">
        <v>786</v>
      </c>
    </row>
    <row r="1445" spans="3:20">
      <c r="C1445" s="152" t="s">
        <v>2821</v>
      </c>
      <c r="F1445" s="152" t="s">
        <v>370</v>
      </c>
      <c r="G1445" s="152" t="s">
        <v>320</v>
      </c>
      <c r="I1445" s="513">
        <v>-41571.43</v>
      </c>
      <c r="J1445" s="513">
        <v>-29.588206405693899</v>
      </c>
      <c r="K1445" s="513">
        <v>1405</v>
      </c>
      <c r="L1445" s="518" t="s">
        <v>3493</v>
      </c>
      <c r="M1445" s="152" t="s">
        <v>780</v>
      </c>
      <c r="N1445" s="152" t="s">
        <v>781</v>
      </c>
      <c r="O1445" s="152" t="s">
        <v>4197</v>
      </c>
      <c r="P1445" s="152" t="s">
        <v>3489</v>
      </c>
      <c r="Q1445" s="152" t="s">
        <v>4198</v>
      </c>
      <c r="R1445" s="152" t="s">
        <v>4895</v>
      </c>
      <c r="S1445" s="152" t="s">
        <v>4200</v>
      </c>
      <c r="T1445" s="152" t="s">
        <v>786</v>
      </c>
    </row>
    <row r="1446" spans="3:20">
      <c r="C1446" s="152" t="s">
        <v>2821</v>
      </c>
      <c r="F1446" s="152" t="s">
        <v>370</v>
      </c>
      <c r="G1446" s="152" t="s">
        <v>320</v>
      </c>
      <c r="I1446" s="513">
        <v>-453227.14</v>
      </c>
      <c r="J1446" s="513">
        <v>-322.58159430605002</v>
      </c>
      <c r="K1446" s="513">
        <v>1405</v>
      </c>
      <c r="L1446" s="518" t="s">
        <v>3493</v>
      </c>
      <c r="M1446" s="152" t="s">
        <v>780</v>
      </c>
      <c r="N1446" s="152" t="s">
        <v>781</v>
      </c>
      <c r="O1446" s="152" t="s">
        <v>4197</v>
      </c>
      <c r="P1446" s="152" t="s">
        <v>3489</v>
      </c>
      <c r="Q1446" s="152" t="s">
        <v>4198</v>
      </c>
      <c r="R1446" s="152" t="s">
        <v>4896</v>
      </c>
      <c r="S1446" s="152" t="s">
        <v>4200</v>
      </c>
      <c r="T1446" s="152" t="s">
        <v>786</v>
      </c>
    </row>
    <row r="1447" spans="3:20">
      <c r="C1447" s="152" t="s">
        <v>2821</v>
      </c>
      <c r="F1447" s="152" t="s">
        <v>370</v>
      </c>
      <c r="G1447" s="152" t="s">
        <v>320</v>
      </c>
      <c r="I1447" s="513">
        <v>-155238.1</v>
      </c>
      <c r="J1447" s="513">
        <v>-110.48975088968</v>
      </c>
      <c r="K1447" s="513">
        <v>1405</v>
      </c>
      <c r="L1447" s="518" t="s">
        <v>3493</v>
      </c>
      <c r="M1447" s="152" t="s">
        <v>780</v>
      </c>
      <c r="N1447" s="152" t="s">
        <v>1272</v>
      </c>
      <c r="O1447" s="152" t="s">
        <v>4197</v>
      </c>
      <c r="P1447" s="152" t="s">
        <v>3489</v>
      </c>
      <c r="Q1447" s="152" t="s">
        <v>4198</v>
      </c>
      <c r="R1447" s="152" t="s">
        <v>4923</v>
      </c>
      <c r="S1447" s="152" t="s">
        <v>4200</v>
      </c>
      <c r="T1447" s="152" t="s">
        <v>786</v>
      </c>
    </row>
    <row r="1448" spans="3:20">
      <c r="C1448" s="152" t="s">
        <v>2821</v>
      </c>
      <c r="F1448" s="152" t="s">
        <v>370</v>
      </c>
      <c r="G1448" s="152" t="s">
        <v>320</v>
      </c>
      <c r="I1448" s="513">
        <v>-177030</v>
      </c>
      <c r="J1448" s="513">
        <v>-126</v>
      </c>
      <c r="K1448" s="513">
        <v>1405</v>
      </c>
      <c r="L1448" s="518" t="s">
        <v>3493</v>
      </c>
      <c r="M1448" s="152" t="s">
        <v>780</v>
      </c>
      <c r="N1448" s="152" t="s">
        <v>1272</v>
      </c>
      <c r="O1448" s="152" t="s">
        <v>4197</v>
      </c>
      <c r="P1448" s="152" t="s">
        <v>3489</v>
      </c>
      <c r="Q1448" s="152" t="s">
        <v>4198</v>
      </c>
      <c r="R1448" s="152" t="s">
        <v>4933</v>
      </c>
      <c r="S1448" s="152" t="s">
        <v>4200</v>
      </c>
      <c r="T1448" s="152" t="s">
        <v>786</v>
      </c>
    </row>
    <row r="1449" spans="3:20">
      <c r="C1449" s="152" t="s">
        <v>2821</v>
      </c>
      <c r="F1449" s="152" t="s">
        <v>370</v>
      </c>
      <c r="G1449" s="152" t="s">
        <v>320</v>
      </c>
      <c r="I1449" s="513">
        <v>-44333.33</v>
      </c>
      <c r="J1449" s="513">
        <v>-31.5539715302491</v>
      </c>
      <c r="K1449" s="513">
        <v>1405</v>
      </c>
      <c r="L1449" s="518" t="s">
        <v>3493</v>
      </c>
      <c r="M1449" s="152" t="s">
        <v>780</v>
      </c>
      <c r="N1449" s="152" t="s">
        <v>1272</v>
      </c>
      <c r="O1449" s="152" t="s">
        <v>4197</v>
      </c>
      <c r="P1449" s="152" t="s">
        <v>3489</v>
      </c>
      <c r="Q1449" s="152" t="s">
        <v>4198</v>
      </c>
      <c r="R1449" s="152" t="s">
        <v>4943</v>
      </c>
      <c r="S1449" s="152" t="s">
        <v>4200</v>
      </c>
      <c r="T1449" s="152" t="s">
        <v>786</v>
      </c>
    </row>
    <row r="1450" spans="3:20">
      <c r="C1450" s="152" t="s">
        <v>2821</v>
      </c>
      <c r="F1450" s="152" t="s">
        <v>370</v>
      </c>
      <c r="G1450" s="152" t="s">
        <v>320</v>
      </c>
      <c r="I1450" s="513">
        <v>-33142.86</v>
      </c>
      <c r="J1450" s="513">
        <v>-23.589224199288299</v>
      </c>
      <c r="K1450" s="513">
        <v>1405</v>
      </c>
      <c r="L1450" s="518" t="s">
        <v>3493</v>
      </c>
      <c r="M1450" s="152" t="s">
        <v>780</v>
      </c>
      <c r="N1450" s="152" t="s">
        <v>1272</v>
      </c>
      <c r="O1450" s="152" t="s">
        <v>4197</v>
      </c>
      <c r="P1450" s="152" t="s">
        <v>3489</v>
      </c>
      <c r="Q1450" s="152" t="s">
        <v>4198</v>
      </c>
      <c r="R1450" s="152" t="s">
        <v>4944</v>
      </c>
      <c r="S1450" s="152" t="s">
        <v>4200</v>
      </c>
      <c r="T1450" s="152" t="s">
        <v>786</v>
      </c>
    </row>
    <row r="1451" spans="3:20">
      <c r="C1451" s="152" t="s">
        <v>2821</v>
      </c>
      <c r="F1451" s="152" t="s">
        <v>370</v>
      </c>
      <c r="G1451" s="152" t="s">
        <v>320</v>
      </c>
      <c r="I1451" s="513">
        <v>-41571.43</v>
      </c>
      <c r="J1451" s="513">
        <v>-29.588206405693899</v>
      </c>
      <c r="K1451" s="513">
        <v>1405</v>
      </c>
      <c r="L1451" s="518" t="s">
        <v>3493</v>
      </c>
      <c r="M1451" s="152" t="s">
        <v>780</v>
      </c>
      <c r="N1451" s="152" t="s">
        <v>1272</v>
      </c>
      <c r="O1451" s="152" t="s">
        <v>4197</v>
      </c>
      <c r="P1451" s="152" t="s">
        <v>3489</v>
      </c>
      <c r="Q1451" s="152" t="s">
        <v>4198</v>
      </c>
      <c r="R1451" s="152" t="s">
        <v>4945</v>
      </c>
      <c r="S1451" s="152" t="s">
        <v>4200</v>
      </c>
      <c r="T1451" s="152" t="s">
        <v>786</v>
      </c>
    </row>
    <row r="1452" spans="3:20">
      <c r="C1452" s="152" t="s">
        <v>2821</v>
      </c>
      <c r="F1452" s="152" t="s">
        <v>370</v>
      </c>
      <c r="G1452" s="152" t="s">
        <v>320</v>
      </c>
      <c r="I1452" s="513">
        <v>-453227.14</v>
      </c>
      <c r="J1452" s="513">
        <v>-322.58159430605002</v>
      </c>
      <c r="K1452" s="513">
        <v>1405</v>
      </c>
      <c r="L1452" s="518" t="s">
        <v>3493</v>
      </c>
      <c r="M1452" s="152" t="s">
        <v>780</v>
      </c>
      <c r="N1452" s="152" t="s">
        <v>1272</v>
      </c>
      <c r="O1452" s="152" t="s">
        <v>4197</v>
      </c>
      <c r="P1452" s="152" t="s">
        <v>3489</v>
      </c>
      <c r="Q1452" s="152" t="s">
        <v>4198</v>
      </c>
      <c r="R1452" s="152" t="s">
        <v>4946</v>
      </c>
      <c r="S1452" s="152" t="s">
        <v>4200</v>
      </c>
      <c r="T1452" s="152" t="s">
        <v>786</v>
      </c>
    </row>
    <row r="1453" spans="3:20">
      <c r="C1453" s="152" t="s">
        <v>2821</v>
      </c>
      <c r="F1453" s="152" t="s">
        <v>370</v>
      </c>
      <c r="G1453" s="152" t="s">
        <v>320</v>
      </c>
      <c r="I1453" s="513">
        <v>-392661</v>
      </c>
      <c r="J1453" s="513">
        <v>-280.47214285714301</v>
      </c>
      <c r="K1453" s="513">
        <v>1400</v>
      </c>
      <c r="L1453" s="518" t="s">
        <v>3567</v>
      </c>
      <c r="M1453" s="152" t="s">
        <v>780</v>
      </c>
      <c r="N1453" s="152" t="s">
        <v>1407</v>
      </c>
      <c r="O1453" s="152" t="s">
        <v>4193</v>
      </c>
      <c r="P1453" s="152" t="s">
        <v>3489</v>
      </c>
      <c r="Q1453" s="152" t="s">
        <v>4194</v>
      </c>
      <c r="R1453" s="152" t="s">
        <v>4195</v>
      </c>
      <c r="S1453" s="152" t="s">
        <v>4196</v>
      </c>
      <c r="T1453" s="152" t="s">
        <v>786</v>
      </c>
    </row>
    <row r="1454" spans="3:20">
      <c r="C1454" s="152" t="s">
        <v>2821</v>
      </c>
      <c r="F1454" s="152" t="s">
        <v>370</v>
      </c>
      <c r="G1454" s="152" t="s">
        <v>320</v>
      </c>
      <c r="I1454" s="513">
        <v>-155238.1</v>
      </c>
      <c r="J1454" s="513">
        <v>-110.48975088968</v>
      </c>
      <c r="K1454" s="513">
        <v>1405</v>
      </c>
      <c r="L1454" s="518" t="s">
        <v>3493</v>
      </c>
      <c r="M1454" s="152" t="s">
        <v>780</v>
      </c>
      <c r="N1454" s="152" t="s">
        <v>1407</v>
      </c>
      <c r="O1454" s="152" t="s">
        <v>4197</v>
      </c>
      <c r="P1454" s="152" t="s">
        <v>3489</v>
      </c>
      <c r="Q1454" s="152" t="s">
        <v>4198</v>
      </c>
      <c r="R1454" s="152" t="s">
        <v>4199</v>
      </c>
      <c r="S1454" s="152" t="s">
        <v>4200</v>
      </c>
      <c r="T1454" s="152" t="s">
        <v>786</v>
      </c>
    </row>
    <row r="1455" spans="3:20">
      <c r="C1455" s="152" t="s">
        <v>2821</v>
      </c>
      <c r="F1455" s="152" t="s">
        <v>370</v>
      </c>
      <c r="G1455" s="152" t="s">
        <v>320</v>
      </c>
      <c r="I1455" s="513">
        <v>-720000</v>
      </c>
      <c r="J1455" s="513">
        <v>-512.45551601423495</v>
      </c>
      <c r="K1455" s="513">
        <v>1405</v>
      </c>
      <c r="L1455" s="518" t="s">
        <v>3493</v>
      </c>
      <c r="M1455" s="152" t="s">
        <v>780</v>
      </c>
      <c r="N1455" s="152" t="s">
        <v>1407</v>
      </c>
      <c r="O1455" s="152" t="s">
        <v>4197</v>
      </c>
      <c r="P1455" s="152" t="s">
        <v>3489</v>
      </c>
      <c r="Q1455" s="152" t="s">
        <v>4198</v>
      </c>
      <c r="R1455" s="152" t="s">
        <v>4202</v>
      </c>
      <c r="S1455" s="152" t="s">
        <v>4200</v>
      </c>
      <c r="T1455" s="152" t="s">
        <v>786</v>
      </c>
    </row>
    <row r="1456" spans="3:20">
      <c r="C1456" s="152" t="s">
        <v>2821</v>
      </c>
      <c r="F1456" s="152" t="s">
        <v>370</v>
      </c>
      <c r="G1456" s="152" t="s">
        <v>320</v>
      </c>
      <c r="I1456" s="513">
        <v>558000</v>
      </c>
      <c r="J1456" s="513">
        <v>394.34628975265002</v>
      </c>
      <c r="K1456" s="513">
        <v>1415</v>
      </c>
      <c r="L1456" s="518" t="s">
        <v>3487</v>
      </c>
      <c r="M1456" s="152" t="s">
        <v>780</v>
      </c>
      <c r="N1456" s="152" t="s">
        <v>1407</v>
      </c>
      <c r="O1456" s="152" t="s">
        <v>4210</v>
      </c>
      <c r="P1456" s="152" t="s">
        <v>3489</v>
      </c>
      <c r="Q1456" s="152" t="s">
        <v>4211</v>
      </c>
      <c r="R1456" s="152" t="s">
        <v>4212</v>
      </c>
      <c r="S1456" s="152" t="s">
        <v>4213</v>
      </c>
      <c r="T1456" s="152" t="s">
        <v>786</v>
      </c>
    </row>
    <row r="1457" spans="3:20">
      <c r="C1457" s="152" t="s">
        <v>2821</v>
      </c>
      <c r="F1457" s="152" t="s">
        <v>370</v>
      </c>
      <c r="G1457" s="152" t="s">
        <v>320</v>
      </c>
      <c r="I1457" s="513">
        <v>-44333.33</v>
      </c>
      <c r="J1457" s="513">
        <v>-31.5539715302491</v>
      </c>
      <c r="K1457" s="513">
        <v>1405</v>
      </c>
      <c r="L1457" s="518" t="s">
        <v>3493</v>
      </c>
      <c r="M1457" s="152" t="s">
        <v>780</v>
      </c>
      <c r="N1457" s="152" t="s">
        <v>1407</v>
      </c>
      <c r="O1457" s="152" t="s">
        <v>4197</v>
      </c>
      <c r="P1457" s="152" t="s">
        <v>3489</v>
      </c>
      <c r="Q1457" s="152" t="s">
        <v>4198</v>
      </c>
      <c r="R1457" s="152" t="s">
        <v>4214</v>
      </c>
      <c r="S1457" s="152" t="s">
        <v>4200</v>
      </c>
      <c r="T1457" s="152" t="s">
        <v>786</v>
      </c>
    </row>
    <row r="1458" spans="3:20">
      <c r="C1458" s="152" t="s">
        <v>2821</v>
      </c>
      <c r="F1458" s="152" t="s">
        <v>370</v>
      </c>
      <c r="G1458" s="152" t="s">
        <v>320</v>
      </c>
      <c r="I1458" s="513">
        <v>-33142.86</v>
      </c>
      <c r="J1458" s="513">
        <v>-23.589224199288299</v>
      </c>
      <c r="K1458" s="513">
        <v>1405</v>
      </c>
      <c r="L1458" s="518" t="s">
        <v>3493</v>
      </c>
      <c r="M1458" s="152" t="s">
        <v>780</v>
      </c>
      <c r="N1458" s="152" t="s">
        <v>1407</v>
      </c>
      <c r="O1458" s="152" t="s">
        <v>4197</v>
      </c>
      <c r="P1458" s="152" t="s">
        <v>3489</v>
      </c>
      <c r="Q1458" s="152" t="s">
        <v>4198</v>
      </c>
      <c r="R1458" s="152" t="s">
        <v>4215</v>
      </c>
      <c r="S1458" s="152" t="s">
        <v>4200</v>
      </c>
      <c r="T1458" s="152" t="s">
        <v>786</v>
      </c>
    </row>
    <row r="1459" spans="3:20">
      <c r="C1459" s="152" t="s">
        <v>2821</v>
      </c>
      <c r="F1459" s="152" t="s">
        <v>370</v>
      </c>
      <c r="G1459" s="152" t="s">
        <v>320</v>
      </c>
      <c r="I1459" s="513">
        <v>-41571.43</v>
      </c>
      <c r="J1459" s="513">
        <v>-29.588206405693899</v>
      </c>
      <c r="K1459" s="513">
        <v>1405</v>
      </c>
      <c r="L1459" s="518" t="s">
        <v>3493</v>
      </c>
      <c r="M1459" s="152" t="s">
        <v>780</v>
      </c>
      <c r="N1459" s="152" t="s">
        <v>1407</v>
      </c>
      <c r="O1459" s="152" t="s">
        <v>4197</v>
      </c>
      <c r="P1459" s="152" t="s">
        <v>3489</v>
      </c>
      <c r="Q1459" s="152" t="s">
        <v>4198</v>
      </c>
      <c r="R1459" s="152" t="s">
        <v>4216</v>
      </c>
      <c r="S1459" s="152" t="s">
        <v>4200</v>
      </c>
      <c r="T1459" s="152" t="s">
        <v>786</v>
      </c>
    </row>
    <row r="1460" spans="3:20">
      <c r="C1460" s="152" t="s">
        <v>2821</v>
      </c>
      <c r="F1460" s="152" t="s">
        <v>370</v>
      </c>
      <c r="G1460" s="152" t="s">
        <v>320</v>
      </c>
      <c r="I1460" s="513">
        <v>-453227.14</v>
      </c>
      <c r="J1460" s="513">
        <v>-322.58159430605002</v>
      </c>
      <c r="K1460" s="513">
        <v>1405</v>
      </c>
      <c r="L1460" s="518" t="s">
        <v>3493</v>
      </c>
      <c r="M1460" s="152" t="s">
        <v>780</v>
      </c>
      <c r="N1460" s="152" t="s">
        <v>1407</v>
      </c>
      <c r="O1460" s="152" t="s">
        <v>4197</v>
      </c>
      <c r="P1460" s="152" t="s">
        <v>3489</v>
      </c>
      <c r="Q1460" s="152" t="s">
        <v>4198</v>
      </c>
      <c r="R1460" s="152" t="s">
        <v>4217</v>
      </c>
      <c r="S1460" s="152" t="s">
        <v>4200</v>
      </c>
      <c r="T1460" s="152" t="s">
        <v>786</v>
      </c>
    </row>
    <row r="1461" spans="3:20">
      <c r="C1461" s="152" t="s">
        <v>2821</v>
      </c>
      <c r="F1461" s="152" t="s">
        <v>370</v>
      </c>
      <c r="G1461" s="152" t="s">
        <v>320</v>
      </c>
      <c r="I1461" s="513">
        <v>-392661</v>
      </c>
      <c r="J1461" s="513">
        <v>-279.474021352313</v>
      </c>
      <c r="K1461" s="513">
        <v>1405</v>
      </c>
      <c r="L1461" s="518" t="s">
        <v>3493</v>
      </c>
      <c r="M1461" s="152" t="s">
        <v>780</v>
      </c>
      <c r="N1461" s="152" t="s">
        <v>1407</v>
      </c>
      <c r="O1461" s="152" t="s">
        <v>4197</v>
      </c>
      <c r="P1461" s="152" t="s">
        <v>3489</v>
      </c>
      <c r="Q1461" s="152" t="s">
        <v>4198</v>
      </c>
      <c r="R1461" s="152" t="s">
        <v>4218</v>
      </c>
      <c r="S1461" s="152" t="s">
        <v>4200</v>
      </c>
      <c r="T1461" s="152" t="s">
        <v>786</v>
      </c>
    </row>
    <row r="1462" spans="3:20">
      <c r="C1462" s="152" t="s">
        <v>2821</v>
      </c>
      <c r="F1462" s="152" t="s">
        <v>370</v>
      </c>
      <c r="G1462" s="152" t="s">
        <v>320</v>
      </c>
      <c r="I1462" s="513">
        <v>-1839500</v>
      </c>
      <c r="J1462" s="513">
        <v>-1300</v>
      </c>
      <c r="K1462" s="513">
        <v>1415</v>
      </c>
      <c r="L1462" s="518" t="s">
        <v>3511</v>
      </c>
      <c r="M1462" s="152" t="s">
        <v>780</v>
      </c>
      <c r="N1462" s="152" t="s">
        <v>1407</v>
      </c>
      <c r="O1462" s="152" t="s">
        <v>4219</v>
      </c>
      <c r="P1462" s="152" t="s">
        <v>3489</v>
      </c>
      <c r="Q1462" s="152" t="s">
        <v>4220</v>
      </c>
      <c r="R1462" s="152" t="s">
        <v>4221</v>
      </c>
      <c r="S1462" s="152" t="s">
        <v>4222</v>
      </c>
      <c r="T1462" s="152" t="s">
        <v>786</v>
      </c>
    </row>
    <row r="1463" spans="3:20">
      <c r="C1463" s="152" t="s">
        <v>2821</v>
      </c>
      <c r="F1463" s="152" t="s">
        <v>370</v>
      </c>
      <c r="G1463" s="152" t="s">
        <v>320</v>
      </c>
      <c r="I1463" s="513">
        <v>-2248000</v>
      </c>
      <c r="J1463" s="513">
        <v>-1600</v>
      </c>
      <c r="K1463" s="513">
        <v>1405</v>
      </c>
      <c r="L1463" s="518" t="s">
        <v>3493</v>
      </c>
      <c r="M1463" s="152" t="s">
        <v>780</v>
      </c>
      <c r="N1463" s="152" t="s">
        <v>1407</v>
      </c>
      <c r="O1463" s="152" t="s">
        <v>4197</v>
      </c>
      <c r="P1463" s="152" t="s">
        <v>3489</v>
      </c>
      <c r="Q1463" s="152" t="s">
        <v>4198</v>
      </c>
      <c r="R1463" s="152" t="s">
        <v>4225</v>
      </c>
      <c r="S1463" s="152" t="s">
        <v>4200</v>
      </c>
      <c r="T1463" s="152" t="s">
        <v>786</v>
      </c>
    </row>
    <row r="1464" spans="3:20">
      <c r="C1464" s="152" t="s">
        <v>2821</v>
      </c>
      <c r="F1464" s="152" t="s">
        <v>370</v>
      </c>
      <c r="G1464" s="152" t="s">
        <v>320</v>
      </c>
      <c r="I1464" s="513">
        <v>-1826500</v>
      </c>
      <c r="J1464" s="513">
        <v>-1300</v>
      </c>
      <c r="K1464" s="513">
        <v>1405</v>
      </c>
      <c r="L1464" s="518" t="s">
        <v>3493</v>
      </c>
      <c r="M1464" s="152" t="s">
        <v>780</v>
      </c>
      <c r="N1464" s="152" t="s">
        <v>1407</v>
      </c>
      <c r="O1464" s="152" t="s">
        <v>4197</v>
      </c>
      <c r="P1464" s="152" t="s">
        <v>3489</v>
      </c>
      <c r="Q1464" s="152" t="s">
        <v>4198</v>
      </c>
      <c r="R1464" s="152" t="s">
        <v>4226</v>
      </c>
      <c r="S1464" s="152" t="s">
        <v>4200</v>
      </c>
      <c r="T1464" s="152" t="s">
        <v>786</v>
      </c>
    </row>
    <row r="1465" spans="3:20">
      <c r="C1465" s="152" t="s">
        <v>2821</v>
      </c>
      <c r="F1465" s="152" t="s">
        <v>370</v>
      </c>
      <c r="G1465" s="152" t="s">
        <v>320</v>
      </c>
      <c r="I1465" s="513">
        <v>-170000</v>
      </c>
      <c r="J1465" s="513">
        <v>-120.996441281139</v>
      </c>
      <c r="K1465" s="513">
        <v>1405</v>
      </c>
      <c r="L1465" s="518" t="s">
        <v>3493</v>
      </c>
      <c r="M1465" s="152" t="s">
        <v>780</v>
      </c>
      <c r="N1465" s="152" t="s">
        <v>1407</v>
      </c>
      <c r="O1465" s="152" t="s">
        <v>4197</v>
      </c>
      <c r="P1465" s="152" t="s">
        <v>3489</v>
      </c>
      <c r="Q1465" s="152" t="s">
        <v>4198</v>
      </c>
      <c r="R1465" s="152" t="s">
        <v>4234</v>
      </c>
      <c r="S1465" s="152" t="s">
        <v>4200</v>
      </c>
      <c r="T1465" s="152" t="s">
        <v>786</v>
      </c>
    </row>
    <row r="1466" spans="3:20">
      <c r="C1466" s="152" t="s">
        <v>2821</v>
      </c>
      <c r="D1466" s="152"/>
      <c r="F1466" s="152" t="s">
        <v>371</v>
      </c>
      <c r="G1466" s="210" t="s">
        <v>353</v>
      </c>
      <c r="H1466" s="210"/>
      <c r="I1466" s="513">
        <v>-10360000</v>
      </c>
      <c r="J1466" s="513">
        <v>-7000</v>
      </c>
      <c r="K1466" s="513">
        <v>1480</v>
      </c>
      <c r="L1466" s="513" t="s">
        <v>2845</v>
      </c>
      <c r="M1466" s="513" t="s">
        <v>780</v>
      </c>
      <c r="N1466" s="513" t="s">
        <v>1407</v>
      </c>
      <c r="O1466" s="518" t="s">
        <v>3110</v>
      </c>
      <c r="P1466" s="152" t="s">
        <v>892</v>
      </c>
      <c r="Q1466" s="152" t="s">
        <v>3111</v>
      </c>
      <c r="R1466" s="152" t="s">
        <v>3112</v>
      </c>
      <c r="S1466" s="152" t="s">
        <v>3113</v>
      </c>
      <c r="T1466" s="152" t="s">
        <v>786</v>
      </c>
    </row>
    <row r="1467" spans="3:20">
      <c r="C1467" s="152" t="s">
        <v>2821</v>
      </c>
      <c r="F1467" s="152" t="s">
        <v>371</v>
      </c>
      <c r="G1467" s="152" t="s">
        <v>353</v>
      </c>
      <c r="I1467" s="513">
        <v>-1273500</v>
      </c>
      <c r="J1467" s="513">
        <v>-900</v>
      </c>
      <c r="K1467" s="513">
        <v>1415</v>
      </c>
      <c r="L1467" s="518" t="s">
        <v>3487</v>
      </c>
      <c r="M1467" s="152" t="s">
        <v>780</v>
      </c>
      <c r="N1467" s="152" t="s">
        <v>2705</v>
      </c>
      <c r="O1467" s="152" t="s">
        <v>4962</v>
      </c>
      <c r="P1467" s="152" t="s">
        <v>3489</v>
      </c>
      <c r="Q1467" s="152" t="s">
        <v>4963</v>
      </c>
      <c r="R1467" s="152" t="s">
        <v>4964</v>
      </c>
      <c r="S1467" s="152" t="s">
        <v>4965</v>
      </c>
      <c r="T1467" s="152" t="s">
        <v>786</v>
      </c>
    </row>
    <row r="1468" spans="3:20">
      <c r="C1468" s="152" t="s">
        <v>2821</v>
      </c>
      <c r="F1468" s="152" t="s">
        <v>371</v>
      </c>
      <c r="G1468" s="152" t="s">
        <v>353</v>
      </c>
      <c r="I1468" s="513">
        <v>-1264500</v>
      </c>
      <c r="J1468" s="513">
        <v>-900</v>
      </c>
      <c r="K1468" s="513">
        <v>1405</v>
      </c>
      <c r="L1468" s="518" t="s">
        <v>3493</v>
      </c>
      <c r="M1468" s="152" t="s">
        <v>780</v>
      </c>
      <c r="N1468" s="152" t="s">
        <v>2705</v>
      </c>
      <c r="O1468" s="152" t="s">
        <v>4124</v>
      </c>
      <c r="P1468" s="152" t="s">
        <v>3489</v>
      </c>
      <c r="Q1468" s="152" t="s">
        <v>4125</v>
      </c>
      <c r="R1468" s="152" t="s">
        <v>4966</v>
      </c>
      <c r="S1468" s="152" t="s">
        <v>4127</v>
      </c>
      <c r="T1468" s="152" t="s">
        <v>786</v>
      </c>
    </row>
    <row r="1469" spans="3:20">
      <c r="C1469" s="152" t="s">
        <v>2821</v>
      </c>
      <c r="F1469" s="152" t="s">
        <v>371</v>
      </c>
      <c r="G1469" s="152" t="s">
        <v>353</v>
      </c>
      <c r="I1469" s="513">
        <v>-707500</v>
      </c>
      <c r="J1469" s="513">
        <v>-500</v>
      </c>
      <c r="K1469" s="513">
        <v>1415</v>
      </c>
      <c r="L1469" s="518" t="s">
        <v>3487</v>
      </c>
      <c r="M1469" s="152" t="s">
        <v>780</v>
      </c>
      <c r="N1469" s="152" t="s">
        <v>2705</v>
      </c>
      <c r="O1469" s="152" t="s">
        <v>4962</v>
      </c>
      <c r="P1469" s="152" t="s">
        <v>3489</v>
      </c>
      <c r="Q1469" s="152" t="s">
        <v>4963</v>
      </c>
      <c r="R1469" s="152" t="s">
        <v>4969</v>
      </c>
      <c r="S1469" s="152" t="s">
        <v>4965</v>
      </c>
      <c r="T1469" s="152" t="s">
        <v>786</v>
      </c>
    </row>
    <row r="1470" spans="3:20">
      <c r="C1470" s="152" t="s">
        <v>2821</v>
      </c>
      <c r="F1470" s="152" t="s">
        <v>371</v>
      </c>
      <c r="G1470" s="152" t="s">
        <v>353</v>
      </c>
      <c r="I1470" s="513">
        <v>-473142.75</v>
      </c>
      <c r="J1470" s="513">
        <v>-332.03</v>
      </c>
      <c r="K1470" s="513">
        <v>1425</v>
      </c>
      <c r="L1470" s="518" t="s">
        <v>3487</v>
      </c>
      <c r="M1470" s="152" t="s">
        <v>780</v>
      </c>
      <c r="N1470" s="152" t="s">
        <v>2705</v>
      </c>
      <c r="O1470" s="152" t="s">
        <v>4962</v>
      </c>
      <c r="P1470" s="152" t="s">
        <v>3489</v>
      </c>
      <c r="Q1470" s="152" t="s">
        <v>4963</v>
      </c>
      <c r="R1470" s="152" t="s">
        <v>2706</v>
      </c>
      <c r="S1470" s="152" t="s">
        <v>4965</v>
      </c>
      <c r="T1470" s="152" t="s">
        <v>786</v>
      </c>
    </row>
    <row r="1471" spans="3:20">
      <c r="C1471" s="152" t="s">
        <v>2821</v>
      </c>
      <c r="F1471" s="152" t="s">
        <v>371</v>
      </c>
      <c r="G1471" s="152" t="s">
        <v>353</v>
      </c>
      <c r="I1471" s="513">
        <v>-600004.80000000005</v>
      </c>
      <c r="J1471" s="513">
        <v>-416.67</v>
      </c>
      <c r="K1471" s="513">
        <v>1440</v>
      </c>
      <c r="L1471" s="518" t="s">
        <v>4128</v>
      </c>
      <c r="M1471" s="152" t="s">
        <v>780</v>
      </c>
      <c r="N1471" s="152" t="s">
        <v>2705</v>
      </c>
      <c r="O1471" s="152" t="s">
        <v>4973</v>
      </c>
      <c r="P1471" s="152" t="s">
        <v>892</v>
      </c>
      <c r="Q1471" s="152" t="s">
        <v>4974</v>
      </c>
      <c r="R1471" s="152" t="s">
        <v>4974</v>
      </c>
      <c r="S1471" s="152" t="s">
        <v>4975</v>
      </c>
      <c r="T1471" s="152" t="s">
        <v>786</v>
      </c>
    </row>
    <row r="1472" spans="3:20">
      <c r="C1472" s="152" t="s">
        <v>2821</v>
      </c>
      <c r="F1472" s="152" t="s">
        <v>371</v>
      </c>
      <c r="G1472" s="152" t="s">
        <v>353</v>
      </c>
      <c r="I1472" s="513">
        <v>-1300005.8999999999</v>
      </c>
      <c r="J1472" s="513">
        <v>-921.99</v>
      </c>
      <c r="K1472" s="513">
        <v>1410</v>
      </c>
      <c r="L1472" s="518" t="s">
        <v>4133</v>
      </c>
      <c r="M1472" s="152" t="s">
        <v>780</v>
      </c>
      <c r="N1472" s="152" t="s">
        <v>2705</v>
      </c>
      <c r="O1472" s="152" t="s">
        <v>5087</v>
      </c>
      <c r="P1472" s="152" t="s">
        <v>3489</v>
      </c>
      <c r="Q1472" s="152" t="s">
        <v>5088</v>
      </c>
      <c r="R1472" s="152" t="s">
        <v>5088</v>
      </c>
      <c r="S1472" s="152" t="s">
        <v>5089</v>
      </c>
      <c r="T1472" s="152" t="s">
        <v>786</v>
      </c>
    </row>
    <row r="1473" spans="3:20">
      <c r="C1473" s="152" t="s">
        <v>2821</v>
      </c>
      <c r="F1473" s="152" t="s">
        <v>371</v>
      </c>
      <c r="G1473" s="152" t="s">
        <v>353</v>
      </c>
      <c r="I1473" s="513">
        <v>-399994</v>
      </c>
      <c r="J1473" s="513">
        <v>-285.70999999999998</v>
      </c>
      <c r="K1473" s="513">
        <v>1400</v>
      </c>
      <c r="L1473" s="518" t="s">
        <v>3567</v>
      </c>
      <c r="M1473" s="152" t="s">
        <v>780</v>
      </c>
      <c r="N1473" s="152" t="s">
        <v>2705</v>
      </c>
      <c r="O1473" s="152" t="s">
        <v>5090</v>
      </c>
      <c r="P1473" s="152" t="s">
        <v>3489</v>
      </c>
      <c r="Q1473" s="152" t="s">
        <v>5091</v>
      </c>
      <c r="R1473" s="152" t="s">
        <v>5091</v>
      </c>
      <c r="S1473" s="152" t="s">
        <v>5092</v>
      </c>
      <c r="T1473" s="152" t="s">
        <v>786</v>
      </c>
    </row>
    <row r="1474" spans="3:20">
      <c r="C1474" s="152" t="s">
        <v>2821</v>
      </c>
      <c r="F1474" s="152" t="s">
        <v>371</v>
      </c>
      <c r="G1474" s="152" t="s">
        <v>353</v>
      </c>
      <c r="I1474" s="513">
        <v>-27360000</v>
      </c>
      <c r="J1474" s="513">
        <v>-19000</v>
      </c>
      <c r="K1474" s="513">
        <v>1440</v>
      </c>
      <c r="L1474" s="518" t="s">
        <v>4128</v>
      </c>
      <c r="M1474" s="152" t="s">
        <v>780</v>
      </c>
      <c r="N1474" s="152" t="s">
        <v>781</v>
      </c>
      <c r="O1474" s="152" t="s">
        <v>4129</v>
      </c>
      <c r="P1474" s="152" t="s">
        <v>892</v>
      </c>
      <c r="Q1474" s="152" t="s">
        <v>4130</v>
      </c>
      <c r="R1474" s="152" t="s">
        <v>4861</v>
      </c>
      <c r="S1474" s="152" t="s">
        <v>4132</v>
      </c>
      <c r="T1474" s="152" t="s">
        <v>786</v>
      </c>
    </row>
    <row r="1475" spans="3:20">
      <c r="C1475" s="152" t="s">
        <v>2821</v>
      </c>
      <c r="F1475" s="152" t="s">
        <v>371</v>
      </c>
      <c r="G1475" s="152" t="s">
        <v>353</v>
      </c>
      <c r="I1475" s="513">
        <v>-21150000</v>
      </c>
      <c r="J1475" s="513">
        <v>-15000</v>
      </c>
      <c r="K1475" s="513">
        <v>1410</v>
      </c>
      <c r="L1475" s="518" t="s">
        <v>4133</v>
      </c>
      <c r="M1475" s="152" t="s">
        <v>780</v>
      </c>
      <c r="N1475" s="152" t="s">
        <v>781</v>
      </c>
      <c r="O1475" s="152" t="s">
        <v>4134</v>
      </c>
      <c r="P1475" s="152" t="s">
        <v>3489</v>
      </c>
      <c r="Q1475" s="152" t="s">
        <v>4135</v>
      </c>
      <c r="R1475" s="152" t="s">
        <v>4862</v>
      </c>
      <c r="S1475" s="152" t="s">
        <v>4137</v>
      </c>
      <c r="T1475" s="152" t="s">
        <v>786</v>
      </c>
    </row>
    <row r="1476" spans="3:20">
      <c r="C1476" s="152" t="s">
        <v>2821</v>
      </c>
      <c r="F1476" s="152" t="s">
        <v>371</v>
      </c>
      <c r="G1476" s="152" t="s">
        <v>353</v>
      </c>
      <c r="I1476" s="513">
        <v>-25470000</v>
      </c>
      <c r="J1476" s="513">
        <v>-18000</v>
      </c>
      <c r="K1476" s="513">
        <v>1415</v>
      </c>
      <c r="L1476" s="518" t="s">
        <v>3557</v>
      </c>
      <c r="M1476" s="152" t="s">
        <v>780</v>
      </c>
      <c r="N1476" s="152" t="s">
        <v>781</v>
      </c>
      <c r="O1476" s="152" t="s">
        <v>4138</v>
      </c>
      <c r="P1476" s="152" t="s">
        <v>3489</v>
      </c>
      <c r="Q1476" s="152" t="s">
        <v>4139</v>
      </c>
      <c r="R1476" s="152" t="s">
        <v>4862</v>
      </c>
      <c r="S1476" s="152" t="s">
        <v>4140</v>
      </c>
      <c r="T1476" s="152" t="s">
        <v>786</v>
      </c>
    </row>
    <row r="1477" spans="3:20">
      <c r="C1477" s="152" t="s">
        <v>2821</v>
      </c>
      <c r="F1477" s="152" t="s">
        <v>371</v>
      </c>
      <c r="G1477" s="152" t="s">
        <v>353</v>
      </c>
      <c r="I1477" s="513">
        <v>-835161.3</v>
      </c>
      <c r="J1477" s="513">
        <v>-590.22</v>
      </c>
      <c r="K1477" s="513">
        <v>1415</v>
      </c>
      <c r="L1477" s="518" t="s">
        <v>3493</v>
      </c>
      <c r="M1477" s="152" t="s">
        <v>780</v>
      </c>
      <c r="N1477" s="152" t="s">
        <v>781</v>
      </c>
      <c r="O1477" s="152" t="s">
        <v>4124</v>
      </c>
      <c r="P1477" s="152" t="s">
        <v>3489</v>
      </c>
      <c r="Q1477" s="152" t="s">
        <v>4125</v>
      </c>
      <c r="R1477" s="152" t="s">
        <v>4863</v>
      </c>
      <c r="S1477" s="152" t="s">
        <v>4127</v>
      </c>
      <c r="T1477" s="152" t="s">
        <v>786</v>
      </c>
    </row>
    <row r="1478" spans="3:20">
      <c r="C1478" s="152" t="s">
        <v>2821</v>
      </c>
      <c r="F1478" s="152" t="s">
        <v>371</v>
      </c>
      <c r="G1478" s="152" t="s">
        <v>353</v>
      </c>
      <c r="I1478" s="513">
        <v>-12112500</v>
      </c>
      <c r="J1478" s="513">
        <v>-8500</v>
      </c>
      <c r="K1478" s="513">
        <v>1425</v>
      </c>
      <c r="L1478" s="518" t="s">
        <v>3552</v>
      </c>
      <c r="M1478" s="152" t="s">
        <v>780</v>
      </c>
      <c r="N1478" s="152" t="s">
        <v>781</v>
      </c>
      <c r="O1478" s="152" t="s">
        <v>4111</v>
      </c>
      <c r="P1478" s="152" t="s">
        <v>3489</v>
      </c>
      <c r="Q1478" s="152" t="s">
        <v>4112</v>
      </c>
      <c r="R1478" s="152" t="s">
        <v>4864</v>
      </c>
      <c r="S1478" s="152" t="s">
        <v>4114</v>
      </c>
      <c r="T1478" s="152" t="s">
        <v>786</v>
      </c>
    </row>
    <row r="1479" spans="3:20">
      <c r="C1479" s="152" t="s">
        <v>2821</v>
      </c>
      <c r="F1479" s="152" t="s">
        <v>371</v>
      </c>
      <c r="G1479" s="152" t="s">
        <v>353</v>
      </c>
      <c r="I1479" s="513">
        <v>44745000</v>
      </c>
      <c r="J1479" s="513">
        <v>31400</v>
      </c>
      <c r="K1479" s="513">
        <v>1425</v>
      </c>
      <c r="L1479" s="518" t="s">
        <v>3487</v>
      </c>
      <c r="M1479" s="152" t="s">
        <v>780</v>
      </c>
      <c r="N1479" s="152" t="s">
        <v>781</v>
      </c>
      <c r="O1479" s="152" t="s">
        <v>3488</v>
      </c>
      <c r="P1479" s="152" t="s">
        <v>3489</v>
      </c>
      <c r="Q1479" s="152" t="s">
        <v>3490</v>
      </c>
      <c r="R1479" s="152" t="s">
        <v>4865</v>
      </c>
      <c r="S1479" s="152" t="s">
        <v>3492</v>
      </c>
      <c r="T1479" s="152" t="s">
        <v>786</v>
      </c>
    </row>
    <row r="1480" spans="3:20">
      <c r="C1480" s="152" t="s">
        <v>2821</v>
      </c>
      <c r="F1480" s="152" t="s">
        <v>371</v>
      </c>
      <c r="G1480" s="152" t="s">
        <v>353</v>
      </c>
      <c r="I1480" s="513">
        <v>28275562.5</v>
      </c>
      <c r="J1480" s="513">
        <v>19842.5</v>
      </c>
      <c r="K1480" s="513">
        <v>1425</v>
      </c>
      <c r="L1480" s="518" t="s">
        <v>3487</v>
      </c>
      <c r="M1480" s="152" t="s">
        <v>780</v>
      </c>
      <c r="N1480" s="152" t="s">
        <v>781</v>
      </c>
      <c r="O1480" s="152" t="s">
        <v>3488</v>
      </c>
      <c r="P1480" s="152" t="s">
        <v>3489</v>
      </c>
      <c r="Q1480" s="152" t="s">
        <v>3490</v>
      </c>
      <c r="R1480" s="152" t="s">
        <v>4866</v>
      </c>
      <c r="S1480" s="152" t="s">
        <v>3492</v>
      </c>
      <c r="T1480" s="152" t="s">
        <v>786</v>
      </c>
    </row>
    <row r="1481" spans="3:20">
      <c r="C1481" s="152" t="s">
        <v>2821</v>
      </c>
      <c r="F1481" s="152" t="s">
        <v>371</v>
      </c>
      <c r="G1481" s="152" t="s">
        <v>353</v>
      </c>
      <c r="I1481" s="513">
        <v>28275562.5</v>
      </c>
      <c r="J1481" s="513">
        <v>19842.5</v>
      </c>
      <c r="K1481" s="513">
        <v>1425</v>
      </c>
      <c r="L1481" s="518" t="s">
        <v>3487</v>
      </c>
      <c r="M1481" s="152" t="s">
        <v>780</v>
      </c>
      <c r="N1481" s="152" t="s">
        <v>781</v>
      </c>
      <c r="O1481" s="152" t="s">
        <v>3488</v>
      </c>
      <c r="P1481" s="152" t="s">
        <v>3489</v>
      </c>
      <c r="Q1481" s="152" t="s">
        <v>3490</v>
      </c>
      <c r="R1481" s="152" t="s">
        <v>4867</v>
      </c>
      <c r="S1481" s="152" t="s">
        <v>3492</v>
      </c>
      <c r="T1481" s="152" t="s">
        <v>786</v>
      </c>
    </row>
    <row r="1482" spans="3:20">
      <c r="C1482" s="152" t="s">
        <v>2821</v>
      </c>
      <c r="F1482" s="152" t="s">
        <v>371</v>
      </c>
      <c r="G1482" s="152" t="s">
        <v>353</v>
      </c>
      <c r="I1482" s="513">
        <v>5354475</v>
      </c>
      <c r="J1482" s="513">
        <v>3797.5</v>
      </c>
      <c r="K1482" s="513">
        <v>1410</v>
      </c>
      <c r="L1482" s="518" t="s">
        <v>3567</v>
      </c>
      <c r="M1482" s="152" t="s">
        <v>780</v>
      </c>
      <c r="N1482" s="152" t="s">
        <v>781</v>
      </c>
      <c r="O1482" s="152" t="s">
        <v>3568</v>
      </c>
      <c r="P1482" s="152" t="s">
        <v>3489</v>
      </c>
      <c r="Q1482" s="152" t="s">
        <v>3569</v>
      </c>
      <c r="R1482" s="152" t="s">
        <v>4868</v>
      </c>
      <c r="S1482" s="152" t="s">
        <v>3571</v>
      </c>
      <c r="T1482" s="152" t="s">
        <v>786</v>
      </c>
    </row>
    <row r="1483" spans="3:20">
      <c r="C1483" s="152" t="s">
        <v>2821</v>
      </c>
      <c r="F1483" s="152" t="s">
        <v>371</v>
      </c>
      <c r="G1483" s="152" t="s">
        <v>353</v>
      </c>
      <c r="I1483" s="513">
        <v>5354475</v>
      </c>
      <c r="J1483" s="513">
        <v>3797.5</v>
      </c>
      <c r="K1483" s="513">
        <v>1410</v>
      </c>
      <c r="L1483" s="518" t="s">
        <v>3567</v>
      </c>
      <c r="M1483" s="152" t="s">
        <v>780</v>
      </c>
      <c r="N1483" s="152" t="s">
        <v>781</v>
      </c>
      <c r="O1483" s="152" t="s">
        <v>3568</v>
      </c>
      <c r="P1483" s="152" t="s">
        <v>3489</v>
      </c>
      <c r="Q1483" s="152" t="s">
        <v>3569</v>
      </c>
      <c r="R1483" s="152" t="s">
        <v>4869</v>
      </c>
      <c r="S1483" s="152" t="s">
        <v>3571</v>
      </c>
      <c r="T1483" s="152" t="s">
        <v>786</v>
      </c>
    </row>
    <row r="1484" spans="3:20">
      <c r="C1484" s="152" t="s">
        <v>2821</v>
      </c>
      <c r="F1484" s="152" t="s">
        <v>371</v>
      </c>
      <c r="G1484" s="152" t="s">
        <v>353</v>
      </c>
      <c r="I1484" s="513">
        <v>5411437.5</v>
      </c>
      <c r="J1484" s="513">
        <v>3797.5</v>
      </c>
      <c r="K1484" s="513">
        <v>1425</v>
      </c>
      <c r="L1484" s="518" t="s">
        <v>3487</v>
      </c>
      <c r="M1484" s="152" t="s">
        <v>780</v>
      </c>
      <c r="N1484" s="152" t="s">
        <v>781</v>
      </c>
      <c r="O1484" s="152" t="s">
        <v>3488</v>
      </c>
      <c r="P1484" s="152" t="s">
        <v>3489</v>
      </c>
      <c r="Q1484" s="152" t="s">
        <v>3490</v>
      </c>
      <c r="R1484" s="152" t="s">
        <v>4870</v>
      </c>
      <c r="S1484" s="152" t="s">
        <v>3492</v>
      </c>
      <c r="T1484" s="152" t="s">
        <v>786</v>
      </c>
    </row>
    <row r="1485" spans="3:20">
      <c r="C1485" s="152" t="s">
        <v>2821</v>
      </c>
      <c r="F1485" s="152" t="s">
        <v>371</v>
      </c>
      <c r="G1485" s="152" t="s">
        <v>353</v>
      </c>
      <c r="I1485" s="513">
        <v>5620300</v>
      </c>
      <c r="J1485" s="513">
        <v>3797.5</v>
      </c>
      <c r="K1485" s="513">
        <v>1480</v>
      </c>
      <c r="L1485" s="518" t="s">
        <v>3546</v>
      </c>
      <c r="M1485" s="152" t="s">
        <v>780</v>
      </c>
      <c r="N1485" s="152" t="s">
        <v>781</v>
      </c>
      <c r="O1485" s="152" t="s">
        <v>3547</v>
      </c>
      <c r="P1485" s="152" t="s">
        <v>2865</v>
      </c>
      <c r="Q1485" s="152" t="s">
        <v>3548</v>
      </c>
      <c r="R1485" s="152" t="s">
        <v>4871</v>
      </c>
      <c r="S1485" s="152" t="s">
        <v>3550</v>
      </c>
      <c r="T1485" s="152" t="s">
        <v>786</v>
      </c>
    </row>
    <row r="1486" spans="3:20">
      <c r="C1486" s="152" t="s">
        <v>2821</v>
      </c>
      <c r="F1486" s="152" t="s">
        <v>371</v>
      </c>
      <c r="G1486" s="152" t="s">
        <v>353</v>
      </c>
      <c r="I1486" s="513">
        <v>5354475</v>
      </c>
      <c r="J1486" s="513">
        <v>3797.5</v>
      </c>
      <c r="K1486" s="513">
        <v>1410</v>
      </c>
      <c r="L1486" s="518" t="s">
        <v>3567</v>
      </c>
      <c r="M1486" s="152" t="s">
        <v>780</v>
      </c>
      <c r="N1486" s="152" t="s">
        <v>781</v>
      </c>
      <c r="O1486" s="152" t="s">
        <v>3568</v>
      </c>
      <c r="P1486" s="152" t="s">
        <v>3489</v>
      </c>
      <c r="Q1486" s="152" t="s">
        <v>3569</v>
      </c>
      <c r="R1486" s="152" t="s">
        <v>4872</v>
      </c>
      <c r="S1486" s="152" t="s">
        <v>3571</v>
      </c>
      <c r="T1486" s="152" t="s">
        <v>786</v>
      </c>
    </row>
    <row r="1487" spans="3:20">
      <c r="C1487" s="152" t="s">
        <v>2821</v>
      </c>
      <c r="F1487" s="152" t="s">
        <v>371</v>
      </c>
      <c r="G1487" s="152" t="s">
        <v>353</v>
      </c>
      <c r="I1487" s="513">
        <v>20947500</v>
      </c>
      <c r="J1487" s="513">
        <v>14700</v>
      </c>
      <c r="K1487" s="513">
        <v>1425</v>
      </c>
      <c r="L1487" s="518" t="s">
        <v>3487</v>
      </c>
      <c r="M1487" s="152" t="s">
        <v>780</v>
      </c>
      <c r="N1487" s="152" t="s">
        <v>781</v>
      </c>
      <c r="O1487" s="152" t="s">
        <v>3488</v>
      </c>
      <c r="P1487" s="152" t="s">
        <v>3489</v>
      </c>
      <c r="Q1487" s="152" t="s">
        <v>3490</v>
      </c>
      <c r="R1487" s="152" t="s">
        <v>4873</v>
      </c>
      <c r="S1487" s="152" t="s">
        <v>3492</v>
      </c>
      <c r="T1487" s="152" t="s">
        <v>786</v>
      </c>
    </row>
    <row r="1488" spans="3:20">
      <c r="C1488" s="152" t="s">
        <v>2821</v>
      </c>
      <c r="F1488" s="152" t="s">
        <v>371</v>
      </c>
      <c r="G1488" s="152" t="s">
        <v>353</v>
      </c>
      <c r="I1488" s="513">
        <v>12408187.5</v>
      </c>
      <c r="J1488" s="513">
        <v>8707.5</v>
      </c>
      <c r="K1488" s="513">
        <v>1425</v>
      </c>
      <c r="L1488" s="518" t="s">
        <v>3487</v>
      </c>
      <c r="M1488" s="152" t="s">
        <v>780</v>
      </c>
      <c r="N1488" s="152" t="s">
        <v>781</v>
      </c>
      <c r="O1488" s="152" t="s">
        <v>3488</v>
      </c>
      <c r="P1488" s="152" t="s">
        <v>3489</v>
      </c>
      <c r="Q1488" s="152" t="s">
        <v>3490</v>
      </c>
      <c r="R1488" s="152" t="s">
        <v>4874</v>
      </c>
      <c r="S1488" s="152" t="s">
        <v>3492</v>
      </c>
      <c r="T1488" s="152" t="s">
        <v>786</v>
      </c>
    </row>
    <row r="1489" spans="3:20">
      <c r="C1489" s="152" t="s">
        <v>2821</v>
      </c>
      <c r="F1489" s="152" t="s">
        <v>371</v>
      </c>
      <c r="G1489" s="152" t="s">
        <v>353</v>
      </c>
      <c r="I1489" s="513">
        <v>8272125</v>
      </c>
      <c r="J1489" s="513">
        <v>5805</v>
      </c>
      <c r="K1489" s="513">
        <v>1425</v>
      </c>
      <c r="L1489" s="518" t="s">
        <v>3487</v>
      </c>
      <c r="M1489" s="152" t="s">
        <v>780</v>
      </c>
      <c r="N1489" s="152" t="s">
        <v>781</v>
      </c>
      <c r="O1489" s="152" t="s">
        <v>3488</v>
      </c>
      <c r="P1489" s="152" t="s">
        <v>3489</v>
      </c>
      <c r="Q1489" s="152" t="s">
        <v>3490</v>
      </c>
      <c r="R1489" s="152" t="s">
        <v>4875</v>
      </c>
      <c r="S1489" s="152" t="s">
        <v>3492</v>
      </c>
      <c r="T1489" s="152" t="s">
        <v>786</v>
      </c>
    </row>
    <row r="1490" spans="3:20">
      <c r="C1490" s="152" t="s">
        <v>2821</v>
      </c>
      <c r="F1490" s="152" t="s">
        <v>371</v>
      </c>
      <c r="G1490" s="152" t="s">
        <v>353</v>
      </c>
      <c r="I1490" s="513">
        <v>4695300</v>
      </c>
      <c r="J1490" s="513">
        <v>3172.5</v>
      </c>
      <c r="K1490" s="513">
        <v>1480</v>
      </c>
      <c r="L1490" s="518" t="s">
        <v>3546</v>
      </c>
      <c r="M1490" s="152" t="s">
        <v>780</v>
      </c>
      <c r="N1490" s="152" t="s">
        <v>781</v>
      </c>
      <c r="O1490" s="152" t="s">
        <v>3547</v>
      </c>
      <c r="P1490" s="152" t="s">
        <v>2865</v>
      </c>
      <c r="Q1490" s="152" t="s">
        <v>3548</v>
      </c>
      <c r="R1490" s="152" t="s">
        <v>4876</v>
      </c>
      <c r="S1490" s="152" t="s">
        <v>3550</v>
      </c>
      <c r="T1490" s="152" t="s">
        <v>786</v>
      </c>
    </row>
    <row r="1491" spans="3:20">
      <c r="C1491" s="152" t="s">
        <v>2821</v>
      </c>
      <c r="F1491" s="152" t="s">
        <v>371</v>
      </c>
      <c r="G1491" s="152" t="s">
        <v>353</v>
      </c>
      <c r="I1491" s="513">
        <v>8946450</v>
      </c>
      <c r="J1491" s="513">
        <v>6345</v>
      </c>
      <c r="K1491" s="513">
        <v>1410</v>
      </c>
      <c r="L1491" s="518" t="s">
        <v>3567</v>
      </c>
      <c r="M1491" s="152" t="s">
        <v>780</v>
      </c>
      <c r="N1491" s="152" t="s">
        <v>781</v>
      </c>
      <c r="O1491" s="152" t="s">
        <v>3568</v>
      </c>
      <c r="P1491" s="152" t="s">
        <v>3489</v>
      </c>
      <c r="Q1491" s="152" t="s">
        <v>3569</v>
      </c>
      <c r="R1491" s="152" t="s">
        <v>4877</v>
      </c>
      <c r="S1491" s="152" t="s">
        <v>3571</v>
      </c>
      <c r="T1491" s="152" t="s">
        <v>786</v>
      </c>
    </row>
    <row r="1492" spans="3:20">
      <c r="C1492" s="152" t="s">
        <v>2821</v>
      </c>
      <c r="F1492" s="152" t="s">
        <v>371</v>
      </c>
      <c r="G1492" s="152" t="s">
        <v>353</v>
      </c>
      <c r="I1492" s="513">
        <v>4520100</v>
      </c>
      <c r="J1492" s="513">
        <v>3172</v>
      </c>
      <c r="K1492" s="513">
        <v>1425</v>
      </c>
      <c r="L1492" s="518" t="s">
        <v>3511</v>
      </c>
      <c r="M1492" s="152" t="s">
        <v>780</v>
      </c>
      <c r="N1492" s="152" t="s">
        <v>781</v>
      </c>
      <c r="O1492" s="152" t="s">
        <v>3562</v>
      </c>
      <c r="P1492" s="152" t="s">
        <v>3489</v>
      </c>
      <c r="Q1492" s="152" t="s">
        <v>3563</v>
      </c>
      <c r="R1492" s="152" t="s">
        <v>4878</v>
      </c>
      <c r="S1492" s="152" t="s">
        <v>3565</v>
      </c>
      <c r="T1492" s="152" t="s">
        <v>786</v>
      </c>
    </row>
    <row r="1493" spans="3:20">
      <c r="C1493" s="152" t="s">
        <v>2821</v>
      </c>
      <c r="F1493" s="152" t="s">
        <v>371</v>
      </c>
      <c r="G1493" s="152" t="s">
        <v>353</v>
      </c>
      <c r="I1493" s="513">
        <v>3788640</v>
      </c>
      <c r="J1493" s="513">
        <v>2631</v>
      </c>
      <c r="K1493" s="513">
        <v>1440</v>
      </c>
      <c r="L1493" s="518" t="s">
        <v>3546</v>
      </c>
      <c r="M1493" s="152" t="s">
        <v>780</v>
      </c>
      <c r="N1493" s="152" t="s">
        <v>781</v>
      </c>
      <c r="O1493" s="152" t="s">
        <v>3547</v>
      </c>
      <c r="P1493" s="152" t="s">
        <v>2865</v>
      </c>
      <c r="Q1493" s="152" t="s">
        <v>3548</v>
      </c>
      <c r="R1493" s="152" t="s">
        <v>4879</v>
      </c>
      <c r="S1493" s="152" t="s">
        <v>3550</v>
      </c>
      <c r="T1493" s="152" t="s">
        <v>786</v>
      </c>
    </row>
    <row r="1494" spans="3:20">
      <c r="C1494" s="152" t="s">
        <v>2821</v>
      </c>
      <c r="F1494" s="152" t="s">
        <v>371</v>
      </c>
      <c r="G1494" s="152" t="s">
        <v>353</v>
      </c>
      <c r="I1494" s="513">
        <v>3788640</v>
      </c>
      <c r="J1494" s="513">
        <v>2631</v>
      </c>
      <c r="K1494" s="513">
        <v>1440</v>
      </c>
      <c r="L1494" s="518" t="s">
        <v>3546</v>
      </c>
      <c r="M1494" s="152" t="s">
        <v>780</v>
      </c>
      <c r="N1494" s="152" t="s">
        <v>781</v>
      </c>
      <c r="O1494" s="152" t="s">
        <v>3547</v>
      </c>
      <c r="P1494" s="152" t="s">
        <v>2865</v>
      </c>
      <c r="Q1494" s="152" t="s">
        <v>3548</v>
      </c>
      <c r="R1494" s="152" t="s">
        <v>4880</v>
      </c>
      <c r="S1494" s="152" t="s">
        <v>3550</v>
      </c>
      <c r="T1494" s="152" t="s">
        <v>786</v>
      </c>
    </row>
    <row r="1495" spans="3:20">
      <c r="C1495" s="152" t="s">
        <v>2821</v>
      </c>
      <c r="F1495" s="152" t="s">
        <v>371</v>
      </c>
      <c r="G1495" s="152" t="s">
        <v>353</v>
      </c>
      <c r="I1495" s="513">
        <v>8122500</v>
      </c>
      <c r="J1495" s="513">
        <v>5700</v>
      </c>
      <c r="K1495" s="513">
        <v>1425</v>
      </c>
      <c r="L1495" s="518" t="s">
        <v>3487</v>
      </c>
      <c r="M1495" s="152" t="s">
        <v>780</v>
      </c>
      <c r="N1495" s="152" t="s">
        <v>781</v>
      </c>
      <c r="O1495" s="152" t="s">
        <v>3488</v>
      </c>
      <c r="P1495" s="152" t="s">
        <v>3489</v>
      </c>
      <c r="Q1495" s="152" t="s">
        <v>3490</v>
      </c>
      <c r="R1495" s="152" t="s">
        <v>4881</v>
      </c>
      <c r="S1495" s="152" t="s">
        <v>3492</v>
      </c>
      <c r="T1495" s="152" t="s">
        <v>786</v>
      </c>
    </row>
    <row r="1496" spans="3:20">
      <c r="C1496" s="152" t="s">
        <v>2821</v>
      </c>
      <c r="F1496" s="152" t="s">
        <v>371</v>
      </c>
      <c r="G1496" s="152" t="s">
        <v>353</v>
      </c>
      <c r="I1496" s="513">
        <v>5880000</v>
      </c>
      <c r="J1496" s="513">
        <v>4200</v>
      </c>
      <c r="K1496" s="513">
        <v>1400</v>
      </c>
      <c r="L1496" s="518" t="s">
        <v>3557</v>
      </c>
      <c r="M1496" s="152" t="s">
        <v>780</v>
      </c>
      <c r="N1496" s="152" t="s">
        <v>781</v>
      </c>
      <c r="O1496" s="152" t="s">
        <v>3558</v>
      </c>
      <c r="P1496" s="152" t="s">
        <v>3489</v>
      </c>
      <c r="Q1496" s="152" t="s">
        <v>3559</v>
      </c>
      <c r="R1496" s="152" t="s">
        <v>4882</v>
      </c>
      <c r="S1496" s="152" t="s">
        <v>3561</v>
      </c>
      <c r="T1496" s="152" t="s">
        <v>786</v>
      </c>
    </row>
    <row r="1497" spans="3:20">
      <c r="C1497" s="152" t="s">
        <v>2821</v>
      </c>
      <c r="F1497" s="152" t="s">
        <v>371</v>
      </c>
      <c r="G1497" s="152" t="s">
        <v>353</v>
      </c>
      <c r="I1497" s="513">
        <v>8122500</v>
      </c>
      <c r="J1497" s="513">
        <v>5700</v>
      </c>
      <c r="K1497" s="513">
        <v>1425</v>
      </c>
      <c r="L1497" s="518" t="s">
        <v>3487</v>
      </c>
      <c r="M1497" s="152" t="s">
        <v>780</v>
      </c>
      <c r="N1497" s="152" t="s">
        <v>781</v>
      </c>
      <c r="O1497" s="152" t="s">
        <v>3488</v>
      </c>
      <c r="P1497" s="152" t="s">
        <v>3489</v>
      </c>
      <c r="Q1497" s="152" t="s">
        <v>3490</v>
      </c>
      <c r="R1497" s="152" t="s">
        <v>4883</v>
      </c>
      <c r="S1497" s="152" t="s">
        <v>3492</v>
      </c>
      <c r="T1497" s="152" t="s">
        <v>786</v>
      </c>
    </row>
    <row r="1498" spans="3:20">
      <c r="C1498" s="152" t="s">
        <v>2821</v>
      </c>
      <c r="F1498" s="152" t="s">
        <v>371</v>
      </c>
      <c r="G1498" s="152" t="s">
        <v>353</v>
      </c>
      <c r="I1498" s="513">
        <v>5880000</v>
      </c>
      <c r="J1498" s="513">
        <v>4200</v>
      </c>
      <c r="K1498" s="513">
        <v>1400</v>
      </c>
      <c r="L1498" s="518" t="s">
        <v>3557</v>
      </c>
      <c r="M1498" s="152" t="s">
        <v>780</v>
      </c>
      <c r="N1498" s="152" t="s">
        <v>781</v>
      </c>
      <c r="O1498" s="152" t="s">
        <v>3558</v>
      </c>
      <c r="P1498" s="152" t="s">
        <v>3489</v>
      </c>
      <c r="Q1498" s="152" t="s">
        <v>3559</v>
      </c>
      <c r="R1498" s="152" t="s">
        <v>4884</v>
      </c>
      <c r="S1498" s="152" t="s">
        <v>3561</v>
      </c>
      <c r="T1498" s="152" t="s">
        <v>786</v>
      </c>
    </row>
    <row r="1499" spans="3:20">
      <c r="C1499" s="152" t="s">
        <v>2821</v>
      </c>
      <c r="F1499" s="152" t="s">
        <v>371</v>
      </c>
      <c r="G1499" s="152" t="s">
        <v>353</v>
      </c>
      <c r="I1499" s="513">
        <v>12521335</v>
      </c>
      <c r="J1499" s="513">
        <v>8849</v>
      </c>
      <c r="K1499" s="513">
        <v>1415</v>
      </c>
      <c r="L1499" s="518" t="s">
        <v>3511</v>
      </c>
      <c r="M1499" s="152" t="s">
        <v>780</v>
      </c>
      <c r="N1499" s="152" t="s">
        <v>781</v>
      </c>
      <c r="O1499" s="152" t="s">
        <v>3562</v>
      </c>
      <c r="P1499" s="152" t="s">
        <v>3489</v>
      </c>
      <c r="Q1499" s="152" t="s">
        <v>3563</v>
      </c>
      <c r="R1499" s="152" t="s">
        <v>4885</v>
      </c>
      <c r="S1499" s="152" t="s">
        <v>3565</v>
      </c>
      <c r="T1499" s="152" t="s">
        <v>786</v>
      </c>
    </row>
    <row r="1500" spans="3:20">
      <c r="C1500" s="152" t="s">
        <v>2821</v>
      </c>
      <c r="F1500" s="152" t="s">
        <v>371</v>
      </c>
      <c r="G1500" s="152" t="s">
        <v>353</v>
      </c>
      <c r="I1500" s="513">
        <v>-438253.8</v>
      </c>
      <c r="J1500" s="513">
        <v>-309.72000000000003</v>
      </c>
      <c r="K1500" s="513">
        <v>1415</v>
      </c>
      <c r="L1500" s="518" t="s">
        <v>3511</v>
      </c>
      <c r="M1500" s="152" t="s">
        <v>780</v>
      </c>
      <c r="N1500" s="152" t="s">
        <v>781</v>
      </c>
      <c r="O1500" s="152" t="s">
        <v>3530</v>
      </c>
      <c r="P1500" s="152" t="s">
        <v>3489</v>
      </c>
      <c r="Q1500" s="152" t="s">
        <v>3531</v>
      </c>
      <c r="R1500" s="152" t="s">
        <v>4886</v>
      </c>
      <c r="S1500" s="152" t="s">
        <v>3533</v>
      </c>
      <c r="T1500" s="152" t="s">
        <v>786</v>
      </c>
    </row>
    <row r="1501" spans="3:20">
      <c r="C1501" s="152" t="s">
        <v>2821</v>
      </c>
      <c r="F1501" s="152" t="s">
        <v>371</v>
      </c>
      <c r="G1501" s="152" t="s">
        <v>353</v>
      </c>
      <c r="I1501" s="513">
        <v>-15609.55</v>
      </c>
      <c r="J1501" s="513">
        <v>-11.11</v>
      </c>
      <c r="K1501" s="513">
        <v>1405</v>
      </c>
      <c r="L1501" s="518" t="s">
        <v>3493</v>
      </c>
      <c r="M1501" s="152" t="s">
        <v>780</v>
      </c>
      <c r="N1501" s="152" t="s">
        <v>781</v>
      </c>
      <c r="O1501" s="152" t="s">
        <v>4124</v>
      </c>
      <c r="P1501" s="152" t="s">
        <v>3489</v>
      </c>
      <c r="Q1501" s="152" t="s">
        <v>4125</v>
      </c>
      <c r="R1501" s="152" t="s">
        <v>4888</v>
      </c>
      <c r="S1501" s="152" t="s">
        <v>4127</v>
      </c>
      <c r="T1501" s="152" t="s">
        <v>786</v>
      </c>
    </row>
    <row r="1502" spans="3:20">
      <c r="C1502" s="152" t="s">
        <v>2821</v>
      </c>
      <c r="F1502" s="152" t="s">
        <v>371</v>
      </c>
      <c r="G1502" s="152" t="s">
        <v>353</v>
      </c>
      <c r="I1502" s="513">
        <v>-4531800</v>
      </c>
      <c r="J1502" s="513">
        <v>-3237</v>
      </c>
      <c r="K1502" s="513">
        <v>1400</v>
      </c>
      <c r="L1502" s="518" t="s">
        <v>3567</v>
      </c>
      <c r="M1502" s="152" t="s">
        <v>780</v>
      </c>
      <c r="N1502" s="152" t="s">
        <v>781</v>
      </c>
      <c r="O1502" s="152" t="s">
        <v>4889</v>
      </c>
      <c r="P1502" s="152" t="s">
        <v>3489</v>
      </c>
      <c r="Q1502" s="152" t="s">
        <v>4890</v>
      </c>
      <c r="R1502" s="152" t="s">
        <v>4891</v>
      </c>
      <c r="S1502" s="152" t="s">
        <v>4892</v>
      </c>
      <c r="T1502" s="152" t="s">
        <v>786</v>
      </c>
    </row>
    <row r="1503" spans="3:20">
      <c r="C1503" s="152" t="s">
        <v>2821</v>
      </c>
      <c r="F1503" s="152" t="s">
        <v>371</v>
      </c>
      <c r="G1503" s="152" t="s">
        <v>353</v>
      </c>
      <c r="I1503" s="513">
        <v>-73084.75</v>
      </c>
      <c r="J1503" s="513">
        <v>-51.65</v>
      </c>
      <c r="K1503" s="513">
        <v>1415</v>
      </c>
      <c r="L1503" s="518" t="s">
        <v>3511</v>
      </c>
      <c r="M1503" s="152" t="s">
        <v>780</v>
      </c>
      <c r="N1503" s="152" t="s">
        <v>781</v>
      </c>
      <c r="O1503" s="152" t="s">
        <v>3530</v>
      </c>
      <c r="P1503" s="152" t="s">
        <v>3489</v>
      </c>
      <c r="Q1503" s="152" t="s">
        <v>3531</v>
      </c>
      <c r="R1503" s="152" t="s">
        <v>4897</v>
      </c>
      <c r="S1503" s="152" t="s">
        <v>3533</v>
      </c>
      <c r="T1503" s="152" t="s">
        <v>786</v>
      </c>
    </row>
    <row r="1504" spans="3:20">
      <c r="C1504" s="152" t="s">
        <v>2821</v>
      </c>
      <c r="F1504" s="152" t="s">
        <v>371</v>
      </c>
      <c r="G1504" s="152" t="s">
        <v>353</v>
      </c>
      <c r="I1504" s="513">
        <v>-15609.55</v>
      </c>
      <c r="J1504" s="513">
        <v>-11.11</v>
      </c>
      <c r="K1504" s="513">
        <v>1405</v>
      </c>
      <c r="L1504" s="518" t="s">
        <v>3493</v>
      </c>
      <c r="M1504" s="152" t="s">
        <v>780</v>
      </c>
      <c r="N1504" s="152" t="s">
        <v>1272</v>
      </c>
      <c r="O1504" s="152" t="s">
        <v>4124</v>
      </c>
      <c r="P1504" s="152" t="s">
        <v>3489</v>
      </c>
      <c r="Q1504" s="152" t="s">
        <v>4125</v>
      </c>
      <c r="R1504" s="152" t="s">
        <v>4909</v>
      </c>
      <c r="S1504" s="152" t="s">
        <v>4127</v>
      </c>
      <c r="T1504" s="152" t="s">
        <v>786</v>
      </c>
    </row>
    <row r="1505" spans="1:20">
      <c r="C1505" s="152" t="s">
        <v>2821</v>
      </c>
      <c r="F1505" s="152" t="s">
        <v>371</v>
      </c>
      <c r="G1505" s="152" t="s">
        <v>353</v>
      </c>
      <c r="I1505" s="513">
        <v>5252400</v>
      </c>
      <c r="J1505" s="513">
        <v>3647.5</v>
      </c>
      <c r="K1505" s="513">
        <v>1440</v>
      </c>
      <c r="L1505" s="518" t="s">
        <v>3487</v>
      </c>
      <c r="M1505" s="152" t="s">
        <v>780</v>
      </c>
      <c r="N1505" s="152" t="s">
        <v>1272</v>
      </c>
      <c r="O1505" s="152" t="s">
        <v>3488</v>
      </c>
      <c r="P1505" s="152" t="s">
        <v>3489</v>
      </c>
      <c r="Q1505" s="152" t="s">
        <v>3490</v>
      </c>
      <c r="R1505" s="152" t="s">
        <v>4910</v>
      </c>
      <c r="S1505" s="152" t="s">
        <v>3492</v>
      </c>
      <c r="T1505" s="152" t="s">
        <v>786</v>
      </c>
    </row>
    <row r="1506" spans="1:20">
      <c r="C1506" s="152" t="s">
        <v>2821</v>
      </c>
      <c r="F1506" s="152" t="s">
        <v>371</v>
      </c>
      <c r="G1506" s="152" t="s">
        <v>353</v>
      </c>
      <c r="I1506" s="513">
        <v>-5124737.5</v>
      </c>
      <c r="J1506" s="513">
        <v>-3647.5</v>
      </c>
      <c r="K1506" s="513">
        <v>1405</v>
      </c>
      <c r="L1506" s="518" t="s">
        <v>3493</v>
      </c>
      <c r="M1506" s="152" t="s">
        <v>780</v>
      </c>
      <c r="N1506" s="152" t="s">
        <v>1272</v>
      </c>
      <c r="O1506" s="152" t="s">
        <v>4124</v>
      </c>
      <c r="P1506" s="152" t="s">
        <v>3489</v>
      </c>
      <c r="Q1506" s="152" t="s">
        <v>4125</v>
      </c>
      <c r="R1506" s="152" t="s">
        <v>4911</v>
      </c>
      <c r="S1506" s="152" t="s">
        <v>4127</v>
      </c>
      <c r="T1506" s="152" t="s">
        <v>786</v>
      </c>
    </row>
    <row r="1507" spans="1:20">
      <c r="C1507" s="152" t="s">
        <v>2821</v>
      </c>
      <c r="F1507" s="152" t="s">
        <v>371</v>
      </c>
      <c r="G1507" s="152" t="s">
        <v>353</v>
      </c>
      <c r="I1507" s="513">
        <v>-15911625</v>
      </c>
      <c r="J1507" s="513">
        <v>-11325</v>
      </c>
      <c r="K1507" s="513">
        <v>1405</v>
      </c>
      <c r="L1507" s="518" t="s">
        <v>3493</v>
      </c>
      <c r="M1507" s="152" t="s">
        <v>780</v>
      </c>
      <c r="N1507" s="152" t="s">
        <v>1272</v>
      </c>
      <c r="O1507" s="152" t="s">
        <v>4124</v>
      </c>
      <c r="P1507" s="152" t="s">
        <v>3489</v>
      </c>
      <c r="Q1507" s="152" t="s">
        <v>4125</v>
      </c>
      <c r="R1507" s="152" t="s">
        <v>4912</v>
      </c>
      <c r="S1507" s="152" t="s">
        <v>4127</v>
      </c>
      <c r="T1507" s="152" t="s">
        <v>786</v>
      </c>
    </row>
    <row r="1508" spans="1:20">
      <c r="C1508" s="152" t="s">
        <v>2821</v>
      </c>
      <c r="F1508" s="152" t="s">
        <v>371</v>
      </c>
      <c r="G1508" s="152" t="s">
        <v>353</v>
      </c>
      <c r="I1508" s="513">
        <v>-5124737.5</v>
      </c>
      <c r="J1508" s="513">
        <v>-3647.5</v>
      </c>
      <c r="K1508" s="513">
        <v>1405</v>
      </c>
      <c r="L1508" s="518" t="s">
        <v>3493</v>
      </c>
      <c r="M1508" s="152" t="s">
        <v>780</v>
      </c>
      <c r="N1508" s="152" t="s">
        <v>1272</v>
      </c>
      <c r="O1508" s="152" t="s">
        <v>4124</v>
      </c>
      <c r="P1508" s="152" t="s">
        <v>3489</v>
      </c>
      <c r="Q1508" s="152" t="s">
        <v>4125</v>
      </c>
      <c r="R1508" s="152" t="s">
        <v>4913</v>
      </c>
      <c r="S1508" s="152" t="s">
        <v>4127</v>
      </c>
      <c r="T1508" s="152" t="s">
        <v>786</v>
      </c>
    </row>
    <row r="1509" spans="1:20">
      <c r="C1509" s="152" t="s">
        <v>2821</v>
      </c>
      <c r="F1509" s="152" t="s">
        <v>371</v>
      </c>
      <c r="G1509" s="152" t="s">
        <v>353</v>
      </c>
      <c r="I1509" s="513">
        <v>-5124737.5</v>
      </c>
      <c r="J1509" s="513">
        <v>-3647.5</v>
      </c>
      <c r="K1509" s="513">
        <v>1405</v>
      </c>
      <c r="L1509" s="518" t="s">
        <v>3493</v>
      </c>
      <c r="M1509" s="152" t="s">
        <v>780</v>
      </c>
      <c r="N1509" s="152" t="s">
        <v>1272</v>
      </c>
      <c r="O1509" s="152" t="s">
        <v>4124</v>
      </c>
      <c r="P1509" s="152" t="s">
        <v>3489</v>
      </c>
      <c r="Q1509" s="152" t="s">
        <v>4125</v>
      </c>
      <c r="R1509" s="152" t="s">
        <v>4914</v>
      </c>
      <c r="S1509" s="152" t="s">
        <v>4127</v>
      </c>
      <c r="T1509" s="152" t="s">
        <v>786</v>
      </c>
    </row>
    <row r="1510" spans="1:20">
      <c r="C1510" s="152" t="s">
        <v>2821</v>
      </c>
      <c r="F1510" s="152" t="s">
        <v>371</v>
      </c>
      <c r="G1510" s="152" t="s">
        <v>353</v>
      </c>
      <c r="I1510" s="513">
        <v>-5124737.5</v>
      </c>
      <c r="J1510" s="513">
        <v>-3647.5</v>
      </c>
      <c r="K1510" s="513">
        <v>1405</v>
      </c>
      <c r="L1510" s="518" t="s">
        <v>3493</v>
      </c>
      <c r="M1510" s="152" t="s">
        <v>780</v>
      </c>
      <c r="N1510" s="152" t="s">
        <v>1272</v>
      </c>
      <c r="O1510" s="152" t="s">
        <v>4124</v>
      </c>
      <c r="P1510" s="152" t="s">
        <v>3489</v>
      </c>
      <c r="Q1510" s="152" t="s">
        <v>4125</v>
      </c>
      <c r="R1510" s="152" t="s">
        <v>4915</v>
      </c>
      <c r="S1510" s="152" t="s">
        <v>4127</v>
      </c>
      <c r="T1510" s="152" t="s">
        <v>786</v>
      </c>
    </row>
    <row r="1511" spans="1:20">
      <c r="C1511" s="152" t="s">
        <v>2821</v>
      </c>
      <c r="F1511" s="152" t="s">
        <v>371</v>
      </c>
      <c r="G1511" s="152" t="s">
        <v>353</v>
      </c>
      <c r="I1511" s="513">
        <v>5197687.5</v>
      </c>
      <c r="J1511" s="513">
        <v>3647.5</v>
      </c>
      <c r="K1511" s="513">
        <v>1425</v>
      </c>
      <c r="L1511" s="518" t="s">
        <v>3487</v>
      </c>
      <c r="M1511" s="152" t="s">
        <v>780</v>
      </c>
      <c r="N1511" s="152" t="s">
        <v>1272</v>
      </c>
      <c r="O1511" s="152" t="s">
        <v>3488</v>
      </c>
      <c r="P1511" s="152" t="s">
        <v>3489</v>
      </c>
      <c r="Q1511" s="152" t="s">
        <v>3490</v>
      </c>
      <c r="R1511" s="152" t="s">
        <v>4916</v>
      </c>
      <c r="S1511" s="152" t="s">
        <v>3492</v>
      </c>
      <c r="T1511" s="152" t="s">
        <v>786</v>
      </c>
    </row>
    <row r="1512" spans="1:20">
      <c r="C1512" s="152" t="s">
        <v>2821</v>
      </c>
      <c r="F1512" s="152" t="s">
        <v>371</v>
      </c>
      <c r="G1512" s="152" t="s">
        <v>353</v>
      </c>
      <c r="I1512" s="513">
        <v>11639550</v>
      </c>
      <c r="J1512" s="513">
        <v>8255</v>
      </c>
      <c r="K1512" s="513">
        <v>1410</v>
      </c>
      <c r="L1512" s="518" t="s">
        <v>3567</v>
      </c>
      <c r="M1512" s="152" t="s">
        <v>780</v>
      </c>
      <c r="N1512" s="152" t="s">
        <v>1272</v>
      </c>
      <c r="O1512" s="152" t="s">
        <v>3568</v>
      </c>
      <c r="P1512" s="152" t="s">
        <v>3489</v>
      </c>
      <c r="Q1512" s="152" t="s">
        <v>3569</v>
      </c>
      <c r="R1512" s="152" t="s">
        <v>4917</v>
      </c>
      <c r="S1512" s="152" t="s">
        <v>3571</v>
      </c>
      <c r="T1512" s="152" t="s">
        <v>786</v>
      </c>
    </row>
    <row r="1513" spans="1:20">
      <c r="C1513" s="152" t="s">
        <v>2821</v>
      </c>
      <c r="F1513" s="152" t="s">
        <v>371</v>
      </c>
      <c r="G1513" s="152" t="s">
        <v>353</v>
      </c>
      <c r="I1513" s="513">
        <v>15666000</v>
      </c>
      <c r="J1513" s="513">
        <v>11190</v>
      </c>
      <c r="K1513" s="513">
        <v>1400</v>
      </c>
      <c r="L1513" s="518" t="s">
        <v>3557</v>
      </c>
      <c r="M1513" s="152" t="s">
        <v>780</v>
      </c>
      <c r="N1513" s="152" t="s">
        <v>1272</v>
      </c>
      <c r="O1513" s="152" t="s">
        <v>3558</v>
      </c>
      <c r="P1513" s="152" t="s">
        <v>3489</v>
      </c>
      <c r="Q1513" s="152" t="s">
        <v>3559</v>
      </c>
      <c r="R1513" s="152" t="s">
        <v>4918</v>
      </c>
      <c r="S1513" s="152" t="s">
        <v>3561</v>
      </c>
      <c r="T1513" s="152" t="s">
        <v>786</v>
      </c>
    </row>
    <row r="1514" spans="1:20">
      <c r="C1514" s="152" t="s">
        <v>2821</v>
      </c>
      <c r="F1514" s="152" t="s">
        <v>371</v>
      </c>
      <c r="G1514" s="152" t="s">
        <v>353</v>
      </c>
      <c r="I1514" s="513">
        <v>4167175</v>
      </c>
      <c r="J1514" s="513">
        <v>2945</v>
      </c>
      <c r="K1514" s="513">
        <v>1415</v>
      </c>
      <c r="L1514" s="518" t="s">
        <v>3511</v>
      </c>
      <c r="M1514" s="152" t="s">
        <v>1540</v>
      </c>
      <c r="N1514" s="152" t="s">
        <v>1272</v>
      </c>
      <c r="O1514" s="152" t="s">
        <v>5622</v>
      </c>
      <c r="P1514" s="152" t="s">
        <v>5400</v>
      </c>
      <c r="Q1514" s="152" t="s">
        <v>5623</v>
      </c>
      <c r="R1514" s="152" t="s">
        <v>5623</v>
      </c>
      <c r="S1514" s="152" t="s">
        <v>5624</v>
      </c>
      <c r="T1514" s="152" t="s">
        <v>786</v>
      </c>
    </row>
    <row r="1515" spans="1:20">
      <c r="C1515" s="152" t="s">
        <v>2821</v>
      </c>
      <c r="F1515" s="152" t="s">
        <v>371</v>
      </c>
      <c r="G1515" s="152" t="s">
        <v>353</v>
      </c>
      <c r="I1515" s="513">
        <v>-4167175</v>
      </c>
      <c r="J1515" s="513">
        <v>-2945</v>
      </c>
      <c r="K1515" s="513">
        <v>1415</v>
      </c>
      <c r="L1515" s="518" t="s">
        <v>3511</v>
      </c>
      <c r="M1515" s="152" t="s">
        <v>1540</v>
      </c>
      <c r="N1515" s="152" t="s">
        <v>1272</v>
      </c>
      <c r="O1515" s="152" t="s">
        <v>5661</v>
      </c>
      <c r="P1515" s="152" t="s">
        <v>5400</v>
      </c>
      <c r="Q1515" s="152" t="s">
        <v>5662</v>
      </c>
      <c r="R1515" s="152" t="s">
        <v>5662</v>
      </c>
      <c r="S1515" s="152" t="s">
        <v>5663</v>
      </c>
      <c r="T1515" s="152" t="s">
        <v>786</v>
      </c>
    </row>
    <row r="1516" spans="1:20">
      <c r="A1516" s="509"/>
      <c r="B1516" s="330"/>
      <c r="C1516" s="152" t="s">
        <v>2821</v>
      </c>
      <c r="F1516" s="152" t="s">
        <v>371</v>
      </c>
      <c r="G1516" s="152" t="s">
        <v>353</v>
      </c>
      <c r="I1516" s="513">
        <v>1881000</v>
      </c>
      <c r="J1516" s="513">
        <v>1320</v>
      </c>
      <c r="K1516" s="513">
        <v>1425</v>
      </c>
      <c r="L1516" s="518" t="s">
        <v>3487</v>
      </c>
      <c r="M1516" s="152" t="s">
        <v>780</v>
      </c>
      <c r="N1516" s="152" t="s">
        <v>1407</v>
      </c>
      <c r="O1516" s="152" t="s">
        <v>3488</v>
      </c>
      <c r="P1516" s="152" t="s">
        <v>3489</v>
      </c>
      <c r="Q1516" s="152" t="s">
        <v>3490</v>
      </c>
      <c r="R1516" s="152" t="s">
        <v>3491</v>
      </c>
      <c r="S1516" s="152" t="s">
        <v>3492</v>
      </c>
      <c r="T1516" s="152" t="s">
        <v>786</v>
      </c>
    </row>
    <row r="1517" spans="1:20">
      <c r="C1517" s="152" t="s">
        <v>2821</v>
      </c>
      <c r="F1517" s="152" t="s">
        <v>371</v>
      </c>
      <c r="G1517" s="152" t="s">
        <v>353</v>
      </c>
      <c r="I1517" s="513">
        <v>4768550</v>
      </c>
      <c r="J1517" s="513">
        <v>3370</v>
      </c>
      <c r="K1517" s="513">
        <v>1415</v>
      </c>
      <c r="L1517" s="518" t="s">
        <v>3493</v>
      </c>
      <c r="M1517" s="152" t="s">
        <v>780</v>
      </c>
      <c r="N1517" s="152" t="s">
        <v>1407</v>
      </c>
      <c r="O1517" s="152" t="s">
        <v>3494</v>
      </c>
      <c r="P1517" s="152" t="s">
        <v>3489</v>
      </c>
      <c r="Q1517" s="152" t="s">
        <v>3495</v>
      </c>
      <c r="R1517" s="152" t="s">
        <v>3496</v>
      </c>
      <c r="S1517" s="152" t="s">
        <v>3497</v>
      </c>
      <c r="T1517" s="152" t="s">
        <v>786</v>
      </c>
    </row>
    <row r="1518" spans="1:20">
      <c r="C1518" s="152" t="s">
        <v>2821</v>
      </c>
      <c r="F1518" s="152" t="s">
        <v>371</v>
      </c>
      <c r="G1518" s="152" t="s">
        <v>353</v>
      </c>
      <c r="I1518" s="513">
        <v>127774.5</v>
      </c>
      <c r="J1518" s="513">
        <v>90.3</v>
      </c>
      <c r="K1518" s="513">
        <v>1415</v>
      </c>
      <c r="L1518" s="518" t="s">
        <v>3511</v>
      </c>
      <c r="M1518" s="152" t="s">
        <v>780</v>
      </c>
      <c r="N1518" s="152" t="s">
        <v>1407</v>
      </c>
      <c r="O1518" s="152" t="s">
        <v>3526</v>
      </c>
      <c r="P1518" s="152" t="s">
        <v>3489</v>
      </c>
      <c r="Q1518" s="152" t="s">
        <v>3527</v>
      </c>
      <c r="R1518" s="152" t="s">
        <v>3528</v>
      </c>
      <c r="S1518" s="152" t="s">
        <v>3529</v>
      </c>
      <c r="T1518" s="152" t="s">
        <v>786</v>
      </c>
    </row>
    <row r="1519" spans="1:20">
      <c r="C1519" s="152" t="s">
        <v>2821</v>
      </c>
      <c r="F1519" s="152" t="s">
        <v>371</v>
      </c>
      <c r="G1519" s="152" t="s">
        <v>353</v>
      </c>
      <c r="I1519" s="513">
        <v>-132245.9</v>
      </c>
      <c r="J1519" s="513">
        <v>-93.46</v>
      </c>
      <c r="K1519" s="513">
        <v>1415</v>
      </c>
      <c r="L1519" s="518" t="s">
        <v>3511</v>
      </c>
      <c r="M1519" s="152" t="s">
        <v>780</v>
      </c>
      <c r="N1519" s="152" t="s">
        <v>1407</v>
      </c>
      <c r="O1519" s="152" t="s">
        <v>3530</v>
      </c>
      <c r="P1519" s="152" t="s">
        <v>3489</v>
      </c>
      <c r="Q1519" s="152" t="s">
        <v>3531</v>
      </c>
      <c r="R1519" s="152" t="s">
        <v>3532</v>
      </c>
      <c r="S1519" s="152" t="s">
        <v>3533</v>
      </c>
      <c r="T1519" s="152" t="s">
        <v>786</v>
      </c>
    </row>
    <row r="1520" spans="1:20">
      <c r="C1520" s="152" t="s">
        <v>2821</v>
      </c>
      <c r="F1520" s="152" t="s">
        <v>371</v>
      </c>
      <c r="G1520" s="152" t="s">
        <v>353</v>
      </c>
      <c r="I1520" s="513">
        <v>190275.05</v>
      </c>
      <c r="J1520" s="513">
        <v>134.47</v>
      </c>
      <c r="K1520" s="513">
        <v>1415</v>
      </c>
      <c r="L1520" s="518" t="s">
        <v>3511</v>
      </c>
      <c r="M1520" s="152" t="s">
        <v>780</v>
      </c>
      <c r="N1520" s="152" t="s">
        <v>1407</v>
      </c>
      <c r="O1520" s="152" t="s">
        <v>3526</v>
      </c>
      <c r="P1520" s="152" t="s">
        <v>3489</v>
      </c>
      <c r="Q1520" s="152" t="s">
        <v>3527</v>
      </c>
      <c r="R1520" s="152" t="s">
        <v>3534</v>
      </c>
      <c r="S1520" s="152" t="s">
        <v>3529</v>
      </c>
      <c r="T1520" s="152" t="s">
        <v>786</v>
      </c>
    </row>
    <row r="1521" spans="3:20">
      <c r="C1521" s="152" t="s">
        <v>2821</v>
      </c>
      <c r="F1521" s="152" t="s">
        <v>371</v>
      </c>
      <c r="G1521" s="152" t="s">
        <v>353</v>
      </c>
      <c r="I1521" s="513">
        <v>-196925.55</v>
      </c>
      <c r="J1521" s="513">
        <v>-139.16999999999999</v>
      </c>
      <c r="K1521" s="513">
        <v>1415</v>
      </c>
      <c r="L1521" s="518" t="s">
        <v>3511</v>
      </c>
      <c r="M1521" s="152" t="s">
        <v>780</v>
      </c>
      <c r="N1521" s="152" t="s">
        <v>1407</v>
      </c>
      <c r="O1521" s="152" t="s">
        <v>3530</v>
      </c>
      <c r="P1521" s="152" t="s">
        <v>3489</v>
      </c>
      <c r="Q1521" s="152" t="s">
        <v>3531</v>
      </c>
      <c r="R1521" s="152" t="s">
        <v>3535</v>
      </c>
      <c r="S1521" s="152" t="s">
        <v>3533</v>
      </c>
      <c r="T1521" s="152" t="s">
        <v>786</v>
      </c>
    </row>
    <row r="1522" spans="3:20">
      <c r="C1522" s="152" t="s">
        <v>2821</v>
      </c>
      <c r="F1522" s="152" t="s">
        <v>371</v>
      </c>
      <c r="G1522" s="152" t="s">
        <v>353</v>
      </c>
      <c r="I1522" s="513">
        <v>190176</v>
      </c>
      <c r="J1522" s="513">
        <v>134.4</v>
      </c>
      <c r="K1522" s="513">
        <v>1415</v>
      </c>
      <c r="L1522" s="518" t="s">
        <v>3511</v>
      </c>
      <c r="M1522" s="152" t="s">
        <v>780</v>
      </c>
      <c r="N1522" s="152" t="s">
        <v>1407</v>
      </c>
      <c r="O1522" s="152" t="s">
        <v>3526</v>
      </c>
      <c r="P1522" s="152" t="s">
        <v>3489</v>
      </c>
      <c r="Q1522" s="152" t="s">
        <v>3527</v>
      </c>
      <c r="R1522" s="152" t="s">
        <v>3536</v>
      </c>
      <c r="S1522" s="152" t="s">
        <v>3529</v>
      </c>
      <c r="T1522" s="152" t="s">
        <v>786</v>
      </c>
    </row>
    <row r="1523" spans="3:20">
      <c r="C1523" s="152" t="s">
        <v>2821</v>
      </c>
      <c r="F1523" s="152" t="s">
        <v>371</v>
      </c>
      <c r="G1523" s="152" t="s">
        <v>353</v>
      </c>
      <c r="I1523" s="513">
        <v>-196826.5</v>
      </c>
      <c r="J1523" s="513">
        <v>-139.1</v>
      </c>
      <c r="K1523" s="513">
        <v>1415</v>
      </c>
      <c r="L1523" s="518" t="s">
        <v>3511</v>
      </c>
      <c r="M1523" s="152" t="s">
        <v>780</v>
      </c>
      <c r="N1523" s="152" t="s">
        <v>1407</v>
      </c>
      <c r="O1523" s="152" t="s">
        <v>3530</v>
      </c>
      <c r="P1523" s="152" t="s">
        <v>3489</v>
      </c>
      <c r="Q1523" s="152" t="s">
        <v>3531</v>
      </c>
      <c r="R1523" s="152" t="s">
        <v>3537</v>
      </c>
      <c r="S1523" s="152" t="s">
        <v>3533</v>
      </c>
      <c r="T1523" s="152" t="s">
        <v>786</v>
      </c>
    </row>
    <row r="1524" spans="3:20">
      <c r="C1524" s="152" t="s">
        <v>2821</v>
      </c>
      <c r="F1524" s="152" t="s">
        <v>371</v>
      </c>
      <c r="G1524" s="152" t="s">
        <v>353</v>
      </c>
      <c r="I1524" s="513">
        <v>455630</v>
      </c>
      <c r="J1524" s="513">
        <v>322</v>
      </c>
      <c r="K1524" s="513">
        <v>1415</v>
      </c>
      <c r="L1524" s="518" t="s">
        <v>3511</v>
      </c>
      <c r="M1524" s="152" t="s">
        <v>780</v>
      </c>
      <c r="N1524" s="152" t="s">
        <v>1407</v>
      </c>
      <c r="O1524" s="152" t="s">
        <v>3526</v>
      </c>
      <c r="P1524" s="152" t="s">
        <v>3489</v>
      </c>
      <c r="Q1524" s="152" t="s">
        <v>3527</v>
      </c>
      <c r="R1524" s="152" t="s">
        <v>3538</v>
      </c>
      <c r="S1524" s="152" t="s">
        <v>3529</v>
      </c>
      <c r="T1524" s="152" t="s">
        <v>786</v>
      </c>
    </row>
    <row r="1525" spans="3:20">
      <c r="C1525" s="152" t="s">
        <v>2821</v>
      </c>
      <c r="F1525" s="152" t="s">
        <v>371</v>
      </c>
      <c r="G1525" s="152" t="s">
        <v>353</v>
      </c>
      <c r="I1525" s="513">
        <v>15848</v>
      </c>
      <c r="J1525" s="513">
        <v>11.2</v>
      </c>
      <c r="K1525" s="513">
        <v>1415</v>
      </c>
      <c r="L1525" s="518" t="s">
        <v>3511</v>
      </c>
      <c r="M1525" s="152" t="s">
        <v>780</v>
      </c>
      <c r="N1525" s="152" t="s">
        <v>1407</v>
      </c>
      <c r="O1525" s="152" t="s">
        <v>3526</v>
      </c>
      <c r="P1525" s="152" t="s">
        <v>3489</v>
      </c>
      <c r="Q1525" s="152" t="s">
        <v>3527</v>
      </c>
      <c r="R1525" s="152" t="s">
        <v>3538</v>
      </c>
      <c r="S1525" s="152" t="s">
        <v>3529</v>
      </c>
      <c r="T1525" s="152" t="s">
        <v>786</v>
      </c>
    </row>
    <row r="1526" spans="3:20">
      <c r="C1526" s="152" t="s">
        <v>2821</v>
      </c>
      <c r="F1526" s="152" t="s">
        <v>371</v>
      </c>
      <c r="G1526" s="152" t="s">
        <v>353</v>
      </c>
      <c r="I1526" s="513">
        <v>-471562.9</v>
      </c>
      <c r="J1526" s="513">
        <v>-333.26</v>
      </c>
      <c r="K1526" s="513">
        <v>1415</v>
      </c>
      <c r="L1526" s="518" t="s">
        <v>3511</v>
      </c>
      <c r="M1526" s="152" t="s">
        <v>780</v>
      </c>
      <c r="N1526" s="152" t="s">
        <v>1407</v>
      </c>
      <c r="O1526" s="152" t="s">
        <v>3530</v>
      </c>
      <c r="P1526" s="152" t="s">
        <v>3489</v>
      </c>
      <c r="Q1526" s="152" t="s">
        <v>3531</v>
      </c>
      <c r="R1526" s="152" t="s">
        <v>3539</v>
      </c>
      <c r="S1526" s="152" t="s">
        <v>3533</v>
      </c>
      <c r="T1526" s="152" t="s">
        <v>786</v>
      </c>
    </row>
    <row r="1527" spans="3:20">
      <c r="C1527" s="152" t="s">
        <v>2821</v>
      </c>
      <c r="F1527" s="152" t="s">
        <v>371</v>
      </c>
      <c r="G1527" s="152" t="s">
        <v>353</v>
      </c>
      <c r="I1527" s="513">
        <v>-16399.849999999999</v>
      </c>
      <c r="J1527" s="513">
        <v>-11.59</v>
      </c>
      <c r="K1527" s="513">
        <v>1415</v>
      </c>
      <c r="L1527" s="518" t="s">
        <v>3511</v>
      </c>
      <c r="M1527" s="152" t="s">
        <v>780</v>
      </c>
      <c r="N1527" s="152" t="s">
        <v>1407</v>
      </c>
      <c r="O1527" s="152" t="s">
        <v>3530</v>
      </c>
      <c r="P1527" s="152" t="s">
        <v>3489</v>
      </c>
      <c r="Q1527" s="152" t="s">
        <v>3531</v>
      </c>
      <c r="R1527" s="152" t="s">
        <v>3539</v>
      </c>
      <c r="S1527" s="152" t="s">
        <v>3533</v>
      </c>
      <c r="T1527" s="152" t="s">
        <v>786</v>
      </c>
    </row>
    <row r="1528" spans="3:20">
      <c r="C1528" s="152" t="s">
        <v>2821</v>
      </c>
      <c r="F1528" s="152" t="s">
        <v>371</v>
      </c>
      <c r="G1528" s="152" t="s">
        <v>353</v>
      </c>
      <c r="I1528" s="513">
        <v>104158.15</v>
      </c>
      <c r="J1528" s="513">
        <v>73.61</v>
      </c>
      <c r="K1528" s="513">
        <v>1415</v>
      </c>
      <c r="L1528" s="518" t="s">
        <v>3511</v>
      </c>
      <c r="M1528" s="152" t="s">
        <v>780</v>
      </c>
      <c r="N1528" s="152" t="s">
        <v>1407</v>
      </c>
      <c r="O1528" s="152" t="s">
        <v>3526</v>
      </c>
      <c r="P1528" s="152" t="s">
        <v>3489</v>
      </c>
      <c r="Q1528" s="152" t="s">
        <v>3527</v>
      </c>
      <c r="R1528" s="152" t="s">
        <v>3540</v>
      </c>
      <c r="S1528" s="152" t="s">
        <v>3529</v>
      </c>
      <c r="T1528" s="152" t="s">
        <v>786</v>
      </c>
    </row>
    <row r="1529" spans="3:20">
      <c r="C1529" s="152" t="s">
        <v>2821</v>
      </c>
      <c r="F1529" s="152" t="s">
        <v>371</v>
      </c>
      <c r="G1529" s="152" t="s">
        <v>353</v>
      </c>
      <c r="I1529" s="513">
        <v>-107794.7</v>
      </c>
      <c r="J1529" s="513">
        <v>-76.180000000000007</v>
      </c>
      <c r="K1529" s="513">
        <v>1415</v>
      </c>
      <c r="L1529" s="518" t="s">
        <v>3511</v>
      </c>
      <c r="M1529" s="152" t="s">
        <v>780</v>
      </c>
      <c r="N1529" s="152" t="s">
        <v>1407</v>
      </c>
      <c r="O1529" s="152" t="s">
        <v>3530</v>
      </c>
      <c r="P1529" s="152" t="s">
        <v>3489</v>
      </c>
      <c r="Q1529" s="152" t="s">
        <v>3531</v>
      </c>
      <c r="R1529" s="152" t="s">
        <v>3541</v>
      </c>
      <c r="S1529" s="152" t="s">
        <v>3533</v>
      </c>
      <c r="T1529" s="152" t="s">
        <v>786</v>
      </c>
    </row>
    <row r="1530" spans="3:20">
      <c r="C1530" s="152" t="s">
        <v>2821</v>
      </c>
      <c r="F1530" s="152" t="s">
        <v>371</v>
      </c>
      <c r="G1530" s="152" t="s">
        <v>353</v>
      </c>
      <c r="I1530" s="513">
        <v>200307.4</v>
      </c>
      <c r="J1530" s="513">
        <v>141.56</v>
      </c>
      <c r="K1530" s="513">
        <v>1415</v>
      </c>
      <c r="L1530" s="518" t="s">
        <v>3511</v>
      </c>
      <c r="M1530" s="152" t="s">
        <v>780</v>
      </c>
      <c r="N1530" s="152" t="s">
        <v>1407</v>
      </c>
      <c r="O1530" s="152" t="s">
        <v>3526</v>
      </c>
      <c r="P1530" s="152" t="s">
        <v>3489</v>
      </c>
      <c r="Q1530" s="152" t="s">
        <v>3527</v>
      </c>
      <c r="R1530" s="152" t="s">
        <v>3542</v>
      </c>
      <c r="S1530" s="152" t="s">
        <v>3529</v>
      </c>
      <c r="T1530" s="152" t="s">
        <v>786</v>
      </c>
    </row>
    <row r="1531" spans="3:20">
      <c r="C1531" s="152" t="s">
        <v>2821</v>
      </c>
      <c r="F1531" s="152" t="s">
        <v>371</v>
      </c>
      <c r="G1531" s="152" t="s">
        <v>353</v>
      </c>
      <c r="I1531" s="513">
        <v>-207311.65</v>
      </c>
      <c r="J1531" s="513">
        <v>-146.51</v>
      </c>
      <c r="K1531" s="513">
        <v>1415</v>
      </c>
      <c r="L1531" s="518" t="s">
        <v>3511</v>
      </c>
      <c r="M1531" s="152" t="s">
        <v>780</v>
      </c>
      <c r="N1531" s="152" t="s">
        <v>1407</v>
      </c>
      <c r="O1531" s="152" t="s">
        <v>3530</v>
      </c>
      <c r="P1531" s="152" t="s">
        <v>3489</v>
      </c>
      <c r="Q1531" s="152" t="s">
        <v>3531</v>
      </c>
      <c r="R1531" s="152" t="s">
        <v>3543</v>
      </c>
      <c r="S1531" s="152" t="s">
        <v>3533</v>
      </c>
      <c r="T1531" s="152" t="s">
        <v>786</v>
      </c>
    </row>
    <row r="1532" spans="3:20">
      <c r="C1532" s="152" t="s">
        <v>2821</v>
      </c>
      <c r="F1532" s="152" t="s">
        <v>371</v>
      </c>
      <c r="G1532" s="152" t="s">
        <v>353</v>
      </c>
      <c r="I1532" s="513">
        <v>218560.9</v>
      </c>
      <c r="J1532" s="513">
        <v>154.46</v>
      </c>
      <c r="K1532" s="513">
        <v>1415</v>
      </c>
      <c r="L1532" s="518" t="s">
        <v>3511</v>
      </c>
      <c r="M1532" s="152" t="s">
        <v>780</v>
      </c>
      <c r="N1532" s="152" t="s">
        <v>1407</v>
      </c>
      <c r="O1532" s="152" t="s">
        <v>3526</v>
      </c>
      <c r="P1532" s="152" t="s">
        <v>3489</v>
      </c>
      <c r="Q1532" s="152" t="s">
        <v>3527</v>
      </c>
      <c r="R1532" s="152" t="s">
        <v>3544</v>
      </c>
      <c r="S1532" s="152" t="s">
        <v>3529</v>
      </c>
      <c r="T1532" s="152" t="s">
        <v>786</v>
      </c>
    </row>
    <row r="1533" spans="3:20">
      <c r="C1533" s="152" t="s">
        <v>2821</v>
      </c>
      <c r="F1533" s="152" t="s">
        <v>371</v>
      </c>
      <c r="G1533" s="152" t="s">
        <v>353</v>
      </c>
      <c r="I1533" s="513">
        <v>-226201.9</v>
      </c>
      <c r="J1533" s="513">
        <v>-159.86000000000001</v>
      </c>
      <c r="K1533" s="513">
        <v>1415</v>
      </c>
      <c r="L1533" s="518" t="s">
        <v>3511</v>
      </c>
      <c r="M1533" s="152" t="s">
        <v>780</v>
      </c>
      <c r="N1533" s="152" t="s">
        <v>1407</v>
      </c>
      <c r="O1533" s="152" t="s">
        <v>3530</v>
      </c>
      <c r="P1533" s="152" t="s">
        <v>3489</v>
      </c>
      <c r="Q1533" s="152" t="s">
        <v>3531</v>
      </c>
      <c r="R1533" s="152" t="s">
        <v>3545</v>
      </c>
      <c r="S1533" s="152" t="s">
        <v>3533</v>
      </c>
      <c r="T1533" s="152" t="s">
        <v>786</v>
      </c>
    </row>
    <row r="1534" spans="3:20">
      <c r="C1534" s="152" t="s">
        <v>2821</v>
      </c>
      <c r="F1534" s="152" t="s">
        <v>371</v>
      </c>
      <c r="G1534" s="152" t="s">
        <v>353</v>
      </c>
      <c r="I1534" s="513">
        <v>2030400</v>
      </c>
      <c r="J1534" s="513">
        <v>1410</v>
      </c>
      <c r="K1534" s="513">
        <v>1440</v>
      </c>
      <c r="L1534" s="518" t="s">
        <v>3546</v>
      </c>
      <c r="M1534" s="152" t="s">
        <v>780</v>
      </c>
      <c r="N1534" s="152" t="s">
        <v>1407</v>
      </c>
      <c r="O1534" s="152" t="s">
        <v>3547</v>
      </c>
      <c r="P1534" s="152" t="s">
        <v>2865</v>
      </c>
      <c r="Q1534" s="152" t="s">
        <v>3548</v>
      </c>
      <c r="R1534" s="152" t="s">
        <v>3549</v>
      </c>
      <c r="S1534" s="152" t="s">
        <v>3550</v>
      </c>
      <c r="T1534" s="152" t="s">
        <v>786</v>
      </c>
    </row>
    <row r="1535" spans="3:20">
      <c r="C1535" s="152" t="s">
        <v>2821</v>
      </c>
      <c r="F1535" s="152" t="s">
        <v>371</v>
      </c>
      <c r="G1535" s="152" t="s">
        <v>353</v>
      </c>
      <c r="I1535" s="513">
        <v>2572125</v>
      </c>
      <c r="J1535" s="513">
        <v>1805</v>
      </c>
      <c r="K1535" s="513">
        <v>1425</v>
      </c>
      <c r="L1535" s="518" t="s">
        <v>3487</v>
      </c>
      <c r="M1535" s="152" t="s">
        <v>780</v>
      </c>
      <c r="N1535" s="152" t="s">
        <v>1407</v>
      </c>
      <c r="O1535" s="152" t="s">
        <v>3488</v>
      </c>
      <c r="P1535" s="152" t="s">
        <v>3489</v>
      </c>
      <c r="Q1535" s="152" t="s">
        <v>3490</v>
      </c>
      <c r="R1535" s="152" t="s">
        <v>3551</v>
      </c>
      <c r="S1535" s="152" t="s">
        <v>3492</v>
      </c>
      <c r="T1535" s="152" t="s">
        <v>786</v>
      </c>
    </row>
    <row r="1536" spans="3:20">
      <c r="C1536" s="152" t="s">
        <v>2821</v>
      </c>
      <c r="F1536" s="152" t="s">
        <v>371</v>
      </c>
      <c r="G1536" s="152" t="s">
        <v>353</v>
      </c>
      <c r="I1536" s="513">
        <v>2599200</v>
      </c>
      <c r="J1536" s="513">
        <v>1805</v>
      </c>
      <c r="K1536" s="513">
        <v>1440</v>
      </c>
      <c r="L1536" s="518" t="s">
        <v>3552</v>
      </c>
      <c r="M1536" s="152" t="s">
        <v>780</v>
      </c>
      <c r="N1536" s="152" t="s">
        <v>1407</v>
      </c>
      <c r="O1536" s="152" t="s">
        <v>3553</v>
      </c>
      <c r="P1536" s="152" t="s">
        <v>3489</v>
      </c>
      <c r="Q1536" s="152" t="s">
        <v>3554</v>
      </c>
      <c r="R1536" s="152" t="s">
        <v>3555</v>
      </c>
      <c r="S1536" s="152" t="s">
        <v>3556</v>
      </c>
      <c r="T1536" s="152" t="s">
        <v>786</v>
      </c>
    </row>
    <row r="1537" spans="3:20">
      <c r="C1537" s="152" t="s">
        <v>2821</v>
      </c>
      <c r="F1537" s="152" t="s">
        <v>371</v>
      </c>
      <c r="G1537" s="152" t="s">
        <v>353</v>
      </c>
      <c r="I1537" s="513">
        <v>2545050</v>
      </c>
      <c r="J1537" s="513">
        <v>1805</v>
      </c>
      <c r="K1537" s="513">
        <v>1410</v>
      </c>
      <c r="L1537" s="518" t="s">
        <v>3557</v>
      </c>
      <c r="M1537" s="152" t="s">
        <v>780</v>
      </c>
      <c r="N1537" s="152" t="s">
        <v>1407</v>
      </c>
      <c r="O1537" s="152" t="s">
        <v>3558</v>
      </c>
      <c r="P1537" s="152" t="s">
        <v>3489</v>
      </c>
      <c r="Q1537" s="152" t="s">
        <v>3559</v>
      </c>
      <c r="R1537" s="152" t="s">
        <v>3560</v>
      </c>
      <c r="S1537" s="152" t="s">
        <v>3561</v>
      </c>
      <c r="T1537" s="152" t="s">
        <v>786</v>
      </c>
    </row>
    <row r="1538" spans="3:20">
      <c r="C1538" s="152" t="s">
        <v>2821</v>
      </c>
      <c r="F1538" s="152" t="s">
        <v>371</v>
      </c>
      <c r="G1538" s="152" t="s">
        <v>353</v>
      </c>
      <c r="I1538" s="513">
        <v>2822925</v>
      </c>
      <c r="J1538" s="513">
        <v>1995</v>
      </c>
      <c r="K1538" s="513">
        <v>1415</v>
      </c>
      <c r="L1538" s="518" t="s">
        <v>3511</v>
      </c>
      <c r="M1538" s="152" t="s">
        <v>780</v>
      </c>
      <c r="N1538" s="152" t="s">
        <v>1407</v>
      </c>
      <c r="O1538" s="152" t="s">
        <v>3562</v>
      </c>
      <c r="P1538" s="152" t="s">
        <v>3489</v>
      </c>
      <c r="Q1538" s="152" t="s">
        <v>3563</v>
      </c>
      <c r="R1538" s="152" t="s">
        <v>3564</v>
      </c>
      <c r="S1538" s="152" t="s">
        <v>3565</v>
      </c>
      <c r="T1538" s="152" t="s">
        <v>786</v>
      </c>
    </row>
    <row r="1539" spans="3:20">
      <c r="C1539" s="152" t="s">
        <v>2821</v>
      </c>
      <c r="F1539" s="152" t="s">
        <v>371</v>
      </c>
      <c r="G1539" s="152" t="s">
        <v>353</v>
      </c>
      <c r="I1539" s="513">
        <v>-98809.45</v>
      </c>
      <c r="J1539" s="513">
        <v>-69.83</v>
      </c>
      <c r="K1539" s="513">
        <v>1415</v>
      </c>
      <c r="L1539" s="518" t="s">
        <v>3511</v>
      </c>
      <c r="M1539" s="152" t="s">
        <v>780</v>
      </c>
      <c r="N1539" s="152" t="s">
        <v>1407</v>
      </c>
      <c r="O1539" s="152" t="s">
        <v>3530</v>
      </c>
      <c r="P1539" s="152" t="s">
        <v>3489</v>
      </c>
      <c r="Q1539" s="152" t="s">
        <v>3531</v>
      </c>
      <c r="R1539" s="152" t="s">
        <v>3566</v>
      </c>
      <c r="S1539" s="152" t="s">
        <v>3533</v>
      </c>
      <c r="T1539" s="152" t="s">
        <v>786</v>
      </c>
    </row>
    <row r="1540" spans="3:20">
      <c r="C1540" s="152" t="s">
        <v>2821</v>
      </c>
      <c r="F1540" s="152" t="s">
        <v>371</v>
      </c>
      <c r="G1540" s="152" t="s">
        <v>353</v>
      </c>
      <c r="I1540" s="513">
        <v>9559800</v>
      </c>
      <c r="J1540" s="513">
        <v>6780</v>
      </c>
      <c r="K1540" s="513">
        <v>1410</v>
      </c>
      <c r="L1540" s="518" t="s">
        <v>3567</v>
      </c>
      <c r="M1540" s="152" t="s">
        <v>780</v>
      </c>
      <c r="N1540" s="152" t="s">
        <v>1407</v>
      </c>
      <c r="O1540" s="152" t="s">
        <v>3568</v>
      </c>
      <c r="P1540" s="152" t="s">
        <v>3489</v>
      </c>
      <c r="Q1540" s="152" t="s">
        <v>3569</v>
      </c>
      <c r="R1540" s="152" t="s">
        <v>3570</v>
      </c>
      <c r="S1540" s="152" t="s">
        <v>3571</v>
      </c>
      <c r="T1540" s="152" t="s">
        <v>786</v>
      </c>
    </row>
    <row r="1541" spans="3:20">
      <c r="C1541" s="152" t="s">
        <v>2821</v>
      </c>
      <c r="F1541" s="152" t="s">
        <v>371</v>
      </c>
      <c r="G1541" s="152" t="s">
        <v>353</v>
      </c>
      <c r="I1541" s="513">
        <v>19993.95</v>
      </c>
      <c r="J1541" s="513">
        <v>14.13</v>
      </c>
      <c r="K1541" s="513">
        <v>1415</v>
      </c>
      <c r="L1541" s="518" t="s">
        <v>3511</v>
      </c>
      <c r="M1541" s="152" t="s">
        <v>780</v>
      </c>
      <c r="N1541" s="152" t="s">
        <v>1407</v>
      </c>
      <c r="O1541" s="152" t="s">
        <v>3562</v>
      </c>
      <c r="P1541" s="152" t="s">
        <v>3489</v>
      </c>
      <c r="Q1541" s="152" t="s">
        <v>3563</v>
      </c>
      <c r="R1541" s="152" t="s">
        <v>3572</v>
      </c>
      <c r="S1541" s="152" t="s">
        <v>3565</v>
      </c>
      <c r="T1541" s="152" t="s">
        <v>786</v>
      </c>
    </row>
    <row r="1542" spans="3:20">
      <c r="C1542" s="152" t="s">
        <v>2821</v>
      </c>
      <c r="F1542" s="152" t="s">
        <v>371</v>
      </c>
      <c r="G1542" s="152" t="s">
        <v>353</v>
      </c>
      <c r="I1542" s="513">
        <v>26658.6</v>
      </c>
      <c r="J1542" s="513">
        <v>18.84</v>
      </c>
      <c r="K1542" s="513">
        <v>1415</v>
      </c>
      <c r="L1542" s="518" t="s">
        <v>3511</v>
      </c>
      <c r="M1542" s="152" t="s">
        <v>780</v>
      </c>
      <c r="N1542" s="152" t="s">
        <v>1407</v>
      </c>
      <c r="O1542" s="152" t="s">
        <v>3562</v>
      </c>
      <c r="P1542" s="152" t="s">
        <v>3489</v>
      </c>
      <c r="Q1542" s="152" t="s">
        <v>3563</v>
      </c>
      <c r="R1542" s="152" t="s">
        <v>3573</v>
      </c>
      <c r="S1542" s="152" t="s">
        <v>3565</v>
      </c>
      <c r="T1542" s="152" t="s">
        <v>786</v>
      </c>
    </row>
    <row r="1543" spans="3:20">
      <c r="C1543" s="152" t="s">
        <v>2821</v>
      </c>
      <c r="F1543" s="152" t="s">
        <v>371</v>
      </c>
      <c r="G1543" s="152" t="s">
        <v>353</v>
      </c>
      <c r="I1543" s="513">
        <v>19993.95</v>
      </c>
      <c r="J1543" s="513">
        <v>14.13</v>
      </c>
      <c r="K1543" s="513">
        <v>1415</v>
      </c>
      <c r="L1543" s="518" t="s">
        <v>3511</v>
      </c>
      <c r="M1543" s="152" t="s">
        <v>780</v>
      </c>
      <c r="N1543" s="152" t="s">
        <v>1407</v>
      </c>
      <c r="O1543" s="152" t="s">
        <v>3562</v>
      </c>
      <c r="P1543" s="152" t="s">
        <v>3489</v>
      </c>
      <c r="Q1543" s="152" t="s">
        <v>3563</v>
      </c>
      <c r="R1543" s="152" t="s">
        <v>3574</v>
      </c>
      <c r="S1543" s="152" t="s">
        <v>3565</v>
      </c>
      <c r="T1543" s="152" t="s">
        <v>786</v>
      </c>
    </row>
    <row r="1544" spans="3:20">
      <c r="C1544" s="152" t="s">
        <v>2821</v>
      </c>
      <c r="F1544" s="152" t="s">
        <v>371</v>
      </c>
      <c r="G1544" s="152" t="s">
        <v>353</v>
      </c>
      <c r="I1544" s="513">
        <v>10828800</v>
      </c>
      <c r="J1544" s="513">
        <v>7680</v>
      </c>
      <c r="K1544" s="513">
        <v>1410</v>
      </c>
      <c r="L1544" s="518" t="s">
        <v>3567</v>
      </c>
      <c r="M1544" s="152" t="s">
        <v>780</v>
      </c>
      <c r="N1544" s="152" t="s">
        <v>1407</v>
      </c>
      <c r="O1544" s="152" t="s">
        <v>3568</v>
      </c>
      <c r="P1544" s="152" t="s">
        <v>3489</v>
      </c>
      <c r="Q1544" s="152" t="s">
        <v>3569</v>
      </c>
      <c r="R1544" s="152" t="s">
        <v>3575</v>
      </c>
      <c r="S1544" s="152" t="s">
        <v>3571</v>
      </c>
      <c r="T1544" s="152" t="s">
        <v>786</v>
      </c>
    </row>
    <row r="1545" spans="3:20">
      <c r="C1545" s="152" t="s">
        <v>2821</v>
      </c>
      <c r="F1545" s="152" t="s">
        <v>371</v>
      </c>
      <c r="G1545" s="152" t="s">
        <v>353</v>
      </c>
      <c r="I1545" s="513">
        <v>4751700</v>
      </c>
      <c r="J1545" s="513">
        <v>3370</v>
      </c>
      <c r="K1545" s="513">
        <v>1410</v>
      </c>
      <c r="L1545" s="518" t="s">
        <v>3567</v>
      </c>
      <c r="M1545" s="152" t="s">
        <v>780</v>
      </c>
      <c r="N1545" s="152" t="s">
        <v>1407</v>
      </c>
      <c r="O1545" s="152" t="s">
        <v>3568</v>
      </c>
      <c r="P1545" s="152" t="s">
        <v>3489</v>
      </c>
      <c r="Q1545" s="152" t="s">
        <v>3569</v>
      </c>
      <c r="R1545" s="152" t="s">
        <v>3576</v>
      </c>
      <c r="S1545" s="152" t="s">
        <v>3571</v>
      </c>
      <c r="T1545" s="152" t="s">
        <v>786</v>
      </c>
    </row>
    <row r="1546" spans="3:20">
      <c r="C1546" s="152" t="s">
        <v>2821</v>
      </c>
      <c r="F1546" s="152" t="s">
        <v>371</v>
      </c>
      <c r="G1546" s="152" t="s">
        <v>353</v>
      </c>
      <c r="I1546" s="513">
        <v>14752500</v>
      </c>
      <c r="J1546" s="513">
        <v>10500</v>
      </c>
      <c r="K1546" s="513">
        <v>1405</v>
      </c>
      <c r="L1546" s="518" t="s">
        <v>3493</v>
      </c>
      <c r="M1546" s="152" t="s">
        <v>780</v>
      </c>
      <c r="N1546" s="152" t="s">
        <v>1407</v>
      </c>
      <c r="O1546" s="152" t="s">
        <v>3494</v>
      </c>
      <c r="P1546" s="152" t="s">
        <v>3489</v>
      </c>
      <c r="Q1546" s="152" t="s">
        <v>3495</v>
      </c>
      <c r="R1546" s="152" t="s">
        <v>3577</v>
      </c>
      <c r="S1546" s="152" t="s">
        <v>3497</v>
      </c>
      <c r="T1546" s="152" t="s">
        <v>786</v>
      </c>
    </row>
    <row r="1547" spans="3:20">
      <c r="C1547" s="152" t="s">
        <v>2821</v>
      </c>
      <c r="F1547" s="152" t="s">
        <v>371</v>
      </c>
      <c r="G1547" s="152" t="s">
        <v>353</v>
      </c>
      <c r="I1547" s="513">
        <v>335510.65000000002</v>
      </c>
      <c r="J1547" s="513">
        <v>237.11</v>
      </c>
      <c r="K1547" s="513">
        <v>1415</v>
      </c>
      <c r="L1547" s="518" t="s">
        <v>3511</v>
      </c>
      <c r="M1547" s="152" t="s">
        <v>780</v>
      </c>
      <c r="N1547" s="152" t="s">
        <v>1407</v>
      </c>
      <c r="O1547" s="152" t="s">
        <v>3526</v>
      </c>
      <c r="P1547" s="152" t="s">
        <v>3489</v>
      </c>
      <c r="Q1547" s="152" t="s">
        <v>3527</v>
      </c>
      <c r="R1547" s="152" t="s">
        <v>3578</v>
      </c>
      <c r="S1547" s="152" t="s">
        <v>3529</v>
      </c>
      <c r="T1547" s="152" t="s">
        <v>786</v>
      </c>
    </row>
    <row r="1548" spans="3:20">
      <c r="C1548" s="152" t="s">
        <v>2821</v>
      </c>
      <c r="F1548" s="152" t="s">
        <v>371</v>
      </c>
      <c r="G1548" s="152" t="s">
        <v>353</v>
      </c>
      <c r="I1548" s="513">
        <v>-347241</v>
      </c>
      <c r="J1548" s="513">
        <v>-245.4</v>
      </c>
      <c r="K1548" s="513">
        <v>1415</v>
      </c>
      <c r="L1548" s="518" t="s">
        <v>3511</v>
      </c>
      <c r="M1548" s="152" t="s">
        <v>780</v>
      </c>
      <c r="N1548" s="152" t="s">
        <v>1407</v>
      </c>
      <c r="O1548" s="152" t="s">
        <v>3530</v>
      </c>
      <c r="P1548" s="152" t="s">
        <v>3489</v>
      </c>
      <c r="Q1548" s="152" t="s">
        <v>3531</v>
      </c>
      <c r="R1548" s="152" t="s">
        <v>3579</v>
      </c>
      <c r="S1548" s="152" t="s">
        <v>3533</v>
      </c>
      <c r="T1548" s="152" t="s">
        <v>786</v>
      </c>
    </row>
    <row r="1549" spans="3:20">
      <c r="C1549" s="152" t="s">
        <v>2821</v>
      </c>
      <c r="F1549" s="152" t="s">
        <v>371</v>
      </c>
      <c r="G1549" s="152" t="s">
        <v>353</v>
      </c>
      <c r="I1549" s="513">
        <v>295466.15000000002</v>
      </c>
      <c r="J1549" s="513">
        <v>208.81</v>
      </c>
      <c r="K1549" s="513">
        <v>1415</v>
      </c>
      <c r="L1549" s="518" t="s">
        <v>3511</v>
      </c>
      <c r="M1549" s="152" t="s">
        <v>780</v>
      </c>
      <c r="N1549" s="152" t="s">
        <v>1407</v>
      </c>
      <c r="O1549" s="152" t="s">
        <v>3526</v>
      </c>
      <c r="P1549" s="152" t="s">
        <v>3489</v>
      </c>
      <c r="Q1549" s="152" t="s">
        <v>3527</v>
      </c>
      <c r="R1549" s="152" t="s">
        <v>3580</v>
      </c>
      <c r="S1549" s="152" t="s">
        <v>3529</v>
      </c>
      <c r="T1549" s="152" t="s">
        <v>786</v>
      </c>
    </row>
    <row r="1550" spans="3:20">
      <c r="C1550" s="152" t="s">
        <v>2821</v>
      </c>
      <c r="F1550" s="152" t="s">
        <v>371</v>
      </c>
      <c r="G1550" s="152" t="s">
        <v>353</v>
      </c>
      <c r="I1550" s="513">
        <v>-305795.65000000002</v>
      </c>
      <c r="J1550" s="513">
        <v>-216.11</v>
      </c>
      <c r="K1550" s="513">
        <v>1415</v>
      </c>
      <c r="L1550" s="518" t="s">
        <v>3511</v>
      </c>
      <c r="M1550" s="152" t="s">
        <v>780</v>
      </c>
      <c r="N1550" s="152" t="s">
        <v>1407</v>
      </c>
      <c r="O1550" s="152" t="s">
        <v>3530</v>
      </c>
      <c r="P1550" s="152" t="s">
        <v>3489</v>
      </c>
      <c r="Q1550" s="152" t="s">
        <v>3531</v>
      </c>
      <c r="R1550" s="152" t="s">
        <v>3581</v>
      </c>
      <c r="S1550" s="152" t="s">
        <v>3533</v>
      </c>
      <c r="T1550" s="152" t="s">
        <v>786</v>
      </c>
    </row>
    <row r="1551" spans="3:20">
      <c r="C1551" s="152" t="s">
        <v>2821</v>
      </c>
      <c r="F1551" s="152" t="s">
        <v>371</v>
      </c>
      <c r="G1551" s="152" t="s">
        <v>353</v>
      </c>
      <c r="I1551" s="513">
        <v>42195.3</v>
      </c>
      <c r="J1551" s="513">
        <v>29.82</v>
      </c>
      <c r="K1551" s="513">
        <v>1415</v>
      </c>
      <c r="L1551" s="518" t="s">
        <v>3511</v>
      </c>
      <c r="M1551" s="152" t="s">
        <v>780</v>
      </c>
      <c r="N1551" s="152" t="s">
        <v>1407</v>
      </c>
      <c r="O1551" s="152" t="s">
        <v>3526</v>
      </c>
      <c r="P1551" s="152" t="s">
        <v>3489</v>
      </c>
      <c r="Q1551" s="152" t="s">
        <v>3527</v>
      </c>
      <c r="R1551" s="152" t="s">
        <v>3582</v>
      </c>
      <c r="S1551" s="152" t="s">
        <v>3529</v>
      </c>
      <c r="T1551" s="152" t="s">
        <v>786</v>
      </c>
    </row>
    <row r="1552" spans="3:20">
      <c r="C1552" s="152" t="s">
        <v>2821</v>
      </c>
      <c r="F1552" s="152" t="s">
        <v>371</v>
      </c>
      <c r="G1552" s="152" t="s">
        <v>353</v>
      </c>
      <c r="I1552" s="513">
        <v>-43666.9</v>
      </c>
      <c r="J1552" s="513">
        <v>-30.86</v>
      </c>
      <c r="K1552" s="513">
        <v>1415</v>
      </c>
      <c r="L1552" s="518" t="s">
        <v>3511</v>
      </c>
      <c r="M1552" s="152" t="s">
        <v>780</v>
      </c>
      <c r="N1552" s="152" t="s">
        <v>1407</v>
      </c>
      <c r="O1552" s="152" t="s">
        <v>3530</v>
      </c>
      <c r="P1552" s="152" t="s">
        <v>3489</v>
      </c>
      <c r="Q1552" s="152" t="s">
        <v>3531</v>
      </c>
      <c r="R1552" s="152" t="s">
        <v>3583</v>
      </c>
      <c r="S1552" s="152" t="s">
        <v>3533</v>
      </c>
      <c r="T1552" s="152" t="s">
        <v>786</v>
      </c>
    </row>
    <row r="1553" spans="3:20">
      <c r="C1553" s="152" t="s">
        <v>2821</v>
      </c>
      <c r="F1553" s="152" t="s">
        <v>371</v>
      </c>
      <c r="G1553" s="152" t="s">
        <v>353</v>
      </c>
      <c r="I1553" s="513">
        <v>26941.599999999999</v>
      </c>
      <c r="J1553" s="513">
        <v>19.04</v>
      </c>
      <c r="K1553" s="513">
        <v>1415</v>
      </c>
      <c r="L1553" s="518" t="s">
        <v>3511</v>
      </c>
      <c r="M1553" s="152" t="s">
        <v>780</v>
      </c>
      <c r="N1553" s="152" t="s">
        <v>1407</v>
      </c>
      <c r="O1553" s="152" t="s">
        <v>3526</v>
      </c>
      <c r="P1553" s="152" t="s">
        <v>3489</v>
      </c>
      <c r="Q1553" s="152" t="s">
        <v>3527</v>
      </c>
      <c r="R1553" s="152" t="s">
        <v>3584</v>
      </c>
      <c r="S1553" s="152" t="s">
        <v>3529</v>
      </c>
      <c r="T1553" s="152" t="s">
        <v>786</v>
      </c>
    </row>
    <row r="1554" spans="3:20">
      <c r="C1554" s="152" t="s">
        <v>2821</v>
      </c>
      <c r="F1554" s="152" t="s">
        <v>371</v>
      </c>
      <c r="G1554" s="152" t="s">
        <v>353</v>
      </c>
      <c r="I1554" s="513">
        <v>-27889.65</v>
      </c>
      <c r="J1554" s="513">
        <v>-19.71</v>
      </c>
      <c r="K1554" s="513">
        <v>1415</v>
      </c>
      <c r="L1554" s="518" t="s">
        <v>3511</v>
      </c>
      <c r="M1554" s="152" t="s">
        <v>780</v>
      </c>
      <c r="N1554" s="152" t="s">
        <v>1407</v>
      </c>
      <c r="O1554" s="152" t="s">
        <v>3530</v>
      </c>
      <c r="P1554" s="152" t="s">
        <v>3489</v>
      </c>
      <c r="Q1554" s="152" t="s">
        <v>3531</v>
      </c>
      <c r="R1554" s="152" t="s">
        <v>3585</v>
      </c>
      <c r="S1554" s="152" t="s">
        <v>3533</v>
      </c>
      <c r="T1554" s="152" t="s">
        <v>786</v>
      </c>
    </row>
    <row r="1555" spans="3:20">
      <c r="C1555" s="152" t="s">
        <v>2821</v>
      </c>
      <c r="F1555" s="152" t="s">
        <v>371</v>
      </c>
      <c r="G1555" s="152" t="s">
        <v>353</v>
      </c>
      <c r="I1555" s="513">
        <v>15947.05</v>
      </c>
      <c r="J1555" s="513">
        <v>11.27</v>
      </c>
      <c r="K1555" s="513">
        <v>1415</v>
      </c>
      <c r="L1555" s="518" t="s">
        <v>3511</v>
      </c>
      <c r="M1555" s="152" t="s">
        <v>780</v>
      </c>
      <c r="N1555" s="152" t="s">
        <v>1407</v>
      </c>
      <c r="O1555" s="152" t="s">
        <v>3526</v>
      </c>
      <c r="P1555" s="152" t="s">
        <v>3489</v>
      </c>
      <c r="Q1555" s="152" t="s">
        <v>3527</v>
      </c>
      <c r="R1555" s="152" t="s">
        <v>3586</v>
      </c>
      <c r="S1555" s="152" t="s">
        <v>3529</v>
      </c>
      <c r="T1555" s="152" t="s">
        <v>786</v>
      </c>
    </row>
    <row r="1556" spans="3:20">
      <c r="C1556" s="152" t="s">
        <v>2821</v>
      </c>
      <c r="F1556" s="152" t="s">
        <v>371</v>
      </c>
      <c r="G1556" s="152" t="s">
        <v>353</v>
      </c>
      <c r="I1556" s="513">
        <v>-16498.900000000001</v>
      </c>
      <c r="J1556" s="513">
        <v>-11.66</v>
      </c>
      <c r="K1556" s="513">
        <v>1415</v>
      </c>
      <c r="L1556" s="518" t="s">
        <v>3511</v>
      </c>
      <c r="M1556" s="152" t="s">
        <v>780</v>
      </c>
      <c r="N1556" s="152" t="s">
        <v>1407</v>
      </c>
      <c r="O1556" s="152" t="s">
        <v>3530</v>
      </c>
      <c r="P1556" s="152" t="s">
        <v>3489</v>
      </c>
      <c r="Q1556" s="152" t="s">
        <v>3531</v>
      </c>
      <c r="R1556" s="152" t="s">
        <v>3587</v>
      </c>
      <c r="S1556" s="152" t="s">
        <v>3533</v>
      </c>
      <c r="T1556" s="152" t="s">
        <v>786</v>
      </c>
    </row>
    <row r="1557" spans="3:20">
      <c r="C1557" s="152" t="s">
        <v>2821</v>
      </c>
      <c r="F1557" s="152" t="s">
        <v>371</v>
      </c>
      <c r="G1557" s="152" t="s">
        <v>353</v>
      </c>
      <c r="I1557" s="513">
        <v>21510375</v>
      </c>
      <c r="J1557" s="513">
        <v>15095</v>
      </c>
      <c r="K1557" s="513">
        <v>1425</v>
      </c>
      <c r="L1557" s="518" t="s">
        <v>3511</v>
      </c>
      <c r="M1557" s="152" t="s">
        <v>780</v>
      </c>
      <c r="N1557" s="152" t="s">
        <v>1407</v>
      </c>
      <c r="O1557" s="152" t="s">
        <v>3562</v>
      </c>
      <c r="P1557" s="152" t="s">
        <v>3489</v>
      </c>
      <c r="Q1557" s="152" t="s">
        <v>3563</v>
      </c>
      <c r="R1557" s="152" t="s">
        <v>3588</v>
      </c>
      <c r="S1557" s="152" t="s">
        <v>3565</v>
      </c>
      <c r="T1557" s="152" t="s">
        <v>786</v>
      </c>
    </row>
    <row r="1558" spans="3:20">
      <c r="C1558" s="152" t="s">
        <v>2821</v>
      </c>
      <c r="F1558" s="152" t="s">
        <v>371</v>
      </c>
      <c r="G1558" s="152" t="s">
        <v>353</v>
      </c>
      <c r="I1558" s="513">
        <v>101497.95</v>
      </c>
      <c r="J1558" s="513">
        <v>71.73</v>
      </c>
      <c r="K1558" s="513">
        <v>1415</v>
      </c>
      <c r="L1558" s="518" t="s">
        <v>3511</v>
      </c>
      <c r="M1558" s="152" t="s">
        <v>780</v>
      </c>
      <c r="N1558" s="152" t="s">
        <v>1407</v>
      </c>
      <c r="O1558" s="152" t="s">
        <v>3526</v>
      </c>
      <c r="P1558" s="152" t="s">
        <v>3489</v>
      </c>
      <c r="Q1558" s="152" t="s">
        <v>3527</v>
      </c>
      <c r="R1558" s="152" t="s">
        <v>3589</v>
      </c>
      <c r="S1558" s="152" t="s">
        <v>3529</v>
      </c>
      <c r="T1558" s="152" t="s">
        <v>786</v>
      </c>
    </row>
    <row r="1559" spans="3:20">
      <c r="C1559" s="152" t="s">
        <v>2821</v>
      </c>
      <c r="F1559" s="152" t="s">
        <v>371</v>
      </c>
      <c r="G1559" s="152" t="s">
        <v>353</v>
      </c>
      <c r="I1559" s="513">
        <v>-105049.60000000001</v>
      </c>
      <c r="J1559" s="513">
        <v>-74.239999999999995</v>
      </c>
      <c r="K1559" s="513">
        <v>1415</v>
      </c>
      <c r="L1559" s="518" t="s">
        <v>3511</v>
      </c>
      <c r="M1559" s="152" t="s">
        <v>780</v>
      </c>
      <c r="N1559" s="152" t="s">
        <v>1407</v>
      </c>
      <c r="O1559" s="152" t="s">
        <v>3530</v>
      </c>
      <c r="P1559" s="152" t="s">
        <v>3489</v>
      </c>
      <c r="Q1559" s="152" t="s">
        <v>3531</v>
      </c>
      <c r="R1559" s="152" t="s">
        <v>3590</v>
      </c>
      <c r="S1559" s="152" t="s">
        <v>3533</v>
      </c>
      <c r="T1559" s="152" t="s">
        <v>786</v>
      </c>
    </row>
    <row r="1560" spans="3:20">
      <c r="C1560" s="152" t="s">
        <v>2821</v>
      </c>
      <c r="F1560" s="152" t="s">
        <v>371</v>
      </c>
      <c r="G1560" s="152" t="s">
        <v>353</v>
      </c>
      <c r="I1560" s="513">
        <v>44572.5</v>
      </c>
      <c r="J1560" s="513">
        <v>31.5</v>
      </c>
      <c r="K1560" s="513">
        <v>1415</v>
      </c>
      <c r="L1560" s="518" t="s">
        <v>3511</v>
      </c>
      <c r="M1560" s="152" t="s">
        <v>780</v>
      </c>
      <c r="N1560" s="152" t="s">
        <v>1407</v>
      </c>
      <c r="O1560" s="152" t="s">
        <v>3526</v>
      </c>
      <c r="P1560" s="152" t="s">
        <v>3489</v>
      </c>
      <c r="Q1560" s="152" t="s">
        <v>3527</v>
      </c>
      <c r="R1560" s="152" t="s">
        <v>3591</v>
      </c>
      <c r="S1560" s="152" t="s">
        <v>3529</v>
      </c>
      <c r="T1560" s="152" t="s">
        <v>786</v>
      </c>
    </row>
    <row r="1561" spans="3:20">
      <c r="C1561" s="152" t="s">
        <v>2821</v>
      </c>
      <c r="F1561" s="152" t="s">
        <v>371</v>
      </c>
      <c r="G1561" s="152" t="s">
        <v>353</v>
      </c>
      <c r="I1561" s="513">
        <v>27238.75</v>
      </c>
      <c r="J1561" s="513">
        <v>19.25</v>
      </c>
      <c r="K1561" s="513">
        <v>1415</v>
      </c>
      <c r="L1561" s="518" t="s">
        <v>3511</v>
      </c>
      <c r="M1561" s="152" t="s">
        <v>780</v>
      </c>
      <c r="N1561" s="152" t="s">
        <v>1407</v>
      </c>
      <c r="O1561" s="152" t="s">
        <v>3526</v>
      </c>
      <c r="P1561" s="152" t="s">
        <v>3489</v>
      </c>
      <c r="Q1561" s="152" t="s">
        <v>3527</v>
      </c>
      <c r="R1561" s="152" t="s">
        <v>3591</v>
      </c>
      <c r="S1561" s="152" t="s">
        <v>3529</v>
      </c>
      <c r="T1561" s="152" t="s">
        <v>786</v>
      </c>
    </row>
    <row r="1562" spans="3:20">
      <c r="C1562" s="152" t="s">
        <v>2821</v>
      </c>
      <c r="F1562" s="152" t="s">
        <v>371</v>
      </c>
      <c r="G1562" s="152" t="s">
        <v>353</v>
      </c>
      <c r="I1562" s="513">
        <v>12381.25</v>
      </c>
      <c r="J1562" s="513">
        <v>8.75</v>
      </c>
      <c r="K1562" s="513">
        <v>1415</v>
      </c>
      <c r="L1562" s="518" t="s">
        <v>3511</v>
      </c>
      <c r="M1562" s="152" t="s">
        <v>780</v>
      </c>
      <c r="N1562" s="152" t="s">
        <v>1407</v>
      </c>
      <c r="O1562" s="152" t="s">
        <v>3526</v>
      </c>
      <c r="P1562" s="152" t="s">
        <v>3489</v>
      </c>
      <c r="Q1562" s="152" t="s">
        <v>3527</v>
      </c>
      <c r="R1562" s="152" t="s">
        <v>3591</v>
      </c>
      <c r="S1562" s="152" t="s">
        <v>3529</v>
      </c>
      <c r="T1562" s="152" t="s">
        <v>786</v>
      </c>
    </row>
    <row r="1563" spans="3:20">
      <c r="C1563" s="152" t="s">
        <v>2821</v>
      </c>
      <c r="F1563" s="152" t="s">
        <v>371</v>
      </c>
      <c r="G1563" s="152" t="s">
        <v>353</v>
      </c>
      <c r="I1563" s="513">
        <v>14461.3</v>
      </c>
      <c r="J1563" s="513">
        <v>10.220000000000001</v>
      </c>
      <c r="K1563" s="513">
        <v>1415</v>
      </c>
      <c r="L1563" s="518" t="s">
        <v>3511</v>
      </c>
      <c r="M1563" s="152" t="s">
        <v>780</v>
      </c>
      <c r="N1563" s="152" t="s">
        <v>1407</v>
      </c>
      <c r="O1563" s="152" t="s">
        <v>3526</v>
      </c>
      <c r="P1563" s="152" t="s">
        <v>3489</v>
      </c>
      <c r="Q1563" s="152" t="s">
        <v>3527</v>
      </c>
      <c r="R1563" s="152" t="s">
        <v>3591</v>
      </c>
      <c r="S1563" s="152" t="s">
        <v>3529</v>
      </c>
      <c r="T1563" s="152" t="s">
        <v>786</v>
      </c>
    </row>
    <row r="1564" spans="3:20">
      <c r="C1564" s="152" t="s">
        <v>2821</v>
      </c>
      <c r="F1564" s="152" t="s">
        <v>371</v>
      </c>
      <c r="G1564" s="152" t="s">
        <v>353</v>
      </c>
      <c r="I1564" s="513">
        <v>-12819.9</v>
      </c>
      <c r="J1564" s="513">
        <v>-9.06</v>
      </c>
      <c r="K1564" s="513">
        <v>1415</v>
      </c>
      <c r="L1564" s="518" t="s">
        <v>3511</v>
      </c>
      <c r="M1564" s="152" t="s">
        <v>780</v>
      </c>
      <c r="N1564" s="152" t="s">
        <v>1407</v>
      </c>
      <c r="O1564" s="152" t="s">
        <v>3530</v>
      </c>
      <c r="P1564" s="152" t="s">
        <v>3489</v>
      </c>
      <c r="Q1564" s="152" t="s">
        <v>3531</v>
      </c>
      <c r="R1564" s="152" t="s">
        <v>3592</v>
      </c>
      <c r="S1564" s="152" t="s">
        <v>3533</v>
      </c>
      <c r="T1564" s="152" t="s">
        <v>786</v>
      </c>
    </row>
    <row r="1565" spans="3:20">
      <c r="C1565" s="152" t="s">
        <v>2821</v>
      </c>
      <c r="F1565" s="152" t="s">
        <v>371</v>
      </c>
      <c r="G1565" s="152" t="s">
        <v>353</v>
      </c>
      <c r="I1565" s="513">
        <v>-14970.7</v>
      </c>
      <c r="J1565" s="513">
        <v>-10.58</v>
      </c>
      <c r="K1565" s="513">
        <v>1415</v>
      </c>
      <c r="L1565" s="518" t="s">
        <v>3511</v>
      </c>
      <c r="M1565" s="152" t="s">
        <v>780</v>
      </c>
      <c r="N1565" s="152" t="s">
        <v>1407</v>
      </c>
      <c r="O1565" s="152" t="s">
        <v>3530</v>
      </c>
      <c r="P1565" s="152" t="s">
        <v>3489</v>
      </c>
      <c r="Q1565" s="152" t="s">
        <v>3531</v>
      </c>
      <c r="R1565" s="152" t="s">
        <v>3592</v>
      </c>
      <c r="S1565" s="152" t="s">
        <v>3533</v>
      </c>
      <c r="T1565" s="152" t="s">
        <v>786</v>
      </c>
    </row>
    <row r="1566" spans="3:20">
      <c r="C1566" s="152" t="s">
        <v>2821</v>
      </c>
      <c r="F1566" s="152" t="s">
        <v>371</v>
      </c>
      <c r="G1566" s="152" t="s">
        <v>353</v>
      </c>
      <c r="I1566" s="513">
        <v>-28186.799999999999</v>
      </c>
      <c r="J1566" s="513">
        <v>-19.920000000000002</v>
      </c>
      <c r="K1566" s="513">
        <v>1415</v>
      </c>
      <c r="L1566" s="518" t="s">
        <v>3511</v>
      </c>
      <c r="M1566" s="152" t="s">
        <v>780</v>
      </c>
      <c r="N1566" s="152" t="s">
        <v>1407</v>
      </c>
      <c r="O1566" s="152" t="s">
        <v>3530</v>
      </c>
      <c r="P1566" s="152" t="s">
        <v>3489</v>
      </c>
      <c r="Q1566" s="152" t="s">
        <v>3531</v>
      </c>
      <c r="R1566" s="152" t="s">
        <v>3592</v>
      </c>
      <c r="S1566" s="152" t="s">
        <v>3533</v>
      </c>
      <c r="T1566" s="152" t="s">
        <v>786</v>
      </c>
    </row>
    <row r="1567" spans="3:20">
      <c r="C1567" s="152" t="s">
        <v>2821</v>
      </c>
      <c r="F1567" s="152" t="s">
        <v>371</v>
      </c>
      <c r="G1567" s="152" t="s">
        <v>353</v>
      </c>
      <c r="I1567" s="513">
        <v>-46129</v>
      </c>
      <c r="J1567" s="513">
        <v>-32.6</v>
      </c>
      <c r="K1567" s="513">
        <v>1415</v>
      </c>
      <c r="L1567" s="518" t="s">
        <v>3511</v>
      </c>
      <c r="M1567" s="152" t="s">
        <v>780</v>
      </c>
      <c r="N1567" s="152" t="s">
        <v>1407</v>
      </c>
      <c r="O1567" s="152" t="s">
        <v>3530</v>
      </c>
      <c r="P1567" s="152" t="s">
        <v>3489</v>
      </c>
      <c r="Q1567" s="152" t="s">
        <v>3531</v>
      </c>
      <c r="R1567" s="152" t="s">
        <v>3592</v>
      </c>
      <c r="S1567" s="152" t="s">
        <v>3533</v>
      </c>
      <c r="T1567" s="152" t="s">
        <v>786</v>
      </c>
    </row>
    <row r="1568" spans="3:20">
      <c r="C1568" s="152" t="s">
        <v>2821</v>
      </c>
      <c r="F1568" s="152" t="s">
        <v>371</v>
      </c>
      <c r="G1568" s="152" t="s">
        <v>353</v>
      </c>
      <c r="I1568" s="513">
        <v>92611.75</v>
      </c>
      <c r="J1568" s="513">
        <v>65.45</v>
      </c>
      <c r="K1568" s="513">
        <v>1415</v>
      </c>
      <c r="L1568" s="518" t="s">
        <v>3511</v>
      </c>
      <c r="M1568" s="152" t="s">
        <v>780</v>
      </c>
      <c r="N1568" s="152" t="s">
        <v>1407</v>
      </c>
      <c r="O1568" s="152" t="s">
        <v>3526</v>
      </c>
      <c r="P1568" s="152" t="s">
        <v>3489</v>
      </c>
      <c r="Q1568" s="152" t="s">
        <v>3527</v>
      </c>
      <c r="R1568" s="152" t="s">
        <v>3593</v>
      </c>
      <c r="S1568" s="152" t="s">
        <v>3529</v>
      </c>
      <c r="T1568" s="152" t="s">
        <v>786</v>
      </c>
    </row>
    <row r="1569" spans="3:20">
      <c r="C1569" s="152" t="s">
        <v>2821</v>
      </c>
      <c r="F1569" s="152" t="s">
        <v>371</v>
      </c>
      <c r="G1569" s="152" t="s">
        <v>353</v>
      </c>
      <c r="I1569" s="513">
        <v>-95852.1</v>
      </c>
      <c r="J1569" s="513">
        <v>-67.739999999999995</v>
      </c>
      <c r="K1569" s="513">
        <v>1415</v>
      </c>
      <c r="L1569" s="518" t="s">
        <v>3511</v>
      </c>
      <c r="M1569" s="152" t="s">
        <v>780</v>
      </c>
      <c r="N1569" s="152" t="s">
        <v>1407</v>
      </c>
      <c r="O1569" s="152" t="s">
        <v>3530</v>
      </c>
      <c r="P1569" s="152" t="s">
        <v>3489</v>
      </c>
      <c r="Q1569" s="152" t="s">
        <v>3531</v>
      </c>
      <c r="R1569" s="152" t="s">
        <v>3594</v>
      </c>
      <c r="S1569" s="152" t="s">
        <v>3533</v>
      </c>
      <c r="T1569" s="152" t="s">
        <v>786</v>
      </c>
    </row>
    <row r="1570" spans="3:20">
      <c r="C1570" s="152" t="s">
        <v>2821</v>
      </c>
      <c r="F1570" s="152" t="s">
        <v>371</v>
      </c>
      <c r="G1570" s="152" t="s">
        <v>353</v>
      </c>
      <c r="I1570" s="513">
        <v>141669.79999999999</v>
      </c>
      <c r="J1570" s="513">
        <v>100.12</v>
      </c>
      <c r="K1570" s="513">
        <v>1415</v>
      </c>
      <c r="L1570" s="518" t="s">
        <v>3511</v>
      </c>
      <c r="M1570" s="152" t="s">
        <v>780</v>
      </c>
      <c r="N1570" s="152" t="s">
        <v>1407</v>
      </c>
      <c r="O1570" s="152" t="s">
        <v>3526</v>
      </c>
      <c r="P1570" s="152" t="s">
        <v>3489</v>
      </c>
      <c r="Q1570" s="152" t="s">
        <v>3527</v>
      </c>
      <c r="R1570" s="152" t="s">
        <v>3595</v>
      </c>
      <c r="S1570" s="152" t="s">
        <v>3529</v>
      </c>
      <c r="T1570" s="152" t="s">
        <v>786</v>
      </c>
    </row>
    <row r="1571" spans="3:20">
      <c r="C1571" s="152" t="s">
        <v>2821</v>
      </c>
      <c r="F1571" s="152" t="s">
        <v>371</v>
      </c>
      <c r="G1571" s="152" t="s">
        <v>353</v>
      </c>
      <c r="I1571" s="513">
        <v>-146622.29999999999</v>
      </c>
      <c r="J1571" s="513">
        <v>-103.62</v>
      </c>
      <c r="K1571" s="513">
        <v>1415</v>
      </c>
      <c r="L1571" s="518" t="s">
        <v>3511</v>
      </c>
      <c r="M1571" s="152" t="s">
        <v>780</v>
      </c>
      <c r="N1571" s="152" t="s">
        <v>1407</v>
      </c>
      <c r="O1571" s="152" t="s">
        <v>3530</v>
      </c>
      <c r="P1571" s="152" t="s">
        <v>3489</v>
      </c>
      <c r="Q1571" s="152" t="s">
        <v>3531</v>
      </c>
      <c r="R1571" s="152" t="s">
        <v>3596</v>
      </c>
      <c r="S1571" s="152" t="s">
        <v>3533</v>
      </c>
      <c r="T1571" s="152" t="s">
        <v>786</v>
      </c>
    </row>
    <row r="1572" spans="3:20">
      <c r="C1572" s="152" t="s">
        <v>2821</v>
      </c>
      <c r="F1572" s="152" t="s">
        <v>371</v>
      </c>
      <c r="G1572" s="152" t="s">
        <v>353</v>
      </c>
      <c r="I1572" s="513">
        <v>65995.600000000006</v>
      </c>
      <c r="J1572" s="513">
        <v>46.64</v>
      </c>
      <c r="K1572" s="513">
        <v>1415</v>
      </c>
      <c r="L1572" s="518" t="s">
        <v>3511</v>
      </c>
      <c r="M1572" s="152" t="s">
        <v>780</v>
      </c>
      <c r="N1572" s="152" t="s">
        <v>1407</v>
      </c>
      <c r="O1572" s="152" t="s">
        <v>3526</v>
      </c>
      <c r="P1572" s="152" t="s">
        <v>3489</v>
      </c>
      <c r="Q1572" s="152" t="s">
        <v>3527</v>
      </c>
      <c r="R1572" s="152" t="s">
        <v>3597</v>
      </c>
      <c r="S1572" s="152" t="s">
        <v>3529</v>
      </c>
      <c r="T1572" s="152" t="s">
        <v>786</v>
      </c>
    </row>
    <row r="1573" spans="3:20">
      <c r="C1573" s="152" t="s">
        <v>2821</v>
      </c>
      <c r="F1573" s="152" t="s">
        <v>371</v>
      </c>
      <c r="G1573" s="152" t="s">
        <v>353</v>
      </c>
      <c r="I1573" s="513">
        <v>-68302.05</v>
      </c>
      <c r="J1573" s="513">
        <v>-48.27</v>
      </c>
      <c r="K1573" s="513">
        <v>1415</v>
      </c>
      <c r="L1573" s="518" t="s">
        <v>3511</v>
      </c>
      <c r="M1573" s="152" t="s">
        <v>780</v>
      </c>
      <c r="N1573" s="152" t="s">
        <v>1407</v>
      </c>
      <c r="O1573" s="152" t="s">
        <v>3530</v>
      </c>
      <c r="P1573" s="152" t="s">
        <v>3489</v>
      </c>
      <c r="Q1573" s="152" t="s">
        <v>3531</v>
      </c>
      <c r="R1573" s="152" t="s">
        <v>3598</v>
      </c>
      <c r="S1573" s="152" t="s">
        <v>3533</v>
      </c>
      <c r="T1573" s="152" t="s">
        <v>786</v>
      </c>
    </row>
    <row r="1574" spans="3:20">
      <c r="C1574" s="152" t="s">
        <v>2821</v>
      </c>
      <c r="F1574" s="152" t="s">
        <v>371</v>
      </c>
      <c r="G1574" s="152" t="s">
        <v>353</v>
      </c>
      <c r="I1574" s="513">
        <v>102771.45</v>
      </c>
      <c r="J1574" s="513">
        <v>72.63</v>
      </c>
      <c r="K1574" s="513">
        <v>1415</v>
      </c>
      <c r="L1574" s="518" t="s">
        <v>3511</v>
      </c>
      <c r="M1574" s="152" t="s">
        <v>780</v>
      </c>
      <c r="N1574" s="152" t="s">
        <v>1407</v>
      </c>
      <c r="O1574" s="152" t="s">
        <v>3526</v>
      </c>
      <c r="P1574" s="152" t="s">
        <v>3489</v>
      </c>
      <c r="Q1574" s="152" t="s">
        <v>3527</v>
      </c>
      <c r="R1574" s="152" t="s">
        <v>3599</v>
      </c>
      <c r="S1574" s="152" t="s">
        <v>3529</v>
      </c>
      <c r="T1574" s="152" t="s">
        <v>786</v>
      </c>
    </row>
    <row r="1575" spans="3:20">
      <c r="C1575" s="152" t="s">
        <v>2821</v>
      </c>
      <c r="F1575" s="152" t="s">
        <v>371</v>
      </c>
      <c r="G1575" s="152" t="s">
        <v>353</v>
      </c>
      <c r="I1575" s="513">
        <v>-106351.4</v>
      </c>
      <c r="J1575" s="513">
        <v>-75.16</v>
      </c>
      <c r="K1575" s="513">
        <v>1415</v>
      </c>
      <c r="L1575" s="518" t="s">
        <v>3511</v>
      </c>
      <c r="M1575" s="152" t="s">
        <v>780</v>
      </c>
      <c r="N1575" s="152" t="s">
        <v>1407</v>
      </c>
      <c r="O1575" s="152" t="s">
        <v>3530</v>
      </c>
      <c r="P1575" s="152" t="s">
        <v>3489</v>
      </c>
      <c r="Q1575" s="152" t="s">
        <v>3531</v>
      </c>
      <c r="R1575" s="152" t="s">
        <v>3600</v>
      </c>
      <c r="S1575" s="152" t="s">
        <v>3533</v>
      </c>
      <c r="T1575" s="152" t="s">
        <v>786</v>
      </c>
    </row>
    <row r="1576" spans="3:20">
      <c r="C1576" s="152" t="s">
        <v>2821</v>
      </c>
      <c r="F1576" s="152" t="s">
        <v>371</v>
      </c>
      <c r="G1576" s="152" t="s">
        <v>353</v>
      </c>
      <c r="I1576" s="513">
        <v>80980.45</v>
      </c>
      <c r="J1576" s="513">
        <v>57.23</v>
      </c>
      <c r="K1576" s="513">
        <v>1415</v>
      </c>
      <c r="L1576" s="518" t="s">
        <v>3511</v>
      </c>
      <c r="M1576" s="152" t="s">
        <v>780</v>
      </c>
      <c r="N1576" s="152" t="s">
        <v>1407</v>
      </c>
      <c r="O1576" s="152" t="s">
        <v>3526</v>
      </c>
      <c r="P1576" s="152" t="s">
        <v>3489</v>
      </c>
      <c r="Q1576" s="152" t="s">
        <v>3527</v>
      </c>
      <c r="R1576" s="152" t="s">
        <v>3601</v>
      </c>
      <c r="S1576" s="152" t="s">
        <v>3529</v>
      </c>
      <c r="T1576" s="152" t="s">
        <v>786</v>
      </c>
    </row>
    <row r="1577" spans="3:20">
      <c r="C1577" s="152" t="s">
        <v>2821</v>
      </c>
      <c r="F1577" s="152" t="s">
        <v>371</v>
      </c>
      <c r="G1577" s="152" t="s">
        <v>353</v>
      </c>
      <c r="I1577" s="513">
        <v>-83810.45</v>
      </c>
      <c r="J1577" s="513">
        <v>-59.23</v>
      </c>
      <c r="K1577" s="513">
        <v>1415</v>
      </c>
      <c r="L1577" s="518" t="s">
        <v>3511</v>
      </c>
      <c r="M1577" s="152" t="s">
        <v>780</v>
      </c>
      <c r="N1577" s="152" t="s">
        <v>1407</v>
      </c>
      <c r="O1577" s="152" t="s">
        <v>3530</v>
      </c>
      <c r="P1577" s="152" t="s">
        <v>3489</v>
      </c>
      <c r="Q1577" s="152" t="s">
        <v>3531</v>
      </c>
      <c r="R1577" s="152" t="s">
        <v>3602</v>
      </c>
      <c r="S1577" s="152" t="s">
        <v>3533</v>
      </c>
      <c r="T1577" s="152" t="s">
        <v>786</v>
      </c>
    </row>
    <row r="1578" spans="3:20">
      <c r="C1578" s="152" t="s">
        <v>2821</v>
      </c>
      <c r="F1578" s="152" t="s">
        <v>371</v>
      </c>
      <c r="G1578" s="152" t="s">
        <v>353</v>
      </c>
      <c r="I1578" s="513">
        <v>102771.45</v>
      </c>
      <c r="J1578" s="513">
        <v>72.63</v>
      </c>
      <c r="K1578" s="513">
        <v>1415</v>
      </c>
      <c r="L1578" s="518" t="s">
        <v>3511</v>
      </c>
      <c r="M1578" s="152" t="s">
        <v>780</v>
      </c>
      <c r="N1578" s="152" t="s">
        <v>1407</v>
      </c>
      <c r="O1578" s="152" t="s">
        <v>3526</v>
      </c>
      <c r="P1578" s="152" t="s">
        <v>3489</v>
      </c>
      <c r="Q1578" s="152" t="s">
        <v>3527</v>
      </c>
      <c r="R1578" s="152" t="s">
        <v>3603</v>
      </c>
      <c r="S1578" s="152" t="s">
        <v>3529</v>
      </c>
      <c r="T1578" s="152" t="s">
        <v>786</v>
      </c>
    </row>
    <row r="1579" spans="3:20">
      <c r="C1579" s="152" t="s">
        <v>2821</v>
      </c>
      <c r="F1579" s="152" t="s">
        <v>371</v>
      </c>
      <c r="G1579" s="152" t="s">
        <v>353</v>
      </c>
      <c r="I1579" s="513">
        <v>-106351.4</v>
      </c>
      <c r="J1579" s="513">
        <v>-75.16</v>
      </c>
      <c r="K1579" s="513">
        <v>1415</v>
      </c>
      <c r="L1579" s="518" t="s">
        <v>3511</v>
      </c>
      <c r="M1579" s="152" t="s">
        <v>780</v>
      </c>
      <c r="N1579" s="152" t="s">
        <v>1407</v>
      </c>
      <c r="O1579" s="152" t="s">
        <v>3530</v>
      </c>
      <c r="P1579" s="152" t="s">
        <v>3489</v>
      </c>
      <c r="Q1579" s="152" t="s">
        <v>3531</v>
      </c>
      <c r="R1579" s="152" t="s">
        <v>3604</v>
      </c>
      <c r="S1579" s="152" t="s">
        <v>3533</v>
      </c>
      <c r="T1579" s="152" t="s">
        <v>786</v>
      </c>
    </row>
    <row r="1580" spans="3:20">
      <c r="C1580" s="152" t="s">
        <v>2821</v>
      </c>
      <c r="F1580" s="152" t="s">
        <v>371</v>
      </c>
      <c r="G1580" s="152" t="s">
        <v>353</v>
      </c>
      <c r="I1580" s="513">
        <v>118860</v>
      </c>
      <c r="J1580" s="513">
        <v>84</v>
      </c>
      <c r="K1580" s="513">
        <v>1415</v>
      </c>
      <c r="L1580" s="518" t="s">
        <v>3511</v>
      </c>
      <c r="M1580" s="152" t="s">
        <v>780</v>
      </c>
      <c r="N1580" s="152" t="s">
        <v>1407</v>
      </c>
      <c r="O1580" s="152" t="s">
        <v>3526</v>
      </c>
      <c r="P1580" s="152" t="s">
        <v>3489</v>
      </c>
      <c r="Q1580" s="152" t="s">
        <v>3527</v>
      </c>
      <c r="R1580" s="152" t="s">
        <v>3605</v>
      </c>
      <c r="S1580" s="152" t="s">
        <v>3529</v>
      </c>
      <c r="T1580" s="152" t="s">
        <v>786</v>
      </c>
    </row>
    <row r="1581" spans="3:20">
      <c r="C1581" s="152" t="s">
        <v>2821</v>
      </c>
      <c r="F1581" s="152" t="s">
        <v>371</v>
      </c>
      <c r="G1581" s="152" t="s">
        <v>353</v>
      </c>
      <c r="I1581" s="513">
        <v>-123020.1</v>
      </c>
      <c r="J1581" s="513">
        <v>-86.94</v>
      </c>
      <c r="K1581" s="513">
        <v>1415</v>
      </c>
      <c r="L1581" s="518" t="s">
        <v>3511</v>
      </c>
      <c r="M1581" s="152" t="s">
        <v>780</v>
      </c>
      <c r="N1581" s="152" t="s">
        <v>1407</v>
      </c>
      <c r="O1581" s="152" t="s">
        <v>3530</v>
      </c>
      <c r="P1581" s="152" t="s">
        <v>3489</v>
      </c>
      <c r="Q1581" s="152" t="s">
        <v>3531</v>
      </c>
      <c r="R1581" s="152" t="s">
        <v>3606</v>
      </c>
      <c r="S1581" s="152" t="s">
        <v>3533</v>
      </c>
      <c r="T1581" s="152" t="s">
        <v>786</v>
      </c>
    </row>
    <row r="1582" spans="3:20">
      <c r="C1582" s="152" t="s">
        <v>2821</v>
      </c>
      <c r="F1582" s="152" t="s">
        <v>371</v>
      </c>
      <c r="G1582" s="152" t="s">
        <v>353</v>
      </c>
      <c r="I1582" s="513">
        <v>118492.1</v>
      </c>
      <c r="J1582" s="513">
        <v>83.74</v>
      </c>
      <c r="K1582" s="513">
        <v>1415</v>
      </c>
      <c r="L1582" s="518" t="s">
        <v>3511</v>
      </c>
      <c r="M1582" s="152" t="s">
        <v>780</v>
      </c>
      <c r="N1582" s="152" t="s">
        <v>1407</v>
      </c>
      <c r="O1582" s="152" t="s">
        <v>3526</v>
      </c>
      <c r="P1582" s="152" t="s">
        <v>3489</v>
      </c>
      <c r="Q1582" s="152" t="s">
        <v>3527</v>
      </c>
      <c r="R1582" s="152" t="s">
        <v>3607</v>
      </c>
      <c r="S1582" s="152" t="s">
        <v>3529</v>
      </c>
      <c r="T1582" s="152" t="s">
        <v>786</v>
      </c>
    </row>
    <row r="1583" spans="3:20">
      <c r="C1583" s="152" t="s">
        <v>2821</v>
      </c>
      <c r="F1583" s="152" t="s">
        <v>371</v>
      </c>
      <c r="G1583" s="152" t="s">
        <v>353</v>
      </c>
      <c r="I1583" s="513">
        <v>-122638.05</v>
      </c>
      <c r="J1583" s="513">
        <v>-86.67</v>
      </c>
      <c r="K1583" s="513">
        <v>1415</v>
      </c>
      <c r="L1583" s="518" t="s">
        <v>3511</v>
      </c>
      <c r="M1583" s="152" t="s">
        <v>780</v>
      </c>
      <c r="N1583" s="152" t="s">
        <v>1407</v>
      </c>
      <c r="O1583" s="152" t="s">
        <v>3530</v>
      </c>
      <c r="P1583" s="152" t="s">
        <v>3489</v>
      </c>
      <c r="Q1583" s="152" t="s">
        <v>3531</v>
      </c>
      <c r="R1583" s="152" t="s">
        <v>3608</v>
      </c>
      <c r="S1583" s="152" t="s">
        <v>3533</v>
      </c>
      <c r="T1583" s="152" t="s">
        <v>786</v>
      </c>
    </row>
    <row r="1584" spans="3:20">
      <c r="C1584" s="152" t="s">
        <v>2821</v>
      </c>
      <c r="F1584" s="152" t="s">
        <v>371</v>
      </c>
      <c r="G1584" s="152" t="s">
        <v>353</v>
      </c>
      <c r="I1584" s="513">
        <v>136193.75</v>
      </c>
      <c r="J1584" s="513">
        <v>96.25</v>
      </c>
      <c r="K1584" s="513">
        <v>1415</v>
      </c>
      <c r="L1584" s="518" t="s">
        <v>3511</v>
      </c>
      <c r="M1584" s="152" t="s">
        <v>780</v>
      </c>
      <c r="N1584" s="152" t="s">
        <v>1407</v>
      </c>
      <c r="O1584" s="152" t="s">
        <v>3526</v>
      </c>
      <c r="P1584" s="152" t="s">
        <v>3489</v>
      </c>
      <c r="Q1584" s="152" t="s">
        <v>3527</v>
      </c>
      <c r="R1584" s="152" t="s">
        <v>3609</v>
      </c>
      <c r="S1584" s="152" t="s">
        <v>3529</v>
      </c>
      <c r="T1584" s="152" t="s">
        <v>786</v>
      </c>
    </row>
    <row r="1585" spans="3:20">
      <c r="C1585" s="152" t="s">
        <v>2821</v>
      </c>
      <c r="F1585" s="152" t="s">
        <v>371</v>
      </c>
      <c r="G1585" s="152" t="s">
        <v>353</v>
      </c>
      <c r="I1585" s="513">
        <v>-140962.29999999999</v>
      </c>
      <c r="J1585" s="513">
        <v>-99.62</v>
      </c>
      <c r="K1585" s="513">
        <v>1415</v>
      </c>
      <c r="L1585" s="518" t="s">
        <v>3511</v>
      </c>
      <c r="M1585" s="152" t="s">
        <v>780</v>
      </c>
      <c r="N1585" s="152" t="s">
        <v>1407</v>
      </c>
      <c r="O1585" s="152" t="s">
        <v>3530</v>
      </c>
      <c r="P1585" s="152" t="s">
        <v>3489</v>
      </c>
      <c r="Q1585" s="152" t="s">
        <v>3531</v>
      </c>
      <c r="R1585" s="152" t="s">
        <v>3610</v>
      </c>
      <c r="S1585" s="152" t="s">
        <v>3533</v>
      </c>
      <c r="T1585" s="152" t="s">
        <v>786</v>
      </c>
    </row>
    <row r="1586" spans="3:20">
      <c r="C1586" s="152" t="s">
        <v>2821</v>
      </c>
      <c r="F1586" s="152" t="s">
        <v>371</v>
      </c>
      <c r="G1586" s="152" t="s">
        <v>353</v>
      </c>
      <c r="I1586" s="513">
        <v>169630.2</v>
      </c>
      <c r="J1586" s="513">
        <v>119.88</v>
      </c>
      <c r="K1586" s="513">
        <v>1415</v>
      </c>
      <c r="L1586" s="518" t="s">
        <v>3511</v>
      </c>
      <c r="M1586" s="152" t="s">
        <v>780</v>
      </c>
      <c r="N1586" s="152" t="s">
        <v>1407</v>
      </c>
      <c r="O1586" s="152" t="s">
        <v>3526</v>
      </c>
      <c r="P1586" s="152" t="s">
        <v>3489</v>
      </c>
      <c r="Q1586" s="152" t="s">
        <v>3527</v>
      </c>
      <c r="R1586" s="152" t="s">
        <v>3611</v>
      </c>
      <c r="S1586" s="152" t="s">
        <v>3529</v>
      </c>
      <c r="T1586" s="152" t="s">
        <v>786</v>
      </c>
    </row>
    <row r="1587" spans="3:20">
      <c r="C1587" s="152" t="s">
        <v>2821</v>
      </c>
      <c r="F1587" s="152" t="s">
        <v>371</v>
      </c>
      <c r="G1587" s="152" t="s">
        <v>353</v>
      </c>
      <c r="I1587" s="513">
        <v>-175559.05</v>
      </c>
      <c r="J1587" s="513">
        <v>-124.07</v>
      </c>
      <c r="K1587" s="513">
        <v>1415</v>
      </c>
      <c r="L1587" s="518" t="s">
        <v>3511</v>
      </c>
      <c r="M1587" s="152" t="s">
        <v>780</v>
      </c>
      <c r="N1587" s="152" t="s">
        <v>1407</v>
      </c>
      <c r="O1587" s="152" t="s">
        <v>3530</v>
      </c>
      <c r="P1587" s="152" t="s">
        <v>3489</v>
      </c>
      <c r="Q1587" s="152" t="s">
        <v>3531</v>
      </c>
      <c r="R1587" s="152" t="s">
        <v>3612</v>
      </c>
      <c r="S1587" s="152" t="s">
        <v>3533</v>
      </c>
      <c r="T1587" s="152" t="s">
        <v>786</v>
      </c>
    </row>
    <row r="1588" spans="3:20">
      <c r="C1588" s="152" t="s">
        <v>2821</v>
      </c>
      <c r="F1588" s="152" t="s">
        <v>371</v>
      </c>
      <c r="G1588" s="152" t="s">
        <v>353</v>
      </c>
      <c r="I1588" s="513">
        <v>34667.5</v>
      </c>
      <c r="J1588" s="513">
        <v>24.5</v>
      </c>
      <c r="K1588" s="513">
        <v>1415</v>
      </c>
      <c r="L1588" s="518" t="s">
        <v>3511</v>
      </c>
      <c r="M1588" s="152" t="s">
        <v>780</v>
      </c>
      <c r="N1588" s="152" t="s">
        <v>1407</v>
      </c>
      <c r="O1588" s="152" t="s">
        <v>3526</v>
      </c>
      <c r="P1588" s="152" t="s">
        <v>3489</v>
      </c>
      <c r="Q1588" s="152" t="s">
        <v>3527</v>
      </c>
      <c r="R1588" s="152" t="s">
        <v>3613</v>
      </c>
      <c r="S1588" s="152" t="s">
        <v>3529</v>
      </c>
      <c r="T1588" s="152" t="s">
        <v>786</v>
      </c>
    </row>
    <row r="1589" spans="3:20">
      <c r="C1589" s="152" t="s">
        <v>2821</v>
      </c>
      <c r="F1589" s="152" t="s">
        <v>371</v>
      </c>
      <c r="G1589" s="152" t="s">
        <v>353</v>
      </c>
      <c r="I1589" s="513">
        <v>11249.25</v>
      </c>
      <c r="J1589" s="513">
        <v>7.95</v>
      </c>
      <c r="K1589" s="513">
        <v>1415</v>
      </c>
      <c r="L1589" s="518" t="s">
        <v>3511</v>
      </c>
      <c r="M1589" s="152" t="s">
        <v>780</v>
      </c>
      <c r="N1589" s="152" t="s">
        <v>1407</v>
      </c>
      <c r="O1589" s="152" t="s">
        <v>3526</v>
      </c>
      <c r="P1589" s="152" t="s">
        <v>3489</v>
      </c>
      <c r="Q1589" s="152" t="s">
        <v>3527</v>
      </c>
      <c r="R1589" s="152" t="s">
        <v>3613</v>
      </c>
      <c r="S1589" s="152" t="s">
        <v>3529</v>
      </c>
      <c r="T1589" s="152" t="s">
        <v>786</v>
      </c>
    </row>
    <row r="1590" spans="3:20">
      <c r="C1590" s="152" t="s">
        <v>2821</v>
      </c>
      <c r="F1590" s="152" t="s">
        <v>371</v>
      </c>
      <c r="G1590" s="152" t="s">
        <v>353</v>
      </c>
      <c r="I1590" s="513">
        <v>28483.95</v>
      </c>
      <c r="J1590" s="513">
        <v>20.13</v>
      </c>
      <c r="K1590" s="513">
        <v>1415</v>
      </c>
      <c r="L1590" s="518" t="s">
        <v>3511</v>
      </c>
      <c r="M1590" s="152" t="s">
        <v>780</v>
      </c>
      <c r="N1590" s="152" t="s">
        <v>1407</v>
      </c>
      <c r="O1590" s="152" t="s">
        <v>3526</v>
      </c>
      <c r="P1590" s="152" t="s">
        <v>3489</v>
      </c>
      <c r="Q1590" s="152" t="s">
        <v>3527</v>
      </c>
      <c r="R1590" s="152" t="s">
        <v>3613</v>
      </c>
      <c r="S1590" s="152" t="s">
        <v>3529</v>
      </c>
      <c r="T1590" s="152" t="s">
        <v>786</v>
      </c>
    </row>
    <row r="1591" spans="3:20">
      <c r="C1591" s="152" t="s">
        <v>2821</v>
      </c>
      <c r="F1591" s="152" t="s">
        <v>371</v>
      </c>
      <c r="G1591" s="152" t="s">
        <v>353</v>
      </c>
      <c r="I1591" s="513">
        <v>-29474.45</v>
      </c>
      <c r="J1591" s="513">
        <v>-20.83</v>
      </c>
      <c r="K1591" s="513">
        <v>1415</v>
      </c>
      <c r="L1591" s="518" t="s">
        <v>3511</v>
      </c>
      <c r="M1591" s="152" t="s">
        <v>780</v>
      </c>
      <c r="N1591" s="152" t="s">
        <v>1407</v>
      </c>
      <c r="O1591" s="152" t="s">
        <v>3530</v>
      </c>
      <c r="P1591" s="152" t="s">
        <v>3489</v>
      </c>
      <c r="Q1591" s="152" t="s">
        <v>3531</v>
      </c>
      <c r="R1591" s="152" t="s">
        <v>3614</v>
      </c>
      <c r="S1591" s="152" t="s">
        <v>3533</v>
      </c>
      <c r="T1591" s="152" t="s">
        <v>786</v>
      </c>
    </row>
    <row r="1592" spans="3:20">
      <c r="C1592" s="152" t="s">
        <v>2821</v>
      </c>
      <c r="F1592" s="152" t="s">
        <v>371</v>
      </c>
      <c r="G1592" s="152" t="s">
        <v>353</v>
      </c>
      <c r="I1592" s="513">
        <v>-11631.3</v>
      </c>
      <c r="J1592" s="513">
        <v>-8.2200000000000006</v>
      </c>
      <c r="K1592" s="513">
        <v>1415</v>
      </c>
      <c r="L1592" s="518" t="s">
        <v>3511</v>
      </c>
      <c r="M1592" s="152" t="s">
        <v>780</v>
      </c>
      <c r="N1592" s="152" t="s">
        <v>1407</v>
      </c>
      <c r="O1592" s="152" t="s">
        <v>3530</v>
      </c>
      <c r="P1592" s="152" t="s">
        <v>3489</v>
      </c>
      <c r="Q1592" s="152" t="s">
        <v>3531</v>
      </c>
      <c r="R1592" s="152" t="s">
        <v>3614</v>
      </c>
      <c r="S1592" s="152" t="s">
        <v>3533</v>
      </c>
      <c r="T1592" s="152" t="s">
        <v>786</v>
      </c>
    </row>
    <row r="1593" spans="3:20">
      <c r="C1593" s="152" t="s">
        <v>2821</v>
      </c>
      <c r="F1593" s="152" t="s">
        <v>371</v>
      </c>
      <c r="G1593" s="152" t="s">
        <v>353</v>
      </c>
      <c r="I1593" s="513">
        <v>-35884.400000000001</v>
      </c>
      <c r="J1593" s="513">
        <v>-25.36</v>
      </c>
      <c r="K1593" s="513">
        <v>1415</v>
      </c>
      <c r="L1593" s="518" t="s">
        <v>3511</v>
      </c>
      <c r="M1593" s="152" t="s">
        <v>780</v>
      </c>
      <c r="N1593" s="152" t="s">
        <v>1407</v>
      </c>
      <c r="O1593" s="152" t="s">
        <v>3530</v>
      </c>
      <c r="P1593" s="152" t="s">
        <v>3489</v>
      </c>
      <c r="Q1593" s="152" t="s">
        <v>3531</v>
      </c>
      <c r="R1593" s="152" t="s">
        <v>3614</v>
      </c>
      <c r="S1593" s="152" t="s">
        <v>3533</v>
      </c>
      <c r="T1593" s="152" t="s">
        <v>786</v>
      </c>
    </row>
    <row r="1594" spans="3:20">
      <c r="C1594" s="152" t="s">
        <v>2821</v>
      </c>
      <c r="F1594" s="152" t="s">
        <v>371</v>
      </c>
      <c r="G1594" s="152" t="s">
        <v>353</v>
      </c>
      <c r="I1594" s="513">
        <v>65245.65</v>
      </c>
      <c r="J1594" s="513">
        <v>46.11</v>
      </c>
      <c r="K1594" s="513">
        <v>1415</v>
      </c>
      <c r="L1594" s="518" t="s">
        <v>3511</v>
      </c>
      <c r="M1594" s="152" t="s">
        <v>780</v>
      </c>
      <c r="N1594" s="152" t="s">
        <v>1407</v>
      </c>
      <c r="O1594" s="152" t="s">
        <v>3526</v>
      </c>
      <c r="P1594" s="152" t="s">
        <v>3489</v>
      </c>
      <c r="Q1594" s="152" t="s">
        <v>3527</v>
      </c>
      <c r="R1594" s="152" t="s">
        <v>3615</v>
      </c>
      <c r="S1594" s="152" t="s">
        <v>3529</v>
      </c>
      <c r="T1594" s="152" t="s">
        <v>786</v>
      </c>
    </row>
    <row r="1595" spans="3:20">
      <c r="C1595" s="152" t="s">
        <v>2821</v>
      </c>
      <c r="F1595" s="152" t="s">
        <v>371</v>
      </c>
      <c r="G1595" s="152" t="s">
        <v>353</v>
      </c>
      <c r="I1595" s="513">
        <v>-67523.8</v>
      </c>
      <c r="J1595" s="513">
        <v>-47.72</v>
      </c>
      <c r="K1595" s="513">
        <v>1415</v>
      </c>
      <c r="L1595" s="518" t="s">
        <v>3511</v>
      </c>
      <c r="M1595" s="152" t="s">
        <v>780</v>
      </c>
      <c r="N1595" s="152" t="s">
        <v>1407</v>
      </c>
      <c r="O1595" s="152" t="s">
        <v>3530</v>
      </c>
      <c r="P1595" s="152" t="s">
        <v>3489</v>
      </c>
      <c r="Q1595" s="152" t="s">
        <v>3531</v>
      </c>
      <c r="R1595" s="152" t="s">
        <v>3616</v>
      </c>
      <c r="S1595" s="152" t="s">
        <v>3533</v>
      </c>
      <c r="T1595" s="152" t="s">
        <v>786</v>
      </c>
    </row>
    <row r="1596" spans="3:20">
      <c r="C1596" s="152" t="s">
        <v>2821</v>
      </c>
      <c r="F1596" s="152" t="s">
        <v>371</v>
      </c>
      <c r="G1596" s="152" t="s">
        <v>353</v>
      </c>
      <c r="I1596" s="513">
        <v>104554.35</v>
      </c>
      <c r="J1596" s="513">
        <v>73.89</v>
      </c>
      <c r="K1596" s="513">
        <v>1415</v>
      </c>
      <c r="L1596" s="518" t="s">
        <v>3511</v>
      </c>
      <c r="M1596" s="152" t="s">
        <v>780</v>
      </c>
      <c r="N1596" s="152" t="s">
        <v>1407</v>
      </c>
      <c r="O1596" s="152" t="s">
        <v>3526</v>
      </c>
      <c r="P1596" s="152" t="s">
        <v>3489</v>
      </c>
      <c r="Q1596" s="152" t="s">
        <v>3527</v>
      </c>
      <c r="R1596" s="152" t="s">
        <v>3617</v>
      </c>
      <c r="S1596" s="152" t="s">
        <v>3529</v>
      </c>
      <c r="T1596" s="152" t="s">
        <v>786</v>
      </c>
    </row>
    <row r="1597" spans="3:20">
      <c r="C1597" s="152" t="s">
        <v>2821</v>
      </c>
      <c r="F1597" s="152" t="s">
        <v>371</v>
      </c>
      <c r="G1597" s="152" t="s">
        <v>353</v>
      </c>
      <c r="I1597" s="513">
        <v>-108205.05</v>
      </c>
      <c r="J1597" s="513">
        <v>-76.47</v>
      </c>
      <c r="K1597" s="513">
        <v>1415</v>
      </c>
      <c r="L1597" s="518" t="s">
        <v>3511</v>
      </c>
      <c r="M1597" s="152" t="s">
        <v>780</v>
      </c>
      <c r="N1597" s="152" t="s">
        <v>1407</v>
      </c>
      <c r="O1597" s="152" t="s">
        <v>3530</v>
      </c>
      <c r="P1597" s="152" t="s">
        <v>3489</v>
      </c>
      <c r="Q1597" s="152" t="s">
        <v>3531</v>
      </c>
      <c r="R1597" s="152" t="s">
        <v>3618</v>
      </c>
      <c r="S1597" s="152" t="s">
        <v>3533</v>
      </c>
      <c r="T1597" s="152" t="s">
        <v>786</v>
      </c>
    </row>
    <row r="1598" spans="3:20">
      <c r="C1598" s="152" t="s">
        <v>2821</v>
      </c>
      <c r="F1598" s="152" t="s">
        <v>371</v>
      </c>
      <c r="G1598" s="152" t="s">
        <v>353</v>
      </c>
      <c r="I1598" s="513">
        <v>4839300</v>
      </c>
      <c r="J1598" s="513">
        <v>3420</v>
      </c>
      <c r="K1598" s="513">
        <v>1415</v>
      </c>
      <c r="L1598" s="518" t="s">
        <v>3511</v>
      </c>
      <c r="M1598" s="152" t="s">
        <v>780</v>
      </c>
      <c r="N1598" s="152" t="s">
        <v>1407</v>
      </c>
      <c r="O1598" s="152" t="s">
        <v>3562</v>
      </c>
      <c r="P1598" s="152" t="s">
        <v>3489</v>
      </c>
      <c r="Q1598" s="152" t="s">
        <v>3563</v>
      </c>
      <c r="R1598" s="152" t="s">
        <v>3619</v>
      </c>
      <c r="S1598" s="152" t="s">
        <v>3565</v>
      </c>
      <c r="T1598" s="152" t="s">
        <v>786</v>
      </c>
    </row>
    <row r="1599" spans="3:20">
      <c r="C1599" s="152" t="s">
        <v>2821</v>
      </c>
      <c r="F1599" s="152" t="s">
        <v>371</v>
      </c>
      <c r="G1599" s="152" t="s">
        <v>353</v>
      </c>
      <c r="I1599" s="513">
        <v>-169375.5</v>
      </c>
      <c r="J1599" s="513">
        <v>-119.7</v>
      </c>
      <c r="K1599" s="513">
        <v>1415</v>
      </c>
      <c r="L1599" s="518" t="s">
        <v>3511</v>
      </c>
      <c r="M1599" s="152" t="s">
        <v>780</v>
      </c>
      <c r="N1599" s="152" t="s">
        <v>1407</v>
      </c>
      <c r="O1599" s="152" t="s">
        <v>3530</v>
      </c>
      <c r="P1599" s="152" t="s">
        <v>3489</v>
      </c>
      <c r="Q1599" s="152" t="s">
        <v>3531</v>
      </c>
      <c r="R1599" s="152" t="s">
        <v>3620</v>
      </c>
      <c r="S1599" s="152" t="s">
        <v>3533</v>
      </c>
      <c r="T1599" s="152" t="s">
        <v>786</v>
      </c>
    </row>
    <row r="1600" spans="3:20">
      <c r="C1600" s="152" t="s">
        <v>2821</v>
      </c>
      <c r="F1600" s="152" t="s">
        <v>371</v>
      </c>
      <c r="G1600" s="152" t="s">
        <v>353</v>
      </c>
      <c r="I1600" s="513">
        <v>2072267.5</v>
      </c>
      <c r="J1600" s="513">
        <v>1464.5</v>
      </c>
      <c r="K1600" s="513">
        <v>1415</v>
      </c>
      <c r="L1600" s="518" t="s">
        <v>3511</v>
      </c>
      <c r="M1600" s="152" t="s">
        <v>780</v>
      </c>
      <c r="N1600" s="152" t="s">
        <v>1407</v>
      </c>
      <c r="O1600" s="152" t="s">
        <v>3562</v>
      </c>
      <c r="P1600" s="152" t="s">
        <v>3489</v>
      </c>
      <c r="Q1600" s="152" t="s">
        <v>3563</v>
      </c>
      <c r="R1600" s="152" t="s">
        <v>3621</v>
      </c>
      <c r="S1600" s="152" t="s">
        <v>3565</v>
      </c>
      <c r="T1600" s="152" t="s">
        <v>786</v>
      </c>
    </row>
    <row r="1601" spans="3:20">
      <c r="C1601" s="152" t="s">
        <v>2821</v>
      </c>
      <c r="F1601" s="152" t="s">
        <v>371</v>
      </c>
      <c r="G1601" s="152" t="s">
        <v>353</v>
      </c>
      <c r="I1601" s="513">
        <v>-72532.899999999994</v>
      </c>
      <c r="J1601" s="513">
        <v>-51.26</v>
      </c>
      <c r="K1601" s="513">
        <v>1415</v>
      </c>
      <c r="L1601" s="518" t="s">
        <v>3511</v>
      </c>
      <c r="M1601" s="152" t="s">
        <v>780</v>
      </c>
      <c r="N1601" s="152" t="s">
        <v>1407</v>
      </c>
      <c r="O1601" s="152" t="s">
        <v>3530</v>
      </c>
      <c r="P1601" s="152" t="s">
        <v>3489</v>
      </c>
      <c r="Q1601" s="152" t="s">
        <v>3531</v>
      </c>
      <c r="R1601" s="152" t="s">
        <v>3622</v>
      </c>
      <c r="S1601" s="152" t="s">
        <v>3533</v>
      </c>
      <c r="T1601" s="152" t="s">
        <v>786</v>
      </c>
    </row>
    <row r="1602" spans="3:20">
      <c r="C1602" s="152" t="s">
        <v>2821</v>
      </c>
      <c r="F1602" s="152" t="s">
        <v>371</v>
      </c>
      <c r="G1602" s="152" t="s">
        <v>353</v>
      </c>
      <c r="I1602" s="513">
        <v>12076800</v>
      </c>
      <c r="J1602" s="513">
        <v>8160</v>
      </c>
      <c r="K1602" s="513">
        <v>1480</v>
      </c>
      <c r="L1602" s="518" t="s">
        <v>3546</v>
      </c>
      <c r="M1602" s="152" t="s">
        <v>780</v>
      </c>
      <c r="N1602" s="152" t="s">
        <v>1407</v>
      </c>
      <c r="O1602" s="152" t="s">
        <v>3547</v>
      </c>
      <c r="P1602" s="152" t="s">
        <v>2865</v>
      </c>
      <c r="Q1602" s="152" t="s">
        <v>3548</v>
      </c>
      <c r="R1602" s="152" t="s">
        <v>3623</v>
      </c>
      <c r="S1602" s="152" t="s">
        <v>3550</v>
      </c>
      <c r="T1602" s="152" t="s">
        <v>786</v>
      </c>
    </row>
    <row r="1603" spans="3:20">
      <c r="C1603" s="152" t="s">
        <v>2821</v>
      </c>
      <c r="F1603" s="152" t="s">
        <v>371</v>
      </c>
      <c r="G1603" s="152" t="s">
        <v>353</v>
      </c>
      <c r="I1603" s="513">
        <v>18847800</v>
      </c>
      <c r="J1603" s="513">
        <v>13320</v>
      </c>
      <c r="K1603" s="513">
        <v>1415</v>
      </c>
      <c r="L1603" s="518" t="s">
        <v>3511</v>
      </c>
      <c r="M1603" s="152" t="s">
        <v>780</v>
      </c>
      <c r="N1603" s="152" t="s">
        <v>1407</v>
      </c>
      <c r="O1603" s="152" t="s">
        <v>3562</v>
      </c>
      <c r="P1603" s="152" t="s">
        <v>3489</v>
      </c>
      <c r="Q1603" s="152" t="s">
        <v>3563</v>
      </c>
      <c r="R1603" s="152" t="s">
        <v>3624</v>
      </c>
      <c r="S1603" s="152" t="s">
        <v>3565</v>
      </c>
      <c r="T1603" s="152" t="s">
        <v>786</v>
      </c>
    </row>
    <row r="1604" spans="3:20">
      <c r="C1604" s="152" t="s">
        <v>2821</v>
      </c>
      <c r="F1604" s="152" t="s">
        <v>371</v>
      </c>
      <c r="G1604" s="152" t="s">
        <v>353</v>
      </c>
      <c r="I1604" s="513">
        <v>-659673</v>
      </c>
      <c r="J1604" s="513">
        <v>-466.2</v>
      </c>
      <c r="K1604" s="513">
        <v>1415</v>
      </c>
      <c r="L1604" s="518" t="s">
        <v>3511</v>
      </c>
      <c r="M1604" s="152" t="s">
        <v>780</v>
      </c>
      <c r="N1604" s="152" t="s">
        <v>1407</v>
      </c>
      <c r="O1604" s="152" t="s">
        <v>3530</v>
      </c>
      <c r="P1604" s="152" t="s">
        <v>3489</v>
      </c>
      <c r="Q1604" s="152" t="s">
        <v>3531</v>
      </c>
      <c r="R1604" s="152" t="s">
        <v>3625</v>
      </c>
      <c r="S1604" s="152" t="s">
        <v>3533</v>
      </c>
      <c r="T1604" s="152" t="s">
        <v>786</v>
      </c>
    </row>
    <row r="1605" spans="3:20">
      <c r="C1605" s="152" t="s">
        <v>2821</v>
      </c>
      <c r="F1605" s="152" t="s">
        <v>371</v>
      </c>
      <c r="G1605" s="152" t="s">
        <v>353</v>
      </c>
      <c r="I1605" s="513">
        <v>1673000</v>
      </c>
      <c r="J1605" s="513">
        <v>1195</v>
      </c>
      <c r="K1605" s="513">
        <v>1400</v>
      </c>
      <c r="L1605" s="518" t="s">
        <v>3557</v>
      </c>
      <c r="M1605" s="152" t="s">
        <v>780</v>
      </c>
      <c r="N1605" s="152" t="s">
        <v>1407</v>
      </c>
      <c r="O1605" s="152" t="s">
        <v>3558</v>
      </c>
      <c r="P1605" s="152" t="s">
        <v>3489</v>
      </c>
      <c r="Q1605" s="152" t="s">
        <v>3559</v>
      </c>
      <c r="R1605" s="152" t="s">
        <v>3626</v>
      </c>
      <c r="S1605" s="152" t="s">
        <v>3561</v>
      </c>
      <c r="T1605" s="152" t="s">
        <v>786</v>
      </c>
    </row>
    <row r="1606" spans="3:20">
      <c r="C1606" s="152" t="s">
        <v>2821</v>
      </c>
      <c r="F1606" s="152" t="s">
        <v>371</v>
      </c>
      <c r="G1606" s="152" t="s">
        <v>353</v>
      </c>
      <c r="I1606" s="513">
        <v>4081950</v>
      </c>
      <c r="J1606" s="513">
        <v>2895</v>
      </c>
      <c r="K1606" s="513">
        <v>1410</v>
      </c>
      <c r="L1606" s="518" t="s">
        <v>3567</v>
      </c>
      <c r="M1606" s="152" t="s">
        <v>780</v>
      </c>
      <c r="N1606" s="152" t="s">
        <v>1407</v>
      </c>
      <c r="O1606" s="152" t="s">
        <v>3568</v>
      </c>
      <c r="P1606" s="152" t="s">
        <v>3489</v>
      </c>
      <c r="Q1606" s="152" t="s">
        <v>3569</v>
      </c>
      <c r="R1606" s="152" t="s">
        <v>3627</v>
      </c>
      <c r="S1606" s="152" t="s">
        <v>3571</v>
      </c>
      <c r="T1606" s="152" t="s">
        <v>786</v>
      </c>
    </row>
    <row r="1607" spans="3:20">
      <c r="C1607" s="152" t="s">
        <v>2821</v>
      </c>
      <c r="F1607" s="152" t="s">
        <v>371</v>
      </c>
      <c r="G1607" s="152" t="s">
        <v>353</v>
      </c>
      <c r="I1607" s="513">
        <v>4081950</v>
      </c>
      <c r="J1607" s="513">
        <v>2895</v>
      </c>
      <c r="K1607" s="513">
        <v>1410</v>
      </c>
      <c r="L1607" s="518" t="s">
        <v>3567</v>
      </c>
      <c r="M1607" s="152" t="s">
        <v>780</v>
      </c>
      <c r="N1607" s="152" t="s">
        <v>1407</v>
      </c>
      <c r="O1607" s="152" t="s">
        <v>3568</v>
      </c>
      <c r="P1607" s="152" t="s">
        <v>3489</v>
      </c>
      <c r="Q1607" s="152" t="s">
        <v>3569</v>
      </c>
      <c r="R1607" s="152" t="s">
        <v>3628</v>
      </c>
      <c r="S1607" s="152" t="s">
        <v>3571</v>
      </c>
      <c r="T1607" s="152" t="s">
        <v>786</v>
      </c>
    </row>
    <row r="1608" spans="3:20">
      <c r="C1608" s="152" t="s">
        <v>2821</v>
      </c>
      <c r="F1608" s="152" t="s">
        <v>371</v>
      </c>
      <c r="G1608" s="152" t="s">
        <v>353</v>
      </c>
      <c r="I1608" s="513">
        <v>4081950</v>
      </c>
      <c r="J1608" s="513">
        <v>2895</v>
      </c>
      <c r="K1608" s="513">
        <v>1410</v>
      </c>
      <c r="L1608" s="518" t="s">
        <v>3567</v>
      </c>
      <c r="M1608" s="152" t="s">
        <v>780</v>
      </c>
      <c r="N1608" s="152" t="s">
        <v>1407</v>
      </c>
      <c r="O1608" s="152" t="s">
        <v>3568</v>
      </c>
      <c r="P1608" s="152" t="s">
        <v>3489</v>
      </c>
      <c r="Q1608" s="152" t="s">
        <v>3569</v>
      </c>
      <c r="R1608" s="152" t="s">
        <v>3629</v>
      </c>
      <c r="S1608" s="152" t="s">
        <v>3571</v>
      </c>
      <c r="T1608" s="152" t="s">
        <v>786</v>
      </c>
    </row>
    <row r="1609" spans="3:20">
      <c r="C1609" s="152" t="s">
        <v>2821</v>
      </c>
      <c r="F1609" s="152" t="s">
        <v>371</v>
      </c>
      <c r="G1609" s="152" t="s">
        <v>353</v>
      </c>
      <c r="I1609" s="513">
        <v>7392000</v>
      </c>
      <c r="J1609" s="513">
        <v>5280</v>
      </c>
      <c r="K1609" s="513">
        <v>1400</v>
      </c>
      <c r="L1609" s="518" t="s">
        <v>3493</v>
      </c>
      <c r="M1609" s="152" t="s">
        <v>780</v>
      </c>
      <c r="N1609" s="152" t="s">
        <v>1407</v>
      </c>
      <c r="O1609" s="152" t="s">
        <v>3494</v>
      </c>
      <c r="P1609" s="152" t="s">
        <v>3489</v>
      </c>
      <c r="Q1609" s="152" t="s">
        <v>3495</v>
      </c>
      <c r="R1609" s="152" t="s">
        <v>3630</v>
      </c>
      <c r="S1609" s="152" t="s">
        <v>3497</v>
      </c>
      <c r="T1609" s="152" t="s">
        <v>786</v>
      </c>
    </row>
    <row r="1610" spans="3:20">
      <c r="C1610" s="152" t="s">
        <v>2821</v>
      </c>
      <c r="F1610" s="152" t="s">
        <v>371</v>
      </c>
      <c r="G1610" s="152" t="s">
        <v>353</v>
      </c>
      <c r="I1610" s="513">
        <v>8596000</v>
      </c>
      <c r="J1610" s="513">
        <v>6140</v>
      </c>
      <c r="K1610" s="513">
        <v>1400</v>
      </c>
      <c r="L1610" s="518" t="s">
        <v>3493</v>
      </c>
      <c r="M1610" s="152" t="s">
        <v>780</v>
      </c>
      <c r="N1610" s="152" t="s">
        <v>1407</v>
      </c>
      <c r="O1610" s="152" t="s">
        <v>3494</v>
      </c>
      <c r="P1610" s="152" t="s">
        <v>3489</v>
      </c>
      <c r="Q1610" s="152" t="s">
        <v>3495</v>
      </c>
      <c r="R1610" s="152" t="s">
        <v>3631</v>
      </c>
      <c r="S1610" s="152" t="s">
        <v>3497</v>
      </c>
      <c r="T1610" s="152" t="s">
        <v>786</v>
      </c>
    </row>
    <row r="1611" spans="3:20">
      <c r="C1611" s="152" t="s">
        <v>2821</v>
      </c>
      <c r="F1611" s="152" t="s">
        <v>371</v>
      </c>
      <c r="G1611" s="152" t="s">
        <v>353</v>
      </c>
      <c r="I1611" s="513">
        <v>-343425</v>
      </c>
      <c r="J1611" s="513">
        <v>-241</v>
      </c>
      <c r="K1611" s="513">
        <v>1425</v>
      </c>
      <c r="L1611" s="518" t="s">
        <v>3552</v>
      </c>
      <c r="M1611" s="152" t="s">
        <v>780</v>
      </c>
      <c r="N1611" s="152" t="s">
        <v>1407</v>
      </c>
      <c r="O1611" s="152" t="s">
        <v>4111</v>
      </c>
      <c r="P1611" s="152" t="s">
        <v>3489</v>
      </c>
      <c r="Q1611" s="152" t="s">
        <v>4112</v>
      </c>
      <c r="R1611" s="152" t="s">
        <v>4113</v>
      </c>
      <c r="S1611" s="152" t="s">
        <v>4114</v>
      </c>
      <c r="T1611" s="152" t="s">
        <v>786</v>
      </c>
    </row>
    <row r="1612" spans="3:20">
      <c r="C1612" s="152" t="s">
        <v>2821</v>
      </c>
      <c r="F1612" s="152" t="s">
        <v>371</v>
      </c>
      <c r="G1612" s="152" t="s">
        <v>353</v>
      </c>
      <c r="I1612" s="513">
        <v>-106125000</v>
      </c>
      <c r="J1612" s="513">
        <v>-75000</v>
      </c>
      <c r="K1612" s="513">
        <v>1415</v>
      </c>
      <c r="L1612" s="518" t="s">
        <v>3511</v>
      </c>
      <c r="M1612" s="152" t="s">
        <v>780</v>
      </c>
      <c r="N1612" s="152" t="s">
        <v>1407</v>
      </c>
      <c r="O1612" s="152" t="s">
        <v>4115</v>
      </c>
      <c r="P1612" s="152" t="s">
        <v>3489</v>
      </c>
      <c r="Q1612" s="152" t="s">
        <v>4116</v>
      </c>
      <c r="R1612" s="152" t="s">
        <v>4117</v>
      </c>
      <c r="S1612" s="152" t="s">
        <v>4118</v>
      </c>
      <c r="T1612" s="152" t="s">
        <v>786</v>
      </c>
    </row>
    <row r="1613" spans="3:20">
      <c r="C1613" s="152" t="s">
        <v>2821</v>
      </c>
      <c r="F1613" s="152" t="s">
        <v>371</v>
      </c>
      <c r="G1613" s="152" t="s">
        <v>353</v>
      </c>
      <c r="I1613" s="513">
        <v>4176675</v>
      </c>
      <c r="J1613" s="513">
        <v>2931</v>
      </c>
      <c r="K1613" s="513">
        <v>1425</v>
      </c>
      <c r="L1613" s="518" t="s">
        <v>3552</v>
      </c>
      <c r="M1613" s="152" t="s">
        <v>780</v>
      </c>
      <c r="N1613" s="152" t="s">
        <v>1407</v>
      </c>
      <c r="O1613" s="152" t="s">
        <v>3553</v>
      </c>
      <c r="P1613" s="152" t="s">
        <v>3489</v>
      </c>
      <c r="Q1613" s="152" t="s">
        <v>3554</v>
      </c>
      <c r="R1613" s="152" t="s">
        <v>4119</v>
      </c>
      <c r="S1613" s="152" t="s">
        <v>3556</v>
      </c>
      <c r="T1613" s="152" t="s">
        <v>786</v>
      </c>
    </row>
    <row r="1614" spans="3:20">
      <c r="C1614" s="152" t="s">
        <v>2821</v>
      </c>
      <c r="F1614" s="152" t="s">
        <v>371</v>
      </c>
      <c r="G1614" s="152" t="s">
        <v>353</v>
      </c>
      <c r="I1614" s="513">
        <v>83237375</v>
      </c>
      <c r="J1614" s="513">
        <v>58825</v>
      </c>
      <c r="K1614" s="513">
        <v>1415</v>
      </c>
      <c r="L1614" s="518" t="s">
        <v>3511</v>
      </c>
      <c r="M1614" s="152" t="s">
        <v>780</v>
      </c>
      <c r="N1614" s="152" t="s">
        <v>1407</v>
      </c>
      <c r="O1614" s="152" t="s">
        <v>4120</v>
      </c>
      <c r="P1614" s="152" t="s">
        <v>3489</v>
      </c>
      <c r="Q1614" s="152" t="s">
        <v>4121</v>
      </c>
      <c r="R1614" s="152" t="s">
        <v>4122</v>
      </c>
      <c r="S1614" s="152" t="s">
        <v>4123</v>
      </c>
      <c r="T1614" s="152" t="s">
        <v>786</v>
      </c>
    </row>
    <row r="1615" spans="3:20">
      <c r="C1615" s="152" t="s">
        <v>2821</v>
      </c>
      <c r="F1615" s="152" t="s">
        <v>371</v>
      </c>
      <c r="G1615" s="152" t="s">
        <v>353</v>
      </c>
      <c r="I1615" s="513">
        <v>-649348.85</v>
      </c>
      <c r="J1615" s="513">
        <v>-462.17</v>
      </c>
      <c r="K1615" s="513">
        <v>1405</v>
      </c>
      <c r="L1615" s="518" t="s">
        <v>3493</v>
      </c>
      <c r="M1615" s="152" t="s">
        <v>780</v>
      </c>
      <c r="N1615" s="152" t="s">
        <v>1407</v>
      </c>
      <c r="O1615" s="152" t="s">
        <v>4124</v>
      </c>
      <c r="P1615" s="152" t="s">
        <v>3489</v>
      </c>
      <c r="Q1615" s="152" t="s">
        <v>4125</v>
      </c>
      <c r="R1615" s="152" t="s">
        <v>4126</v>
      </c>
      <c r="S1615" s="152" t="s">
        <v>4127</v>
      </c>
      <c r="T1615" s="152" t="s">
        <v>786</v>
      </c>
    </row>
    <row r="1616" spans="3:20">
      <c r="C1616" s="152" t="s">
        <v>2821</v>
      </c>
      <c r="F1616" s="152" t="s">
        <v>371</v>
      </c>
      <c r="G1616" s="152" t="s">
        <v>353</v>
      </c>
      <c r="I1616" s="513">
        <v>-36000000</v>
      </c>
      <c r="J1616" s="513">
        <v>-25000</v>
      </c>
      <c r="K1616" s="513">
        <v>1440</v>
      </c>
      <c r="L1616" s="518" t="s">
        <v>4128</v>
      </c>
      <c r="M1616" s="152" t="s">
        <v>780</v>
      </c>
      <c r="N1616" s="152" t="s">
        <v>1407</v>
      </c>
      <c r="O1616" s="152" t="s">
        <v>4129</v>
      </c>
      <c r="P1616" s="152" t="s">
        <v>892</v>
      </c>
      <c r="Q1616" s="152" t="s">
        <v>4130</v>
      </c>
      <c r="R1616" s="152" t="s">
        <v>4131</v>
      </c>
      <c r="S1616" s="152" t="s">
        <v>4132</v>
      </c>
      <c r="T1616" s="152" t="s">
        <v>786</v>
      </c>
    </row>
    <row r="1617" spans="3:20">
      <c r="C1617" s="152" t="s">
        <v>2821</v>
      </c>
      <c r="F1617" s="152" t="s">
        <v>371</v>
      </c>
      <c r="G1617" s="152" t="s">
        <v>353</v>
      </c>
      <c r="I1617" s="513">
        <v>-56400000</v>
      </c>
      <c r="J1617" s="513">
        <v>-40000</v>
      </c>
      <c r="K1617" s="513">
        <v>1410</v>
      </c>
      <c r="L1617" s="518" t="s">
        <v>4133</v>
      </c>
      <c r="M1617" s="152" t="s">
        <v>780</v>
      </c>
      <c r="N1617" s="152" t="s">
        <v>1407</v>
      </c>
      <c r="O1617" s="152" t="s">
        <v>4134</v>
      </c>
      <c r="P1617" s="152" t="s">
        <v>3489</v>
      </c>
      <c r="Q1617" s="152" t="s">
        <v>4135</v>
      </c>
      <c r="R1617" s="152" t="s">
        <v>4136</v>
      </c>
      <c r="S1617" s="152" t="s">
        <v>4137</v>
      </c>
      <c r="T1617" s="152" t="s">
        <v>786</v>
      </c>
    </row>
    <row r="1618" spans="3:20">
      <c r="C1618" s="152" t="s">
        <v>2821</v>
      </c>
      <c r="F1618" s="152" t="s">
        <v>371</v>
      </c>
      <c r="G1618" s="152" t="s">
        <v>353</v>
      </c>
      <c r="I1618" s="513">
        <v>-14150000</v>
      </c>
      <c r="J1618" s="513">
        <v>-10000</v>
      </c>
      <c r="K1618" s="513">
        <v>1415</v>
      </c>
      <c r="L1618" s="518" t="s">
        <v>3557</v>
      </c>
      <c r="M1618" s="152" t="s">
        <v>780</v>
      </c>
      <c r="N1618" s="152" t="s">
        <v>1407</v>
      </c>
      <c r="O1618" s="152" t="s">
        <v>4138</v>
      </c>
      <c r="P1618" s="152" t="s">
        <v>3489</v>
      </c>
      <c r="Q1618" s="152" t="s">
        <v>4139</v>
      </c>
      <c r="R1618" s="152" t="s">
        <v>4136</v>
      </c>
      <c r="S1618" s="152" t="s">
        <v>4140</v>
      </c>
      <c r="T1618" s="152" t="s">
        <v>786</v>
      </c>
    </row>
    <row r="1619" spans="3:20">
      <c r="C1619" s="152" t="s">
        <v>2821</v>
      </c>
      <c r="F1619" s="152" t="s">
        <v>371</v>
      </c>
      <c r="G1619" s="152" t="s">
        <v>353</v>
      </c>
      <c r="I1619" s="513">
        <v>-29925000</v>
      </c>
      <c r="J1619" s="513">
        <v>-21000</v>
      </c>
      <c r="K1619" s="513">
        <v>1425</v>
      </c>
      <c r="L1619" s="518" t="s">
        <v>3552</v>
      </c>
      <c r="M1619" s="152" t="s">
        <v>780</v>
      </c>
      <c r="N1619" s="152" t="s">
        <v>1407</v>
      </c>
      <c r="O1619" s="152" t="s">
        <v>4111</v>
      </c>
      <c r="P1619" s="152" t="s">
        <v>3489</v>
      </c>
      <c r="Q1619" s="152" t="s">
        <v>4112</v>
      </c>
      <c r="R1619" s="152" t="s">
        <v>4141</v>
      </c>
      <c r="S1619" s="152" t="s">
        <v>4114</v>
      </c>
      <c r="T1619" s="152" t="s">
        <v>786</v>
      </c>
    </row>
    <row r="1620" spans="3:20">
      <c r="C1620" s="152" t="s">
        <v>2821</v>
      </c>
      <c r="F1620" s="152" t="s">
        <v>371</v>
      </c>
      <c r="G1620" s="152" t="s">
        <v>353</v>
      </c>
      <c r="I1620" s="513">
        <v>2880000</v>
      </c>
      <c r="J1620" s="513">
        <v>2000</v>
      </c>
      <c r="K1620" s="513">
        <v>1440</v>
      </c>
      <c r="L1620" s="518" t="s">
        <v>3546</v>
      </c>
      <c r="M1620" s="152" t="s">
        <v>780</v>
      </c>
      <c r="N1620" s="152" t="s">
        <v>1407</v>
      </c>
      <c r="O1620" s="152" t="s">
        <v>3547</v>
      </c>
      <c r="P1620" s="152" t="s">
        <v>2865</v>
      </c>
      <c r="Q1620" s="152" t="s">
        <v>3548</v>
      </c>
      <c r="R1620" s="152" t="s">
        <v>4142</v>
      </c>
      <c r="S1620" s="152" t="s">
        <v>3550</v>
      </c>
      <c r="T1620" s="152" t="s">
        <v>786</v>
      </c>
    </row>
    <row r="1621" spans="3:20">
      <c r="C1621" s="152" t="s">
        <v>2821</v>
      </c>
      <c r="F1621" s="152" t="s">
        <v>371</v>
      </c>
      <c r="G1621" s="152" t="s">
        <v>353</v>
      </c>
      <c r="I1621" s="513">
        <v>7866000</v>
      </c>
      <c r="J1621" s="513">
        <v>5520</v>
      </c>
      <c r="K1621" s="513">
        <v>1425</v>
      </c>
      <c r="L1621" s="518" t="s">
        <v>3487</v>
      </c>
      <c r="M1621" s="152" t="s">
        <v>780</v>
      </c>
      <c r="N1621" s="152" t="s">
        <v>1407</v>
      </c>
      <c r="O1621" s="152" t="s">
        <v>3488</v>
      </c>
      <c r="P1621" s="152" t="s">
        <v>3489</v>
      </c>
      <c r="Q1621" s="152" t="s">
        <v>3490</v>
      </c>
      <c r="R1621" s="152" t="s">
        <v>4143</v>
      </c>
      <c r="S1621" s="152" t="s">
        <v>3492</v>
      </c>
      <c r="T1621" s="152" t="s">
        <v>786</v>
      </c>
    </row>
    <row r="1622" spans="3:20">
      <c r="C1622" s="152" t="s">
        <v>2821</v>
      </c>
      <c r="F1622" s="152" t="s">
        <v>371</v>
      </c>
      <c r="G1622" s="152" t="s">
        <v>353</v>
      </c>
      <c r="I1622" s="513">
        <v>48987.3</v>
      </c>
      <c r="J1622" s="513">
        <v>34.619999999999997</v>
      </c>
      <c r="K1622" s="513">
        <v>1415</v>
      </c>
      <c r="L1622" s="518" t="s">
        <v>3511</v>
      </c>
      <c r="M1622" s="152" t="s">
        <v>780</v>
      </c>
      <c r="N1622" s="152" t="s">
        <v>1407</v>
      </c>
      <c r="O1622" s="152" t="s">
        <v>3526</v>
      </c>
      <c r="P1622" s="152" t="s">
        <v>3489</v>
      </c>
      <c r="Q1622" s="152" t="s">
        <v>3527</v>
      </c>
      <c r="R1622" s="152" t="s">
        <v>4144</v>
      </c>
      <c r="S1622" s="152" t="s">
        <v>3529</v>
      </c>
      <c r="T1622" s="152" t="s">
        <v>786</v>
      </c>
    </row>
    <row r="1623" spans="3:20">
      <c r="C1623" s="152" t="s">
        <v>2821</v>
      </c>
      <c r="F1623" s="152" t="s">
        <v>371</v>
      </c>
      <c r="G1623" s="152" t="s">
        <v>353</v>
      </c>
      <c r="I1623" s="513">
        <v>-50699.45</v>
      </c>
      <c r="J1623" s="513">
        <v>-35.83</v>
      </c>
      <c r="K1623" s="513">
        <v>1415</v>
      </c>
      <c r="L1623" s="518" t="s">
        <v>3511</v>
      </c>
      <c r="M1623" s="152" t="s">
        <v>780</v>
      </c>
      <c r="N1623" s="152" t="s">
        <v>1407</v>
      </c>
      <c r="O1623" s="152" t="s">
        <v>3530</v>
      </c>
      <c r="P1623" s="152" t="s">
        <v>3489</v>
      </c>
      <c r="Q1623" s="152" t="s">
        <v>3531</v>
      </c>
      <c r="R1623" s="152" t="s">
        <v>4145</v>
      </c>
      <c r="S1623" s="152" t="s">
        <v>3533</v>
      </c>
      <c r="T1623" s="152" t="s">
        <v>786</v>
      </c>
    </row>
    <row r="1624" spans="3:20">
      <c r="C1624" s="152" t="s">
        <v>2821</v>
      </c>
      <c r="F1624" s="152" t="s">
        <v>371</v>
      </c>
      <c r="G1624" s="152" t="s">
        <v>353</v>
      </c>
      <c r="I1624" s="513">
        <v>130378.1</v>
      </c>
      <c r="J1624" s="513">
        <v>92.14</v>
      </c>
      <c r="K1624" s="513">
        <v>1415</v>
      </c>
      <c r="L1624" s="518" t="s">
        <v>3511</v>
      </c>
      <c r="M1624" s="152" t="s">
        <v>780</v>
      </c>
      <c r="N1624" s="152" t="s">
        <v>1407</v>
      </c>
      <c r="O1624" s="152" t="s">
        <v>3526</v>
      </c>
      <c r="P1624" s="152" t="s">
        <v>3489</v>
      </c>
      <c r="Q1624" s="152" t="s">
        <v>3527</v>
      </c>
      <c r="R1624" s="152" t="s">
        <v>4146</v>
      </c>
      <c r="S1624" s="152" t="s">
        <v>3529</v>
      </c>
      <c r="T1624" s="152" t="s">
        <v>786</v>
      </c>
    </row>
    <row r="1625" spans="3:20">
      <c r="C1625" s="152" t="s">
        <v>2821</v>
      </c>
      <c r="F1625" s="152" t="s">
        <v>371</v>
      </c>
      <c r="G1625" s="152" t="s">
        <v>353</v>
      </c>
      <c r="I1625" s="513">
        <v>-134934.39999999999</v>
      </c>
      <c r="J1625" s="513">
        <v>-95.36</v>
      </c>
      <c r="K1625" s="513">
        <v>1415</v>
      </c>
      <c r="L1625" s="518" t="s">
        <v>3511</v>
      </c>
      <c r="M1625" s="152" t="s">
        <v>780</v>
      </c>
      <c r="N1625" s="152" t="s">
        <v>1407</v>
      </c>
      <c r="O1625" s="152" t="s">
        <v>3530</v>
      </c>
      <c r="P1625" s="152" t="s">
        <v>3489</v>
      </c>
      <c r="Q1625" s="152" t="s">
        <v>3531</v>
      </c>
      <c r="R1625" s="152" t="s">
        <v>4147</v>
      </c>
      <c r="S1625" s="152" t="s">
        <v>3533</v>
      </c>
      <c r="T1625" s="152" t="s">
        <v>786</v>
      </c>
    </row>
    <row r="1626" spans="3:20">
      <c r="C1626" s="152" t="s">
        <v>2821</v>
      </c>
      <c r="F1626" s="152" t="s">
        <v>371</v>
      </c>
      <c r="G1626" s="152" t="s">
        <v>353</v>
      </c>
      <c r="I1626" s="513">
        <v>89512.9</v>
      </c>
      <c r="J1626" s="513">
        <v>63.26</v>
      </c>
      <c r="K1626" s="513">
        <v>1415</v>
      </c>
      <c r="L1626" s="518" t="s">
        <v>3511</v>
      </c>
      <c r="M1626" s="152" t="s">
        <v>780</v>
      </c>
      <c r="N1626" s="152" t="s">
        <v>1407</v>
      </c>
      <c r="O1626" s="152" t="s">
        <v>3526</v>
      </c>
      <c r="P1626" s="152" t="s">
        <v>3489</v>
      </c>
      <c r="Q1626" s="152" t="s">
        <v>3527</v>
      </c>
      <c r="R1626" s="152" t="s">
        <v>4148</v>
      </c>
      <c r="S1626" s="152" t="s">
        <v>3529</v>
      </c>
      <c r="T1626" s="152" t="s">
        <v>786</v>
      </c>
    </row>
    <row r="1627" spans="3:20">
      <c r="C1627" s="152" t="s">
        <v>2821</v>
      </c>
      <c r="F1627" s="152" t="s">
        <v>371</v>
      </c>
      <c r="G1627" s="152" t="s">
        <v>353</v>
      </c>
      <c r="I1627" s="513">
        <v>-92640.05</v>
      </c>
      <c r="J1627" s="513">
        <v>-65.47</v>
      </c>
      <c r="K1627" s="513">
        <v>1415</v>
      </c>
      <c r="L1627" s="518" t="s">
        <v>3511</v>
      </c>
      <c r="M1627" s="152" t="s">
        <v>780</v>
      </c>
      <c r="N1627" s="152" t="s">
        <v>1407</v>
      </c>
      <c r="O1627" s="152" t="s">
        <v>3530</v>
      </c>
      <c r="P1627" s="152" t="s">
        <v>3489</v>
      </c>
      <c r="Q1627" s="152" t="s">
        <v>3531</v>
      </c>
      <c r="R1627" s="152" t="s">
        <v>4149</v>
      </c>
      <c r="S1627" s="152" t="s">
        <v>3533</v>
      </c>
      <c r="T1627" s="152" t="s">
        <v>786</v>
      </c>
    </row>
    <row r="1628" spans="3:20">
      <c r="C1628" s="152" t="s">
        <v>2821</v>
      </c>
      <c r="F1628" s="152" t="s">
        <v>371</v>
      </c>
      <c r="G1628" s="152" t="s">
        <v>353</v>
      </c>
      <c r="I1628" s="513">
        <v>311979.2</v>
      </c>
      <c r="J1628" s="513">
        <v>220.48</v>
      </c>
      <c r="K1628" s="513">
        <v>1415</v>
      </c>
      <c r="L1628" s="518" t="s">
        <v>3511</v>
      </c>
      <c r="M1628" s="152" t="s">
        <v>780</v>
      </c>
      <c r="N1628" s="152" t="s">
        <v>1407</v>
      </c>
      <c r="O1628" s="152" t="s">
        <v>3526</v>
      </c>
      <c r="P1628" s="152" t="s">
        <v>3489</v>
      </c>
      <c r="Q1628" s="152" t="s">
        <v>3527</v>
      </c>
      <c r="R1628" s="152" t="s">
        <v>4150</v>
      </c>
      <c r="S1628" s="152" t="s">
        <v>3529</v>
      </c>
      <c r="T1628" s="152" t="s">
        <v>786</v>
      </c>
    </row>
    <row r="1629" spans="3:20">
      <c r="C1629" s="152" t="s">
        <v>2821</v>
      </c>
      <c r="F1629" s="152" t="s">
        <v>371</v>
      </c>
      <c r="G1629" s="152" t="s">
        <v>353</v>
      </c>
      <c r="I1629" s="513">
        <v>-322888.84999999998</v>
      </c>
      <c r="J1629" s="513">
        <v>-228.19</v>
      </c>
      <c r="K1629" s="513">
        <v>1415</v>
      </c>
      <c r="L1629" s="518" t="s">
        <v>3511</v>
      </c>
      <c r="M1629" s="152" t="s">
        <v>780</v>
      </c>
      <c r="N1629" s="152" t="s">
        <v>1407</v>
      </c>
      <c r="O1629" s="152" t="s">
        <v>3530</v>
      </c>
      <c r="P1629" s="152" t="s">
        <v>3489</v>
      </c>
      <c r="Q1629" s="152" t="s">
        <v>3531</v>
      </c>
      <c r="R1629" s="152" t="s">
        <v>4151</v>
      </c>
      <c r="S1629" s="152" t="s">
        <v>3533</v>
      </c>
      <c r="T1629" s="152" t="s">
        <v>786</v>
      </c>
    </row>
    <row r="1630" spans="3:20">
      <c r="C1630" s="152" t="s">
        <v>2821</v>
      </c>
      <c r="F1630" s="152" t="s">
        <v>371</v>
      </c>
      <c r="G1630" s="152" t="s">
        <v>353</v>
      </c>
      <c r="I1630" s="513">
        <v>-1671468.75</v>
      </c>
      <c r="J1630" s="513">
        <v>-1181.25</v>
      </c>
      <c r="K1630" s="513">
        <v>1415</v>
      </c>
      <c r="L1630" s="518" t="s">
        <v>4133</v>
      </c>
      <c r="M1630" s="152" t="s">
        <v>780</v>
      </c>
      <c r="N1630" s="152" t="s">
        <v>1407</v>
      </c>
      <c r="O1630" s="152" t="s">
        <v>4134</v>
      </c>
      <c r="P1630" s="152" t="s">
        <v>3489</v>
      </c>
      <c r="Q1630" s="152" t="s">
        <v>4135</v>
      </c>
      <c r="R1630" s="152" t="s">
        <v>4152</v>
      </c>
      <c r="S1630" s="152" t="s">
        <v>4137</v>
      </c>
      <c r="T1630" s="152" t="s">
        <v>786</v>
      </c>
    </row>
    <row r="1631" spans="3:20">
      <c r="C1631" s="152" t="s">
        <v>2821</v>
      </c>
      <c r="F1631" s="152" t="s">
        <v>371</v>
      </c>
      <c r="G1631" s="152" t="s">
        <v>353</v>
      </c>
      <c r="I1631" s="513">
        <v>17236800</v>
      </c>
      <c r="J1631" s="513">
        <v>11970</v>
      </c>
      <c r="K1631" s="513">
        <v>1440</v>
      </c>
      <c r="L1631" s="518" t="s">
        <v>3546</v>
      </c>
      <c r="M1631" s="152" t="s">
        <v>780</v>
      </c>
      <c r="N1631" s="152" t="s">
        <v>1407</v>
      </c>
      <c r="O1631" s="152" t="s">
        <v>3547</v>
      </c>
      <c r="P1631" s="152" t="s">
        <v>2865</v>
      </c>
      <c r="Q1631" s="152" t="s">
        <v>3548</v>
      </c>
      <c r="R1631" s="152" t="s">
        <v>4153</v>
      </c>
      <c r="S1631" s="152" t="s">
        <v>3550</v>
      </c>
      <c r="T1631" s="152" t="s">
        <v>786</v>
      </c>
    </row>
    <row r="1632" spans="3:20">
      <c r="C1632" s="152" t="s">
        <v>2821</v>
      </c>
      <c r="F1632" s="152" t="s">
        <v>371</v>
      </c>
      <c r="G1632" s="152" t="s">
        <v>353</v>
      </c>
      <c r="I1632" s="513">
        <v>160093.1</v>
      </c>
      <c r="J1632" s="513">
        <v>113.14</v>
      </c>
      <c r="K1632" s="513">
        <v>1415</v>
      </c>
      <c r="L1632" s="518" t="s">
        <v>3511</v>
      </c>
      <c r="M1632" s="152" t="s">
        <v>780</v>
      </c>
      <c r="N1632" s="152" t="s">
        <v>1407</v>
      </c>
      <c r="O1632" s="152" t="s">
        <v>3526</v>
      </c>
      <c r="P1632" s="152" t="s">
        <v>3489</v>
      </c>
      <c r="Q1632" s="152" t="s">
        <v>3527</v>
      </c>
      <c r="R1632" s="152" t="s">
        <v>4154</v>
      </c>
      <c r="S1632" s="152" t="s">
        <v>3529</v>
      </c>
      <c r="T1632" s="152" t="s">
        <v>786</v>
      </c>
    </row>
    <row r="1633" spans="3:20">
      <c r="C1633" s="152" t="s">
        <v>2821</v>
      </c>
      <c r="F1633" s="152" t="s">
        <v>371</v>
      </c>
      <c r="G1633" s="152" t="s">
        <v>353</v>
      </c>
      <c r="I1633" s="513">
        <v>-165682.35</v>
      </c>
      <c r="J1633" s="513">
        <v>-117.09</v>
      </c>
      <c r="K1633" s="513">
        <v>1415</v>
      </c>
      <c r="L1633" s="518" t="s">
        <v>3511</v>
      </c>
      <c r="M1633" s="152" t="s">
        <v>780</v>
      </c>
      <c r="N1633" s="152" t="s">
        <v>1407</v>
      </c>
      <c r="O1633" s="152" t="s">
        <v>3530</v>
      </c>
      <c r="P1633" s="152" t="s">
        <v>3489</v>
      </c>
      <c r="Q1633" s="152" t="s">
        <v>3531</v>
      </c>
      <c r="R1633" s="152" t="s">
        <v>4155</v>
      </c>
      <c r="S1633" s="152" t="s">
        <v>3533</v>
      </c>
      <c r="T1633" s="152" t="s">
        <v>786</v>
      </c>
    </row>
    <row r="1634" spans="3:20">
      <c r="C1634" s="152" t="s">
        <v>2821</v>
      </c>
      <c r="F1634" s="152" t="s">
        <v>371</v>
      </c>
      <c r="G1634" s="152" t="s">
        <v>353</v>
      </c>
      <c r="I1634" s="513">
        <v>96503</v>
      </c>
      <c r="J1634" s="513">
        <v>68.2</v>
      </c>
      <c r="K1634" s="513">
        <v>1415</v>
      </c>
      <c r="L1634" s="518" t="s">
        <v>3511</v>
      </c>
      <c r="M1634" s="152" t="s">
        <v>780</v>
      </c>
      <c r="N1634" s="152" t="s">
        <v>1407</v>
      </c>
      <c r="O1634" s="152" t="s">
        <v>3526</v>
      </c>
      <c r="P1634" s="152" t="s">
        <v>3489</v>
      </c>
      <c r="Q1634" s="152" t="s">
        <v>3527</v>
      </c>
      <c r="R1634" s="152" t="s">
        <v>4156</v>
      </c>
      <c r="S1634" s="152" t="s">
        <v>3529</v>
      </c>
      <c r="T1634" s="152" t="s">
        <v>786</v>
      </c>
    </row>
    <row r="1635" spans="3:20">
      <c r="C1635" s="152" t="s">
        <v>2821</v>
      </c>
      <c r="F1635" s="152" t="s">
        <v>371</v>
      </c>
      <c r="G1635" s="152" t="s">
        <v>353</v>
      </c>
      <c r="I1635" s="513">
        <v>-99870.7</v>
      </c>
      <c r="J1635" s="513">
        <v>-70.58</v>
      </c>
      <c r="K1635" s="513">
        <v>1415</v>
      </c>
      <c r="L1635" s="518" t="s">
        <v>3511</v>
      </c>
      <c r="M1635" s="152" t="s">
        <v>780</v>
      </c>
      <c r="N1635" s="152" t="s">
        <v>1407</v>
      </c>
      <c r="O1635" s="152" t="s">
        <v>3530</v>
      </c>
      <c r="P1635" s="152" t="s">
        <v>3489</v>
      </c>
      <c r="Q1635" s="152" t="s">
        <v>3531</v>
      </c>
      <c r="R1635" s="152" t="s">
        <v>4157</v>
      </c>
      <c r="S1635" s="152" t="s">
        <v>3533</v>
      </c>
      <c r="T1635" s="152" t="s">
        <v>786</v>
      </c>
    </row>
    <row r="1636" spans="3:20">
      <c r="C1636" s="152" t="s">
        <v>2821</v>
      </c>
      <c r="F1636" s="152" t="s">
        <v>371</v>
      </c>
      <c r="G1636" s="152" t="s">
        <v>353</v>
      </c>
      <c r="I1636" s="513">
        <v>4935000</v>
      </c>
      <c r="J1636" s="513">
        <v>3500</v>
      </c>
      <c r="K1636" s="513">
        <v>1410</v>
      </c>
      <c r="L1636" s="518" t="s">
        <v>3567</v>
      </c>
      <c r="M1636" s="152" t="s">
        <v>780</v>
      </c>
      <c r="N1636" s="152" t="s">
        <v>1407</v>
      </c>
      <c r="O1636" s="152" t="s">
        <v>3568</v>
      </c>
      <c r="P1636" s="152" t="s">
        <v>3489</v>
      </c>
      <c r="Q1636" s="152" t="s">
        <v>3569</v>
      </c>
      <c r="R1636" s="152" t="s">
        <v>4158</v>
      </c>
      <c r="S1636" s="152" t="s">
        <v>3571</v>
      </c>
      <c r="T1636" s="152" t="s">
        <v>786</v>
      </c>
    </row>
    <row r="1637" spans="3:20">
      <c r="C1637" s="152" t="s">
        <v>2821</v>
      </c>
      <c r="F1637" s="152" t="s">
        <v>371</v>
      </c>
      <c r="G1637" s="152" t="s">
        <v>353</v>
      </c>
      <c r="I1637" s="513">
        <v>1536500</v>
      </c>
      <c r="J1637" s="513">
        <v>1097.5</v>
      </c>
      <c r="K1637" s="513">
        <v>1400</v>
      </c>
      <c r="L1637" s="518" t="s">
        <v>3493</v>
      </c>
      <c r="M1637" s="152" t="s">
        <v>780</v>
      </c>
      <c r="N1637" s="152" t="s">
        <v>1407</v>
      </c>
      <c r="O1637" s="152" t="s">
        <v>3494</v>
      </c>
      <c r="P1637" s="152" t="s">
        <v>3489</v>
      </c>
      <c r="Q1637" s="152" t="s">
        <v>3495</v>
      </c>
      <c r="R1637" s="152" t="s">
        <v>4159</v>
      </c>
      <c r="S1637" s="152" t="s">
        <v>3497</v>
      </c>
      <c r="T1637" s="152" t="s">
        <v>786</v>
      </c>
    </row>
    <row r="1638" spans="3:20">
      <c r="C1638" s="152" t="s">
        <v>2821</v>
      </c>
      <c r="F1638" s="152" t="s">
        <v>371</v>
      </c>
      <c r="G1638" s="152" t="s">
        <v>353</v>
      </c>
      <c r="I1638" s="513">
        <v>1260000</v>
      </c>
      <c r="J1638" s="513">
        <v>900</v>
      </c>
      <c r="K1638" s="513">
        <v>1400</v>
      </c>
      <c r="L1638" s="518" t="s">
        <v>3493</v>
      </c>
      <c r="M1638" s="152" t="s">
        <v>780</v>
      </c>
      <c r="N1638" s="152" t="s">
        <v>1407</v>
      </c>
      <c r="O1638" s="152" t="s">
        <v>3494</v>
      </c>
      <c r="P1638" s="152" t="s">
        <v>3489</v>
      </c>
      <c r="Q1638" s="152" t="s">
        <v>3495</v>
      </c>
      <c r="R1638" s="152" t="s">
        <v>4160</v>
      </c>
      <c r="S1638" s="152" t="s">
        <v>3497</v>
      </c>
      <c r="T1638" s="152" t="s">
        <v>786</v>
      </c>
    </row>
    <row r="1639" spans="3:20">
      <c r="C1639" s="152" t="s">
        <v>2821</v>
      </c>
      <c r="F1639" s="152" t="s">
        <v>371</v>
      </c>
      <c r="G1639" s="152" t="s">
        <v>353</v>
      </c>
      <c r="I1639" s="513">
        <v>12608925</v>
      </c>
      <c r="J1639" s="513">
        <v>8942.5</v>
      </c>
      <c r="K1639" s="513">
        <v>1410</v>
      </c>
      <c r="L1639" s="518" t="s">
        <v>3567</v>
      </c>
      <c r="M1639" s="152" t="s">
        <v>780</v>
      </c>
      <c r="N1639" s="152" t="s">
        <v>1407</v>
      </c>
      <c r="O1639" s="152" t="s">
        <v>3568</v>
      </c>
      <c r="P1639" s="152" t="s">
        <v>3489</v>
      </c>
      <c r="Q1639" s="152" t="s">
        <v>3569</v>
      </c>
      <c r="R1639" s="152" t="s">
        <v>4161</v>
      </c>
      <c r="S1639" s="152" t="s">
        <v>3571</v>
      </c>
      <c r="T1639" s="152" t="s">
        <v>786</v>
      </c>
    </row>
    <row r="1640" spans="3:20">
      <c r="C1640" s="152" t="s">
        <v>2821</v>
      </c>
      <c r="F1640" s="152" t="s">
        <v>371</v>
      </c>
      <c r="G1640" s="152" t="s">
        <v>353</v>
      </c>
      <c r="I1640" s="513">
        <v>13234900</v>
      </c>
      <c r="J1640" s="513">
        <v>8942.5</v>
      </c>
      <c r="K1640" s="513">
        <v>1480</v>
      </c>
      <c r="L1640" s="518" t="s">
        <v>3546</v>
      </c>
      <c r="M1640" s="152" t="s">
        <v>780</v>
      </c>
      <c r="N1640" s="152" t="s">
        <v>1407</v>
      </c>
      <c r="O1640" s="152" t="s">
        <v>3547</v>
      </c>
      <c r="P1640" s="152" t="s">
        <v>2865</v>
      </c>
      <c r="Q1640" s="152" t="s">
        <v>3548</v>
      </c>
      <c r="R1640" s="152" t="s">
        <v>4162</v>
      </c>
      <c r="S1640" s="152" t="s">
        <v>3550</v>
      </c>
      <c r="T1640" s="152" t="s">
        <v>786</v>
      </c>
    </row>
    <row r="1641" spans="3:20">
      <c r="C1641" s="152" t="s">
        <v>2821</v>
      </c>
      <c r="F1641" s="152" t="s">
        <v>371</v>
      </c>
      <c r="G1641" s="152" t="s">
        <v>353</v>
      </c>
      <c r="I1641" s="513">
        <v>145858.20000000001</v>
      </c>
      <c r="J1641" s="513">
        <v>103.08</v>
      </c>
      <c r="K1641" s="513">
        <v>1415</v>
      </c>
      <c r="L1641" s="518" t="s">
        <v>3511</v>
      </c>
      <c r="M1641" s="152" t="s">
        <v>780</v>
      </c>
      <c r="N1641" s="152" t="s">
        <v>1407</v>
      </c>
      <c r="O1641" s="152" t="s">
        <v>3526</v>
      </c>
      <c r="P1641" s="152" t="s">
        <v>3489</v>
      </c>
      <c r="Q1641" s="152" t="s">
        <v>3527</v>
      </c>
      <c r="R1641" s="152" t="s">
        <v>4163</v>
      </c>
      <c r="S1641" s="152" t="s">
        <v>3529</v>
      </c>
      <c r="T1641" s="152" t="s">
        <v>786</v>
      </c>
    </row>
    <row r="1642" spans="3:20">
      <c r="C1642" s="152" t="s">
        <v>2821</v>
      </c>
      <c r="F1642" s="152" t="s">
        <v>371</v>
      </c>
      <c r="G1642" s="152" t="s">
        <v>353</v>
      </c>
      <c r="I1642" s="513">
        <v>-150952.20000000001</v>
      </c>
      <c r="J1642" s="513">
        <v>-106.68</v>
      </c>
      <c r="K1642" s="513">
        <v>1415</v>
      </c>
      <c r="L1642" s="518" t="s">
        <v>3511</v>
      </c>
      <c r="M1642" s="152" t="s">
        <v>780</v>
      </c>
      <c r="N1642" s="152" t="s">
        <v>1407</v>
      </c>
      <c r="O1642" s="152" t="s">
        <v>3530</v>
      </c>
      <c r="P1642" s="152" t="s">
        <v>3489</v>
      </c>
      <c r="Q1642" s="152" t="s">
        <v>3531</v>
      </c>
      <c r="R1642" s="152" t="s">
        <v>4164</v>
      </c>
      <c r="S1642" s="152" t="s">
        <v>3533</v>
      </c>
      <c r="T1642" s="152" t="s">
        <v>786</v>
      </c>
    </row>
    <row r="1643" spans="3:20">
      <c r="C1643" s="152" t="s">
        <v>2821</v>
      </c>
      <c r="F1643" s="152" t="s">
        <v>371</v>
      </c>
      <c r="G1643" s="152" t="s">
        <v>353</v>
      </c>
      <c r="I1643" s="513">
        <v>6982500</v>
      </c>
      <c r="J1643" s="513">
        <v>4900</v>
      </c>
      <c r="K1643" s="513">
        <v>1425</v>
      </c>
      <c r="L1643" s="518" t="s">
        <v>3487</v>
      </c>
      <c r="M1643" s="152" t="s">
        <v>780</v>
      </c>
      <c r="N1643" s="152" t="s">
        <v>1407</v>
      </c>
      <c r="O1643" s="152" t="s">
        <v>3488</v>
      </c>
      <c r="P1643" s="152" t="s">
        <v>3489</v>
      </c>
      <c r="Q1643" s="152" t="s">
        <v>3490</v>
      </c>
      <c r="R1643" s="152" t="s">
        <v>4165</v>
      </c>
      <c r="S1643" s="152" t="s">
        <v>3492</v>
      </c>
      <c r="T1643" s="152" t="s">
        <v>786</v>
      </c>
    </row>
    <row r="1644" spans="3:20">
      <c r="C1644" s="152" t="s">
        <v>2821</v>
      </c>
      <c r="F1644" s="152" t="s">
        <v>371</v>
      </c>
      <c r="G1644" s="152" t="s">
        <v>353</v>
      </c>
      <c r="I1644" s="513">
        <v>9422000</v>
      </c>
      <c r="J1644" s="513">
        <v>6730</v>
      </c>
      <c r="K1644" s="513">
        <v>1400</v>
      </c>
      <c r="L1644" s="518" t="s">
        <v>3557</v>
      </c>
      <c r="M1644" s="152" t="s">
        <v>780</v>
      </c>
      <c r="N1644" s="152" t="s">
        <v>1407</v>
      </c>
      <c r="O1644" s="152" t="s">
        <v>3558</v>
      </c>
      <c r="P1644" s="152" t="s">
        <v>3489</v>
      </c>
      <c r="Q1644" s="152" t="s">
        <v>3559</v>
      </c>
      <c r="R1644" s="152" t="s">
        <v>4166</v>
      </c>
      <c r="S1644" s="152" t="s">
        <v>3561</v>
      </c>
      <c r="T1644" s="152" t="s">
        <v>786</v>
      </c>
    </row>
    <row r="1645" spans="3:20">
      <c r="C1645" s="152" t="s">
        <v>2821</v>
      </c>
      <c r="F1645" s="152" t="s">
        <v>371</v>
      </c>
      <c r="G1645" s="152" t="s">
        <v>353</v>
      </c>
      <c r="I1645" s="513">
        <v>97932.15</v>
      </c>
      <c r="J1645" s="513">
        <v>69.209999999999994</v>
      </c>
      <c r="K1645" s="513">
        <v>1415</v>
      </c>
      <c r="L1645" s="518" t="s">
        <v>3511</v>
      </c>
      <c r="M1645" s="152" t="s">
        <v>780</v>
      </c>
      <c r="N1645" s="152" t="s">
        <v>1407</v>
      </c>
      <c r="O1645" s="152" t="s">
        <v>3526</v>
      </c>
      <c r="P1645" s="152" t="s">
        <v>3489</v>
      </c>
      <c r="Q1645" s="152" t="s">
        <v>3527</v>
      </c>
      <c r="R1645" s="152" t="s">
        <v>4167</v>
      </c>
      <c r="S1645" s="152" t="s">
        <v>3529</v>
      </c>
      <c r="T1645" s="152" t="s">
        <v>786</v>
      </c>
    </row>
    <row r="1646" spans="3:20">
      <c r="C1646" s="152" t="s">
        <v>2821</v>
      </c>
      <c r="F1646" s="152" t="s">
        <v>371</v>
      </c>
      <c r="G1646" s="152" t="s">
        <v>353</v>
      </c>
      <c r="I1646" s="513">
        <v>-101356.45</v>
      </c>
      <c r="J1646" s="513">
        <v>-71.63</v>
      </c>
      <c r="K1646" s="513">
        <v>1415</v>
      </c>
      <c r="L1646" s="518" t="s">
        <v>3511</v>
      </c>
      <c r="M1646" s="152" t="s">
        <v>780</v>
      </c>
      <c r="N1646" s="152" t="s">
        <v>1407</v>
      </c>
      <c r="O1646" s="152" t="s">
        <v>3530</v>
      </c>
      <c r="P1646" s="152" t="s">
        <v>3489</v>
      </c>
      <c r="Q1646" s="152" t="s">
        <v>3531</v>
      </c>
      <c r="R1646" s="152" t="s">
        <v>4168</v>
      </c>
      <c r="S1646" s="152" t="s">
        <v>3533</v>
      </c>
      <c r="T1646" s="152" t="s">
        <v>786</v>
      </c>
    </row>
    <row r="1647" spans="3:20">
      <c r="C1647" s="152" t="s">
        <v>2821</v>
      </c>
      <c r="F1647" s="152" t="s">
        <v>371</v>
      </c>
      <c r="G1647" s="152" t="s">
        <v>353</v>
      </c>
      <c r="I1647" s="513">
        <v>127406.6</v>
      </c>
      <c r="J1647" s="513">
        <v>90.04</v>
      </c>
      <c r="K1647" s="513">
        <v>1415</v>
      </c>
      <c r="L1647" s="518" t="s">
        <v>3511</v>
      </c>
      <c r="M1647" s="152" t="s">
        <v>780</v>
      </c>
      <c r="N1647" s="152" t="s">
        <v>1407</v>
      </c>
      <c r="O1647" s="152" t="s">
        <v>3526</v>
      </c>
      <c r="P1647" s="152" t="s">
        <v>3489</v>
      </c>
      <c r="Q1647" s="152" t="s">
        <v>3527</v>
      </c>
      <c r="R1647" s="152" t="s">
        <v>4169</v>
      </c>
      <c r="S1647" s="152" t="s">
        <v>3529</v>
      </c>
      <c r="T1647" s="152" t="s">
        <v>786</v>
      </c>
    </row>
    <row r="1648" spans="3:20">
      <c r="C1648" s="152" t="s">
        <v>2821</v>
      </c>
      <c r="F1648" s="152" t="s">
        <v>371</v>
      </c>
      <c r="G1648" s="152" t="s">
        <v>353</v>
      </c>
      <c r="I1648" s="513">
        <v>-131863.85</v>
      </c>
      <c r="J1648" s="513">
        <v>-93.19</v>
      </c>
      <c r="K1648" s="513">
        <v>1415</v>
      </c>
      <c r="L1648" s="518" t="s">
        <v>3511</v>
      </c>
      <c r="M1648" s="152" t="s">
        <v>780</v>
      </c>
      <c r="N1648" s="152" t="s">
        <v>1407</v>
      </c>
      <c r="O1648" s="152" t="s">
        <v>3530</v>
      </c>
      <c r="P1648" s="152" t="s">
        <v>3489</v>
      </c>
      <c r="Q1648" s="152" t="s">
        <v>3531</v>
      </c>
      <c r="R1648" s="152" t="s">
        <v>4170</v>
      </c>
      <c r="S1648" s="152" t="s">
        <v>3533</v>
      </c>
      <c r="T1648" s="152" t="s">
        <v>786</v>
      </c>
    </row>
    <row r="1649" spans="3:20">
      <c r="C1649" s="152" t="s">
        <v>2821</v>
      </c>
      <c r="F1649" s="152" t="s">
        <v>371</v>
      </c>
      <c r="G1649" s="152" t="s">
        <v>353</v>
      </c>
      <c r="I1649" s="513">
        <v>135330.6</v>
      </c>
      <c r="J1649" s="513">
        <v>95.64</v>
      </c>
      <c r="K1649" s="513">
        <v>1415</v>
      </c>
      <c r="L1649" s="518" t="s">
        <v>3511</v>
      </c>
      <c r="M1649" s="152" t="s">
        <v>780</v>
      </c>
      <c r="N1649" s="152" t="s">
        <v>1407</v>
      </c>
      <c r="O1649" s="152" t="s">
        <v>3526</v>
      </c>
      <c r="P1649" s="152" t="s">
        <v>3489</v>
      </c>
      <c r="Q1649" s="152" t="s">
        <v>3527</v>
      </c>
      <c r="R1649" s="152" t="s">
        <v>4171</v>
      </c>
      <c r="S1649" s="152" t="s">
        <v>3529</v>
      </c>
      <c r="T1649" s="152" t="s">
        <v>786</v>
      </c>
    </row>
    <row r="1650" spans="3:20">
      <c r="C1650" s="152" t="s">
        <v>2821</v>
      </c>
      <c r="F1650" s="152" t="s">
        <v>371</v>
      </c>
      <c r="G1650" s="152" t="s">
        <v>353</v>
      </c>
      <c r="I1650" s="513">
        <v>-140056.70000000001</v>
      </c>
      <c r="J1650" s="513">
        <v>-98.98</v>
      </c>
      <c r="K1650" s="513">
        <v>1415</v>
      </c>
      <c r="L1650" s="518" t="s">
        <v>3511</v>
      </c>
      <c r="M1650" s="152" t="s">
        <v>780</v>
      </c>
      <c r="N1650" s="152" t="s">
        <v>1407</v>
      </c>
      <c r="O1650" s="152" t="s">
        <v>3530</v>
      </c>
      <c r="P1650" s="152" t="s">
        <v>3489</v>
      </c>
      <c r="Q1650" s="152" t="s">
        <v>3531</v>
      </c>
      <c r="R1650" s="152" t="s">
        <v>4172</v>
      </c>
      <c r="S1650" s="152" t="s">
        <v>3533</v>
      </c>
      <c r="T1650" s="152" t="s">
        <v>786</v>
      </c>
    </row>
    <row r="1651" spans="3:20">
      <c r="C1651" s="152" t="s">
        <v>2821</v>
      </c>
      <c r="F1651" s="152" t="s">
        <v>371</v>
      </c>
      <c r="G1651" s="152" t="s">
        <v>353</v>
      </c>
      <c r="I1651" s="513">
        <v>116511.1</v>
      </c>
      <c r="J1651" s="513">
        <v>82.34</v>
      </c>
      <c r="K1651" s="513">
        <v>1415</v>
      </c>
      <c r="L1651" s="518" t="s">
        <v>3511</v>
      </c>
      <c r="M1651" s="152" t="s">
        <v>780</v>
      </c>
      <c r="N1651" s="152" t="s">
        <v>1407</v>
      </c>
      <c r="O1651" s="152" t="s">
        <v>3526</v>
      </c>
      <c r="P1651" s="152" t="s">
        <v>3489</v>
      </c>
      <c r="Q1651" s="152" t="s">
        <v>3527</v>
      </c>
      <c r="R1651" s="152" t="s">
        <v>4173</v>
      </c>
      <c r="S1651" s="152" t="s">
        <v>3529</v>
      </c>
      <c r="T1651" s="152" t="s">
        <v>786</v>
      </c>
    </row>
    <row r="1652" spans="3:20">
      <c r="C1652" s="152" t="s">
        <v>2821</v>
      </c>
      <c r="F1652" s="152" t="s">
        <v>371</v>
      </c>
      <c r="G1652" s="152" t="s">
        <v>353</v>
      </c>
      <c r="I1652" s="513">
        <v>-120586.3</v>
      </c>
      <c r="J1652" s="513">
        <v>-85.22</v>
      </c>
      <c r="K1652" s="513">
        <v>1415</v>
      </c>
      <c r="L1652" s="518" t="s">
        <v>3511</v>
      </c>
      <c r="M1652" s="152" t="s">
        <v>780</v>
      </c>
      <c r="N1652" s="152" t="s">
        <v>1407</v>
      </c>
      <c r="O1652" s="152" t="s">
        <v>3530</v>
      </c>
      <c r="P1652" s="152" t="s">
        <v>3489</v>
      </c>
      <c r="Q1652" s="152" t="s">
        <v>3531</v>
      </c>
      <c r="R1652" s="152" t="s">
        <v>4174</v>
      </c>
      <c r="S1652" s="152" t="s">
        <v>3533</v>
      </c>
      <c r="T1652" s="152" t="s">
        <v>786</v>
      </c>
    </row>
    <row r="1653" spans="3:20">
      <c r="C1653" s="152" t="s">
        <v>2821</v>
      </c>
      <c r="F1653" s="152" t="s">
        <v>371</v>
      </c>
      <c r="G1653" s="152" t="s">
        <v>353</v>
      </c>
      <c r="I1653" s="513">
        <v>111558.6</v>
      </c>
      <c r="J1653" s="513">
        <v>78.84</v>
      </c>
      <c r="K1653" s="513">
        <v>1415</v>
      </c>
      <c r="L1653" s="518" t="s">
        <v>3511</v>
      </c>
      <c r="M1653" s="152" t="s">
        <v>780</v>
      </c>
      <c r="N1653" s="152" t="s">
        <v>1407</v>
      </c>
      <c r="O1653" s="152" t="s">
        <v>3526</v>
      </c>
      <c r="P1653" s="152" t="s">
        <v>3489</v>
      </c>
      <c r="Q1653" s="152" t="s">
        <v>3527</v>
      </c>
      <c r="R1653" s="152" t="s">
        <v>4175</v>
      </c>
      <c r="S1653" s="152" t="s">
        <v>3529</v>
      </c>
      <c r="T1653" s="152" t="s">
        <v>786</v>
      </c>
    </row>
    <row r="1654" spans="3:20">
      <c r="C1654" s="152" t="s">
        <v>2821</v>
      </c>
      <c r="F1654" s="152" t="s">
        <v>371</v>
      </c>
      <c r="G1654" s="152" t="s">
        <v>353</v>
      </c>
      <c r="I1654" s="513">
        <v>-115449.85</v>
      </c>
      <c r="J1654" s="513">
        <v>-81.59</v>
      </c>
      <c r="K1654" s="513">
        <v>1415</v>
      </c>
      <c r="L1654" s="518" t="s">
        <v>3511</v>
      </c>
      <c r="M1654" s="152" t="s">
        <v>780</v>
      </c>
      <c r="N1654" s="152" t="s">
        <v>1407</v>
      </c>
      <c r="O1654" s="152" t="s">
        <v>3530</v>
      </c>
      <c r="P1654" s="152" t="s">
        <v>3489</v>
      </c>
      <c r="Q1654" s="152" t="s">
        <v>3531</v>
      </c>
      <c r="R1654" s="152" t="s">
        <v>4176</v>
      </c>
      <c r="S1654" s="152" t="s">
        <v>3533</v>
      </c>
      <c r="T1654" s="152" t="s">
        <v>786</v>
      </c>
    </row>
    <row r="1655" spans="3:20">
      <c r="C1655" s="152" t="s">
        <v>2821</v>
      </c>
      <c r="F1655" s="152" t="s">
        <v>371</v>
      </c>
      <c r="G1655" s="152" t="s">
        <v>353</v>
      </c>
      <c r="I1655" s="513">
        <v>94960.65</v>
      </c>
      <c r="J1655" s="513">
        <v>67.11</v>
      </c>
      <c r="K1655" s="513">
        <v>1415</v>
      </c>
      <c r="L1655" s="518" t="s">
        <v>3511</v>
      </c>
      <c r="M1655" s="152" t="s">
        <v>780</v>
      </c>
      <c r="N1655" s="152" t="s">
        <v>1407</v>
      </c>
      <c r="O1655" s="152" t="s">
        <v>3526</v>
      </c>
      <c r="P1655" s="152" t="s">
        <v>3489</v>
      </c>
      <c r="Q1655" s="152" t="s">
        <v>3527</v>
      </c>
      <c r="R1655" s="152" t="s">
        <v>4177</v>
      </c>
      <c r="S1655" s="152" t="s">
        <v>3529</v>
      </c>
      <c r="T1655" s="152" t="s">
        <v>786</v>
      </c>
    </row>
    <row r="1656" spans="3:20">
      <c r="C1656" s="152" t="s">
        <v>2821</v>
      </c>
      <c r="F1656" s="152" t="s">
        <v>371</v>
      </c>
      <c r="G1656" s="152" t="s">
        <v>353</v>
      </c>
      <c r="I1656" s="513">
        <v>-98285.9</v>
      </c>
      <c r="J1656" s="513">
        <v>-69.459999999999994</v>
      </c>
      <c r="K1656" s="513">
        <v>1415</v>
      </c>
      <c r="L1656" s="518" t="s">
        <v>3511</v>
      </c>
      <c r="M1656" s="152" t="s">
        <v>780</v>
      </c>
      <c r="N1656" s="152" t="s">
        <v>1407</v>
      </c>
      <c r="O1656" s="152" t="s">
        <v>3530</v>
      </c>
      <c r="P1656" s="152" t="s">
        <v>3489</v>
      </c>
      <c r="Q1656" s="152" t="s">
        <v>3531</v>
      </c>
      <c r="R1656" s="152" t="s">
        <v>4178</v>
      </c>
      <c r="S1656" s="152" t="s">
        <v>3533</v>
      </c>
      <c r="T1656" s="152" t="s">
        <v>786</v>
      </c>
    </row>
    <row r="1657" spans="3:20">
      <c r="C1657" s="152" t="s">
        <v>2821</v>
      </c>
      <c r="F1657" s="152" t="s">
        <v>371</v>
      </c>
      <c r="G1657" s="152" t="s">
        <v>353</v>
      </c>
      <c r="I1657" s="513">
        <v>427500</v>
      </c>
      <c r="J1657" s="513">
        <v>300</v>
      </c>
      <c r="K1657" s="513">
        <v>1425</v>
      </c>
      <c r="L1657" s="518" t="s">
        <v>3487</v>
      </c>
      <c r="M1657" s="152" t="s">
        <v>780</v>
      </c>
      <c r="N1657" s="152" t="s">
        <v>1407</v>
      </c>
      <c r="O1657" s="152" t="s">
        <v>3488</v>
      </c>
      <c r="P1657" s="152" t="s">
        <v>3489</v>
      </c>
      <c r="Q1657" s="152" t="s">
        <v>3490</v>
      </c>
      <c r="R1657" s="152" t="s">
        <v>4179</v>
      </c>
      <c r="S1657" s="152" t="s">
        <v>3492</v>
      </c>
      <c r="T1657" s="152" t="s">
        <v>786</v>
      </c>
    </row>
    <row r="1658" spans="3:20">
      <c r="C1658" s="152" t="s">
        <v>2821</v>
      </c>
      <c r="F1658" s="152" t="s">
        <v>371</v>
      </c>
      <c r="G1658" s="152" t="s">
        <v>353</v>
      </c>
      <c r="I1658" s="513">
        <v>29219.75</v>
      </c>
      <c r="J1658" s="513">
        <v>20.65</v>
      </c>
      <c r="K1658" s="513">
        <v>1415</v>
      </c>
      <c r="L1658" s="518" t="s">
        <v>3511</v>
      </c>
      <c r="M1658" s="152" t="s">
        <v>780</v>
      </c>
      <c r="N1658" s="152" t="s">
        <v>1407</v>
      </c>
      <c r="O1658" s="152" t="s">
        <v>3526</v>
      </c>
      <c r="P1658" s="152" t="s">
        <v>3489</v>
      </c>
      <c r="Q1658" s="152" t="s">
        <v>3527</v>
      </c>
      <c r="R1658" s="152" t="s">
        <v>4180</v>
      </c>
      <c r="S1658" s="152" t="s">
        <v>3529</v>
      </c>
      <c r="T1658" s="152" t="s">
        <v>786</v>
      </c>
    </row>
    <row r="1659" spans="3:20">
      <c r="C1659" s="152" t="s">
        <v>2821</v>
      </c>
      <c r="F1659" s="152" t="s">
        <v>371</v>
      </c>
      <c r="G1659" s="152" t="s">
        <v>353</v>
      </c>
      <c r="I1659" s="513">
        <v>-30238.55</v>
      </c>
      <c r="J1659" s="513">
        <v>-21.37</v>
      </c>
      <c r="K1659" s="513">
        <v>1415</v>
      </c>
      <c r="L1659" s="518" t="s">
        <v>3511</v>
      </c>
      <c r="M1659" s="152" t="s">
        <v>780</v>
      </c>
      <c r="N1659" s="152" t="s">
        <v>1407</v>
      </c>
      <c r="O1659" s="152" t="s">
        <v>3530</v>
      </c>
      <c r="P1659" s="152" t="s">
        <v>3489</v>
      </c>
      <c r="Q1659" s="152" t="s">
        <v>3531</v>
      </c>
      <c r="R1659" s="152" t="s">
        <v>4181</v>
      </c>
      <c r="S1659" s="152" t="s">
        <v>3533</v>
      </c>
      <c r="T1659" s="152" t="s">
        <v>786</v>
      </c>
    </row>
    <row r="1660" spans="3:20">
      <c r="C1660" s="152" t="s">
        <v>2821</v>
      </c>
      <c r="F1660" s="152" t="s">
        <v>371</v>
      </c>
      <c r="G1660" s="152" t="s">
        <v>353</v>
      </c>
      <c r="I1660" s="513">
        <v>100040.5</v>
      </c>
      <c r="J1660" s="513">
        <v>70.7</v>
      </c>
      <c r="K1660" s="513">
        <v>1415</v>
      </c>
      <c r="L1660" s="518" t="s">
        <v>3511</v>
      </c>
      <c r="M1660" s="152" t="s">
        <v>780</v>
      </c>
      <c r="N1660" s="152" t="s">
        <v>1407</v>
      </c>
      <c r="O1660" s="152" t="s">
        <v>3526</v>
      </c>
      <c r="P1660" s="152" t="s">
        <v>3489</v>
      </c>
      <c r="Q1660" s="152" t="s">
        <v>3527</v>
      </c>
      <c r="R1660" s="152" t="s">
        <v>4182</v>
      </c>
      <c r="S1660" s="152" t="s">
        <v>3529</v>
      </c>
      <c r="T1660" s="152" t="s">
        <v>786</v>
      </c>
    </row>
    <row r="1661" spans="3:20">
      <c r="C1661" s="152" t="s">
        <v>2821</v>
      </c>
      <c r="F1661" s="152" t="s">
        <v>371</v>
      </c>
      <c r="G1661" s="152" t="s">
        <v>353</v>
      </c>
      <c r="I1661" s="513">
        <v>24762.5</v>
      </c>
      <c r="J1661" s="513">
        <v>17.5</v>
      </c>
      <c r="K1661" s="513">
        <v>1415</v>
      </c>
      <c r="L1661" s="518" t="s">
        <v>3511</v>
      </c>
      <c r="M1661" s="152" t="s">
        <v>780</v>
      </c>
      <c r="N1661" s="152" t="s">
        <v>1407</v>
      </c>
      <c r="O1661" s="152" t="s">
        <v>3526</v>
      </c>
      <c r="P1661" s="152" t="s">
        <v>3489</v>
      </c>
      <c r="Q1661" s="152" t="s">
        <v>3527</v>
      </c>
      <c r="R1661" s="152" t="s">
        <v>4182</v>
      </c>
      <c r="S1661" s="152" t="s">
        <v>3529</v>
      </c>
      <c r="T1661" s="152" t="s">
        <v>786</v>
      </c>
    </row>
    <row r="1662" spans="3:20">
      <c r="C1662" s="152" t="s">
        <v>2821</v>
      </c>
      <c r="F1662" s="152" t="s">
        <v>371</v>
      </c>
      <c r="G1662" s="152" t="s">
        <v>353</v>
      </c>
      <c r="I1662" s="513">
        <v>-103535.55</v>
      </c>
      <c r="J1662" s="513">
        <v>-73.17</v>
      </c>
      <c r="K1662" s="513">
        <v>1415</v>
      </c>
      <c r="L1662" s="518" t="s">
        <v>3511</v>
      </c>
      <c r="M1662" s="152" t="s">
        <v>780</v>
      </c>
      <c r="N1662" s="152" t="s">
        <v>1407</v>
      </c>
      <c r="O1662" s="152" t="s">
        <v>3530</v>
      </c>
      <c r="P1662" s="152" t="s">
        <v>3489</v>
      </c>
      <c r="Q1662" s="152" t="s">
        <v>3531</v>
      </c>
      <c r="R1662" s="152" t="s">
        <v>4183</v>
      </c>
      <c r="S1662" s="152" t="s">
        <v>3533</v>
      </c>
      <c r="T1662" s="152" t="s">
        <v>786</v>
      </c>
    </row>
    <row r="1663" spans="3:20">
      <c r="C1663" s="152" t="s">
        <v>2821</v>
      </c>
      <c r="F1663" s="152" t="s">
        <v>371</v>
      </c>
      <c r="G1663" s="152" t="s">
        <v>353</v>
      </c>
      <c r="I1663" s="513">
        <v>-25625.65</v>
      </c>
      <c r="J1663" s="513">
        <v>-18.11</v>
      </c>
      <c r="K1663" s="513">
        <v>1415</v>
      </c>
      <c r="L1663" s="518" t="s">
        <v>3511</v>
      </c>
      <c r="M1663" s="152" t="s">
        <v>780</v>
      </c>
      <c r="N1663" s="152" t="s">
        <v>1407</v>
      </c>
      <c r="O1663" s="152" t="s">
        <v>3530</v>
      </c>
      <c r="P1663" s="152" t="s">
        <v>3489</v>
      </c>
      <c r="Q1663" s="152" t="s">
        <v>3531</v>
      </c>
      <c r="R1663" s="152" t="s">
        <v>4183</v>
      </c>
      <c r="S1663" s="152" t="s">
        <v>3533</v>
      </c>
      <c r="T1663" s="152" t="s">
        <v>786</v>
      </c>
    </row>
    <row r="1664" spans="3:20">
      <c r="C1664" s="152" t="s">
        <v>2821</v>
      </c>
      <c r="F1664" s="152" t="s">
        <v>371</v>
      </c>
      <c r="G1664" s="152" t="s">
        <v>353</v>
      </c>
      <c r="I1664" s="513">
        <v>49525</v>
      </c>
      <c r="J1664" s="513">
        <v>35</v>
      </c>
      <c r="K1664" s="513">
        <v>1415</v>
      </c>
      <c r="L1664" s="518" t="s">
        <v>3511</v>
      </c>
      <c r="M1664" s="152" t="s">
        <v>780</v>
      </c>
      <c r="N1664" s="152" t="s">
        <v>1407</v>
      </c>
      <c r="O1664" s="152" t="s">
        <v>3526</v>
      </c>
      <c r="P1664" s="152" t="s">
        <v>3489</v>
      </c>
      <c r="Q1664" s="152" t="s">
        <v>3527</v>
      </c>
      <c r="R1664" s="152" t="s">
        <v>4184</v>
      </c>
      <c r="S1664" s="152" t="s">
        <v>3529</v>
      </c>
      <c r="T1664" s="152" t="s">
        <v>786</v>
      </c>
    </row>
    <row r="1665" spans="3:20">
      <c r="C1665" s="152" t="s">
        <v>2821</v>
      </c>
      <c r="F1665" s="152" t="s">
        <v>371</v>
      </c>
      <c r="G1665" s="152" t="s">
        <v>353</v>
      </c>
      <c r="I1665" s="513">
        <v>41233.1</v>
      </c>
      <c r="J1665" s="513">
        <v>29.14</v>
      </c>
      <c r="K1665" s="513">
        <v>1415</v>
      </c>
      <c r="L1665" s="518" t="s">
        <v>3511</v>
      </c>
      <c r="M1665" s="152" t="s">
        <v>780</v>
      </c>
      <c r="N1665" s="152" t="s">
        <v>1407</v>
      </c>
      <c r="O1665" s="152" t="s">
        <v>3526</v>
      </c>
      <c r="P1665" s="152" t="s">
        <v>3489</v>
      </c>
      <c r="Q1665" s="152" t="s">
        <v>3527</v>
      </c>
      <c r="R1665" s="152" t="s">
        <v>4184</v>
      </c>
      <c r="S1665" s="152" t="s">
        <v>3529</v>
      </c>
      <c r="T1665" s="152" t="s">
        <v>786</v>
      </c>
    </row>
    <row r="1666" spans="3:20">
      <c r="C1666" s="152" t="s">
        <v>2821</v>
      </c>
      <c r="F1666" s="152" t="s">
        <v>371</v>
      </c>
      <c r="G1666" s="152" t="s">
        <v>353</v>
      </c>
      <c r="I1666" s="513">
        <v>-42676.4</v>
      </c>
      <c r="J1666" s="513">
        <v>-30.16</v>
      </c>
      <c r="K1666" s="513">
        <v>1415</v>
      </c>
      <c r="L1666" s="518" t="s">
        <v>3511</v>
      </c>
      <c r="M1666" s="152" t="s">
        <v>780</v>
      </c>
      <c r="N1666" s="152" t="s">
        <v>1407</v>
      </c>
      <c r="O1666" s="152" t="s">
        <v>3530</v>
      </c>
      <c r="P1666" s="152" t="s">
        <v>3489</v>
      </c>
      <c r="Q1666" s="152" t="s">
        <v>3531</v>
      </c>
      <c r="R1666" s="152" t="s">
        <v>4185</v>
      </c>
      <c r="S1666" s="152" t="s">
        <v>3533</v>
      </c>
      <c r="T1666" s="152" t="s">
        <v>786</v>
      </c>
    </row>
    <row r="1667" spans="3:20">
      <c r="C1667" s="152" t="s">
        <v>2821</v>
      </c>
      <c r="F1667" s="152" t="s">
        <v>371</v>
      </c>
      <c r="G1667" s="152" t="s">
        <v>353</v>
      </c>
      <c r="I1667" s="513">
        <v>-51251.3</v>
      </c>
      <c r="J1667" s="513">
        <v>-36.22</v>
      </c>
      <c r="K1667" s="513">
        <v>1415</v>
      </c>
      <c r="L1667" s="518" t="s">
        <v>3511</v>
      </c>
      <c r="M1667" s="152" t="s">
        <v>780</v>
      </c>
      <c r="N1667" s="152" t="s">
        <v>1407</v>
      </c>
      <c r="O1667" s="152" t="s">
        <v>3530</v>
      </c>
      <c r="P1667" s="152" t="s">
        <v>3489</v>
      </c>
      <c r="Q1667" s="152" t="s">
        <v>3531</v>
      </c>
      <c r="R1667" s="152" t="s">
        <v>4185</v>
      </c>
      <c r="S1667" s="152" t="s">
        <v>3533</v>
      </c>
      <c r="T1667" s="152" t="s">
        <v>786</v>
      </c>
    </row>
    <row r="1668" spans="3:20">
      <c r="C1668" s="152" t="s">
        <v>2821</v>
      </c>
      <c r="F1668" s="152" t="s">
        <v>371</v>
      </c>
      <c r="G1668" s="152" t="s">
        <v>353</v>
      </c>
      <c r="I1668" s="513">
        <v>195878.45</v>
      </c>
      <c r="J1668" s="513">
        <v>138.43</v>
      </c>
      <c r="K1668" s="513">
        <v>1415</v>
      </c>
      <c r="L1668" s="518" t="s">
        <v>3511</v>
      </c>
      <c r="M1668" s="152" t="s">
        <v>780</v>
      </c>
      <c r="N1668" s="152" t="s">
        <v>1407</v>
      </c>
      <c r="O1668" s="152" t="s">
        <v>3526</v>
      </c>
      <c r="P1668" s="152" t="s">
        <v>3489</v>
      </c>
      <c r="Q1668" s="152" t="s">
        <v>3527</v>
      </c>
      <c r="R1668" s="152" t="s">
        <v>4186</v>
      </c>
      <c r="S1668" s="152" t="s">
        <v>3529</v>
      </c>
      <c r="T1668" s="152" t="s">
        <v>786</v>
      </c>
    </row>
    <row r="1669" spans="3:20">
      <c r="C1669" s="152" t="s">
        <v>2821</v>
      </c>
      <c r="F1669" s="152" t="s">
        <v>371</v>
      </c>
      <c r="G1669" s="152" t="s">
        <v>353</v>
      </c>
      <c r="I1669" s="513">
        <v>-202727.05</v>
      </c>
      <c r="J1669" s="513">
        <v>-143.27000000000001</v>
      </c>
      <c r="K1669" s="513">
        <v>1415</v>
      </c>
      <c r="L1669" s="518" t="s">
        <v>3511</v>
      </c>
      <c r="M1669" s="152" t="s">
        <v>780</v>
      </c>
      <c r="N1669" s="152" t="s">
        <v>1407</v>
      </c>
      <c r="O1669" s="152" t="s">
        <v>3530</v>
      </c>
      <c r="P1669" s="152" t="s">
        <v>3489</v>
      </c>
      <c r="Q1669" s="152" t="s">
        <v>3531</v>
      </c>
      <c r="R1669" s="152" t="s">
        <v>4187</v>
      </c>
      <c r="S1669" s="152" t="s">
        <v>3533</v>
      </c>
      <c r="T1669" s="152" t="s">
        <v>786</v>
      </c>
    </row>
    <row r="1670" spans="3:20">
      <c r="C1670" s="152" t="s">
        <v>2821</v>
      </c>
      <c r="F1670" s="152" t="s">
        <v>371</v>
      </c>
      <c r="G1670" s="152" t="s">
        <v>353</v>
      </c>
      <c r="I1670" s="513">
        <v>93234.35</v>
      </c>
      <c r="J1670" s="513">
        <v>65.89</v>
      </c>
      <c r="K1670" s="513">
        <v>1415</v>
      </c>
      <c r="L1670" s="518" t="s">
        <v>3511</v>
      </c>
      <c r="M1670" s="152" t="s">
        <v>780</v>
      </c>
      <c r="N1670" s="152" t="s">
        <v>1407</v>
      </c>
      <c r="O1670" s="152" t="s">
        <v>3526</v>
      </c>
      <c r="P1670" s="152" t="s">
        <v>3489</v>
      </c>
      <c r="Q1670" s="152" t="s">
        <v>3527</v>
      </c>
      <c r="R1670" s="152" t="s">
        <v>4188</v>
      </c>
      <c r="S1670" s="152" t="s">
        <v>3529</v>
      </c>
      <c r="T1670" s="152" t="s">
        <v>786</v>
      </c>
    </row>
    <row r="1671" spans="3:20">
      <c r="C1671" s="152" t="s">
        <v>2821</v>
      </c>
      <c r="F1671" s="152" t="s">
        <v>371</v>
      </c>
      <c r="G1671" s="152" t="s">
        <v>353</v>
      </c>
      <c r="I1671" s="513">
        <v>-96488.85</v>
      </c>
      <c r="J1671" s="513">
        <v>-68.19</v>
      </c>
      <c r="K1671" s="513">
        <v>1415</v>
      </c>
      <c r="L1671" s="518" t="s">
        <v>3511</v>
      </c>
      <c r="M1671" s="152" t="s">
        <v>780</v>
      </c>
      <c r="N1671" s="152" t="s">
        <v>1407</v>
      </c>
      <c r="O1671" s="152" t="s">
        <v>3530</v>
      </c>
      <c r="P1671" s="152" t="s">
        <v>3489</v>
      </c>
      <c r="Q1671" s="152" t="s">
        <v>3531</v>
      </c>
      <c r="R1671" s="152" t="s">
        <v>4189</v>
      </c>
      <c r="S1671" s="152" t="s">
        <v>3533</v>
      </c>
      <c r="T1671" s="152" t="s">
        <v>786</v>
      </c>
    </row>
    <row r="1672" spans="3:20">
      <c r="C1672" s="152" t="s">
        <v>2821</v>
      </c>
      <c r="F1672" s="152" t="s">
        <v>371</v>
      </c>
      <c r="G1672" s="152" t="s">
        <v>353</v>
      </c>
      <c r="I1672" s="513">
        <v>85183</v>
      </c>
      <c r="J1672" s="513">
        <v>60.2</v>
      </c>
      <c r="K1672" s="513">
        <v>1415</v>
      </c>
      <c r="L1672" s="518" t="s">
        <v>3511</v>
      </c>
      <c r="M1672" s="152" t="s">
        <v>780</v>
      </c>
      <c r="N1672" s="152" t="s">
        <v>1407</v>
      </c>
      <c r="O1672" s="152" t="s">
        <v>3526</v>
      </c>
      <c r="P1672" s="152" t="s">
        <v>3489</v>
      </c>
      <c r="Q1672" s="152" t="s">
        <v>3527</v>
      </c>
      <c r="R1672" s="152" t="s">
        <v>4190</v>
      </c>
      <c r="S1672" s="152" t="s">
        <v>3529</v>
      </c>
      <c r="T1672" s="152" t="s">
        <v>786</v>
      </c>
    </row>
    <row r="1673" spans="3:20">
      <c r="C1673" s="152" t="s">
        <v>2821</v>
      </c>
      <c r="F1673" s="152" t="s">
        <v>371</v>
      </c>
      <c r="G1673" s="152" t="s">
        <v>353</v>
      </c>
      <c r="I1673" s="513">
        <v>-88168.65</v>
      </c>
      <c r="J1673" s="513">
        <v>-62.31</v>
      </c>
      <c r="K1673" s="513">
        <v>1415</v>
      </c>
      <c r="L1673" s="518" t="s">
        <v>3511</v>
      </c>
      <c r="M1673" s="152" t="s">
        <v>780</v>
      </c>
      <c r="N1673" s="152" t="s">
        <v>1407</v>
      </c>
      <c r="O1673" s="152" t="s">
        <v>3530</v>
      </c>
      <c r="P1673" s="152" t="s">
        <v>3489</v>
      </c>
      <c r="Q1673" s="152" t="s">
        <v>3531</v>
      </c>
      <c r="R1673" s="152" t="s">
        <v>4191</v>
      </c>
      <c r="S1673" s="152" t="s">
        <v>3533</v>
      </c>
      <c r="T1673" s="152" t="s">
        <v>786</v>
      </c>
    </row>
    <row r="1674" spans="3:20">
      <c r="C1674" s="152" t="s">
        <v>2821</v>
      </c>
      <c r="F1674" s="152" t="s">
        <v>371</v>
      </c>
      <c r="G1674" s="152" t="s">
        <v>353</v>
      </c>
      <c r="I1674" s="513">
        <v>5245200</v>
      </c>
      <c r="J1674" s="513">
        <v>3720</v>
      </c>
      <c r="K1674" s="513">
        <v>1410</v>
      </c>
      <c r="L1674" s="518" t="s">
        <v>3567</v>
      </c>
      <c r="M1674" s="152" t="s">
        <v>780</v>
      </c>
      <c r="N1674" s="152" t="s">
        <v>1407</v>
      </c>
      <c r="O1674" s="152" t="s">
        <v>3568</v>
      </c>
      <c r="P1674" s="152" t="s">
        <v>3489</v>
      </c>
      <c r="Q1674" s="152" t="s">
        <v>3569</v>
      </c>
      <c r="R1674" s="152" t="s">
        <v>4192</v>
      </c>
      <c r="S1674" s="152" t="s">
        <v>3571</v>
      </c>
      <c r="T1674" s="152" t="s">
        <v>786</v>
      </c>
    </row>
    <row r="1675" spans="3:20">
      <c r="C1675" s="152" t="s">
        <v>2821</v>
      </c>
      <c r="F1675" s="152" t="s">
        <v>371</v>
      </c>
      <c r="G1675" s="152" t="s">
        <v>353</v>
      </c>
      <c r="I1675" s="513">
        <v>-18720000</v>
      </c>
      <c r="J1675" s="513">
        <v>-13000</v>
      </c>
      <c r="K1675" s="513">
        <v>1440</v>
      </c>
      <c r="L1675" s="518" t="s">
        <v>4128</v>
      </c>
      <c r="M1675" s="152" t="s">
        <v>780</v>
      </c>
      <c r="N1675" s="152" t="s">
        <v>1407</v>
      </c>
      <c r="O1675" s="152" t="s">
        <v>4129</v>
      </c>
      <c r="P1675" s="152" t="s">
        <v>892</v>
      </c>
      <c r="Q1675" s="152" t="s">
        <v>4130</v>
      </c>
      <c r="R1675" s="152" t="s">
        <v>4201</v>
      </c>
      <c r="S1675" s="152" t="s">
        <v>4132</v>
      </c>
      <c r="T1675" s="152" t="s">
        <v>786</v>
      </c>
    </row>
    <row r="1676" spans="3:20">
      <c r="C1676" s="152" t="s">
        <v>2821</v>
      </c>
      <c r="F1676" s="152" t="s">
        <v>371</v>
      </c>
      <c r="G1676" s="152" t="s">
        <v>353</v>
      </c>
      <c r="I1676" s="513">
        <v>-15609.55</v>
      </c>
      <c r="J1676" s="513">
        <v>-11.11</v>
      </c>
      <c r="K1676" s="513">
        <v>1405</v>
      </c>
      <c r="L1676" s="518" t="s">
        <v>3493</v>
      </c>
      <c r="M1676" s="152" t="s">
        <v>780</v>
      </c>
      <c r="N1676" s="152" t="s">
        <v>1407</v>
      </c>
      <c r="O1676" s="152" t="s">
        <v>4124</v>
      </c>
      <c r="P1676" s="152" t="s">
        <v>3489</v>
      </c>
      <c r="Q1676" s="152" t="s">
        <v>4125</v>
      </c>
      <c r="R1676" s="152" t="s">
        <v>4203</v>
      </c>
      <c r="S1676" s="152" t="s">
        <v>4127</v>
      </c>
      <c r="T1676" s="152" t="s">
        <v>786</v>
      </c>
    </row>
    <row r="1677" spans="3:20">
      <c r="C1677" s="152" t="s">
        <v>2821</v>
      </c>
      <c r="F1677" s="152" t="s">
        <v>371</v>
      </c>
      <c r="G1677" s="152" t="s">
        <v>353</v>
      </c>
      <c r="I1677" s="513">
        <v>-2107500</v>
      </c>
      <c r="J1677" s="513">
        <v>-1500</v>
      </c>
      <c r="K1677" s="513">
        <v>1405</v>
      </c>
      <c r="L1677" s="518" t="s">
        <v>3493</v>
      </c>
      <c r="M1677" s="152" t="s">
        <v>780</v>
      </c>
      <c r="N1677" s="152" t="s">
        <v>1407</v>
      </c>
      <c r="O1677" s="152" t="s">
        <v>4124</v>
      </c>
      <c r="P1677" s="152" t="s">
        <v>3489</v>
      </c>
      <c r="Q1677" s="152" t="s">
        <v>4125</v>
      </c>
      <c r="R1677" s="152" t="s">
        <v>4204</v>
      </c>
      <c r="S1677" s="152" t="s">
        <v>4127</v>
      </c>
      <c r="T1677" s="152" t="s">
        <v>786</v>
      </c>
    </row>
    <row r="1678" spans="3:20">
      <c r="C1678" s="152" t="s">
        <v>2821</v>
      </c>
      <c r="F1678" s="152" t="s">
        <v>371</v>
      </c>
      <c r="G1678" s="152" t="s">
        <v>353</v>
      </c>
      <c r="I1678" s="513">
        <v>-2107500</v>
      </c>
      <c r="J1678" s="513">
        <v>-1500</v>
      </c>
      <c r="K1678" s="513">
        <v>1405</v>
      </c>
      <c r="L1678" s="518" t="s">
        <v>3493</v>
      </c>
      <c r="M1678" s="152" t="s">
        <v>780</v>
      </c>
      <c r="N1678" s="152" t="s">
        <v>1407</v>
      </c>
      <c r="O1678" s="152" t="s">
        <v>4124</v>
      </c>
      <c r="P1678" s="152" t="s">
        <v>3489</v>
      </c>
      <c r="Q1678" s="152" t="s">
        <v>4125</v>
      </c>
      <c r="R1678" s="152" t="s">
        <v>4205</v>
      </c>
      <c r="S1678" s="152" t="s">
        <v>4127</v>
      </c>
      <c r="T1678" s="152" t="s">
        <v>786</v>
      </c>
    </row>
    <row r="1679" spans="3:20">
      <c r="C1679" s="152" t="s">
        <v>2821</v>
      </c>
      <c r="F1679" s="152" t="s">
        <v>371</v>
      </c>
      <c r="G1679" s="152" t="s">
        <v>353</v>
      </c>
      <c r="I1679" s="513">
        <v>-117445</v>
      </c>
      <c r="J1679" s="513">
        <v>-83</v>
      </c>
      <c r="K1679" s="513">
        <v>1415</v>
      </c>
      <c r="L1679" s="518" t="s">
        <v>3511</v>
      </c>
      <c r="M1679" s="152" t="s">
        <v>780</v>
      </c>
      <c r="N1679" s="152" t="s">
        <v>1407</v>
      </c>
      <c r="O1679" s="152" t="s">
        <v>4206</v>
      </c>
      <c r="P1679" s="152" t="s">
        <v>3489</v>
      </c>
      <c r="Q1679" s="152" t="s">
        <v>4207</v>
      </c>
      <c r="R1679" s="152" t="s">
        <v>4208</v>
      </c>
      <c r="S1679" s="152" t="s">
        <v>4209</v>
      </c>
      <c r="T1679" s="152" t="s">
        <v>786</v>
      </c>
    </row>
    <row r="1680" spans="3:20">
      <c r="C1680" s="152" t="s">
        <v>2821</v>
      </c>
      <c r="F1680" s="152" t="s">
        <v>371</v>
      </c>
      <c r="G1680" s="152" t="s">
        <v>353</v>
      </c>
      <c r="I1680" s="513">
        <v>-2122500</v>
      </c>
      <c r="J1680" s="513">
        <v>-1500</v>
      </c>
      <c r="K1680" s="513">
        <v>1415</v>
      </c>
      <c r="L1680" s="518" t="s">
        <v>3511</v>
      </c>
      <c r="M1680" s="152" t="s">
        <v>780</v>
      </c>
      <c r="N1680" s="152" t="s">
        <v>1407</v>
      </c>
      <c r="O1680" s="152" t="s">
        <v>3530</v>
      </c>
      <c r="P1680" s="152" t="s">
        <v>3489</v>
      </c>
      <c r="Q1680" s="152" t="s">
        <v>3531</v>
      </c>
      <c r="R1680" s="152" t="s">
        <v>4223</v>
      </c>
      <c r="S1680" s="152" t="s">
        <v>3533</v>
      </c>
      <c r="T1680" s="152" t="s">
        <v>786</v>
      </c>
    </row>
    <row r="1681" spans="3:20">
      <c r="C1681" s="152" t="s">
        <v>2821</v>
      </c>
      <c r="F1681" s="152" t="s">
        <v>371</v>
      </c>
      <c r="G1681" s="152" t="s">
        <v>353</v>
      </c>
      <c r="I1681" s="513">
        <v>-2264000</v>
      </c>
      <c r="J1681" s="513">
        <v>-1600</v>
      </c>
      <c r="K1681" s="513">
        <v>1415</v>
      </c>
      <c r="L1681" s="518" t="s">
        <v>3511</v>
      </c>
      <c r="M1681" s="152" t="s">
        <v>780</v>
      </c>
      <c r="N1681" s="152" t="s">
        <v>1407</v>
      </c>
      <c r="O1681" s="152" t="s">
        <v>3530</v>
      </c>
      <c r="P1681" s="152" t="s">
        <v>3489</v>
      </c>
      <c r="Q1681" s="152" t="s">
        <v>3531</v>
      </c>
      <c r="R1681" s="152" t="s">
        <v>4224</v>
      </c>
      <c r="S1681" s="152" t="s">
        <v>3533</v>
      </c>
      <c r="T1681" s="152" t="s">
        <v>786</v>
      </c>
    </row>
    <row r="1682" spans="3:20">
      <c r="C1682" s="152" t="s">
        <v>2821</v>
      </c>
      <c r="F1682" s="152" t="s">
        <v>371</v>
      </c>
      <c r="G1682" s="152" t="s">
        <v>353</v>
      </c>
      <c r="I1682" s="513">
        <v>-2122500</v>
      </c>
      <c r="J1682" s="513">
        <v>-1500</v>
      </c>
      <c r="K1682" s="513">
        <v>1415</v>
      </c>
      <c r="L1682" s="518" t="s">
        <v>3511</v>
      </c>
      <c r="M1682" s="152" t="s">
        <v>780</v>
      </c>
      <c r="N1682" s="152" t="s">
        <v>1407</v>
      </c>
      <c r="O1682" s="152" t="s">
        <v>3530</v>
      </c>
      <c r="P1682" s="152" t="s">
        <v>3489</v>
      </c>
      <c r="Q1682" s="152" t="s">
        <v>3531</v>
      </c>
      <c r="R1682" s="152" t="s">
        <v>4227</v>
      </c>
      <c r="S1682" s="152" t="s">
        <v>3533</v>
      </c>
      <c r="T1682" s="152" t="s">
        <v>786</v>
      </c>
    </row>
    <row r="1683" spans="3:20">
      <c r="C1683" s="152" t="s">
        <v>2821</v>
      </c>
      <c r="F1683" s="152" t="s">
        <v>371</v>
      </c>
      <c r="G1683" s="152" t="s">
        <v>353</v>
      </c>
      <c r="I1683" s="513">
        <v>-1584000</v>
      </c>
      <c r="J1683" s="513">
        <v>-1100</v>
      </c>
      <c r="K1683" s="513">
        <v>1440</v>
      </c>
      <c r="L1683" s="518" t="s">
        <v>3546</v>
      </c>
      <c r="M1683" s="152" t="s">
        <v>780</v>
      </c>
      <c r="N1683" s="152" t="s">
        <v>1407</v>
      </c>
      <c r="O1683" s="152" t="s">
        <v>4228</v>
      </c>
      <c r="P1683" s="152" t="s">
        <v>2865</v>
      </c>
      <c r="Q1683" s="152" t="s">
        <v>4229</v>
      </c>
      <c r="R1683" s="152" t="s">
        <v>4230</v>
      </c>
      <c r="S1683" s="152" t="s">
        <v>4231</v>
      </c>
      <c r="T1683" s="152" t="s">
        <v>786</v>
      </c>
    </row>
    <row r="1684" spans="3:20">
      <c r="C1684" s="152" t="s">
        <v>2821</v>
      </c>
      <c r="F1684" s="152" t="s">
        <v>371</v>
      </c>
      <c r="G1684" s="152" t="s">
        <v>353</v>
      </c>
      <c r="I1684" s="513">
        <v>-2058000</v>
      </c>
      <c r="J1684" s="513">
        <v>-1470</v>
      </c>
      <c r="K1684" s="513">
        <v>1400</v>
      </c>
      <c r="L1684" s="518" t="s">
        <v>3557</v>
      </c>
      <c r="M1684" s="152" t="s">
        <v>780</v>
      </c>
      <c r="N1684" s="152" t="s">
        <v>1407</v>
      </c>
      <c r="O1684" s="152" t="s">
        <v>4138</v>
      </c>
      <c r="P1684" s="152" t="s">
        <v>3489</v>
      </c>
      <c r="Q1684" s="152" t="s">
        <v>4139</v>
      </c>
      <c r="R1684" s="152" t="s">
        <v>4232</v>
      </c>
      <c r="S1684" s="152" t="s">
        <v>4140</v>
      </c>
      <c r="T1684" s="152" t="s">
        <v>786</v>
      </c>
    </row>
    <row r="1685" spans="3:20">
      <c r="C1685" s="152" t="s">
        <v>2821</v>
      </c>
      <c r="F1685" s="152" t="s">
        <v>371</v>
      </c>
      <c r="G1685" s="152" t="s">
        <v>353</v>
      </c>
      <c r="I1685" s="513">
        <v>-1205084.75</v>
      </c>
      <c r="J1685" s="513">
        <v>-851.65</v>
      </c>
      <c r="K1685" s="513">
        <v>1415</v>
      </c>
      <c r="L1685" s="518" t="s">
        <v>3511</v>
      </c>
      <c r="M1685" s="152" t="s">
        <v>780</v>
      </c>
      <c r="N1685" s="152" t="s">
        <v>1407</v>
      </c>
      <c r="O1685" s="152" t="s">
        <v>3530</v>
      </c>
      <c r="P1685" s="152" t="s">
        <v>3489</v>
      </c>
      <c r="Q1685" s="152" t="s">
        <v>3531</v>
      </c>
      <c r="R1685" s="152" t="s">
        <v>4233</v>
      </c>
      <c r="S1685" s="152" t="s">
        <v>3533</v>
      </c>
      <c r="T1685" s="152" t="s">
        <v>786</v>
      </c>
    </row>
    <row r="1686" spans="3:20">
      <c r="C1686" s="152" t="s">
        <v>2821</v>
      </c>
      <c r="F1686" s="152" t="s">
        <v>371</v>
      </c>
      <c r="G1686" s="152" t="s">
        <v>353</v>
      </c>
      <c r="I1686" s="513">
        <v>-571164.75</v>
      </c>
      <c r="J1686" s="513">
        <v>-403.65</v>
      </c>
      <c r="K1686" s="513">
        <v>1415</v>
      </c>
      <c r="L1686" s="518" t="s">
        <v>3511</v>
      </c>
      <c r="N1686" s="152" t="s">
        <v>1407</v>
      </c>
      <c r="P1686" s="152" t="s">
        <v>5064</v>
      </c>
      <c r="Q1686" s="152" t="s">
        <v>5068</v>
      </c>
      <c r="R1686" s="152" t="s">
        <v>5068</v>
      </c>
      <c r="S1686" s="152" t="s">
        <v>5066</v>
      </c>
      <c r="T1686" s="152" t="s">
        <v>786</v>
      </c>
    </row>
    <row r="1687" spans="3:20">
      <c r="C1687" s="152" t="s">
        <v>2821</v>
      </c>
      <c r="F1687" s="152" t="s">
        <v>371</v>
      </c>
      <c r="G1687" s="152" t="s">
        <v>353</v>
      </c>
      <c r="I1687" s="513">
        <v>-761553</v>
      </c>
      <c r="J1687" s="513">
        <v>-538.20000000000005</v>
      </c>
      <c r="K1687" s="513">
        <v>1415</v>
      </c>
      <c r="L1687" s="518" t="s">
        <v>3511</v>
      </c>
      <c r="N1687" s="152" t="s">
        <v>1407</v>
      </c>
      <c r="P1687" s="152" t="s">
        <v>5064</v>
      </c>
      <c r="Q1687" s="152" t="s">
        <v>5065</v>
      </c>
      <c r="R1687" s="152" t="s">
        <v>5065</v>
      </c>
      <c r="S1687" s="152" t="s">
        <v>5066</v>
      </c>
      <c r="T1687" s="152" t="s">
        <v>786</v>
      </c>
    </row>
    <row r="1688" spans="3:20">
      <c r="C1688" s="152" t="s">
        <v>2821</v>
      </c>
      <c r="F1688" s="152" t="s">
        <v>371</v>
      </c>
      <c r="G1688" s="152" t="s">
        <v>353</v>
      </c>
      <c r="I1688" s="513">
        <v>-571164.75</v>
      </c>
      <c r="J1688" s="513">
        <v>-403.65</v>
      </c>
      <c r="K1688" s="513">
        <v>1415</v>
      </c>
      <c r="L1688" s="518" t="s">
        <v>3511</v>
      </c>
      <c r="N1688" s="152" t="s">
        <v>1407</v>
      </c>
      <c r="P1688" s="152" t="s">
        <v>5064</v>
      </c>
      <c r="Q1688" s="152" t="s">
        <v>5067</v>
      </c>
      <c r="R1688" s="152" t="s">
        <v>5067</v>
      </c>
      <c r="S1688" s="152" t="s">
        <v>5066</v>
      </c>
      <c r="T1688" s="152" t="s">
        <v>786</v>
      </c>
    </row>
    <row r="1689" spans="3:20">
      <c r="C1689" s="152" t="s">
        <v>2821</v>
      </c>
      <c r="F1689" s="152" t="s">
        <v>371</v>
      </c>
      <c r="G1689" s="152" t="s">
        <v>353</v>
      </c>
      <c r="I1689" s="513">
        <v>3334499.9992999998</v>
      </c>
      <c r="J1689" s="513">
        <v>2356.5371019787999</v>
      </c>
      <c r="K1689" s="513">
        <v>1415</v>
      </c>
      <c r="L1689" s="518" t="s">
        <v>3487</v>
      </c>
      <c r="M1689" s="152" t="s">
        <v>1540</v>
      </c>
      <c r="N1689" s="152" t="s">
        <v>1407</v>
      </c>
      <c r="O1689" s="152" t="s">
        <v>5454</v>
      </c>
      <c r="P1689" s="152" t="s">
        <v>5400</v>
      </c>
      <c r="Q1689" s="152" t="s">
        <v>5455</v>
      </c>
      <c r="R1689" s="152" t="s">
        <v>5455</v>
      </c>
      <c r="S1689" s="152" t="s">
        <v>5456</v>
      </c>
      <c r="T1689" s="152" t="s">
        <v>786</v>
      </c>
    </row>
    <row r="1690" spans="3:20">
      <c r="C1690" s="152" t="s">
        <v>2821</v>
      </c>
      <c r="F1690" s="152" t="s">
        <v>371</v>
      </c>
      <c r="G1690" s="152" t="s">
        <v>353</v>
      </c>
      <c r="I1690" s="513">
        <v>4560000</v>
      </c>
      <c r="J1690" s="513">
        <v>3222.6148409893999</v>
      </c>
      <c r="K1690" s="513">
        <v>1415</v>
      </c>
      <c r="L1690" s="518" t="s">
        <v>3487</v>
      </c>
      <c r="M1690" s="152" t="s">
        <v>1540</v>
      </c>
      <c r="N1690" s="152" t="s">
        <v>1407</v>
      </c>
      <c r="O1690" s="152" t="s">
        <v>5457</v>
      </c>
      <c r="P1690" s="152" t="s">
        <v>5400</v>
      </c>
      <c r="Q1690" s="152" t="s">
        <v>5458</v>
      </c>
      <c r="R1690" s="152" t="s">
        <v>5458</v>
      </c>
      <c r="S1690" s="152" t="s">
        <v>5459</v>
      </c>
      <c r="T1690" s="152" t="s">
        <v>786</v>
      </c>
    </row>
    <row r="1691" spans="3:20">
      <c r="C1691" s="152" t="s">
        <v>2821</v>
      </c>
      <c r="F1691" s="152" t="s">
        <v>371</v>
      </c>
      <c r="G1691" s="152" t="s">
        <v>353</v>
      </c>
      <c r="I1691" s="513">
        <v>3676500.0005999999</v>
      </c>
      <c r="J1691" s="513">
        <v>2598.2332159717298</v>
      </c>
      <c r="K1691" s="513">
        <v>1415</v>
      </c>
      <c r="L1691" s="518" t="s">
        <v>3511</v>
      </c>
      <c r="M1691" s="152" t="s">
        <v>1540</v>
      </c>
      <c r="N1691" s="152" t="s">
        <v>1407</v>
      </c>
      <c r="O1691" s="152" t="s">
        <v>5517</v>
      </c>
      <c r="P1691" s="152" t="s">
        <v>5400</v>
      </c>
      <c r="Q1691" s="152" t="s">
        <v>5518</v>
      </c>
      <c r="R1691" s="152" t="s">
        <v>5518</v>
      </c>
      <c r="S1691" s="152" t="s">
        <v>5519</v>
      </c>
      <c r="T1691" s="152" t="s">
        <v>786</v>
      </c>
    </row>
    <row r="1692" spans="3:20">
      <c r="C1692" s="152" t="s">
        <v>2821</v>
      </c>
      <c r="F1692" s="152" t="s">
        <v>371</v>
      </c>
      <c r="G1692" s="152" t="s">
        <v>353</v>
      </c>
      <c r="I1692" s="513">
        <v>489599.99979999999</v>
      </c>
      <c r="J1692" s="513">
        <v>346.00706699646599</v>
      </c>
      <c r="K1692" s="513">
        <v>1415</v>
      </c>
      <c r="L1692" s="518" t="s">
        <v>3511</v>
      </c>
      <c r="M1692" s="152" t="s">
        <v>1540</v>
      </c>
      <c r="N1692" s="152" t="s">
        <v>1407</v>
      </c>
      <c r="O1692" s="152" t="s">
        <v>5520</v>
      </c>
      <c r="P1692" s="152" t="s">
        <v>5400</v>
      </c>
      <c r="Q1692" s="152" t="s">
        <v>5521</v>
      </c>
      <c r="R1692" s="152" t="s">
        <v>5521</v>
      </c>
      <c r="S1692" s="152" t="s">
        <v>5522</v>
      </c>
      <c r="T1692" s="152" t="s">
        <v>786</v>
      </c>
    </row>
    <row r="1693" spans="3:20">
      <c r="C1693" s="152" t="s">
        <v>2821</v>
      </c>
      <c r="F1693" s="152" t="s">
        <v>371</v>
      </c>
      <c r="G1693" s="152" t="s">
        <v>353</v>
      </c>
      <c r="I1693" s="513">
        <v>5346599.9999000002</v>
      </c>
      <c r="J1693" s="513">
        <v>3778.5159009894001</v>
      </c>
      <c r="K1693" s="513">
        <v>1415</v>
      </c>
      <c r="L1693" s="518" t="s">
        <v>3511</v>
      </c>
      <c r="M1693" s="152" t="s">
        <v>1540</v>
      </c>
      <c r="N1693" s="152" t="s">
        <v>1407</v>
      </c>
      <c r="O1693" s="152" t="s">
        <v>5523</v>
      </c>
      <c r="P1693" s="152" t="s">
        <v>5400</v>
      </c>
      <c r="Q1693" s="152" t="s">
        <v>5524</v>
      </c>
      <c r="R1693" s="152" t="s">
        <v>5524</v>
      </c>
      <c r="S1693" s="152" t="s">
        <v>5525</v>
      </c>
      <c r="T1693" s="152" t="s">
        <v>786</v>
      </c>
    </row>
    <row r="1694" spans="3:20">
      <c r="C1694" s="152" t="s">
        <v>2821</v>
      </c>
      <c r="F1694" s="152" t="s">
        <v>371</v>
      </c>
      <c r="G1694" s="152" t="s">
        <v>353</v>
      </c>
      <c r="I1694" s="513">
        <v>5471999.9996999996</v>
      </c>
      <c r="J1694" s="513">
        <v>3867.1378089752602</v>
      </c>
      <c r="K1694" s="513">
        <v>1415</v>
      </c>
      <c r="L1694" s="518" t="s">
        <v>3511</v>
      </c>
      <c r="M1694" s="152" t="s">
        <v>1540</v>
      </c>
      <c r="N1694" s="152" t="s">
        <v>1407</v>
      </c>
      <c r="O1694" s="152" t="s">
        <v>5526</v>
      </c>
      <c r="P1694" s="152" t="s">
        <v>5400</v>
      </c>
      <c r="Q1694" s="152" t="s">
        <v>5527</v>
      </c>
      <c r="R1694" s="152" t="s">
        <v>5527</v>
      </c>
      <c r="S1694" s="152" t="s">
        <v>5528</v>
      </c>
      <c r="T1694" s="152" t="s">
        <v>786</v>
      </c>
    </row>
    <row r="1695" spans="3:20">
      <c r="C1695" s="152" t="s">
        <v>2821</v>
      </c>
      <c r="F1695" s="152" t="s">
        <v>371</v>
      </c>
      <c r="G1695" s="152" t="s">
        <v>353</v>
      </c>
      <c r="I1695" s="513">
        <v>1857599.9994000001</v>
      </c>
      <c r="J1695" s="513">
        <v>1312.7915190106</v>
      </c>
      <c r="K1695" s="513">
        <v>1415</v>
      </c>
      <c r="L1695" s="518" t="s">
        <v>3511</v>
      </c>
      <c r="M1695" s="152" t="s">
        <v>1540</v>
      </c>
      <c r="N1695" s="152" t="s">
        <v>1407</v>
      </c>
      <c r="O1695" s="152" t="s">
        <v>5529</v>
      </c>
      <c r="P1695" s="152" t="s">
        <v>5400</v>
      </c>
      <c r="Q1695" s="152" t="s">
        <v>5530</v>
      </c>
      <c r="R1695" s="152" t="s">
        <v>5530</v>
      </c>
      <c r="S1695" s="152" t="s">
        <v>5531</v>
      </c>
      <c r="T1695" s="152" t="s">
        <v>786</v>
      </c>
    </row>
    <row r="1696" spans="3:20">
      <c r="C1696" s="152" t="s">
        <v>2821</v>
      </c>
      <c r="F1696" s="152" t="s">
        <v>371</v>
      </c>
      <c r="G1696" s="152" t="s">
        <v>353</v>
      </c>
      <c r="I1696" s="513">
        <v>11728462.500399999</v>
      </c>
      <c r="J1696" s="513">
        <v>8288.6660780212005</v>
      </c>
      <c r="K1696" s="513">
        <v>1415</v>
      </c>
      <c r="L1696" s="518" t="s">
        <v>3511</v>
      </c>
      <c r="M1696" s="152" t="s">
        <v>1540</v>
      </c>
      <c r="N1696" s="152" t="s">
        <v>1407</v>
      </c>
      <c r="O1696" s="152" t="s">
        <v>5532</v>
      </c>
      <c r="P1696" s="152" t="s">
        <v>5400</v>
      </c>
      <c r="Q1696" s="152" t="s">
        <v>5533</v>
      </c>
      <c r="R1696" s="152" t="s">
        <v>5533</v>
      </c>
      <c r="S1696" s="152" t="s">
        <v>5534</v>
      </c>
      <c r="T1696" s="152" t="s">
        <v>786</v>
      </c>
    </row>
    <row r="1697" spans="3:20">
      <c r="C1697" s="152" t="s">
        <v>2821</v>
      </c>
      <c r="F1697" s="152" t="s">
        <v>371</v>
      </c>
      <c r="G1697" s="152" t="s">
        <v>353</v>
      </c>
      <c r="I1697" s="513">
        <v>359999.99979999999</v>
      </c>
      <c r="J1697" s="513">
        <v>254.416960989399</v>
      </c>
      <c r="K1697" s="513">
        <v>1415</v>
      </c>
      <c r="L1697" s="518" t="s">
        <v>3511</v>
      </c>
      <c r="M1697" s="152" t="s">
        <v>1540</v>
      </c>
      <c r="N1697" s="152" t="s">
        <v>1407</v>
      </c>
      <c r="O1697" s="152" t="s">
        <v>5535</v>
      </c>
      <c r="P1697" s="152" t="s">
        <v>5400</v>
      </c>
      <c r="Q1697" s="152" t="s">
        <v>5536</v>
      </c>
      <c r="R1697" s="152" t="s">
        <v>5536</v>
      </c>
      <c r="S1697" s="152" t="s">
        <v>5537</v>
      </c>
      <c r="T1697" s="152" t="s">
        <v>786</v>
      </c>
    </row>
    <row r="1698" spans="3:20">
      <c r="C1698" s="152" t="s">
        <v>2821</v>
      </c>
      <c r="F1698" s="152" t="s">
        <v>371</v>
      </c>
      <c r="G1698" s="152" t="s">
        <v>353</v>
      </c>
      <c r="I1698" s="513">
        <v>2640524.9994999999</v>
      </c>
      <c r="J1698" s="513">
        <v>1866.0954060070701</v>
      </c>
      <c r="K1698" s="513">
        <v>1415</v>
      </c>
      <c r="L1698" s="518" t="s">
        <v>3511</v>
      </c>
      <c r="M1698" s="152" t="s">
        <v>1540</v>
      </c>
      <c r="N1698" s="152" t="s">
        <v>1407</v>
      </c>
      <c r="O1698" s="152" t="s">
        <v>5538</v>
      </c>
      <c r="P1698" s="152" t="s">
        <v>5400</v>
      </c>
      <c r="Q1698" s="152" t="s">
        <v>5539</v>
      </c>
      <c r="R1698" s="152" t="s">
        <v>5539</v>
      </c>
      <c r="S1698" s="152" t="s">
        <v>5540</v>
      </c>
      <c r="T1698" s="152" t="s">
        <v>786</v>
      </c>
    </row>
    <row r="1699" spans="3:20">
      <c r="C1699" s="152" t="s">
        <v>2821</v>
      </c>
      <c r="F1699" s="152" t="s">
        <v>371</v>
      </c>
      <c r="G1699" s="152" t="s">
        <v>353</v>
      </c>
      <c r="I1699" s="513">
        <v>5763412.5001999997</v>
      </c>
      <c r="J1699" s="513">
        <v>4073.0830390105998</v>
      </c>
      <c r="K1699" s="513">
        <v>1415</v>
      </c>
      <c r="L1699" s="518" t="s">
        <v>3511</v>
      </c>
      <c r="M1699" s="152" t="s">
        <v>1540</v>
      </c>
      <c r="N1699" s="152" t="s">
        <v>1407</v>
      </c>
      <c r="O1699" s="152" t="s">
        <v>5541</v>
      </c>
      <c r="P1699" s="152" t="s">
        <v>5400</v>
      </c>
      <c r="Q1699" s="152" t="s">
        <v>5542</v>
      </c>
      <c r="R1699" s="152" t="s">
        <v>5542</v>
      </c>
      <c r="S1699" s="152" t="s">
        <v>5543</v>
      </c>
      <c r="T1699" s="152" t="s">
        <v>786</v>
      </c>
    </row>
    <row r="1700" spans="3:20">
      <c r="C1700" s="152" t="s">
        <v>2821</v>
      </c>
      <c r="F1700" s="152" t="s">
        <v>371</v>
      </c>
      <c r="G1700" s="152" t="s">
        <v>353</v>
      </c>
      <c r="I1700" s="513">
        <v>6288524.9998000003</v>
      </c>
      <c r="J1700" s="513">
        <v>4444.1872790105999</v>
      </c>
      <c r="K1700" s="513">
        <v>1415</v>
      </c>
      <c r="L1700" s="518" t="s">
        <v>3511</v>
      </c>
      <c r="M1700" s="152" t="s">
        <v>1540</v>
      </c>
      <c r="N1700" s="152" t="s">
        <v>1407</v>
      </c>
      <c r="O1700" s="152" t="s">
        <v>5544</v>
      </c>
      <c r="P1700" s="152" t="s">
        <v>5400</v>
      </c>
      <c r="Q1700" s="152" t="s">
        <v>5545</v>
      </c>
      <c r="R1700" s="152" t="s">
        <v>5545</v>
      </c>
      <c r="S1700" s="152" t="s">
        <v>5546</v>
      </c>
      <c r="T1700" s="152" t="s">
        <v>786</v>
      </c>
    </row>
    <row r="1701" spans="3:20">
      <c r="C1701" s="152" t="s">
        <v>2821</v>
      </c>
      <c r="F1701" s="152" t="s">
        <v>371</v>
      </c>
      <c r="G1701" s="152" t="s">
        <v>353</v>
      </c>
      <c r="I1701" s="513">
        <v>9755280.0003999993</v>
      </c>
      <c r="J1701" s="513">
        <v>6894.1908130035299</v>
      </c>
      <c r="K1701" s="513">
        <v>1415</v>
      </c>
      <c r="L1701" s="518" t="s">
        <v>3511</v>
      </c>
      <c r="M1701" s="152" t="s">
        <v>1540</v>
      </c>
      <c r="N1701" s="152" t="s">
        <v>1407</v>
      </c>
      <c r="O1701" s="152" t="s">
        <v>5547</v>
      </c>
      <c r="P1701" s="152" t="s">
        <v>5400</v>
      </c>
      <c r="Q1701" s="152" t="s">
        <v>5548</v>
      </c>
      <c r="R1701" s="152" t="s">
        <v>5548</v>
      </c>
      <c r="S1701" s="152" t="s">
        <v>5549</v>
      </c>
      <c r="T1701" s="152" t="s">
        <v>786</v>
      </c>
    </row>
    <row r="1702" spans="3:20">
      <c r="C1702" s="152" t="s">
        <v>2821</v>
      </c>
      <c r="F1702" s="152" t="s">
        <v>371</v>
      </c>
      <c r="G1702" s="152" t="s">
        <v>353</v>
      </c>
      <c r="I1702" s="513">
        <v>8596039.9995000008</v>
      </c>
      <c r="J1702" s="513">
        <v>6074.93992897527</v>
      </c>
      <c r="K1702" s="513">
        <v>1415</v>
      </c>
      <c r="L1702" s="518" t="s">
        <v>3511</v>
      </c>
      <c r="M1702" s="152" t="s">
        <v>1540</v>
      </c>
      <c r="N1702" s="152" t="s">
        <v>1407</v>
      </c>
      <c r="O1702" s="152" t="s">
        <v>5550</v>
      </c>
      <c r="P1702" s="152" t="s">
        <v>5400</v>
      </c>
      <c r="Q1702" s="152" t="s">
        <v>5551</v>
      </c>
      <c r="R1702" s="152" t="s">
        <v>5551</v>
      </c>
      <c r="S1702" s="152" t="s">
        <v>5552</v>
      </c>
      <c r="T1702" s="152" t="s">
        <v>786</v>
      </c>
    </row>
    <row r="1703" spans="3:20">
      <c r="C1703" s="152" t="s">
        <v>2821</v>
      </c>
      <c r="F1703" s="152" t="s">
        <v>371</v>
      </c>
      <c r="G1703" s="152" t="s">
        <v>353</v>
      </c>
      <c r="I1703" s="513">
        <v>1226880.0007</v>
      </c>
      <c r="J1703" s="513">
        <v>867.05300402826902</v>
      </c>
      <c r="K1703" s="513">
        <v>1415</v>
      </c>
      <c r="L1703" s="518" t="s">
        <v>3511</v>
      </c>
      <c r="M1703" s="152" t="s">
        <v>1540</v>
      </c>
      <c r="N1703" s="152" t="s">
        <v>1407</v>
      </c>
      <c r="O1703" s="152" t="s">
        <v>5553</v>
      </c>
      <c r="P1703" s="152" t="s">
        <v>5400</v>
      </c>
      <c r="Q1703" s="152" t="s">
        <v>5554</v>
      </c>
      <c r="R1703" s="152" t="s">
        <v>5554</v>
      </c>
      <c r="S1703" s="152" t="s">
        <v>5555</v>
      </c>
      <c r="T1703" s="152" t="s">
        <v>786</v>
      </c>
    </row>
    <row r="1704" spans="3:20">
      <c r="C1704" s="152" t="s">
        <v>2821</v>
      </c>
      <c r="F1704" s="152" t="s">
        <v>371</v>
      </c>
      <c r="G1704" s="152" t="s">
        <v>353</v>
      </c>
      <c r="I1704" s="513">
        <v>783359.99939999997</v>
      </c>
      <c r="J1704" s="513">
        <v>553.61130699646606</v>
      </c>
      <c r="K1704" s="513">
        <v>1415</v>
      </c>
      <c r="L1704" s="518" t="s">
        <v>3511</v>
      </c>
      <c r="M1704" s="152" t="s">
        <v>1540</v>
      </c>
      <c r="N1704" s="152" t="s">
        <v>1407</v>
      </c>
      <c r="O1704" s="152" t="s">
        <v>5556</v>
      </c>
      <c r="P1704" s="152" t="s">
        <v>5400</v>
      </c>
      <c r="Q1704" s="152" t="s">
        <v>5557</v>
      </c>
      <c r="R1704" s="152" t="s">
        <v>5557</v>
      </c>
      <c r="S1704" s="152" t="s">
        <v>5558</v>
      </c>
      <c r="T1704" s="152" t="s">
        <v>786</v>
      </c>
    </row>
    <row r="1705" spans="3:20">
      <c r="C1705" s="152" t="s">
        <v>2821</v>
      </c>
      <c r="F1705" s="152" t="s">
        <v>371</v>
      </c>
      <c r="G1705" s="152" t="s">
        <v>353</v>
      </c>
      <c r="I1705" s="513">
        <v>463680.0001</v>
      </c>
      <c r="J1705" s="513">
        <v>327.68904600706702</v>
      </c>
      <c r="K1705" s="513">
        <v>1415</v>
      </c>
      <c r="L1705" s="518" t="s">
        <v>3511</v>
      </c>
      <c r="M1705" s="152" t="s">
        <v>1540</v>
      </c>
      <c r="N1705" s="152" t="s">
        <v>1407</v>
      </c>
      <c r="O1705" s="152" t="s">
        <v>5559</v>
      </c>
      <c r="P1705" s="152" t="s">
        <v>5400</v>
      </c>
      <c r="Q1705" s="152" t="s">
        <v>5560</v>
      </c>
      <c r="R1705" s="152" t="s">
        <v>5560</v>
      </c>
      <c r="S1705" s="152" t="s">
        <v>5561</v>
      </c>
      <c r="T1705" s="152" t="s">
        <v>786</v>
      </c>
    </row>
    <row r="1706" spans="3:20">
      <c r="C1706" s="152" t="s">
        <v>2821</v>
      </c>
      <c r="F1706" s="152" t="s">
        <v>371</v>
      </c>
      <c r="G1706" s="152" t="s">
        <v>353</v>
      </c>
      <c r="I1706" s="513">
        <v>2951279.9994999999</v>
      </c>
      <c r="J1706" s="513">
        <v>2085.7102469964698</v>
      </c>
      <c r="K1706" s="513">
        <v>1415</v>
      </c>
      <c r="L1706" s="518" t="s">
        <v>3511</v>
      </c>
      <c r="M1706" s="152" t="s">
        <v>1540</v>
      </c>
      <c r="N1706" s="152" t="s">
        <v>1407</v>
      </c>
      <c r="O1706" s="152" t="s">
        <v>5562</v>
      </c>
      <c r="P1706" s="152" t="s">
        <v>5400</v>
      </c>
      <c r="Q1706" s="152" t="s">
        <v>5563</v>
      </c>
      <c r="R1706" s="152" t="s">
        <v>5563</v>
      </c>
      <c r="S1706" s="152" t="s">
        <v>5564</v>
      </c>
      <c r="T1706" s="152" t="s">
        <v>786</v>
      </c>
    </row>
    <row r="1707" spans="3:20">
      <c r="C1707" s="152" t="s">
        <v>2821</v>
      </c>
      <c r="F1707" s="152" t="s">
        <v>371</v>
      </c>
      <c r="G1707" s="152" t="s">
        <v>353</v>
      </c>
      <c r="I1707" s="513">
        <v>2868479.9996000002</v>
      </c>
      <c r="J1707" s="513">
        <v>2027.19434600707</v>
      </c>
      <c r="K1707" s="513">
        <v>1415</v>
      </c>
      <c r="L1707" s="518" t="s">
        <v>3511</v>
      </c>
      <c r="M1707" s="152" t="s">
        <v>1540</v>
      </c>
      <c r="N1707" s="152" t="s">
        <v>1407</v>
      </c>
      <c r="O1707" s="152" t="s">
        <v>5565</v>
      </c>
      <c r="P1707" s="152" t="s">
        <v>5400</v>
      </c>
      <c r="Q1707" s="152" t="s">
        <v>5566</v>
      </c>
      <c r="R1707" s="152" t="s">
        <v>5566</v>
      </c>
      <c r="S1707" s="152" t="s">
        <v>5567</v>
      </c>
      <c r="T1707" s="152" t="s">
        <v>786</v>
      </c>
    </row>
    <row r="1708" spans="3:20">
      <c r="C1708" s="152" t="s">
        <v>2821</v>
      </c>
      <c r="F1708" s="152" t="s">
        <v>371</v>
      </c>
      <c r="G1708" s="152" t="s">
        <v>353</v>
      </c>
      <c r="I1708" s="513">
        <v>4119119.9996000002</v>
      </c>
      <c r="J1708" s="513">
        <v>2911.0388689752699</v>
      </c>
      <c r="K1708" s="513">
        <v>1415</v>
      </c>
      <c r="L1708" s="518" t="s">
        <v>3511</v>
      </c>
      <c r="M1708" s="152" t="s">
        <v>1540</v>
      </c>
      <c r="N1708" s="152" t="s">
        <v>1407</v>
      </c>
      <c r="O1708" s="152" t="s">
        <v>5568</v>
      </c>
      <c r="P1708" s="152" t="s">
        <v>5400</v>
      </c>
      <c r="Q1708" s="152" t="s">
        <v>5569</v>
      </c>
      <c r="R1708" s="152" t="s">
        <v>5569</v>
      </c>
      <c r="S1708" s="152" t="s">
        <v>5570</v>
      </c>
      <c r="T1708" s="152" t="s">
        <v>786</v>
      </c>
    </row>
    <row r="1709" spans="3:20">
      <c r="C1709" s="152" t="s">
        <v>2821</v>
      </c>
      <c r="F1709" s="152" t="s">
        <v>371</v>
      </c>
      <c r="G1709" s="152" t="s">
        <v>353</v>
      </c>
      <c r="I1709" s="513">
        <v>1885487.5</v>
      </c>
      <c r="J1709" s="513">
        <v>1332.5</v>
      </c>
      <c r="K1709" s="513">
        <v>1415</v>
      </c>
      <c r="L1709" s="518" t="s">
        <v>3511</v>
      </c>
      <c r="M1709" s="152" t="s">
        <v>1540</v>
      </c>
      <c r="N1709" s="152" t="s">
        <v>1407</v>
      </c>
      <c r="O1709" s="152" t="s">
        <v>5571</v>
      </c>
      <c r="P1709" s="152" t="s">
        <v>5400</v>
      </c>
      <c r="Q1709" s="152" t="s">
        <v>5572</v>
      </c>
      <c r="R1709" s="152" t="s">
        <v>5572</v>
      </c>
      <c r="S1709" s="152" t="s">
        <v>5573</v>
      </c>
      <c r="T1709" s="152" t="s">
        <v>786</v>
      </c>
    </row>
    <row r="1710" spans="3:20">
      <c r="C1710" s="152" t="s">
        <v>2821</v>
      </c>
      <c r="F1710" s="152" t="s">
        <v>371</v>
      </c>
      <c r="G1710" s="152" t="s">
        <v>353</v>
      </c>
      <c r="I1710" s="513">
        <v>2936125</v>
      </c>
      <c r="J1710" s="513">
        <v>2075</v>
      </c>
      <c r="K1710" s="513">
        <v>1415</v>
      </c>
      <c r="L1710" s="518" t="s">
        <v>3511</v>
      </c>
      <c r="M1710" s="152" t="s">
        <v>1540</v>
      </c>
      <c r="N1710" s="152" t="s">
        <v>1407</v>
      </c>
      <c r="O1710" s="152" t="s">
        <v>5574</v>
      </c>
      <c r="P1710" s="152" t="s">
        <v>5400</v>
      </c>
      <c r="Q1710" s="152" t="s">
        <v>5575</v>
      </c>
      <c r="R1710" s="152" t="s">
        <v>5575</v>
      </c>
      <c r="S1710" s="152" t="s">
        <v>5576</v>
      </c>
      <c r="T1710" s="152" t="s">
        <v>786</v>
      </c>
    </row>
    <row r="1711" spans="3:20">
      <c r="C1711" s="152" t="s">
        <v>2821</v>
      </c>
      <c r="F1711" s="152" t="s">
        <v>371</v>
      </c>
      <c r="G1711" s="152" t="s">
        <v>353</v>
      </c>
      <c r="I1711" s="513">
        <v>2313525</v>
      </c>
      <c r="J1711" s="513">
        <v>1635</v>
      </c>
      <c r="K1711" s="513">
        <v>1415</v>
      </c>
      <c r="L1711" s="518" t="s">
        <v>3511</v>
      </c>
      <c r="M1711" s="152" t="s">
        <v>1540</v>
      </c>
      <c r="N1711" s="152" t="s">
        <v>1407</v>
      </c>
      <c r="O1711" s="152" t="s">
        <v>5577</v>
      </c>
      <c r="P1711" s="152" t="s">
        <v>5400</v>
      </c>
      <c r="Q1711" s="152" t="s">
        <v>5578</v>
      </c>
      <c r="R1711" s="152" t="s">
        <v>5578</v>
      </c>
      <c r="S1711" s="152" t="s">
        <v>5579</v>
      </c>
      <c r="T1711" s="152" t="s">
        <v>786</v>
      </c>
    </row>
    <row r="1712" spans="3:20">
      <c r="C1712" s="152" t="s">
        <v>2821</v>
      </c>
      <c r="F1712" s="152" t="s">
        <v>371</v>
      </c>
      <c r="G1712" s="152" t="s">
        <v>353</v>
      </c>
      <c r="I1712" s="513">
        <v>2936125</v>
      </c>
      <c r="J1712" s="513">
        <v>2075</v>
      </c>
      <c r="K1712" s="513">
        <v>1415</v>
      </c>
      <c r="L1712" s="518" t="s">
        <v>3511</v>
      </c>
      <c r="M1712" s="152" t="s">
        <v>1540</v>
      </c>
      <c r="N1712" s="152" t="s">
        <v>1407</v>
      </c>
      <c r="O1712" s="152" t="s">
        <v>5580</v>
      </c>
      <c r="P1712" s="152" t="s">
        <v>5400</v>
      </c>
      <c r="Q1712" s="152" t="s">
        <v>5581</v>
      </c>
      <c r="R1712" s="152" t="s">
        <v>5581</v>
      </c>
      <c r="S1712" s="152" t="s">
        <v>5582</v>
      </c>
      <c r="T1712" s="152" t="s">
        <v>786</v>
      </c>
    </row>
    <row r="1713" spans="3:20">
      <c r="C1713" s="152" t="s">
        <v>2821</v>
      </c>
      <c r="F1713" s="152" t="s">
        <v>371</v>
      </c>
      <c r="G1713" s="152" t="s">
        <v>353</v>
      </c>
      <c r="I1713" s="513">
        <v>3396000</v>
      </c>
      <c r="J1713" s="513">
        <v>2400</v>
      </c>
      <c r="K1713" s="513">
        <v>1415</v>
      </c>
      <c r="L1713" s="518" t="s">
        <v>3511</v>
      </c>
      <c r="M1713" s="152" t="s">
        <v>1540</v>
      </c>
      <c r="N1713" s="152" t="s">
        <v>1407</v>
      </c>
      <c r="O1713" s="152" t="s">
        <v>5583</v>
      </c>
      <c r="P1713" s="152" t="s">
        <v>5400</v>
      </c>
      <c r="Q1713" s="152" t="s">
        <v>5584</v>
      </c>
      <c r="R1713" s="152" t="s">
        <v>5584</v>
      </c>
      <c r="S1713" s="152" t="s">
        <v>5585</v>
      </c>
      <c r="T1713" s="152" t="s">
        <v>786</v>
      </c>
    </row>
    <row r="1714" spans="3:20">
      <c r="C1714" s="152" t="s">
        <v>2821</v>
      </c>
      <c r="F1714" s="152" t="s">
        <v>371</v>
      </c>
      <c r="G1714" s="152" t="s">
        <v>353</v>
      </c>
      <c r="I1714" s="513">
        <v>3385387.5</v>
      </c>
      <c r="J1714" s="513">
        <v>2392.5</v>
      </c>
      <c r="K1714" s="513">
        <v>1415</v>
      </c>
      <c r="L1714" s="518" t="s">
        <v>3511</v>
      </c>
      <c r="M1714" s="152" t="s">
        <v>1540</v>
      </c>
      <c r="N1714" s="152" t="s">
        <v>1407</v>
      </c>
      <c r="O1714" s="152" t="s">
        <v>5586</v>
      </c>
      <c r="P1714" s="152" t="s">
        <v>5400</v>
      </c>
      <c r="Q1714" s="152" t="s">
        <v>5587</v>
      </c>
      <c r="R1714" s="152" t="s">
        <v>5587</v>
      </c>
      <c r="S1714" s="152" t="s">
        <v>5588</v>
      </c>
      <c r="T1714" s="152" t="s">
        <v>786</v>
      </c>
    </row>
    <row r="1715" spans="3:20">
      <c r="C1715" s="152" t="s">
        <v>2821</v>
      </c>
      <c r="F1715" s="152" t="s">
        <v>371</v>
      </c>
      <c r="G1715" s="152" t="s">
        <v>353</v>
      </c>
      <c r="I1715" s="513">
        <v>3891250</v>
      </c>
      <c r="J1715" s="513">
        <v>2750</v>
      </c>
      <c r="K1715" s="513">
        <v>1415</v>
      </c>
      <c r="L1715" s="518" t="s">
        <v>3511</v>
      </c>
      <c r="M1715" s="152" t="s">
        <v>1540</v>
      </c>
      <c r="N1715" s="152" t="s">
        <v>1407</v>
      </c>
      <c r="O1715" s="152" t="s">
        <v>5589</v>
      </c>
      <c r="P1715" s="152" t="s">
        <v>5400</v>
      </c>
      <c r="Q1715" s="152" t="s">
        <v>5590</v>
      </c>
      <c r="R1715" s="152" t="s">
        <v>5590</v>
      </c>
      <c r="S1715" s="152" t="s">
        <v>5591</v>
      </c>
      <c r="T1715" s="152" t="s">
        <v>786</v>
      </c>
    </row>
    <row r="1716" spans="3:20">
      <c r="C1716" s="152" t="s">
        <v>2821</v>
      </c>
      <c r="F1716" s="152" t="s">
        <v>371</v>
      </c>
      <c r="G1716" s="152" t="s">
        <v>353</v>
      </c>
      <c r="I1716" s="513">
        <v>4846375</v>
      </c>
      <c r="J1716" s="513">
        <v>3425</v>
      </c>
      <c r="K1716" s="513">
        <v>1415</v>
      </c>
      <c r="L1716" s="518" t="s">
        <v>3511</v>
      </c>
      <c r="M1716" s="152" t="s">
        <v>1540</v>
      </c>
      <c r="N1716" s="152" t="s">
        <v>1407</v>
      </c>
      <c r="O1716" s="152" t="s">
        <v>5592</v>
      </c>
      <c r="P1716" s="152" t="s">
        <v>5400</v>
      </c>
      <c r="Q1716" s="152" t="s">
        <v>5593</v>
      </c>
      <c r="R1716" s="152" t="s">
        <v>5593</v>
      </c>
      <c r="S1716" s="152" t="s">
        <v>5594</v>
      </c>
      <c r="T1716" s="152" t="s">
        <v>786</v>
      </c>
    </row>
    <row r="1717" spans="3:20">
      <c r="C1717" s="152" t="s">
        <v>2821</v>
      </c>
      <c r="F1717" s="152" t="s">
        <v>371</v>
      </c>
      <c r="G1717" s="152" t="s">
        <v>353</v>
      </c>
      <c r="I1717" s="513">
        <v>2162879.9992999998</v>
      </c>
      <c r="J1717" s="513">
        <v>1528.5371019787999</v>
      </c>
      <c r="K1717" s="513">
        <v>1415</v>
      </c>
      <c r="L1717" s="518" t="s">
        <v>3511</v>
      </c>
      <c r="M1717" s="152" t="s">
        <v>1540</v>
      </c>
      <c r="N1717" s="152" t="s">
        <v>1407</v>
      </c>
      <c r="O1717" s="152" t="s">
        <v>5595</v>
      </c>
      <c r="P1717" s="152" t="s">
        <v>5400</v>
      </c>
      <c r="Q1717" s="152" t="s">
        <v>5596</v>
      </c>
      <c r="R1717" s="152" t="s">
        <v>5596</v>
      </c>
      <c r="S1717" s="152" t="s">
        <v>5597</v>
      </c>
      <c r="T1717" s="152" t="s">
        <v>786</v>
      </c>
    </row>
    <row r="1718" spans="3:20">
      <c r="C1718" s="152" t="s">
        <v>2821</v>
      </c>
      <c r="F1718" s="152" t="s">
        <v>371</v>
      </c>
      <c r="G1718" s="152" t="s">
        <v>353</v>
      </c>
      <c r="I1718" s="513">
        <v>1897199.9998000001</v>
      </c>
      <c r="J1718" s="513">
        <v>1340.77738501767</v>
      </c>
      <c r="K1718" s="513">
        <v>1415</v>
      </c>
      <c r="L1718" s="518" t="s">
        <v>3511</v>
      </c>
      <c r="M1718" s="152" t="s">
        <v>1540</v>
      </c>
      <c r="N1718" s="152" t="s">
        <v>1407</v>
      </c>
      <c r="O1718" s="152" t="s">
        <v>5598</v>
      </c>
      <c r="P1718" s="152" t="s">
        <v>5400</v>
      </c>
      <c r="Q1718" s="152" t="s">
        <v>5599</v>
      </c>
      <c r="R1718" s="152" t="s">
        <v>5599</v>
      </c>
      <c r="S1718" s="152" t="s">
        <v>5600</v>
      </c>
      <c r="T1718" s="152" t="s">
        <v>786</v>
      </c>
    </row>
    <row r="1719" spans="3:20">
      <c r="C1719" s="152" t="s">
        <v>2821</v>
      </c>
      <c r="F1719" s="152" t="s">
        <v>371</v>
      </c>
      <c r="G1719" s="152" t="s">
        <v>353</v>
      </c>
      <c r="I1719" s="513">
        <v>3039840.0003</v>
      </c>
      <c r="J1719" s="513">
        <v>2148.29682</v>
      </c>
      <c r="K1719" s="513">
        <v>1415</v>
      </c>
      <c r="L1719" s="518" t="s">
        <v>3511</v>
      </c>
      <c r="M1719" s="152" t="s">
        <v>1540</v>
      </c>
      <c r="N1719" s="152" t="s">
        <v>1407</v>
      </c>
      <c r="O1719" s="152" t="s">
        <v>5601</v>
      </c>
      <c r="P1719" s="152" t="s">
        <v>5400</v>
      </c>
      <c r="Q1719" s="152" t="s">
        <v>5602</v>
      </c>
      <c r="R1719" s="152" t="s">
        <v>5602</v>
      </c>
      <c r="S1719" s="152" t="s">
        <v>5603</v>
      </c>
      <c r="T1719" s="152" t="s">
        <v>786</v>
      </c>
    </row>
    <row r="1720" spans="3:20">
      <c r="C1720" s="152" t="s">
        <v>2821</v>
      </c>
      <c r="F1720" s="152" t="s">
        <v>371</v>
      </c>
      <c r="G1720" s="152" t="s">
        <v>353</v>
      </c>
      <c r="I1720" s="513">
        <v>1409324.9996</v>
      </c>
      <c r="J1720" s="513">
        <v>995.98939901060101</v>
      </c>
      <c r="K1720" s="513">
        <v>1415</v>
      </c>
      <c r="L1720" s="518" t="s">
        <v>3511</v>
      </c>
      <c r="M1720" s="152" t="s">
        <v>1540</v>
      </c>
      <c r="N1720" s="152" t="s">
        <v>1407</v>
      </c>
      <c r="O1720" s="152" t="s">
        <v>5604</v>
      </c>
      <c r="P1720" s="152" t="s">
        <v>5400</v>
      </c>
      <c r="Q1720" s="152" t="s">
        <v>5605</v>
      </c>
      <c r="R1720" s="152" t="s">
        <v>5605</v>
      </c>
      <c r="S1720" s="152" t="s">
        <v>5606</v>
      </c>
      <c r="T1720" s="152" t="s">
        <v>786</v>
      </c>
    </row>
    <row r="1721" spans="3:20">
      <c r="C1721" s="152" t="s">
        <v>2821</v>
      </c>
      <c r="F1721" s="152" t="s">
        <v>371</v>
      </c>
      <c r="G1721" s="152" t="s">
        <v>353</v>
      </c>
      <c r="I1721" s="513">
        <v>3724987.5</v>
      </c>
      <c r="J1721" s="513">
        <v>2632.5</v>
      </c>
      <c r="K1721" s="513">
        <v>1415</v>
      </c>
      <c r="L1721" s="518" t="s">
        <v>3511</v>
      </c>
      <c r="M1721" s="152" t="s">
        <v>1540</v>
      </c>
      <c r="N1721" s="152" t="s">
        <v>1407</v>
      </c>
      <c r="O1721" s="152" t="s">
        <v>5607</v>
      </c>
      <c r="P1721" s="152" t="s">
        <v>5400</v>
      </c>
      <c r="Q1721" s="152" t="s">
        <v>5608</v>
      </c>
      <c r="R1721" s="152" t="s">
        <v>5608</v>
      </c>
      <c r="S1721" s="152" t="s">
        <v>5609</v>
      </c>
      <c r="T1721" s="152" t="s">
        <v>786</v>
      </c>
    </row>
    <row r="1722" spans="3:20">
      <c r="C1722" s="152" t="s">
        <v>2821</v>
      </c>
      <c r="F1722" s="152" t="s">
        <v>371</v>
      </c>
      <c r="G1722" s="152" t="s">
        <v>353</v>
      </c>
      <c r="I1722" s="513">
        <v>2557612.5</v>
      </c>
      <c r="J1722" s="513">
        <v>1807.5</v>
      </c>
      <c r="K1722" s="513">
        <v>1415</v>
      </c>
      <c r="L1722" s="518" t="s">
        <v>3511</v>
      </c>
      <c r="M1722" s="152" t="s">
        <v>1540</v>
      </c>
      <c r="N1722" s="152" t="s">
        <v>1407</v>
      </c>
      <c r="O1722" s="152" t="s">
        <v>5610</v>
      </c>
      <c r="P1722" s="152" t="s">
        <v>5400</v>
      </c>
      <c r="Q1722" s="152" t="s">
        <v>5611</v>
      </c>
      <c r="R1722" s="152" t="s">
        <v>5611</v>
      </c>
      <c r="S1722" s="152" t="s">
        <v>5612</v>
      </c>
      <c r="T1722" s="152" t="s">
        <v>786</v>
      </c>
    </row>
    <row r="1723" spans="3:20">
      <c r="C1723" s="152" t="s">
        <v>2821</v>
      </c>
      <c r="F1723" s="152" t="s">
        <v>371</v>
      </c>
      <c r="G1723" s="152" t="s">
        <v>353</v>
      </c>
      <c r="I1723" s="513">
        <v>8913792.5</v>
      </c>
      <c r="J1723" s="513">
        <v>6299.5</v>
      </c>
      <c r="K1723" s="513">
        <v>1415</v>
      </c>
      <c r="L1723" s="518" t="s">
        <v>3511</v>
      </c>
      <c r="M1723" s="152" t="s">
        <v>1540</v>
      </c>
      <c r="N1723" s="152" t="s">
        <v>1407</v>
      </c>
      <c r="O1723" s="152" t="s">
        <v>5613</v>
      </c>
      <c r="P1723" s="152" t="s">
        <v>5400</v>
      </c>
      <c r="Q1723" s="152" t="s">
        <v>5614</v>
      </c>
      <c r="R1723" s="152" t="s">
        <v>5614</v>
      </c>
      <c r="S1723" s="152" t="s">
        <v>5615</v>
      </c>
      <c r="T1723" s="152" t="s">
        <v>786</v>
      </c>
    </row>
    <row r="1724" spans="3:20">
      <c r="C1724" s="152" t="s">
        <v>2821</v>
      </c>
      <c r="F1724" s="152" t="s">
        <v>371</v>
      </c>
      <c r="G1724" s="152" t="s">
        <v>353</v>
      </c>
      <c r="I1724" s="513">
        <v>4654799.9994000001</v>
      </c>
      <c r="J1724" s="513">
        <v>3289.6113069964699</v>
      </c>
      <c r="K1724" s="513">
        <v>1415</v>
      </c>
      <c r="L1724" s="518" t="s">
        <v>3511</v>
      </c>
      <c r="M1724" s="152" t="s">
        <v>1540</v>
      </c>
      <c r="N1724" s="152" t="s">
        <v>1407</v>
      </c>
      <c r="O1724" s="152" t="s">
        <v>5616</v>
      </c>
      <c r="P1724" s="152" t="s">
        <v>5400</v>
      </c>
      <c r="Q1724" s="152" t="s">
        <v>5617</v>
      </c>
      <c r="R1724" s="152" t="s">
        <v>5617</v>
      </c>
      <c r="S1724" s="152" t="s">
        <v>5618</v>
      </c>
      <c r="T1724" s="152" t="s">
        <v>786</v>
      </c>
    </row>
    <row r="1725" spans="3:20">
      <c r="C1725" s="152" t="s">
        <v>2821</v>
      </c>
      <c r="F1725" s="152" t="s">
        <v>371</v>
      </c>
      <c r="G1725" s="152" t="s">
        <v>353</v>
      </c>
      <c r="I1725" s="513">
        <v>2805839.9999000002</v>
      </c>
      <c r="J1725" s="513">
        <v>1982.92579498233</v>
      </c>
      <c r="K1725" s="513">
        <v>1415</v>
      </c>
      <c r="L1725" s="518" t="s">
        <v>3511</v>
      </c>
      <c r="M1725" s="152" t="s">
        <v>1540</v>
      </c>
      <c r="N1725" s="152" t="s">
        <v>1407</v>
      </c>
      <c r="O1725" s="152" t="s">
        <v>5619</v>
      </c>
      <c r="P1725" s="152" t="s">
        <v>5400</v>
      </c>
      <c r="Q1725" s="152" t="s">
        <v>5620</v>
      </c>
      <c r="R1725" s="152" t="s">
        <v>5620</v>
      </c>
      <c r="S1725" s="152" t="s">
        <v>5621</v>
      </c>
      <c r="T1725" s="152" t="s">
        <v>786</v>
      </c>
    </row>
    <row r="1726" spans="3:20">
      <c r="C1726" s="152" t="s">
        <v>2821</v>
      </c>
      <c r="F1726" s="152" t="s">
        <v>371</v>
      </c>
      <c r="G1726" s="152" t="s">
        <v>353</v>
      </c>
      <c r="I1726" s="513">
        <v>2817937.5</v>
      </c>
      <c r="J1726" s="513">
        <v>1991.4752650176699</v>
      </c>
      <c r="K1726" s="513">
        <v>1415</v>
      </c>
      <c r="L1726" s="518" t="s">
        <v>3511</v>
      </c>
      <c r="M1726" s="152" t="s">
        <v>1540</v>
      </c>
      <c r="N1726" s="152" t="s">
        <v>1407</v>
      </c>
      <c r="O1726" s="152" t="s">
        <v>5625</v>
      </c>
      <c r="P1726" s="152" t="s">
        <v>5400</v>
      </c>
      <c r="Q1726" s="152" t="s">
        <v>5626</v>
      </c>
      <c r="R1726" s="152" t="s">
        <v>5626</v>
      </c>
      <c r="S1726" s="152" t="s">
        <v>5627</v>
      </c>
      <c r="T1726" s="152" t="s">
        <v>786</v>
      </c>
    </row>
    <row r="1727" spans="3:20">
      <c r="C1727" s="152" t="s">
        <v>2821</v>
      </c>
      <c r="F1727" s="152" t="s">
        <v>371</v>
      </c>
      <c r="G1727" s="152" t="s">
        <v>353</v>
      </c>
      <c r="I1727" s="513">
        <v>3665812.5</v>
      </c>
      <c r="J1727" s="513">
        <v>2590.6802120141301</v>
      </c>
      <c r="K1727" s="513">
        <v>1415</v>
      </c>
      <c r="L1727" s="518" t="s">
        <v>3511</v>
      </c>
      <c r="M1727" s="152" t="s">
        <v>1540</v>
      </c>
      <c r="N1727" s="152" t="s">
        <v>1407</v>
      </c>
      <c r="O1727" s="152" t="s">
        <v>5628</v>
      </c>
      <c r="P1727" s="152" t="s">
        <v>5400</v>
      </c>
      <c r="Q1727" s="152" t="s">
        <v>5629</v>
      </c>
      <c r="R1727" s="152" t="s">
        <v>5629</v>
      </c>
      <c r="S1727" s="152" t="s">
        <v>5630</v>
      </c>
      <c r="T1727" s="152" t="s">
        <v>786</v>
      </c>
    </row>
    <row r="1728" spans="3:20">
      <c r="C1728" s="152" t="s">
        <v>2821</v>
      </c>
      <c r="F1728" s="152" t="s">
        <v>371</v>
      </c>
      <c r="G1728" s="152" t="s">
        <v>353</v>
      </c>
      <c r="I1728" s="513">
        <v>3893812.4999000002</v>
      </c>
      <c r="J1728" s="513">
        <v>2751.8109539929301</v>
      </c>
      <c r="K1728" s="513">
        <v>1415</v>
      </c>
      <c r="L1728" s="518" t="s">
        <v>3511</v>
      </c>
      <c r="M1728" s="152" t="s">
        <v>1540</v>
      </c>
      <c r="N1728" s="152" t="s">
        <v>1407</v>
      </c>
      <c r="O1728" s="152" t="s">
        <v>5631</v>
      </c>
      <c r="P1728" s="152" t="s">
        <v>5400</v>
      </c>
      <c r="Q1728" s="152" t="s">
        <v>5632</v>
      </c>
      <c r="R1728" s="152" t="s">
        <v>5632</v>
      </c>
      <c r="S1728" s="152" t="s">
        <v>5633</v>
      </c>
      <c r="T1728" s="152" t="s">
        <v>786</v>
      </c>
    </row>
    <row r="1729" spans="3:20">
      <c r="C1729" s="152" t="s">
        <v>2821</v>
      </c>
      <c r="F1729" s="152" t="s">
        <v>371</v>
      </c>
      <c r="G1729" s="152" t="s">
        <v>353</v>
      </c>
      <c r="I1729" s="513">
        <v>3352312.5003999998</v>
      </c>
      <c r="J1729" s="513">
        <v>2369.1254419788002</v>
      </c>
      <c r="K1729" s="513">
        <v>1415</v>
      </c>
      <c r="L1729" s="518" t="s">
        <v>3511</v>
      </c>
      <c r="M1729" s="152" t="s">
        <v>1540</v>
      </c>
      <c r="N1729" s="152" t="s">
        <v>1407</v>
      </c>
      <c r="O1729" s="152" t="s">
        <v>5634</v>
      </c>
      <c r="P1729" s="152" t="s">
        <v>5400</v>
      </c>
      <c r="Q1729" s="152" t="s">
        <v>5635</v>
      </c>
      <c r="R1729" s="152" t="s">
        <v>5635</v>
      </c>
      <c r="S1729" s="152" t="s">
        <v>5636</v>
      </c>
      <c r="T1729" s="152" t="s">
        <v>786</v>
      </c>
    </row>
    <row r="1730" spans="3:20">
      <c r="C1730" s="152" t="s">
        <v>2821</v>
      </c>
      <c r="F1730" s="152" t="s">
        <v>371</v>
      </c>
      <c r="G1730" s="152" t="s">
        <v>353</v>
      </c>
      <c r="I1730" s="513">
        <v>3209812.5000999998</v>
      </c>
      <c r="J1730" s="513">
        <v>2268.4187279858702</v>
      </c>
      <c r="K1730" s="513">
        <v>1415</v>
      </c>
      <c r="L1730" s="518" t="s">
        <v>3511</v>
      </c>
      <c r="M1730" s="152" t="s">
        <v>1540</v>
      </c>
      <c r="N1730" s="152" t="s">
        <v>1407</v>
      </c>
      <c r="O1730" s="152" t="s">
        <v>5637</v>
      </c>
      <c r="P1730" s="152" t="s">
        <v>5400</v>
      </c>
      <c r="Q1730" s="152" t="s">
        <v>5638</v>
      </c>
      <c r="R1730" s="152" t="s">
        <v>5638</v>
      </c>
      <c r="S1730" s="152" t="s">
        <v>5639</v>
      </c>
      <c r="T1730" s="152" t="s">
        <v>786</v>
      </c>
    </row>
    <row r="1731" spans="3:20">
      <c r="C1731" s="152" t="s">
        <v>2821</v>
      </c>
      <c r="F1731" s="152" t="s">
        <v>371</v>
      </c>
      <c r="G1731" s="152" t="s">
        <v>353</v>
      </c>
      <c r="I1731" s="513">
        <v>2732437.5003999998</v>
      </c>
      <c r="J1731" s="513">
        <v>1931.0512370317999</v>
      </c>
      <c r="K1731" s="513">
        <v>1415</v>
      </c>
      <c r="L1731" s="518" t="s">
        <v>3511</v>
      </c>
      <c r="M1731" s="152" t="s">
        <v>1540</v>
      </c>
      <c r="N1731" s="152" t="s">
        <v>1407</v>
      </c>
      <c r="O1731" s="152" t="s">
        <v>5640</v>
      </c>
      <c r="P1731" s="152" t="s">
        <v>5400</v>
      </c>
      <c r="Q1731" s="152" t="s">
        <v>5641</v>
      </c>
      <c r="R1731" s="152" t="s">
        <v>5641</v>
      </c>
      <c r="S1731" s="152" t="s">
        <v>5642</v>
      </c>
      <c r="T1731" s="152" t="s">
        <v>786</v>
      </c>
    </row>
    <row r="1732" spans="3:20">
      <c r="C1732" s="152" t="s">
        <v>2821</v>
      </c>
      <c r="F1732" s="152" t="s">
        <v>371</v>
      </c>
      <c r="G1732" s="152" t="s">
        <v>353</v>
      </c>
      <c r="I1732" s="513">
        <v>840749.99959999998</v>
      </c>
      <c r="J1732" s="513">
        <v>594.16961102473499</v>
      </c>
      <c r="K1732" s="513">
        <v>1415</v>
      </c>
      <c r="L1732" s="518" t="s">
        <v>3511</v>
      </c>
      <c r="M1732" s="152" t="s">
        <v>1540</v>
      </c>
      <c r="N1732" s="152" t="s">
        <v>1407</v>
      </c>
      <c r="O1732" s="152" t="s">
        <v>5643</v>
      </c>
      <c r="P1732" s="152" t="s">
        <v>5400</v>
      </c>
      <c r="Q1732" s="152" t="s">
        <v>5644</v>
      </c>
      <c r="R1732" s="152" t="s">
        <v>5644</v>
      </c>
      <c r="S1732" s="152" t="s">
        <v>5645</v>
      </c>
      <c r="T1732" s="152" t="s">
        <v>786</v>
      </c>
    </row>
    <row r="1733" spans="3:20">
      <c r="C1733" s="152" t="s">
        <v>2821</v>
      </c>
      <c r="F1733" s="152" t="s">
        <v>371</v>
      </c>
      <c r="G1733" s="152" t="s">
        <v>353</v>
      </c>
      <c r="I1733" s="513">
        <v>3590999.9996000002</v>
      </c>
      <c r="J1733" s="513">
        <v>2537.8091869964701</v>
      </c>
      <c r="K1733" s="513">
        <v>1415</v>
      </c>
      <c r="L1733" s="518" t="s">
        <v>3511</v>
      </c>
      <c r="M1733" s="152" t="s">
        <v>1540</v>
      </c>
      <c r="N1733" s="152" t="s">
        <v>1407</v>
      </c>
      <c r="O1733" s="152" t="s">
        <v>5646</v>
      </c>
      <c r="P1733" s="152" t="s">
        <v>5400</v>
      </c>
      <c r="Q1733" s="152" t="s">
        <v>5647</v>
      </c>
      <c r="R1733" s="152" t="s">
        <v>5647</v>
      </c>
      <c r="S1733" s="152" t="s">
        <v>5648</v>
      </c>
      <c r="T1733" s="152" t="s">
        <v>786</v>
      </c>
    </row>
    <row r="1734" spans="3:20">
      <c r="C1734" s="152" t="s">
        <v>2821</v>
      </c>
      <c r="F1734" s="152" t="s">
        <v>371</v>
      </c>
      <c r="G1734" s="152" t="s">
        <v>353</v>
      </c>
      <c r="I1734" s="513">
        <v>2611312.5</v>
      </c>
      <c r="J1734" s="513">
        <v>1845.4505300353401</v>
      </c>
      <c r="K1734" s="513">
        <v>1415</v>
      </c>
      <c r="L1734" s="518" t="s">
        <v>3511</v>
      </c>
      <c r="M1734" s="152" t="s">
        <v>1540</v>
      </c>
      <c r="N1734" s="152" t="s">
        <v>1407</v>
      </c>
      <c r="O1734" s="152" t="s">
        <v>5649</v>
      </c>
      <c r="P1734" s="152" t="s">
        <v>5400</v>
      </c>
      <c r="Q1734" s="152" t="s">
        <v>5650</v>
      </c>
      <c r="R1734" s="152" t="s">
        <v>5650</v>
      </c>
      <c r="S1734" s="152" t="s">
        <v>5651</v>
      </c>
      <c r="T1734" s="152" t="s">
        <v>786</v>
      </c>
    </row>
    <row r="1735" spans="3:20">
      <c r="C1735" s="152" t="s">
        <v>2821</v>
      </c>
      <c r="F1735" s="152" t="s">
        <v>371</v>
      </c>
      <c r="G1735" s="152" t="s">
        <v>353</v>
      </c>
      <c r="I1735" s="513">
        <v>5635875</v>
      </c>
      <c r="J1735" s="513">
        <v>3982.9505300353399</v>
      </c>
      <c r="K1735" s="513">
        <v>1415</v>
      </c>
      <c r="L1735" s="518" t="s">
        <v>3511</v>
      </c>
      <c r="M1735" s="152" t="s">
        <v>1540</v>
      </c>
      <c r="N1735" s="152" t="s">
        <v>1407</v>
      </c>
      <c r="O1735" s="152" t="s">
        <v>5652</v>
      </c>
      <c r="P1735" s="152" t="s">
        <v>5400</v>
      </c>
      <c r="Q1735" s="152" t="s">
        <v>5653</v>
      </c>
      <c r="R1735" s="152" t="s">
        <v>5653</v>
      </c>
      <c r="S1735" s="152" t="s">
        <v>5654</v>
      </c>
      <c r="T1735" s="152" t="s">
        <v>786</v>
      </c>
    </row>
    <row r="1736" spans="3:20">
      <c r="C1736" s="152" t="s">
        <v>2821</v>
      </c>
      <c r="F1736" s="152" t="s">
        <v>371</v>
      </c>
      <c r="G1736" s="152" t="s">
        <v>353</v>
      </c>
      <c r="I1736" s="513">
        <v>2682562.5000999998</v>
      </c>
      <c r="J1736" s="513">
        <v>1895.8038869964701</v>
      </c>
      <c r="K1736" s="513">
        <v>1415</v>
      </c>
      <c r="L1736" s="518" t="s">
        <v>3511</v>
      </c>
      <c r="M1736" s="152" t="s">
        <v>1540</v>
      </c>
      <c r="N1736" s="152" t="s">
        <v>1407</v>
      </c>
      <c r="O1736" s="152" t="s">
        <v>5655</v>
      </c>
      <c r="P1736" s="152" t="s">
        <v>5400</v>
      </c>
      <c r="Q1736" s="152" t="s">
        <v>5656</v>
      </c>
      <c r="R1736" s="152" t="s">
        <v>5656</v>
      </c>
      <c r="S1736" s="152" t="s">
        <v>5657</v>
      </c>
      <c r="T1736" s="152" t="s">
        <v>786</v>
      </c>
    </row>
    <row r="1737" spans="3:20">
      <c r="C1737" s="152" t="s">
        <v>2821</v>
      </c>
      <c r="F1737" s="152" t="s">
        <v>371</v>
      </c>
      <c r="G1737" s="152" t="s">
        <v>353</v>
      </c>
      <c r="I1737" s="513">
        <v>2451000</v>
      </c>
      <c r="J1737" s="513">
        <v>1732.1554770318</v>
      </c>
      <c r="K1737" s="513">
        <v>1415</v>
      </c>
      <c r="L1737" s="518" t="s">
        <v>3511</v>
      </c>
      <c r="M1737" s="152" t="s">
        <v>1540</v>
      </c>
      <c r="N1737" s="152" t="s">
        <v>1407</v>
      </c>
      <c r="O1737" s="152" t="s">
        <v>5658</v>
      </c>
      <c r="P1737" s="152" t="s">
        <v>5400</v>
      </c>
      <c r="Q1737" s="152" t="s">
        <v>5659</v>
      </c>
      <c r="R1737" s="152" t="s">
        <v>5659</v>
      </c>
      <c r="S1737" s="152" t="s">
        <v>5660</v>
      </c>
      <c r="T1737" s="152" t="s">
        <v>786</v>
      </c>
    </row>
    <row r="1738" spans="3:20">
      <c r="C1738" s="152" t="s">
        <v>2821</v>
      </c>
      <c r="F1738" s="152" t="s">
        <v>371</v>
      </c>
      <c r="G1738" s="152" t="s">
        <v>353</v>
      </c>
      <c r="I1738" s="513">
        <v>4167175</v>
      </c>
      <c r="J1738" s="513">
        <v>2945</v>
      </c>
      <c r="K1738" s="513">
        <v>1415</v>
      </c>
      <c r="L1738" s="518" t="s">
        <v>3567</v>
      </c>
      <c r="M1738" s="152" t="s">
        <v>1540</v>
      </c>
      <c r="N1738" s="152" t="s">
        <v>1407</v>
      </c>
      <c r="O1738" s="152" t="s">
        <v>5664</v>
      </c>
      <c r="P1738" s="152" t="s">
        <v>5400</v>
      </c>
      <c r="Q1738" s="152" t="s">
        <v>5665</v>
      </c>
      <c r="R1738" s="152" t="s">
        <v>5665</v>
      </c>
      <c r="S1738" s="152" t="s">
        <v>5666</v>
      </c>
      <c r="T1738" s="152" t="s">
        <v>786</v>
      </c>
    </row>
    <row r="1739" spans="3:20">
      <c r="C1739" s="152" t="s">
        <v>2821</v>
      </c>
      <c r="F1739" s="152" t="s">
        <v>371</v>
      </c>
      <c r="G1739" s="152" t="s">
        <v>353</v>
      </c>
      <c r="I1739" s="513">
        <v>2692800</v>
      </c>
      <c r="J1739" s="513">
        <v>1870</v>
      </c>
      <c r="K1739" s="513">
        <v>1440</v>
      </c>
      <c r="L1739" s="518" t="s">
        <v>3511</v>
      </c>
      <c r="M1739" s="152" t="s">
        <v>1540</v>
      </c>
      <c r="N1739" s="152" t="s">
        <v>1407</v>
      </c>
      <c r="O1739" s="152" t="s">
        <v>5670</v>
      </c>
      <c r="P1739" s="152" t="s">
        <v>5400</v>
      </c>
      <c r="Q1739" s="152" t="s">
        <v>5671</v>
      </c>
      <c r="R1739" s="152" t="s">
        <v>5671</v>
      </c>
      <c r="S1739" s="152" t="s">
        <v>5672</v>
      </c>
      <c r="T1739" s="152" t="s">
        <v>786</v>
      </c>
    </row>
    <row r="1740" spans="3:20">
      <c r="C1740" s="152" t="s">
        <v>2821</v>
      </c>
      <c r="F1740" s="152" t="s">
        <v>372</v>
      </c>
      <c r="G1740" s="152" t="s">
        <v>309</v>
      </c>
      <c r="I1740" s="513">
        <v>-526167.75</v>
      </c>
      <c r="J1740" s="513">
        <v>-371.85</v>
      </c>
      <c r="K1740" s="513">
        <v>1415</v>
      </c>
      <c r="L1740" s="518" t="s">
        <v>3498</v>
      </c>
      <c r="M1740" s="152" t="s">
        <v>780</v>
      </c>
      <c r="N1740" s="152" t="s">
        <v>1407</v>
      </c>
      <c r="O1740" s="152" t="s">
        <v>3499</v>
      </c>
      <c r="P1740" s="152" t="s">
        <v>3489</v>
      </c>
      <c r="Q1740" s="152" t="s">
        <v>3500</v>
      </c>
      <c r="R1740" s="152" t="s">
        <v>3501</v>
      </c>
      <c r="S1740" s="152" t="s">
        <v>3502</v>
      </c>
      <c r="T1740" s="152" t="s">
        <v>786</v>
      </c>
    </row>
    <row r="1741" spans="3:20">
      <c r="C1741" s="152" t="s">
        <v>2821</v>
      </c>
      <c r="F1741" s="152" t="s">
        <v>372</v>
      </c>
      <c r="G1741" s="152" t="s">
        <v>309</v>
      </c>
      <c r="I1741" s="513">
        <v>-92173.1</v>
      </c>
      <c r="J1741" s="513">
        <v>-65.14</v>
      </c>
      <c r="K1741" s="513">
        <v>1415</v>
      </c>
      <c r="L1741" s="518" t="s">
        <v>3498</v>
      </c>
      <c r="M1741" s="152" t="s">
        <v>780</v>
      </c>
      <c r="N1741" s="152" t="s">
        <v>1407</v>
      </c>
      <c r="O1741" s="152" t="s">
        <v>3499</v>
      </c>
      <c r="P1741" s="152" t="s">
        <v>3489</v>
      </c>
      <c r="Q1741" s="152" t="s">
        <v>3500</v>
      </c>
      <c r="R1741" s="152" t="s">
        <v>3503</v>
      </c>
      <c r="S1741" s="152" t="s">
        <v>3502</v>
      </c>
      <c r="T1741" s="152" t="s">
        <v>786</v>
      </c>
    </row>
    <row r="1742" spans="3:20">
      <c r="C1742" s="152" t="s">
        <v>2821</v>
      </c>
      <c r="F1742" s="152" t="s">
        <v>372</v>
      </c>
      <c r="G1742" s="152" t="s">
        <v>309</v>
      </c>
      <c r="I1742" s="513">
        <v>-52725</v>
      </c>
      <c r="J1742" s="513">
        <v>-37</v>
      </c>
      <c r="K1742" s="513">
        <v>1425</v>
      </c>
      <c r="L1742" s="518" t="s">
        <v>3504</v>
      </c>
      <c r="M1742" s="152" t="s">
        <v>780</v>
      </c>
      <c r="N1742" s="152" t="s">
        <v>1407</v>
      </c>
      <c r="O1742" s="152" t="s">
        <v>3505</v>
      </c>
      <c r="P1742" s="152" t="s">
        <v>3489</v>
      </c>
      <c r="Q1742" s="152" t="s">
        <v>3506</v>
      </c>
      <c r="R1742" s="152" t="s">
        <v>3507</v>
      </c>
      <c r="S1742" s="152" t="s">
        <v>3508</v>
      </c>
      <c r="T1742" s="152" t="s">
        <v>786</v>
      </c>
    </row>
    <row r="1743" spans="3:20">
      <c r="C1743" s="152" t="s">
        <v>2821</v>
      </c>
      <c r="F1743" s="152" t="s">
        <v>372</v>
      </c>
      <c r="G1743" s="152" t="s">
        <v>309</v>
      </c>
      <c r="I1743" s="513">
        <v>-209076</v>
      </c>
      <c r="J1743" s="513">
        <v>-146.72</v>
      </c>
      <c r="K1743" s="513">
        <v>1425</v>
      </c>
      <c r="L1743" s="518" t="s">
        <v>3504</v>
      </c>
      <c r="M1743" s="152" t="s">
        <v>780</v>
      </c>
      <c r="N1743" s="152" t="s">
        <v>1407</v>
      </c>
      <c r="O1743" s="152" t="s">
        <v>3505</v>
      </c>
      <c r="P1743" s="152" t="s">
        <v>3489</v>
      </c>
      <c r="Q1743" s="152" t="s">
        <v>3506</v>
      </c>
      <c r="R1743" s="152" t="s">
        <v>3509</v>
      </c>
      <c r="S1743" s="152" t="s">
        <v>3508</v>
      </c>
      <c r="T1743" s="152" t="s">
        <v>786</v>
      </c>
    </row>
    <row r="1744" spans="3:20">
      <c r="C1744" s="152" t="s">
        <v>2821</v>
      </c>
      <c r="F1744" s="152" t="s">
        <v>372</v>
      </c>
      <c r="G1744" s="152" t="s">
        <v>309</v>
      </c>
      <c r="I1744" s="513">
        <v>-56783.95</v>
      </c>
      <c r="J1744" s="513">
        <v>-40.130000000000003</v>
      </c>
      <c r="K1744" s="513">
        <v>1415</v>
      </c>
      <c r="L1744" s="518" t="s">
        <v>3498</v>
      </c>
      <c r="M1744" s="152" t="s">
        <v>780</v>
      </c>
      <c r="N1744" s="152" t="s">
        <v>1407</v>
      </c>
      <c r="O1744" s="152" t="s">
        <v>3499</v>
      </c>
      <c r="P1744" s="152" t="s">
        <v>3489</v>
      </c>
      <c r="Q1744" s="152" t="s">
        <v>3500</v>
      </c>
      <c r="R1744" s="152" t="s">
        <v>3510</v>
      </c>
      <c r="S1744" s="152" t="s">
        <v>3502</v>
      </c>
      <c r="T1744" s="152" t="s">
        <v>786</v>
      </c>
    </row>
    <row r="1745" spans="3:20">
      <c r="C1745" s="152" t="s">
        <v>2821</v>
      </c>
      <c r="F1745" s="152" t="s">
        <v>372</v>
      </c>
      <c r="G1745" s="152" t="s">
        <v>309</v>
      </c>
      <c r="I1745" s="513">
        <v>-770113.75</v>
      </c>
      <c r="J1745" s="513">
        <v>-544.25</v>
      </c>
      <c r="K1745" s="513">
        <v>1415</v>
      </c>
      <c r="L1745" s="518" t="s">
        <v>3498</v>
      </c>
      <c r="M1745" s="152" t="s">
        <v>780</v>
      </c>
      <c r="N1745" s="152" t="s">
        <v>1407</v>
      </c>
      <c r="O1745" s="152" t="s">
        <v>3499</v>
      </c>
      <c r="P1745" s="152" t="s">
        <v>3489</v>
      </c>
      <c r="Q1745" s="152" t="s">
        <v>3500</v>
      </c>
      <c r="R1745" s="152" t="s">
        <v>3510</v>
      </c>
      <c r="S1745" s="152" t="s">
        <v>3502</v>
      </c>
      <c r="T1745" s="152" t="s">
        <v>786</v>
      </c>
    </row>
    <row r="1746" spans="3:20">
      <c r="C1746" s="152" t="s">
        <v>2821</v>
      </c>
      <c r="F1746" s="152" t="s">
        <v>372</v>
      </c>
      <c r="G1746" s="152" t="s">
        <v>309</v>
      </c>
      <c r="I1746" s="513">
        <v>-239035.95</v>
      </c>
      <c r="J1746" s="513">
        <v>-168.93</v>
      </c>
      <c r="K1746" s="513">
        <v>1415</v>
      </c>
      <c r="L1746" s="518" t="s">
        <v>3511</v>
      </c>
      <c r="M1746" s="152" t="s">
        <v>780</v>
      </c>
      <c r="N1746" s="152" t="s">
        <v>1407</v>
      </c>
      <c r="O1746" s="152" t="s">
        <v>3512</v>
      </c>
      <c r="P1746" s="152" t="s">
        <v>3489</v>
      </c>
      <c r="Q1746" s="152" t="s">
        <v>3513</v>
      </c>
      <c r="R1746" s="152" t="s">
        <v>3514</v>
      </c>
      <c r="S1746" s="152" t="s">
        <v>3515</v>
      </c>
      <c r="T1746" s="152" t="s">
        <v>786</v>
      </c>
    </row>
    <row r="1747" spans="3:20">
      <c r="C1747" s="152" t="s">
        <v>2821</v>
      </c>
      <c r="F1747" s="152" t="s">
        <v>372</v>
      </c>
      <c r="G1747" s="152" t="s">
        <v>309</v>
      </c>
      <c r="I1747" s="513">
        <v>-320625</v>
      </c>
      <c r="J1747" s="513">
        <v>-225</v>
      </c>
      <c r="K1747" s="513">
        <v>1425</v>
      </c>
      <c r="L1747" s="518" t="s">
        <v>3504</v>
      </c>
      <c r="M1747" s="152" t="s">
        <v>780</v>
      </c>
      <c r="N1747" s="152" t="s">
        <v>1407</v>
      </c>
      <c r="O1747" s="152" t="s">
        <v>3505</v>
      </c>
      <c r="P1747" s="152" t="s">
        <v>3489</v>
      </c>
      <c r="Q1747" s="152" t="s">
        <v>3506</v>
      </c>
      <c r="R1747" s="152" t="s">
        <v>3516</v>
      </c>
      <c r="S1747" s="152" t="s">
        <v>3508</v>
      </c>
      <c r="T1747" s="152" t="s">
        <v>786</v>
      </c>
    </row>
    <row r="1748" spans="3:20">
      <c r="C1748" s="152" t="s">
        <v>2821</v>
      </c>
      <c r="F1748" s="152" t="s">
        <v>372</v>
      </c>
      <c r="G1748" s="152" t="s">
        <v>309</v>
      </c>
      <c r="I1748" s="513">
        <v>-36374.400000000001</v>
      </c>
      <c r="J1748" s="513">
        <v>-25.26</v>
      </c>
      <c r="K1748" s="513">
        <v>1440</v>
      </c>
      <c r="L1748" s="518" t="s">
        <v>3517</v>
      </c>
      <c r="M1748" s="152" t="s">
        <v>780</v>
      </c>
      <c r="N1748" s="152" t="s">
        <v>1407</v>
      </c>
      <c r="O1748" s="152" t="s">
        <v>3518</v>
      </c>
      <c r="P1748" s="152" t="s">
        <v>892</v>
      </c>
      <c r="Q1748" s="152" t="s">
        <v>3519</v>
      </c>
      <c r="R1748" s="152" t="s">
        <v>3520</v>
      </c>
      <c r="S1748" s="152" t="s">
        <v>3521</v>
      </c>
      <c r="T1748" s="152" t="s">
        <v>786</v>
      </c>
    </row>
    <row r="1749" spans="3:20">
      <c r="C1749" s="152" t="s">
        <v>2821</v>
      </c>
      <c r="F1749" s="152" t="s">
        <v>372</v>
      </c>
      <c r="G1749" s="152" t="s">
        <v>309</v>
      </c>
      <c r="I1749" s="513">
        <v>-10430</v>
      </c>
      <c r="J1749" s="513">
        <v>-7.45</v>
      </c>
      <c r="K1749" s="513">
        <v>1400</v>
      </c>
      <c r="L1749" s="518" t="s">
        <v>3632</v>
      </c>
      <c r="M1749" s="152" t="s">
        <v>780</v>
      </c>
      <c r="N1749" s="152" t="s">
        <v>1407</v>
      </c>
      <c r="O1749" s="152" t="s">
        <v>3633</v>
      </c>
      <c r="P1749" s="152" t="s">
        <v>3489</v>
      </c>
      <c r="Q1749" s="152" t="s">
        <v>3634</v>
      </c>
      <c r="R1749" s="152" t="s">
        <v>3635</v>
      </c>
      <c r="S1749" s="152" t="s">
        <v>3636</v>
      </c>
      <c r="T1749" s="152" t="s">
        <v>786</v>
      </c>
    </row>
    <row r="1750" spans="3:20">
      <c r="C1750" s="152" t="s">
        <v>2821</v>
      </c>
      <c r="F1750" s="152" t="s">
        <v>372</v>
      </c>
      <c r="G1750" s="152" t="s">
        <v>309</v>
      </c>
      <c r="I1750" s="513">
        <v>-78375</v>
      </c>
      <c r="J1750" s="513">
        <v>-55</v>
      </c>
      <c r="K1750" s="513">
        <v>1425</v>
      </c>
      <c r="L1750" s="518" t="s">
        <v>3637</v>
      </c>
      <c r="M1750" s="152" t="s">
        <v>780</v>
      </c>
      <c r="N1750" s="152" t="s">
        <v>1407</v>
      </c>
      <c r="O1750" s="152" t="s">
        <v>3638</v>
      </c>
      <c r="P1750" s="152" t="s">
        <v>2865</v>
      </c>
      <c r="Q1750" s="152" t="s">
        <v>3639</v>
      </c>
      <c r="R1750" s="152" t="s">
        <v>3640</v>
      </c>
      <c r="S1750" s="152" t="s">
        <v>3641</v>
      </c>
      <c r="T1750" s="152" t="s">
        <v>786</v>
      </c>
    </row>
    <row r="1751" spans="3:20">
      <c r="C1751" s="152" t="s">
        <v>2821</v>
      </c>
      <c r="F1751" s="152" t="s">
        <v>372</v>
      </c>
      <c r="G1751" s="152" t="s">
        <v>309</v>
      </c>
      <c r="I1751" s="513">
        <v>-78375</v>
      </c>
      <c r="J1751" s="513">
        <v>-55</v>
      </c>
      <c r="K1751" s="513">
        <v>1425</v>
      </c>
      <c r="L1751" s="518" t="s">
        <v>3511</v>
      </c>
      <c r="M1751" s="152" t="s">
        <v>780</v>
      </c>
      <c r="N1751" s="152" t="s">
        <v>1407</v>
      </c>
      <c r="O1751" s="152" t="s">
        <v>3512</v>
      </c>
      <c r="P1751" s="152" t="s">
        <v>3489</v>
      </c>
      <c r="Q1751" s="152" t="s">
        <v>3513</v>
      </c>
      <c r="R1751" s="152" t="s">
        <v>3640</v>
      </c>
      <c r="S1751" s="152" t="s">
        <v>3515</v>
      </c>
      <c r="T1751" s="152" t="s">
        <v>786</v>
      </c>
    </row>
    <row r="1752" spans="3:20">
      <c r="C1752" s="152" t="s">
        <v>2821</v>
      </c>
      <c r="F1752" s="152" t="s">
        <v>372</v>
      </c>
      <c r="G1752" s="152" t="s">
        <v>309</v>
      </c>
      <c r="I1752" s="513">
        <v>-155847.29999999999</v>
      </c>
      <c r="J1752" s="513">
        <v>-110.53</v>
      </c>
      <c r="K1752" s="513">
        <v>1410</v>
      </c>
      <c r="L1752" s="518" t="s">
        <v>3498</v>
      </c>
      <c r="M1752" s="152" t="s">
        <v>780</v>
      </c>
      <c r="N1752" s="152" t="s">
        <v>1407</v>
      </c>
      <c r="O1752" s="152" t="s">
        <v>3499</v>
      </c>
      <c r="P1752" s="152" t="s">
        <v>3489</v>
      </c>
      <c r="Q1752" s="152" t="s">
        <v>3500</v>
      </c>
      <c r="R1752" s="152" t="s">
        <v>2902</v>
      </c>
      <c r="S1752" s="152" t="s">
        <v>3502</v>
      </c>
      <c r="T1752" s="152" t="s">
        <v>786</v>
      </c>
    </row>
    <row r="1753" spans="3:20">
      <c r="C1753" s="152" t="s">
        <v>2821</v>
      </c>
      <c r="F1753" s="152" t="s">
        <v>372</v>
      </c>
      <c r="G1753" s="152" t="s">
        <v>309</v>
      </c>
      <c r="I1753" s="513">
        <v>-296000</v>
      </c>
      <c r="J1753" s="513">
        <v>-200</v>
      </c>
      <c r="K1753" s="513">
        <v>1480</v>
      </c>
      <c r="L1753" s="518" t="s">
        <v>3517</v>
      </c>
      <c r="M1753" s="152" t="s">
        <v>780</v>
      </c>
      <c r="N1753" s="152" t="s">
        <v>1407</v>
      </c>
      <c r="O1753" s="152" t="s">
        <v>3518</v>
      </c>
      <c r="P1753" s="152" t="s">
        <v>892</v>
      </c>
      <c r="Q1753" s="152" t="s">
        <v>3519</v>
      </c>
      <c r="R1753" s="152" t="s">
        <v>3642</v>
      </c>
      <c r="S1753" s="152" t="s">
        <v>3521</v>
      </c>
      <c r="T1753" s="152" t="s">
        <v>786</v>
      </c>
    </row>
    <row r="1754" spans="3:20">
      <c r="C1754" s="152" t="s">
        <v>2821</v>
      </c>
      <c r="F1754" s="152" t="s">
        <v>372</v>
      </c>
      <c r="G1754" s="152" t="s">
        <v>309</v>
      </c>
      <c r="I1754" s="513">
        <v>-120499.2</v>
      </c>
      <c r="J1754" s="513">
        <v>-83.68</v>
      </c>
      <c r="K1754" s="513">
        <v>1440</v>
      </c>
      <c r="L1754" s="518" t="s">
        <v>3517</v>
      </c>
      <c r="M1754" s="152" t="s">
        <v>780</v>
      </c>
      <c r="N1754" s="152" t="s">
        <v>1407</v>
      </c>
      <c r="O1754" s="152" t="s">
        <v>3518</v>
      </c>
      <c r="P1754" s="152" t="s">
        <v>892</v>
      </c>
      <c r="Q1754" s="152" t="s">
        <v>3519</v>
      </c>
      <c r="R1754" s="152" t="s">
        <v>3643</v>
      </c>
      <c r="S1754" s="152" t="s">
        <v>3521</v>
      </c>
      <c r="T1754" s="152" t="s">
        <v>786</v>
      </c>
    </row>
    <row r="1755" spans="3:20">
      <c r="C1755" s="152" t="s">
        <v>2821</v>
      </c>
      <c r="F1755" s="152" t="s">
        <v>372</v>
      </c>
      <c r="G1755" s="152" t="s">
        <v>309</v>
      </c>
      <c r="I1755" s="513">
        <v>-1123200</v>
      </c>
      <c r="J1755" s="513">
        <v>-780</v>
      </c>
      <c r="K1755" s="513">
        <v>1440</v>
      </c>
      <c r="L1755" s="518" t="s">
        <v>3637</v>
      </c>
      <c r="M1755" s="152" t="s">
        <v>780</v>
      </c>
      <c r="N1755" s="152" t="s">
        <v>1407</v>
      </c>
      <c r="O1755" s="152" t="s">
        <v>3638</v>
      </c>
      <c r="P1755" s="152" t="s">
        <v>2865</v>
      </c>
      <c r="Q1755" s="152" t="s">
        <v>3639</v>
      </c>
      <c r="R1755" s="152" t="s">
        <v>3644</v>
      </c>
      <c r="S1755" s="152" t="s">
        <v>3641</v>
      </c>
      <c r="T1755" s="152" t="s">
        <v>786</v>
      </c>
    </row>
    <row r="1756" spans="3:20">
      <c r="C1756" s="152" t="s">
        <v>2821</v>
      </c>
      <c r="F1756" s="152" t="s">
        <v>372</v>
      </c>
      <c r="G1756" s="152" t="s">
        <v>309</v>
      </c>
      <c r="I1756" s="513">
        <v>-234720</v>
      </c>
      <c r="J1756" s="513">
        <v>-163</v>
      </c>
      <c r="K1756" s="513">
        <v>1440</v>
      </c>
      <c r="L1756" s="518" t="s">
        <v>3517</v>
      </c>
      <c r="M1756" s="152" t="s">
        <v>780</v>
      </c>
      <c r="N1756" s="152" t="s">
        <v>1407</v>
      </c>
      <c r="O1756" s="152" t="s">
        <v>3518</v>
      </c>
      <c r="P1756" s="152" t="s">
        <v>892</v>
      </c>
      <c r="Q1756" s="152" t="s">
        <v>3519</v>
      </c>
      <c r="R1756" s="152" t="s">
        <v>3645</v>
      </c>
      <c r="S1756" s="152" t="s">
        <v>3521</v>
      </c>
      <c r="T1756" s="152" t="s">
        <v>786</v>
      </c>
    </row>
    <row r="1757" spans="3:20">
      <c r="C1757" s="152" t="s">
        <v>2821</v>
      </c>
      <c r="F1757" s="152" t="s">
        <v>372</v>
      </c>
      <c r="G1757" s="152" t="s">
        <v>309</v>
      </c>
      <c r="I1757" s="513">
        <v>-235623.75</v>
      </c>
      <c r="J1757" s="513">
        <v>-165.35</v>
      </c>
      <c r="K1757" s="513">
        <v>1425</v>
      </c>
      <c r="L1757" s="518" t="s">
        <v>3637</v>
      </c>
      <c r="M1757" s="152" t="s">
        <v>780</v>
      </c>
      <c r="N1757" s="152" t="s">
        <v>1407</v>
      </c>
      <c r="O1757" s="152" t="s">
        <v>3638</v>
      </c>
      <c r="P1757" s="152" t="s">
        <v>2865</v>
      </c>
      <c r="Q1757" s="152" t="s">
        <v>3639</v>
      </c>
      <c r="R1757" s="152" t="s">
        <v>3645</v>
      </c>
      <c r="S1757" s="152" t="s">
        <v>3641</v>
      </c>
      <c r="T1757" s="152" t="s">
        <v>786</v>
      </c>
    </row>
    <row r="1758" spans="3:20">
      <c r="C1758" s="152" t="s">
        <v>2821</v>
      </c>
      <c r="F1758" s="152" t="s">
        <v>372</v>
      </c>
      <c r="G1758" s="152" t="s">
        <v>309</v>
      </c>
      <c r="I1758" s="513">
        <v>-232144.9</v>
      </c>
      <c r="J1758" s="513">
        <v>-164.06</v>
      </c>
      <c r="K1758" s="513">
        <v>1415</v>
      </c>
      <c r="L1758" s="518" t="s">
        <v>3498</v>
      </c>
      <c r="M1758" s="152" t="s">
        <v>780</v>
      </c>
      <c r="N1758" s="152" t="s">
        <v>1407</v>
      </c>
      <c r="O1758" s="152" t="s">
        <v>3499</v>
      </c>
      <c r="P1758" s="152" t="s">
        <v>3489</v>
      </c>
      <c r="Q1758" s="152" t="s">
        <v>3500</v>
      </c>
      <c r="R1758" s="152" t="s">
        <v>3645</v>
      </c>
      <c r="S1758" s="152" t="s">
        <v>3502</v>
      </c>
      <c r="T1758" s="152" t="s">
        <v>786</v>
      </c>
    </row>
    <row r="1759" spans="3:20">
      <c r="C1759" s="152" t="s">
        <v>2821</v>
      </c>
      <c r="F1759" s="152" t="s">
        <v>372</v>
      </c>
      <c r="G1759" s="152" t="s">
        <v>309</v>
      </c>
      <c r="I1759" s="513">
        <v>-232403.25</v>
      </c>
      <c r="J1759" s="513">
        <v>-163.09</v>
      </c>
      <c r="K1759" s="513">
        <v>1425</v>
      </c>
      <c r="L1759" s="518" t="s">
        <v>3504</v>
      </c>
      <c r="M1759" s="152" t="s">
        <v>780</v>
      </c>
      <c r="N1759" s="152" t="s">
        <v>1407</v>
      </c>
      <c r="O1759" s="152" t="s">
        <v>3505</v>
      </c>
      <c r="P1759" s="152" t="s">
        <v>3489</v>
      </c>
      <c r="Q1759" s="152" t="s">
        <v>3506</v>
      </c>
      <c r="R1759" s="152" t="s">
        <v>3646</v>
      </c>
      <c r="S1759" s="152" t="s">
        <v>3508</v>
      </c>
      <c r="T1759" s="152" t="s">
        <v>786</v>
      </c>
    </row>
    <row r="1760" spans="3:20">
      <c r="C1760" s="152" t="s">
        <v>2821</v>
      </c>
      <c r="F1760" s="152" t="s">
        <v>372</v>
      </c>
      <c r="G1760" s="152" t="s">
        <v>309</v>
      </c>
      <c r="I1760" s="513">
        <v>-28046</v>
      </c>
      <c r="J1760" s="513">
        <v>-18.95</v>
      </c>
      <c r="K1760" s="513">
        <v>1480</v>
      </c>
      <c r="L1760" s="518" t="s">
        <v>3517</v>
      </c>
      <c r="M1760" s="152" t="s">
        <v>780</v>
      </c>
      <c r="N1760" s="152" t="s">
        <v>1407</v>
      </c>
      <c r="O1760" s="152" t="s">
        <v>3518</v>
      </c>
      <c r="P1760" s="152" t="s">
        <v>892</v>
      </c>
      <c r="Q1760" s="152" t="s">
        <v>3519</v>
      </c>
      <c r="R1760" s="152" t="s">
        <v>3647</v>
      </c>
      <c r="S1760" s="152" t="s">
        <v>3521</v>
      </c>
      <c r="T1760" s="152" t="s">
        <v>786</v>
      </c>
    </row>
    <row r="1761" spans="3:20">
      <c r="C1761" s="152" t="s">
        <v>2821</v>
      </c>
      <c r="F1761" s="152" t="s">
        <v>372</v>
      </c>
      <c r="G1761" s="152" t="s">
        <v>309</v>
      </c>
      <c r="I1761" s="513">
        <v>-394800</v>
      </c>
      <c r="J1761" s="513">
        <v>-280</v>
      </c>
      <c r="K1761" s="513">
        <v>1410</v>
      </c>
      <c r="L1761" s="518" t="s">
        <v>3498</v>
      </c>
      <c r="M1761" s="152" t="s">
        <v>780</v>
      </c>
      <c r="N1761" s="152" t="s">
        <v>1407</v>
      </c>
      <c r="O1761" s="152" t="s">
        <v>3499</v>
      </c>
      <c r="P1761" s="152" t="s">
        <v>3489</v>
      </c>
      <c r="Q1761" s="152" t="s">
        <v>3500</v>
      </c>
      <c r="R1761" s="152" t="s">
        <v>3648</v>
      </c>
      <c r="S1761" s="152" t="s">
        <v>3502</v>
      </c>
      <c r="T1761" s="152" t="s">
        <v>786</v>
      </c>
    </row>
    <row r="1762" spans="3:20">
      <c r="C1762" s="152" t="s">
        <v>2821</v>
      </c>
      <c r="F1762" s="152" t="s">
        <v>372</v>
      </c>
      <c r="G1762" s="152" t="s">
        <v>309</v>
      </c>
      <c r="I1762" s="513">
        <v>-325600</v>
      </c>
      <c r="J1762" s="513">
        <v>-220</v>
      </c>
      <c r="K1762" s="513">
        <v>1480</v>
      </c>
      <c r="L1762" s="518" t="s">
        <v>3517</v>
      </c>
      <c r="M1762" s="152" t="s">
        <v>780</v>
      </c>
      <c r="N1762" s="152" t="s">
        <v>1407</v>
      </c>
      <c r="O1762" s="152" t="s">
        <v>3518</v>
      </c>
      <c r="P1762" s="152" t="s">
        <v>892</v>
      </c>
      <c r="Q1762" s="152" t="s">
        <v>3519</v>
      </c>
      <c r="R1762" s="152" t="s">
        <v>1625</v>
      </c>
      <c r="S1762" s="152" t="s">
        <v>3521</v>
      </c>
      <c r="T1762" s="152" t="s">
        <v>786</v>
      </c>
    </row>
    <row r="1763" spans="3:20">
      <c r="C1763" s="152" t="s">
        <v>2821</v>
      </c>
      <c r="F1763" s="152" t="s">
        <v>372</v>
      </c>
      <c r="G1763" s="152" t="s">
        <v>309</v>
      </c>
      <c r="I1763" s="513">
        <v>-312785.75</v>
      </c>
      <c r="J1763" s="513">
        <v>-221.05</v>
      </c>
      <c r="K1763" s="513">
        <v>1415</v>
      </c>
      <c r="L1763" s="518" t="s">
        <v>3511</v>
      </c>
      <c r="M1763" s="152" t="s">
        <v>780</v>
      </c>
      <c r="N1763" s="152" t="s">
        <v>1407</v>
      </c>
      <c r="O1763" s="152" t="s">
        <v>3512</v>
      </c>
      <c r="P1763" s="152" t="s">
        <v>3489</v>
      </c>
      <c r="Q1763" s="152" t="s">
        <v>3513</v>
      </c>
      <c r="R1763" s="152" t="s">
        <v>1625</v>
      </c>
      <c r="S1763" s="152" t="s">
        <v>3515</v>
      </c>
      <c r="T1763" s="152" t="s">
        <v>786</v>
      </c>
    </row>
    <row r="1764" spans="3:20">
      <c r="C1764" s="152" t="s">
        <v>2821</v>
      </c>
      <c r="F1764" s="152" t="s">
        <v>372</v>
      </c>
      <c r="G1764" s="152" t="s">
        <v>309</v>
      </c>
      <c r="I1764" s="513">
        <v>-36374.400000000001</v>
      </c>
      <c r="J1764" s="513">
        <v>-25.26</v>
      </c>
      <c r="K1764" s="513">
        <v>1440</v>
      </c>
      <c r="L1764" s="518" t="s">
        <v>3517</v>
      </c>
      <c r="M1764" s="152" t="s">
        <v>780</v>
      </c>
      <c r="N1764" s="152" t="s">
        <v>1407</v>
      </c>
      <c r="O1764" s="152" t="s">
        <v>3518</v>
      </c>
      <c r="P1764" s="152" t="s">
        <v>892</v>
      </c>
      <c r="Q1764" s="152" t="s">
        <v>3519</v>
      </c>
      <c r="R1764" s="152" t="s">
        <v>3649</v>
      </c>
      <c r="S1764" s="152" t="s">
        <v>3521</v>
      </c>
      <c r="T1764" s="152" t="s">
        <v>786</v>
      </c>
    </row>
    <row r="1765" spans="3:20">
      <c r="C1765" s="152" t="s">
        <v>2821</v>
      </c>
      <c r="F1765" s="152" t="s">
        <v>372</v>
      </c>
      <c r="G1765" s="152" t="s">
        <v>309</v>
      </c>
      <c r="I1765" s="513">
        <v>-35411.25</v>
      </c>
      <c r="J1765" s="513">
        <v>-24.85</v>
      </c>
      <c r="K1765" s="513">
        <v>1425</v>
      </c>
      <c r="L1765" s="518" t="s">
        <v>3504</v>
      </c>
      <c r="M1765" s="152" t="s">
        <v>780</v>
      </c>
      <c r="N1765" s="152" t="s">
        <v>1407</v>
      </c>
      <c r="O1765" s="152" t="s">
        <v>3505</v>
      </c>
      <c r="P1765" s="152" t="s">
        <v>3489</v>
      </c>
      <c r="Q1765" s="152" t="s">
        <v>3506</v>
      </c>
      <c r="R1765" s="152" t="s">
        <v>3649</v>
      </c>
      <c r="S1765" s="152" t="s">
        <v>3508</v>
      </c>
      <c r="T1765" s="152" t="s">
        <v>786</v>
      </c>
    </row>
    <row r="1766" spans="3:20">
      <c r="C1766" s="152" t="s">
        <v>2821</v>
      </c>
      <c r="F1766" s="152" t="s">
        <v>372</v>
      </c>
      <c r="G1766" s="152" t="s">
        <v>309</v>
      </c>
      <c r="I1766" s="513">
        <v>-35582.25</v>
      </c>
      <c r="J1766" s="513">
        <v>-24.97</v>
      </c>
      <c r="K1766" s="513">
        <v>1425</v>
      </c>
      <c r="L1766" s="518" t="s">
        <v>3504</v>
      </c>
      <c r="M1766" s="152" t="s">
        <v>780</v>
      </c>
      <c r="N1766" s="152" t="s">
        <v>1407</v>
      </c>
      <c r="O1766" s="152" t="s">
        <v>3505</v>
      </c>
      <c r="P1766" s="152" t="s">
        <v>3489</v>
      </c>
      <c r="Q1766" s="152" t="s">
        <v>3506</v>
      </c>
      <c r="R1766" s="152" t="s">
        <v>3649</v>
      </c>
      <c r="S1766" s="152" t="s">
        <v>3508</v>
      </c>
      <c r="T1766" s="152" t="s">
        <v>786</v>
      </c>
    </row>
    <row r="1767" spans="3:20">
      <c r="C1767" s="152" t="s">
        <v>2821</v>
      </c>
      <c r="F1767" s="152" t="s">
        <v>372</v>
      </c>
      <c r="G1767" s="152" t="s">
        <v>309</v>
      </c>
      <c r="I1767" s="513">
        <v>-72931.5</v>
      </c>
      <c r="J1767" s="513">
        <v>-51.18</v>
      </c>
      <c r="K1767" s="513">
        <v>1425</v>
      </c>
      <c r="L1767" s="518" t="s">
        <v>3637</v>
      </c>
      <c r="M1767" s="152" t="s">
        <v>780</v>
      </c>
      <c r="N1767" s="152" t="s">
        <v>1407</v>
      </c>
      <c r="O1767" s="152" t="s">
        <v>3638</v>
      </c>
      <c r="P1767" s="152" t="s">
        <v>2865</v>
      </c>
      <c r="Q1767" s="152" t="s">
        <v>3639</v>
      </c>
      <c r="R1767" s="152" t="s">
        <v>3650</v>
      </c>
      <c r="S1767" s="152" t="s">
        <v>3641</v>
      </c>
      <c r="T1767" s="152" t="s">
        <v>786</v>
      </c>
    </row>
    <row r="1768" spans="3:20">
      <c r="C1768" s="152" t="s">
        <v>2821</v>
      </c>
      <c r="F1768" s="152" t="s">
        <v>372</v>
      </c>
      <c r="G1768" s="152" t="s">
        <v>309</v>
      </c>
      <c r="I1768" s="513">
        <v>-47361.599999999999</v>
      </c>
      <c r="J1768" s="513">
        <v>-32.89</v>
      </c>
      <c r="K1768" s="513">
        <v>1440</v>
      </c>
      <c r="L1768" s="518" t="s">
        <v>3517</v>
      </c>
      <c r="M1768" s="152" t="s">
        <v>780</v>
      </c>
      <c r="N1768" s="152" t="s">
        <v>1407</v>
      </c>
      <c r="O1768" s="152" t="s">
        <v>3518</v>
      </c>
      <c r="P1768" s="152" t="s">
        <v>892</v>
      </c>
      <c r="Q1768" s="152" t="s">
        <v>3519</v>
      </c>
      <c r="R1768" s="152" t="s">
        <v>2916</v>
      </c>
      <c r="S1768" s="152" t="s">
        <v>3521</v>
      </c>
      <c r="T1768" s="152" t="s">
        <v>786</v>
      </c>
    </row>
    <row r="1769" spans="3:20">
      <c r="C1769" s="152" t="s">
        <v>2821</v>
      </c>
      <c r="F1769" s="152" t="s">
        <v>372</v>
      </c>
      <c r="G1769" s="152" t="s">
        <v>309</v>
      </c>
      <c r="I1769" s="513">
        <v>-62524.800000000003</v>
      </c>
      <c r="J1769" s="513">
        <v>-43.42</v>
      </c>
      <c r="K1769" s="513">
        <v>1440</v>
      </c>
      <c r="L1769" s="518" t="s">
        <v>3517</v>
      </c>
      <c r="M1769" s="152" t="s">
        <v>780</v>
      </c>
      <c r="N1769" s="152" t="s">
        <v>1407</v>
      </c>
      <c r="O1769" s="152" t="s">
        <v>3518</v>
      </c>
      <c r="P1769" s="152" t="s">
        <v>892</v>
      </c>
      <c r="Q1769" s="152" t="s">
        <v>3519</v>
      </c>
      <c r="R1769" s="152" t="s">
        <v>3651</v>
      </c>
      <c r="S1769" s="152" t="s">
        <v>3521</v>
      </c>
      <c r="T1769" s="152" t="s">
        <v>786</v>
      </c>
    </row>
    <row r="1770" spans="3:20">
      <c r="C1770" s="152" t="s">
        <v>2821</v>
      </c>
      <c r="F1770" s="152" t="s">
        <v>372</v>
      </c>
      <c r="G1770" s="152" t="s">
        <v>309</v>
      </c>
      <c r="I1770" s="513">
        <v>-396000</v>
      </c>
      <c r="J1770" s="513">
        <v>-275</v>
      </c>
      <c r="K1770" s="513">
        <v>1440</v>
      </c>
      <c r="L1770" s="518" t="s">
        <v>3517</v>
      </c>
      <c r="M1770" s="152" t="s">
        <v>780</v>
      </c>
      <c r="N1770" s="152" t="s">
        <v>1407</v>
      </c>
      <c r="O1770" s="152" t="s">
        <v>3518</v>
      </c>
      <c r="P1770" s="152" t="s">
        <v>892</v>
      </c>
      <c r="Q1770" s="152" t="s">
        <v>3519</v>
      </c>
      <c r="R1770" s="152" t="s">
        <v>3652</v>
      </c>
      <c r="S1770" s="152" t="s">
        <v>3521</v>
      </c>
      <c r="T1770" s="152" t="s">
        <v>786</v>
      </c>
    </row>
    <row r="1771" spans="3:20">
      <c r="C1771" s="152" t="s">
        <v>2821</v>
      </c>
      <c r="F1771" s="152" t="s">
        <v>372</v>
      </c>
      <c r="G1771" s="152" t="s">
        <v>309</v>
      </c>
      <c r="I1771" s="513">
        <v>-115200</v>
      </c>
      <c r="J1771" s="513">
        <v>-80</v>
      </c>
      <c r="K1771" s="513">
        <v>1440</v>
      </c>
      <c r="L1771" s="518" t="s">
        <v>3637</v>
      </c>
      <c r="M1771" s="152" t="s">
        <v>780</v>
      </c>
      <c r="N1771" s="152" t="s">
        <v>1407</v>
      </c>
      <c r="O1771" s="152" t="s">
        <v>3638</v>
      </c>
      <c r="P1771" s="152" t="s">
        <v>2865</v>
      </c>
      <c r="Q1771" s="152" t="s">
        <v>3639</v>
      </c>
      <c r="R1771" s="152" t="s">
        <v>3664</v>
      </c>
      <c r="S1771" s="152" t="s">
        <v>3641</v>
      </c>
      <c r="T1771" s="152" t="s">
        <v>786</v>
      </c>
    </row>
    <row r="1772" spans="3:20">
      <c r="C1772" s="152" t="s">
        <v>2821</v>
      </c>
      <c r="F1772" s="152" t="s">
        <v>372</v>
      </c>
      <c r="G1772" s="152" t="s">
        <v>309</v>
      </c>
      <c r="I1772" s="513">
        <v>-299399.84999999998</v>
      </c>
      <c r="J1772" s="513">
        <v>-211.59</v>
      </c>
      <c r="K1772" s="513">
        <v>1415</v>
      </c>
      <c r="L1772" s="518" t="s">
        <v>3493</v>
      </c>
      <c r="M1772" s="152" t="s">
        <v>780</v>
      </c>
      <c r="N1772" s="152" t="s">
        <v>1407</v>
      </c>
      <c r="O1772" s="152" t="s">
        <v>3677</v>
      </c>
      <c r="P1772" s="152" t="s">
        <v>3489</v>
      </c>
      <c r="Q1772" s="152" t="s">
        <v>3678</v>
      </c>
      <c r="R1772" s="152" t="s">
        <v>2926</v>
      </c>
      <c r="S1772" s="152" t="s">
        <v>3679</v>
      </c>
      <c r="T1772" s="152" t="s">
        <v>786</v>
      </c>
    </row>
    <row r="1773" spans="3:20">
      <c r="C1773" s="152" t="s">
        <v>2821</v>
      </c>
      <c r="F1773" s="152" t="s">
        <v>372</v>
      </c>
      <c r="G1773" s="152" t="s">
        <v>309</v>
      </c>
      <c r="I1773" s="513">
        <v>-453927.4</v>
      </c>
      <c r="J1773" s="513">
        <v>-323.08</v>
      </c>
      <c r="K1773" s="513">
        <v>1405</v>
      </c>
      <c r="L1773" s="518" t="s">
        <v>3493</v>
      </c>
      <c r="M1773" s="152" t="s">
        <v>780</v>
      </c>
      <c r="N1773" s="152" t="s">
        <v>1407</v>
      </c>
      <c r="O1773" s="152" t="s">
        <v>3677</v>
      </c>
      <c r="P1773" s="152" t="s">
        <v>3489</v>
      </c>
      <c r="Q1773" s="152" t="s">
        <v>3678</v>
      </c>
      <c r="R1773" s="152" t="s">
        <v>2926</v>
      </c>
      <c r="S1773" s="152" t="s">
        <v>3679</v>
      </c>
      <c r="T1773" s="152" t="s">
        <v>786</v>
      </c>
    </row>
    <row r="1774" spans="3:20">
      <c r="C1774" s="152" t="s">
        <v>2821</v>
      </c>
      <c r="F1774" s="152" t="s">
        <v>372</v>
      </c>
      <c r="G1774" s="152" t="s">
        <v>309</v>
      </c>
      <c r="I1774" s="513">
        <v>-314179.20000000001</v>
      </c>
      <c r="J1774" s="513">
        <v>-218.18</v>
      </c>
      <c r="K1774" s="513">
        <v>1440</v>
      </c>
      <c r="L1774" s="518" t="s">
        <v>3637</v>
      </c>
      <c r="M1774" s="152" t="s">
        <v>780</v>
      </c>
      <c r="N1774" s="152" t="s">
        <v>1407</v>
      </c>
      <c r="O1774" s="152" t="s">
        <v>3638</v>
      </c>
      <c r="P1774" s="152" t="s">
        <v>2865</v>
      </c>
      <c r="Q1774" s="152" t="s">
        <v>3639</v>
      </c>
      <c r="R1774" s="152" t="s">
        <v>1624</v>
      </c>
      <c r="S1774" s="152" t="s">
        <v>3641</v>
      </c>
      <c r="T1774" s="152" t="s">
        <v>786</v>
      </c>
    </row>
    <row r="1775" spans="3:20">
      <c r="C1775" s="152" t="s">
        <v>2821</v>
      </c>
      <c r="F1775" s="152" t="s">
        <v>372</v>
      </c>
      <c r="G1775" s="152" t="s">
        <v>309</v>
      </c>
      <c r="I1775" s="513">
        <v>-491750</v>
      </c>
      <c r="J1775" s="513">
        <v>-350</v>
      </c>
      <c r="K1775" s="513">
        <v>1405</v>
      </c>
      <c r="L1775" s="518" t="s">
        <v>3493</v>
      </c>
      <c r="M1775" s="152" t="s">
        <v>780</v>
      </c>
      <c r="N1775" s="152" t="s">
        <v>1407</v>
      </c>
      <c r="O1775" s="152" t="s">
        <v>3677</v>
      </c>
      <c r="P1775" s="152" t="s">
        <v>3489</v>
      </c>
      <c r="Q1775" s="152" t="s">
        <v>3678</v>
      </c>
      <c r="R1775" s="152" t="s">
        <v>3687</v>
      </c>
      <c r="S1775" s="152" t="s">
        <v>3679</v>
      </c>
      <c r="T1775" s="152" t="s">
        <v>786</v>
      </c>
    </row>
    <row r="1776" spans="3:20">
      <c r="C1776" s="152" t="s">
        <v>2821</v>
      </c>
      <c r="F1776" s="152" t="s">
        <v>372</v>
      </c>
      <c r="G1776" s="152" t="s">
        <v>309</v>
      </c>
      <c r="I1776" s="513">
        <v>-21608.9</v>
      </c>
      <c r="J1776" s="513">
        <v>-15.38</v>
      </c>
      <c r="K1776" s="513">
        <v>1405</v>
      </c>
      <c r="L1776" s="518" t="s">
        <v>3493</v>
      </c>
      <c r="M1776" s="152" t="s">
        <v>780</v>
      </c>
      <c r="N1776" s="152" t="s">
        <v>1407</v>
      </c>
      <c r="O1776" s="152" t="s">
        <v>3677</v>
      </c>
      <c r="P1776" s="152" t="s">
        <v>3489</v>
      </c>
      <c r="Q1776" s="152" t="s">
        <v>3678</v>
      </c>
      <c r="R1776" s="152" t="s">
        <v>3688</v>
      </c>
      <c r="S1776" s="152" t="s">
        <v>3679</v>
      </c>
      <c r="T1776" s="152" t="s">
        <v>786</v>
      </c>
    </row>
    <row r="1777" spans="3:20">
      <c r="C1777" s="152" t="s">
        <v>2821</v>
      </c>
      <c r="F1777" s="152" t="s">
        <v>372</v>
      </c>
      <c r="G1777" s="152" t="s">
        <v>309</v>
      </c>
      <c r="I1777" s="513">
        <v>-8380.7999999999993</v>
      </c>
      <c r="J1777" s="513">
        <v>-5.82</v>
      </c>
      <c r="K1777" s="513">
        <v>1440</v>
      </c>
      <c r="L1777" s="518" t="s">
        <v>3517</v>
      </c>
      <c r="M1777" s="152" t="s">
        <v>780</v>
      </c>
      <c r="N1777" s="152" t="s">
        <v>1407</v>
      </c>
      <c r="O1777" s="152" t="s">
        <v>3518</v>
      </c>
      <c r="P1777" s="152" t="s">
        <v>892</v>
      </c>
      <c r="Q1777" s="152" t="s">
        <v>3519</v>
      </c>
      <c r="R1777" s="152" t="s">
        <v>3689</v>
      </c>
      <c r="S1777" s="152" t="s">
        <v>3521</v>
      </c>
      <c r="T1777" s="152" t="s">
        <v>786</v>
      </c>
    </row>
    <row r="1778" spans="3:20">
      <c r="C1778" s="152" t="s">
        <v>2821</v>
      </c>
      <c r="F1778" s="152" t="s">
        <v>372</v>
      </c>
      <c r="G1778" s="152" t="s">
        <v>309</v>
      </c>
      <c r="I1778" s="513">
        <v>-113913.9</v>
      </c>
      <c r="J1778" s="513">
        <v>-80.790000000000006</v>
      </c>
      <c r="K1778" s="513">
        <v>1410</v>
      </c>
      <c r="L1778" s="518" t="s">
        <v>3498</v>
      </c>
      <c r="M1778" s="152" t="s">
        <v>780</v>
      </c>
      <c r="N1778" s="152" t="s">
        <v>1407</v>
      </c>
      <c r="O1778" s="152" t="s">
        <v>3499</v>
      </c>
      <c r="P1778" s="152" t="s">
        <v>3489</v>
      </c>
      <c r="Q1778" s="152" t="s">
        <v>3500</v>
      </c>
      <c r="R1778" s="152" t="s">
        <v>3690</v>
      </c>
      <c r="S1778" s="152" t="s">
        <v>3502</v>
      </c>
      <c r="T1778" s="152" t="s">
        <v>786</v>
      </c>
    </row>
    <row r="1779" spans="3:20">
      <c r="C1779" s="152" t="s">
        <v>2821</v>
      </c>
      <c r="F1779" s="152" t="s">
        <v>372</v>
      </c>
      <c r="G1779" s="152" t="s">
        <v>309</v>
      </c>
      <c r="I1779" s="513">
        <v>-150523.20000000001</v>
      </c>
      <c r="J1779" s="513">
        <v>-104.53</v>
      </c>
      <c r="K1779" s="513">
        <v>1440</v>
      </c>
      <c r="L1779" s="518" t="s">
        <v>3517</v>
      </c>
      <c r="M1779" s="152" t="s">
        <v>780</v>
      </c>
      <c r="N1779" s="152" t="s">
        <v>1407</v>
      </c>
      <c r="O1779" s="152" t="s">
        <v>3518</v>
      </c>
      <c r="P1779" s="152" t="s">
        <v>892</v>
      </c>
      <c r="Q1779" s="152" t="s">
        <v>3519</v>
      </c>
      <c r="R1779" s="152" t="s">
        <v>3691</v>
      </c>
      <c r="S1779" s="152" t="s">
        <v>3521</v>
      </c>
      <c r="T1779" s="152" t="s">
        <v>786</v>
      </c>
    </row>
    <row r="1780" spans="3:20">
      <c r="C1780" s="152" t="s">
        <v>2821</v>
      </c>
      <c r="F1780" s="152" t="s">
        <v>372</v>
      </c>
      <c r="G1780" s="152" t="s">
        <v>309</v>
      </c>
      <c r="I1780" s="513">
        <v>-23774.400000000001</v>
      </c>
      <c r="J1780" s="513">
        <v>-16.510000000000002</v>
      </c>
      <c r="K1780" s="513">
        <v>1440</v>
      </c>
      <c r="L1780" s="518" t="s">
        <v>3517</v>
      </c>
      <c r="M1780" s="152" t="s">
        <v>780</v>
      </c>
      <c r="N1780" s="152" t="s">
        <v>1407</v>
      </c>
      <c r="O1780" s="152" t="s">
        <v>3518</v>
      </c>
      <c r="P1780" s="152" t="s">
        <v>892</v>
      </c>
      <c r="Q1780" s="152" t="s">
        <v>3519</v>
      </c>
      <c r="R1780" s="152" t="s">
        <v>3693</v>
      </c>
      <c r="S1780" s="152" t="s">
        <v>3521</v>
      </c>
      <c r="T1780" s="152" t="s">
        <v>786</v>
      </c>
    </row>
    <row r="1781" spans="3:20">
      <c r="C1781" s="152" t="s">
        <v>2821</v>
      </c>
      <c r="F1781" s="152" t="s">
        <v>372</v>
      </c>
      <c r="G1781" s="152" t="s">
        <v>309</v>
      </c>
      <c r="I1781" s="513">
        <v>-52070.400000000001</v>
      </c>
      <c r="J1781" s="513">
        <v>-36.159999999999997</v>
      </c>
      <c r="K1781" s="513">
        <v>1440</v>
      </c>
      <c r="L1781" s="518" t="s">
        <v>3517</v>
      </c>
      <c r="M1781" s="152" t="s">
        <v>780</v>
      </c>
      <c r="N1781" s="152" t="s">
        <v>1407</v>
      </c>
      <c r="O1781" s="152" t="s">
        <v>3518</v>
      </c>
      <c r="P1781" s="152" t="s">
        <v>892</v>
      </c>
      <c r="Q1781" s="152" t="s">
        <v>3519</v>
      </c>
      <c r="R1781" s="152" t="s">
        <v>3694</v>
      </c>
      <c r="S1781" s="152" t="s">
        <v>3521</v>
      </c>
      <c r="T1781" s="152" t="s">
        <v>786</v>
      </c>
    </row>
    <row r="1782" spans="3:20">
      <c r="C1782" s="152" t="s">
        <v>2821</v>
      </c>
      <c r="F1782" s="152" t="s">
        <v>372</v>
      </c>
      <c r="G1782" s="152" t="s">
        <v>309</v>
      </c>
      <c r="I1782" s="513">
        <v>-297283.95</v>
      </c>
      <c r="J1782" s="513">
        <v>-211.59</v>
      </c>
      <c r="K1782" s="513">
        <v>1405</v>
      </c>
      <c r="L1782" s="518" t="s">
        <v>3493</v>
      </c>
      <c r="M1782" s="152" t="s">
        <v>780</v>
      </c>
      <c r="N1782" s="152" t="s">
        <v>1407</v>
      </c>
      <c r="O1782" s="152" t="s">
        <v>3677</v>
      </c>
      <c r="P1782" s="152" t="s">
        <v>3489</v>
      </c>
      <c r="Q1782" s="152" t="s">
        <v>3678</v>
      </c>
      <c r="R1782" s="152" t="s">
        <v>3765</v>
      </c>
      <c r="S1782" s="152" t="s">
        <v>3679</v>
      </c>
      <c r="T1782" s="152" t="s">
        <v>786</v>
      </c>
    </row>
    <row r="1783" spans="3:20">
      <c r="C1783" s="152" t="s">
        <v>2821</v>
      </c>
      <c r="F1783" s="152" t="s">
        <v>372</v>
      </c>
      <c r="G1783" s="152" t="s">
        <v>309</v>
      </c>
      <c r="I1783" s="513">
        <v>-51758</v>
      </c>
      <c r="J1783" s="513">
        <v>-36.97</v>
      </c>
      <c r="K1783" s="513">
        <v>1400</v>
      </c>
      <c r="L1783" s="518" t="s">
        <v>3632</v>
      </c>
      <c r="M1783" s="152" t="s">
        <v>780</v>
      </c>
      <c r="N1783" s="152" t="s">
        <v>1407</v>
      </c>
      <c r="O1783" s="152" t="s">
        <v>3633</v>
      </c>
      <c r="P1783" s="152" t="s">
        <v>3489</v>
      </c>
      <c r="Q1783" s="152" t="s">
        <v>3634</v>
      </c>
      <c r="R1783" s="152" t="s">
        <v>1955</v>
      </c>
      <c r="S1783" s="152" t="s">
        <v>3636</v>
      </c>
      <c r="T1783" s="152" t="s">
        <v>786</v>
      </c>
    </row>
    <row r="1784" spans="3:20">
      <c r="C1784" s="152" t="s">
        <v>2821</v>
      </c>
      <c r="F1784" s="152" t="s">
        <v>372</v>
      </c>
      <c r="G1784" s="152" t="s">
        <v>309</v>
      </c>
      <c r="I1784" s="513">
        <v>-42775.45</v>
      </c>
      <c r="J1784" s="513">
        <v>-30.23</v>
      </c>
      <c r="K1784" s="513">
        <v>1415</v>
      </c>
      <c r="L1784" s="518" t="s">
        <v>3493</v>
      </c>
      <c r="M1784" s="152" t="s">
        <v>780</v>
      </c>
      <c r="N1784" s="152" t="s">
        <v>1407</v>
      </c>
      <c r="O1784" s="152" t="s">
        <v>3677</v>
      </c>
      <c r="P1784" s="152" t="s">
        <v>3489</v>
      </c>
      <c r="Q1784" s="152" t="s">
        <v>3678</v>
      </c>
      <c r="R1784" s="152" t="s">
        <v>1955</v>
      </c>
      <c r="S1784" s="152" t="s">
        <v>3679</v>
      </c>
      <c r="T1784" s="152" t="s">
        <v>786</v>
      </c>
    </row>
    <row r="1785" spans="3:20">
      <c r="C1785" s="152" t="s">
        <v>2821</v>
      </c>
      <c r="F1785" s="152" t="s">
        <v>372</v>
      </c>
      <c r="G1785" s="152" t="s">
        <v>309</v>
      </c>
      <c r="I1785" s="513">
        <v>-62356</v>
      </c>
      <c r="J1785" s="513">
        <v>-44.54</v>
      </c>
      <c r="K1785" s="513">
        <v>1400</v>
      </c>
      <c r="L1785" s="518" t="s">
        <v>3632</v>
      </c>
      <c r="M1785" s="152" t="s">
        <v>780</v>
      </c>
      <c r="N1785" s="152" t="s">
        <v>1407</v>
      </c>
      <c r="O1785" s="152" t="s">
        <v>3633</v>
      </c>
      <c r="P1785" s="152" t="s">
        <v>3489</v>
      </c>
      <c r="Q1785" s="152" t="s">
        <v>3634</v>
      </c>
      <c r="R1785" s="152" t="s">
        <v>3780</v>
      </c>
      <c r="S1785" s="152" t="s">
        <v>3636</v>
      </c>
      <c r="T1785" s="152" t="s">
        <v>786</v>
      </c>
    </row>
    <row r="1786" spans="3:20">
      <c r="C1786" s="152" t="s">
        <v>2821</v>
      </c>
      <c r="F1786" s="152" t="s">
        <v>372</v>
      </c>
      <c r="G1786" s="152" t="s">
        <v>309</v>
      </c>
      <c r="I1786" s="513">
        <v>-178401.6</v>
      </c>
      <c r="J1786" s="513">
        <v>-123.89</v>
      </c>
      <c r="K1786" s="513">
        <v>1440</v>
      </c>
      <c r="L1786" s="518" t="s">
        <v>3517</v>
      </c>
      <c r="M1786" s="152" t="s">
        <v>780</v>
      </c>
      <c r="N1786" s="152" t="s">
        <v>1407</v>
      </c>
      <c r="O1786" s="152" t="s">
        <v>3518</v>
      </c>
      <c r="P1786" s="152" t="s">
        <v>892</v>
      </c>
      <c r="Q1786" s="152" t="s">
        <v>3519</v>
      </c>
      <c r="R1786" s="152" t="s">
        <v>3783</v>
      </c>
      <c r="S1786" s="152" t="s">
        <v>3521</v>
      </c>
      <c r="T1786" s="152" t="s">
        <v>786</v>
      </c>
    </row>
    <row r="1787" spans="3:20">
      <c r="C1787" s="152" t="s">
        <v>2821</v>
      </c>
      <c r="F1787" s="152" t="s">
        <v>372</v>
      </c>
      <c r="G1787" s="152" t="s">
        <v>309</v>
      </c>
      <c r="I1787" s="513">
        <v>-81225</v>
      </c>
      <c r="J1787" s="513">
        <v>-57</v>
      </c>
      <c r="K1787" s="513">
        <v>1425</v>
      </c>
      <c r="L1787" s="518" t="s">
        <v>3637</v>
      </c>
      <c r="M1787" s="152" t="s">
        <v>780</v>
      </c>
      <c r="N1787" s="152" t="s">
        <v>1407</v>
      </c>
      <c r="O1787" s="152" t="s">
        <v>3638</v>
      </c>
      <c r="P1787" s="152" t="s">
        <v>2865</v>
      </c>
      <c r="Q1787" s="152" t="s">
        <v>3639</v>
      </c>
      <c r="R1787" s="152" t="s">
        <v>3784</v>
      </c>
      <c r="S1787" s="152" t="s">
        <v>3641</v>
      </c>
      <c r="T1787" s="152" t="s">
        <v>786</v>
      </c>
    </row>
    <row r="1788" spans="3:20">
      <c r="C1788" s="152" t="s">
        <v>2821</v>
      </c>
      <c r="F1788" s="152" t="s">
        <v>372</v>
      </c>
      <c r="G1788" s="152" t="s">
        <v>309</v>
      </c>
      <c r="I1788" s="513">
        <v>-28200</v>
      </c>
      <c r="J1788" s="513">
        <v>-20</v>
      </c>
      <c r="K1788" s="513">
        <v>1410</v>
      </c>
      <c r="L1788" s="518" t="s">
        <v>3498</v>
      </c>
      <c r="M1788" s="152" t="s">
        <v>780</v>
      </c>
      <c r="N1788" s="152" t="s">
        <v>1407</v>
      </c>
      <c r="O1788" s="152" t="s">
        <v>3499</v>
      </c>
      <c r="P1788" s="152" t="s">
        <v>3489</v>
      </c>
      <c r="Q1788" s="152" t="s">
        <v>3500</v>
      </c>
      <c r="R1788" s="152" t="s">
        <v>3787</v>
      </c>
      <c r="S1788" s="152" t="s">
        <v>3502</v>
      </c>
      <c r="T1788" s="152" t="s">
        <v>786</v>
      </c>
    </row>
    <row r="1789" spans="3:20">
      <c r="C1789" s="152" t="s">
        <v>2821</v>
      </c>
      <c r="F1789" s="152" t="s">
        <v>372</v>
      </c>
      <c r="G1789" s="152" t="s">
        <v>309</v>
      </c>
      <c r="I1789" s="513">
        <v>-28200</v>
      </c>
      <c r="J1789" s="513">
        <v>-20</v>
      </c>
      <c r="K1789" s="513">
        <v>1410</v>
      </c>
      <c r="L1789" s="518" t="s">
        <v>3498</v>
      </c>
      <c r="M1789" s="152" t="s">
        <v>780</v>
      </c>
      <c r="N1789" s="152" t="s">
        <v>1407</v>
      </c>
      <c r="O1789" s="152" t="s">
        <v>3499</v>
      </c>
      <c r="P1789" s="152" t="s">
        <v>3489</v>
      </c>
      <c r="Q1789" s="152" t="s">
        <v>3500</v>
      </c>
      <c r="R1789" s="152" t="s">
        <v>3788</v>
      </c>
      <c r="S1789" s="152" t="s">
        <v>3502</v>
      </c>
      <c r="T1789" s="152" t="s">
        <v>786</v>
      </c>
    </row>
    <row r="1790" spans="3:20">
      <c r="C1790" s="152" t="s">
        <v>2821</v>
      </c>
      <c r="F1790" s="152" t="s">
        <v>372</v>
      </c>
      <c r="G1790" s="152" t="s">
        <v>309</v>
      </c>
      <c r="I1790" s="513">
        <v>-715680</v>
      </c>
      <c r="J1790" s="513">
        <v>-497</v>
      </c>
      <c r="K1790" s="513">
        <v>1440</v>
      </c>
      <c r="L1790" s="518" t="s">
        <v>3517</v>
      </c>
      <c r="M1790" s="152" t="s">
        <v>780</v>
      </c>
      <c r="N1790" s="152" t="s">
        <v>1407</v>
      </c>
      <c r="O1790" s="152" t="s">
        <v>3518</v>
      </c>
      <c r="P1790" s="152" t="s">
        <v>892</v>
      </c>
      <c r="Q1790" s="152" t="s">
        <v>3519</v>
      </c>
      <c r="R1790" s="152" t="s">
        <v>3789</v>
      </c>
      <c r="S1790" s="152" t="s">
        <v>3521</v>
      </c>
      <c r="T1790" s="152" t="s">
        <v>786</v>
      </c>
    </row>
    <row r="1791" spans="3:20">
      <c r="C1791" s="152" t="s">
        <v>2821</v>
      </c>
      <c r="F1791" s="152" t="s">
        <v>372</v>
      </c>
      <c r="G1791" s="152" t="s">
        <v>309</v>
      </c>
      <c r="I1791" s="513">
        <v>-228876.25</v>
      </c>
      <c r="J1791" s="513">
        <v>-161.75</v>
      </c>
      <c r="K1791" s="513">
        <v>1415</v>
      </c>
      <c r="L1791" s="518" t="s">
        <v>3632</v>
      </c>
      <c r="M1791" s="152" t="s">
        <v>780</v>
      </c>
      <c r="N1791" s="152" t="s">
        <v>1407</v>
      </c>
      <c r="O1791" s="152" t="s">
        <v>3633</v>
      </c>
      <c r="P1791" s="152" t="s">
        <v>3489</v>
      </c>
      <c r="Q1791" s="152" t="s">
        <v>3634</v>
      </c>
      <c r="R1791" s="152" t="s">
        <v>3794</v>
      </c>
      <c r="S1791" s="152" t="s">
        <v>3636</v>
      </c>
      <c r="T1791" s="152" t="s">
        <v>786</v>
      </c>
    </row>
    <row r="1792" spans="3:20">
      <c r="C1792" s="152" t="s">
        <v>2821</v>
      </c>
      <c r="F1792" s="152" t="s">
        <v>372</v>
      </c>
      <c r="G1792" s="152" t="s">
        <v>309</v>
      </c>
      <c r="I1792" s="513">
        <v>-286832</v>
      </c>
      <c r="J1792" s="513">
        <v>-204.88</v>
      </c>
      <c r="K1792" s="513">
        <v>1400</v>
      </c>
      <c r="L1792" s="518" t="s">
        <v>3659</v>
      </c>
      <c r="M1792" s="152" t="s">
        <v>780</v>
      </c>
      <c r="N1792" s="152" t="s">
        <v>1407</v>
      </c>
      <c r="O1792" s="152" t="s">
        <v>3795</v>
      </c>
      <c r="P1792" s="152" t="s">
        <v>3489</v>
      </c>
      <c r="Q1792" s="152" t="s">
        <v>3796</v>
      </c>
      <c r="R1792" s="152" t="s">
        <v>3797</v>
      </c>
      <c r="S1792" s="152" t="s">
        <v>3798</v>
      </c>
      <c r="T1792" s="152" t="s">
        <v>786</v>
      </c>
    </row>
    <row r="1793" spans="3:20">
      <c r="C1793" s="152" t="s">
        <v>2821</v>
      </c>
      <c r="F1793" s="152" t="s">
        <v>372</v>
      </c>
      <c r="G1793" s="152" t="s">
        <v>309</v>
      </c>
      <c r="I1793" s="513">
        <v>-35582.25</v>
      </c>
      <c r="J1793" s="513">
        <v>-24.97</v>
      </c>
      <c r="K1793" s="513">
        <v>1425</v>
      </c>
      <c r="L1793" s="518" t="s">
        <v>3504</v>
      </c>
      <c r="M1793" s="152" t="s">
        <v>780</v>
      </c>
      <c r="N1793" s="152" t="s">
        <v>1407</v>
      </c>
      <c r="O1793" s="152" t="s">
        <v>3505</v>
      </c>
      <c r="P1793" s="152" t="s">
        <v>3489</v>
      </c>
      <c r="Q1793" s="152" t="s">
        <v>3506</v>
      </c>
      <c r="R1793" s="152" t="s">
        <v>3799</v>
      </c>
      <c r="S1793" s="152" t="s">
        <v>3508</v>
      </c>
      <c r="T1793" s="152" t="s">
        <v>786</v>
      </c>
    </row>
    <row r="1794" spans="3:20">
      <c r="C1794" s="152" t="s">
        <v>2821</v>
      </c>
      <c r="F1794" s="152" t="s">
        <v>372</v>
      </c>
      <c r="G1794" s="152" t="s">
        <v>309</v>
      </c>
      <c r="I1794" s="513">
        <v>-35211.75</v>
      </c>
      <c r="J1794" s="513">
        <v>-24.71</v>
      </c>
      <c r="K1794" s="513">
        <v>1425</v>
      </c>
      <c r="L1794" s="518" t="s">
        <v>3504</v>
      </c>
      <c r="M1794" s="152" t="s">
        <v>780</v>
      </c>
      <c r="N1794" s="152" t="s">
        <v>1407</v>
      </c>
      <c r="O1794" s="152" t="s">
        <v>3505</v>
      </c>
      <c r="P1794" s="152" t="s">
        <v>3489</v>
      </c>
      <c r="Q1794" s="152" t="s">
        <v>3506</v>
      </c>
      <c r="R1794" s="152" t="s">
        <v>3800</v>
      </c>
      <c r="S1794" s="152" t="s">
        <v>3508</v>
      </c>
      <c r="T1794" s="152" t="s">
        <v>786</v>
      </c>
    </row>
    <row r="1795" spans="3:20">
      <c r="C1795" s="152" t="s">
        <v>2821</v>
      </c>
      <c r="F1795" s="152" t="s">
        <v>372</v>
      </c>
      <c r="G1795" s="152" t="s">
        <v>309</v>
      </c>
      <c r="I1795" s="513">
        <v>-35397</v>
      </c>
      <c r="J1795" s="513">
        <v>-24.84</v>
      </c>
      <c r="K1795" s="513">
        <v>1425</v>
      </c>
      <c r="L1795" s="518" t="s">
        <v>3511</v>
      </c>
      <c r="M1795" s="152" t="s">
        <v>780</v>
      </c>
      <c r="N1795" s="152" t="s">
        <v>1407</v>
      </c>
      <c r="O1795" s="152" t="s">
        <v>3512</v>
      </c>
      <c r="P1795" s="152" t="s">
        <v>3489</v>
      </c>
      <c r="Q1795" s="152" t="s">
        <v>3513</v>
      </c>
      <c r="R1795" s="152" t="s">
        <v>3800</v>
      </c>
      <c r="S1795" s="152" t="s">
        <v>3515</v>
      </c>
      <c r="T1795" s="152" t="s">
        <v>786</v>
      </c>
    </row>
    <row r="1796" spans="3:20">
      <c r="C1796" s="152" t="s">
        <v>2821</v>
      </c>
      <c r="F1796" s="152" t="s">
        <v>372</v>
      </c>
      <c r="G1796" s="152" t="s">
        <v>309</v>
      </c>
      <c r="I1796" s="513">
        <v>-35375</v>
      </c>
      <c r="J1796" s="513">
        <v>-25</v>
      </c>
      <c r="K1796" s="513">
        <v>1415</v>
      </c>
      <c r="L1796" s="518" t="s">
        <v>3511</v>
      </c>
      <c r="M1796" s="152" t="s">
        <v>780</v>
      </c>
      <c r="N1796" s="152" t="s">
        <v>1407</v>
      </c>
      <c r="O1796" s="152" t="s">
        <v>3512</v>
      </c>
      <c r="P1796" s="152" t="s">
        <v>3489</v>
      </c>
      <c r="Q1796" s="152" t="s">
        <v>3513</v>
      </c>
      <c r="R1796" s="152" t="s">
        <v>3800</v>
      </c>
      <c r="S1796" s="152" t="s">
        <v>3515</v>
      </c>
      <c r="T1796" s="152" t="s">
        <v>786</v>
      </c>
    </row>
    <row r="1797" spans="3:20">
      <c r="C1797" s="152" t="s">
        <v>2821</v>
      </c>
      <c r="F1797" s="152" t="s">
        <v>372</v>
      </c>
      <c r="G1797" s="152" t="s">
        <v>309</v>
      </c>
      <c r="I1797" s="513">
        <v>-34305.300000000003</v>
      </c>
      <c r="J1797" s="513">
        <v>-24.33</v>
      </c>
      <c r="K1797" s="513">
        <v>1410</v>
      </c>
      <c r="L1797" s="518" t="s">
        <v>3659</v>
      </c>
      <c r="M1797" s="152" t="s">
        <v>780</v>
      </c>
      <c r="N1797" s="152" t="s">
        <v>1407</v>
      </c>
      <c r="O1797" s="152" t="s">
        <v>3795</v>
      </c>
      <c r="P1797" s="152" t="s">
        <v>3489</v>
      </c>
      <c r="Q1797" s="152" t="s">
        <v>3796</v>
      </c>
      <c r="R1797" s="152" t="s">
        <v>3800</v>
      </c>
      <c r="S1797" s="152" t="s">
        <v>3798</v>
      </c>
      <c r="T1797" s="152" t="s">
        <v>786</v>
      </c>
    </row>
    <row r="1798" spans="3:20">
      <c r="C1798" s="152" t="s">
        <v>2821</v>
      </c>
      <c r="F1798" s="152" t="s">
        <v>372</v>
      </c>
      <c r="G1798" s="152" t="s">
        <v>309</v>
      </c>
      <c r="I1798" s="513">
        <v>-32774</v>
      </c>
      <c r="J1798" s="513">
        <v>-23.41</v>
      </c>
      <c r="K1798" s="513">
        <v>1400</v>
      </c>
      <c r="L1798" s="518" t="s">
        <v>3659</v>
      </c>
      <c r="M1798" s="152" t="s">
        <v>780</v>
      </c>
      <c r="N1798" s="152" t="s">
        <v>1407</v>
      </c>
      <c r="O1798" s="152" t="s">
        <v>3795</v>
      </c>
      <c r="P1798" s="152" t="s">
        <v>3489</v>
      </c>
      <c r="Q1798" s="152" t="s">
        <v>3796</v>
      </c>
      <c r="R1798" s="152" t="s">
        <v>3800</v>
      </c>
      <c r="S1798" s="152" t="s">
        <v>3798</v>
      </c>
      <c r="T1798" s="152" t="s">
        <v>786</v>
      </c>
    </row>
    <row r="1799" spans="3:20">
      <c r="C1799" s="152" t="s">
        <v>2821</v>
      </c>
      <c r="F1799" s="152" t="s">
        <v>372</v>
      </c>
      <c r="G1799" s="152" t="s">
        <v>309</v>
      </c>
      <c r="I1799" s="513">
        <v>-35364</v>
      </c>
      <c r="J1799" s="513">
        <v>-25.26</v>
      </c>
      <c r="K1799" s="513">
        <v>1400</v>
      </c>
      <c r="L1799" s="518" t="s">
        <v>3659</v>
      </c>
      <c r="M1799" s="152" t="s">
        <v>780</v>
      </c>
      <c r="N1799" s="152" t="s">
        <v>1407</v>
      </c>
      <c r="O1799" s="152" t="s">
        <v>3795</v>
      </c>
      <c r="P1799" s="152" t="s">
        <v>3489</v>
      </c>
      <c r="Q1799" s="152" t="s">
        <v>3796</v>
      </c>
      <c r="R1799" s="152" t="s">
        <v>3801</v>
      </c>
      <c r="S1799" s="152" t="s">
        <v>3798</v>
      </c>
      <c r="T1799" s="152" t="s">
        <v>786</v>
      </c>
    </row>
    <row r="1800" spans="3:20">
      <c r="C1800" s="152" t="s">
        <v>2821</v>
      </c>
      <c r="F1800" s="152" t="s">
        <v>372</v>
      </c>
      <c r="G1800" s="152" t="s">
        <v>309</v>
      </c>
      <c r="I1800" s="513">
        <v>-206535</v>
      </c>
      <c r="J1800" s="513">
        <v>-147</v>
      </c>
      <c r="K1800" s="513">
        <v>1405</v>
      </c>
      <c r="L1800" s="518" t="s">
        <v>3493</v>
      </c>
      <c r="M1800" s="152" t="s">
        <v>780</v>
      </c>
      <c r="N1800" s="152" t="s">
        <v>1407</v>
      </c>
      <c r="O1800" s="152" t="s">
        <v>3677</v>
      </c>
      <c r="P1800" s="152" t="s">
        <v>3489</v>
      </c>
      <c r="Q1800" s="152" t="s">
        <v>3678</v>
      </c>
      <c r="R1800" s="152" t="s">
        <v>3802</v>
      </c>
      <c r="S1800" s="152" t="s">
        <v>3679</v>
      </c>
      <c r="T1800" s="152" t="s">
        <v>786</v>
      </c>
    </row>
    <row r="1801" spans="3:20">
      <c r="C1801" s="152" t="s">
        <v>2821</v>
      </c>
      <c r="F1801" s="152" t="s">
        <v>372</v>
      </c>
      <c r="G1801" s="152" t="s">
        <v>309</v>
      </c>
      <c r="I1801" s="513">
        <v>-322854.95</v>
      </c>
      <c r="J1801" s="513">
        <v>-229.79</v>
      </c>
      <c r="K1801" s="513">
        <v>1405</v>
      </c>
      <c r="L1801" s="518" t="s">
        <v>3493</v>
      </c>
      <c r="M1801" s="152" t="s">
        <v>780</v>
      </c>
      <c r="N1801" s="152" t="s">
        <v>1407</v>
      </c>
      <c r="O1801" s="152" t="s">
        <v>3677</v>
      </c>
      <c r="P1801" s="152" t="s">
        <v>3489</v>
      </c>
      <c r="Q1801" s="152" t="s">
        <v>3678</v>
      </c>
      <c r="R1801" s="152" t="s">
        <v>3803</v>
      </c>
      <c r="S1801" s="152" t="s">
        <v>3679</v>
      </c>
      <c r="T1801" s="152" t="s">
        <v>786</v>
      </c>
    </row>
    <row r="1802" spans="3:20">
      <c r="C1802" s="152" t="s">
        <v>2821</v>
      </c>
      <c r="F1802" s="152" t="s">
        <v>372</v>
      </c>
      <c r="G1802" s="152" t="s">
        <v>309</v>
      </c>
      <c r="I1802" s="513">
        <v>-223930</v>
      </c>
      <c r="J1802" s="513">
        <v>-159.94999999999999</v>
      </c>
      <c r="K1802" s="513">
        <v>1400</v>
      </c>
      <c r="L1802" s="518" t="s">
        <v>3659</v>
      </c>
      <c r="M1802" s="152" t="s">
        <v>780</v>
      </c>
      <c r="N1802" s="152" t="s">
        <v>1407</v>
      </c>
      <c r="O1802" s="152" t="s">
        <v>3795</v>
      </c>
      <c r="P1802" s="152" t="s">
        <v>3489</v>
      </c>
      <c r="Q1802" s="152" t="s">
        <v>3796</v>
      </c>
      <c r="R1802" s="152" t="s">
        <v>3804</v>
      </c>
      <c r="S1802" s="152" t="s">
        <v>3798</v>
      </c>
      <c r="T1802" s="152" t="s">
        <v>786</v>
      </c>
    </row>
    <row r="1803" spans="3:20">
      <c r="C1803" s="152" t="s">
        <v>2821</v>
      </c>
      <c r="F1803" s="152" t="s">
        <v>372</v>
      </c>
      <c r="G1803" s="152" t="s">
        <v>309</v>
      </c>
      <c r="I1803" s="513">
        <v>-728175</v>
      </c>
      <c r="J1803" s="513">
        <v>-511</v>
      </c>
      <c r="K1803" s="513">
        <v>1425</v>
      </c>
      <c r="L1803" s="518" t="s">
        <v>3504</v>
      </c>
      <c r="M1803" s="152" t="s">
        <v>780</v>
      </c>
      <c r="N1803" s="152" t="s">
        <v>1407</v>
      </c>
      <c r="O1803" s="152" t="s">
        <v>3505</v>
      </c>
      <c r="P1803" s="152" t="s">
        <v>3489</v>
      </c>
      <c r="Q1803" s="152" t="s">
        <v>3506</v>
      </c>
      <c r="R1803" s="152" t="s">
        <v>3805</v>
      </c>
      <c r="S1803" s="152" t="s">
        <v>3508</v>
      </c>
      <c r="T1803" s="152" t="s">
        <v>786</v>
      </c>
    </row>
    <row r="1804" spans="3:20">
      <c r="C1804" s="152" t="s">
        <v>2821</v>
      </c>
      <c r="F1804" s="152" t="s">
        <v>372</v>
      </c>
      <c r="G1804" s="152" t="s">
        <v>309</v>
      </c>
      <c r="I1804" s="513">
        <v>-96881.1</v>
      </c>
      <c r="J1804" s="513">
        <v>-68.709999999999994</v>
      </c>
      <c r="K1804" s="513">
        <v>1410</v>
      </c>
      <c r="L1804" s="518" t="s">
        <v>3659</v>
      </c>
      <c r="M1804" s="152" t="s">
        <v>780</v>
      </c>
      <c r="N1804" s="152" t="s">
        <v>1407</v>
      </c>
      <c r="O1804" s="152" t="s">
        <v>3795</v>
      </c>
      <c r="P1804" s="152" t="s">
        <v>3489</v>
      </c>
      <c r="Q1804" s="152" t="s">
        <v>3796</v>
      </c>
      <c r="R1804" s="152" t="s">
        <v>3806</v>
      </c>
      <c r="S1804" s="152" t="s">
        <v>3798</v>
      </c>
      <c r="T1804" s="152" t="s">
        <v>786</v>
      </c>
    </row>
    <row r="1805" spans="3:20">
      <c r="C1805" s="152" t="s">
        <v>2821</v>
      </c>
      <c r="F1805" s="152" t="s">
        <v>372</v>
      </c>
      <c r="G1805" s="152" t="s">
        <v>309</v>
      </c>
      <c r="I1805" s="513">
        <v>-59361.25</v>
      </c>
      <c r="J1805" s="513">
        <v>-42.25</v>
      </c>
      <c r="K1805" s="513">
        <v>1405</v>
      </c>
      <c r="L1805" s="518" t="s">
        <v>3493</v>
      </c>
      <c r="M1805" s="152" t="s">
        <v>780</v>
      </c>
      <c r="N1805" s="152" t="s">
        <v>1407</v>
      </c>
      <c r="O1805" s="152" t="s">
        <v>3677</v>
      </c>
      <c r="P1805" s="152" t="s">
        <v>3489</v>
      </c>
      <c r="Q1805" s="152" t="s">
        <v>3678</v>
      </c>
      <c r="R1805" s="152" t="s">
        <v>3807</v>
      </c>
      <c r="S1805" s="152" t="s">
        <v>3679</v>
      </c>
      <c r="T1805" s="152" t="s">
        <v>786</v>
      </c>
    </row>
    <row r="1806" spans="3:20">
      <c r="C1806" s="152" t="s">
        <v>2821</v>
      </c>
      <c r="F1806" s="152" t="s">
        <v>372</v>
      </c>
      <c r="G1806" s="152" t="s">
        <v>309</v>
      </c>
      <c r="I1806" s="513">
        <v>-223900.79999999999</v>
      </c>
      <c r="J1806" s="513">
        <v>-159.36000000000001</v>
      </c>
      <c r="K1806" s="513">
        <v>1405</v>
      </c>
      <c r="L1806" s="518" t="s">
        <v>3493</v>
      </c>
      <c r="M1806" s="152" t="s">
        <v>780</v>
      </c>
      <c r="N1806" s="152" t="s">
        <v>1407</v>
      </c>
      <c r="O1806" s="152" t="s">
        <v>3677</v>
      </c>
      <c r="P1806" s="152" t="s">
        <v>3489</v>
      </c>
      <c r="Q1806" s="152" t="s">
        <v>3678</v>
      </c>
      <c r="R1806" s="152" t="s">
        <v>3808</v>
      </c>
      <c r="S1806" s="152" t="s">
        <v>3679</v>
      </c>
      <c r="T1806" s="152" t="s">
        <v>786</v>
      </c>
    </row>
    <row r="1807" spans="3:20">
      <c r="C1807" s="152" t="s">
        <v>2821</v>
      </c>
      <c r="F1807" s="152" t="s">
        <v>372</v>
      </c>
      <c r="G1807" s="152" t="s">
        <v>309</v>
      </c>
      <c r="I1807" s="513">
        <v>-28465.3</v>
      </c>
      <c r="J1807" s="513">
        <v>-20.260000000000002</v>
      </c>
      <c r="K1807" s="513">
        <v>1405</v>
      </c>
      <c r="L1807" s="518" t="s">
        <v>3493</v>
      </c>
      <c r="M1807" s="152" t="s">
        <v>780</v>
      </c>
      <c r="N1807" s="152" t="s">
        <v>1407</v>
      </c>
      <c r="O1807" s="152" t="s">
        <v>3677</v>
      </c>
      <c r="P1807" s="152" t="s">
        <v>3489</v>
      </c>
      <c r="Q1807" s="152" t="s">
        <v>3678</v>
      </c>
      <c r="R1807" s="152" t="s">
        <v>3809</v>
      </c>
      <c r="S1807" s="152" t="s">
        <v>3679</v>
      </c>
      <c r="T1807" s="152" t="s">
        <v>786</v>
      </c>
    </row>
    <row r="1808" spans="3:20">
      <c r="C1808" s="152" t="s">
        <v>2821</v>
      </c>
      <c r="F1808" s="152" t="s">
        <v>372</v>
      </c>
      <c r="G1808" s="152" t="s">
        <v>309</v>
      </c>
      <c r="I1808" s="513">
        <v>-148143.20000000001</v>
      </c>
      <c r="J1808" s="513">
        <v>-105.44</v>
      </c>
      <c r="K1808" s="513">
        <v>1405</v>
      </c>
      <c r="L1808" s="518" t="s">
        <v>3493</v>
      </c>
      <c r="M1808" s="152" t="s">
        <v>780</v>
      </c>
      <c r="N1808" s="152" t="s">
        <v>1407</v>
      </c>
      <c r="O1808" s="152" t="s">
        <v>3677</v>
      </c>
      <c r="P1808" s="152" t="s">
        <v>3489</v>
      </c>
      <c r="Q1808" s="152" t="s">
        <v>3678</v>
      </c>
      <c r="R1808" s="152" t="s">
        <v>3810</v>
      </c>
      <c r="S1808" s="152" t="s">
        <v>3679</v>
      </c>
      <c r="T1808" s="152" t="s">
        <v>786</v>
      </c>
    </row>
    <row r="1809" spans="3:20">
      <c r="C1809" s="152" t="s">
        <v>2821</v>
      </c>
      <c r="F1809" s="152" t="s">
        <v>372</v>
      </c>
      <c r="G1809" s="152" t="s">
        <v>309</v>
      </c>
      <c r="I1809" s="513">
        <v>-187346</v>
      </c>
      <c r="J1809" s="513">
        <v>-132.4</v>
      </c>
      <c r="K1809" s="513">
        <v>1415</v>
      </c>
      <c r="L1809" s="518" t="s">
        <v>3511</v>
      </c>
      <c r="M1809" s="152" t="s">
        <v>780</v>
      </c>
      <c r="N1809" s="152" t="s">
        <v>1407</v>
      </c>
      <c r="O1809" s="152" t="s">
        <v>3512</v>
      </c>
      <c r="P1809" s="152" t="s">
        <v>3489</v>
      </c>
      <c r="Q1809" s="152" t="s">
        <v>3513</v>
      </c>
      <c r="R1809" s="152" t="s">
        <v>3811</v>
      </c>
      <c r="S1809" s="152" t="s">
        <v>3515</v>
      </c>
      <c r="T1809" s="152" t="s">
        <v>786</v>
      </c>
    </row>
    <row r="1810" spans="3:20">
      <c r="C1810" s="152" t="s">
        <v>2821</v>
      </c>
      <c r="F1810" s="152" t="s">
        <v>372</v>
      </c>
      <c r="G1810" s="152" t="s">
        <v>309</v>
      </c>
      <c r="I1810" s="513">
        <v>-96672.8</v>
      </c>
      <c r="J1810" s="513">
        <v>-68.319999999999993</v>
      </c>
      <c r="K1810" s="513">
        <v>1415</v>
      </c>
      <c r="L1810" s="518" t="s">
        <v>3511</v>
      </c>
      <c r="M1810" s="152" t="s">
        <v>780</v>
      </c>
      <c r="N1810" s="152" t="s">
        <v>1407</v>
      </c>
      <c r="O1810" s="152" t="s">
        <v>3512</v>
      </c>
      <c r="P1810" s="152" t="s">
        <v>3489</v>
      </c>
      <c r="Q1810" s="152" t="s">
        <v>3513</v>
      </c>
      <c r="R1810" s="152" t="s">
        <v>3812</v>
      </c>
      <c r="S1810" s="152" t="s">
        <v>3515</v>
      </c>
      <c r="T1810" s="152" t="s">
        <v>786</v>
      </c>
    </row>
    <row r="1811" spans="3:20">
      <c r="C1811" s="152" t="s">
        <v>2821</v>
      </c>
      <c r="F1811" s="152" t="s">
        <v>372</v>
      </c>
      <c r="G1811" s="152" t="s">
        <v>309</v>
      </c>
      <c r="I1811" s="513">
        <v>-40745</v>
      </c>
      <c r="J1811" s="513">
        <v>-29</v>
      </c>
      <c r="K1811" s="513">
        <v>1405</v>
      </c>
      <c r="L1811" s="518" t="s">
        <v>3493</v>
      </c>
      <c r="M1811" s="152" t="s">
        <v>780</v>
      </c>
      <c r="N1811" s="152" t="s">
        <v>1407</v>
      </c>
      <c r="O1811" s="152" t="s">
        <v>3677</v>
      </c>
      <c r="P1811" s="152" t="s">
        <v>3489</v>
      </c>
      <c r="Q1811" s="152" t="s">
        <v>3678</v>
      </c>
      <c r="R1811" s="152" t="s">
        <v>3813</v>
      </c>
      <c r="S1811" s="152" t="s">
        <v>3679</v>
      </c>
      <c r="T1811" s="152" t="s">
        <v>786</v>
      </c>
    </row>
    <row r="1812" spans="3:20">
      <c r="C1812" s="152" t="s">
        <v>2821</v>
      </c>
      <c r="F1812" s="152" t="s">
        <v>372</v>
      </c>
      <c r="G1812" s="152" t="s">
        <v>309</v>
      </c>
      <c r="I1812" s="513">
        <v>-16145.15</v>
      </c>
      <c r="J1812" s="513">
        <v>-11.41</v>
      </c>
      <c r="K1812" s="513">
        <v>1415</v>
      </c>
      <c r="L1812" s="518" t="s">
        <v>3632</v>
      </c>
      <c r="M1812" s="152" t="s">
        <v>780</v>
      </c>
      <c r="N1812" s="152" t="s">
        <v>1407</v>
      </c>
      <c r="O1812" s="152" t="s">
        <v>3633</v>
      </c>
      <c r="P1812" s="152" t="s">
        <v>3489</v>
      </c>
      <c r="Q1812" s="152" t="s">
        <v>3634</v>
      </c>
      <c r="R1812" s="152" t="s">
        <v>3814</v>
      </c>
      <c r="S1812" s="152" t="s">
        <v>3636</v>
      </c>
      <c r="T1812" s="152" t="s">
        <v>786</v>
      </c>
    </row>
    <row r="1813" spans="3:20">
      <c r="C1813" s="152" t="s">
        <v>2821</v>
      </c>
      <c r="F1813" s="152" t="s">
        <v>372</v>
      </c>
      <c r="G1813" s="152" t="s">
        <v>309</v>
      </c>
      <c r="I1813" s="513">
        <v>-124520</v>
      </c>
      <c r="J1813" s="513">
        <v>-88</v>
      </c>
      <c r="K1813" s="513">
        <v>1415</v>
      </c>
      <c r="L1813" s="518" t="s">
        <v>3511</v>
      </c>
      <c r="M1813" s="152" t="s">
        <v>780</v>
      </c>
      <c r="N1813" s="152" t="s">
        <v>1407</v>
      </c>
      <c r="O1813" s="152" t="s">
        <v>3512</v>
      </c>
      <c r="P1813" s="152" t="s">
        <v>3489</v>
      </c>
      <c r="Q1813" s="152" t="s">
        <v>3513</v>
      </c>
      <c r="R1813" s="152" t="s">
        <v>3815</v>
      </c>
      <c r="S1813" s="152" t="s">
        <v>3515</v>
      </c>
      <c r="T1813" s="152" t="s">
        <v>786</v>
      </c>
    </row>
    <row r="1814" spans="3:20">
      <c r="C1814" s="152" t="s">
        <v>2821</v>
      </c>
      <c r="F1814" s="152" t="s">
        <v>372</v>
      </c>
      <c r="G1814" s="152" t="s">
        <v>309</v>
      </c>
      <c r="I1814" s="513">
        <v>-36690.949999999997</v>
      </c>
      <c r="J1814" s="513">
        <v>-25.93</v>
      </c>
      <c r="K1814" s="513">
        <v>1415</v>
      </c>
      <c r="L1814" s="518" t="s">
        <v>3632</v>
      </c>
      <c r="M1814" s="152" t="s">
        <v>780</v>
      </c>
      <c r="N1814" s="152" t="s">
        <v>1407</v>
      </c>
      <c r="O1814" s="152" t="s">
        <v>3633</v>
      </c>
      <c r="P1814" s="152" t="s">
        <v>3489</v>
      </c>
      <c r="Q1814" s="152" t="s">
        <v>3634</v>
      </c>
      <c r="R1814" s="152" t="s">
        <v>3816</v>
      </c>
      <c r="S1814" s="152" t="s">
        <v>3636</v>
      </c>
      <c r="T1814" s="152" t="s">
        <v>786</v>
      </c>
    </row>
    <row r="1815" spans="3:20">
      <c r="C1815" s="152" t="s">
        <v>2821</v>
      </c>
      <c r="F1815" s="152" t="s">
        <v>372</v>
      </c>
      <c r="G1815" s="152" t="s">
        <v>309</v>
      </c>
      <c r="I1815" s="513">
        <v>-145350</v>
      </c>
      <c r="J1815" s="513">
        <v>-102</v>
      </c>
      <c r="K1815" s="513">
        <v>1425</v>
      </c>
      <c r="L1815" s="518" t="s">
        <v>3511</v>
      </c>
      <c r="M1815" s="152" t="s">
        <v>780</v>
      </c>
      <c r="N1815" s="152" t="s">
        <v>1407</v>
      </c>
      <c r="O1815" s="152" t="s">
        <v>3512</v>
      </c>
      <c r="P1815" s="152" t="s">
        <v>3489</v>
      </c>
      <c r="Q1815" s="152" t="s">
        <v>3513</v>
      </c>
      <c r="R1815" s="152" t="s">
        <v>3817</v>
      </c>
      <c r="S1815" s="152" t="s">
        <v>3515</v>
      </c>
      <c r="T1815" s="152" t="s">
        <v>786</v>
      </c>
    </row>
    <row r="1816" spans="3:20">
      <c r="C1816" s="152" t="s">
        <v>2821</v>
      </c>
      <c r="F1816" s="152" t="s">
        <v>372</v>
      </c>
      <c r="G1816" s="152" t="s">
        <v>309</v>
      </c>
      <c r="I1816" s="513">
        <v>-18174.900000000001</v>
      </c>
      <c r="J1816" s="513">
        <v>-12.89</v>
      </c>
      <c r="K1816" s="513">
        <v>1410</v>
      </c>
      <c r="L1816" s="518" t="s">
        <v>3498</v>
      </c>
      <c r="M1816" s="152" t="s">
        <v>780</v>
      </c>
      <c r="N1816" s="152" t="s">
        <v>1407</v>
      </c>
      <c r="O1816" s="152" t="s">
        <v>3499</v>
      </c>
      <c r="P1816" s="152" t="s">
        <v>3489</v>
      </c>
      <c r="Q1816" s="152" t="s">
        <v>3500</v>
      </c>
      <c r="R1816" s="152" t="s">
        <v>3818</v>
      </c>
      <c r="S1816" s="152" t="s">
        <v>3502</v>
      </c>
      <c r="T1816" s="152" t="s">
        <v>786</v>
      </c>
    </row>
    <row r="1817" spans="3:20">
      <c r="C1817" s="152" t="s">
        <v>2821</v>
      </c>
      <c r="F1817" s="152" t="s">
        <v>372</v>
      </c>
      <c r="G1817" s="152" t="s">
        <v>309</v>
      </c>
      <c r="I1817" s="513">
        <v>-75124</v>
      </c>
      <c r="J1817" s="513">
        <v>-53.66</v>
      </c>
      <c r="K1817" s="513">
        <v>1400</v>
      </c>
      <c r="L1817" s="518" t="s">
        <v>3659</v>
      </c>
      <c r="M1817" s="152" t="s">
        <v>780</v>
      </c>
      <c r="N1817" s="152" t="s">
        <v>1407</v>
      </c>
      <c r="O1817" s="152" t="s">
        <v>3795</v>
      </c>
      <c r="P1817" s="152" t="s">
        <v>3489</v>
      </c>
      <c r="Q1817" s="152" t="s">
        <v>3796</v>
      </c>
      <c r="R1817" s="152" t="s">
        <v>3819</v>
      </c>
      <c r="S1817" s="152" t="s">
        <v>3798</v>
      </c>
      <c r="T1817" s="152" t="s">
        <v>786</v>
      </c>
    </row>
    <row r="1818" spans="3:20">
      <c r="C1818" s="152" t="s">
        <v>2821</v>
      </c>
      <c r="F1818" s="152" t="s">
        <v>372</v>
      </c>
      <c r="G1818" s="152" t="s">
        <v>309</v>
      </c>
      <c r="I1818" s="513">
        <v>-591470</v>
      </c>
      <c r="J1818" s="513">
        <v>-418</v>
      </c>
      <c r="K1818" s="513">
        <v>1415</v>
      </c>
      <c r="L1818" s="518" t="s">
        <v>3511</v>
      </c>
      <c r="M1818" s="152" t="s">
        <v>780</v>
      </c>
      <c r="N1818" s="152" t="s">
        <v>1407</v>
      </c>
      <c r="O1818" s="152" t="s">
        <v>3512</v>
      </c>
      <c r="P1818" s="152" t="s">
        <v>3489</v>
      </c>
      <c r="Q1818" s="152" t="s">
        <v>3513</v>
      </c>
      <c r="R1818" s="152" t="s">
        <v>3820</v>
      </c>
      <c r="S1818" s="152" t="s">
        <v>3515</v>
      </c>
      <c r="T1818" s="152" t="s">
        <v>786</v>
      </c>
    </row>
    <row r="1819" spans="3:20">
      <c r="C1819" s="152" t="s">
        <v>2821</v>
      </c>
      <c r="F1819" s="152" t="s">
        <v>372</v>
      </c>
      <c r="G1819" s="152" t="s">
        <v>309</v>
      </c>
      <c r="I1819" s="513">
        <v>-180554</v>
      </c>
      <c r="J1819" s="513">
        <v>-127.6</v>
      </c>
      <c r="K1819" s="513">
        <v>1415</v>
      </c>
      <c r="L1819" s="518" t="s">
        <v>3498</v>
      </c>
      <c r="M1819" s="152" t="s">
        <v>780</v>
      </c>
      <c r="N1819" s="152" t="s">
        <v>1407</v>
      </c>
      <c r="O1819" s="152" t="s">
        <v>3499</v>
      </c>
      <c r="P1819" s="152" t="s">
        <v>3489</v>
      </c>
      <c r="Q1819" s="152" t="s">
        <v>3500</v>
      </c>
      <c r="R1819" s="152" t="s">
        <v>3821</v>
      </c>
      <c r="S1819" s="152" t="s">
        <v>3502</v>
      </c>
      <c r="T1819" s="152" t="s">
        <v>786</v>
      </c>
    </row>
    <row r="1820" spans="3:20">
      <c r="C1820" s="152" t="s">
        <v>2821</v>
      </c>
      <c r="F1820" s="152" t="s">
        <v>372</v>
      </c>
      <c r="G1820" s="152" t="s">
        <v>309</v>
      </c>
      <c r="I1820" s="513">
        <v>-21093.599999999999</v>
      </c>
      <c r="J1820" s="513">
        <v>-14.96</v>
      </c>
      <c r="K1820" s="513">
        <v>1410</v>
      </c>
      <c r="L1820" s="518" t="s">
        <v>3498</v>
      </c>
      <c r="M1820" s="152" t="s">
        <v>780</v>
      </c>
      <c r="N1820" s="152" t="s">
        <v>1407</v>
      </c>
      <c r="O1820" s="152" t="s">
        <v>3499</v>
      </c>
      <c r="P1820" s="152" t="s">
        <v>3489</v>
      </c>
      <c r="Q1820" s="152" t="s">
        <v>3500</v>
      </c>
      <c r="R1820" s="152" t="s">
        <v>3822</v>
      </c>
      <c r="S1820" s="152" t="s">
        <v>3502</v>
      </c>
      <c r="T1820" s="152" t="s">
        <v>786</v>
      </c>
    </row>
    <row r="1821" spans="3:20">
      <c r="C1821" s="152" t="s">
        <v>2821</v>
      </c>
      <c r="F1821" s="152" t="s">
        <v>372</v>
      </c>
      <c r="G1821" s="152" t="s">
        <v>309</v>
      </c>
      <c r="I1821" s="513">
        <v>-52312.55</v>
      </c>
      <c r="J1821" s="513">
        <v>-36.97</v>
      </c>
      <c r="K1821" s="513">
        <v>1415</v>
      </c>
      <c r="L1821" s="518" t="s">
        <v>3632</v>
      </c>
      <c r="M1821" s="152" t="s">
        <v>780</v>
      </c>
      <c r="N1821" s="152" t="s">
        <v>1407</v>
      </c>
      <c r="O1821" s="152" t="s">
        <v>3633</v>
      </c>
      <c r="P1821" s="152" t="s">
        <v>3489</v>
      </c>
      <c r="Q1821" s="152" t="s">
        <v>3634</v>
      </c>
      <c r="R1821" s="152" t="s">
        <v>3823</v>
      </c>
      <c r="S1821" s="152" t="s">
        <v>3636</v>
      </c>
      <c r="T1821" s="152" t="s">
        <v>786</v>
      </c>
    </row>
    <row r="1822" spans="3:20">
      <c r="C1822" s="152" t="s">
        <v>2821</v>
      </c>
      <c r="F1822" s="152" t="s">
        <v>372</v>
      </c>
      <c r="G1822" s="152" t="s">
        <v>309</v>
      </c>
      <c r="I1822" s="513">
        <v>-13902.6</v>
      </c>
      <c r="J1822" s="513">
        <v>-9.86</v>
      </c>
      <c r="K1822" s="513">
        <v>1410</v>
      </c>
      <c r="L1822" s="518" t="s">
        <v>3498</v>
      </c>
      <c r="M1822" s="152" t="s">
        <v>780</v>
      </c>
      <c r="N1822" s="152" t="s">
        <v>1407</v>
      </c>
      <c r="O1822" s="152" t="s">
        <v>3499</v>
      </c>
      <c r="P1822" s="152" t="s">
        <v>3489</v>
      </c>
      <c r="Q1822" s="152" t="s">
        <v>3500</v>
      </c>
      <c r="R1822" s="152" t="s">
        <v>3824</v>
      </c>
      <c r="S1822" s="152" t="s">
        <v>3502</v>
      </c>
      <c r="T1822" s="152" t="s">
        <v>786</v>
      </c>
    </row>
    <row r="1823" spans="3:20">
      <c r="C1823" s="152" t="s">
        <v>2821</v>
      </c>
      <c r="F1823" s="152" t="s">
        <v>372</v>
      </c>
      <c r="G1823" s="152" t="s">
        <v>309</v>
      </c>
      <c r="I1823" s="513">
        <v>-35742.9</v>
      </c>
      <c r="J1823" s="513">
        <v>-25.26</v>
      </c>
      <c r="K1823" s="513">
        <v>1415</v>
      </c>
      <c r="L1823" s="518" t="s">
        <v>3511</v>
      </c>
      <c r="M1823" s="152" t="s">
        <v>780</v>
      </c>
      <c r="N1823" s="152" t="s">
        <v>1407</v>
      </c>
      <c r="O1823" s="152" t="s">
        <v>3512</v>
      </c>
      <c r="P1823" s="152" t="s">
        <v>3489</v>
      </c>
      <c r="Q1823" s="152" t="s">
        <v>3513</v>
      </c>
      <c r="R1823" s="152" t="s">
        <v>3825</v>
      </c>
      <c r="S1823" s="152" t="s">
        <v>3515</v>
      </c>
      <c r="T1823" s="152" t="s">
        <v>786</v>
      </c>
    </row>
    <row r="1824" spans="3:20">
      <c r="C1824" s="152" t="s">
        <v>2821</v>
      </c>
      <c r="F1824" s="152" t="s">
        <v>372</v>
      </c>
      <c r="G1824" s="152" t="s">
        <v>309</v>
      </c>
      <c r="I1824" s="513">
        <v>-85372</v>
      </c>
      <c r="J1824" s="513">
        <v>-60.98</v>
      </c>
      <c r="K1824" s="513">
        <v>1400</v>
      </c>
      <c r="L1824" s="518" t="s">
        <v>3659</v>
      </c>
      <c r="M1824" s="152" t="s">
        <v>780</v>
      </c>
      <c r="N1824" s="152" t="s">
        <v>1407</v>
      </c>
      <c r="O1824" s="152" t="s">
        <v>3795</v>
      </c>
      <c r="P1824" s="152" t="s">
        <v>3489</v>
      </c>
      <c r="Q1824" s="152" t="s">
        <v>3796</v>
      </c>
      <c r="R1824" s="152" t="s">
        <v>3826</v>
      </c>
      <c r="S1824" s="152" t="s">
        <v>3798</v>
      </c>
      <c r="T1824" s="152" t="s">
        <v>786</v>
      </c>
    </row>
    <row r="1825" spans="3:20">
      <c r="C1825" s="152" t="s">
        <v>2821</v>
      </c>
      <c r="F1825" s="152" t="s">
        <v>372</v>
      </c>
      <c r="G1825" s="152" t="s">
        <v>309</v>
      </c>
      <c r="I1825" s="513">
        <v>-175842.05</v>
      </c>
      <c r="J1825" s="513">
        <v>-124.27</v>
      </c>
      <c r="K1825" s="513">
        <v>1415</v>
      </c>
      <c r="L1825" s="518" t="s">
        <v>3632</v>
      </c>
      <c r="M1825" s="152" t="s">
        <v>780</v>
      </c>
      <c r="N1825" s="152" t="s">
        <v>1407</v>
      </c>
      <c r="O1825" s="152" t="s">
        <v>3633</v>
      </c>
      <c r="P1825" s="152" t="s">
        <v>3489</v>
      </c>
      <c r="Q1825" s="152" t="s">
        <v>3634</v>
      </c>
      <c r="R1825" s="152" t="s">
        <v>3827</v>
      </c>
      <c r="S1825" s="152" t="s">
        <v>3636</v>
      </c>
      <c r="T1825" s="152" t="s">
        <v>786</v>
      </c>
    </row>
    <row r="1826" spans="3:20">
      <c r="C1826" s="152" t="s">
        <v>2821</v>
      </c>
      <c r="F1826" s="152" t="s">
        <v>372</v>
      </c>
      <c r="G1826" s="152" t="s">
        <v>309</v>
      </c>
      <c r="I1826" s="513">
        <v>-39110.6</v>
      </c>
      <c r="J1826" s="513">
        <v>-27.64</v>
      </c>
      <c r="K1826" s="513">
        <v>1415</v>
      </c>
      <c r="L1826" s="518" t="s">
        <v>3632</v>
      </c>
      <c r="M1826" s="152" t="s">
        <v>780</v>
      </c>
      <c r="N1826" s="152" t="s">
        <v>1407</v>
      </c>
      <c r="O1826" s="152" t="s">
        <v>3633</v>
      </c>
      <c r="P1826" s="152" t="s">
        <v>3489</v>
      </c>
      <c r="Q1826" s="152" t="s">
        <v>3634</v>
      </c>
      <c r="R1826" s="152" t="s">
        <v>3828</v>
      </c>
      <c r="S1826" s="152" t="s">
        <v>3636</v>
      </c>
      <c r="T1826" s="152" t="s">
        <v>786</v>
      </c>
    </row>
    <row r="1827" spans="3:20">
      <c r="C1827" s="152" t="s">
        <v>2821</v>
      </c>
      <c r="F1827" s="152" t="s">
        <v>372</v>
      </c>
      <c r="G1827" s="152" t="s">
        <v>309</v>
      </c>
      <c r="I1827" s="513">
        <v>-3189340</v>
      </c>
      <c r="J1827" s="513">
        <v>-2278.1</v>
      </c>
      <c r="K1827" s="513">
        <v>1400</v>
      </c>
      <c r="L1827" s="518" t="s">
        <v>3659</v>
      </c>
      <c r="M1827" s="152" t="s">
        <v>780</v>
      </c>
      <c r="N1827" s="152" t="s">
        <v>1407</v>
      </c>
      <c r="O1827" s="152" t="s">
        <v>3795</v>
      </c>
      <c r="P1827" s="152" t="s">
        <v>3489</v>
      </c>
      <c r="Q1827" s="152" t="s">
        <v>3796</v>
      </c>
      <c r="R1827" s="152" t="s">
        <v>3829</v>
      </c>
      <c r="S1827" s="152" t="s">
        <v>3798</v>
      </c>
      <c r="T1827" s="152" t="s">
        <v>786</v>
      </c>
    </row>
    <row r="1828" spans="3:20">
      <c r="C1828" s="152" t="s">
        <v>2821</v>
      </c>
      <c r="F1828" s="152" t="s">
        <v>372</v>
      </c>
      <c r="G1828" s="152" t="s">
        <v>309</v>
      </c>
      <c r="I1828" s="513">
        <v>-449600</v>
      </c>
      <c r="J1828" s="513">
        <v>-320</v>
      </c>
      <c r="K1828" s="513">
        <v>1405</v>
      </c>
      <c r="L1828" s="518" t="s">
        <v>3493</v>
      </c>
      <c r="M1828" s="152" t="s">
        <v>780</v>
      </c>
      <c r="N1828" s="152" t="s">
        <v>1407</v>
      </c>
      <c r="O1828" s="152" t="s">
        <v>3677</v>
      </c>
      <c r="P1828" s="152" t="s">
        <v>3489</v>
      </c>
      <c r="Q1828" s="152" t="s">
        <v>3678</v>
      </c>
      <c r="R1828" s="152" t="s">
        <v>3830</v>
      </c>
      <c r="S1828" s="152" t="s">
        <v>3679</v>
      </c>
      <c r="T1828" s="152" t="s">
        <v>786</v>
      </c>
    </row>
    <row r="1829" spans="3:20">
      <c r="C1829" s="152" t="s">
        <v>2821</v>
      </c>
      <c r="F1829" s="152" t="s">
        <v>372</v>
      </c>
      <c r="G1829" s="152" t="s">
        <v>309</v>
      </c>
      <c r="I1829" s="513">
        <v>-8390.9500000000007</v>
      </c>
      <c r="J1829" s="513">
        <v>-5.93</v>
      </c>
      <c r="K1829" s="513">
        <v>1415</v>
      </c>
      <c r="L1829" s="518" t="s">
        <v>3498</v>
      </c>
      <c r="M1829" s="152" t="s">
        <v>780</v>
      </c>
      <c r="N1829" s="152" t="s">
        <v>1407</v>
      </c>
      <c r="O1829" s="152" t="s">
        <v>3499</v>
      </c>
      <c r="P1829" s="152" t="s">
        <v>3489</v>
      </c>
      <c r="Q1829" s="152" t="s">
        <v>3500</v>
      </c>
      <c r="R1829" s="152" t="s">
        <v>3831</v>
      </c>
      <c r="S1829" s="152" t="s">
        <v>3502</v>
      </c>
      <c r="T1829" s="152" t="s">
        <v>786</v>
      </c>
    </row>
    <row r="1830" spans="3:20">
      <c r="C1830" s="152" t="s">
        <v>2821</v>
      </c>
      <c r="F1830" s="152" t="s">
        <v>372</v>
      </c>
      <c r="G1830" s="152" t="s">
        <v>309</v>
      </c>
      <c r="I1830" s="513">
        <v>-50218</v>
      </c>
      <c r="J1830" s="513">
        <v>-35.869999999999997</v>
      </c>
      <c r="K1830" s="513">
        <v>1400</v>
      </c>
      <c r="L1830" s="518" t="s">
        <v>3659</v>
      </c>
      <c r="M1830" s="152" t="s">
        <v>780</v>
      </c>
      <c r="N1830" s="152" t="s">
        <v>1407</v>
      </c>
      <c r="O1830" s="152" t="s">
        <v>3795</v>
      </c>
      <c r="P1830" s="152" t="s">
        <v>3489</v>
      </c>
      <c r="Q1830" s="152" t="s">
        <v>3796</v>
      </c>
      <c r="R1830" s="152" t="s">
        <v>3832</v>
      </c>
      <c r="S1830" s="152" t="s">
        <v>3798</v>
      </c>
      <c r="T1830" s="152" t="s">
        <v>786</v>
      </c>
    </row>
    <row r="1831" spans="3:20">
      <c r="C1831" s="152" t="s">
        <v>2821</v>
      </c>
      <c r="F1831" s="152" t="s">
        <v>372</v>
      </c>
      <c r="G1831" s="152" t="s">
        <v>309</v>
      </c>
      <c r="I1831" s="513">
        <v>-98093.7</v>
      </c>
      <c r="J1831" s="513">
        <v>-69.569999999999993</v>
      </c>
      <c r="K1831" s="513">
        <v>1410</v>
      </c>
      <c r="L1831" s="518" t="s">
        <v>3659</v>
      </c>
      <c r="M1831" s="152" t="s">
        <v>780</v>
      </c>
      <c r="N1831" s="152" t="s">
        <v>1407</v>
      </c>
      <c r="O1831" s="152" t="s">
        <v>3795</v>
      </c>
      <c r="P1831" s="152" t="s">
        <v>3489</v>
      </c>
      <c r="Q1831" s="152" t="s">
        <v>3796</v>
      </c>
      <c r="R1831" s="152" t="s">
        <v>3833</v>
      </c>
      <c r="S1831" s="152" t="s">
        <v>3798</v>
      </c>
      <c r="T1831" s="152" t="s">
        <v>786</v>
      </c>
    </row>
    <row r="1832" spans="3:20">
      <c r="C1832" s="152" t="s">
        <v>2821</v>
      </c>
      <c r="F1832" s="152" t="s">
        <v>372</v>
      </c>
      <c r="G1832" s="152" t="s">
        <v>309</v>
      </c>
      <c r="I1832" s="513">
        <v>-20927.849999999999</v>
      </c>
      <c r="J1832" s="513">
        <v>-14.79</v>
      </c>
      <c r="K1832" s="513">
        <v>1415</v>
      </c>
      <c r="L1832" s="518" t="s">
        <v>3493</v>
      </c>
      <c r="M1832" s="152" t="s">
        <v>780</v>
      </c>
      <c r="N1832" s="152" t="s">
        <v>1407</v>
      </c>
      <c r="O1832" s="152" t="s">
        <v>3677</v>
      </c>
      <c r="P1832" s="152" t="s">
        <v>3489</v>
      </c>
      <c r="Q1832" s="152" t="s">
        <v>3678</v>
      </c>
      <c r="R1832" s="152" t="s">
        <v>3834</v>
      </c>
      <c r="S1832" s="152" t="s">
        <v>3679</v>
      </c>
      <c r="T1832" s="152" t="s">
        <v>786</v>
      </c>
    </row>
    <row r="1833" spans="3:20">
      <c r="C1833" s="152" t="s">
        <v>2821</v>
      </c>
      <c r="F1833" s="152" t="s">
        <v>372</v>
      </c>
      <c r="G1833" s="152" t="s">
        <v>309</v>
      </c>
      <c r="I1833" s="513">
        <v>-141500</v>
      </c>
      <c r="J1833" s="513">
        <v>-100</v>
      </c>
      <c r="K1833" s="513">
        <v>1415</v>
      </c>
      <c r="L1833" s="518" t="s">
        <v>3493</v>
      </c>
      <c r="M1833" s="152" t="s">
        <v>780</v>
      </c>
      <c r="N1833" s="152" t="s">
        <v>1407</v>
      </c>
      <c r="O1833" s="152" t="s">
        <v>3677</v>
      </c>
      <c r="P1833" s="152" t="s">
        <v>3489</v>
      </c>
      <c r="Q1833" s="152" t="s">
        <v>3678</v>
      </c>
      <c r="R1833" s="152" t="s">
        <v>3834</v>
      </c>
      <c r="S1833" s="152" t="s">
        <v>3679</v>
      </c>
      <c r="T1833" s="152" t="s">
        <v>786</v>
      </c>
    </row>
    <row r="1834" spans="3:20">
      <c r="C1834" s="152" t="s">
        <v>2821</v>
      </c>
      <c r="F1834" s="152" t="s">
        <v>372</v>
      </c>
      <c r="G1834" s="152" t="s">
        <v>309</v>
      </c>
      <c r="I1834" s="513">
        <v>-12825</v>
      </c>
      <c r="J1834" s="513">
        <v>-9</v>
      </c>
      <c r="K1834" s="513">
        <v>1425</v>
      </c>
      <c r="L1834" s="518" t="s">
        <v>3504</v>
      </c>
      <c r="M1834" s="152" t="s">
        <v>780</v>
      </c>
      <c r="N1834" s="152" t="s">
        <v>1407</v>
      </c>
      <c r="O1834" s="152" t="s">
        <v>3505</v>
      </c>
      <c r="P1834" s="152" t="s">
        <v>3489</v>
      </c>
      <c r="Q1834" s="152" t="s">
        <v>3506</v>
      </c>
      <c r="R1834" s="152" t="s">
        <v>3835</v>
      </c>
      <c r="S1834" s="152" t="s">
        <v>3508</v>
      </c>
      <c r="T1834" s="152" t="s">
        <v>786</v>
      </c>
    </row>
    <row r="1835" spans="3:20">
      <c r="C1835" s="152" t="s">
        <v>2821</v>
      </c>
      <c r="F1835" s="152" t="s">
        <v>372</v>
      </c>
      <c r="G1835" s="152" t="s">
        <v>309</v>
      </c>
      <c r="I1835" s="513">
        <v>-882960</v>
      </c>
      <c r="J1835" s="513">
        <v>-624</v>
      </c>
      <c r="K1835" s="513">
        <v>1415</v>
      </c>
      <c r="L1835" s="518" t="s">
        <v>3632</v>
      </c>
      <c r="M1835" s="152" t="s">
        <v>780</v>
      </c>
      <c r="N1835" s="152" t="s">
        <v>1407</v>
      </c>
      <c r="O1835" s="152" t="s">
        <v>3633</v>
      </c>
      <c r="P1835" s="152" t="s">
        <v>3489</v>
      </c>
      <c r="Q1835" s="152" t="s">
        <v>3634</v>
      </c>
      <c r="R1835" s="152" t="s">
        <v>3836</v>
      </c>
      <c r="S1835" s="152" t="s">
        <v>3636</v>
      </c>
      <c r="T1835" s="152" t="s">
        <v>786</v>
      </c>
    </row>
    <row r="1836" spans="3:20">
      <c r="C1836" s="152" t="s">
        <v>2821</v>
      </c>
      <c r="F1836" s="152" t="s">
        <v>372</v>
      </c>
      <c r="G1836" s="152" t="s">
        <v>309</v>
      </c>
      <c r="I1836" s="513">
        <v>-732005</v>
      </c>
      <c r="J1836" s="513">
        <v>-521</v>
      </c>
      <c r="K1836" s="513">
        <v>1405</v>
      </c>
      <c r="L1836" s="518" t="s">
        <v>3493</v>
      </c>
      <c r="M1836" s="152" t="s">
        <v>780</v>
      </c>
      <c r="N1836" s="152" t="s">
        <v>1407</v>
      </c>
      <c r="O1836" s="152" t="s">
        <v>3677</v>
      </c>
      <c r="P1836" s="152" t="s">
        <v>3489</v>
      </c>
      <c r="Q1836" s="152" t="s">
        <v>3678</v>
      </c>
      <c r="R1836" s="152" t="s">
        <v>3836</v>
      </c>
      <c r="S1836" s="152" t="s">
        <v>3679</v>
      </c>
      <c r="T1836" s="152" t="s">
        <v>786</v>
      </c>
    </row>
    <row r="1837" spans="3:20">
      <c r="C1837" s="152" t="s">
        <v>2821</v>
      </c>
      <c r="F1837" s="152" t="s">
        <v>372</v>
      </c>
      <c r="G1837" s="152" t="s">
        <v>309</v>
      </c>
      <c r="I1837" s="513">
        <v>-1050000</v>
      </c>
      <c r="J1837" s="513">
        <v>-750</v>
      </c>
      <c r="K1837" s="513">
        <v>1400</v>
      </c>
      <c r="L1837" s="518" t="s">
        <v>3659</v>
      </c>
      <c r="M1837" s="152" t="s">
        <v>780</v>
      </c>
      <c r="N1837" s="152" t="s">
        <v>1407</v>
      </c>
      <c r="O1837" s="152" t="s">
        <v>3795</v>
      </c>
      <c r="P1837" s="152" t="s">
        <v>3489</v>
      </c>
      <c r="Q1837" s="152" t="s">
        <v>3796</v>
      </c>
      <c r="R1837" s="152" t="s">
        <v>3837</v>
      </c>
      <c r="S1837" s="152" t="s">
        <v>3798</v>
      </c>
      <c r="T1837" s="152" t="s">
        <v>786</v>
      </c>
    </row>
    <row r="1838" spans="3:20">
      <c r="C1838" s="152" t="s">
        <v>2821</v>
      </c>
      <c r="F1838" s="152" t="s">
        <v>372</v>
      </c>
      <c r="G1838" s="152" t="s">
        <v>309</v>
      </c>
      <c r="I1838" s="513">
        <v>-22442</v>
      </c>
      <c r="J1838" s="513">
        <v>-16.03</v>
      </c>
      <c r="K1838" s="513">
        <v>1400</v>
      </c>
      <c r="L1838" s="518" t="s">
        <v>3659</v>
      </c>
      <c r="M1838" s="152" t="s">
        <v>780</v>
      </c>
      <c r="N1838" s="152" t="s">
        <v>1407</v>
      </c>
      <c r="O1838" s="152" t="s">
        <v>3795</v>
      </c>
      <c r="P1838" s="152" t="s">
        <v>3489</v>
      </c>
      <c r="Q1838" s="152" t="s">
        <v>3796</v>
      </c>
      <c r="R1838" s="152" t="s">
        <v>3838</v>
      </c>
      <c r="S1838" s="152" t="s">
        <v>3798</v>
      </c>
      <c r="T1838" s="152" t="s">
        <v>786</v>
      </c>
    </row>
    <row r="1839" spans="3:20">
      <c r="C1839" s="152" t="s">
        <v>2821</v>
      </c>
      <c r="F1839" s="152" t="s">
        <v>372</v>
      </c>
      <c r="G1839" s="152" t="s">
        <v>309</v>
      </c>
      <c r="I1839" s="513">
        <v>-75995.25</v>
      </c>
      <c r="J1839" s="513">
        <v>-53.33</v>
      </c>
      <c r="K1839" s="513">
        <v>1425</v>
      </c>
      <c r="L1839" s="518" t="s">
        <v>3504</v>
      </c>
      <c r="M1839" s="152" t="s">
        <v>780</v>
      </c>
      <c r="N1839" s="152" t="s">
        <v>1407</v>
      </c>
      <c r="O1839" s="152" t="s">
        <v>3505</v>
      </c>
      <c r="P1839" s="152" t="s">
        <v>3489</v>
      </c>
      <c r="Q1839" s="152" t="s">
        <v>3506</v>
      </c>
      <c r="R1839" s="152" t="s">
        <v>3839</v>
      </c>
      <c r="S1839" s="152" t="s">
        <v>3508</v>
      </c>
      <c r="T1839" s="152" t="s">
        <v>786</v>
      </c>
    </row>
    <row r="1840" spans="3:20">
      <c r="C1840" s="152" t="s">
        <v>2821</v>
      </c>
      <c r="F1840" s="152" t="s">
        <v>372</v>
      </c>
      <c r="G1840" s="152" t="s">
        <v>309</v>
      </c>
      <c r="I1840" s="513">
        <v>-151716.29999999999</v>
      </c>
      <c r="J1840" s="513">
        <v>-107.22</v>
      </c>
      <c r="K1840" s="513">
        <v>1415</v>
      </c>
      <c r="L1840" s="518" t="s">
        <v>3498</v>
      </c>
      <c r="M1840" s="152" t="s">
        <v>780</v>
      </c>
      <c r="N1840" s="152" t="s">
        <v>1407</v>
      </c>
      <c r="O1840" s="152" t="s">
        <v>3499</v>
      </c>
      <c r="P1840" s="152" t="s">
        <v>3489</v>
      </c>
      <c r="Q1840" s="152" t="s">
        <v>3500</v>
      </c>
      <c r="R1840" s="152" t="s">
        <v>3840</v>
      </c>
      <c r="S1840" s="152" t="s">
        <v>3502</v>
      </c>
      <c r="T1840" s="152" t="s">
        <v>786</v>
      </c>
    </row>
    <row r="1841" spans="3:20">
      <c r="C1841" s="152" t="s">
        <v>2821</v>
      </c>
      <c r="F1841" s="152" t="s">
        <v>372</v>
      </c>
      <c r="G1841" s="152" t="s">
        <v>309</v>
      </c>
      <c r="I1841" s="513">
        <v>-162763.5</v>
      </c>
      <c r="J1841" s="513">
        <v>-114.22</v>
      </c>
      <c r="K1841" s="513">
        <v>1425</v>
      </c>
      <c r="L1841" s="518" t="s">
        <v>3504</v>
      </c>
      <c r="M1841" s="152" t="s">
        <v>780</v>
      </c>
      <c r="N1841" s="152" t="s">
        <v>1407</v>
      </c>
      <c r="O1841" s="152" t="s">
        <v>3505</v>
      </c>
      <c r="P1841" s="152" t="s">
        <v>3489</v>
      </c>
      <c r="Q1841" s="152" t="s">
        <v>3506</v>
      </c>
      <c r="R1841" s="152" t="s">
        <v>3841</v>
      </c>
      <c r="S1841" s="152" t="s">
        <v>3508</v>
      </c>
      <c r="T1841" s="152" t="s">
        <v>786</v>
      </c>
    </row>
    <row r="1842" spans="3:20">
      <c r="C1842" s="152" t="s">
        <v>2821</v>
      </c>
      <c r="F1842" s="152" t="s">
        <v>372</v>
      </c>
      <c r="G1842" s="152" t="s">
        <v>309</v>
      </c>
      <c r="I1842" s="513">
        <v>-122411.65</v>
      </c>
      <c r="J1842" s="513">
        <v>-86.51</v>
      </c>
      <c r="K1842" s="513">
        <v>1415</v>
      </c>
      <c r="L1842" s="518" t="s">
        <v>3511</v>
      </c>
      <c r="M1842" s="152" t="s">
        <v>780</v>
      </c>
      <c r="N1842" s="152" t="s">
        <v>1407</v>
      </c>
      <c r="O1842" s="152" t="s">
        <v>3512</v>
      </c>
      <c r="P1842" s="152" t="s">
        <v>3489</v>
      </c>
      <c r="Q1842" s="152" t="s">
        <v>3513</v>
      </c>
      <c r="R1842" s="152" t="s">
        <v>3841</v>
      </c>
      <c r="S1842" s="152" t="s">
        <v>3515</v>
      </c>
      <c r="T1842" s="152" t="s">
        <v>786</v>
      </c>
    </row>
    <row r="1843" spans="3:20">
      <c r="C1843" s="152" t="s">
        <v>2821</v>
      </c>
      <c r="F1843" s="152" t="s">
        <v>372</v>
      </c>
      <c r="G1843" s="152" t="s">
        <v>309</v>
      </c>
      <c r="I1843" s="513">
        <v>-134679.70000000001</v>
      </c>
      <c r="J1843" s="513">
        <v>-95.18</v>
      </c>
      <c r="K1843" s="513">
        <v>1415</v>
      </c>
      <c r="L1843" s="518" t="s">
        <v>3632</v>
      </c>
      <c r="M1843" s="152" t="s">
        <v>780</v>
      </c>
      <c r="N1843" s="152" t="s">
        <v>1407</v>
      </c>
      <c r="O1843" s="152" t="s">
        <v>3633</v>
      </c>
      <c r="P1843" s="152" t="s">
        <v>3489</v>
      </c>
      <c r="Q1843" s="152" t="s">
        <v>3634</v>
      </c>
      <c r="R1843" s="152" t="s">
        <v>3841</v>
      </c>
      <c r="S1843" s="152" t="s">
        <v>3636</v>
      </c>
      <c r="T1843" s="152" t="s">
        <v>786</v>
      </c>
    </row>
    <row r="1844" spans="3:20">
      <c r="C1844" s="152" t="s">
        <v>2821</v>
      </c>
      <c r="F1844" s="152" t="s">
        <v>372</v>
      </c>
      <c r="G1844" s="152" t="s">
        <v>309</v>
      </c>
      <c r="I1844" s="513">
        <v>-102438</v>
      </c>
      <c r="J1844" s="513">
        <v>-73.17</v>
      </c>
      <c r="K1844" s="513">
        <v>1400</v>
      </c>
      <c r="L1844" s="518" t="s">
        <v>3659</v>
      </c>
      <c r="M1844" s="152" t="s">
        <v>780</v>
      </c>
      <c r="N1844" s="152" t="s">
        <v>1407</v>
      </c>
      <c r="O1844" s="152" t="s">
        <v>3795</v>
      </c>
      <c r="P1844" s="152" t="s">
        <v>3489</v>
      </c>
      <c r="Q1844" s="152" t="s">
        <v>3796</v>
      </c>
      <c r="R1844" s="152" t="s">
        <v>3842</v>
      </c>
      <c r="S1844" s="152" t="s">
        <v>3798</v>
      </c>
      <c r="T1844" s="152" t="s">
        <v>786</v>
      </c>
    </row>
    <row r="1845" spans="3:20">
      <c r="C1845" s="152" t="s">
        <v>2821</v>
      </c>
      <c r="F1845" s="152" t="s">
        <v>372</v>
      </c>
      <c r="G1845" s="152" t="s">
        <v>309</v>
      </c>
      <c r="I1845" s="513">
        <v>-12152</v>
      </c>
      <c r="J1845" s="513">
        <v>-8.68</v>
      </c>
      <c r="K1845" s="513">
        <v>1400</v>
      </c>
      <c r="L1845" s="518" t="s">
        <v>3659</v>
      </c>
      <c r="M1845" s="152" t="s">
        <v>780</v>
      </c>
      <c r="N1845" s="152" t="s">
        <v>1407</v>
      </c>
      <c r="O1845" s="152" t="s">
        <v>3795</v>
      </c>
      <c r="P1845" s="152" t="s">
        <v>3489</v>
      </c>
      <c r="Q1845" s="152" t="s">
        <v>3796</v>
      </c>
      <c r="R1845" s="152" t="s">
        <v>3843</v>
      </c>
      <c r="S1845" s="152" t="s">
        <v>3798</v>
      </c>
      <c r="T1845" s="152" t="s">
        <v>786</v>
      </c>
    </row>
    <row r="1846" spans="3:20">
      <c r="C1846" s="152" t="s">
        <v>2821</v>
      </c>
      <c r="F1846" s="152" t="s">
        <v>372</v>
      </c>
      <c r="G1846" s="152" t="s">
        <v>309</v>
      </c>
      <c r="I1846" s="513">
        <v>-7740.05</v>
      </c>
      <c r="J1846" s="513">
        <v>-5.47</v>
      </c>
      <c r="K1846" s="513">
        <v>1415</v>
      </c>
      <c r="L1846" s="518" t="s">
        <v>3498</v>
      </c>
      <c r="M1846" s="152" t="s">
        <v>780</v>
      </c>
      <c r="N1846" s="152" t="s">
        <v>1407</v>
      </c>
      <c r="O1846" s="152" t="s">
        <v>3499</v>
      </c>
      <c r="P1846" s="152" t="s">
        <v>3489</v>
      </c>
      <c r="Q1846" s="152" t="s">
        <v>3500</v>
      </c>
      <c r="R1846" s="152" t="s">
        <v>3844</v>
      </c>
      <c r="S1846" s="152" t="s">
        <v>3502</v>
      </c>
      <c r="T1846" s="152" t="s">
        <v>786</v>
      </c>
    </row>
    <row r="1847" spans="3:20">
      <c r="C1847" s="152" t="s">
        <v>2821</v>
      </c>
      <c r="F1847" s="152" t="s">
        <v>372</v>
      </c>
      <c r="G1847" s="152" t="s">
        <v>309</v>
      </c>
      <c r="I1847" s="513">
        <v>-1103.7</v>
      </c>
      <c r="J1847" s="513">
        <v>-0.78</v>
      </c>
      <c r="K1847" s="513">
        <v>1415</v>
      </c>
      <c r="L1847" s="518" t="s">
        <v>3498</v>
      </c>
      <c r="M1847" s="152" t="s">
        <v>780</v>
      </c>
      <c r="N1847" s="152" t="s">
        <v>1407</v>
      </c>
      <c r="O1847" s="152" t="s">
        <v>3499</v>
      </c>
      <c r="P1847" s="152" t="s">
        <v>3489</v>
      </c>
      <c r="Q1847" s="152" t="s">
        <v>3500</v>
      </c>
      <c r="R1847" s="152" t="s">
        <v>3845</v>
      </c>
      <c r="S1847" s="152" t="s">
        <v>3502</v>
      </c>
      <c r="T1847" s="152" t="s">
        <v>786</v>
      </c>
    </row>
    <row r="1848" spans="3:20">
      <c r="C1848" s="152" t="s">
        <v>2821</v>
      </c>
      <c r="F1848" s="152" t="s">
        <v>372</v>
      </c>
      <c r="G1848" s="152" t="s">
        <v>309</v>
      </c>
      <c r="I1848" s="513">
        <v>-24449.4</v>
      </c>
      <c r="J1848" s="513">
        <v>-17.34</v>
      </c>
      <c r="K1848" s="513">
        <v>1410</v>
      </c>
      <c r="L1848" s="518" t="s">
        <v>3659</v>
      </c>
      <c r="M1848" s="152" t="s">
        <v>780</v>
      </c>
      <c r="N1848" s="152" t="s">
        <v>1407</v>
      </c>
      <c r="O1848" s="152" t="s">
        <v>3795</v>
      </c>
      <c r="P1848" s="152" t="s">
        <v>3489</v>
      </c>
      <c r="Q1848" s="152" t="s">
        <v>3796</v>
      </c>
      <c r="R1848" s="152" t="s">
        <v>3846</v>
      </c>
      <c r="S1848" s="152" t="s">
        <v>3798</v>
      </c>
      <c r="T1848" s="152" t="s">
        <v>786</v>
      </c>
    </row>
    <row r="1849" spans="3:20">
      <c r="C1849" s="152" t="s">
        <v>2821</v>
      </c>
      <c r="F1849" s="152" t="s">
        <v>372</v>
      </c>
      <c r="G1849" s="152" t="s">
        <v>309</v>
      </c>
      <c r="I1849" s="513">
        <v>-7740.05</v>
      </c>
      <c r="J1849" s="513">
        <v>-5.47</v>
      </c>
      <c r="K1849" s="513">
        <v>1415</v>
      </c>
      <c r="L1849" s="518" t="s">
        <v>3498</v>
      </c>
      <c r="M1849" s="152" t="s">
        <v>780</v>
      </c>
      <c r="N1849" s="152" t="s">
        <v>1407</v>
      </c>
      <c r="O1849" s="152" t="s">
        <v>3499</v>
      </c>
      <c r="P1849" s="152" t="s">
        <v>3489</v>
      </c>
      <c r="Q1849" s="152" t="s">
        <v>3500</v>
      </c>
      <c r="R1849" s="152" t="s">
        <v>3847</v>
      </c>
      <c r="S1849" s="152" t="s">
        <v>3502</v>
      </c>
      <c r="T1849" s="152" t="s">
        <v>786</v>
      </c>
    </row>
    <row r="1850" spans="3:20">
      <c r="C1850" s="152" t="s">
        <v>2821</v>
      </c>
      <c r="F1850" s="152" t="s">
        <v>372</v>
      </c>
      <c r="G1850" s="152" t="s">
        <v>309</v>
      </c>
      <c r="I1850" s="513">
        <v>-63616</v>
      </c>
      <c r="J1850" s="513">
        <v>-45.44</v>
      </c>
      <c r="K1850" s="513">
        <v>1400</v>
      </c>
      <c r="L1850" s="518" t="s">
        <v>3632</v>
      </c>
      <c r="M1850" s="152" t="s">
        <v>780</v>
      </c>
      <c r="N1850" s="152" t="s">
        <v>1407</v>
      </c>
      <c r="O1850" s="152" t="s">
        <v>3633</v>
      </c>
      <c r="P1850" s="152" t="s">
        <v>3489</v>
      </c>
      <c r="Q1850" s="152" t="s">
        <v>3634</v>
      </c>
      <c r="R1850" s="152" t="s">
        <v>3848</v>
      </c>
      <c r="S1850" s="152" t="s">
        <v>3636</v>
      </c>
      <c r="T1850" s="152" t="s">
        <v>786</v>
      </c>
    </row>
    <row r="1851" spans="3:20">
      <c r="C1851" s="152" t="s">
        <v>2821</v>
      </c>
      <c r="F1851" s="152" t="s">
        <v>372</v>
      </c>
      <c r="G1851" s="152" t="s">
        <v>309</v>
      </c>
      <c r="I1851" s="513">
        <v>-747120</v>
      </c>
      <c r="J1851" s="513">
        <v>-528</v>
      </c>
      <c r="K1851" s="513">
        <v>1415</v>
      </c>
      <c r="L1851" s="518" t="s">
        <v>3511</v>
      </c>
      <c r="M1851" s="152" t="s">
        <v>780</v>
      </c>
      <c r="N1851" s="152" t="s">
        <v>1407</v>
      </c>
      <c r="O1851" s="152" t="s">
        <v>3512</v>
      </c>
      <c r="P1851" s="152" t="s">
        <v>3489</v>
      </c>
      <c r="Q1851" s="152" t="s">
        <v>3513</v>
      </c>
      <c r="R1851" s="152" t="s">
        <v>3849</v>
      </c>
      <c r="S1851" s="152" t="s">
        <v>3515</v>
      </c>
      <c r="T1851" s="152" t="s">
        <v>786</v>
      </c>
    </row>
    <row r="1852" spans="3:20">
      <c r="C1852" s="152" t="s">
        <v>2821</v>
      </c>
      <c r="F1852" s="152" t="s">
        <v>372</v>
      </c>
      <c r="G1852" s="152" t="s">
        <v>309</v>
      </c>
      <c r="I1852" s="513">
        <v>-44459.3</v>
      </c>
      <c r="J1852" s="513">
        <v>-31.42</v>
      </c>
      <c r="K1852" s="513">
        <v>1415</v>
      </c>
      <c r="L1852" s="518" t="s">
        <v>3632</v>
      </c>
      <c r="M1852" s="152" t="s">
        <v>780</v>
      </c>
      <c r="N1852" s="152" t="s">
        <v>1407</v>
      </c>
      <c r="O1852" s="152" t="s">
        <v>3633</v>
      </c>
      <c r="P1852" s="152" t="s">
        <v>3489</v>
      </c>
      <c r="Q1852" s="152" t="s">
        <v>3634</v>
      </c>
      <c r="R1852" s="152" t="s">
        <v>3850</v>
      </c>
      <c r="S1852" s="152" t="s">
        <v>3636</v>
      </c>
      <c r="T1852" s="152" t="s">
        <v>786</v>
      </c>
    </row>
    <row r="1853" spans="3:20">
      <c r="C1853" s="152" t="s">
        <v>2821</v>
      </c>
      <c r="F1853" s="152" t="s">
        <v>372</v>
      </c>
      <c r="G1853" s="152" t="s">
        <v>309</v>
      </c>
      <c r="I1853" s="513">
        <v>-5377</v>
      </c>
      <c r="J1853" s="513">
        <v>-3.8</v>
      </c>
      <c r="K1853" s="513">
        <v>1415</v>
      </c>
      <c r="L1853" s="518" t="s">
        <v>3632</v>
      </c>
      <c r="M1853" s="152" t="s">
        <v>780</v>
      </c>
      <c r="N1853" s="152" t="s">
        <v>1407</v>
      </c>
      <c r="O1853" s="152" t="s">
        <v>3633</v>
      </c>
      <c r="P1853" s="152" t="s">
        <v>3489</v>
      </c>
      <c r="Q1853" s="152" t="s">
        <v>3634</v>
      </c>
      <c r="R1853" s="152" t="s">
        <v>3851</v>
      </c>
      <c r="S1853" s="152" t="s">
        <v>3636</v>
      </c>
      <c r="T1853" s="152" t="s">
        <v>786</v>
      </c>
    </row>
    <row r="1854" spans="3:20">
      <c r="C1854" s="152" t="s">
        <v>2821</v>
      </c>
      <c r="F1854" s="152" t="s">
        <v>372</v>
      </c>
      <c r="G1854" s="152" t="s">
        <v>309</v>
      </c>
      <c r="I1854" s="513">
        <v>-12918.95</v>
      </c>
      <c r="J1854" s="513">
        <v>-9.1300000000000008</v>
      </c>
      <c r="K1854" s="513">
        <v>1415</v>
      </c>
      <c r="L1854" s="518" t="s">
        <v>3632</v>
      </c>
      <c r="M1854" s="152" t="s">
        <v>780</v>
      </c>
      <c r="N1854" s="152" t="s">
        <v>1407</v>
      </c>
      <c r="O1854" s="152" t="s">
        <v>3633</v>
      </c>
      <c r="P1854" s="152" t="s">
        <v>3489</v>
      </c>
      <c r="Q1854" s="152" t="s">
        <v>3634</v>
      </c>
      <c r="R1854" s="152" t="s">
        <v>3852</v>
      </c>
      <c r="S1854" s="152" t="s">
        <v>3636</v>
      </c>
      <c r="T1854" s="152" t="s">
        <v>786</v>
      </c>
    </row>
    <row r="1855" spans="3:20">
      <c r="C1855" s="152" t="s">
        <v>2821</v>
      </c>
      <c r="F1855" s="152" t="s">
        <v>372</v>
      </c>
      <c r="G1855" s="152" t="s">
        <v>309</v>
      </c>
      <c r="I1855" s="513">
        <v>-26559.55</v>
      </c>
      <c r="J1855" s="513">
        <v>-18.77</v>
      </c>
      <c r="K1855" s="513">
        <v>1415</v>
      </c>
      <c r="L1855" s="518" t="s">
        <v>3632</v>
      </c>
      <c r="M1855" s="152" t="s">
        <v>780</v>
      </c>
      <c r="N1855" s="152" t="s">
        <v>1407</v>
      </c>
      <c r="O1855" s="152" t="s">
        <v>3633</v>
      </c>
      <c r="P1855" s="152" t="s">
        <v>3489</v>
      </c>
      <c r="Q1855" s="152" t="s">
        <v>3634</v>
      </c>
      <c r="R1855" s="152" t="s">
        <v>3853</v>
      </c>
      <c r="S1855" s="152" t="s">
        <v>3636</v>
      </c>
      <c r="T1855" s="152" t="s">
        <v>786</v>
      </c>
    </row>
    <row r="1856" spans="3:20">
      <c r="C1856" s="152" t="s">
        <v>2821</v>
      </c>
      <c r="F1856" s="152" t="s">
        <v>372</v>
      </c>
      <c r="G1856" s="152" t="s">
        <v>309</v>
      </c>
      <c r="I1856" s="513">
        <v>-71485.8</v>
      </c>
      <c r="J1856" s="513">
        <v>-50.52</v>
      </c>
      <c r="K1856" s="513">
        <v>1415</v>
      </c>
      <c r="L1856" s="518" t="s">
        <v>3632</v>
      </c>
      <c r="M1856" s="152" t="s">
        <v>780</v>
      </c>
      <c r="N1856" s="152" t="s">
        <v>1407</v>
      </c>
      <c r="O1856" s="152" t="s">
        <v>3633</v>
      </c>
      <c r="P1856" s="152" t="s">
        <v>3489</v>
      </c>
      <c r="Q1856" s="152" t="s">
        <v>3634</v>
      </c>
      <c r="R1856" s="152" t="s">
        <v>3854</v>
      </c>
      <c r="S1856" s="152" t="s">
        <v>3636</v>
      </c>
      <c r="T1856" s="152" t="s">
        <v>786</v>
      </c>
    </row>
    <row r="1857" spans="3:20">
      <c r="C1857" s="152" t="s">
        <v>2821</v>
      </c>
      <c r="F1857" s="152" t="s">
        <v>372</v>
      </c>
      <c r="G1857" s="152" t="s">
        <v>309</v>
      </c>
      <c r="I1857" s="513">
        <v>-16520</v>
      </c>
      <c r="J1857" s="513">
        <v>-11.8</v>
      </c>
      <c r="K1857" s="513">
        <v>1400</v>
      </c>
      <c r="L1857" s="518" t="s">
        <v>3659</v>
      </c>
      <c r="M1857" s="152" t="s">
        <v>780</v>
      </c>
      <c r="N1857" s="152" t="s">
        <v>1407</v>
      </c>
      <c r="O1857" s="152" t="s">
        <v>3795</v>
      </c>
      <c r="P1857" s="152" t="s">
        <v>3489</v>
      </c>
      <c r="Q1857" s="152" t="s">
        <v>3796</v>
      </c>
      <c r="R1857" s="152" t="s">
        <v>3855</v>
      </c>
      <c r="S1857" s="152" t="s">
        <v>3798</v>
      </c>
      <c r="T1857" s="152" t="s">
        <v>786</v>
      </c>
    </row>
    <row r="1858" spans="3:20">
      <c r="C1858" s="152" t="s">
        <v>2821</v>
      </c>
      <c r="F1858" s="152" t="s">
        <v>372</v>
      </c>
      <c r="G1858" s="152" t="s">
        <v>309</v>
      </c>
      <c r="I1858" s="513">
        <v>-2186175</v>
      </c>
      <c r="J1858" s="513">
        <v>-1545</v>
      </c>
      <c r="K1858" s="513">
        <v>1415</v>
      </c>
      <c r="L1858" s="518" t="s">
        <v>3511</v>
      </c>
      <c r="M1858" s="152" t="s">
        <v>780</v>
      </c>
      <c r="N1858" s="152" t="s">
        <v>1407</v>
      </c>
      <c r="O1858" s="152" t="s">
        <v>3512</v>
      </c>
      <c r="P1858" s="152" t="s">
        <v>3489</v>
      </c>
      <c r="Q1858" s="152" t="s">
        <v>3513</v>
      </c>
      <c r="R1858" s="152" t="s">
        <v>3856</v>
      </c>
      <c r="S1858" s="152" t="s">
        <v>3515</v>
      </c>
      <c r="T1858" s="152" t="s">
        <v>786</v>
      </c>
    </row>
    <row r="1859" spans="3:20">
      <c r="C1859" s="152" t="s">
        <v>2821</v>
      </c>
      <c r="F1859" s="152" t="s">
        <v>372</v>
      </c>
      <c r="G1859" s="152" t="s">
        <v>309</v>
      </c>
      <c r="I1859" s="513">
        <v>-22526.799999999999</v>
      </c>
      <c r="J1859" s="513">
        <v>-15.92</v>
      </c>
      <c r="K1859" s="513">
        <v>1415</v>
      </c>
      <c r="L1859" s="518" t="s">
        <v>3632</v>
      </c>
      <c r="M1859" s="152" t="s">
        <v>780</v>
      </c>
      <c r="N1859" s="152" t="s">
        <v>1407</v>
      </c>
      <c r="O1859" s="152" t="s">
        <v>3633</v>
      </c>
      <c r="P1859" s="152" t="s">
        <v>3489</v>
      </c>
      <c r="Q1859" s="152" t="s">
        <v>3634</v>
      </c>
      <c r="R1859" s="152" t="s">
        <v>3857</v>
      </c>
      <c r="S1859" s="152" t="s">
        <v>3636</v>
      </c>
      <c r="T1859" s="152" t="s">
        <v>786</v>
      </c>
    </row>
    <row r="1860" spans="3:20">
      <c r="C1860" s="152" t="s">
        <v>2821</v>
      </c>
      <c r="F1860" s="152" t="s">
        <v>372</v>
      </c>
      <c r="G1860" s="152" t="s">
        <v>309</v>
      </c>
      <c r="I1860" s="513">
        <v>-10800</v>
      </c>
      <c r="J1860" s="513">
        <v>-7.5</v>
      </c>
      <c r="K1860" s="513">
        <v>1440</v>
      </c>
      <c r="L1860" s="518" t="s">
        <v>3517</v>
      </c>
      <c r="M1860" s="152" t="s">
        <v>780</v>
      </c>
      <c r="N1860" s="152" t="s">
        <v>1407</v>
      </c>
      <c r="O1860" s="152" t="s">
        <v>3518</v>
      </c>
      <c r="P1860" s="152" t="s">
        <v>892</v>
      </c>
      <c r="Q1860" s="152" t="s">
        <v>3519</v>
      </c>
      <c r="R1860" s="152" t="s">
        <v>3860</v>
      </c>
      <c r="S1860" s="152" t="s">
        <v>3521</v>
      </c>
      <c r="T1860" s="152" t="s">
        <v>786</v>
      </c>
    </row>
    <row r="1861" spans="3:20">
      <c r="C1861" s="152" t="s">
        <v>2821</v>
      </c>
      <c r="F1861" s="152" t="s">
        <v>372</v>
      </c>
      <c r="G1861" s="152" t="s">
        <v>309</v>
      </c>
      <c r="I1861" s="513">
        <v>-225508.55</v>
      </c>
      <c r="J1861" s="513">
        <v>-159.37</v>
      </c>
      <c r="K1861" s="513">
        <v>1415</v>
      </c>
      <c r="L1861" s="518" t="s">
        <v>3511</v>
      </c>
      <c r="M1861" s="152" t="s">
        <v>780</v>
      </c>
      <c r="N1861" s="152" t="s">
        <v>1407</v>
      </c>
      <c r="O1861" s="152" t="s">
        <v>3512</v>
      </c>
      <c r="P1861" s="152" t="s">
        <v>3489</v>
      </c>
      <c r="Q1861" s="152" t="s">
        <v>3513</v>
      </c>
      <c r="R1861" s="152" t="s">
        <v>3881</v>
      </c>
      <c r="S1861" s="152" t="s">
        <v>3515</v>
      </c>
      <c r="T1861" s="152" t="s">
        <v>786</v>
      </c>
    </row>
    <row r="1862" spans="3:20">
      <c r="C1862" s="152" t="s">
        <v>2821</v>
      </c>
      <c r="F1862" s="152" t="s">
        <v>372</v>
      </c>
      <c r="G1862" s="152" t="s">
        <v>309</v>
      </c>
      <c r="I1862" s="513">
        <v>-22116</v>
      </c>
      <c r="J1862" s="513">
        <v>-15.52</v>
      </c>
      <c r="K1862" s="513">
        <v>1425</v>
      </c>
      <c r="L1862" s="518" t="s">
        <v>3504</v>
      </c>
      <c r="M1862" s="152" t="s">
        <v>780</v>
      </c>
      <c r="N1862" s="152" t="s">
        <v>1407</v>
      </c>
      <c r="O1862" s="152" t="s">
        <v>3505</v>
      </c>
      <c r="P1862" s="152" t="s">
        <v>3489</v>
      </c>
      <c r="Q1862" s="152" t="s">
        <v>3506</v>
      </c>
      <c r="R1862" s="152" t="s">
        <v>3891</v>
      </c>
      <c r="S1862" s="152" t="s">
        <v>3508</v>
      </c>
      <c r="T1862" s="152" t="s">
        <v>786</v>
      </c>
    </row>
    <row r="1863" spans="3:20">
      <c r="C1863" s="152" t="s">
        <v>2821</v>
      </c>
      <c r="F1863" s="152" t="s">
        <v>372</v>
      </c>
      <c r="G1863" s="152" t="s">
        <v>309</v>
      </c>
      <c r="I1863" s="513">
        <v>-12355.2</v>
      </c>
      <c r="J1863" s="513">
        <v>-8.58</v>
      </c>
      <c r="K1863" s="513">
        <v>1440</v>
      </c>
      <c r="L1863" s="518" t="s">
        <v>3637</v>
      </c>
      <c r="M1863" s="152" t="s">
        <v>780</v>
      </c>
      <c r="N1863" s="152" t="s">
        <v>1407</v>
      </c>
      <c r="O1863" s="152" t="s">
        <v>3638</v>
      </c>
      <c r="P1863" s="152" t="s">
        <v>2865</v>
      </c>
      <c r="Q1863" s="152" t="s">
        <v>3639</v>
      </c>
      <c r="R1863" s="152" t="s">
        <v>3892</v>
      </c>
      <c r="S1863" s="152" t="s">
        <v>3641</v>
      </c>
      <c r="T1863" s="152" t="s">
        <v>786</v>
      </c>
    </row>
    <row r="1864" spans="3:20">
      <c r="C1864" s="152" t="s">
        <v>2821</v>
      </c>
      <c r="F1864" s="152" t="s">
        <v>372</v>
      </c>
      <c r="G1864" s="152" t="s">
        <v>309</v>
      </c>
      <c r="I1864" s="513">
        <v>-8865.5499999999993</v>
      </c>
      <c r="J1864" s="513">
        <v>-6.31</v>
      </c>
      <c r="K1864" s="513">
        <v>1405</v>
      </c>
      <c r="L1864" s="518" t="s">
        <v>3493</v>
      </c>
      <c r="M1864" s="152" t="s">
        <v>780</v>
      </c>
      <c r="N1864" s="152" t="s">
        <v>1407</v>
      </c>
      <c r="O1864" s="152" t="s">
        <v>3677</v>
      </c>
      <c r="P1864" s="152" t="s">
        <v>3489</v>
      </c>
      <c r="Q1864" s="152" t="s">
        <v>3678</v>
      </c>
      <c r="R1864" s="152" t="s">
        <v>3893</v>
      </c>
      <c r="S1864" s="152" t="s">
        <v>3679</v>
      </c>
      <c r="T1864" s="152" t="s">
        <v>786</v>
      </c>
    </row>
    <row r="1865" spans="3:20">
      <c r="C1865" s="152" t="s">
        <v>2821</v>
      </c>
      <c r="F1865" s="152" t="s">
        <v>372</v>
      </c>
      <c r="G1865" s="152" t="s">
        <v>309</v>
      </c>
      <c r="I1865" s="513">
        <v>-14025.6</v>
      </c>
      <c r="J1865" s="513">
        <v>-9.74</v>
      </c>
      <c r="K1865" s="513">
        <v>1440</v>
      </c>
      <c r="L1865" s="518" t="s">
        <v>3517</v>
      </c>
      <c r="M1865" s="152" t="s">
        <v>780</v>
      </c>
      <c r="N1865" s="152" t="s">
        <v>1407</v>
      </c>
      <c r="O1865" s="152" t="s">
        <v>3518</v>
      </c>
      <c r="P1865" s="152" t="s">
        <v>892</v>
      </c>
      <c r="Q1865" s="152" t="s">
        <v>3519</v>
      </c>
      <c r="R1865" s="152" t="s">
        <v>3894</v>
      </c>
      <c r="S1865" s="152" t="s">
        <v>3521</v>
      </c>
      <c r="T1865" s="152" t="s">
        <v>786</v>
      </c>
    </row>
    <row r="1866" spans="3:20">
      <c r="C1866" s="152" t="s">
        <v>2821</v>
      </c>
      <c r="F1866" s="152" t="s">
        <v>372</v>
      </c>
      <c r="G1866" s="152" t="s">
        <v>309</v>
      </c>
      <c r="I1866" s="513">
        <v>-7481.25</v>
      </c>
      <c r="J1866" s="513">
        <v>-5.25</v>
      </c>
      <c r="K1866" s="513">
        <v>1425</v>
      </c>
      <c r="L1866" s="518" t="s">
        <v>3637</v>
      </c>
      <c r="M1866" s="152" t="s">
        <v>780</v>
      </c>
      <c r="N1866" s="152" t="s">
        <v>1407</v>
      </c>
      <c r="O1866" s="152" t="s">
        <v>3638</v>
      </c>
      <c r="P1866" s="152" t="s">
        <v>2865</v>
      </c>
      <c r="Q1866" s="152" t="s">
        <v>3639</v>
      </c>
      <c r="R1866" s="152" t="s">
        <v>3895</v>
      </c>
      <c r="S1866" s="152" t="s">
        <v>3641</v>
      </c>
      <c r="T1866" s="152" t="s">
        <v>786</v>
      </c>
    </row>
    <row r="1867" spans="3:20">
      <c r="C1867" s="152" t="s">
        <v>2821</v>
      </c>
      <c r="F1867" s="152" t="s">
        <v>372</v>
      </c>
      <c r="G1867" s="152" t="s">
        <v>309</v>
      </c>
      <c r="I1867" s="513">
        <v>-106428</v>
      </c>
      <c r="J1867" s="513">
        <v>-76.02</v>
      </c>
      <c r="K1867" s="513">
        <v>1400</v>
      </c>
      <c r="L1867" s="518" t="s">
        <v>3632</v>
      </c>
      <c r="M1867" s="152" t="s">
        <v>780</v>
      </c>
      <c r="N1867" s="152" t="s">
        <v>1407</v>
      </c>
      <c r="O1867" s="152" t="s">
        <v>3633</v>
      </c>
      <c r="P1867" s="152" t="s">
        <v>3489</v>
      </c>
      <c r="Q1867" s="152" t="s">
        <v>3634</v>
      </c>
      <c r="R1867" s="152" t="s">
        <v>3896</v>
      </c>
      <c r="S1867" s="152" t="s">
        <v>3636</v>
      </c>
      <c r="T1867" s="152" t="s">
        <v>786</v>
      </c>
    </row>
    <row r="1868" spans="3:20">
      <c r="C1868" s="152" t="s">
        <v>2821</v>
      </c>
      <c r="F1868" s="152" t="s">
        <v>372</v>
      </c>
      <c r="G1868" s="152" t="s">
        <v>309</v>
      </c>
      <c r="I1868" s="513">
        <v>-35078.400000000001</v>
      </c>
      <c r="J1868" s="513">
        <v>-24.36</v>
      </c>
      <c r="K1868" s="513">
        <v>1440</v>
      </c>
      <c r="L1868" s="518" t="s">
        <v>3637</v>
      </c>
      <c r="M1868" s="152" t="s">
        <v>780</v>
      </c>
      <c r="N1868" s="152" t="s">
        <v>1407</v>
      </c>
      <c r="O1868" s="152" t="s">
        <v>3638</v>
      </c>
      <c r="P1868" s="152" t="s">
        <v>2865</v>
      </c>
      <c r="Q1868" s="152" t="s">
        <v>3639</v>
      </c>
      <c r="R1868" s="152" t="s">
        <v>3897</v>
      </c>
      <c r="S1868" s="152" t="s">
        <v>3641</v>
      </c>
      <c r="T1868" s="152" t="s">
        <v>786</v>
      </c>
    </row>
    <row r="1869" spans="3:20">
      <c r="C1869" s="152" t="s">
        <v>2821</v>
      </c>
      <c r="F1869" s="152" t="s">
        <v>372</v>
      </c>
      <c r="G1869" s="152" t="s">
        <v>309</v>
      </c>
      <c r="I1869" s="513">
        <v>-608450</v>
      </c>
      <c r="J1869" s="513">
        <v>-430</v>
      </c>
      <c r="K1869" s="513">
        <v>1415</v>
      </c>
      <c r="L1869" s="518" t="s">
        <v>3498</v>
      </c>
      <c r="M1869" s="152" t="s">
        <v>780</v>
      </c>
      <c r="N1869" s="152" t="s">
        <v>1407</v>
      </c>
      <c r="O1869" s="152" t="s">
        <v>3499</v>
      </c>
      <c r="P1869" s="152" t="s">
        <v>3489</v>
      </c>
      <c r="Q1869" s="152" t="s">
        <v>3500</v>
      </c>
      <c r="R1869" s="152" t="s">
        <v>3898</v>
      </c>
      <c r="S1869" s="152" t="s">
        <v>3502</v>
      </c>
      <c r="T1869" s="152" t="s">
        <v>786</v>
      </c>
    </row>
    <row r="1870" spans="3:20">
      <c r="C1870" s="152" t="s">
        <v>2821</v>
      </c>
      <c r="F1870" s="152" t="s">
        <v>372</v>
      </c>
      <c r="G1870" s="152" t="s">
        <v>309</v>
      </c>
      <c r="I1870" s="513">
        <v>-198100</v>
      </c>
      <c r="J1870" s="513">
        <v>-140</v>
      </c>
      <c r="K1870" s="513">
        <v>1415</v>
      </c>
      <c r="L1870" s="518" t="s">
        <v>3498</v>
      </c>
      <c r="M1870" s="152" t="s">
        <v>780</v>
      </c>
      <c r="N1870" s="152" t="s">
        <v>1407</v>
      </c>
      <c r="O1870" s="152" t="s">
        <v>3499</v>
      </c>
      <c r="P1870" s="152" t="s">
        <v>3489</v>
      </c>
      <c r="Q1870" s="152" t="s">
        <v>3500</v>
      </c>
      <c r="R1870" s="152" t="s">
        <v>3898</v>
      </c>
      <c r="S1870" s="152" t="s">
        <v>3502</v>
      </c>
      <c r="T1870" s="152" t="s">
        <v>786</v>
      </c>
    </row>
    <row r="1871" spans="3:20">
      <c r="C1871" s="152" t="s">
        <v>2821</v>
      </c>
      <c r="F1871" s="152" t="s">
        <v>372</v>
      </c>
      <c r="G1871" s="152" t="s">
        <v>309</v>
      </c>
      <c r="I1871" s="513">
        <v>-280000</v>
      </c>
      <c r="J1871" s="513">
        <v>-200</v>
      </c>
      <c r="K1871" s="513">
        <v>1400</v>
      </c>
      <c r="L1871" s="518" t="s">
        <v>3632</v>
      </c>
      <c r="M1871" s="152" t="s">
        <v>780</v>
      </c>
      <c r="N1871" s="152" t="s">
        <v>1407</v>
      </c>
      <c r="O1871" s="152" t="s">
        <v>3633</v>
      </c>
      <c r="P1871" s="152" t="s">
        <v>3489</v>
      </c>
      <c r="Q1871" s="152" t="s">
        <v>3634</v>
      </c>
      <c r="R1871" s="152" t="s">
        <v>3898</v>
      </c>
      <c r="S1871" s="152" t="s">
        <v>3636</v>
      </c>
      <c r="T1871" s="152" t="s">
        <v>786</v>
      </c>
    </row>
    <row r="1872" spans="3:20">
      <c r="C1872" s="152" t="s">
        <v>2821</v>
      </c>
      <c r="F1872" s="152" t="s">
        <v>372</v>
      </c>
      <c r="G1872" s="152" t="s">
        <v>309</v>
      </c>
      <c r="I1872" s="513">
        <v>-509400</v>
      </c>
      <c r="J1872" s="513">
        <v>-360</v>
      </c>
      <c r="K1872" s="513">
        <v>1415</v>
      </c>
      <c r="L1872" s="518" t="s">
        <v>3632</v>
      </c>
      <c r="M1872" s="152" t="s">
        <v>780</v>
      </c>
      <c r="N1872" s="152" t="s">
        <v>1407</v>
      </c>
      <c r="O1872" s="152" t="s">
        <v>3633</v>
      </c>
      <c r="P1872" s="152" t="s">
        <v>3489</v>
      </c>
      <c r="Q1872" s="152" t="s">
        <v>3634</v>
      </c>
      <c r="R1872" s="152" t="s">
        <v>3898</v>
      </c>
      <c r="S1872" s="152" t="s">
        <v>3636</v>
      </c>
      <c r="T1872" s="152" t="s">
        <v>786</v>
      </c>
    </row>
    <row r="1873" spans="3:20">
      <c r="C1873" s="152" t="s">
        <v>2821</v>
      </c>
      <c r="F1873" s="152" t="s">
        <v>372</v>
      </c>
      <c r="G1873" s="152" t="s">
        <v>309</v>
      </c>
      <c r="I1873" s="513">
        <v>-196700</v>
      </c>
      <c r="J1873" s="513">
        <v>-140</v>
      </c>
      <c r="K1873" s="513">
        <v>1405</v>
      </c>
      <c r="L1873" s="518" t="s">
        <v>3493</v>
      </c>
      <c r="M1873" s="152" t="s">
        <v>780</v>
      </c>
      <c r="N1873" s="152" t="s">
        <v>1407</v>
      </c>
      <c r="O1873" s="152" t="s">
        <v>3677</v>
      </c>
      <c r="P1873" s="152" t="s">
        <v>3489</v>
      </c>
      <c r="Q1873" s="152" t="s">
        <v>3678</v>
      </c>
      <c r="R1873" s="152" t="s">
        <v>3898</v>
      </c>
      <c r="S1873" s="152" t="s">
        <v>3679</v>
      </c>
      <c r="T1873" s="152" t="s">
        <v>786</v>
      </c>
    </row>
    <row r="1874" spans="3:20">
      <c r="C1874" s="152" t="s">
        <v>2821</v>
      </c>
      <c r="F1874" s="152" t="s">
        <v>372</v>
      </c>
      <c r="G1874" s="152" t="s">
        <v>309</v>
      </c>
      <c r="I1874" s="513">
        <v>-562000</v>
      </c>
      <c r="J1874" s="513">
        <v>-400</v>
      </c>
      <c r="K1874" s="513">
        <v>1405</v>
      </c>
      <c r="L1874" s="518" t="s">
        <v>3493</v>
      </c>
      <c r="M1874" s="152" t="s">
        <v>780</v>
      </c>
      <c r="N1874" s="152" t="s">
        <v>1407</v>
      </c>
      <c r="O1874" s="152" t="s">
        <v>3677</v>
      </c>
      <c r="P1874" s="152" t="s">
        <v>3489</v>
      </c>
      <c r="Q1874" s="152" t="s">
        <v>3678</v>
      </c>
      <c r="R1874" s="152" t="s">
        <v>3898</v>
      </c>
      <c r="S1874" s="152" t="s">
        <v>3679</v>
      </c>
      <c r="T1874" s="152" t="s">
        <v>786</v>
      </c>
    </row>
    <row r="1875" spans="3:20">
      <c r="C1875" s="152" t="s">
        <v>2821</v>
      </c>
      <c r="F1875" s="152" t="s">
        <v>372</v>
      </c>
      <c r="G1875" s="152" t="s">
        <v>309</v>
      </c>
      <c r="I1875" s="513">
        <v>-519850</v>
      </c>
      <c r="J1875" s="513">
        <v>-370</v>
      </c>
      <c r="K1875" s="513">
        <v>1405</v>
      </c>
      <c r="L1875" s="518" t="s">
        <v>3493</v>
      </c>
      <c r="M1875" s="152" t="s">
        <v>780</v>
      </c>
      <c r="N1875" s="152" t="s">
        <v>1407</v>
      </c>
      <c r="O1875" s="152" t="s">
        <v>3677</v>
      </c>
      <c r="P1875" s="152" t="s">
        <v>3489</v>
      </c>
      <c r="Q1875" s="152" t="s">
        <v>3678</v>
      </c>
      <c r="R1875" s="152" t="s">
        <v>3898</v>
      </c>
      <c r="S1875" s="152" t="s">
        <v>3679</v>
      </c>
      <c r="T1875" s="152" t="s">
        <v>786</v>
      </c>
    </row>
    <row r="1876" spans="3:20">
      <c r="C1876" s="152" t="s">
        <v>2821</v>
      </c>
      <c r="F1876" s="152" t="s">
        <v>372</v>
      </c>
      <c r="G1876" s="152" t="s">
        <v>309</v>
      </c>
      <c r="I1876" s="513">
        <v>-154550</v>
      </c>
      <c r="J1876" s="513">
        <v>-110</v>
      </c>
      <c r="K1876" s="513">
        <v>1405</v>
      </c>
      <c r="L1876" s="518" t="s">
        <v>3493</v>
      </c>
      <c r="M1876" s="152" t="s">
        <v>780</v>
      </c>
      <c r="N1876" s="152" t="s">
        <v>1407</v>
      </c>
      <c r="O1876" s="152" t="s">
        <v>3677</v>
      </c>
      <c r="P1876" s="152" t="s">
        <v>3489</v>
      </c>
      <c r="Q1876" s="152" t="s">
        <v>3678</v>
      </c>
      <c r="R1876" s="152" t="s">
        <v>3898</v>
      </c>
      <c r="S1876" s="152" t="s">
        <v>3679</v>
      </c>
      <c r="T1876" s="152" t="s">
        <v>786</v>
      </c>
    </row>
    <row r="1877" spans="3:20">
      <c r="C1877" s="152" t="s">
        <v>2821</v>
      </c>
      <c r="F1877" s="152" t="s">
        <v>372</v>
      </c>
      <c r="G1877" s="152" t="s">
        <v>309</v>
      </c>
      <c r="I1877" s="513">
        <v>-196700</v>
      </c>
      <c r="J1877" s="513">
        <v>-140</v>
      </c>
      <c r="K1877" s="513">
        <v>1405</v>
      </c>
      <c r="L1877" s="518" t="s">
        <v>3493</v>
      </c>
      <c r="M1877" s="152" t="s">
        <v>780</v>
      </c>
      <c r="N1877" s="152" t="s">
        <v>1407</v>
      </c>
      <c r="O1877" s="152" t="s">
        <v>3677</v>
      </c>
      <c r="P1877" s="152" t="s">
        <v>3489</v>
      </c>
      <c r="Q1877" s="152" t="s">
        <v>3678</v>
      </c>
      <c r="R1877" s="152" t="s">
        <v>3898</v>
      </c>
      <c r="S1877" s="152" t="s">
        <v>3679</v>
      </c>
      <c r="T1877" s="152" t="s">
        <v>786</v>
      </c>
    </row>
    <row r="1878" spans="3:20">
      <c r="C1878" s="152" t="s">
        <v>2821</v>
      </c>
      <c r="F1878" s="152" t="s">
        <v>372</v>
      </c>
      <c r="G1878" s="152" t="s">
        <v>309</v>
      </c>
      <c r="I1878" s="513">
        <v>-295050</v>
      </c>
      <c r="J1878" s="513">
        <v>-210</v>
      </c>
      <c r="K1878" s="513">
        <v>1405</v>
      </c>
      <c r="L1878" s="518" t="s">
        <v>3493</v>
      </c>
      <c r="M1878" s="152" t="s">
        <v>780</v>
      </c>
      <c r="N1878" s="152" t="s">
        <v>1407</v>
      </c>
      <c r="O1878" s="152" t="s">
        <v>3677</v>
      </c>
      <c r="P1878" s="152" t="s">
        <v>3489</v>
      </c>
      <c r="Q1878" s="152" t="s">
        <v>3678</v>
      </c>
      <c r="R1878" s="152" t="s">
        <v>3899</v>
      </c>
      <c r="S1878" s="152" t="s">
        <v>3679</v>
      </c>
      <c r="T1878" s="152" t="s">
        <v>786</v>
      </c>
    </row>
    <row r="1879" spans="3:20">
      <c r="C1879" s="152" t="s">
        <v>2821</v>
      </c>
      <c r="F1879" s="152" t="s">
        <v>372</v>
      </c>
      <c r="G1879" s="152" t="s">
        <v>309</v>
      </c>
      <c r="I1879" s="513">
        <v>-636750</v>
      </c>
      <c r="J1879" s="513">
        <v>-450</v>
      </c>
      <c r="K1879" s="513">
        <v>1415</v>
      </c>
      <c r="L1879" s="518" t="s">
        <v>3632</v>
      </c>
      <c r="M1879" s="152" t="s">
        <v>780</v>
      </c>
      <c r="N1879" s="152" t="s">
        <v>1407</v>
      </c>
      <c r="O1879" s="152" t="s">
        <v>3633</v>
      </c>
      <c r="P1879" s="152" t="s">
        <v>3489</v>
      </c>
      <c r="Q1879" s="152" t="s">
        <v>3634</v>
      </c>
      <c r="R1879" s="152" t="s">
        <v>3900</v>
      </c>
      <c r="S1879" s="152" t="s">
        <v>3636</v>
      </c>
      <c r="T1879" s="152" t="s">
        <v>786</v>
      </c>
    </row>
    <row r="1880" spans="3:20">
      <c r="C1880" s="152" t="s">
        <v>2821</v>
      </c>
      <c r="F1880" s="152" t="s">
        <v>372</v>
      </c>
      <c r="G1880" s="152" t="s">
        <v>309</v>
      </c>
      <c r="I1880" s="513">
        <v>-222062.4</v>
      </c>
      <c r="J1880" s="513">
        <v>-154.21</v>
      </c>
      <c r="K1880" s="513">
        <v>1440</v>
      </c>
      <c r="L1880" s="518" t="s">
        <v>3517</v>
      </c>
      <c r="M1880" s="152" t="s">
        <v>780</v>
      </c>
      <c r="N1880" s="152" t="s">
        <v>1407</v>
      </c>
      <c r="O1880" s="152" t="s">
        <v>3518</v>
      </c>
      <c r="P1880" s="152" t="s">
        <v>892</v>
      </c>
      <c r="Q1880" s="152" t="s">
        <v>3519</v>
      </c>
      <c r="R1880" s="152" t="s">
        <v>3901</v>
      </c>
      <c r="S1880" s="152" t="s">
        <v>3521</v>
      </c>
      <c r="T1880" s="152" t="s">
        <v>786</v>
      </c>
    </row>
    <row r="1881" spans="3:20">
      <c r="C1881" s="152" t="s">
        <v>2821</v>
      </c>
      <c r="F1881" s="152" t="s">
        <v>372</v>
      </c>
      <c r="G1881" s="152" t="s">
        <v>309</v>
      </c>
      <c r="I1881" s="513">
        <v>-1264500</v>
      </c>
      <c r="J1881" s="513">
        <v>-900</v>
      </c>
      <c r="K1881" s="513">
        <v>1405</v>
      </c>
      <c r="L1881" s="518" t="s">
        <v>3493</v>
      </c>
      <c r="M1881" s="152" t="s">
        <v>780</v>
      </c>
      <c r="N1881" s="152" t="s">
        <v>1407</v>
      </c>
      <c r="O1881" s="152" t="s">
        <v>3677</v>
      </c>
      <c r="P1881" s="152" t="s">
        <v>3489</v>
      </c>
      <c r="Q1881" s="152" t="s">
        <v>3678</v>
      </c>
      <c r="R1881" s="152" t="s">
        <v>3904</v>
      </c>
      <c r="S1881" s="152" t="s">
        <v>3679</v>
      </c>
      <c r="T1881" s="152" t="s">
        <v>786</v>
      </c>
    </row>
    <row r="1882" spans="3:20">
      <c r="C1882" s="152" t="s">
        <v>2821</v>
      </c>
      <c r="F1882" s="152" t="s">
        <v>372</v>
      </c>
      <c r="G1882" s="152" t="s">
        <v>309</v>
      </c>
      <c r="I1882" s="513">
        <v>-35375</v>
      </c>
      <c r="J1882" s="513">
        <v>-25</v>
      </c>
      <c r="K1882" s="513">
        <v>1415</v>
      </c>
      <c r="L1882" s="518" t="s">
        <v>3498</v>
      </c>
      <c r="M1882" s="152" t="s">
        <v>780</v>
      </c>
      <c r="N1882" s="152" t="s">
        <v>1407</v>
      </c>
      <c r="O1882" s="152" t="s">
        <v>3499</v>
      </c>
      <c r="P1882" s="152" t="s">
        <v>3489</v>
      </c>
      <c r="Q1882" s="152" t="s">
        <v>3500</v>
      </c>
      <c r="R1882" s="152" t="s">
        <v>1627</v>
      </c>
      <c r="S1882" s="152" t="s">
        <v>3502</v>
      </c>
      <c r="T1882" s="152" t="s">
        <v>786</v>
      </c>
    </row>
    <row r="1883" spans="3:20">
      <c r="C1883" s="152" t="s">
        <v>2821</v>
      </c>
      <c r="F1883" s="152" t="s">
        <v>372</v>
      </c>
      <c r="G1883" s="152" t="s">
        <v>309</v>
      </c>
      <c r="I1883" s="513">
        <v>-35616.6</v>
      </c>
      <c r="J1883" s="513">
        <v>-25.26</v>
      </c>
      <c r="K1883" s="513">
        <v>1410</v>
      </c>
      <c r="L1883" s="518" t="s">
        <v>3498</v>
      </c>
      <c r="M1883" s="152" t="s">
        <v>780</v>
      </c>
      <c r="N1883" s="152" t="s">
        <v>1407</v>
      </c>
      <c r="O1883" s="152" t="s">
        <v>3499</v>
      </c>
      <c r="P1883" s="152" t="s">
        <v>3489</v>
      </c>
      <c r="Q1883" s="152" t="s">
        <v>3500</v>
      </c>
      <c r="R1883" s="152" t="s">
        <v>1627</v>
      </c>
      <c r="S1883" s="152" t="s">
        <v>3502</v>
      </c>
      <c r="T1883" s="152" t="s">
        <v>786</v>
      </c>
    </row>
    <row r="1884" spans="3:20">
      <c r="C1884" s="152" t="s">
        <v>2821</v>
      </c>
      <c r="F1884" s="152" t="s">
        <v>372</v>
      </c>
      <c r="G1884" s="152" t="s">
        <v>309</v>
      </c>
      <c r="I1884" s="513">
        <v>-50580</v>
      </c>
      <c r="J1884" s="513">
        <v>-36</v>
      </c>
      <c r="K1884" s="513">
        <v>1405</v>
      </c>
      <c r="L1884" s="518" t="s">
        <v>3493</v>
      </c>
      <c r="M1884" s="152" t="s">
        <v>780</v>
      </c>
      <c r="N1884" s="152" t="s">
        <v>1407</v>
      </c>
      <c r="O1884" s="152" t="s">
        <v>3677</v>
      </c>
      <c r="P1884" s="152" t="s">
        <v>3489</v>
      </c>
      <c r="Q1884" s="152" t="s">
        <v>3678</v>
      </c>
      <c r="R1884" s="152" t="s">
        <v>1627</v>
      </c>
      <c r="S1884" s="152" t="s">
        <v>3679</v>
      </c>
      <c r="T1884" s="152" t="s">
        <v>786</v>
      </c>
    </row>
    <row r="1885" spans="3:20">
      <c r="C1885" s="152" t="s">
        <v>2821</v>
      </c>
      <c r="F1885" s="152" t="s">
        <v>372</v>
      </c>
      <c r="G1885" s="152" t="s">
        <v>309</v>
      </c>
      <c r="I1885" s="513">
        <v>-50580</v>
      </c>
      <c r="J1885" s="513">
        <v>-36</v>
      </c>
      <c r="K1885" s="513">
        <v>1405</v>
      </c>
      <c r="L1885" s="518" t="s">
        <v>3493</v>
      </c>
      <c r="M1885" s="152" t="s">
        <v>780</v>
      </c>
      <c r="N1885" s="152" t="s">
        <v>1407</v>
      </c>
      <c r="O1885" s="152" t="s">
        <v>3677</v>
      </c>
      <c r="P1885" s="152" t="s">
        <v>3489</v>
      </c>
      <c r="Q1885" s="152" t="s">
        <v>3678</v>
      </c>
      <c r="R1885" s="152" t="s">
        <v>1627</v>
      </c>
      <c r="S1885" s="152" t="s">
        <v>3679</v>
      </c>
      <c r="T1885" s="152" t="s">
        <v>786</v>
      </c>
    </row>
    <row r="1886" spans="3:20">
      <c r="C1886" s="152" t="s">
        <v>2821</v>
      </c>
      <c r="F1886" s="152" t="s">
        <v>372</v>
      </c>
      <c r="G1886" s="152" t="s">
        <v>309</v>
      </c>
      <c r="I1886" s="513">
        <v>-51872.6</v>
      </c>
      <c r="J1886" s="513">
        <v>-36.92</v>
      </c>
      <c r="K1886" s="513">
        <v>1405</v>
      </c>
      <c r="L1886" s="518" t="s">
        <v>3493</v>
      </c>
      <c r="M1886" s="152" t="s">
        <v>780</v>
      </c>
      <c r="N1886" s="152" t="s">
        <v>1407</v>
      </c>
      <c r="O1886" s="152" t="s">
        <v>3677</v>
      </c>
      <c r="P1886" s="152" t="s">
        <v>3489</v>
      </c>
      <c r="Q1886" s="152" t="s">
        <v>3678</v>
      </c>
      <c r="R1886" s="152" t="s">
        <v>1627</v>
      </c>
      <c r="S1886" s="152" t="s">
        <v>3679</v>
      </c>
      <c r="T1886" s="152" t="s">
        <v>786</v>
      </c>
    </row>
    <row r="1887" spans="3:20">
      <c r="C1887" s="152" t="s">
        <v>2821</v>
      </c>
      <c r="F1887" s="152" t="s">
        <v>372</v>
      </c>
      <c r="G1887" s="152" t="s">
        <v>309</v>
      </c>
      <c r="I1887" s="513">
        <v>-35910</v>
      </c>
      <c r="J1887" s="513">
        <v>-25.2</v>
      </c>
      <c r="K1887" s="513">
        <v>1425</v>
      </c>
      <c r="L1887" s="518" t="s">
        <v>3637</v>
      </c>
      <c r="M1887" s="152" t="s">
        <v>780</v>
      </c>
      <c r="N1887" s="152" t="s">
        <v>1407</v>
      </c>
      <c r="O1887" s="152" t="s">
        <v>3638</v>
      </c>
      <c r="P1887" s="152" t="s">
        <v>2865</v>
      </c>
      <c r="Q1887" s="152" t="s">
        <v>3639</v>
      </c>
      <c r="R1887" s="152" t="s">
        <v>3907</v>
      </c>
      <c r="S1887" s="152" t="s">
        <v>3641</v>
      </c>
      <c r="T1887" s="152" t="s">
        <v>786</v>
      </c>
    </row>
    <row r="1888" spans="3:20">
      <c r="C1888" s="152" t="s">
        <v>2821</v>
      </c>
      <c r="F1888" s="152" t="s">
        <v>372</v>
      </c>
      <c r="G1888" s="152" t="s">
        <v>309</v>
      </c>
      <c r="I1888" s="513">
        <v>-35956.800000000003</v>
      </c>
      <c r="J1888" s="513">
        <v>-24.97</v>
      </c>
      <c r="K1888" s="513">
        <v>1440</v>
      </c>
      <c r="L1888" s="518" t="s">
        <v>3637</v>
      </c>
      <c r="M1888" s="152" t="s">
        <v>780</v>
      </c>
      <c r="N1888" s="152" t="s">
        <v>1407</v>
      </c>
      <c r="O1888" s="152" t="s">
        <v>3638</v>
      </c>
      <c r="P1888" s="152" t="s">
        <v>2865</v>
      </c>
      <c r="Q1888" s="152" t="s">
        <v>3639</v>
      </c>
      <c r="R1888" s="152" t="s">
        <v>3908</v>
      </c>
      <c r="S1888" s="152" t="s">
        <v>3641</v>
      </c>
      <c r="T1888" s="152" t="s">
        <v>786</v>
      </c>
    </row>
    <row r="1889" spans="3:20">
      <c r="C1889" s="152" t="s">
        <v>2821</v>
      </c>
      <c r="F1889" s="152" t="s">
        <v>372</v>
      </c>
      <c r="G1889" s="152" t="s">
        <v>309</v>
      </c>
      <c r="I1889" s="513">
        <v>28800000</v>
      </c>
      <c r="J1889" s="513">
        <v>20000</v>
      </c>
      <c r="K1889" s="513">
        <v>1440</v>
      </c>
      <c r="L1889" s="518" t="s">
        <v>3911</v>
      </c>
      <c r="M1889" s="152" t="s">
        <v>780</v>
      </c>
      <c r="N1889" s="152" t="s">
        <v>1407</v>
      </c>
      <c r="O1889" s="152" t="s">
        <v>3912</v>
      </c>
      <c r="P1889" s="152" t="s">
        <v>892</v>
      </c>
      <c r="Q1889" s="152" t="s">
        <v>3913</v>
      </c>
      <c r="R1889" s="152" t="s">
        <v>3914</v>
      </c>
      <c r="S1889" s="152" t="s">
        <v>3915</v>
      </c>
      <c r="T1889" s="152" t="s">
        <v>786</v>
      </c>
    </row>
    <row r="1890" spans="3:20">
      <c r="C1890" s="152" t="s">
        <v>2821</v>
      </c>
      <c r="F1890" s="152" t="s">
        <v>372</v>
      </c>
      <c r="G1890" s="152" t="s">
        <v>309</v>
      </c>
      <c r="I1890" s="513">
        <v>-22151.1</v>
      </c>
      <c r="J1890" s="513">
        <v>-15.71</v>
      </c>
      <c r="K1890" s="513">
        <v>1410</v>
      </c>
      <c r="L1890" s="518" t="s">
        <v>3498</v>
      </c>
      <c r="M1890" s="152" t="s">
        <v>780</v>
      </c>
      <c r="N1890" s="152" t="s">
        <v>1407</v>
      </c>
      <c r="O1890" s="152" t="s">
        <v>3499</v>
      </c>
      <c r="P1890" s="152" t="s">
        <v>3489</v>
      </c>
      <c r="Q1890" s="152" t="s">
        <v>3500</v>
      </c>
      <c r="R1890" s="152" t="s">
        <v>3933</v>
      </c>
      <c r="S1890" s="152" t="s">
        <v>3502</v>
      </c>
      <c r="T1890" s="152" t="s">
        <v>786</v>
      </c>
    </row>
    <row r="1891" spans="3:20">
      <c r="C1891" s="152" t="s">
        <v>2821</v>
      </c>
      <c r="F1891" s="152" t="s">
        <v>372</v>
      </c>
      <c r="G1891" s="152" t="s">
        <v>309</v>
      </c>
      <c r="I1891" s="513">
        <v>-80697.75</v>
      </c>
      <c r="J1891" s="513">
        <v>-56.63</v>
      </c>
      <c r="K1891" s="513">
        <v>1425</v>
      </c>
      <c r="L1891" s="518" t="s">
        <v>3504</v>
      </c>
      <c r="M1891" s="152" t="s">
        <v>780</v>
      </c>
      <c r="N1891" s="152" t="s">
        <v>1407</v>
      </c>
      <c r="O1891" s="152" t="s">
        <v>3505</v>
      </c>
      <c r="P1891" s="152" t="s">
        <v>3489</v>
      </c>
      <c r="Q1891" s="152" t="s">
        <v>3506</v>
      </c>
      <c r="R1891" s="152" t="s">
        <v>3935</v>
      </c>
      <c r="S1891" s="152" t="s">
        <v>3508</v>
      </c>
      <c r="T1891" s="152" t="s">
        <v>786</v>
      </c>
    </row>
    <row r="1892" spans="3:20">
      <c r="C1892" s="152" t="s">
        <v>2821</v>
      </c>
      <c r="F1892" s="152" t="s">
        <v>372</v>
      </c>
      <c r="G1892" s="152" t="s">
        <v>309</v>
      </c>
      <c r="I1892" s="513">
        <v>-1425000</v>
      </c>
      <c r="J1892" s="513">
        <v>-1000</v>
      </c>
      <c r="K1892" s="513">
        <v>1425</v>
      </c>
      <c r="L1892" s="518" t="s">
        <v>3637</v>
      </c>
      <c r="M1892" s="152" t="s">
        <v>780</v>
      </c>
      <c r="N1892" s="152" t="s">
        <v>1407</v>
      </c>
      <c r="O1892" s="152" t="s">
        <v>3638</v>
      </c>
      <c r="P1892" s="152" t="s">
        <v>2865</v>
      </c>
      <c r="Q1892" s="152" t="s">
        <v>3639</v>
      </c>
      <c r="R1892" s="152" t="s">
        <v>3936</v>
      </c>
      <c r="S1892" s="152" t="s">
        <v>3641</v>
      </c>
      <c r="T1892" s="152" t="s">
        <v>786</v>
      </c>
    </row>
    <row r="1893" spans="3:20">
      <c r="C1893" s="152" t="s">
        <v>2821</v>
      </c>
      <c r="F1893" s="152" t="s">
        <v>372</v>
      </c>
      <c r="G1893" s="152" t="s">
        <v>309</v>
      </c>
      <c r="I1893" s="513">
        <v>-13017.6</v>
      </c>
      <c r="J1893" s="513">
        <v>-9.0399999999999991</v>
      </c>
      <c r="K1893" s="513">
        <v>1440</v>
      </c>
      <c r="L1893" s="518" t="s">
        <v>3637</v>
      </c>
      <c r="M1893" s="152" t="s">
        <v>780</v>
      </c>
      <c r="N1893" s="152" t="s">
        <v>1407</v>
      </c>
      <c r="O1893" s="152" t="s">
        <v>3638</v>
      </c>
      <c r="P1893" s="152" t="s">
        <v>2865</v>
      </c>
      <c r="Q1893" s="152" t="s">
        <v>3639</v>
      </c>
      <c r="R1893" s="152" t="s">
        <v>3937</v>
      </c>
      <c r="S1893" s="152" t="s">
        <v>3641</v>
      </c>
      <c r="T1893" s="152" t="s">
        <v>786</v>
      </c>
    </row>
    <row r="1894" spans="3:20">
      <c r="C1894" s="152" t="s">
        <v>2821</v>
      </c>
      <c r="F1894" s="152" t="s">
        <v>372</v>
      </c>
      <c r="G1894" s="152" t="s">
        <v>309</v>
      </c>
      <c r="I1894" s="513">
        <v>-142500</v>
      </c>
      <c r="J1894" s="513">
        <v>-100</v>
      </c>
      <c r="K1894" s="513">
        <v>1425</v>
      </c>
      <c r="L1894" s="518" t="s">
        <v>3504</v>
      </c>
      <c r="M1894" s="152" t="s">
        <v>780</v>
      </c>
      <c r="N1894" s="152" t="s">
        <v>1407</v>
      </c>
      <c r="O1894" s="152" t="s">
        <v>3505</v>
      </c>
      <c r="P1894" s="152" t="s">
        <v>3489</v>
      </c>
      <c r="Q1894" s="152" t="s">
        <v>3506</v>
      </c>
      <c r="R1894" s="152" t="s">
        <v>3938</v>
      </c>
      <c r="S1894" s="152" t="s">
        <v>3508</v>
      </c>
      <c r="T1894" s="152" t="s">
        <v>786</v>
      </c>
    </row>
    <row r="1895" spans="3:20">
      <c r="C1895" s="152" t="s">
        <v>2821</v>
      </c>
      <c r="F1895" s="152" t="s">
        <v>372</v>
      </c>
      <c r="G1895" s="152" t="s">
        <v>309</v>
      </c>
      <c r="I1895" s="513">
        <v>-46612.800000000003</v>
      </c>
      <c r="J1895" s="513">
        <v>-32.369999999999997</v>
      </c>
      <c r="K1895" s="513">
        <v>1440</v>
      </c>
      <c r="L1895" s="518" t="s">
        <v>3517</v>
      </c>
      <c r="M1895" s="152" t="s">
        <v>780</v>
      </c>
      <c r="N1895" s="152" t="s">
        <v>1407</v>
      </c>
      <c r="O1895" s="152" t="s">
        <v>3518</v>
      </c>
      <c r="P1895" s="152" t="s">
        <v>892</v>
      </c>
      <c r="Q1895" s="152" t="s">
        <v>3519</v>
      </c>
      <c r="R1895" s="152" t="s">
        <v>3939</v>
      </c>
      <c r="S1895" s="152" t="s">
        <v>3521</v>
      </c>
      <c r="T1895" s="152" t="s">
        <v>786</v>
      </c>
    </row>
    <row r="1896" spans="3:20">
      <c r="C1896" s="152" t="s">
        <v>2821</v>
      </c>
      <c r="F1896" s="152" t="s">
        <v>372</v>
      </c>
      <c r="G1896" s="152" t="s">
        <v>309</v>
      </c>
      <c r="I1896" s="513">
        <v>-57956.25</v>
      </c>
      <c r="J1896" s="513">
        <v>-41.25</v>
      </c>
      <c r="K1896" s="513">
        <v>1405</v>
      </c>
      <c r="L1896" s="518" t="s">
        <v>3493</v>
      </c>
      <c r="M1896" s="152" t="s">
        <v>780</v>
      </c>
      <c r="N1896" s="152" t="s">
        <v>1407</v>
      </c>
      <c r="O1896" s="152" t="s">
        <v>3677</v>
      </c>
      <c r="P1896" s="152" t="s">
        <v>3489</v>
      </c>
      <c r="Q1896" s="152" t="s">
        <v>3678</v>
      </c>
      <c r="R1896" s="152" t="s">
        <v>3940</v>
      </c>
      <c r="S1896" s="152" t="s">
        <v>3679</v>
      </c>
      <c r="T1896" s="152" t="s">
        <v>786</v>
      </c>
    </row>
    <row r="1897" spans="3:20">
      <c r="C1897" s="152" t="s">
        <v>2821</v>
      </c>
      <c r="F1897" s="152" t="s">
        <v>372</v>
      </c>
      <c r="G1897" s="152" t="s">
        <v>309</v>
      </c>
      <c r="I1897" s="513">
        <v>-153833.45000000001</v>
      </c>
      <c r="J1897" s="513">
        <v>-109.49</v>
      </c>
      <c r="K1897" s="513">
        <v>1405</v>
      </c>
      <c r="L1897" s="518" t="s">
        <v>3493</v>
      </c>
      <c r="M1897" s="152" t="s">
        <v>780</v>
      </c>
      <c r="N1897" s="152" t="s">
        <v>1407</v>
      </c>
      <c r="O1897" s="152" t="s">
        <v>3677</v>
      </c>
      <c r="P1897" s="152" t="s">
        <v>3489</v>
      </c>
      <c r="Q1897" s="152" t="s">
        <v>3678</v>
      </c>
      <c r="R1897" s="152" t="s">
        <v>3941</v>
      </c>
      <c r="S1897" s="152" t="s">
        <v>3679</v>
      </c>
      <c r="T1897" s="152" t="s">
        <v>786</v>
      </c>
    </row>
    <row r="1898" spans="3:20">
      <c r="C1898" s="152" t="s">
        <v>2821</v>
      </c>
      <c r="F1898" s="152" t="s">
        <v>372</v>
      </c>
      <c r="G1898" s="152" t="s">
        <v>309</v>
      </c>
      <c r="I1898" s="513">
        <v>-1264500</v>
      </c>
      <c r="J1898" s="513">
        <v>-900</v>
      </c>
      <c r="K1898" s="513">
        <v>1405</v>
      </c>
      <c r="L1898" s="518" t="s">
        <v>3493</v>
      </c>
      <c r="M1898" s="152" t="s">
        <v>780</v>
      </c>
      <c r="N1898" s="152" t="s">
        <v>1407</v>
      </c>
      <c r="O1898" s="152" t="s">
        <v>3677</v>
      </c>
      <c r="P1898" s="152" t="s">
        <v>3489</v>
      </c>
      <c r="Q1898" s="152" t="s">
        <v>3678</v>
      </c>
      <c r="R1898" s="152" t="s">
        <v>3942</v>
      </c>
      <c r="S1898" s="152" t="s">
        <v>3679</v>
      </c>
      <c r="T1898" s="152" t="s">
        <v>786</v>
      </c>
    </row>
    <row r="1899" spans="3:20">
      <c r="C1899" s="152" t="s">
        <v>2821</v>
      </c>
      <c r="F1899" s="152" t="s">
        <v>372</v>
      </c>
      <c r="G1899" s="152" t="s">
        <v>309</v>
      </c>
      <c r="I1899" s="513">
        <v>-204083.4</v>
      </c>
      <c r="J1899" s="513">
        <v>-144.74</v>
      </c>
      <c r="K1899" s="513">
        <v>1410</v>
      </c>
      <c r="L1899" s="518" t="s">
        <v>3498</v>
      </c>
      <c r="M1899" s="152" t="s">
        <v>780</v>
      </c>
      <c r="N1899" s="152" t="s">
        <v>1407</v>
      </c>
      <c r="O1899" s="152" t="s">
        <v>3499</v>
      </c>
      <c r="P1899" s="152" t="s">
        <v>3489</v>
      </c>
      <c r="Q1899" s="152" t="s">
        <v>3500</v>
      </c>
      <c r="R1899" s="152" t="s">
        <v>3943</v>
      </c>
      <c r="S1899" s="152" t="s">
        <v>3502</v>
      </c>
      <c r="T1899" s="152" t="s">
        <v>786</v>
      </c>
    </row>
    <row r="1900" spans="3:20">
      <c r="C1900" s="152" t="s">
        <v>2821</v>
      </c>
      <c r="F1900" s="152" t="s">
        <v>372</v>
      </c>
      <c r="G1900" s="152" t="s">
        <v>309</v>
      </c>
      <c r="I1900" s="513">
        <v>-4176675</v>
      </c>
      <c r="J1900" s="513">
        <v>-2931</v>
      </c>
      <c r="K1900" s="513">
        <v>1425</v>
      </c>
      <c r="L1900" s="518" t="s">
        <v>3637</v>
      </c>
      <c r="M1900" s="152" t="s">
        <v>780</v>
      </c>
      <c r="N1900" s="152" t="s">
        <v>1407</v>
      </c>
      <c r="O1900" s="152" t="s">
        <v>3638</v>
      </c>
      <c r="P1900" s="152" t="s">
        <v>2865</v>
      </c>
      <c r="Q1900" s="152" t="s">
        <v>3639</v>
      </c>
      <c r="R1900" s="152" t="s">
        <v>3944</v>
      </c>
      <c r="S1900" s="152" t="s">
        <v>3641</v>
      </c>
      <c r="T1900" s="152" t="s">
        <v>786</v>
      </c>
    </row>
    <row r="1901" spans="3:20">
      <c r="C1901" s="152" t="s">
        <v>2821</v>
      </c>
      <c r="F1901" s="152" t="s">
        <v>372</v>
      </c>
      <c r="G1901" s="152" t="s">
        <v>309</v>
      </c>
      <c r="I1901" s="513">
        <v>-49000</v>
      </c>
      <c r="J1901" s="513">
        <v>-35</v>
      </c>
      <c r="K1901" s="513">
        <v>1400</v>
      </c>
      <c r="L1901" s="518" t="s">
        <v>3659</v>
      </c>
      <c r="M1901" s="152" t="s">
        <v>780</v>
      </c>
      <c r="N1901" s="152" t="s">
        <v>1407</v>
      </c>
      <c r="O1901" s="152" t="s">
        <v>3795</v>
      </c>
      <c r="P1901" s="152" t="s">
        <v>3489</v>
      </c>
      <c r="Q1901" s="152" t="s">
        <v>3796</v>
      </c>
      <c r="R1901" s="152" t="s">
        <v>3945</v>
      </c>
      <c r="S1901" s="152" t="s">
        <v>3798</v>
      </c>
      <c r="T1901" s="152" t="s">
        <v>786</v>
      </c>
    </row>
    <row r="1902" spans="3:20">
      <c r="C1902" s="152" t="s">
        <v>2821</v>
      </c>
      <c r="F1902" s="152" t="s">
        <v>372</v>
      </c>
      <c r="G1902" s="152" t="s">
        <v>309</v>
      </c>
      <c r="I1902" s="513">
        <v>-154000</v>
      </c>
      <c r="J1902" s="513">
        <v>-110</v>
      </c>
      <c r="K1902" s="513">
        <v>1400</v>
      </c>
      <c r="L1902" s="518" t="s">
        <v>3659</v>
      </c>
      <c r="M1902" s="152" t="s">
        <v>780</v>
      </c>
      <c r="N1902" s="152" t="s">
        <v>1407</v>
      </c>
      <c r="O1902" s="152" t="s">
        <v>3795</v>
      </c>
      <c r="P1902" s="152" t="s">
        <v>3489</v>
      </c>
      <c r="Q1902" s="152" t="s">
        <v>3796</v>
      </c>
      <c r="R1902" s="152" t="s">
        <v>3946</v>
      </c>
      <c r="S1902" s="152" t="s">
        <v>3798</v>
      </c>
      <c r="T1902" s="152" t="s">
        <v>786</v>
      </c>
    </row>
    <row r="1903" spans="3:20">
      <c r="C1903" s="152" t="s">
        <v>2821</v>
      </c>
      <c r="F1903" s="152" t="s">
        <v>372</v>
      </c>
      <c r="G1903" s="152" t="s">
        <v>309</v>
      </c>
      <c r="I1903" s="513">
        <v>-462000</v>
      </c>
      <c r="J1903" s="513">
        <v>-330</v>
      </c>
      <c r="K1903" s="513">
        <v>1400</v>
      </c>
      <c r="L1903" s="518" t="s">
        <v>3659</v>
      </c>
      <c r="M1903" s="152" t="s">
        <v>780</v>
      </c>
      <c r="N1903" s="152" t="s">
        <v>1407</v>
      </c>
      <c r="O1903" s="152" t="s">
        <v>3795</v>
      </c>
      <c r="P1903" s="152" t="s">
        <v>3489</v>
      </c>
      <c r="Q1903" s="152" t="s">
        <v>3796</v>
      </c>
      <c r="R1903" s="152" t="s">
        <v>3947</v>
      </c>
      <c r="S1903" s="152" t="s">
        <v>3798</v>
      </c>
      <c r="T1903" s="152" t="s">
        <v>786</v>
      </c>
    </row>
    <row r="1904" spans="3:20">
      <c r="C1904" s="152" t="s">
        <v>2821</v>
      </c>
      <c r="F1904" s="152" t="s">
        <v>372</v>
      </c>
      <c r="G1904" s="152" t="s">
        <v>309</v>
      </c>
      <c r="I1904" s="513">
        <v>-155650</v>
      </c>
      <c r="J1904" s="513">
        <v>-110</v>
      </c>
      <c r="K1904" s="513">
        <v>1415</v>
      </c>
      <c r="L1904" s="518" t="s">
        <v>3511</v>
      </c>
      <c r="M1904" s="152" t="s">
        <v>780</v>
      </c>
      <c r="N1904" s="152" t="s">
        <v>1407</v>
      </c>
      <c r="O1904" s="152" t="s">
        <v>3512</v>
      </c>
      <c r="P1904" s="152" t="s">
        <v>3489</v>
      </c>
      <c r="Q1904" s="152" t="s">
        <v>3513</v>
      </c>
      <c r="R1904" s="152" t="s">
        <v>3948</v>
      </c>
      <c r="S1904" s="152" t="s">
        <v>3515</v>
      </c>
      <c r="T1904" s="152" t="s">
        <v>786</v>
      </c>
    </row>
    <row r="1905" spans="3:20">
      <c r="C1905" s="152" t="s">
        <v>2821</v>
      </c>
      <c r="F1905" s="152" t="s">
        <v>372</v>
      </c>
      <c r="G1905" s="152" t="s">
        <v>309</v>
      </c>
      <c r="I1905" s="513">
        <v>-155650</v>
      </c>
      <c r="J1905" s="513">
        <v>-110</v>
      </c>
      <c r="K1905" s="513">
        <v>1415</v>
      </c>
      <c r="L1905" s="518" t="s">
        <v>3498</v>
      </c>
      <c r="M1905" s="152" t="s">
        <v>780</v>
      </c>
      <c r="N1905" s="152" t="s">
        <v>1407</v>
      </c>
      <c r="O1905" s="152" t="s">
        <v>3499</v>
      </c>
      <c r="P1905" s="152" t="s">
        <v>3489</v>
      </c>
      <c r="Q1905" s="152" t="s">
        <v>3500</v>
      </c>
      <c r="R1905" s="152" t="s">
        <v>3948</v>
      </c>
      <c r="S1905" s="152" t="s">
        <v>3502</v>
      </c>
      <c r="T1905" s="152" t="s">
        <v>786</v>
      </c>
    </row>
    <row r="1906" spans="3:20">
      <c r="C1906" s="152" t="s">
        <v>2821</v>
      </c>
      <c r="F1906" s="152" t="s">
        <v>372</v>
      </c>
      <c r="G1906" s="152" t="s">
        <v>309</v>
      </c>
      <c r="I1906" s="513">
        <v>-155100</v>
      </c>
      <c r="J1906" s="513">
        <v>-110</v>
      </c>
      <c r="K1906" s="513">
        <v>1410</v>
      </c>
      <c r="L1906" s="518" t="s">
        <v>3659</v>
      </c>
      <c r="M1906" s="152" t="s">
        <v>780</v>
      </c>
      <c r="N1906" s="152" t="s">
        <v>1407</v>
      </c>
      <c r="O1906" s="152" t="s">
        <v>3795</v>
      </c>
      <c r="P1906" s="152" t="s">
        <v>3489</v>
      </c>
      <c r="Q1906" s="152" t="s">
        <v>3796</v>
      </c>
      <c r="R1906" s="152" t="s">
        <v>3948</v>
      </c>
      <c r="S1906" s="152" t="s">
        <v>3798</v>
      </c>
      <c r="T1906" s="152" t="s">
        <v>786</v>
      </c>
    </row>
    <row r="1907" spans="3:20">
      <c r="C1907" s="152" t="s">
        <v>2821</v>
      </c>
      <c r="F1907" s="152" t="s">
        <v>372</v>
      </c>
      <c r="G1907" s="152" t="s">
        <v>309</v>
      </c>
      <c r="I1907" s="513">
        <v>-155650</v>
      </c>
      <c r="J1907" s="513">
        <v>-110</v>
      </c>
      <c r="K1907" s="513">
        <v>1415</v>
      </c>
      <c r="L1907" s="518" t="s">
        <v>3632</v>
      </c>
      <c r="M1907" s="152" t="s">
        <v>780</v>
      </c>
      <c r="N1907" s="152" t="s">
        <v>1407</v>
      </c>
      <c r="O1907" s="152" t="s">
        <v>3633</v>
      </c>
      <c r="P1907" s="152" t="s">
        <v>3489</v>
      </c>
      <c r="Q1907" s="152" t="s">
        <v>3634</v>
      </c>
      <c r="R1907" s="152" t="s">
        <v>3948</v>
      </c>
      <c r="S1907" s="152" t="s">
        <v>3636</v>
      </c>
      <c r="T1907" s="152" t="s">
        <v>786</v>
      </c>
    </row>
    <row r="1908" spans="3:20">
      <c r="C1908" s="152" t="s">
        <v>2821</v>
      </c>
      <c r="F1908" s="152" t="s">
        <v>372</v>
      </c>
      <c r="G1908" s="152" t="s">
        <v>309</v>
      </c>
      <c r="I1908" s="513">
        <v>-154550</v>
      </c>
      <c r="J1908" s="513">
        <v>-110</v>
      </c>
      <c r="K1908" s="513">
        <v>1405</v>
      </c>
      <c r="L1908" s="518" t="s">
        <v>3493</v>
      </c>
      <c r="M1908" s="152" t="s">
        <v>780</v>
      </c>
      <c r="N1908" s="152" t="s">
        <v>1407</v>
      </c>
      <c r="O1908" s="152" t="s">
        <v>3677</v>
      </c>
      <c r="P1908" s="152" t="s">
        <v>3489</v>
      </c>
      <c r="Q1908" s="152" t="s">
        <v>3678</v>
      </c>
      <c r="R1908" s="152" t="s">
        <v>3948</v>
      </c>
      <c r="S1908" s="152" t="s">
        <v>3679</v>
      </c>
      <c r="T1908" s="152" t="s">
        <v>786</v>
      </c>
    </row>
    <row r="1909" spans="3:20">
      <c r="C1909" s="152" t="s">
        <v>2821</v>
      </c>
      <c r="F1909" s="152" t="s">
        <v>372</v>
      </c>
      <c r="G1909" s="152" t="s">
        <v>309</v>
      </c>
      <c r="I1909" s="513">
        <v>-196700</v>
      </c>
      <c r="J1909" s="513">
        <v>-140</v>
      </c>
      <c r="K1909" s="513">
        <v>1405</v>
      </c>
      <c r="L1909" s="518" t="s">
        <v>3493</v>
      </c>
      <c r="M1909" s="152" t="s">
        <v>780</v>
      </c>
      <c r="N1909" s="152" t="s">
        <v>1407</v>
      </c>
      <c r="O1909" s="152" t="s">
        <v>3677</v>
      </c>
      <c r="P1909" s="152" t="s">
        <v>3489</v>
      </c>
      <c r="Q1909" s="152" t="s">
        <v>3678</v>
      </c>
      <c r="R1909" s="152" t="s">
        <v>3948</v>
      </c>
      <c r="S1909" s="152" t="s">
        <v>3679</v>
      </c>
      <c r="T1909" s="152" t="s">
        <v>786</v>
      </c>
    </row>
    <row r="1910" spans="3:20">
      <c r="C1910" s="152" t="s">
        <v>2821</v>
      </c>
      <c r="F1910" s="152" t="s">
        <v>372</v>
      </c>
      <c r="G1910" s="152" t="s">
        <v>309</v>
      </c>
      <c r="I1910" s="513">
        <v>-98350</v>
      </c>
      <c r="J1910" s="513">
        <v>-70</v>
      </c>
      <c r="K1910" s="513">
        <v>1405</v>
      </c>
      <c r="L1910" s="518" t="s">
        <v>3493</v>
      </c>
      <c r="M1910" s="152" t="s">
        <v>780</v>
      </c>
      <c r="N1910" s="152" t="s">
        <v>1407</v>
      </c>
      <c r="O1910" s="152" t="s">
        <v>3677</v>
      </c>
      <c r="P1910" s="152" t="s">
        <v>3489</v>
      </c>
      <c r="Q1910" s="152" t="s">
        <v>3678</v>
      </c>
      <c r="R1910" s="152" t="s">
        <v>3948</v>
      </c>
      <c r="S1910" s="152" t="s">
        <v>3679</v>
      </c>
      <c r="T1910" s="152" t="s">
        <v>786</v>
      </c>
    </row>
    <row r="1911" spans="3:20">
      <c r="C1911" s="152" t="s">
        <v>2821</v>
      </c>
      <c r="F1911" s="152" t="s">
        <v>372</v>
      </c>
      <c r="G1911" s="152" t="s">
        <v>309</v>
      </c>
      <c r="I1911" s="513">
        <v>-155100</v>
      </c>
      <c r="J1911" s="513">
        <v>-110</v>
      </c>
      <c r="K1911" s="513">
        <v>1410</v>
      </c>
      <c r="L1911" s="518" t="s">
        <v>3498</v>
      </c>
      <c r="M1911" s="152" t="s">
        <v>780</v>
      </c>
      <c r="N1911" s="152" t="s">
        <v>1407</v>
      </c>
      <c r="O1911" s="152" t="s">
        <v>3499</v>
      </c>
      <c r="P1911" s="152" t="s">
        <v>3489</v>
      </c>
      <c r="Q1911" s="152" t="s">
        <v>3500</v>
      </c>
      <c r="R1911" s="152" t="s">
        <v>3949</v>
      </c>
      <c r="S1911" s="152" t="s">
        <v>3502</v>
      </c>
      <c r="T1911" s="152" t="s">
        <v>786</v>
      </c>
    </row>
    <row r="1912" spans="3:20">
      <c r="C1912" s="152" t="s">
        <v>2821</v>
      </c>
      <c r="F1912" s="152" t="s">
        <v>372</v>
      </c>
      <c r="G1912" s="152" t="s">
        <v>309</v>
      </c>
      <c r="I1912" s="513">
        <v>-155100</v>
      </c>
      <c r="J1912" s="513">
        <v>-110</v>
      </c>
      <c r="K1912" s="513">
        <v>1410</v>
      </c>
      <c r="L1912" s="518" t="s">
        <v>3659</v>
      </c>
      <c r="M1912" s="152" t="s">
        <v>780</v>
      </c>
      <c r="N1912" s="152" t="s">
        <v>1407</v>
      </c>
      <c r="O1912" s="152" t="s">
        <v>3795</v>
      </c>
      <c r="P1912" s="152" t="s">
        <v>3489</v>
      </c>
      <c r="Q1912" s="152" t="s">
        <v>3796</v>
      </c>
      <c r="R1912" s="152" t="s">
        <v>3949</v>
      </c>
      <c r="S1912" s="152" t="s">
        <v>3798</v>
      </c>
      <c r="T1912" s="152" t="s">
        <v>786</v>
      </c>
    </row>
    <row r="1913" spans="3:20">
      <c r="C1913" s="152" t="s">
        <v>2821</v>
      </c>
      <c r="F1913" s="152" t="s">
        <v>372</v>
      </c>
      <c r="G1913" s="152" t="s">
        <v>309</v>
      </c>
      <c r="I1913" s="513">
        <v>-155650</v>
      </c>
      <c r="J1913" s="513">
        <v>-110</v>
      </c>
      <c r="K1913" s="513">
        <v>1415</v>
      </c>
      <c r="L1913" s="518" t="s">
        <v>3511</v>
      </c>
      <c r="M1913" s="152" t="s">
        <v>780</v>
      </c>
      <c r="N1913" s="152" t="s">
        <v>1407</v>
      </c>
      <c r="O1913" s="152" t="s">
        <v>3512</v>
      </c>
      <c r="P1913" s="152" t="s">
        <v>3489</v>
      </c>
      <c r="Q1913" s="152" t="s">
        <v>3513</v>
      </c>
      <c r="R1913" s="152" t="s">
        <v>3950</v>
      </c>
      <c r="S1913" s="152" t="s">
        <v>3515</v>
      </c>
      <c r="T1913" s="152" t="s">
        <v>786</v>
      </c>
    </row>
    <row r="1914" spans="3:20">
      <c r="C1914" s="152" t="s">
        <v>2821</v>
      </c>
      <c r="F1914" s="152" t="s">
        <v>372</v>
      </c>
      <c r="G1914" s="152" t="s">
        <v>309</v>
      </c>
      <c r="I1914" s="513">
        <v>-235125</v>
      </c>
      <c r="J1914" s="513">
        <v>-165</v>
      </c>
      <c r="K1914" s="513">
        <v>1425</v>
      </c>
      <c r="L1914" s="518" t="s">
        <v>3504</v>
      </c>
      <c r="M1914" s="152" t="s">
        <v>780</v>
      </c>
      <c r="N1914" s="152" t="s">
        <v>1407</v>
      </c>
      <c r="O1914" s="152" t="s">
        <v>3505</v>
      </c>
      <c r="P1914" s="152" t="s">
        <v>3489</v>
      </c>
      <c r="Q1914" s="152" t="s">
        <v>3506</v>
      </c>
      <c r="R1914" s="152" t="s">
        <v>3951</v>
      </c>
      <c r="S1914" s="152" t="s">
        <v>3508</v>
      </c>
      <c r="T1914" s="152" t="s">
        <v>786</v>
      </c>
    </row>
    <row r="1915" spans="3:20">
      <c r="C1915" s="152" t="s">
        <v>2821</v>
      </c>
      <c r="F1915" s="152" t="s">
        <v>372</v>
      </c>
      <c r="G1915" s="152" t="s">
        <v>309</v>
      </c>
      <c r="I1915" s="513">
        <v>-309100</v>
      </c>
      <c r="J1915" s="513">
        <v>-220</v>
      </c>
      <c r="K1915" s="513">
        <v>1405</v>
      </c>
      <c r="L1915" s="518" t="s">
        <v>3493</v>
      </c>
      <c r="M1915" s="152" t="s">
        <v>780</v>
      </c>
      <c r="N1915" s="152" t="s">
        <v>1407</v>
      </c>
      <c r="O1915" s="152" t="s">
        <v>3677</v>
      </c>
      <c r="P1915" s="152" t="s">
        <v>3489</v>
      </c>
      <c r="Q1915" s="152" t="s">
        <v>3678</v>
      </c>
      <c r="R1915" s="152" t="s">
        <v>3952</v>
      </c>
      <c r="S1915" s="152" t="s">
        <v>3679</v>
      </c>
      <c r="T1915" s="152" t="s">
        <v>786</v>
      </c>
    </row>
    <row r="1916" spans="3:20">
      <c r="C1916" s="152" t="s">
        <v>2821</v>
      </c>
      <c r="F1916" s="152" t="s">
        <v>372</v>
      </c>
      <c r="G1916" s="152" t="s">
        <v>309</v>
      </c>
      <c r="I1916" s="513">
        <v>-171820.79999999999</v>
      </c>
      <c r="J1916" s="513">
        <v>-119.32</v>
      </c>
      <c r="K1916" s="513">
        <v>1440</v>
      </c>
      <c r="L1916" s="518" t="s">
        <v>3517</v>
      </c>
      <c r="M1916" s="152" t="s">
        <v>780</v>
      </c>
      <c r="N1916" s="152" t="s">
        <v>1407</v>
      </c>
      <c r="O1916" s="152" t="s">
        <v>3518</v>
      </c>
      <c r="P1916" s="152" t="s">
        <v>892</v>
      </c>
      <c r="Q1916" s="152" t="s">
        <v>3519</v>
      </c>
      <c r="R1916" s="152" t="s">
        <v>3954</v>
      </c>
      <c r="S1916" s="152" t="s">
        <v>3521</v>
      </c>
      <c r="T1916" s="152" t="s">
        <v>786</v>
      </c>
    </row>
    <row r="1917" spans="3:20">
      <c r="C1917" s="152" t="s">
        <v>2821</v>
      </c>
      <c r="F1917" s="152" t="s">
        <v>372</v>
      </c>
      <c r="G1917" s="152" t="s">
        <v>309</v>
      </c>
      <c r="I1917" s="513">
        <v>-2448000</v>
      </c>
      <c r="J1917" s="513">
        <v>-1700</v>
      </c>
      <c r="K1917" s="513">
        <v>1440</v>
      </c>
      <c r="L1917" s="518" t="s">
        <v>3517</v>
      </c>
      <c r="M1917" s="152" t="s">
        <v>780</v>
      </c>
      <c r="N1917" s="152" t="s">
        <v>1407</v>
      </c>
      <c r="O1917" s="152" t="s">
        <v>3518</v>
      </c>
      <c r="P1917" s="152" t="s">
        <v>892</v>
      </c>
      <c r="Q1917" s="152" t="s">
        <v>3519</v>
      </c>
      <c r="R1917" s="152" t="s">
        <v>3954</v>
      </c>
      <c r="S1917" s="152" t="s">
        <v>3521</v>
      </c>
      <c r="T1917" s="152" t="s">
        <v>786</v>
      </c>
    </row>
    <row r="1918" spans="3:20">
      <c r="C1918" s="152" t="s">
        <v>2821</v>
      </c>
      <c r="F1918" s="152" t="s">
        <v>372</v>
      </c>
      <c r="G1918" s="152" t="s">
        <v>309</v>
      </c>
      <c r="I1918" s="513">
        <v>-118275</v>
      </c>
      <c r="J1918" s="513">
        <v>-83</v>
      </c>
      <c r="K1918" s="513">
        <v>1425</v>
      </c>
      <c r="L1918" s="518" t="s">
        <v>3637</v>
      </c>
      <c r="M1918" s="152" t="s">
        <v>780</v>
      </c>
      <c r="N1918" s="152" t="s">
        <v>1407</v>
      </c>
      <c r="O1918" s="152" t="s">
        <v>3638</v>
      </c>
      <c r="P1918" s="152" t="s">
        <v>2865</v>
      </c>
      <c r="Q1918" s="152" t="s">
        <v>3639</v>
      </c>
      <c r="R1918" s="152" t="s">
        <v>3954</v>
      </c>
      <c r="S1918" s="152" t="s">
        <v>3641</v>
      </c>
      <c r="T1918" s="152" t="s">
        <v>786</v>
      </c>
    </row>
    <row r="1919" spans="3:20">
      <c r="C1919" s="152" t="s">
        <v>2821</v>
      </c>
      <c r="F1919" s="152" t="s">
        <v>372</v>
      </c>
      <c r="G1919" s="152" t="s">
        <v>309</v>
      </c>
      <c r="I1919" s="513">
        <v>-936000</v>
      </c>
      <c r="J1919" s="513">
        <v>-650</v>
      </c>
      <c r="K1919" s="513">
        <v>1440</v>
      </c>
      <c r="L1919" s="518" t="s">
        <v>3637</v>
      </c>
      <c r="M1919" s="152" t="s">
        <v>780</v>
      </c>
      <c r="N1919" s="152" t="s">
        <v>1407</v>
      </c>
      <c r="O1919" s="152" t="s">
        <v>3638</v>
      </c>
      <c r="P1919" s="152" t="s">
        <v>2865</v>
      </c>
      <c r="Q1919" s="152" t="s">
        <v>3639</v>
      </c>
      <c r="R1919" s="152" t="s">
        <v>3956</v>
      </c>
      <c r="S1919" s="152" t="s">
        <v>3641</v>
      </c>
      <c r="T1919" s="152" t="s">
        <v>786</v>
      </c>
    </row>
    <row r="1920" spans="3:20">
      <c r="C1920" s="152" t="s">
        <v>2821</v>
      </c>
      <c r="F1920" s="152" t="s">
        <v>372</v>
      </c>
      <c r="G1920" s="152" t="s">
        <v>309</v>
      </c>
      <c r="I1920" s="513">
        <v>-436589.7</v>
      </c>
      <c r="J1920" s="513">
        <v>-310.74</v>
      </c>
      <c r="K1920" s="513">
        <v>1405</v>
      </c>
      <c r="L1920" s="518" t="s">
        <v>3493</v>
      </c>
      <c r="M1920" s="152" t="s">
        <v>780</v>
      </c>
      <c r="N1920" s="152" t="s">
        <v>1407</v>
      </c>
      <c r="O1920" s="152" t="s">
        <v>3677</v>
      </c>
      <c r="P1920" s="152" t="s">
        <v>3489</v>
      </c>
      <c r="Q1920" s="152" t="s">
        <v>3678</v>
      </c>
      <c r="R1920" s="152" t="s">
        <v>3957</v>
      </c>
      <c r="S1920" s="152" t="s">
        <v>3679</v>
      </c>
      <c r="T1920" s="152" t="s">
        <v>786</v>
      </c>
    </row>
    <row r="1921" spans="3:20">
      <c r="C1921" s="152" t="s">
        <v>2821</v>
      </c>
      <c r="F1921" s="152" t="s">
        <v>372</v>
      </c>
      <c r="G1921" s="152" t="s">
        <v>309</v>
      </c>
      <c r="I1921" s="513">
        <v>-154000</v>
      </c>
      <c r="J1921" s="513">
        <v>-110</v>
      </c>
      <c r="K1921" s="513">
        <v>1400</v>
      </c>
      <c r="L1921" s="518" t="s">
        <v>3659</v>
      </c>
      <c r="M1921" s="152" t="s">
        <v>780</v>
      </c>
      <c r="N1921" s="152" t="s">
        <v>1407</v>
      </c>
      <c r="O1921" s="152" t="s">
        <v>3795</v>
      </c>
      <c r="P1921" s="152" t="s">
        <v>3489</v>
      </c>
      <c r="Q1921" s="152" t="s">
        <v>3796</v>
      </c>
      <c r="R1921" s="152" t="s">
        <v>3958</v>
      </c>
      <c r="S1921" s="152" t="s">
        <v>3798</v>
      </c>
      <c r="T1921" s="152" t="s">
        <v>786</v>
      </c>
    </row>
    <row r="1922" spans="3:20">
      <c r="C1922" s="152" t="s">
        <v>2821</v>
      </c>
      <c r="F1922" s="152" t="s">
        <v>372</v>
      </c>
      <c r="G1922" s="152" t="s">
        <v>309</v>
      </c>
      <c r="I1922" s="513">
        <v>-451200</v>
      </c>
      <c r="J1922" s="513">
        <v>-320</v>
      </c>
      <c r="K1922" s="513">
        <v>1410</v>
      </c>
      <c r="L1922" s="518" t="s">
        <v>3659</v>
      </c>
      <c r="M1922" s="152" t="s">
        <v>780</v>
      </c>
      <c r="N1922" s="152" t="s">
        <v>1407</v>
      </c>
      <c r="O1922" s="152" t="s">
        <v>3795</v>
      </c>
      <c r="P1922" s="152" t="s">
        <v>3489</v>
      </c>
      <c r="Q1922" s="152" t="s">
        <v>3796</v>
      </c>
      <c r="R1922" s="152" t="s">
        <v>3959</v>
      </c>
      <c r="S1922" s="152" t="s">
        <v>3798</v>
      </c>
      <c r="T1922" s="152" t="s">
        <v>786</v>
      </c>
    </row>
    <row r="1923" spans="3:20">
      <c r="C1923" s="152" t="s">
        <v>2821</v>
      </c>
      <c r="F1923" s="152" t="s">
        <v>372</v>
      </c>
      <c r="G1923" s="152" t="s">
        <v>309</v>
      </c>
      <c r="I1923" s="513">
        <v>-212250</v>
      </c>
      <c r="J1923" s="513">
        <v>-150</v>
      </c>
      <c r="K1923" s="513">
        <v>1415</v>
      </c>
      <c r="L1923" s="518" t="s">
        <v>3632</v>
      </c>
      <c r="M1923" s="152" t="s">
        <v>780</v>
      </c>
      <c r="N1923" s="152" t="s">
        <v>1407</v>
      </c>
      <c r="O1923" s="152" t="s">
        <v>3633</v>
      </c>
      <c r="P1923" s="152" t="s">
        <v>3489</v>
      </c>
      <c r="Q1923" s="152" t="s">
        <v>3634</v>
      </c>
      <c r="R1923" s="152" t="s">
        <v>3960</v>
      </c>
      <c r="S1923" s="152" t="s">
        <v>3636</v>
      </c>
      <c r="T1923" s="152" t="s">
        <v>786</v>
      </c>
    </row>
    <row r="1924" spans="3:20">
      <c r="C1924" s="152" t="s">
        <v>2821</v>
      </c>
      <c r="F1924" s="152" t="s">
        <v>372</v>
      </c>
      <c r="G1924" s="152" t="s">
        <v>309</v>
      </c>
      <c r="I1924" s="513">
        <v>-27267.05</v>
      </c>
      <c r="J1924" s="513">
        <v>-19.27</v>
      </c>
      <c r="K1924" s="513">
        <v>1415</v>
      </c>
      <c r="L1924" s="518" t="s">
        <v>3632</v>
      </c>
      <c r="M1924" s="152" t="s">
        <v>780</v>
      </c>
      <c r="N1924" s="152" t="s">
        <v>1407</v>
      </c>
      <c r="O1924" s="152" t="s">
        <v>3633</v>
      </c>
      <c r="P1924" s="152" t="s">
        <v>3489</v>
      </c>
      <c r="Q1924" s="152" t="s">
        <v>3634</v>
      </c>
      <c r="R1924" s="152" t="s">
        <v>3961</v>
      </c>
      <c r="S1924" s="152" t="s">
        <v>3636</v>
      </c>
      <c r="T1924" s="152" t="s">
        <v>786</v>
      </c>
    </row>
    <row r="1925" spans="3:20">
      <c r="C1925" s="152" t="s">
        <v>2821</v>
      </c>
      <c r="F1925" s="152" t="s">
        <v>372</v>
      </c>
      <c r="G1925" s="152" t="s">
        <v>309</v>
      </c>
      <c r="I1925" s="513">
        <v>-193187.5</v>
      </c>
      <c r="J1925" s="513">
        <v>-137.5</v>
      </c>
      <c r="K1925" s="513">
        <v>1405</v>
      </c>
      <c r="L1925" s="518" t="s">
        <v>3493</v>
      </c>
      <c r="M1925" s="152" t="s">
        <v>780</v>
      </c>
      <c r="N1925" s="152" t="s">
        <v>1407</v>
      </c>
      <c r="O1925" s="152" t="s">
        <v>3677</v>
      </c>
      <c r="P1925" s="152" t="s">
        <v>3489</v>
      </c>
      <c r="Q1925" s="152" t="s">
        <v>3678</v>
      </c>
      <c r="R1925" s="152" t="s">
        <v>3962</v>
      </c>
      <c r="S1925" s="152" t="s">
        <v>3679</v>
      </c>
      <c r="T1925" s="152" t="s">
        <v>786</v>
      </c>
    </row>
    <row r="1926" spans="3:20">
      <c r="C1926" s="152" t="s">
        <v>2821</v>
      </c>
      <c r="F1926" s="152" t="s">
        <v>372</v>
      </c>
      <c r="G1926" s="152" t="s">
        <v>309</v>
      </c>
      <c r="I1926" s="513">
        <v>-2880000</v>
      </c>
      <c r="J1926" s="513">
        <v>-2000</v>
      </c>
      <c r="K1926" s="513">
        <v>1440</v>
      </c>
      <c r="L1926" s="518" t="s">
        <v>3637</v>
      </c>
      <c r="M1926" s="152" t="s">
        <v>780</v>
      </c>
      <c r="N1926" s="152" t="s">
        <v>1407</v>
      </c>
      <c r="O1926" s="152" t="s">
        <v>3638</v>
      </c>
      <c r="P1926" s="152" t="s">
        <v>2865</v>
      </c>
      <c r="Q1926" s="152" t="s">
        <v>3639</v>
      </c>
      <c r="R1926" s="152" t="s">
        <v>3963</v>
      </c>
      <c r="S1926" s="152" t="s">
        <v>3641</v>
      </c>
      <c r="T1926" s="152" t="s">
        <v>786</v>
      </c>
    </row>
    <row r="1927" spans="3:20">
      <c r="C1927" s="152" t="s">
        <v>2821</v>
      </c>
      <c r="F1927" s="152" t="s">
        <v>372</v>
      </c>
      <c r="G1927" s="152" t="s">
        <v>309</v>
      </c>
      <c r="I1927" s="513">
        <v>-13640.6</v>
      </c>
      <c r="J1927" s="513">
        <v>-9.64</v>
      </c>
      <c r="K1927" s="513">
        <v>1415</v>
      </c>
      <c r="L1927" s="518" t="s">
        <v>3632</v>
      </c>
      <c r="M1927" s="152" t="s">
        <v>780</v>
      </c>
      <c r="N1927" s="152" t="s">
        <v>1407</v>
      </c>
      <c r="O1927" s="152" t="s">
        <v>3633</v>
      </c>
      <c r="P1927" s="152" t="s">
        <v>3489</v>
      </c>
      <c r="Q1927" s="152" t="s">
        <v>3634</v>
      </c>
      <c r="R1927" s="152" t="s">
        <v>3964</v>
      </c>
      <c r="S1927" s="152" t="s">
        <v>3636</v>
      </c>
      <c r="T1927" s="152" t="s">
        <v>786</v>
      </c>
    </row>
    <row r="1928" spans="3:20">
      <c r="C1928" s="152" t="s">
        <v>2821</v>
      </c>
      <c r="F1928" s="152" t="s">
        <v>372</v>
      </c>
      <c r="G1928" s="152" t="s">
        <v>309</v>
      </c>
      <c r="I1928" s="513">
        <v>-8178.7</v>
      </c>
      <c r="J1928" s="513">
        <v>-5.78</v>
      </c>
      <c r="K1928" s="513">
        <v>1415</v>
      </c>
      <c r="L1928" s="518" t="s">
        <v>3511</v>
      </c>
      <c r="M1928" s="152" t="s">
        <v>780</v>
      </c>
      <c r="N1928" s="152" t="s">
        <v>1407</v>
      </c>
      <c r="O1928" s="152" t="s">
        <v>3512</v>
      </c>
      <c r="P1928" s="152" t="s">
        <v>3489</v>
      </c>
      <c r="Q1928" s="152" t="s">
        <v>3513</v>
      </c>
      <c r="R1928" s="152" t="s">
        <v>3965</v>
      </c>
      <c r="S1928" s="152" t="s">
        <v>3515</v>
      </c>
      <c r="T1928" s="152" t="s">
        <v>786</v>
      </c>
    </row>
    <row r="1929" spans="3:20">
      <c r="C1929" s="152" t="s">
        <v>2821</v>
      </c>
      <c r="F1929" s="152" t="s">
        <v>372</v>
      </c>
      <c r="G1929" s="152" t="s">
        <v>309</v>
      </c>
      <c r="I1929" s="513">
        <v>-8942.7999999999993</v>
      </c>
      <c r="J1929" s="513">
        <v>-6.32</v>
      </c>
      <c r="K1929" s="513">
        <v>1415</v>
      </c>
      <c r="L1929" s="518" t="s">
        <v>3632</v>
      </c>
      <c r="M1929" s="152" t="s">
        <v>780</v>
      </c>
      <c r="N1929" s="152" t="s">
        <v>1407</v>
      </c>
      <c r="O1929" s="152" t="s">
        <v>3633</v>
      </c>
      <c r="P1929" s="152" t="s">
        <v>3489</v>
      </c>
      <c r="Q1929" s="152" t="s">
        <v>3634</v>
      </c>
      <c r="R1929" s="152" t="s">
        <v>3966</v>
      </c>
      <c r="S1929" s="152" t="s">
        <v>3636</v>
      </c>
      <c r="T1929" s="152" t="s">
        <v>786</v>
      </c>
    </row>
    <row r="1930" spans="3:20">
      <c r="C1930" s="152" t="s">
        <v>2821</v>
      </c>
      <c r="F1930" s="152" t="s">
        <v>372</v>
      </c>
      <c r="G1930" s="152" t="s">
        <v>309</v>
      </c>
      <c r="I1930" s="513">
        <v>-155650</v>
      </c>
      <c r="J1930" s="513">
        <v>-110</v>
      </c>
      <c r="K1930" s="513">
        <v>1415</v>
      </c>
      <c r="L1930" s="518" t="s">
        <v>3511</v>
      </c>
      <c r="M1930" s="152" t="s">
        <v>780</v>
      </c>
      <c r="N1930" s="152" t="s">
        <v>1407</v>
      </c>
      <c r="O1930" s="152" t="s">
        <v>3512</v>
      </c>
      <c r="P1930" s="152" t="s">
        <v>3489</v>
      </c>
      <c r="Q1930" s="152" t="s">
        <v>3513</v>
      </c>
      <c r="R1930" s="152" t="s">
        <v>3967</v>
      </c>
      <c r="S1930" s="152" t="s">
        <v>3515</v>
      </c>
      <c r="T1930" s="152" t="s">
        <v>786</v>
      </c>
    </row>
    <row r="1931" spans="3:20">
      <c r="C1931" s="152" t="s">
        <v>2821</v>
      </c>
      <c r="F1931" s="152" t="s">
        <v>372</v>
      </c>
      <c r="G1931" s="152" t="s">
        <v>309</v>
      </c>
      <c r="I1931" s="513">
        <v>-155650</v>
      </c>
      <c r="J1931" s="513">
        <v>-110</v>
      </c>
      <c r="K1931" s="513">
        <v>1415</v>
      </c>
      <c r="L1931" s="518" t="s">
        <v>3632</v>
      </c>
      <c r="M1931" s="152" t="s">
        <v>780</v>
      </c>
      <c r="N1931" s="152" t="s">
        <v>1407</v>
      </c>
      <c r="O1931" s="152" t="s">
        <v>3633</v>
      </c>
      <c r="P1931" s="152" t="s">
        <v>3489</v>
      </c>
      <c r="Q1931" s="152" t="s">
        <v>3634</v>
      </c>
      <c r="R1931" s="152" t="s">
        <v>3967</v>
      </c>
      <c r="S1931" s="152" t="s">
        <v>3636</v>
      </c>
      <c r="T1931" s="152" t="s">
        <v>786</v>
      </c>
    </row>
    <row r="1932" spans="3:20">
      <c r="C1932" s="152" t="s">
        <v>2821</v>
      </c>
      <c r="F1932" s="152" t="s">
        <v>372</v>
      </c>
      <c r="G1932" s="152" t="s">
        <v>309</v>
      </c>
      <c r="I1932" s="513">
        <v>-1132000</v>
      </c>
      <c r="J1932" s="513">
        <v>-800</v>
      </c>
      <c r="K1932" s="513">
        <v>1415</v>
      </c>
      <c r="L1932" s="518" t="s">
        <v>3632</v>
      </c>
      <c r="M1932" s="152" t="s">
        <v>780</v>
      </c>
      <c r="N1932" s="152" t="s">
        <v>1407</v>
      </c>
      <c r="O1932" s="152" t="s">
        <v>3633</v>
      </c>
      <c r="P1932" s="152" t="s">
        <v>3489</v>
      </c>
      <c r="Q1932" s="152" t="s">
        <v>3634</v>
      </c>
      <c r="R1932" s="152" t="s">
        <v>3968</v>
      </c>
      <c r="S1932" s="152" t="s">
        <v>3636</v>
      </c>
      <c r="T1932" s="152" t="s">
        <v>786</v>
      </c>
    </row>
    <row r="1933" spans="3:20">
      <c r="C1933" s="152" t="s">
        <v>2821</v>
      </c>
      <c r="F1933" s="152" t="s">
        <v>372</v>
      </c>
      <c r="G1933" s="152" t="s">
        <v>309</v>
      </c>
      <c r="I1933" s="513">
        <v>-311300</v>
      </c>
      <c r="J1933" s="513">
        <v>-220</v>
      </c>
      <c r="K1933" s="513">
        <v>1415</v>
      </c>
      <c r="L1933" s="518" t="s">
        <v>3632</v>
      </c>
      <c r="M1933" s="152" t="s">
        <v>780</v>
      </c>
      <c r="N1933" s="152" t="s">
        <v>1407</v>
      </c>
      <c r="O1933" s="152" t="s">
        <v>3633</v>
      </c>
      <c r="P1933" s="152" t="s">
        <v>3489</v>
      </c>
      <c r="Q1933" s="152" t="s">
        <v>3634</v>
      </c>
      <c r="R1933" s="152" t="s">
        <v>3969</v>
      </c>
      <c r="S1933" s="152" t="s">
        <v>3636</v>
      </c>
      <c r="T1933" s="152" t="s">
        <v>786</v>
      </c>
    </row>
    <row r="1934" spans="3:20">
      <c r="C1934" s="152" t="s">
        <v>2821</v>
      </c>
      <c r="F1934" s="152" t="s">
        <v>372</v>
      </c>
      <c r="G1934" s="152" t="s">
        <v>309</v>
      </c>
      <c r="I1934" s="513">
        <v>-78375</v>
      </c>
      <c r="J1934" s="513">
        <v>-55</v>
      </c>
      <c r="K1934" s="513">
        <v>1425</v>
      </c>
      <c r="L1934" s="518" t="s">
        <v>3637</v>
      </c>
      <c r="M1934" s="152" t="s">
        <v>780</v>
      </c>
      <c r="N1934" s="152" t="s">
        <v>1407</v>
      </c>
      <c r="O1934" s="152" t="s">
        <v>3638</v>
      </c>
      <c r="P1934" s="152" t="s">
        <v>2865</v>
      </c>
      <c r="Q1934" s="152" t="s">
        <v>3639</v>
      </c>
      <c r="R1934" s="152" t="s">
        <v>3970</v>
      </c>
      <c r="S1934" s="152" t="s">
        <v>3641</v>
      </c>
      <c r="T1934" s="152" t="s">
        <v>786</v>
      </c>
    </row>
    <row r="1935" spans="3:20">
      <c r="C1935" s="152" t="s">
        <v>2821</v>
      </c>
      <c r="F1935" s="152" t="s">
        <v>372</v>
      </c>
      <c r="G1935" s="152" t="s">
        <v>309</v>
      </c>
      <c r="I1935" s="513">
        <v>-155650</v>
      </c>
      <c r="J1935" s="513">
        <v>-110</v>
      </c>
      <c r="K1935" s="513">
        <v>1415</v>
      </c>
      <c r="L1935" s="518" t="s">
        <v>3493</v>
      </c>
      <c r="M1935" s="152" t="s">
        <v>780</v>
      </c>
      <c r="N1935" s="152" t="s">
        <v>1407</v>
      </c>
      <c r="O1935" s="152" t="s">
        <v>3677</v>
      </c>
      <c r="P1935" s="152" t="s">
        <v>3489</v>
      </c>
      <c r="Q1935" s="152" t="s">
        <v>3678</v>
      </c>
      <c r="R1935" s="152" t="s">
        <v>3970</v>
      </c>
      <c r="S1935" s="152" t="s">
        <v>3679</v>
      </c>
      <c r="T1935" s="152" t="s">
        <v>786</v>
      </c>
    </row>
    <row r="1936" spans="3:20">
      <c r="C1936" s="152" t="s">
        <v>2821</v>
      </c>
      <c r="F1936" s="152" t="s">
        <v>372</v>
      </c>
      <c r="G1936" s="152" t="s">
        <v>309</v>
      </c>
      <c r="I1936" s="513">
        <v>-98350</v>
      </c>
      <c r="J1936" s="513">
        <v>-70</v>
      </c>
      <c r="K1936" s="513">
        <v>1405</v>
      </c>
      <c r="L1936" s="518" t="s">
        <v>3493</v>
      </c>
      <c r="M1936" s="152" t="s">
        <v>780</v>
      </c>
      <c r="N1936" s="152" t="s">
        <v>1407</v>
      </c>
      <c r="O1936" s="152" t="s">
        <v>3677</v>
      </c>
      <c r="P1936" s="152" t="s">
        <v>3489</v>
      </c>
      <c r="Q1936" s="152" t="s">
        <v>3678</v>
      </c>
      <c r="R1936" s="152" t="s">
        <v>3971</v>
      </c>
      <c r="S1936" s="152" t="s">
        <v>3679</v>
      </c>
      <c r="T1936" s="152" t="s">
        <v>786</v>
      </c>
    </row>
    <row r="1937" spans="3:20">
      <c r="C1937" s="152" t="s">
        <v>2821</v>
      </c>
      <c r="F1937" s="152" t="s">
        <v>372</v>
      </c>
      <c r="G1937" s="152" t="s">
        <v>309</v>
      </c>
      <c r="I1937" s="513">
        <v>-313500</v>
      </c>
      <c r="J1937" s="513">
        <v>-220</v>
      </c>
      <c r="K1937" s="513">
        <v>1425</v>
      </c>
      <c r="L1937" s="518" t="s">
        <v>3637</v>
      </c>
      <c r="M1937" s="152" t="s">
        <v>780</v>
      </c>
      <c r="N1937" s="152" t="s">
        <v>1407</v>
      </c>
      <c r="O1937" s="152" t="s">
        <v>3638</v>
      </c>
      <c r="P1937" s="152" t="s">
        <v>2865</v>
      </c>
      <c r="Q1937" s="152" t="s">
        <v>3639</v>
      </c>
      <c r="R1937" s="152" t="s">
        <v>3972</v>
      </c>
      <c r="S1937" s="152" t="s">
        <v>3641</v>
      </c>
      <c r="T1937" s="152" t="s">
        <v>786</v>
      </c>
    </row>
    <row r="1938" spans="3:20">
      <c r="C1938" s="152" t="s">
        <v>2821</v>
      </c>
      <c r="F1938" s="152" t="s">
        <v>372</v>
      </c>
      <c r="G1938" s="152" t="s">
        <v>309</v>
      </c>
      <c r="I1938" s="513">
        <v>-966289.35</v>
      </c>
      <c r="J1938" s="513">
        <v>-682.89</v>
      </c>
      <c r="K1938" s="513">
        <v>1415</v>
      </c>
      <c r="L1938" s="518" t="s">
        <v>3511</v>
      </c>
      <c r="M1938" s="152" t="s">
        <v>780</v>
      </c>
      <c r="N1938" s="152" t="s">
        <v>1407</v>
      </c>
      <c r="O1938" s="152" t="s">
        <v>3512</v>
      </c>
      <c r="P1938" s="152" t="s">
        <v>3489</v>
      </c>
      <c r="Q1938" s="152" t="s">
        <v>3513</v>
      </c>
      <c r="R1938" s="152" t="s">
        <v>3973</v>
      </c>
      <c r="S1938" s="152" t="s">
        <v>3515</v>
      </c>
      <c r="T1938" s="152" t="s">
        <v>786</v>
      </c>
    </row>
    <row r="1939" spans="3:20">
      <c r="C1939" s="152" t="s">
        <v>2821</v>
      </c>
      <c r="F1939" s="152" t="s">
        <v>372</v>
      </c>
      <c r="G1939" s="152" t="s">
        <v>309</v>
      </c>
      <c r="I1939" s="513">
        <v>-1225172.25</v>
      </c>
      <c r="J1939" s="513">
        <v>-859.77</v>
      </c>
      <c r="K1939" s="513">
        <v>1425</v>
      </c>
      <c r="L1939" s="518" t="s">
        <v>3504</v>
      </c>
      <c r="M1939" s="152" t="s">
        <v>780</v>
      </c>
      <c r="N1939" s="152" t="s">
        <v>1407</v>
      </c>
      <c r="O1939" s="152" t="s">
        <v>3505</v>
      </c>
      <c r="P1939" s="152" t="s">
        <v>3489</v>
      </c>
      <c r="Q1939" s="152" t="s">
        <v>3506</v>
      </c>
      <c r="R1939" s="152" t="s">
        <v>3974</v>
      </c>
      <c r="S1939" s="152" t="s">
        <v>3508</v>
      </c>
      <c r="T1939" s="152" t="s">
        <v>786</v>
      </c>
    </row>
    <row r="1940" spans="3:20">
      <c r="C1940" s="152" t="s">
        <v>2821</v>
      </c>
      <c r="F1940" s="152" t="s">
        <v>372</v>
      </c>
      <c r="G1940" s="152" t="s">
        <v>309</v>
      </c>
      <c r="I1940" s="513">
        <v>-994543.5</v>
      </c>
      <c r="J1940" s="513">
        <v>-705.35</v>
      </c>
      <c r="K1940" s="513">
        <v>1410</v>
      </c>
      <c r="L1940" s="518" t="s">
        <v>3498</v>
      </c>
      <c r="M1940" s="152" t="s">
        <v>780</v>
      </c>
      <c r="N1940" s="152" t="s">
        <v>1407</v>
      </c>
      <c r="O1940" s="152" t="s">
        <v>3499</v>
      </c>
      <c r="P1940" s="152" t="s">
        <v>3489</v>
      </c>
      <c r="Q1940" s="152" t="s">
        <v>3500</v>
      </c>
      <c r="R1940" s="152" t="s">
        <v>3975</v>
      </c>
      <c r="S1940" s="152" t="s">
        <v>3502</v>
      </c>
      <c r="T1940" s="152" t="s">
        <v>786</v>
      </c>
    </row>
    <row r="1941" spans="3:20">
      <c r="C1941" s="152" t="s">
        <v>2821</v>
      </c>
      <c r="F1941" s="152" t="s">
        <v>372</v>
      </c>
      <c r="G1941" s="152" t="s">
        <v>309</v>
      </c>
      <c r="I1941" s="513">
        <v>-1083670</v>
      </c>
      <c r="J1941" s="513">
        <v>-774.05</v>
      </c>
      <c r="K1941" s="513">
        <v>1400</v>
      </c>
      <c r="L1941" s="518" t="s">
        <v>3659</v>
      </c>
      <c r="M1941" s="152" t="s">
        <v>780</v>
      </c>
      <c r="N1941" s="152" t="s">
        <v>1407</v>
      </c>
      <c r="O1941" s="152" t="s">
        <v>3795</v>
      </c>
      <c r="P1941" s="152" t="s">
        <v>3489</v>
      </c>
      <c r="Q1941" s="152" t="s">
        <v>3796</v>
      </c>
      <c r="R1941" s="152" t="s">
        <v>3975</v>
      </c>
      <c r="S1941" s="152" t="s">
        <v>3798</v>
      </c>
      <c r="T1941" s="152" t="s">
        <v>786</v>
      </c>
    </row>
    <row r="1942" spans="3:20">
      <c r="C1942" s="152" t="s">
        <v>2821</v>
      </c>
      <c r="F1942" s="152" t="s">
        <v>372</v>
      </c>
      <c r="G1942" s="152" t="s">
        <v>309</v>
      </c>
      <c r="I1942" s="513">
        <v>-259421.25</v>
      </c>
      <c r="J1942" s="513">
        <v>-182.05</v>
      </c>
      <c r="K1942" s="513">
        <v>1425</v>
      </c>
      <c r="L1942" s="518" t="s">
        <v>3504</v>
      </c>
      <c r="M1942" s="152" t="s">
        <v>780</v>
      </c>
      <c r="N1942" s="152" t="s">
        <v>1407</v>
      </c>
      <c r="O1942" s="152" t="s">
        <v>3505</v>
      </c>
      <c r="P1942" s="152" t="s">
        <v>3489</v>
      </c>
      <c r="Q1942" s="152" t="s">
        <v>3506</v>
      </c>
      <c r="R1942" s="152" t="s">
        <v>3976</v>
      </c>
      <c r="S1942" s="152" t="s">
        <v>3508</v>
      </c>
      <c r="T1942" s="152" t="s">
        <v>786</v>
      </c>
    </row>
    <row r="1943" spans="3:20">
      <c r="C1943" s="152" t="s">
        <v>2821</v>
      </c>
      <c r="F1943" s="152" t="s">
        <v>372</v>
      </c>
      <c r="G1943" s="152" t="s">
        <v>309</v>
      </c>
      <c r="I1943" s="513">
        <v>-251608</v>
      </c>
      <c r="J1943" s="513">
        <v>-179.72</v>
      </c>
      <c r="K1943" s="513">
        <v>1400</v>
      </c>
      <c r="L1943" s="518" t="s">
        <v>3632</v>
      </c>
      <c r="M1943" s="152" t="s">
        <v>780</v>
      </c>
      <c r="N1943" s="152" t="s">
        <v>1407</v>
      </c>
      <c r="O1943" s="152" t="s">
        <v>3633</v>
      </c>
      <c r="P1943" s="152" t="s">
        <v>3489</v>
      </c>
      <c r="Q1943" s="152" t="s">
        <v>3634</v>
      </c>
      <c r="R1943" s="152" t="s">
        <v>3977</v>
      </c>
      <c r="S1943" s="152" t="s">
        <v>3636</v>
      </c>
      <c r="T1943" s="152" t="s">
        <v>786</v>
      </c>
    </row>
    <row r="1944" spans="3:20">
      <c r="C1944" s="152" t="s">
        <v>2821</v>
      </c>
      <c r="F1944" s="152" t="s">
        <v>372</v>
      </c>
      <c r="G1944" s="152" t="s">
        <v>309</v>
      </c>
      <c r="I1944" s="513">
        <v>-803519.5</v>
      </c>
      <c r="J1944" s="513">
        <v>-571.9</v>
      </c>
      <c r="K1944" s="513">
        <v>1405</v>
      </c>
      <c r="L1944" s="518" t="s">
        <v>3493</v>
      </c>
      <c r="M1944" s="152" t="s">
        <v>780</v>
      </c>
      <c r="N1944" s="152" t="s">
        <v>1407</v>
      </c>
      <c r="O1944" s="152" t="s">
        <v>3677</v>
      </c>
      <c r="P1944" s="152" t="s">
        <v>3489</v>
      </c>
      <c r="Q1944" s="152" t="s">
        <v>3678</v>
      </c>
      <c r="R1944" s="152" t="s">
        <v>3978</v>
      </c>
      <c r="S1944" s="152" t="s">
        <v>3679</v>
      </c>
      <c r="T1944" s="152" t="s">
        <v>786</v>
      </c>
    </row>
    <row r="1945" spans="3:20">
      <c r="C1945" s="152" t="s">
        <v>2821</v>
      </c>
      <c r="F1945" s="152" t="s">
        <v>372</v>
      </c>
      <c r="G1945" s="152" t="s">
        <v>309</v>
      </c>
      <c r="I1945" s="513">
        <v>-1087951.05</v>
      </c>
      <c r="J1945" s="513">
        <v>-768.87</v>
      </c>
      <c r="K1945" s="513">
        <v>1415</v>
      </c>
      <c r="L1945" s="518" t="s">
        <v>3632</v>
      </c>
      <c r="M1945" s="152" t="s">
        <v>780</v>
      </c>
      <c r="N1945" s="152" t="s">
        <v>1407</v>
      </c>
      <c r="O1945" s="152" t="s">
        <v>3633</v>
      </c>
      <c r="P1945" s="152" t="s">
        <v>3489</v>
      </c>
      <c r="Q1945" s="152" t="s">
        <v>3634</v>
      </c>
      <c r="R1945" s="152" t="s">
        <v>3979</v>
      </c>
      <c r="S1945" s="152" t="s">
        <v>3636</v>
      </c>
      <c r="T1945" s="152" t="s">
        <v>786</v>
      </c>
    </row>
    <row r="1946" spans="3:20">
      <c r="C1946" s="152" t="s">
        <v>2821</v>
      </c>
      <c r="F1946" s="152" t="s">
        <v>372</v>
      </c>
      <c r="G1946" s="152" t="s">
        <v>309</v>
      </c>
      <c r="I1946" s="513">
        <v>-208800</v>
      </c>
      <c r="J1946" s="513">
        <v>-145</v>
      </c>
      <c r="K1946" s="513">
        <v>1440</v>
      </c>
      <c r="L1946" s="518" t="s">
        <v>3637</v>
      </c>
      <c r="M1946" s="152" t="s">
        <v>780</v>
      </c>
      <c r="N1946" s="152" t="s">
        <v>1407</v>
      </c>
      <c r="O1946" s="152" t="s">
        <v>3638</v>
      </c>
      <c r="P1946" s="152" t="s">
        <v>2865</v>
      </c>
      <c r="Q1946" s="152" t="s">
        <v>3639</v>
      </c>
      <c r="R1946" s="152" t="s">
        <v>3980</v>
      </c>
      <c r="S1946" s="152" t="s">
        <v>3641</v>
      </c>
      <c r="T1946" s="152" t="s">
        <v>786</v>
      </c>
    </row>
    <row r="1947" spans="3:20">
      <c r="C1947" s="152" t="s">
        <v>2821</v>
      </c>
      <c r="F1947" s="152" t="s">
        <v>372</v>
      </c>
      <c r="G1947" s="152" t="s">
        <v>309</v>
      </c>
      <c r="I1947" s="513">
        <v>-332640</v>
      </c>
      <c r="J1947" s="513">
        <v>-231</v>
      </c>
      <c r="K1947" s="513">
        <v>1440</v>
      </c>
      <c r="L1947" s="518" t="s">
        <v>3637</v>
      </c>
      <c r="M1947" s="152" t="s">
        <v>780</v>
      </c>
      <c r="N1947" s="152" t="s">
        <v>1407</v>
      </c>
      <c r="O1947" s="152" t="s">
        <v>3638</v>
      </c>
      <c r="P1947" s="152" t="s">
        <v>2865</v>
      </c>
      <c r="Q1947" s="152" t="s">
        <v>3639</v>
      </c>
      <c r="R1947" s="152" t="s">
        <v>3981</v>
      </c>
      <c r="S1947" s="152" t="s">
        <v>3641</v>
      </c>
      <c r="T1947" s="152" t="s">
        <v>786</v>
      </c>
    </row>
    <row r="1948" spans="3:20">
      <c r="C1948" s="152" t="s">
        <v>2821</v>
      </c>
      <c r="F1948" s="152" t="s">
        <v>372</v>
      </c>
      <c r="G1948" s="152" t="s">
        <v>309</v>
      </c>
      <c r="I1948" s="513">
        <v>-208800</v>
      </c>
      <c r="J1948" s="513">
        <v>-145</v>
      </c>
      <c r="K1948" s="513">
        <v>1440</v>
      </c>
      <c r="L1948" s="518" t="s">
        <v>3637</v>
      </c>
      <c r="M1948" s="152" t="s">
        <v>780</v>
      </c>
      <c r="N1948" s="152" t="s">
        <v>1407</v>
      </c>
      <c r="O1948" s="152" t="s">
        <v>3638</v>
      </c>
      <c r="P1948" s="152" t="s">
        <v>2865</v>
      </c>
      <c r="Q1948" s="152" t="s">
        <v>3639</v>
      </c>
      <c r="R1948" s="152" t="s">
        <v>3982</v>
      </c>
      <c r="S1948" s="152" t="s">
        <v>3641</v>
      </c>
      <c r="T1948" s="152" t="s">
        <v>786</v>
      </c>
    </row>
    <row r="1949" spans="3:20">
      <c r="C1949" s="152" t="s">
        <v>2821</v>
      </c>
      <c r="F1949" s="152" t="s">
        <v>372</v>
      </c>
      <c r="G1949" s="152" t="s">
        <v>309</v>
      </c>
      <c r="I1949" s="513">
        <v>-290880</v>
      </c>
      <c r="J1949" s="513">
        <v>-202</v>
      </c>
      <c r="K1949" s="513">
        <v>1440</v>
      </c>
      <c r="L1949" s="518" t="s">
        <v>3637</v>
      </c>
      <c r="M1949" s="152" t="s">
        <v>780</v>
      </c>
      <c r="N1949" s="152" t="s">
        <v>1407</v>
      </c>
      <c r="O1949" s="152" t="s">
        <v>3638</v>
      </c>
      <c r="P1949" s="152" t="s">
        <v>2865</v>
      </c>
      <c r="Q1949" s="152" t="s">
        <v>3639</v>
      </c>
      <c r="R1949" s="152" t="s">
        <v>3983</v>
      </c>
      <c r="S1949" s="152" t="s">
        <v>3641</v>
      </c>
      <c r="T1949" s="152" t="s">
        <v>786</v>
      </c>
    </row>
    <row r="1950" spans="3:20">
      <c r="C1950" s="152" t="s">
        <v>2821</v>
      </c>
      <c r="F1950" s="152" t="s">
        <v>372</v>
      </c>
      <c r="G1950" s="152" t="s">
        <v>309</v>
      </c>
      <c r="I1950" s="513">
        <v>-208800</v>
      </c>
      <c r="J1950" s="513">
        <v>-145</v>
      </c>
      <c r="K1950" s="513">
        <v>1440</v>
      </c>
      <c r="L1950" s="518" t="s">
        <v>3637</v>
      </c>
      <c r="M1950" s="152" t="s">
        <v>780</v>
      </c>
      <c r="N1950" s="152" t="s">
        <v>1407</v>
      </c>
      <c r="O1950" s="152" t="s">
        <v>3638</v>
      </c>
      <c r="P1950" s="152" t="s">
        <v>2865</v>
      </c>
      <c r="Q1950" s="152" t="s">
        <v>3639</v>
      </c>
      <c r="R1950" s="152" t="s">
        <v>3984</v>
      </c>
      <c r="S1950" s="152" t="s">
        <v>3641</v>
      </c>
      <c r="T1950" s="152" t="s">
        <v>786</v>
      </c>
    </row>
    <row r="1951" spans="3:20">
      <c r="C1951" s="152" t="s">
        <v>2821</v>
      </c>
      <c r="F1951" s="152" t="s">
        <v>372</v>
      </c>
      <c r="G1951" s="152" t="s">
        <v>309</v>
      </c>
      <c r="I1951" s="513">
        <v>-1528800</v>
      </c>
      <c r="J1951" s="513">
        <v>-1092</v>
      </c>
      <c r="K1951" s="513">
        <v>1400</v>
      </c>
      <c r="L1951" s="518" t="s">
        <v>3659</v>
      </c>
      <c r="M1951" s="152" t="s">
        <v>780</v>
      </c>
      <c r="N1951" s="152" t="s">
        <v>1407</v>
      </c>
      <c r="O1951" s="152" t="s">
        <v>3795</v>
      </c>
      <c r="P1951" s="152" t="s">
        <v>3489</v>
      </c>
      <c r="Q1951" s="152" t="s">
        <v>3796</v>
      </c>
      <c r="R1951" s="152" t="s">
        <v>3985</v>
      </c>
      <c r="S1951" s="152" t="s">
        <v>3798</v>
      </c>
      <c r="T1951" s="152" t="s">
        <v>786</v>
      </c>
    </row>
    <row r="1952" spans="3:20">
      <c r="C1952" s="152" t="s">
        <v>2821</v>
      </c>
      <c r="F1952" s="152" t="s">
        <v>372</v>
      </c>
      <c r="G1952" s="152" t="s">
        <v>309</v>
      </c>
      <c r="I1952" s="513">
        <v>-1330000</v>
      </c>
      <c r="J1952" s="513">
        <v>-950</v>
      </c>
      <c r="K1952" s="513">
        <v>1400</v>
      </c>
      <c r="L1952" s="518" t="s">
        <v>3659</v>
      </c>
      <c r="M1952" s="152" t="s">
        <v>780</v>
      </c>
      <c r="N1952" s="152" t="s">
        <v>1407</v>
      </c>
      <c r="O1952" s="152" t="s">
        <v>3795</v>
      </c>
      <c r="P1952" s="152" t="s">
        <v>3489</v>
      </c>
      <c r="Q1952" s="152" t="s">
        <v>3796</v>
      </c>
      <c r="R1952" s="152" t="s">
        <v>3986</v>
      </c>
      <c r="S1952" s="152" t="s">
        <v>3798</v>
      </c>
      <c r="T1952" s="152" t="s">
        <v>786</v>
      </c>
    </row>
    <row r="1953" spans="3:20">
      <c r="C1953" s="152" t="s">
        <v>2821</v>
      </c>
      <c r="F1953" s="152" t="s">
        <v>372</v>
      </c>
      <c r="G1953" s="152" t="s">
        <v>309</v>
      </c>
      <c r="I1953" s="513">
        <v>-1039680</v>
      </c>
      <c r="J1953" s="513">
        <v>-722</v>
      </c>
      <c r="K1953" s="513">
        <v>1440</v>
      </c>
      <c r="L1953" s="518" t="s">
        <v>3637</v>
      </c>
      <c r="M1953" s="152" t="s">
        <v>780</v>
      </c>
      <c r="N1953" s="152" t="s">
        <v>1407</v>
      </c>
      <c r="O1953" s="152" t="s">
        <v>3638</v>
      </c>
      <c r="P1953" s="152" t="s">
        <v>2865</v>
      </c>
      <c r="Q1953" s="152" t="s">
        <v>3639</v>
      </c>
      <c r="R1953" s="152" t="s">
        <v>3987</v>
      </c>
      <c r="S1953" s="152" t="s">
        <v>3641</v>
      </c>
      <c r="T1953" s="152" t="s">
        <v>786</v>
      </c>
    </row>
    <row r="1954" spans="3:20">
      <c r="C1954" s="152" t="s">
        <v>2821</v>
      </c>
      <c r="F1954" s="152" t="s">
        <v>372</v>
      </c>
      <c r="G1954" s="152" t="s">
        <v>309</v>
      </c>
      <c r="I1954" s="513">
        <v>-198100</v>
      </c>
      <c r="J1954" s="513">
        <v>-140</v>
      </c>
      <c r="K1954" s="513">
        <v>1415</v>
      </c>
      <c r="L1954" s="518" t="s">
        <v>3632</v>
      </c>
      <c r="M1954" s="152" t="s">
        <v>780</v>
      </c>
      <c r="N1954" s="152" t="s">
        <v>1407</v>
      </c>
      <c r="O1954" s="152" t="s">
        <v>3633</v>
      </c>
      <c r="P1954" s="152" t="s">
        <v>3489</v>
      </c>
      <c r="Q1954" s="152" t="s">
        <v>3634</v>
      </c>
      <c r="R1954" s="152" t="s">
        <v>3988</v>
      </c>
      <c r="S1954" s="152" t="s">
        <v>3636</v>
      </c>
      <c r="T1954" s="152" t="s">
        <v>786</v>
      </c>
    </row>
    <row r="1955" spans="3:20">
      <c r="C1955" s="152" t="s">
        <v>2821</v>
      </c>
      <c r="F1955" s="152" t="s">
        <v>372</v>
      </c>
      <c r="G1955" s="152" t="s">
        <v>309</v>
      </c>
      <c r="I1955" s="513">
        <v>-280000</v>
      </c>
      <c r="J1955" s="513">
        <v>-200</v>
      </c>
      <c r="K1955" s="513">
        <v>1400</v>
      </c>
      <c r="L1955" s="518" t="s">
        <v>3659</v>
      </c>
      <c r="M1955" s="152" t="s">
        <v>780</v>
      </c>
      <c r="N1955" s="152" t="s">
        <v>1407</v>
      </c>
      <c r="O1955" s="152" t="s">
        <v>3795</v>
      </c>
      <c r="P1955" s="152" t="s">
        <v>3489</v>
      </c>
      <c r="Q1955" s="152" t="s">
        <v>3796</v>
      </c>
      <c r="R1955" s="152" t="s">
        <v>3989</v>
      </c>
      <c r="S1955" s="152" t="s">
        <v>3798</v>
      </c>
      <c r="T1955" s="152" t="s">
        <v>786</v>
      </c>
    </row>
    <row r="1956" spans="3:20">
      <c r="C1956" s="152" t="s">
        <v>2821</v>
      </c>
      <c r="F1956" s="152" t="s">
        <v>372</v>
      </c>
      <c r="G1956" s="152" t="s">
        <v>309</v>
      </c>
      <c r="I1956" s="513">
        <v>-303163.2</v>
      </c>
      <c r="J1956" s="513">
        <v>-210.53</v>
      </c>
      <c r="K1956" s="513">
        <v>1440</v>
      </c>
      <c r="L1956" s="518" t="s">
        <v>3517</v>
      </c>
      <c r="M1956" s="152" t="s">
        <v>780</v>
      </c>
      <c r="N1956" s="152" t="s">
        <v>1407</v>
      </c>
      <c r="O1956" s="152" t="s">
        <v>3518</v>
      </c>
      <c r="P1956" s="152" t="s">
        <v>892</v>
      </c>
      <c r="Q1956" s="152" t="s">
        <v>3519</v>
      </c>
      <c r="R1956" s="152" t="s">
        <v>3990</v>
      </c>
      <c r="S1956" s="152" t="s">
        <v>3521</v>
      </c>
      <c r="T1956" s="152" t="s">
        <v>786</v>
      </c>
    </row>
    <row r="1957" spans="3:20">
      <c r="C1957" s="152" t="s">
        <v>2821</v>
      </c>
      <c r="F1957" s="152" t="s">
        <v>372</v>
      </c>
      <c r="G1957" s="152" t="s">
        <v>309</v>
      </c>
      <c r="I1957" s="513">
        <v>-1140000</v>
      </c>
      <c r="J1957" s="513">
        <v>-800</v>
      </c>
      <c r="K1957" s="513">
        <v>1425</v>
      </c>
      <c r="L1957" s="518" t="s">
        <v>3504</v>
      </c>
      <c r="M1957" s="152" t="s">
        <v>780</v>
      </c>
      <c r="N1957" s="152" t="s">
        <v>1407</v>
      </c>
      <c r="O1957" s="152" t="s">
        <v>3505</v>
      </c>
      <c r="P1957" s="152" t="s">
        <v>3489</v>
      </c>
      <c r="Q1957" s="152" t="s">
        <v>3506</v>
      </c>
      <c r="R1957" s="152" t="s">
        <v>3991</v>
      </c>
      <c r="S1957" s="152" t="s">
        <v>3508</v>
      </c>
      <c r="T1957" s="152" t="s">
        <v>786</v>
      </c>
    </row>
    <row r="1958" spans="3:20">
      <c r="C1958" s="152" t="s">
        <v>2821</v>
      </c>
      <c r="F1958" s="152" t="s">
        <v>372</v>
      </c>
      <c r="G1958" s="152" t="s">
        <v>309</v>
      </c>
      <c r="I1958" s="513">
        <v>-1140000</v>
      </c>
      <c r="J1958" s="513">
        <v>-800</v>
      </c>
      <c r="K1958" s="513">
        <v>1425</v>
      </c>
      <c r="L1958" s="518" t="s">
        <v>3637</v>
      </c>
      <c r="M1958" s="152" t="s">
        <v>780</v>
      </c>
      <c r="N1958" s="152" t="s">
        <v>1407</v>
      </c>
      <c r="O1958" s="152" t="s">
        <v>3638</v>
      </c>
      <c r="P1958" s="152" t="s">
        <v>2865</v>
      </c>
      <c r="Q1958" s="152" t="s">
        <v>3639</v>
      </c>
      <c r="R1958" s="152" t="s">
        <v>3992</v>
      </c>
      <c r="S1958" s="152" t="s">
        <v>3641</v>
      </c>
      <c r="T1958" s="152" t="s">
        <v>786</v>
      </c>
    </row>
    <row r="1959" spans="3:20">
      <c r="C1959" s="152" t="s">
        <v>2821</v>
      </c>
      <c r="F1959" s="152" t="s">
        <v>372</v>
      </c>
      <c r="G1959" s="152" t="s">
        <v>309</v>
      </c>
      <c r="I1959" s="513">
        <v>-1269000</v>
      </c>
      <c r="J1959" s="513">
        <v>-900</v>
      </c>
      <c r="K1959" s="513">
        <v>1410</v>
      </c>
      <c r="L1959" s="518" t="s">
        <v>3498</v>
      </c>
      <c r="M1959" s="152" t="s">
        <v>780</v>
      </c>
      <c r="N1959" s="152" t="s">
        <v>1407</v>
      </c>
      <c r="O1959" s="152" t="s">
        <v>3499</v>
      </c>
      <c r="P1959" s="152" t="s">
        <v>3489</v>
      </c>
      <c r="Q1959" s="152" t="s">
        <v>3500</v>
      </c>
      <c r="R1959" s="152" t="s">
        <v>3992</v>
      </c>
      <c r="S1959" s="152" t="s">
        <v>3502</v>
      </c>
      <c r="T1959" s="152" t="s">
        <v>786</v>
      </c>
    </row>
    <row r="1960" spans="3:20">
      <c r="C1960" s="152" t="s">
        <v>2821</v>
      </c>
      <c r="F1960" s="152" t="s">
        <v>372</v>
      </c>
      <c r="G1960" s="152" t="s">
        <v>309</v>
      </c>
      <c r="I1960" s="513">
        <v>-1120000</v>
      </c>
      <c r="J1960" s="513">
        <v>-800</v>
      </c>
      <c r="K1960" s="513">
        <v>1400</v>
      </c>
      <c r="L1960" s="518" t="s">
        <v>3659</v>
      </c>
      <c r="M1960" s="152" t="s">
        <v>780</v>
      </c>
      <c r="N1960" s="152" t="s">
        <v>1407</v>
      </c>
      <c r="O1960" s="152" t="s">
        <v>3795</v>
      </c>
      <c r="P1960" s="152" t="s">
        <v>3489</v>
      </c>
      <c r="Q1960" s="152" t="s">
        <v>3796</v>
      </c>
      <c r="R1960" s="152" t="s">
        <v>3992</v>
      </c>
      <c r="S1960" s="152" t="s">
        <v>3798</v>
      </c>
      <c r="T1960" s="152" t="s">
        <v>786</v>
      </c>
    </row>
    <row r="1961" spans="3:20">
      <c r="C1961" s="152" t="s">
        <v>2821</v>
      </c>
      <c r="F1961" s="152" t="s">
        <v>372</v>
      </c>
      <c r="G1961" s="152" t="s">
        <v>309</v>
      </c>
      <c r="I1961" s="513">
        <v>-1132000</v>
      </c>
      <c r="J1961" s="513">
        <v>-800</v>
      </c>
      <c r="K1961" s="513">
        <v>1415</v>
      </c>
      <c r="L1961" s="518" t="s">
        <v>3511</v>
      </c>
      <c r="M1961" s="152" t="s">
        <v>780</v>
      </c>
      <c r="N1961" s="152" t="s">
        <v>1407</v>
      </c>
      <c r="O1961" s="152" t="s">
        <v>3512</v>
      </c>
      <c r="P1961" s="152" t="s">
        <v>3489</v>
      </c>
      <c r="Q1961" s="152" t="s">
        <v>3513</v>
      </c>
      <c r="R1961" s="152" t="s">
        <v>3993</v>
      </c>
      <c r="S1961" s="152" t="s">
        <v>3515</v>
      </c>
      <c r="T1961" s="152" t="s">
        <v>786</v>
      </c>
    </row>
    <row r="1962" spans="3:20">
      <c r="C1962" s="152" t="s">
        <v>2821</v>
      </c>
      <c r="F1962" s="152" t="s">
        <v>372</v>
      </c>
      <c r="G1962" s="152" t="s">
        <v>309</v>
      </c>
      <c r="I1962" s="513">
        <v>-208800</v>
      </c>
      <c r="J1962" s="513">
        <v>-145</v>
      </c>
      <c r="K1962" s="513">
        <v>1440</v>
      </c>
      <c r="L1962" s="518" t="s">
        <v>3637</v>
      </c>
      <c r="M1962" s="152" t="s">
        <v>780</v>
      </c>
      <c r="N1962" s="152" t="s">
        <v>1407</v>
      </c>
      <c r="O1962" s="152" t="s">
        <v>3638</v>
      </c>
      <c r="P1962" s="152" t="s">
        <v>2865</v>
      </c>
      <c r="Q1962" s="152" t="s">
        <v>3639</v>
      </c>
      <c r="R1962" s="152" t="s">
        <v>3994</v>
      </c>
      <c r="S1962" s="152" t="s">
        <v>3641</v>
      </c>
      <c r="T1962" s="152" t="s">
        <v>786</v>
      </c>
    </row>
    <row r="1963" spans="3:20">
      <c r="C1963" s="152" t="s">
        <v>2821</v>
      </c>
      <c r="F1963" s="152" t="s">
        <v>372</v>
      </c>
      <c r="G1963" s="152" t="s">
        <v>309</v>
      </c>
      <c r="I1963" s="513">
        <v>-846450</v>
      </c>
      <c r="J1963" s="513">
        <v>-594</v>
      </c>
      <c r="K1963" s="513">
        <v>1425</v>
      </c>
      <c r="L1963" s="518" t="s">
        <v>3504</v>
      </c>
      <c r="M1963" s="152" t="s">
        <v>780</v>
      </c>
      <c r="N1963" s="152" t="s">
        <v>1407</v>
      </c>
      <c r="O1963" s="152" t="s">
        <v>3505</v>
      </c>
      <c r="P1963" s="152" t="s">
        <v>3489</v>
      </c>
      <c r="Q1963" s="152" t="s">
        <v>3506</v>
      </c>
      <c r="R1963" s="152" t="s">
        <v>3995</v>
      </c>
      <c r="S1963" s="152" t="s">
        <v>3508</v>
      </c>
      <c r="T1963" s="152" t="s">
        <v>786</v>
      </c>
    </row>
    <row r="1964" spans="3:20">
      <c r="C1964" s="152" t="s">
        <v>2821</v>
      </c>
      <c r="F1964" s="152" t="s">
        <v>372</v>
      </c>
      <c r="G1964" s="152" t="s">
        <v>309</v>
      </c>
      <c r="I1964" s="513">
        <v>-27820.799999999999</v>
      </c>
      <c r="J1964" s="513">
        <v>-19.32</v>
      </c>
      <c r="K1964" s="513">
        <v>1440</v>
      </c>
      <c r="L1964" s="518" t="s">
        <v>3517</v>
      </c>
      <c r="M1964" s="152" t="s">
        <v>780</v>
      </c>
      <c r="N1964" s="152" t="s">
        <v>1407</v>
      </c>
      <c r="O1964" s="152" t="s">
        <v>3518</v>
      </c>
      <c r="P1964" s="152" t="s">
        <v>892</v>
      </c>
      <c r="Q1964" s="152" t="s">
        <v>3519</v>
      </c>
      <c r="R1964" s="152" t="s">
        <v>3996</v>
      </c>
      <c r="S1964" s="152" t="s">
        <v>3521</v>
      </c>
      <c r="T1964" s="152" t="s">
        <v>786</v>
      </c>
    </row>
    <row r="1965" spans="3:20">
      <c r="C1965" s="152" t="s">
        <v>2821</v>
      </c>
      <c r="F1965" s="152" t="s">
        <v>372</v>
      </c>
      <c r="G1965" s="152" t="s">
        <v>309</v>
      </c>
      <c r="I1965" s="513">
        <v>-9441.6</v>
      </c>
      <c r="J1965" s="513">
        <v>-6.72</v>
      </c>
      <c r="K1965" s="513">
        <v>1405</v>
      </c>
      <c r="L1965" s="518" t="s">
        <v>3493</v>
      </c>
      <c r="M1965" s="152" t="s">
        <v>780</v>
      </c>
      <c r="N1965" s="152" t="s">
        <v>1407</v>
      </c>
      <c r="O1965" s="152" t="s">
        <v>3677</v>
      </c>
      <c r="P1965" s="152" t="s">
        <v>3489</v>
      </c>
      <c r="Q1965" s="152" t="s">
        <v>3678</v>
      </c>
      <c r="R1965" s="152" t="s">
        <v>3997</v>
      </c>
      <c r="S1965" s="152" t="s">
        <v>3679</v>
      </c>
      <c r="T1965" s="152" t="s">
        <v>786</v>
      </c>
    </row>
    <row r="1966" spans="3:20">
      <c r="C1966" s="152" t="s">
        <v>2821</v>
      </c>
      <c r="F1966" s="152" t="s">
        <v>372</v>
      </c>
      <c r="G1966" s="152" t="s">
        <v>309</v>
      </c>
      <c r="I1966" s="513">
        <v>-12476.4</v>
      </c>
      <c r="J1966" s="513">
        <v>-8.8800000000000008</v>
      </c>
      <c r="K1966" s="513">
        <v>1405</v>
      </c>
      <c r="L1966" s="518" t="s">
        <v>3493</v>
      </c>
      <c r="M1966" s="152" t="s">
        <v>780</v>
      </c>
      <c r="N1966" s="152" t="s">
        <v>1407</v>
      </c>
      <c r="O1966" s="152" t="s">
        <v>3677</v>
      </c>
      <c r="P1966" s="152" t="s">
        <v>3489</v>
      </c>
      <c r="Q1966" s="152" t="s">
        <v>3678</v>
      </c>
      <c r="R1966" s="152" t="s">
        <v>4000</v>
      </c>
      <c r="S1966" s="152" t="s">
        <v>3679</v>
      </c>
      <c r="T1966" s="152" t="s">
        <v>786</v>
      </c>
    </row>
    <row r="1967" spans="3:20">
      <c r="C1967" s="152" t="s">
        <v>2821</v>
      </c>
      <c r="F1967" s="152" t="s">
        <v>372</v>
      </c>
      <c r="G1967" s="152" t="s">
        <v>309</v>
      </c>
      <c r="I1967" s="513">
        <v>-1062115.2</v>
      </c>
      <c r="J1967" s="513">
        <v>-737.58</v>
      </c>
      <c r="K1967" s="513">
        <v>1440</v>
      </c>
      <c r="L1967" s="518" t="s">
        <v>3517</v>
      </c>
      <c r="M1967" s="152" t="s">
        <v>780</v>
      </c>
      <c r="N1967" s="152" t="s">
        <v>1407</v>
      </c>
      <c r="O1967" s="152" t="s">
        <v>3518</v>
      </c>
      <c r="P1967" s="152" t="s">
        <v>892</v>
      </c>
      <c r="Q1967" s="152" t="s">
        <v>3519</v>
      </c>
      <c r="R1967" s="152" t="s">
        <v>4001</v>
      </c>
      <c r="S1967" s="152" t="s">
        <v>3521</v>
      </c>
      <c r="T1967" s="152" t="s">
        <v>786</v>
      </c>
    </row>
    <row r="1968" spans="3:20">
      <c r="C1968" s="152" t="s">
        <v>2821</v>
      </c>
      <c r="F1968" s="152" t="s">
        <v>372</v>
      </c>
      <c r="G1968" s="152" t="s">
        <v>309</v>
      </c>
      <c r="I1968" s="513">
        <v>-841420.80000000005</v>
      </c>
      <c r="J1968" s="513">
        <v>-584.32000000000005</v>
      </c>
      <c r="K1968" s="513">
        <v>1440</v>
      </c>
      <c r="L1968" s="518" t="s">
        <v>3517</v>
      </c>
      <c r="M1968" s="152" t="s">
        <v>780</v>
      </c>
      <c r="N1968" s="152" t="s">
        <v>1407</v>
      </c>
      <c r="O1968" s="152" t="s">
        <v>3518</v>
      </c>
      <c r="P1968" s="152" t="s">
        <v>892</v>
      </c>
      <c r="Q1968" s="152" t="s">
        <v>3519</v>
      </c>
      <c r="R1968" s="152" t="s">
        <v>4002</v>
      </c>
      <c r="S1968" s="152" t="s">
        <v>3521</v>
      </c>
      <c r="T1968" s="152" t="s">
        <v>786</v>
      </c>
    </row>
    <row r="1969" spans="3:20">
      <c r="C1969" s="152" t="s">
        <v>2821</v>
      </c>
      <c r="F1969" s="152" t="s">
        <v>372</v>
      </c>
      <c r="G1969" s="152" t="s">
        <v>309</v>
      </c>
      <c r="I1969" s="513">
        <v>-853575</v>
      </c>
      <c r="J1969" s="513">
        <v>-599</v>
      </c>
      <c r="K1969" s="513">
        <v>1425</v>
      </c>
      <c r="L1969" s="518" t="s">
        <v>3637</v>
      </c>
      <c r="M1969" s="152" t="s">
        <v>780</v>
      </c>
      <c r="N1969" s="152" t="s">
        <v>1407</v>
      </c>
      <c r="O1969" s="152" t="s">
        <v>3638</v>
      </c>
      <c r="P1969" s="152" t="s">
        <v>2865</v>
      </c>
      <c r="Q1969" s="152" t="s">
        <v>3639</v>
      </c>
      <c r="R1969" s="152" t="s">
        <v>4003</v>
      </c>
      <c r="S1969" s="152" t="s">
        <v>3641</v>
      </c>
      <c r="T1969" s="152" t="s">
        <v>786</v>
      </c>
    </row>
    <row r="1970" spans="3:20">
      <c r="C1970" s="152" t="s">
        <v>2821</v>
      </c>
      <c r="F1970" s="152" t="s">
        <v>372</v>
      </c>
      <c r="G1970" s="152" t="s">
        <v>309</v>
      </c>
      <c r="I1970" s="513">
        <v>-1027120.2</v>
      </c>
      <c r="J1970" s="513">
        <v>-725.88</v>
      </c>
      <c r="K1970" s="513">
        <v>1415</v>
      </c>
      <c r="L1970" s="518" t="s">
        <v>3498</v>
      </c>
      <c r="M1970" s="152" t="s">
        <v>780</v>
      </c>
      <c r="N1970" s="152" t="s">
        <v>1407</v>
      </c>
      <c r="O1970" s="152" t="s">
        <v>3499</v>
      </c>
      <c r="P1970" s="152" t="s">
        <v>3489</v>
      </c>
      <c r="Q1970" s="152" t="s">
        <v>3500</v>
      </c>
      <c r="R1970" s="152" t="s">
        <v>4004</v>
      </c>
      <c r="S1970" s="152" t="s">
        <v>3502</v>
      </c>
      <c r="T1970" s="152" t="s">
        <v>786</v>
      </c>
    </row>
    <row r="1971" spans="3:20">
      <c r="C1971" s="152" t="s">
        <v>2821</v>
      </c>
      <c r="F1971" s="152" t="s">
        <v>372</v>
      </c>
      <c r="G1971" s="152" t="s">
        <v>309</v>
      </c>
      <c r="I1971" s="513">
        <v>-1095981.75</v>
      </c>
      <c r="J1971" s="513">
        <v>-769.11</v>
      </c>
      <c r="K1971" s="513">
        <v>1425</v>
      </c>
      <c r="L1971" s="518" t="s">
        <v>3504</v>
      </c>
      <c r="M1971" s="152" t="s">
        <v>780</v>
      </c>
      <c r="N1971" s="152" t="s">
        <v>1407</v>
      </c>
      <c r="O1971" s="152" t="s">
        <v>3505</v>
      </c>
      <c r="P1971" s="152" t="s">
        <v>3489</v>
      </c>
      <c r="Q1971" s="152" t="s">
        <v>3506</v>
      </c>
      <c r="R1971" s="152" t="s">
        <v>4005</v>
      </c>
      <c r="S1971" s="152" t="s">
        <v>3508</v>
      </c>
      <c r="T1971" s="152" t="s">
        <v>786</v>
      </c>
    </row>
    <row r="1972" spans="3:20">
      <c r="C1972" s="152" t="s">
        <v>2821</v>
      </c>
      <c r="F1972" s="152" t="s">
        <v>372</v>
      </c>
      <c r="G1972" s="152" t="s">
        <v>309</v>
      </c>
      <c r="I1972" s="513">
        <v>-65121.75</v>
      </c>
      <c r="J1972" s="513">
        <v>-46.35</v>
      </c>
      <c r="K1972" s="513">
        <v>1405</v>
      </c>
      <c r="L1972" s="518" t="s">
        <v>3493</v>
      </c>
      <c r="M1972" s="152" t="s">
        <v>780</v>
      </c>
      <c r="N1972" s="152" t="s">
        <v>1407</v>
      </c>
      <c r="O1972" s="152" t="s">
        <v>3677</v>
      </c>
      <c r="P1972" s="152" t="s">
        <v>3489</v>
      </c>
      <c r="Q1972" s="152" t="s">
        <v>3678</v>
      </c>
      <c r="R1972" s="152" t="s">
        <v>4007</v>
      </c>
      <c r="S1972" s="152" t="s">
        <v>3679</v>
      </c>
      <c r="T1972" s="152" t="s">
        <v>786</v>
      </c>
    </row>
    <row r="1973" spans="3:20">
      <c r="C1973" s="152" t="s">
        <v>2821</v>
      </c>
      <c r="F1973" s="152" t="s">
        <v>372</v>
      </c>
      <c r="G1973" s="152" t="s">
        <v>309</v>
      </c>
      <c r="I1973" s="513">
        <v>-18555.599999999999</v>
      </c>
      <c r="J1973" s="513">
        <v>-13.16</v>
      </c>
      <c r="K1973" s="513">
        <v>1410</v>
      </c>
      <c r="L1973" s="518" t="s">
        <v>3498</v>
      </c>
      <c r="M1973" s="152" t="s">
        <v>780</v>
      </c>
      <c r="N1973" s="152" t="s">
        <v>1407</v>
      </c>
      <c r="O1973" s="152" t="s">
        <v>3499</v>
      </c>
      <c r="P1973" s="152" t="s">
        <v>3489</v>
      </c>
      <c r="Q1973" s="152" t="s">
        <v>3500</v>
      </c>
      <c r="R1973" s="152" t="s">
        <v>4008</v>
      </c>
      <c r="S1973" s="152" t="s">
        <v>3502</v>
      </c>
      <c r="T1973" s="152" t="s">
        <v>786</v>
      </c>
    </row>
    <row r="1974" spans="3:20">
      <c r="C1974" s="152" t="s">
        <v>2821</v>
      </c>
      <c r="F1974" s="152" t="s">
        <v>372</v>
      </c>
      <c r="G1974" s="152" t="s">
        <v>309</v>
      </c>
      <c r="I1974" s="513">
        <v>-64840.75</v>
      </c>
      <c r="J1974" s="513">
        <v>-46.15</v>
      </c>
      <c r="K1974" s="513">
        <v>1405</v>
      </c>
      <c r="L1974" s="518" t="s">
        <v>3493</v>
      </c>
      <c r="M1974" s="152" t="s">
        <v>780</v>
      </c>
      <c r="N1974" s="152" t="s">
        <v>1407</v>
      </c>
      <c r="O1974" s="152" t="s">
        <v>3677</v>
      </c>
      <c r="P1974" s="152" t="s">
        <v>3489</v>
      </c>
      <c r="Q1974" s="152" t="s">
        <v>3678</v>
      </c>
      <c r="R1974" s="152" t="s">
        <v>4009</v>
      </c>
      <c r="S1974" s="152" t="s">
        <v>3679</v>
      </c>
      <c r="T1974" s="152" t="s">
        <v>786</v>
      </c>
    </row>
    <row r="1975" spans="3:20">
      <c r="C1975" s="152" t="s">
        <v>2821</v>
      </c>
      <c r="F1975" s="152" t="s">
        <v>372</v>
      </c>
      <c r="G1975" s="152" t="s">
        <v>309</v>
      </c>
      <c r="I1975" s="513">
        <v>-33439</v>
      </c>
      <c r="J1975" s="513">
        <v>-23.8</v>
      </c>
      <c r="K1975" s="513">
        <v>1405</v>
      </c>
      <c r="L1975" s="518" t="s">
        <v>3493</v>
      </c>
      <c r="M1975" s="152" t="s">
        <v>780</v>
      </c>
      <c r="N1975" s="152" t="s">
        <v>1407</v>
      </c>
      <c r="O1975" s="152" t="s">
        <v>3677</v>
      </c>
      <c r="P1975" s="152" t="s">
        <v>3489</v>
      </c>
      <c r="Q1975" s="152" t="s">
        <v>3678</v>
      </c>
      <c r="R1975" s="152" t="s">
        <v>4016</v>
      </c>
      <c r="S1975" s="152" t="s">
        <v>3679</v>
      </c>
      <c r="T1975" s="152" t="s">
        <v>786</v>
      </c>
    </row>
    <row r="1976" spans="3:20">
      <c r="C1976" s="152" t="s">
        <v>2821</v>
      </c>
      <c r="F1976" s="152" t="s">
        <v>372</v>
      </c>
      <c r="G1976" s="152" t="s">
        <v>309</v>
      </c>
      <c r="I1976" s="513">
        <v>-151574.39999999999</v>
      </c>
      <c r="J1976" s="513">
        <v>-105.26</v>
      </c>
      <c r="K1976" s="513">
        <v>1440</v>
      </c>
      <c r="L1976" s="518" t="s">
        <v>3517</v>
      </c>
      <c r="M1976" s="152" t="s">
        <v>780</v>
      </c>
      <c r="N1976" s="152" t="s">
        <v>1407</v>
      </c>
      <c r="O1976" s="152" t="s">
        <v>3518</v>
      </c>
      <c r="P1976" s="152" t="s">
        <v>892</v>
      </c>
      <c r="Q1976" s="152" t="s">
        <v>3519</v>
      </c>
      <c r="R1976" s="152" t="s">
        <v>4023</v>
      </c>
      <c r="S1976" s="152" t="s">
        <v>3521</v>
      </c>
      <c r="T1976" s="152" t="s">
        <v>786</v>
      </c>
    </row>
    <row r="1977" spans="3:20">
      <c r="C1977" s="152" t="s">
        <v>2821</v>
      </c>
      <c r="F1977" s="152" t="s">
        <v>372</v>
      </c>
      <c r="G1977" s="152" t="s">
        <v>309</v>
      </c>
      <c r="I1977" s="513">
        <v>-54036.3</v>
      </c>
      <c r="J1977" s="513">
        <v>-38.46</v>
      </c>
      <c r="K1977" s="513">
        <v>1405</v>
      </c>
      <c r="L1977" s="518" t="s">
        <v>3493</v>
      </c>
      <c r="M1977" s="152" t="s">
        <v>780</v>
      </c>
      <c r="N1977" s="152" t="s">
        <v>1407</v>
      </c>
      <c r="O1977" s="152" t="s">
        <v>3677</v>
      </c>
      <c r="P1977" s="152" t="s">
        <v>3489</v>
      </c>
      <c r="Q1977" s="152" t="s">
        <v>3678</v>
      </c>
      <c r="R1977" s="152" t="s">
        <v>4024</v>
      </c>
      <c r="S1977" s="152" t="s">
        <v>3679</v>
      </c>
      <c r="T1977" s="152" t="s">
        <v>786</v>
      </c>
    </row>
    <row r="1978" spans="3:20">
      <c r="C1978" s="152" t="s">
        <v>2821</v>
      </c>
      <c r="F1978" s="152" t="s">
        <v>372</v>
      </c>
      <c r="G1978" s="152" t="s">
        <v>309</v>
      </c>
      <c r="I1978" s="513">
        <v>-40550.400000000001</v>
      </c>
      <c r="J1978" s="513">
        <v>-28.16</v>
      </c>
      <c r="K1978" s="513">
        <v>1440</v>
      </c>
      <c r="L1978" s="518" t="s">
        <v>3517</v>
      </c>
      <c r="M1978" s="152" t="s">
        <v>780</v>
      </c>
      <c r="N1978" s="152" t="s">
        <v>1407</v>
      </c>
      <c r="O1978" s="152" t="s">
        <v>3518</v>
      </c>
      <c r="P1978" s="152" t="s">
        <v>892</v>
      </c>
      <c r="Q1978" s="152" t="s">
        <v>3519</v>
      </c>
      <c r="R1978" s="152" t="s">
        <v>4025</v>
      </c>
      <c r="S1978" s="152" t="s">
        <v>3521</v>
      </c>
      <c r="T1978" s="152" t="s">
        <v>786</v>
      </c>
    </row>
    <row r="1979" spans="3:20">
      <c r="C1979" s="152" t="s">
        <v>2821</v>
      </c>
      <c r="F1979" s="152" t="s">
        <v>372</v>
      </c>
      <c r="G1979" s="152" t="s">
        <v>309</v>
      </c>
      <c r="I1979" s="513">
        <v>-53458.7</v>
      </c>
      <c r="J1979" s="513">
        <v>-37.78</v>
      </c>
      <c r="K1979" s="513">
        <v>1415</v>
      </c>
      <c r="L1979" s="518" t="s">
        <v>3493</v>
      </c>
      <c r="M1979" s="152" t="s">
        <v>780</v>
      </c>
      <c r="N1979" s="152" t="s">
        <v>1407</v>
      </c>
      <c r="O1979" s="152" t="s">
        <v>3677</v>
      </c>
      <c r="P1979" s="152" t="s">
        <v>3489</v>
      </c>
      <c r="Q1979" s="152" t="s">
        <v>3678</v>
      </c>
      <c r="R1979" s="152" t="s">
        <v>4026</v>
      </c>
      <c r="S1979" s="152" t="s">
        <v>3679</v>
      </c>
      <c r="T1979" s="152" t="s">
        <v>786</v>
      </c>
    </row>
    <row r="1980" spans="3:20">
      <c r="C1980" s="152" t="s">
        <v>2821</v>
      </c>
      <c r="F1980" s="152" t="s">
        <v>372</v>
      </c>
      <c r="G1980" s="152" t="s">
        <v>309</v>
      </c>
      <c r="I1980" s="513">
        <v>-74798.25</v>
      </c>
      <c r="J1980" s="513">
        <v>-52.49</v>
      </c>
      <c r="K1980" s="513">
        <v>1425</v>
      </c>
      <c r="L1980" s="518" t="s">
        <v>3637</v>
      </c>
      <c r="M1980" s="152" t="s">
        <v>780</v>
      </c>
      <c r="N1980" s="152" t="s">
        <v>1407</v>
      </c>
      <c r="O1980" s="152" t="s">
        <v>3638</v>
      </c>
      <c r="P1980" s="152" t="s">
        <v>2865</v>
      </c>
      <c r="Q1980" s="152" t="s">
        <v>3639</v>
      </c>
      <c r="R1980" s="152" t="s">
        <v>4038</v>
      </c>
      <c r="S1980" s="152" t="s">
        <v>3641</v>
      </c>
      <c r="T1980" s="152" t="s">
        <v>786</v>
      </c>
    </row>
    <row r="1981" spans="3:20">
      <c r="C1981" s="152" t="s">
        <v>2821</v>
      </c>
      <c r="F1981" s="152" t="s">
        <v>372</v>
      </c>
      <c r="G1981" s="152" t="s">
        <v>309</v>
      </c>
      <c r="I1981" s="513">
        <v>-786892.80000000005</v>
      </c>
      <c r="J1981" s="513">
        <v>-558.08000000000004</v>
      </c>
      <c r="K1981" s="513">
        <v>1410</v>
      </c>
      <c r="L1981" s="518" t="s">
        <v>3498</v>
      </c>
      <c r="M1981" s="152" t="s">
        <v>780</v>
      </c>
      <c r="N1981" s="152" t="s">
        <v>1407</v>
      </c>
      <c r="O1981" s="152" t="s">
        <v>3499</v>
      </c>
      <c r="P1981" s="152" t="s">
        <v>3489</v>
      </c>
      <c r="Q1981" s="152" t="s">
        <v>3500</v>
      </c>
      <c r="R1981" s="152" t="s">
        <v>4040</v>
      </c>
      <c r="S1981" s="152" t="s">
        <v>3502</v>
      </c>
      <c r="T1981" s="152" t="s">
        <v>786</v>
      </c>
    </row>
    <row r="1982" spans="3:20">
      <c r="C1982" s="152" t="s">
        <v>2821</v>
      </c>
      <c r="F1982" s="152" t="s">
        <v>372</v>
      </c>
      <c r="G1982" s="152" t="s">
        <v>309</v>
      </c>
      <c r="I1982" s="513">
        <v>-804045.45</v>
      </c>
      <c r="J1982" s="513">
        <v>-568.23</v>
      </c>
      <c r="K1982" s="513">
        <v>1415</v>
      </c>
      <c r="L1982" s="518" t="s">
        <v>3498</v>
      </c>
      <c r="M1982" s="152" t="s">
        <v>780</v>
      </c>
      <c r="N1982" s="152" t="s">
        <v>1407</v>
      </c>
      <c r="O1982" s="152" t="s">
        <v>3499</v>
      </c>
      <c r="P1982" s="152" t="s">
        <v>3489</v>
      </c>
      <c r="Q1982" s="152" t="s">
        <v>3500</v>
      </c>
      <c r="R1982" s="152" t="s">
        <v>4043</v>
      </c>
      <c r="S1982" s="152" t="s">
        <v>3502</v>
      </c>
      <c r="T1982" s="152" t="s">
        <v>786</v>
      </c>
    </row>
    <row r="1983" spans="3:20">
      <c r="C1983" s="152" t="s">
        <v>2821</v>
      </c>
      <c r="F1983" s="152" t="s">
        <v>372</v>
      </c>
      <c r="G1983" s="152" t="s">
        <v>309</v>
      </c>
      <c r="I1983" s="513">
        <v>-1131508</v>
      </c>
      <c r="J1983" s="513">
        <v>-808.22</v>
      </c>
      <c r="K1983" s="513">
        <v>1400</v>
      </c>
      <c r="L1983" s="518" t="s">
        <v>3632</v>
      </c>
      <c r="M1983" s="152" t="s">
        <v>780</v>
      </c>
      <c r="N1983" s="152" t="s">
        <v>1407</v>
      </c>
      <c r="O1983" s="152" t="s">
        <v>3633</v>
      </c>
      <c r="P1983" s="152" t="s">
        <v>3489</v>
      </c>
      <c r="Q1983" s="152" t="s">
        <v>3634</v>
      </c>
      <c r="R1983" s="152" t="s">
        <v>4043</v>
      </c>
      <c r="S1983" s="152" t="s">
        <v>3636</v>
      </c>
      <c r="T1983" s="152" t="s">
        <v>786</v>
      </c>
    </row>
    <row r="1984" spans="3:20">
      <c r="C1984" s="152" t="s">
        <v>2821</v>
      </c>
      <c r="F1984" s="152" t="s">
        <v>372</v>
      </c>
      <c r="G1984" s="152" t="s">
        <v>309</v>
      </c>
      <c r="I1984" s="513">
        <v>-1224794.7</v>
      </c>
      <c r="J1984" s="513">
        <v>-871.74</v>
      </c>
      <c r="K1984" s="513">
        <v>1405</v>
      </c>
      <c r="L1984" s="518" t="s">
        <v>3493</v>
      </c>
      <c r="M1984" s="152" t="s">
        <v>780</v>
      </c>
      <c r="N1984" s="152" t="s">
        <v>1407</v>
      </c>
      <c r="O1984" s="152" t="s">
        <v>3677</v>
      </c>
      <c r="P1984" s="152" t="s">
        <v>3489</v>
      </c>
      <c r="Q1984" s="152" t="s">
        <v>3678</v>
      </c>
      <c r="R1984" s="152" t="s">
        <v>4043</v>
      </c>
      <c r="S1984" s="152" t="s">
        <v>3679</v>
      </c>
      <c r="T1984" s="152" t="s">
        <v>786</v>
      </c>
    </row>
    <row r="1985" spans="3:20">
      <c r="C1985" s="152" t="s">
        <v>2821</v>
      </c>
      <c r="F1985" s="152" t="s">
        <v>372</v>
      </c>
      <c r="G1985" s="152" t="s">
        <v>309</v>
      </c>
      <c r="I1985" s="513">
        <v>-1273500</v>
      </c>
      <c r="J1985" s="513">
        <v>-900</v>
      </c>
      <c r="K1985" s="513">
        <v>1415</v>
      </c>
      <c r="L1985" s="518" t="s">
        <v>3498</v>
      </c>
      <c r="M1985" s="152" t="s">
        <v>780</v>
      </c>
      <c r="N1985" s="152" t="s">
        <v>1407</v>
      </c>
      <c r="O1985" s="152" t="s">
        <v>3499</v>
      </c>
      <c r="P1985" s="152" t="s">
        <v>3489</v>
      </c>
      <c r="Q1985" s="152" t="s">
        <v>3500</v>
      </c>
      <c r="R1985" s="152" t="s">
        <v>4044</v>
      </c>
      <c r="S1985" s="152" t="s">
        <v>3502</v>
      </c>
      <c r="T1985" s="152" t="s">
        <v>786</v>
      </c>
    </row>
    <row r="1986" spans="3:20">
      <c r="C1986" s="152" t="s">
        <v>2821</v>
      </c>
      <c r="F1986" s="152" t="s">
        <v>372</v>
      </c>
      <c r="G1986" s="152" t="s">
        <v>309</v>
      </c>
      <c r="I1986" s="513">
        <v>-1002101.1</v>
      </c>
      <c r="J1986" s="513">
        <v>-710.71</v>
      </c>
      <c r="K1986" s="513">
        <v>1410</v>
      </c>
      <c r="L1986" s="518" t="s">
        <v>3498</v>
      </c>
      <c r="M1986" s="152" t="s">
        <v>780</v>
      </c>
      <c r="N1986" s="152" t="s">
        <v>1407</v>
      </c>
      <c r="O1986" s="152" t="s">
        <v>3499</v>
      </c>
      <c r="P1986" s="152" t="s">
        <v>3489</v>
      </c>
      <c r="Q1986" s="152" t="s">
        <v>3500</v>
      </c>
      <c r="R1986" s="152" t="s">
        <v>4045</v>
      </c>
      <c r="S1986" s="152" t="s">
        <v>3502</v>
      </c>
      <c r="T1986" s="152" t="s">
        <v>786</v>
      </c>
    </row>
    <row r="1987" spans="3:20">
      <c r="C1987" s="152" t="s">
        <v>2821</v>
      </c>
      <c r="F1987" s="152" t="s">
        <v>372</v>
      </c>
      <c r="G1987" s="152" t="s">
        <v>309</v>
      </c>
      <c r="I1987" s="513">
        <v>-294786.95</v>
      </c>
      <c r="J1987" s="513">
        <v>-208.33</v>
      </c>
      <c r="K1987" s="513">
        <v>1415</v>
      </c>
      <c r="L1987" s="518" t="s">
        <v>3498</v>
      </c>
      <c r="M1987" s="152" t="s">
        <v>780</v>
      </c>
      <c r="N1987" s="152" t="s">
        <v>1407</v>
      </c>
      <c r="O1987" s="152" t="s">
        <v>3499</v>
      </c>
      <c r="P1987" s="152" t="s">
        <v>3489</v>
      </c>
      <c r="Q1987" s="152" t="s">
        <v>3500</v>
      </c>
      <c r="R1987" s="152" t="s">
        <v>4063</v>
      </c>
      <c r="S1987" s="152" t="s">
        <v>3502</v>
      </c>
      <c r="T1987" s="152" t="s">
        <v>786</v>
      </c>
    </row>
    <row r="1988" spans="3:20">
      <c r="C1988" s="152" t="s">
        <v>2821</v>
      </c>
      <c r="F1988" s="152" t="s">
        <v>372</v>
      </c>
      <c r="G1988" s="152" t="s">
        <v>309</v>
      </c>
      <c r="I1988" s="513">
        <v>-1296000</v>
      </c>
      <c r="J1988" s="513">
        <v>-900</v>
      </c>
      <c r="K1988" s="513">
        <v>1440</v>
      </c>
      <c r="L1988" s="518" t="s">
        <v>3517</v>
      </c>
      <c r="M1988" s="152" t="s">
        <v>780</v>
      </c>
      <c r="N1988" s="152" t="s">
        <v>1407</v>
      </c>
      <c r="O1988" s="152" t="s">
        <v>3518</v>
      </c>
      <c r="P1988" s="152" t="s">
        <v>892</v>
      </c>
      <c r="Q1988" s="152" t="s">
        <v>3519</v>
      </c>
      <c r="R1988" s="152" t="s">
        <v>4064</v>
      </c>
      <c r="S1988" s="152" t="s">
        <v>3521</v>
      </c>
      <c r="T1988" s="152" t="s">
        <v>786</v>
      </c>
    </row>
    <row r="1989" spans="3:20">
      <c r="C1989" s="152" t="s">
        <v>2821</v>
      </c>
      <c r="F1989" s="152" t="s">
        <v>372</v>
      </c>
      <c r="G1989" s="152" t="s">
        <v>309</v>
      </c>
      <c r="I1989" s="513">
        <v>-2160000</v>
      </c>
      <c r="J1989" s="513">
        <v>-1500</v>
      </c>
      <c r="K1989" s="513">
        <v>1440</v>
      </c>
      <c r="L1989" s="518" t="s">
        <v>3517</v>
      </c>
      <c r="M1989" s="152" t="s">
        <v>780</v>
      </c>
      <c r="N1989" s="152" t="s">
        <v>1407</v>
      </c>
      <c r="O1989" s="152" t="s">
        <v>3518</v>
      </c>
      <c r="P1989" s="152" t="s">
        <v>892</v>
      </c>
      <c r="Q1989" s="152" t="s">
        <v>3519</v>
      </c>
      <c r="R1989" s="152" t="s">
        <v>4065</v>
      </c>
      <c r="S1989" s="152" t="s">
        <v>3521</v>
      </c>
      <c r="T1989" s="152" t="s">
        <v>786</v>
      </c>
    </row>
    <row r="1990" spans="3:20">
      <c r="C1990" s="152" t="s">
        <v>2821</v>
      </c>
      <c r="F1990" s="152" t="s">
        <v>372</v>
      </c>
      <c r="G1990" s="152" t="s">
        <v>309</v>
      </c>
      <c r="I1990" s="513">
        <v>-270195.55</v>
      </c>
      <c r="J1990" s="513">
        <v>-192.31</v>
      </c>
      <c r="K1990" s="513">
        <v>1405</v>
      </c>
      <c r="L1990" s="518" t="s">
        <v>3493</v>
      </c>
      <c r="M1990" s="152" t="s">
        <v>780</v>
      </c>
      <c r="N1990" s="152" t="s">
        <v>1407</v>
      </c>
      <c r="O1990" s="152" t="s">
        <v>3677</v>
      </c>
      <c r="P1990" s="152" t="s">
        <v>3489</v>
      </c>
      <c r="Q1990" s="152" t="s">
        <v>3678</v>
      </c>
      <c r="R1990" s="152" t="s">
        <v>4066</v>
      </c>
      <c r="S1990" s="152" t="s">
        <v>3679</v>
      </c>
      <c r="T1990" s="152" t="s">
        <v>786</v>
      </c>
    </row>
    <row r="1991" spans="3:20">
      <c r="C1991" s="152" t="s">
        <v>2821</v>
      </c>
      <c r="F1991" s="152" t="s">
        <v>372</v>
      </c>
      <c r="G1991" s="152" t="s">
        <v>309</v>
      </c>
      <c r="I1991" s="513">
        <v>-82281.600000000006</v>
      </c>
      <c r="J1991" s="513">
        <v>-57.14</v>
      </c>
      <c r="K1991" s="513">
        <v>1440</v>
      </c>
      <c r="L1991" s="518" t="s">
        <v>3637</v>
      </c>
      <c r="M1991" s="152" t="s">
        <v>780</v>
      </c>
      <c r="N1991" s="152" t="s">
        <v>1407</v>
      </c>
      <c r="O1991" s="152" t="s">
        <v>3638</v>
      </c>
      <c r="P1991" s="152" t="s">
        <v>2865</v>
      </c>
      <c r="Q1991" s="152" t="s">
        <v>3639</v>
      </c>
      <c r="R1991" s="152" t="s">
        <v>4067</v>
      </c>
      <c r="S1991" s="152" t="s">
        <v>3641</v>
      </c>
      <c r="T1991" s="152" t="s">
        <v>786</v>
      </c>
    </row>
    <row r="1992" spans="3:20">
      <c r="C1992" s="152" t="s">
        <v>2821</v>
      </c>
      <c r="F1992" s="152" t="s">
        <v>372</v>
      </c>
      <c r="G1992" s="152" t="s">
        <v>309</v>
      </c>
      <c r="I1992" s="513">
        <v>-44861.65</v>
      </c>
      <c r="J1992" s="513">
        <v>-31.93</v>
      </c>
      <c r="K1992" s="513">
        <v>1405</v>
      </c>
      <c r="L1992" s="518" t="s">
        <v>3493</v>
      </c>
      <c r="M1992" s="152" t="s">
        <v>780</v>
      </c>
      <c r="N1992" s="152" t="s">
        <v>1407</v>
      </c>
      <c r="O1992" s="152" t="s">
        <v>3677</v>
      </c>
      <c r="P1992" s="152" t="s">
        <v>3489</v>
      </c>
      <c r="Q1992" s="152" t="s">
        <v>3678</v>
      </c>
      <c r="R1992" s="152" t="s">
        <v>4069</v>
      </c>
      <c r="S1992" s="152" t="s">
        <v>3679</v>
      </c>
      <c r="T1992" s="152" t="s">
        <v>786</v>
      </c>
    </row>
    <row r="1993" spans="3:20">
      <c r="C1993" s="152" t="s">
        <v>2821</v>
      </c>
      <c r="F1993" s="152" t="s">
        <v>372</v>
      </c>
      <c r="G1993" s="152" t="s">
        <v>309</v>
      </c>
      <c r="I1993" s="513">
        <v>-117570.4</v>
      </c>
      <c r="J1993" s="513">
        <v>-83.68</v>
      </c>
      <c r="K1993" s="513">
        <v>1405</v>
      </c>
      <c r="L1993" s="518" t="s">
        <v>3493</v>
      </c>
      <c r="M1993" s="152" t="s">
        <v>780</v>
      </c>
      <c r="N1993" s="152" t="s">
        <v>1407</v>
      </c>
      <c r="O1993" s="152" t="s">
        <v>3677</v>
      </c>
      <c r="P1993" s="152" t="s">
        <v>3489</v>
      </c>
      <c r="Q1993" s="152" t="s">
        <v>3678</v>
      </c>
      <c r="R1993" s="152" t="s">
        <v>4070</v>
      </c>
      <c r="S1993" s="152" t="s">
        <v>3679</v>
      </c>
      <c r="T1993" s="152" t="s">
        <v>786</v>
      </c>
    </row>
    <row r="1994" spans="3:20">
      <c r="C1994" s="152" t="s">
        <v>2821</v>
      </c>
      <c r="F1994" s="152" t="s">
        <v>372</v>
      </c>
      <c r="G1994" s="152" t="s">
        <v>309</v>
      </c>
      <c r="I1994" s="513">
        <v>-165600</v>
      </c>
      <c r="J1994" s="513">
        <v>-115</v>
      </c>
      <c r="K1994" s="513">
        <v>1440</v>
      </c>
      <c r="L1994" s="518" t="s">
        <v>3637</v>
      </c>
      <c r="M1994" s="152" t="s">
        <v>780</v>
      </c>
      <c r="N1994" s="152" t="s">
        <v>1407</v>
      </c>
      <c r="O1994" s="152" t="s">
        <v>3638</v>
      </c>
      <c r="P1994" s="152" t="s">
        <v>2865</v>
      </c>
      <c r="Q1994" s="152" t="s">
        <v>3639</v>
      </c>
      <c r="R1994" s="152" t="s">
        <v>4073</v>
      </c>
      <c r="S1994" s="152" t="s">
        <v>3641</v>
      </c>
      <c r="T1994" s="152" t="s">
        <v>786</v>
      </c>
    </row>
    <row r="1995" spans="3:20">
      <c r="C1995" s="152" t="s">
        <v>2821</v>
      </c>
      <c r="F1995" s="152" t="s">
        <v>372</v>
      </c>
      <c r="G1995" s="152" t="s">
        <v>309</v>
      </c>
      <c r="I1995" s="513">
        <v>-5981220</v>
      </c>
      <c r="J1995" s="513">
        <v>-4242</v>
      </c>
      <c r="K1995" s="513">
        <v>1410</v>
      </c>
      <c r="L1995" s="518" t="s">
        <v>3498</v>
      </c>
      <c r="M1995" s="152" t="s">
        <v>780</v>
      </c>
      <c r="N1995" s="152" t="s">
        <v>1407</v>
      </c>
      <c r="O1995" s="152" t="s">
        <v>3499</v>
      </c>
      <c r="P1995" s="152" t="s">
        <v>3489</v>
      </c>
      <c r="Q1995" s="152" t="s">
        <v>3500</v>
      </c>
      <c r="R1995" s="152" t="s">
        <v>4074</v>
      </c>
      <c r="S1995" s="152" t="s">
        <v>3502</v>
      </c>
      <c r="T1995" s="152" t="s">
        <v>786</v>
      </c>
    </row>
    <row r="1996" spans="3:20">
      <c r="C1996" s="152" t="s">
        <v>2821</v>
      </c>
      <c r="F1996" s="152" t="s">
        <v>372</v>
      </c>
      <c r="G1996" s="152" t="s">
        <v>309</v>
      </c>
      <c r="I1996" s="513">
        <v>-1607400</v>
      </c>
      <c r="J1996" s="513">
        <v>-1140</v>
      </c>
      <c r="K1996" s="513">
        <v>1410</v>
      </c>
      <c r="L1996" s="518" t="s">
        <v>3498</v>
      </c>
      <c r="M1996" s="152" t="s">
        <v>780</v>
      </c>
      <c r="N1996" s="152" t="s">
        <v>1407</v>
      </c>
      <c r="O1996" s="152" t="s">
        <v>3499</v>
      </c>
      <c r="P1996" s="152" t="s">
        <v>3489</v>
      </c>
      <c r="Q1996" s="152" t="s">
        <v>3500</v>
      </c>
      <c r="R1996" s="152" t="s">
        <v>4075</v>
      </c>
      <c r="S1996" s="152" t="s">
        <v>3502</v>
      </c>
      <c r="T1996" s="152" t="s">
        <v>786</v>
      </c>
    </row>
    <row r="1997" spans="3:20">
      <c r="C1997" s="152" t="s">
        <v>2821</v>
      </c>
      <c r="F1997" s="152" t="s">
        <v>372</v>
      </c>
      <c r="G1997" s="152" t="s">
        <v>309</v>
      </c>
      <c r="I1997" s="513">
        <v>-4230</v>
      </c>
      <c r="J1997" s="513">
        <v>-3</v>
      </c>
      <c r="K1997" s="513">
        <v>1410</v>
      </c>
      <c r="L1997" s="518" t="s">
        <v>3498</v>
      </c>
      <c r="M1997" s="152" t="s">
        <v>780</v>
      </c>
      <c r="N1997" s="152" t="s">
        <v>1407</v>
      </c>
      <c r="O1997" s="152" t="s">
        <v>3499</v>
      </c>
      <c r="P1997" s="152" t="s">
        <v>3489</v>
      </c>
      <c r="Q1997" s="152" t="s">
        <v>3500</v>
      </c>
      <c r="R1997" s="152" t="s">
        <v>4076</v>
      </c>
      <c r="S1997" s="152" t="s">
        <v>3502</v>
      </c>
      <c r="T1997" s="152" t="s">
        <v>786</v>
      </c>
    </row>
    <row r="1998" spans="3:20">
      <c r="C1998" s="152" t="s">
        <v>2821</v>
      </c>
      <c r="F1998" s="152" t="s">
        <v>372</v>
      </c>
      <c r="G1998" s="152" t="s">
        <v>309</v>
      </c>
      <c r="I1998" s="513">
        <v>-2577480</v>
      </c>
      <c r="J1998" s="513">
        <v>-1828</v>
      </c>
      <c r="K1998" s="513">
        <v>1410</v>
      </c>
      <c r="L1998" s="518" t="s">
        <v>3498</v>
      </c>
      <c r="M1998" s="152" t="s">
        <v>780</v>
      </c>
      <c r="N1998" s="152" t="s">
        <v>1407</v>
      </c>
      <c r="O1998" s="152" t="s">
        <v>3499</v>
      </c>
      <c r="P1998" s="152" t="s">
        <v>3489</v>
      </c>
      <c r="Q1998" s="152" t="s">
        <v>3500</v>
      </c>
      <c r="R1998" s="152" t="s">
        <v>4077</v>
      </c>
      <c r="S1998" s="152" t="s">
        <v>3502</v>
      </c>
      <c r="T1998" s="152" t="s">
        <v>786</v>
      </c>
    </row>
    <row r="1999" spans="3:20">
      <c r="C1999" s="152" t="s">
        <v>2821</v>
      </c>
      <c r="F1999" s="152" t="s">
        <v>372</v>
      </c>
      <c r="G1999" s="152" t="s">
        <v>309</v>
      </c>
      <c r="I1999" s="513">
        <v>-1269000</v>
      </c>
      <c r="J1999" s="513">
        <v>-900</v>
      </c>
      <c r="K1999" s="513">
        <v>1410</v>
      </c>
      <c r="L1999" s="518" t="s">
        <v>3498</v>
      </c>
      <c r="M1999" s="152" t="s">
        <v>780</v>
      </c>
      <c r="N1999" s="152" t="s">
        <v>1407</v>
      </c>
      <c r="O1999" s="152" t="s">
        <v>3499</v>
      </c>
      <c r="P1999" s="152" t="s">
        <v>3489</v>
      </c>
      <c r="Q1999" s="152" t="s">
        <v>3500</v>
      </c>
      <c r="R1999" s="152" t="s">
        <v>4078</v>
      </c>
      <c r="S1999" s="152" t="s">
        <v>3502</v>
      </c>
      <c r="T1999" s="152" t="s">
        <v>786</v>
      </c>
    </row>
    <row r="2000" spans="3:20">
      <c r="C2000" s="152" t="s">
        <v>2821</v>
      </c>
      <c r="F2000" s="152" t="s">
        <v>372</v>
      </c>
      <c r="G2000" s="152" t="s">
        <v>309</v>
      </c>
      <c r="I2000" s="513">
        <v>-20036.099999999999</v>
      </c>
      <c r="J2000" s="513">
        <v>-14.21</v>
      </c>
      <c r="K2000" s="513">
        <v>1410</v>
      </c>
      <c r="L2000" s="518" t="s">
        <v>3498</v>
      </c>
      <c r="M2000" s="152" t="s">
        <v>780</v>
      </c>
      <c r="N2000" s="152" t="s">
        <v>1407</v>
      </c>
      <c r="O2000" s="152" t="s">
        <v>3499</v>
      </c>
      <c r="P2000" s="152" t="s">
        <v>3489</v>
      </c>
      <c r="Q2000" s="152" t="s">
        <v>3500</v>
      </c>
      <c r="R2000" s="152" t="s">
        <v>4079</v>
      </c>
      <c r="S2000" s="152" t="s">
        <v>3502</v>
      </c>
      <c r="T2000" s="152" t="s">
        <v>786</v>
      </c>
    </row>
    <row r="2001" spans="3:20">
      <c r="C2001" s="152" t="s">
        <v>2821</v>
      </c>
      <c r="F2001" s="152" t="s">
        <v>372</v>
      </c>
      <c r="G2001" s="152" t="s">
        <v>309</v>
      </c>
      <c r="I2001" s="513">
        <v>-1611630</v>
      </c>
      <c r="J2001" s="513">
        <v>-1143</v>
      </c>
      <c r="K2001" s="513">
        <v>1410</v>
      </c>
      <c r="L2001" s="518" t="s">
        <v>3498</v>
      </c>
      <c r="M2001" s="152" t="s">
        <v>780</v>
      </c>
      <c r="N2001" s="152" t="s">
        <v>1407</v>
      </c>
      <c r="O2001" s="152" t="s">
        <v>3499</v>
      </c>
      <c r="P2001" s="152" t="s">
        <v>3489</v>
      </c>
      <c r="Q2001" s="152" t="s">
        <v>3500</v>
      </c>
      <c r="R2001" s="152" t="s">
        <v>4080</v>
      </c>
      <c r="S2001" s="152" t="s">
        <v>3502</v>
      </c>
      <c r="T2001" s="152" t="s">
        <v>786</v>
      </c>
    </row>
    <row r="2002" spans="3:20">
      <c r="C2002" s="152" t="s">
        <v>2821</v>
      </c>
      <c r="F2002" s="152" t="s">
        <v>372</v>
      </c>
      <c r="G2002" s="152" t="s">
        <v>309</v>
      </c>
      <c r="I2002" s="513">
        <v>-1611630</v>
      </c>
      <c r="J2002" s="513">
        <v>-1143</v>
      </c>
      <c r="K2002" s="513">
        <v>1410</v>
      </c>
      <c r="L2002" s="518" t="s">
        <v>3498</v>
      </c>
      <c r="M2002" s="152" t="s">
        <v>780</v>
      </c>
      <c r="N2002" s="152" t="s">
        <v>1407</v>
      </c>
      <c r="O2002" s="152" t="s">
        <v>3499</v>
      </c>
      <c r="P2002" s="152" t="s">
        <v>3489</v>
      </c>
      <c r="Q2002" s="152" t="s">
        <v>3500</v>
      </c>
      <c r="R2002" s="152" t="s">
        <v>4081</v>
      </c>
      <c r="S2002" s="152" t="s">
        <v>3502</v>
      </c>
      <c r="T2002" s="152" t="s">
        <v>786</v>
      </c>
    </row>
    <row r="2003" spans="3:20">
      <c r="C2003" s="152" t="s">
        <v>2821</v>
      </c>
      <c r="F2003" s="152" t="s">
        <v>372</v>
      </c>
      <c r="G2003" s="152" t="s">
        <v>309</v>
      </c>
      <c r="I2003" s="513">
        <v>-2256000</v>
      </c>
      <c r="J2003" s="513">
        <v>-1600</v>
      </c>
      <c r="K2003" s="513">
        <v>1410</v>
      </c>
      <c r="L2003" s="518" t="s">
        <v>3498</v>
      </c>
      <c r="M2003" s="152" t="s">
        <v>780</v>
      </c>
      <c r="N2003" s="152" t="s">
        <v>1407</v>
      </c>
      <c r="O2003" s="152" t="s">
        <v>3499</v>
      </c>
      <c r="P2003" s="152" t="s">
        <v>3489</v>
      </c>
      <c r="Q2003" s="152" t="s">
        <v>3500</v>
      </c>
      <c r="R2003" s="152" t="s">
        <v>4082</v>
      </c>
      <c r="S2003" s="152" t="s">
        <v>3502</v>
      </c>
      <c r="T2003" s="152" t="s">
        <v>786</v>
      </c>
    </row>
    <row r="2004" spans="3:20">
      <c r="C2004" s="152" t="s">
        <v>2821</v>
      </c>
      <c r="F2004" s="152" t="s">
        <v>372</v>
      </c>
      <c r="G2004" s="152" t="s">
        <v>309</v>
      </c>
      <c r="I2004" s="513">
        <v>-1611630</v>
      </c>
      <c r="J2004" s="513">
        <v>-1143</v>
      </c>
      <c r="K2004" s="513">
        <v>1410</v>
      </c>
      <c r="L2004" s="518" t="s">
        <v>3498</v>
      </c>
      <c r="M2004" s="152" t="s">
        <v>780</v>
      </c>
      <c r="N2004" s="152" t="s">
        <v>1407</v>
      </c>
      <c r="O2004" s="152" t="s">
        <v>3499</v>
      </c>
      <c r="P2004" s="152" t="s">
        <v>3489</v>
      </c>
      <c r="Q2004" s="152" t="s">
        <v>3500</v>
      </c>
      <c r="R2004" s="152" t="s">
        <v>4083</v>
      </c>
      <c r="S2004" s="152" t="s">
        <v>3502</v>
      </c>
      <c r="T2004" s="152" t="s">
        <v>786</v>
      </c>
    </row>
    <row r="2005" spans="3:20">
      <c r="C2005" s="152" t="s">
        <v>2821</v>
      </c>
      <c r="F2005" s="152" t="s">
        <v>372</v>
      </c>
      <c r="G2005" s="152" t="s">
        <v>309</v>
      </c>
      <c r="I2005" s="513">
        <v>-770000</v>
      </c>
      <c r="J2005" s="513">
        <v>-550</v>
      </c>
      <c r="K2005" s="513">
        <v>1400</v>
      </c>
      <c r="L2005" s="518" t="s">
        <v>3659</v>
      </c>
      <c r="M2005" s="152" t="s">
        <v>780</v>
      </c>
      <c r="N2005" s="152" t="s">
        <v>1407</v>
      </c>
      <c r="O2005" s="152" t="s">
        <v>3795</v>
      </c>
      <c r="P2005" s="152" t="s">
        <v>3489</v>
      </c>
      <c r="Q2005" s="152" t="s">
        <v>3796</v>
      </c>
      <c r="R2005" s="152" t="s">
        <v>4084</v>
      </c>
      <c r="S2005" s="152" t="s">
        <v>3798</v>
      </c>
      <c r="T2005" s="152" t="s">
        <v>786</v>
      </c>
    </row>
    <row r="2006" spans="3:20">
      <c r="C2006" s="152" t="s">
        <v>2821</v>
      </c>
      <c r="F2006" s="152" t="s">
        <v>372</v>
      </c>
      <c r="G2006" s="152" t="s">
        <v>309</v>
      </c>
      <c r="I2006" s="513">
        <v>-201600</v>
      </c>
      <c r="J2006" s="513">
        <v>-140</v>
      </c>
      <c r="K2006" s="513">
        <v>1440</v>
      </c>
      <c r="L2006" s="518" t="s">
        <v>3517</v>
      </c>
      <c r="M2006" s="152" t="s">
        <v>780</v>
      </c>
      <c r="N2006" s="152" t="s">
        <v>1407</v>
      </c>
      <c r="O2006" s="152" t="s">
        <v>3518</v>
      </c>
      <c r="P2006" s="152" t="s">
        <v>892</v>
      </c>
      <c r="Q2006" s="152" t="s">
        <v>3519</v>
      </c>
      <c r="R2006" s="152" t="s">
        <v>4085</v>
      </c>
      <c r="S2006" s="152" t="s">
        <v>3521</v>
      </c>
      <c r="T2006" s="152" t="s">
        <v>786</v>
      </c>
    </row>
    <row r="2007" spans="3:20">
      <c r="C2007" s="152" t="s">
        <v>2821</v>
      </c>
      <c r="F2007" s="152" t="s">
        <v>372</v>
      </c>
      <c r="G2007" s="152" t="s">
        <v>309</v>
      </c>
      <c r="I2007" s="513">
        <v>-199500</v>
      </c>
      <c r="J2007" s="513">
        <v>-140</v>
      </c>
      <c r="K2007" s="513">
        <v>1425</v>
      </c>
      <c r="L2007" s="518" t="s">
        <v>3504</v>
      </c>
      <c r="M2007" s="152" t="s">
        <v>780</v>
      </c>
      <c r="N2007" s="152" t="s">
        <v>1407</v>
      </c>
      <c r="O2007" s="152" t="s">
        <v>3505</v>
      </c>
      <c r="P2007" s="152" t="s">
        <v>3489</v>
      </c>
      <c r="Q2007" s="152" t="s">
        <v>3506</v>
      </c>
      <c r="R2007" s="152" t="s">
        <v>4086</v>
      </c>
      <c r="S2007" s="152" t="s">
        <v>3508</v>
      </c>
      <c r="T2007" s="152" t="s">
        <v>786</v>
      </c>
    </row>
    <row r="2008" spans="3:20">
      <c r="C2008" s="152" t="s">
        <v>2821</v>
      </c>
      <c r="F2008" s="152" t="s">
        <v>372</v>
      </c>
      <c r="G2008" s="152" t="s">
        <v>309</v>
      </c>
      <c r="I2008" s="513">
        <v>-56600</v>
      </c>
      <c r="J2008" s="513">
        <v>-40</v>
      </c>
      <c r="K2008" s="513">
        <v>1415</v>
      </c>
      <c r="L2008" s="518" t="s">
        <v>3632</v>
      </c>
      <c r="M2008" s="152" t="s">
        <v>780</v>
      </c>
      <c r="N2008" s="152" t="s">
        <v>1407</v>
      </c>
      <c r="O2008" s="152" t="s">
        <v>3633</v>
      </c>
      <c r="P2008" s="152" t="s">
        <v>3489</v>
      </c>
      <c r="Q2008" s="152" t="s">
        <v>3634</v>
      </c>
      <c r="R2008" s="152" t="s">
        <v>4087</v>
      </c>
      <c r="S2008" s="152" t="s">
        <v>3636</v>
      </c>
      <c r="T2008" s="152" t="s">
        <v>786</v>
      </c>
    </row>
    <row r="2009" spans="3:20">
      <c r="C2009" s="152" t="s">
        <v>2821</v>
      </c>
      <c r="F2009" s="152" t="s">
        <v>372</v>
      </c>
      <c r="G2009" s="152" t="s">
        <v>309</v>
      </c>
      <c r="I2009" s="513">
        <v>-285000</v>
      </c>
      <c r="J2009" s="513">
        <v>-200</v>
      </c>
      <c r="K2009" s="513">
        <v>1425</v>
      </c>
      <c r="L2009" s="518" t="s">
        <v>3504</v>
      </c>
      <c r="M2009" s="152" t="s">
        <v>780</v>
      </c>
      <c r="N2009" s="152" t="s">
        <v>1407</v>
      </c>
      <c r="O2009" s="152" t="s">
        <v>3505</v>
      </c>
      <c r="P2009" s="152" t="s">
        <v>3489</v>
      </c>
      <c r="Q2009" s="152" t="s">
        <v>3506</v>
      </c>
      <c r="R2009" s="152" t="s">
        <v>4088</v>
      </c>
      <c r="S2009" s="152" t="s">
        <v>3508</v>
      </c>
      <c r="T2009" s="152" t="s">
        <v>786</v>
      </c>
    </row>
    <row r="2010" spans="3:20">
      <c r="C2010" s="152" t="s">
        <v>2821</v>
      </c>
      <c r="F2010" s="152" t="s">
        <v>372</v>
      </c>
      <c r="G2010" s="152" t="s">
        <v>309</v>
      </c>
      <c r="I2010" s="513">
        <v>-1264500</v>
      </c>
      <c r="J2010" s="513">
        <v>-900</v>
      </c>
      <c r="K2010" s="513">
        <v>1405</v>
      </c>
      <c r="L2010" s="518" t="s">
        <v>3493</v>
      </c>
      <c r="M2010" s="152" t="s">
        <v>780</v>
      </c>
      <c r="N2010" s="152" t="s">
        <v>1407</v>
      </c>
      <c r="O2010" s="152" t="s">
        <v>3677</v>
      </c>
      <c r="P2010" s="152" t="s">
        <v>3489</v>
      </c>
      <c r="Q2010" s="152" t="s">
        <v>3678</v>
      </c>
      <c r="R2010" s="152" t="s">
        <v>4088</v>
      </c>
      <c r="S2010" s="152" t="s">
        <v>3679</v>
      </c>
      <c r="T2010" s="152" t="s">
        <v>786</v>
      </c>
    </row>
    <row r="2011" spans="3:20">
      <c r="C2011" s="152" t="s">
        <v>2821</v>
      </c>
      <c r="F2011" s="152" t="s">
        <v>372</v>
      </c>
      <c r="G2011" s="152" t="s">
        <v>309</v>
      </c>
      <c r="I2011" s="513">
        <v>-712500</v>
      </c>
      <c r="J2011" s="513">
        <v>-500</v>
      </c>
      <c r="K2011" s="513">
        <v>1425</v>
      </c>
      <c r="L2011" s="518" t="s">
        <v>3637</v>
      </c>
      <c r="M2011" s="152" t="s">
        <v>780</v>
      </c>
      <c r="N2011" s="152" t="s">
        <v>1407</v>
      </c>
      <c r="O2011" s="152" t="s">
        <v>3638</v>
      </c>
      <c r="P2011" s="152" t="s">
        <v>2865</v>
      </c>
      <c r="Q2011" s="152" t="s">
        <v>3639</v>
      </c>
      <c r="R2011" s="152" t="s">
        <v>4099</v>
      </c>
      <c r="S2011" s="152" t="s">
        <v>3641</v>
      </c>
      <c r="T2011" s="152" t="s">
        <v>786</v>
      </c>
    </row>
    <row r="2012" spans="3:20">
      <c r="C2012" s="152" t="s">
        <v>2821</v>
      </c>
      <c r="F2012" s="152" t="s">
        <v>372</v>
      </c>
      <c r="G2012" s="152" t="s">
        <v>309</v>
      </c>
      <c r="I2012" s="513">
        <v>-4320</v>
      </c>
      <c r="J2012" s="513">
        <v>-3</v>
      </c>
      <c r="K2012" s="513">
        <v>1440</v>
      </c>
      <c r="L2012" s="518" t="s">
        <v>3517</v>
      </c>
      <c r="M2012" s="152" t="s">
        <v>780</v>
      </c>
      <c r="N2012" s="152" t="s">
        <v>1407</v>
      </c>
      <c r="O2012" s="152" t="s">
        <v>3518</v>
      </c>
      <c r="P2012" s="152" t="s">
        <v>892</v>
      </c>
      <c r="Q2012" s="152" t="s">
        <v>3519</v>
      </c>
      <c r="R2012" s="152" t="s">
        <v>4103</v>
      </c>
      <c r="S2012" s="152" t="s">
        <v>3521</v>
      </c>
      <c r="T2012" s="152" t="s">
        <v>786</v>
      </c>
    </row>
    <row r="2013" spans="3:20">
      <c r="C2013" s="152" t="s">
        <v>2821</v>
      </c>
      <c r="F2013" s="152" t="s">
        <v>372</v>
      </c>
      <c r="G2013" s="152" t="s">
        <v>309</v>
      </c>
      <c r="I2013" s="513">
        <v>-76545.600000000006</v>
      </c>
      <c r="J2013" s="513">
        <v>-51.72</v>
      </c>
      <c r="K2013" s="513">
        <v>1480</v>
      </c>
      <c r="L2013" s="518" t="s">
        <v>3517</v>
      </c>
      <c r="M2013" s="152" t="s">
        <v>780</v>
      </c>
      <c r="N2013" s="152" t="s">
        <v>1407</v>
      </c>
      <c r="O2013" s="152" t="s">
        <v>3518</v>
      </c>
      <c r="P2013" s="152" t="s">
        <v>892</v>
      </c>
      <c r="Q2013" s="152" t="s">
        <v>3519</v>
      </c>
      <c r="R2013" s="152" t="s">
        <v>4105</v>
      </c>
      <c r="S2013" s="152" t="s">
        <v>3521</v>
      </c>
      <c r="T2013" s="152" t="s">
        <v>786</v>
      </c>
    </row>
    <row r="2014" spans="3:20">
      <c r="C2014" s="152" t="s">
        <v>2821</v>
      </c>
      <c r="F2014" s="152" t="s">
        <v>372</v>
      </c>
      <c r="G2014" s="152" t="s">
        <v>309</v>
      </c>
      <c r="I2014" s="513">
        <v>-80042.25</v>
      </c>
      <c r="J2014" s="513">
        <v>-56.17</v>
      </c>
      <c r="K2014" s="513">
        <v>1425</v>
      </c>
      <c r="L2014" s="518" t="s">
        <v>3637</v>
      </c>
      <c r="M2014" s="152" t="s">
        <v>780</v>
      </c>
      <c r="N2014" s="152" t="s">
        <v>1407</v>
      </c>
      <c r="O2014" s="152" t="s">
        <v>3638</v>
      </c>
      <c r="P2014" s="152" t="s">
        <v>2865</v>
      </c>
      <c r="Q2014" s="152" t="s">
        <v>3639</v>
      </c>
      <c r="R2014" s="152" t="s">
        <v>4106</v>
      </c>
      <c r="S2014" s="152" t="s">
        <v>3641</v>
      </c>
      <c r="T2014" s="152" t="s">
        <v>786</v>
      </c>
    </row>
    <row r="2015" spans="3:20">
      <c r="C2015" s="152" t="s">
        <v>2821</v>
      </c>
      <c r="F2015" s="152" t="s">
        <v>372</v>
      </c>
      <c r="G2015" s="152" t="s">
        <v>309</v>
      </c>
      <c r="I2015" s="513">
        <v>-12111.1</v>
      </c>
      <c r="J2015" s="513">
        <v>-8.6199999999999992</v>
      </c>
      <c r="K2015" s="513">
        <v>1405</v>
      </c>
      <c r="L2015" s="518" t="s">
        <v>3493</v>
      </c>
      <c r="M2015" s="152" t="s">
        <v>780</v>
      </c>
      <c r="N2015" s="152" t="s">
        <v>1407</v>
      </c>
      <c r="O2015" s="152" t="s">
        <v>3677</v>
      </c>
      <c r="P2015" s="152" t="s">
        <v>3489</v>
      </c>
      <c r="Q2015" s="152" t="s">
        <v>3678</v>
      </c>
      <c r="R2015" s="152" t="s">
        <v>4110</v>
      </c>
      <c r="S2015" s="152" t="s">
        <v>3679</v>
      </c>
      <c r="T2015" s="152" t="s">
        <v>786</v>
      </c>
    </row>
    <row r="2016" spans="3:20">
      <c r="C2016" s="152" t="s">
        <v>2821</v>
      </c>
      <c r="F2016" s="152" t="s">
        <v>372</v>
      </c>
      <c r="G2016" s="152" t="s">
        <v>309</v>
      </c>
      <c r="I2016" s="513">
        <v>-561722</v>
      </c>
      <c r="J2016" s="513">
        <v>-401.23</v>
      </c>
      <c r="K2016" s="513">
        <v>1400</v>
      </c>
      <c r="L2016" s="518" t="s">
        <v>3659</v>
      </c>
      <c r="M2016" s="152" t="s">
        <v>780</v>
      </c>
      <c r="N2016" s="152" t="s">
        <v>1407</v>
      </c>
      <c r="O2016" s="152" t="s">
        <v>4235</v>
      </c>
      <c r="P2016" s="152" t="s">
        <v>3489</v>
      </c>
      <c r="Q2016" s="152" t="s">
        <v>4236</v>
      </c>
      <c r="R2016" s="152" t="s">
        <v>4237</v>
      </c>
      <c r="S2016" s="152" t="s">
        <v>4238</v>
      </c>
      <c r="T2016" s="152" t="s">
        <v>786</v>
      </c>
    </row>
    <row r="2017" spans="3:20">
      <c r="C2017" s="152" t="s">
        <v>2821</v>
      </c>
      <c r="F2017" s="152" t="s">
        <v>372</v>
      </c>
      <c r="G2017" s="152" t="s">
        <v>309</v>
      </c>
      <c r="I2017" s="513">
        <v>576000</v>
      </c>
      <c r="J2017" s="513">
        <v>400</v>
      </c>
      <c r="K2017" s="513">
        <v>1440</v>
      </c>
      <c r="L2017" s="518" t="s">
        <v>3517</v>
      </c>
      <c r="M2017" s="152" t="s">
        <v>1540</v>
      </c>
      <c r="N2017" s="152" t="s">
        <v>1407</v>
      </c>
      <c r="O2017" s="152" t="s">
        <v>4979</v>
      </c>
      <c r="P2017" s="152" t="s">
        <v>1832</v>
      </c>
      <c r="Q2017" s="152" t="s">
        <v>4980</v>
      </c>
      <c r="R2017" s="152" t="s">
        <v>4980</v>
      </c>
      <c r="S2017" s="152" t="s">
        <v>4981</v>
      </c>
      <c r="T2017" s="152" t="s">
        <v>786</v>
      </c>
    </row>
    <row r="2018" spans="3:20">
      <c r="C2018" s="152" t="s">
        <v>2821</v>
      </c>
      <c r="F2018" s="152" t="s">
        <v>372</v>
      </c>
      <c r="G2018" s="152" t="s">
        <v>309</v>
      </c>
      <c r="I2018" s="513">
        <v>115200</v>
      </c>
      <c r="J2018" s="513">
        <v>80</v>
      </c>
      <c r="K2018" s="513">
        <v>1440</v>
      </c>
      <c r="L2018" s="518" t="s">
        <v>3517</v>
      </c>
      <c r="M2018" s="152" t="s">
        <v>1540</v>
      </c>
      <c r="N2018" s="152" t="s">
        <v>1407</v>
      </c>
      <c r="O2018" s="152" t="s">
        <v>4982</v>
      </c>
      <c r="P2018" s="152" t="s">
        <v>1832</v>
      </c>
      <c r="Q2018" s="152" t="s">
        <v>4983</v>
      </c>
      <c r="R2018" s="152" t="s">
        <v>4983</v>
      </c>
      <c r="S2018" s="152" t="s">
        <v>4984</v>
      </c>
      <c r="T2018" s="152" t="s">
        <v>786</v>
      </c>
    </row>
    <row r="2019" spans="3:20">
      <c r="C2019" s="152" t="s">
        <v>2821</v>
      </c>
      <c r="F2019" s="152" t="s">
        <v>372</v>
      </c>
      <c r="G2019" s="152" t="s">
        <v>309</v>
      </c>
      <c r="I2019" s="513">
        <v>1008000</v>
      </c>
      <c r="J2019" s="513">
        <v>700</v>
      </c>
      <c r="K2019" s="513">
        <v>1440</v>
      </c>
      <c r="L2019" s="518" t="s">
        <v>3517</v>
      </c>
      <c r="M2019" s="152" t="s">
        <v>1540</v>
      </c>
      <c r="N2019" s="152" t="s">
        <v>1407</v>
      </c>
      <c r="O2019" s="152" t="s">
        <v>4985</v>
      </c>
      <c r="P2019" s="152" t="s">
        <v>1832</v>
      </c>
      <c r="Q2019" s="152" t="s">
        <v>4986</v>
      </c>
      <c r="R2019" s="152" t="s">
        <v>4986</v>
      </c>
      <c r="S2019" s="152" t="s">
        <v>4987</v>
      </c>
      <c r="T2019" s="152" t="s">
        <v>786</v>
      </c>
    </row>
    <row r="2020" spans="3:20">
      <c r="C2020" s="152" t="s">
        <v>2821</v>
      </c>
      <c r="F2020" s="152" t="s">
        <v>372</v>
      </c>
      <c r="G2020" s="152" t="s">
        <v>309</v>
      </c>
      <c r="I2020" s="513">
        <v>720000</v>
      </c>
      <c r="J2020" s="513">
        <v>500</v>
      </c>
      <c r="K2020" s="513">
        <v>1440</v>
      </c>
      <c r="L2020" s="518" t="s">
        <v>3517</v>
      </c>
      <c r="M2020" s="152" t="s">
        <v>1540</v>
      </c>
      <c r="N2020" s="152" t="s">
        <v>1407</v>
      </c>
      <c r="O2020" s="152" t="s">
        <v>4988</v>
      </c>
      <c r="P2020" s="152" t="s">
        <v>1832</v>
      </c>
      <c r="Q2020" s="152" t="s">
        <v>4989</v>
      </c>
      <c r="R2020" s="152" t="s">
        <v>4989</v>
      </c>
      <c r="S2020" s="152" t="s">
        <v>4990</v>
      </c>
      <c r="T2020" s="152" t="s">
        <v>786</v>
      </c>
    </row>
    <row r="2021" spans="3:20">
      <c r="C2021" s="152" t="s">
        <v>2821</v>
      </c>
      <c r="F2021" s="152" t="s">
        <v>372</v>
      </c>
      <c r="G2021" s="152" t="s">
        <v>309</v>
      </c>
      <c r="I2021" s="513">
        <v>2073600</v>
      </c>
      <c r="J2021" s="513">
        <v>1440</v>
      </c>
      <c r="K2021" s="513">
        <v>1440</v>
      </c>
      <c r="L2021" s="518" t="s">
        <v>3517</v>
      </c>
      <c r="M2021" s="152" t="s">
        <v>1540</v>
      </c>
      <c r="N2021" s="152" t="s">
        <v>1407</v>
      </c>
      <c r="O2021" s="152" t="s">
        <v>4991</v>
      </c>
      <c r="P2021" s="152" t="s">
        <v>1832</v>
      </c>
      <c r="Q2021" s="152" t="s">
        <v>4992</v>
      </c>
      <c r="R2021" s="152" t="s">
        <v>4992</v>
      </c>
      <c r="S2021" s="152" t="s">
        <v>4993</v>
      </c>
      <c r="T2021" s="152" t="s">
        <v>786</v>
      </c>
    </row>
    <row r="2022" spans="3:20">
      <c r="C2022" s="152" t="s">
        <v>2821</v>
      </c>
      <c r="F2022" s="152" t="s">
        <v>372</v>
      </c>
      <c r="G2022" s="152" t="s">
        <v>309</v>
      </c>
      <c r="I2022" s="513">
        <v>5840640</v>
      </c>
      <c r="J2022" s="513">
        <v>4056</v>
      </c>
      <c r="K2022" s="513">
        <v>1440</v>
      </c>
      <c r="L2022" s="518" t="s">
        <v>3517</v>
      </c>
      <c r="M2022" s="152" t="s">
        <v>1540</v>
      </c>
      <c r="N2022" s="152" t="s">
        <v>1407</v>
      </c>
      <c r="O2022" s="152" t="s">
        <v>4994</v>
      </c>
      <c r="P2022" s="152" t="s">
        <v>1832</v>
      </c>
      <c r="Q2022" s="152" t="s">
        <v>4995</v>
      </c>
      <c r="R2022" s="152" t="s">
        <v>4995</v>
      </c>
      <c r="S2022" s="152" t="s">
        <v>4996</v>
      </c>
      <c r="T2022" s="152" t="s">
        <v>786</v>
      </c>
    </row>
    <row r="2023" spans="3:20">
      <c r="C2023" s="152" t="s">
        <v>2821</v>
      </c>
      <c r="F2023" s="152" t="s">
        <v>372</v>
      </c>
      <c r="G2023" s="152" t="s">
        <v>309</v>
      </c>
      <c r="I2023" s="513">
        <v>2736000</v>
      </c>
      <c r="J2023" s="513">
        <v>1900</v>
      </c>
      <c r="K2023" s="513">
        <v>1440</v>
      </c>
      <c r="L2023" s="518" t="s">
        <v>3517</v>
      </c>
      <c r="M2023" s="152" t="s">
        <v>1540</v>
      </c>
      <c r="N2023" s="152" t="s">
        <v>1407</v>
      </c>
      <c r="O2023" s="152" t="s">
        <v>4997</v>
      </c>
      <c r="P2023" s="152" t="s">
        <v>1832</v>
      </c>
      <c r="Q2023" s="152" t="s">
        <v>4998</v>
      </c>
      <c r="R2023" s="152" t="s">
        <v>4998</v>
      </c>
      <c r="S2023" s="152" t="s">
        <v>4999</v>
      </c>
      <c r="T2023" s="152" t="s">
        <v>786</v>
      </c>
    </row>
    <row r="2024" spans="3:20">
      <c r="C2024" s="152" t="s">
        <v>2821</v>
      </c>
      <c r="F2024" s="152" t="s">
        <v>372</v>
      </c>
      <c r="G2024" s="152" t="s">
        <v>309</v>
      </c>
      <c r="I2024" s="513">
        <v>5457600</v>
      </c>
      <c r="J2024" s="513">
        <v>3790</v>
      </c>
      <c r="K2024" s="513">
        <v>1440</v>
      </c>
      <c r="L2024" s="518" t="s">
        <v>3517</v>
      </c>
      <c r="M2024" s="152" t="s">
        <v>1540</v>
      </c>
      <c r="N2024" s="152" t="s">
        <v>1407</v>
      </c>
      <c r="O2024" s="152" t="s">
        <v>5000</v>
      </c>
      <c r="P2024" s="152" t="s">
        <v>1832</v>
      </c>
      <c r="Q2024" s="152" t="s">
        <v>5001</v>
      </c>
      <c r="R2024" s="152" t="s">
        <v>5001</v>
      </c>
      <c r="S2024" s="152" t="s">
        <v>5002</v>
      </c>
      <c r="T2024" s="152" t="s">
        <v>786</v>
      </c>
    </row>
    <row r="2025" spans="3:20">
      <c r="C2025" s="152" t="s">
        <v>2821</v>
      </c>
      <c r="F2025" s="152" t="s">
        <v>372</v>
      </c>
      <c r="G2025" s="152" t="s">
        <v>309</v>
      </c>
      <c r="I2025" s="513">
        <v>1152000</v>
      </c>
      <c r="J2025" s="513">
        <v>800</v>
      </c>
      <c r="K2025" s="513">
        <v>1440</v>
      </c>
      <c r="L2025" s="518" t="s">
        <v>3517</v>
      </c>
      <c r="M2025" s="152" t="s">
        <v>1540</v>
      </c>
      <c r="N2025" s="152" t="s">
        <v>1407</v>
      </c>
      <c r="O2025" s="152" t="s">
        <v>5003</v>
      </c>
      <c r="P2025" s="152" t="s">
        <v>1832</v>
      </c>
      <c r="Q2025" s="152" t="s">
        <v>5004</v>
      </c>
      <c r="R2025" s="152" t="s">
        <v>5004</v>
      </c>
      <c r="S2025" s="152" t="s">
        <v>5005</v>
      </c>
      <c r="T2025" s="152" t="s">
        <v>786</v>
      </c>
    </row>
    <row r="2026" spans="3:20">
      <c r="C2026" s="152" t="s">
        <v>2821</v>
      </c>
      <c r="F2026" s="152" t="s">
        <v>372</v>
      </c>
      <c r="G2026" s="152" t="s">
        <v>309</v>
      </c>
      <c r="I2026" s="513">
        <v>1137600</v>
      </c>
      <c r="J2026" s="513">
        <v>790</v>
      </c>
      <c r="K2026" s="513">
        <v>1440</v>
      </c>
      <c r="L2026" s="518" t="s">
        <v>3517</v>
      </c>
      <c r="M2026" s="152" t="s">
        <v>1540</v>
      </c>
      <c r="N2026" s="152" t="s">
        <v>1407</v>
      </c>
      <c r="O2026" s="152" t="s">
        <v>5006</v>
      </c>
      <c r="P2026" s="152" t="s">
        <v>1832</v>
      </c>
      <c r="Q2026" s="152" t="s">
        <v>5007</v>
      </c>
      <c r="R2026" s="152" t="s">
        <v>5007</v>
      </c>
      <c r="S2026" s="152" t="s">
        <v>5008</v>
      </c>
      <c r="T2026" s="152" t="s">
        <v>786</v>
      </c>
    </row>
    <row r="2027" spans="3:20">
      <c r="C2027" s="152" t="s">
        <v>2821</v>
      </c>
      <c r="F2027" s="152" t="s">
        <v>372</v>
      </c>
      <c r="G2027" s="152" t="s">
        <v>309</v>
      </c>
      <c r="I2027" s="513">
        <v>936000</v>
      </c>
      <c r="J2027" s="513">
        <v>650</v>
      </c>
      <c r="K2027" s="513">
        <v>1440</v>
      </c>
      <c r="L2027" s="518" t="s">
        <v>3517</v>
      </c>
      <c r="M2027" s="152" t="s">
        <v>1540</v>
      </c>
      <c r="N2027" s="152" t="s">
        <v>1407</v>
      </c>
      <c r="O2027" s="152" t="s">
        <v>5009</v>
      </c>
      <c r="P2027" s="152" t="s">
        <v>1832</v>
      </c>
      <c r="Q2027" s="152" t="s">
        <v>5010</v>
      </c>
      <c r="R2027" s="152" t="s">
        <v>5010</v>
      </c>
      <c r="S2027" s="152" t="s">
        <v>5011</v>
      </c>
      <c r="T2027" s="152" t="s">
        <v>786</v>
      </c>
    </row>
    <row r="2028" spans="3:20">
      <c r="C2028" s="152" t="s">
        <v>2821</v>
      </c>
      <c r="F2028" s="152" t="s">
        <v>372</v>
      </c>
      <c r="G2028" s="152" t="s">
        <v>309</v>
      </c>
      <c r="I2028" s="513">
        <v>1152000</v>
      </c>
      <c r="J2028" s="513">
        <v>800</v>
      </c>
      <c r="K2028" s="513">
        <v>1440</v>
      </c>
      <c r="L2028" s="518" t="s">
        <v>3517</v>
      </c>
      <c r="M2028" s="152" t="s">
        <v>1540</v>
      </c>
      <c r="N2028" s="152" t="s">
        <v>1407</v>
      </c>
      <c r="O2028" s="152" t="s">
        <v>5012</v>
      </c>
      <c r="P2028" s="152" t="s">
        <v>1832</v>
      </c>
      <c r="Q2028" s="152" t="s">
        <v>5013</v>
      </c>
      <c r="R2028" s="152" t="s">
        <v>5013</v>
      </c>
      <c r="S2028" s="152" t="s">
        <v>5014</v>
      </c>
      <c r="T2028" s="152" t="s">
        <v>786</v>
      </c>
    </row>
    <row r="2029" spans="3:20">
      <c r="C2029" s="152" t="s">
        <v>2821</v>
      </c>
      <c r="F2029" s="152" t="s">
        <v>372</v>
      </c>
      <c r="G2029" s="152" t="s">
        <v>309</v>
      </c>
      <c r="I2029" s="513">
        <v>444000</v>
      </c>
      <c r="J2029" s="513">
        <v>300</v>
      </c>
      <c r="K2029" s="513">
        <v>1480</v>
      </c>
      <c r="L2029" s="518" t="s">
        <v>3517</v>
      </c>
      <c r="M2029" s="152" t="s">
        <v>1540</v>
      </c>
      <c r="N2029" s="152" t="s">
        <v>1407</v>
      </c>
      <c r="O2029" s="152" t="s">
        <v>5015</v>
      </c>
      <c r="P2029" s="152" t="s">
        <v>1832</v>
      </c>
      <c r="Q2029" s="152" t="s">
        <v>5016</v>
      </c>
      <c r="R2029" s="152" t="s">
        <v>5016</v>
      </c>
      <c r="S2029" s="152" t="s">
        <v>5017</v>
      </c>
      <c r="T2029" s="152" t="s">
        <v>786</v>
      </c>
    </row>
    <row r="2030" spans="3:20">
      <c r="C2030" s="152" t="s">
        <v>2821</v>
      </c>
      <c r="F2030" s="152" t="s">
        <v>372</v>
      </c>
      <c r="G2030" s="152" t="s">
        <v>309</v>
      </c>
      <c r="I2030" s="513">
        <v>115200</v>
      </c>
      <c r="J2030" s="513">
        <v>80</v>
      </c>
      <c r="K2030" s="513">
        <v>1440</v>
      </c>
      <c r="L2030" s="518" t="s">
        <v>3517</v>
      </c>
      <c r="M2030" s="152" t="s">
        <v>1540</v>
      </c>
      <c r="N2030" s="152" t="s">
        <v>1407</v>
      </c>
      <c r="O2030" s="152" t="s">
        <v>5018</v>
      </c>
      <c r="P2030" s="152" t="s">
        <v>1832</v>
      </c>
      <c r="Q2030" s="152" t="s">
        <v>5019</v>
      </c>
      <c r="R2030" s="152" t="s">
        <v>5019</v>
      </c>
      <c r="S2030" s="152" t="s">
        <v>5020</v>
      </c>
      <c r="T2030" s="152" t="s">
        <v>786</v>
      </c>
    </row>
    <row r="2031" spans="3:20">
      <c r="C2031" s="152" t="s">
        <v>2821</v>
      </c>
      <c r="F2031" s="152" t="s">
        <v>372</v>
      </c>
      <c r="G2031" s="152" t="s">
        <v>309</v>
      </c>
      <c r="I2031" s="513">
        <v>1852500</v>
      </c>
      <c r="J2031" s="513">
        <v>1300</v>
      </c>
      <c r="K2031" s="513">
        <v>1425</v>
      </c>
      <c r="L2031" s="518" t="s">
        <v>3637</v>
      </c>
      <c r="M2031" s="152" t="s">
        <v>1540</v>
      </c>
      <c r="N2031" s="152" t="s">
        <v>1407</v>
      </c>
      <c r="O2031" s="152" t="s">
        <v>5030</v>
      </c>
      <c r="P2031" s="152" t="s">
        <v>1832</v>
      </c>
      <c r="Q2031" s="152" t="s">
        <v>5031</v>
      </c>
      <c r="R2031" s="152" t="s">
        <v>5031</v>
      </c>
      <c r="S2031" s="152" t="s">
        <v>5032</v>
      </c>
      <c r="T2031" s="152" t="s">
        <v>786</v>
      </c>
    </row>
    <row r="2032" spans="3:20">
      <c r="C2032" s="152" t="s">
        <v>2821</v>
      </c>
      <c r="F2032" s="152" t="s">
        <v>372</v>
      </c>
      <c r="G2032" s="152" t="s">
        <v>309</v>
      </c>
      <c r="I2032" s="513">
        <v>427500</v>
      </c>
      <c r="J2032" s="513">
        <v>300</v>
      </c>
      <c r="K2032" s="513">
        <v>1425</v>
      </c>
      <c r="L2032" s="518" t="s">
        <v>3637</v>
      </c>
      <c r="M2032" s="152" t="s">
        <v>1540</v>
      </c>
      <c r="N2032" s="152" t="s">
        <v>1407</v>
      </c>
      <c r="O2032" s="152" t="s">
        <v>5033</v>
      </c>
      <c r="P2032" s="152" t="s">
        <v>1832</v>
      </c>
      <c r="Q2032" s="152" t="s">
        <v>5034</v>
      </c>
      <c r="R2032" s="152" t="s">
        <v>5034</v>
      </c>
      <c r="S2032" s="152" t="s">
        <v>5035</v>
      </c>
      <c r="T2032" s="152" t="s">
        <v>786</v>
      </c>
    </row>
    <row r="2033" spans="3:20">
      <c r="C2033" s="152" t="s">
        <v>2821</v>
      </c>
      <c r="F2033" s="152" t="s">
        <v>372</v>
      </c>
      <c r="G2033" s="152" t="s">
        <v>309</v>
      </c>
      <c r="I2033" s="513">
        <v>4597762.5</v>
      </c>
      <c r="J2033" s="513">
        <v>3226.5</v>
      </c>
      <c r="K2033" s="513">
        <v>1425</v>
      </c>
      <c r="L2033" s="518" t="s">
        <v>3637</v>
      </c>
      <c r="M2033" s="152" t="s">
        <v>1540</v>
      </c>
      <c r="N2033" s="152" t="s">
        <v>1407</v>
      </c>
      <c r="O2033" s="152" t="s">
        <v>5036</v>
      </c>
      <c r="P2033" s="152" t="s">
        <v>1832</v>
      </c>
      <c r="Q2033" s="152" t="s">
        <v>5037</v>
      </c>
      <c r="R2033" s="152" t="s">
        <v>5037</v>
      </c>
      <c r="S2033" s="152" t="s">
        <v>5038</v>
      </c>
      <c r="T2033" s="152" t="s">
        <v>786</v>
      </c>
    </row>
    <row r="2034" spans="3:20">
      <c r="C2034" s="152" t="s">
        <v>2821</v>
      </c>
      <c r="F2034" s="152" t="s">
        <v>372</v>
      </c>
      <c r="G2034" s="152" t="s">
        <v>309</v>
      </c>
      <c r="I2034" s="513">
        <v>1496250</v>
      </c>
      <c r="J2034" s="513">
        <v>1050</v>
      </c>
      <c r="K2034" s="513">
        <v>1425</v>
      </c>
      <c r="L2034" s="518" t="s">
        <v>3637</v>
      </c>
      <c r="M2034" s="152" t="s">
        <v>1540</v>
      </c>
      <c r="N2034" s="152" t="s">
        <v>1407</v>
      </c>
      <c r="O2034" s="152" t="s">
        <v>5039</v>
      </c>
      <c r="P2034" s="152" t="s">
        <v>1832</v>
      </c>
      <c r="Q2034" s="152" t="s">
        <v>5040</v>
      </c>
      <c r="R2034" s="152" t="s">
        <v>5040</v>
      </c>
      <c r="S2034" s="152" t="s">
        <v>5041</v>
      </c>
      <c r="T2034" s="152" t="s">
        <v>786</v>
      </c>
    </row>
    <row r="2035" spans="3:20">
      <c r="C2035" s="152" t="s">
        <v>2821</v>
      </c>
      <c r="F2035" s="152" t="s">
        <v>372</v>
      </c>
      <c r="G2035" s="152" t="s">
        <v>309</v>
      </c>
      <c r="I2035" s="513">
        <v>712500</v>
      </c>
      <c r="J2035" s="513">
        <v>500</v>
      </c>
      <c r="K2035" s="513">
        <v>1425</v>
      </c>
      <c r="L2035" s="518" t="s">
        <v>3637</v>
      </c>
      <c r="M2035" s="152" t="s">
        <v>1540</v>
      </c>
      <c r="N2035" s="152" t="s">
        <v>1407</v>
      </c>
      <c r="O2035" s="152" t="s">
        <v>5042</v>
      </c>
      <c r="P2035" s="152" t="s">
        <v>1832</v>
      </c>
      <c r="Q2035" s="152" t="s">
        <v>5043</v>
      </c>
      <c r="R2035" s="152" t="s">
        <v>5043</v>
      </c>
      <c r="S2035" s="152" t="s">
        <v>5044</v>
      </c>
      <c r="T2035" s="152" t="s">
        <v>786</v>
      </c>
    </row>
    <row r="2036" spans="3:20">
      <c r="C2036" s="152" t="s">
        <v>2821</v>
      </c>
      <c r="F2036" s="152" t="s">
        <v>372</v>
      </c>
      <c r="G2036" s="152" t="s">
        <v>309</v>
      </c>
      <c r="I2036" s="513">
        <v>4275000</v>
      </c>
      <c r="J2036" s="513">
        <v>3000</v>
      </c>
      <c r="K2036" s="513">
        <v>1425</v>
      </c>
      <c r="L2036" s="518" t="s">
        <v>3637</v>
      </c>
      <c r="M2036" s="152" t="s">
        <v>1540</v>
      </c>
      <c r="N2036" s="152" t="s">
        <v>1407</v>
      </c>
      <c r="O2036" s="152" t="s">
        <v>5045</v>
      </c>
      <c r="P2036" s="152" t="s">
        <v>1832</v>
      </c>
      <c r="Q2036" s="152" t="s">
        <v>5046</v>
      </c>
      <c r="R2036" s="152" t="s">
        <v>5046</v>
      </c>
      <c r="S2036" s="152" t="s">
        <v>5047</v>
      </c>
      <c r="T2036" s="152" t="s">
        <v>786</v>
      </c>
    </row>
    <row r="2037" spans="3:20">
      <c r="C2037" s="152" t="s">
        <v>2821</v>
      </c>
      <c r="F2037" s="152" t="s">
        <v>372</v>
      </c>
      <c r="G2037" s="152" t="s">
        <v>309</v>
      </c>
      <c r="I2037" s="513">
        <v>1425000</v>
      </c>
      <c r="J2037" s="513">
        <v>1000</v>
      </c>
      <c r="K2037" s="513">
        <v>1425</v>
      </c>
      <c r="L2037" s="518" t="s">
        <v>3552</v>
      </c>
      <c r="M2037" s="152" t="s">
        <v>1540</v>
      </c>
      <c r="N2037" s="152" t="s">
        <v>1407</v>
      </c>
      <c r="O2037" s="152" t="s">
        <v>5048</v>
      </c>
      <c r="P2037" s="152" t="s">
        <v>1832</v>
      </c>
      <c r="Q2037" s="152" t="s">
        <v>5049</v>
      </c>
      <c r="R2037" s="152" t="s">
        <v>5049</v>
      </c>
      <c r="S2037" s="152" t="s">
        <v>5050</v>
      </c>
      <c r="T2037" s="152" t="s">
        <v>786</v>
      </c>
    </row>
    <row r="2038" spans="3:20">
      <c r="C2038" s="152" t="s">
        <v>2821</v>
      </c>
      <c r="F2038" s="152" t="s">
        <v>372</v>
      </c>
      <c r="G2038" s="152" t="s">
        <v>309</v>
      </c>
      <c r="I2038" s="513">
        <v>1496250</v>
      </c>
      <c r="J2038" s="513">
        <v>1050</v>
      </c>
      <c r="K2038" s="513">
        <v>1425</v>
      </c>
      <c r="L2038" s="518" t="s">
        <v>3504</v>
      </c>
      <c r="M2038" s="152" t="s">
        <v>1540</v>
      </c>
      <c r="N2038" s="152" t="s">
        <v>1407</v>
      </c>
      <c r="O2038" s="152" t="s">
        <v>5399</v>
      </c>
      <c r="P2038" s="152" t="s">
        <v>5400</v>
      </c>
      <c r="Q2038" s="152" t="s">
        <v>5401</v>
      </c>
      <c r="R2038" s="152" t="s">
        <v>5401</v>
      </c>
      <c r="S2038" s="152" t="s">
        <v>5402</v>
      </c>
      <c r="T2038" s="152" t="s">
        <v>786</v>
      </c>
    </row>
    <row r="2039" spans="3:20">
      <c r="C2039" s="152" t="s">
        <v>2821</v>
      </c>
      <c r="F2039" s="152" t="s">
        <v>372</v>
      </c>
      <c r="G2039" s="152" t="s">
        <v>309</v>
      </c>
      <c r="I2039" s="513">
        <v>1425000</v>
      </c>
      <c r="J2039" s="513">
        <v>1000</v>
      </c>
      <c r="K2039" s="513">
        <v>1425</v>
      </c>
      <c r="L2039" s="518" t="s">
        <v>3504</v>
      </c>
      <c r="M2039" s="152" t="s">
        <v>1540</v>
      </c>
      <c r="N2039" s="152" t="s">
        <v>1407</v>
      </c>
      <c r="O2039" s="152" t="s">
        <v>5403</v>
      </c>
      <c r="P2039" s="152" t="s">
        <v>5400</v>
      </c>
      <c r="Q2039" s="152" t="s">
        <v>5404</v>
      </c>
      <c r="R2039" s="152" t="s">
        <v>5404</v>
      </c>
      <c r="S2039" s="152" t="s">
        <v>5405</v>
      </c>
      <c r="T2039" s="152" t="s">
        <v>786</v>
      </c>
    </row>
    <row r="2040" spans="3:20">
      <c r="C2040" s="152" t="s">
        <v>2821</v>
      </c>
      <c r="F2040" s="152" t="s">
        <v>372</v>
      </c>
      <c r="G2040" s="152" t="s">
        <v>309</v>
      </c>
      <c r="I2040" s="513">
        <v>1339500</v>
      </c>
      <c r="J2040" s="513">
        <v>940</v>
      </c>
      <c r="K2040" s="513">
        <v>1425</v>
      </c>
      <c r="L2040" s="518" t="s">
        <v>3504</v>
      </c>
      <c r="M2040" s="152" t="s">
        <v>1540</v>
      </c>
      <c r="N2040" s="152" t="s">
        <v>1407</v>
      </c>
      <c r="O2040" s="152" t="s">
        <v>5406</v>
      </c>
      <c r="P2040" s="152" t="s">
        <v>5400</v>
      </c>
      <c r="Q2040" s="152" t="s">
        <v>5407</v>
      </c>
      <c r="R2040" s="152" t="s">
        <v>5407</v>
      </c>
      <c r="S2040" s="152" t="s">
        <v>5408</v>
      </c>
      <c r="T2040" s="152" t="s">
        <v>786</v>
      </c>
    </row>
    <row r="2041" spans="3:20">
      <c r="C2041" s="152" t="s">
        <v>2821</v>
      </c>
      <c r="F2041" s="152" t="s">
        <v>372</v>
      </c>
      <c r="G2041" s="152" t="s">
        <v>309</v>
      </c>
      <c r="I2041" s="513">
        <v>441750</v>
      </c>
      <c r="J2041" s="513">
        <v>310</v>
      </c>
      <c r="K2041" s="513">
        <v>1425</v>
      </c>
      <c r="L2041" s="518" t="s">
        <v>3504</v>
      </c>
      <c r="M2041" s="152" t="s">
        <v>1540</v>
      </c>
      <c r="N2041" s="152" t="s">
        <v>1407</v>
      </c>
      <c r="O2041" s="152" t="s">
        <v>5409</v>
      </c>
      <c r="P2041" s="152" t="s">
        <v>5400</v>
      </c>
      <c r="Q2041" s="152" t="s">
        <v>5410</v>
      </c>
      <c r="R2041" s="152" t="s">
        <v>5410</v>
      </c>
      <c r="S2041" s="152" t="s">
        <v>5411</v>
      </c>
      <c r="T2041" s="152" t="s">
        <v>786</v>
      </c>
    </row>
    <row r="2042" spans="3:20">
      <c r="C2042" s="152" t="s">
        <v>2821</v>
      </c>
      <c r="F2042" s="152" t="s">
        <v>372</v>
      </c>
      <c r="G2042" s="152" t="s">
        <v>309</v>
      </c>
      <c r="I2042" s="513">
        <v>1282500</v>
      </c>
      <c r="J2042" s="513">
        <v>900</v>
      </c>
      <c r="K2042" s="513">
        <v>1425</v>
      </c>
      <c r="L2042" s="518" t="s">
        <v>3504</v>
      </c>
      <c r="M2042" s="152" t="s">
        <v>1540</v>
      </c>
      <c r="N2042" s="152" t="s">
        <v>1407</v>
      </c>
      <c r="O2042" s="152" t="s">
        <v>5412</v>
      </c>
      <c r="P2042" s="152" t="s">
        <v>5400</v>
      </c>
      <c r="Q2042" s="152" t="s">
        <v>5413</v>
      </c>
      <c r="R2042" s="152" t="s">
        <v>5413</v>
      </c>
      <c r="S2042" s="152" t="s">
        <v>5414</v>
      </c>
      <c r="T2042" s="152" t="s">
        <v>786</v>
      </c>
    </row>
    <row r="2043" spans="3:20">
      <c r="C2043" s="152" t="s">
        <v>2821</v>
      </c>
      <c r="F2043" s="152" t="s">
        <v>372</v>
      </c>
      <c r="G2043" s="152" t="s">
        <v>309</v>
      </c>
      <c r="I2043" s="513">
        <v>4039875</v>
      </c>
      <c r="J2043" s="513">
        <v>2835</v>
      </c>
      <c r="K2043" s="513">
        <v>1425</v>
      </c>
      <c r="L2043" s="518" t="s">
        <v>3504</v>
      </c>
      <c r="M2043" s="152" t="s">
        <v>1540</v>
      </c>
      <c r="N2043" s="152" t="s">
        <v>1407</v>
      </c>
      <c r="O2043" s="152" t="s">
        <v>5415</v>
      </c>
      <c r="P2043" s="152" t="s">
        <v>5400</v>
      </c>
      <c r="Q2043" s="152" t="s">
        <v>5416</v>
      </c>
      <c r="R2043" s="152" t="s">
        <v>5416</v>
      </c>
      <c r="S2043" s="152" t="s">
        <v>5417</v>
      </c>
      <c r="T2043" s="152" t="s">
        <v>786</v>
      </c>
    </row>
    <row r="2044" spans="3:20">
      <c r="C2044" s="152" t="s">
        <v>2821</v>
      </c>
      <c r="F2044" s="152" t="s">
        <v>372</v>
      </c>
      <c r="G2044" s="152" t="s">
        <v>309</v>
      </c>
      <c r="I2044" s="513">
        <v>712500</v>
      </c>
      <c r="J2044" s="513">
        <v>500</v>
      </c>
      <c r="K2044" s="513">
        <v>1425</v>
      </c>
      <c r="L2044" s="518" t="s">
        <v>3504</v>
      </c>
      <c r="M2044" s="152" t="s">
        <v>1540</v>
      </c>
      <c r="N2044" s="152" t="s">
        <v>1407</v>
      </c>
      <c r="O2044" s="152" t="s">
        <v>5418</v>
      </c>
      <c r="P2044" s="152" t="s">
        <v>5400</v>
      </c>
      <c r="Q2044" s="152" t="s">
        <v>5419</v>
      </c>
      <c r="R2044" s="152" t="s">
        <v>5419</v>
      </c>
      <c r="S2044" s="152" t="s">
        <v>5420</v>
      </c>
      <c r="T2044" s="152" t="s">
        <v>786</v>
      </c>
    </row>
    <row r="2045" spans="3:20">
      <c r="C2045" s="152" t="s">
        <v>2821</v>
      </c>
      <c r="F2045" s="152" t="s">
        <v>372</v>
      </c>
      <c r="G2045" s="152" t="s">
        <v>309</v>
      </c>
      <c r="I2045" s="513">
        <v>712500</v>
      </c>
      <c r="J2045" s="513">
        <v>500</v>
      </c>
      <c r="K2045" s="513">
        <v>1425</v>
      </c>
      <c r="L2045" s="518" t="s">
        <v>3504</v>
      </c>
      <c r="M2045" s="152" t="s">
        <v>1540</v>
      </c>
      <c r="N2045" s="152" t="s">
        <v>1407</v>
      </c>
      <c r="O2045" s="152" t="s">
        <v>5421</v>
      </c>
      <c r="P2045" s="152" t="s">
        <v>5400</v>
      </c>
      <c r="Q2045" s="152" t="s">
        <v>5422</v>
      </c>
      <c r="R2045" s="152" t="s">
        <v>5422</v>
      </c>
      <c r="S2045" s="152" t="s">
        <v>5423</v>
      </c>
      <c r="T2045" s="152" t="s">
        <v>786</v>
      </c>
    </row>
    <row r="2046" spans="3:20">
      <c r="C2046" s="152" t="s">
        <v>2821</v>
      </c>
      <c r="F2046" s="152" t="s">
        <v>372</v>
      </c>
      <c r="G2046" s="152" t="s">
        <v>309</v>
      </c>
      <c r="I2046" s="513">
        <v>997500</v>
      </c>
      <c r="J2046" s="513">
        <v>700</v>
      </c>
      <c r="K2046" s="513">
        <v>1425</v>
      </c>
      <c r="L2046" s="518" t="s">
        <v>3504</v>
      </c>
      <c r="M2046" s="152" t="s">
        <v>1540</v>
      </c>
      <c r="N2046" s="152" t="s">
        <v>1407</v>
      </c>
      <c r="O2046" s="152" t="s">
        <v>5424</v>
      </c>
      <c r="P2046" s="152" t="s">
        <v>5400</v>
      </c>
      <c r="Q2046" s="152" t="s">
        <v>5425</v>
      </c>
      <c r="R2046" s="152" t="s">
        <v>5425</v>
      </c>
      <c r="S2046" s="152" t="s">
        <v>5426</v>
      </c>
      <c r="T2046" s="152" t="s">
        <v>786</v>
      </c>
    </row>
    <row r="2047" spans="3:20">
      <c r="C2047" s="152" t="s">
        <v>2821</v>
      </c>
      <c r="F2047" s="152" t="s">
        <v>372</v>
      </c>
      <c r="G2047" s="152" t="s">
        <v>309</v>
      </c>
      <c r="I2047" s="513">
        <v>2137500</v>
      </c>
      <c r="J2047" s="513">
        <v>1500</v>
      </c>
      <c r="K2047" s="513">
        <v>1425</v>
      </c>
      <c r="L2047" s="518" t="s">
        <v>3504</v>
      </c>
      <c r="M2047" s="152" t="s">
        <v>1540</v>
      </c>
      <c r="N2047" s="152" t="s">
        <v>1407</v>
      </c>
      <c r="O2047" s="152" t="s">
        <v>5427</v>
      </c>
      <c r="P2047" s="152" t="s">
        <v>5400</v>
      </c>
      <c r="Q2047" s="152" t="s">
        <v>5428</v>
      </c>
      <c r="R2047" s="152" t="s">
        <v>5428</v>
      </c>
      <c r="S2047" s="152" t="s">
        <v>5429</v>
      </c>
      <c r="T2047" s="152" t="s">
        <v>786</v>
      </c>
    </row>
    <row r="2048" spans="3:20">
      <c r="C2048" s="152" t="s">
        <v>2821</v>
      </c>
      <c r="F2048" s="152" t="s">
        <v>372</v>
      </c>
      <c r="G2048" s="152" t="s">
        <v>309</v>
      </c>
      <c r="I2048" s="513">
        <v>1567500</v>
      </c>
      <c r="J2048" s="513">
        <v>1100</v>
      </c>
      <c r="K2048" s="513">
        <v>1425</v>
      </c>
      <c r="L2048" s="518" t="s">
        <v>3504</v>
      </c>
      <c r="M2048" s="152" t="s">
        <v>1540</v>
      </c>
      <c r="N2048" s="152" t="s">
        <v>1407</v>
      </c>
      <c r="O2048" s="152" t="s">
        <v>5430</v>
      </c>
      <c r="P2048" s="152" t="s">
        <v>5400</v>
      </c>
      <c r="Q2048" s="152" t="s">
        <v>5431</v>
      </c>
      <c r="R2048" s="152" t="s">
        <v>5431</v>
      </c>
      <c r="S2048" s="152" t="s">
        <v>5432</v>
      </c>
      <c r="T2048" s="152" t="s">
        <v>786</v>
      </c>
    </row>
    <row r="2049" spans="3:20">
      <c r="C2049" s="152" t="s">
        <v>2821</v>
      </c>
      <c r="F2049" s="152" t="s">
        <v>372</v>
      </c>
      <c r="G2049" s="152" t="s">
        <v>309</v>
      </c>
      <c r="I2049" s="513">
        <v>1137599.9993</v>
      </c>
      <c r="J2049" s="513">
        <v>798.31578898245596</v>
      </c>
      <c r="K2049" s="513">
        <v>1425</v>
      </c>
      <c r="L2049" s="518" t="s">
        <v>3504</v>
      </c>
      <c r="M2049" s="152" t="s">
        <v>1540</v>
      </c>
      <c r="N2049" s="152" t="s">
        <v>1407</v>
      </c>
      <c r="O2049" s="152" t="s">
        <v>5433</v>
      </c>
      <c r="P2049" s="152" t="s">
        <v>5400</v>
      </c>
      <c r="Q2049" s="152" t="s">
        <v>5434</v>
      </c>
      <c r="R2049" s="152" t="s">
        <v>5434</v>
      </c>
      <c r="S2049" s="152" t="s">
        <v>5435</v>
      </c>
      <c r="T2049" s="152" t="s">
        <v>786</v>
      </c>
    </row>
    <row r="2050" spans="3:20">
      <c r="C2050" s="152" t="s">
        <v>2821</v>
      </c>
      <c r="F2050" s="152" t="s">
        <v>372</v>
      </c>
      <c r="G2050" s="152" t="s">
        <v>309</v>
      </c>
      <c r="I2050" s="513">
        <v>3473437.4994000001</v>
      </c>
      <c r="J2050" s="513">
        <v>2454.7261479858698</v>
      </c>
      <c r="K2050" s="513">
        <v>1415</v>
      </c>
      <c r="L2050" s="518" t="s">
        <v>3511</v>
      </c>
      <c r="M2050" s="152" t="s">
        <v>1540</v>
      </c>
      <c r="N2050" s="152" t="s">
        <v>1407</v>
      </c>
      <c r="O2050" s="152" t="s">
        <v>5436</v>
      </c>
      <c r="P2050" s="152" t="s">
        <v>5400</v>
      </c>
      <c r="Q2050" s="152" t="s">
        <v>5437</v>
      </c>
      <c r="R2050" s="152" t="s">
        <v>5437</v>
      </c>
      <c r="S2050" s="152" t="s">
        <v>5438</v>
      </c>
      <c r="T2050" s="152" t="s">
        <v>786</v>
      </c>
    </row>
    <row r="2051" spans="3:20">
      <c r="C2051" s="152" t="s">
        <v>2821</v>
      </c>
      <c r="F2051" s="152" t="s">
        <v>372</v>
      </c>
      <c r="G2051" s="152" t="s">
        <v>309</v>
      </c>
      <c r="I2051" s="513">
        <v>849000</v>
      </c>
      <c r="J2051" s="513">
        <v>600</v>
      </c>
      <c r="K2051" s="513">
        <v>1415</v>
      </c>
      <c r="L2051" s="518" t="s">
        <v>3511</v>
      </c>
      <c r="M2051" s="152" t="s">
        <v>1540</v>
      </c>
      <c r="N2051" s="152" t="s">
        <v>1407</v>
      </c>
      <c r="O2051" s="152" t="s">
        <v>5439</v>
      </c>
      <c r="P2051" s="152" t="s">
        <v>5400</v>
      </c>
      <c r="Q2051" s="152" t="s">
        <v>5440</v>
      </c>
      <c r="R2051" s="152" t="s">
        <v>5440</v>
      </c>
      <c r="S2051" s="152" t="s">
        <v>5441</v>
      </c>
      <c r="T2051" s="152" t="s">
        <v>786</v>
      </c>
    </row>
    <row r="2052" spans="3:20">
      <c r="C2052" s="152" t="s">
        <v>2821</v>
      </c>
      <c r="F2052" s="152" t="s">
        <v>372</v>
      </c>
      <c r="G2052" s="152" t="s">
        <v>309</v>
      </c>
      <c r="I2052" s="513">
        <v>1273500</v>
      </c>
      <c r="J2052" s="513">
        <v>900</v>
      </c>
      <c r="K2052" s="513">
        <v>1415</v>
      </c>
      <c r="L2052" s="518" t="s">
        <v>3511</v>
      </c>
      <c r="M2052" s="152" t="s">
        <v>1540</v>
      </c>
      <c r="N2052" s="152" t="s">
        <v>1407</v>
      </c>
      <c r="O2052" s="152" t="s">
        <v>5442</v>
      </c>
      <c r="P2052" s="152" t="s">
        <v>5400</v>
      </c>
      <c r="Q2052" s="152" t="s">
        <v>5443</v>
      </c>
      <c r="R2052" s="152" t="s">
        <v>5443</v>
      </c>
      <c r="S2052" s="152" t="s">
        <v>5444</v>
      </c>
      <c r="T2052" s="152" t="s">
        <v>786</v>
      </c>
    </row>
    <row r="2053" spans="3:20">
      <c r="C2053" s="152" t="s">
        <v>2821</v>
      </c>
      <c r="F2053" s="152" t="s">
        <v>372</v>
      </c>
      <c r="G2053" s="152" t="s">
        <v>309</v>
      </c>
      <c r="I2053" s="513">
        <v>1556500</v>
      </c>
      <c r="J2053" s="513">
        <v>1100</v>
      </c>
      <c r="K2053" s="513">
        <v>1415</v>
      </c>
      <c r="L2053" s="518" t="s">
        <v>3511</v>
      </c>
      <c r="M2053" s="152" t="s">
        <v>1540</v>
      </c>
      <c r="N2053" s="152" t="s">
        <v>1407</v>
      </c>
      <c r="O2053" s="152" t="s">
        <v>5445</v>
      </c>
      <c r="P2053" s="152" t="s">
        <v>5400</v>
      </c>
      <c r="Q2053" s="152" t="s">
        <v>5446</v>
      </c>
      <c r="R2053" s="152" t="s">
        <v>5446</v>
      </c>
      <c r="S2053" s="152" t="s">
        <v>5447</v>
      </c>
      <c r="T2053" s="152" t="s">
        <v>786</v>
      </c>
    </row>
    <row r="2054" spans="3:20">
      <c r="C2054" s="152" t="s">
        <v>2821</v>
      </c>
      <c r="F2054" s="152" t="s">
        <v>372</v>
      </c>
      <c r="G2054" s="152" t="s">
        <v>309</v>
      </c>
      <c r="I2054" s="513">
        <v>2547000</v>
      </c>
      <c r="J2054" s="513">
        <v>1800</v>
      </c>
      <c r="K2054" s="513">
        <v>1415</v>
      </c>
      <c r="L2054" s="518" t="s">
        <v>3511</v>
      </c>
      <c r="M2054" s="152" t="s">
        <v>1540</v>
      </c>
      <c r="N2054" s="152" t="s">
        <v>1407</v>
      </c>
      <c r="O2054" s="152" t="s">
        <v>5448</v>
      </c>
      <c r="P2054" s="152" t="s">
        <v>5400</v>
      </c>
      <c r="Q2054" s="152" t="s">
        <v>5449</v>
      </c>
      <c r="R2054" s="152" t="s">
        <v>5449</v>
      </c>
      <c r="S2054" s="152" t="s">
        <v>5450</v>
      </c>
      <c r="T2054" s="152" t="s">
        <v>786</v>
      </c>
    </row>
    <row r="2055" spans="3:20">
      <c r="C2055" s="152" t="s">
        <v>2821</v>
      </c>
      <c r="F2055" s="152" t="s">
        <v>372</v>
      </c>
      <c r="G2055" s="152" t="s">
        <v>309</v>
      </c>
      <c r="I2055" s="513">
        <v>1415000</v>
      </c>
      <c r="J2055" s="513">
        <v>1000</v>
      </c>
      <c r="K2055" s="513">
        <v>1415</v>
      </c>
      <c r="L2055" s="518" t="s">
        <v>3511</v>
      </c>
      <c r="M2055" s="152" t="s">
        <v>1540</v>
      </c>
      <c r="N2055" s="152" t="s">
        <v>1407</v>
      </c>
      <c r="O2055" s="152" t="s">
        <v>5451</v>
      </c>
      <c r="P2055" s="152" t="s">
        <v>5400</v>
      </c>
      <c r="Q2055" s="152" t="s">
        <v>5452</v>
      </c>
      <c r="R2055" s="152" t="s">
        <v>5452</v>
      </c>
      <c r="S2055" s="152" t="s">
        <v>5453</v>
      </c>
      <c r="T2055" s="152" t="s">
        <v>786</v>
      </c>
    </row>
    <row r="2056" spans="3:20">
      <c r="C2056" s="152" t="s">
        <v>2821</v>
      </c>
      <c r="F2056" s="152" t="s">
        <v>372</v>
      </c>
      <c r="G2056" s="152" t="s">
        <v>309</v>
      </c>
      <c r="I2056" s="513">
        <v>3102000</v>
      </c>
      <c r="J2056" s="513">
        <v>2200</v>
      </c>
      <c r="K2056" s="513">
        <v>1410</v>
      </c>
      <c r="L2056" s="518" t="s">
        <v>3498</v>
      </c>
      <c r="M2056" s="152" t="s">
        <v>1540</v>
      </c>
      <c r="N2056" s="152" t="s">
        <v>1407</v>
      </c>
      <c r="O2056" s="152" t="s">
        <v>5460</v>
      </c>
      <c r="P2056" s="152" t="s">
        <v>5400</v>
      </c>
      <c r="Q2056" s="152" t="s">
        <v>5461</v>
      </c>
      <c r="R2056" s="152" t="s">
        <v>5461</v>
      </c>
      <c r="S2056" s="152" t="s">
        <v>5462</v>
      </c>
      <c r="T2056" s="152" t="s">
        <v>786</v>
      </c>
    </row>
    <row r="2057" spans="3:20">
      <c r="C2057" s="152" t="s">
        <v>2821</v>
      </c>
      <c r="F2057" s="152" t="s">
        <v>372</v>
      </c>
      <c r="G2057" s="152" t="s">
        <v>309</v>
      </c>
      <c r="I2057" s="513">
        <v>1269000</v>
      </c>
      <c r="J2057" s="513">
        <v>900</v>
      </c>
      <c r="K2057" s="513">
        <v>1410</v>
      </c>
      <c r="L2057" s="518" t="s">
        <v>3498</v>
      </c>
      <c r="M2057" s="152" t="s">
        <v>1540</v>
      </c>
      <c r="N2057" s="152" t="s">
        <v>1407</v>
      </c>
      <c r="O2057" s="152" t="s">
        <v>5463</v>
      </c>
      <c r="P2057" s="152" t="s">
        <v>5400</v>
      </c>
      <c r="Q2057" s="152" t="s">
        <v>5464</v>
      </c>
      <c r="R2057" s="152" t="s">
        <v>5464</v>
      </c>
      <c r="S2057" s="152" t="s">
        <v>5465</v>
      </c>
      <c r="T2057" s="152" t="s">
        <v>786</v>
      </c>
    </row>
    <row r="2058" spans="3:20">
      <c r="C2058" s="152" t="s">
        <v>2821</v>
      </c>
      <c r="F2058" s="152" t="s">
        <v>372</v>
      </c>
      <c r="G2058" s="152" t="s">
        <v>309</v>
      </c>
      <c r="I2058" s="513">
        <v>1198500</v>
      </c>
      <c r="J2058" s="513">
        <v>850</v>
      </c>
      <c r="K2058" s="513">
        <v>1410</v>
      </c>
      <c r="L2058" s="518" t="s">
        <v>3498</v>
      </c>
      <c r="M2058" s="152" t="s">
        <v>1540</v>
      </c>
      <c r="N2058" s="152" t="s">
        <v>1407</v>
      </c>
      <c r="O2058" s="152" t="s">
        <v>5466</v>
      </c>
      <c r="P2058" s="152" t="s">
        <v>5400</v>
      </c>
      <c r="Q2058" s="152" t="s">
        <v>5467</v>
      </c>
      <c r="R2058" s="152" t="s">
        <v>5467</v>
      </c>
      <c r="S2058" s="152" t="s">
        <v>5468</v>
      </c>
      <c r="T2058" s="152" t="s">
        <v>786</v>
      </c>
    </row>
    <row r="2059" spans="3:20">
      <c r="C2059" s="152" t="s">
        <v>2821</v>
      </c>
      <c r="F2059" s="152" t="s">
        <v>372</v>
      </c>
      <c r="G2059" s="152" t="s">
        <v>309</v>
      </c>
      <c r="I2059" s="513">
        <v>2820000</v>
      </c>
      <c r="J2059" s="513">
        <v>2000</v>
      </c>
      <c r="K2059" s="513">
        <v>1410</v>
      </c>
      <c r="L2059" s="518" t="s">
        <v>3498</v>
      </c>
      <c r="M2059" s="152" t="s">
        <v>1540</v>
      </c>
      <c r="N2059" s="152" t="s">
        <v>1407</v>
      </c>
      <c r="O2059" s="152" t="s">
        <v>5469</v>
      </c>
      <c r="P2059" s="152" t="s">
        <v>5400</v>
      </c>
      <c r="Q2059" s="152" t="s">
        <v>5470</v>
      </c>
      <c r="R2059" s="152" t="s">
        <v>5470</v>
      </c>
      <c r="S2059" s="152" t="s">
        <v>5471</v>
      </c>
      <c r="T2059" s="152" t="s">
        <v>786</v>
      </c>
    </row>
    <row r="2060" spans="3:20">
      <c r="C2060" s="152" t="s">
        <v>2821</v>
      </c>
      <c r="F2060" s="152" t="s">
        <v>372</v>
      </c>
      <c r="G2060" s="152" t="s">
        <v>309</v>
      </c>
      <c r="I2060" s="513">
        <v>2463975</v>
      </c>
      <c r="J2060" s="513">
        <v>1747.5</v>
      </c>
      <c r="K2060" s="513">
        <v>1410</v>
      </c>
      <c r="L2060" s="518" t="s">
        <v>3498</v>
      </c>
      <c r="M2060" s="152" t="s">
        <v>1540</v>
      </c>
      <c r="N2060" s="152" t="s">
        <v>1407</v>
      </c>
      <c r="O2060" s="152" t="s">
        <v>5472</v>
      </c>
      <c r="P2060" s="152" t="s">
        <v>5400</v>
      </c>
      <c r="Q2060" s="152" t="s">
        <v>5473</v>
      </c>
      <c r="R2060" s="152" t="s">
        <v>5473</v>
      </c>
      <c r="S2060" s="152" t="s">
        <v>5474</v>
      </c>
      <c r="T2060" s="152" t="s">
        <v>786</v>
      </c>
    </row>
    <row r="2061" spans="3:20">
      <c r="C2061" s="152" t="s">
        <v>2821</v>
      </c>
      <c r="F2061" s="152" t="s">
        <v>372</v>
      </c>
      <c r="G2061" s="152" t="s">
        <v>309</v>
      </c>
      <c r="I2061" s="513">
        <v>4230000</v>
      </c>
      <c r="J2061" s="513">
        <v>3000</v>
      </c>
      <c r="K2061" s="513">
        <v>1410</v>
      </c>
      <c r="L2061" s="518" t="s">
        <v>3498</v>
      </c>
      <c r="M2061" s="152" t="s">
        <v>1540</v>
      </c>
      <c r="N2061" s="152" t="s">
        <v>1407</v>
      </c>
      <c r="O2061" s="152" t="s">
        <v>5475</v>
      </c>
      <c r="P2061" s="152" t="s">
        <v>5400</v>
      </c>
      <c r="Q2061" s="152" t="s">
        <v>5476</v>
      </c>
      <c r="R2061" s="152" t="s">
        <v>5476</v>
      </c>
      <c r="S2061" s="152" t="s">
        <v>5477</v>
      </c>
      <c r="T2061" s="152" t="s">
        <v>786</v>
      </c>
    </row>
    <row r="2062" spans="3:20">
      <c r="C2062" s="152" t="s">
        <v>2821</v>
      </c>
      <c r="F2062" s="152" t="s">
        <v>372</v>
      </c>
      <c r="G2062" s="152" t="s">
        <v>309</v>
      </c>
      <c r="I2062" s="513">
        <v>6087675</v>
      </c>
      <c r="J2062" s="513">
        <v>4317.5</v>
      </c>
      <c r="K2062" s="513">
        <v>1410</v>
      </c>
      <c r="L2062" s="518" t="s">
        <v>3498</v>
      </c>
      <c r="M2062" s="152" t="s">
        <v>1540</v>
      </c>
      <c r="N2062" s="152" t="s">
        <v>1407</v>
      </c>
      <c r="O2062" s="152" t="s">
        <v>5478</v>
      </c>
      <c r="P2062" s="152" t="s">
        <v>5400</v>
      </c>
      <c r="Q2062" s="152" t="s">
        <v>5479</v>
      </c>
      <c r="R2062" s="152" t="s">
        <v>5479</v>
      </c>
      <c r="S2062" s="152" t="s">
        <v>5480</v>
      </c>
      <c r="T2062" s="152" t="s">
        <v>786</v>
      </c>
    </row>
    <row r="2063" spans="3:20">
      <c r="C2063" s="152" t="s">
        <v>2821</v>
      </c>
      <c r="F2063" s="152" t="s">
        <v>372</v>
      </c>
      <c r="G2063" s="152" t="s">
        <v>309</v>
      </c>
      <c r="I2063" s="513">
        <v>2115000</v>
      </c>
      <c r="J2063" s="513">
        <v>1500</v>
      </c>
      <c r="K2063" s="513">
        <v>1410</v>
      </c>
      <c r="L2063" s="518" t="s">
        <v>3498</v>
      </c>
      <c r="M2063" s="152" t="s">
        <v>1540</v>
      </c>
      <c r="N2063" s="152" t="s">
        <v>1407</v>
      </c>
      <c r="O2063" s="152" t="s">
        <v>5481</v>
      </c>
      <c r="P2063" s="152" t="s">
        <v>5400</v>
      </c>
      <c r="Q2063" s="152" t="s">
        <v>5482</v>
      </c>
      <c r="R2063" s="152" t="s">
        <v>5482</v>
      </c>
      <c r="S2063" s="152" t="s">
        <v>5483</v>
      </c>
      <c r="T2063" s="152" t="s">
        <v>786</v>
      </c>
    </row>
    <row r="2064" spans="3:20">
      <c r="C2064" s="152" t="s">
        <v>2821</v>
      </c>
      <c r="F2064" s="152" t="s">
        <v>372</v>
      </c>
      <c r="G2064" s="152" t="s">
        <v>309</v>
      </c>
      <c r="I2064" s="513">
        <v>3789375</v>
      </c>
      <c r="J2064" s="513">
        <v>2687.5</v>
      </c>
      <c r="K2064" s="513">
        <v>1410</v>
      </c>
      <c r="L2064" s="518" t="s">
        <v>3498</v>
      </c>
      <c r="M2064" s="152" t="s">
        <v>1540</v>
      </c>
      <c r="N2064" s="152" t="s">
        <v>1407</v>
      </c>
      <c r="O2064" s="152" t="s">
        <v>5484</v>
      </c>
      <c r="P2064" s="152" t="s">
        <v>5400</v>
      </c>
      <c r="Q2064" s="152" t="s">
        <v>5485</v>
      </c>
      <c r="R2064" s="152" t="s">
        <v>5485</v>
      </c>
      <c r="S2064" s="152" t="s">
        <v>5486</v>
      </c>
      <c r="T2064" s="152" t="s">
        <v>786</v>
      </c>
    </row>
    <row r="2065" spans="3:20">
      <c r="C2065" s="152" t="s">
        <v>2821</v>
      </c>
      <c r="F2065" s="152" t="s">
        <v>372</v>
      </c>
      <c r="G2065" s="152" t="s">
        <v>309</v>
      </c>
      <c r="I2065" s="513">
        <v>5358000</v>
      </c>
      <c r="J2065" s="513">
        <v>3800</v>
      </c>
      <c r="K2065" s="513">
        <v>1410</v>
      </c>
      <c r="L2065" s="518" t="s">
        <v>3498</v>
      </c>
      <c r="M2065" s="152" t="s">
        <v>1540</v>
      </c>
      <c r="N2065" s="152" t="s">
        <v>1407</v>
      </c>
      <c r="O2065" s="152" t="s">
        <v>5487</v>
      </c>
      <c r="P2065" s="152" t="s">
        <v>5400</v>
      </c>
      <c r="Q2065" s="152" t="s">
        <v>5488</v>
      </c>
      <c r="R2065" s="152" t="s">
        <v>5488</v>
      </c>
      <c r="S2065" s="152" t="s">
        <v>5489</v>
      </c>
      <c r="T2065" s="152" t="s">
        <v>786</v>
      </c>
    </row>
    <row r="2066" spans="3:20">
      <c r="C2066" s="152" t="s">
        <v>2821</v>
      </c>
      <c r="F2066" s="152" t="s">
        <v>372</v>
      </c>
      <c r="G2066" s="152" t="s">
        <v>309</v>
      </c>
      <c r="I2066" s="513">
        <v>4371000</v>
      </c>
      <c r="J2066" s="513">
        <v>3100</v>
      </c>
      <c r="K2066" s="513">
        <v>1410</v>
      </c>
      <c r="L2066" s="518" t="s">
        <v>3498</v>
      </c>
      <c r="M2066" s="152" t="s">
        <v>1540</v>
      </c>
      <c r="N2066" s="152" t="s">
        <v>1407</v>
      </c>
      <c r="O2066" s="152" t="s">
        <v>5490</v>
      </c>
      <c r="P2066" s="152" t="s">
        <v>5400</v>
      </c>
      <c r="Q2066" s="152" t="s">
        <v>5491</v>
      </c>
      <c r="R2066" s="152" t="s">
        <v>5491</v>
      </c>
      <c r="S2066" s="152" t="s">
        <v>5492</v>
      </c>
      <c r="T2066" s="152" t="s">
        <v>786</v>
      </c>
    </row>
    <row r="2067" spans="3:20">
      <c r="C2067" s="152" t="s">
        <v>2821</v>
      </c>
      <c r="F2067" s="152" t="s">
        <v>372</v>
      </c>
      <c r="G2067" s="152" t="s">
        <v>309</v>
      </c>
      <c r="I2067" s="513">
        <v>3948000</v>
      </c>
      <c r="J2067" s="513">
        <v>2800</v>
      </c>
      <c r="K2067" s="513">
        <v>1410</v>
      </c>
      <c r="L2067" s="518" t="s">
        <v>3498</v>
      </c>
      <c r="M2067" s="152" t="s">
        <v>1540</v>
      </c>
      <c r="N2067" s="152" t="s">
        <v>1407</v>
      </c>
      <c r="O2067" s="152" t="s">
        <v>5493</v>
      </c>
      <c r="P2067" s="152" t="s">
        <v>5400</v>
      </c>
      <c r="Q2067" s="152" t="s">
        <v>5494</v>
      </c>
      <c r="R2067" s="152" t="s">
        <v>5494</v>
      </c>
      <c r="S2067" s="152" t="s">
        <v>5495</v>
      </c>
      <c r="T2067" s="152" t="s">
        <v>786</v>
      </c>
    </row>
    <row r="2068" spans="3:20">
      <c r="C2068" s="152" t="s">
        <v>2821</v>
      </c>
      <c r="F2068" s="152" t="s">
        <v>372</v>
      </c>
      <c r="G2068" s="152" t="s">
        <v>309</v>
      </c>
      <c r="I2068" s="513">
        <v>1410000</v>
      </c>
      <c r="J2068" s="513">
        <v>1000</v>
      </c>
      <c r="K2068" s="513">
        <v>1410</v>
      </c>
      <c r="L2068" s="518" t="s">
        <v>3498</v>
      </c>
      <c r="M2068" s="152" t="s">
        <v>1540</v>
      </c>
      <c r="N2068" s="152" t="s">
        <v>1407</v>
      </c>
      <c r="O2068" s="152" t="s">
        <v>5496</v>
      </c>
      <c r="P2068" s="152" t="s">
        <v>5400</v>
      </c>
      <c r="Q2068" s="152" t="s">
        <v>5497</v>
      </c>
      <c r="R2068" s="152" t="s">
        <v>5497</v>
      </c>
      <c r="S2068" s="152" t="s">
        <v>5498</v>
      </c>
      <c r="T2068" s="152" t="s">
        <v>786</v>
      </c>
    </row>
    <row r="2069" spans="3:20">
      <c r="C2069" s="152" t="s">
        <v>2821</v>
      </c>
      <c r="F2069" s="152" t="s">
        <v>372</v>
      </c>
      <c r="G2069" s="152" t="s">
        <v>309</v>
      </c>
      <c r="I2069" s="513">
        <v>2749500</v>
      </c>
      <c r="J2069" s="513">
        <v>1950</v>
      </c>
      <c r="K2069" s="513">
        <v>1410</v>
      </c>
      <c r="L2069" s="518" t="s">
        <v>3498</v>
      </c>
      <c r="M2069" s="152" t="s">
        <v>1540</v>
      </c>
      <c r="N2069" s="152" t="s">
        <v>1407</v>
      </c>
      <c r="O2069" s="152" t="s">
        <v>5499</v>
      </c>
      <c r="P2069" s="152" t="s">
        <v>5400</v>
      </c>
      <c r="Q2069" s="152" t="s">
        <v>5500</v>
      </c>
      <c r="R2069" s="152" t="s">
        <v>5500</v>
      </c>
      <c r="S2069" s="152" t="s">
        <v>5501</v>
      </c>
      <c r="T2069" s="152" t="s">
        <v>786</v>
      </c>
    </row>
    <row r="2070" spans="3:20">
      <c r="C2070" s="152" t="s">
        <v>2821</v>
      </c>
      <c r="F2070" s="152" t="s">
        <v>372</v>
      </c>
      <c r="G2070" s="152" t="s">
        <v>309</v>
      </c>
      <c r="I2070" s="513">
        <v>3281775</v>
      </c>
      <c r="J2070" s="513">
        <v>2327.5</v>
      </c>
      <c r="K2070" s="513">
        <v>1410</v>
      </c>
      <c r="L2070" s="518" t="s">
        <v>3498</v>
      </c>
      <c r="M2070" s="152" t="s">
        <v>1540</v>
      </c>
      <c r="N2070" s="152" t="s">
        <v>1407</v>
      </c>
      <c r="O2070" s="152" t="s">
        <v>5502</v>
      </c>
      <c r="P2070" s="152" t="s">
        <v>5400</v>
      </c>
      <c r="Q2070" s="152" t="s">
        <v>5503</v>
      </c>
      <c r="R2070" s="152" t="s">
        <v>5503</v>
      </c>
      <c r="S2070" s="152" t="s">
        <v>5504</v>
      </c>
      <c r="T2070" s="152" t="s">
        <v>786</v>
      </c>
    </row>
    <row r="2071" spans="3:20">
      <c r="C2071" s="152" t="s">
        <v>2821</v>
      </c>
      <c r="F2071" s="152" t="s">
        <v>372</v>
      </c>
      <c r="G2071" s="152" t="s">
        <v>309</v>
      </c>
      <c r="I2071" s="513">
        <v>1057500</v>
      </c>
      <c r="J2071" s="513">
        <v>750</v>
      </c>
      <c r="K2071" s="513">
        <v>1410</v>
      </c>
      <c r="L2071" s="518" t="s">
        <v>3498</v>
      </c>
      <c r="M2071" s="152" t="s">
        <v>1540</v>
      </c>
      <c r="N2071" s="152" t="s">
        <v>1407</v>
      </c>
      <c r="O2071" s="152" t="s">
        <v>5505</v>
      </c>
      <c r="P2071" s="152" t="s">
        <v>5400</v>
      </c>
      <c r="Q2071" s="152" t="s">
        <v>5506</v>
      </c>
      <c r="R2071" s="152" t="s">
        <v>5506</v>
      </c>
      <c r="S2071" s="152" t="s">
        <v>5507</v>
      </c>
      <c r="T2071" s="152" t="s">
        <v>786</v>
      </c>
    </row>
    <row r="2072" spans="3:20">
      <c r="C2072" s="152" t="s">
        <v>2821</v>
      </c>
      <c r="F2072" s="152" t="s">
        <v>372</v>
      </c>
      <c r="G2072" s="152" t="s">
        <v>309</v>
      </c>
      <c r="I2072" s="513">
        <v>1551000</v>
      </c>
      <c r="J2072" s="513">
        <v>1100</v>
      </c>
      <c r="K2072" s="513">
        <v>1410</v>
      </c>
      <c r="L2072" s="518" t="s">
        <v>3498</v>
      </c>
      <c r="M2072" s="152" t="s">
        <v>1540</v>
      </c>
      <c r="N2072" s="152" t="s">
        <v>1407</v>
      </c>
      <c r="O2072" s="152" t="s">
        <v>5508</v>
      </c>
      <c r="P2072" s="152" t="s">
        <v>5400</v>
      </c>
      <c r="Q2072" s="152" t="s">
        <v>5509</v>
      </c>
      <c r="R2072" s="152" t="s">
        <v>5509</v>
      </c>
      <c r="S2072" s="152" t="s">
        <v>5510</v>
      </c>
      <c r="T2072" s="152" t="s">
        <v>786</v>
      </c>
    </row>
    <row r="2073" spans="3:20">
      <c r="C2073" s="152" t="s">
        <v>2821</v>
      </c>
      <c r="F2073" s="152" t="s">
        <v>372</v>
      </c>
      <c r="G2073" s="152" t="s">
        <v>309</v>
      </c>
      <c r="I2073" s="513">
        <v>846000</v>
      </c>
      <c r="J2073" s="513">
        <v>600</v>
      </c>
      <c r="K2073" s="513">
        <v>1410</v>
      </c>
      <c r="L2073" s="518" t="s">
        <v>3498</v>
      </c>
      <c r="M2073" s="152" t="s">
        <v>1540</v>
      </c>
      <c r="N2073" s="152" t="s">
        <v>1407</v>
      </c>
      <c r="O2073" s="152" t="s">
        <v>5511</v>
      </c>
      <c r="P2073" s="152" t="s">
        <v>5400</v>
      </c>
      <c r="Q2073" s="152" t="s">
        <v>5512</v>
      </c>
      <c r="R2073" s="152" t="s">
        <v>5512</v>
      </c>
      <c r="S2073" s="152" t="s">
        <v>5513</v>
      </c>
      <c r="T2073" s="152" t="s">
        <v>786</v>
      </c>
    </row>
    <row r="2074" spans="3:20">
      <c r="C2074" s="152" t="s">
        <v>2821</v>
      </c>
      <c r="F2074" s="152" t="s">
        <v>372</v>
      </c>
      <c r="G2074" s="152" t="s">
        <v>309</v>
      </c>
      <c r="I2074" s="513">
        <v>1410000</v>
      </c>
      <c r="J2074" s="513">
        <v>1000</v>
      </c>
      <c r="K2074" s="513">
        <v>1410</v>
      </c>
      <c r="L2074" s="518" t="s">
        <v>3498</v>
      </c>
      <c r="M2074" s="152" t="s">
        <v>1540</v>
      </c>
      <c r="N2074" s="152" t="s">
        <v>1407</v>
      </c>
      <c r="O2074" s="152" t="s">
        <v>5514</v>
      </c>
      <c r="P2074" s="152" t="s">
        <v>5400</v>
      </c>
      <c r="Q2074" s="152" t="s">
        <v>5515</v>
      </c>
      <c r="R2074" s="152" t="s">
        <v>5515</v>
      </c>
      <c r="S2074" s="152" t="s">
        <v>5516</v>
      </c>
      <c r="T2074" s="152" t="s">
        <v>786</v>
      </c>
    </row>
    <row r="2075" spans="3:20">
      <c r="C2075" s="152" t="s">
        <v>2821</v>
      </c>
      <c r="F2075" s="152" t="s">
        <v>372</v>
      </c>
      <c r="G2075" s="152" t="s">
        <v>309</v>
      </c>
      <c r="I2075" s="513">
        <v>-1137599.9993</v>
      </c>
      <c r="J2075" s="513">
        <v>-798.31578898245596</v>
      </c>
      <c r="K2075" s="513">
        <v>1425</v>
      </c>
      <c r="L2075" s="518" t="s">
        <v>3504</v>
      </c>
      <c r="M2075" s="152" t="s">
        <v>1540</v>
      </c>
      <c r="N2075" s="152" t="s">
        <v>1407</v>
      </c>
      <c r="O2075" s="152" t="s">
        <v>5667</v>
      </c>
      <c r="P2075" s="152" t="s">
        <v>5400</v>
      </c>
      <c r="Q2075" s="152" t="s">
        <v>5668</v>
      </c>
      <c r="R2075" s="152" t="s">
        <v>5668</v>
      </c>
      <c r="S2075" s="152" t="s">
        <v>5669</v>
      </c>
      <c r="T2075" s="152" t="s">
        <v>786</v>
      </c>
    </row>
    <row r="2076" spans="3:20">
      <c r="C2076" s="152" t="s">
        <v>2821</v>
      </c>
      <c r="F2076" s="152" t="s">
        <v>372</v>
      </c>
      <c r="G2076" s="152" t="s">
        <v>309</v>
      </c>
      <c r="I2076" s="513">
        <v>2119600</v>
      </c>
      <c r="J2076" s="513">
        <v>1514</v>
      </c>
      <c r="K2076" s="513">
        <v>1400</v>
      </c>
      <c r="L2076" s="518" t="s">
        <v>3659</v>
      </c>
      <c r="M2076" s="152" t="s">
        <v>1540</v>
      </c>
      <c r="N2076" s="152" t="s">
        <v>1407</v>
      </c>
      <c r="O2076" s="152" t="s">
        <v>5673</v>
      </c>
      <c r="P2076" s="152" t="s">
        <v>5400</v>
      </c>
      <c r="Q2076" s="152" t="s">
        <v>5674</v>
      </c>
      <c r="R2076" s="152" t="s">
        <v>5674</v>
      </c>
      <c r="S2076" s="152" t="s">
        <v>5675</v>
      </c>
      <c r="T2076" s="152" t="s">
        <v>786</v>
      </c>
    </row>
    <row r="2077" spans="3:20">
      <c r="C2077" s="152" t="s">
        <v>2821</v>
      </c>
      <c r="F2077" s="152" t="s">
        <v>372</v>
      </c>
      <c r="G2077" s="152" t="s">
        <v>309</v>
      </c>
      <c r="I2077" s="513">
        <v>1680000</v>
      </c>
      <c r="J2077" s="513">
        <v>1200</v>
      </c>
      <c r="K2077" s="513">
        <v>1400</v>
      </c>
      <c r="L2077" s="518" t="s">
        <v>3659</v>
      </c>
      <c r="M2077" s="152" t="s">
        <v>1540</v>
      </c>
      <c r="N2077" s="152" t="s">
        <v>1407</v>
      </c>
      <c r="O2077" s="152" t="s">
        <v>5676</v>
      </c>
      <c r="P2077" s="152" t="s">
        <v>5400</v>
      </c>
      <c r="Q2077" s="152" t="s">
        <v>5677</v>
      </c>
      <c r="R2077" s="152" t="s">
        <v>5677</v>
      </c>
      <c r="S2077" s="152" t="s">
        <v>5678</v>
      </c>
      <c r="T2077" s="152" t="s">
        <v>786</v>
      </c>
    </row>
    <row r="2078" spans="3:20">
      <c r="C2078" s="152" t="s">
        <v>2821</v>
      </c>
      <c r="F2078" s="152" t="s">
        <v>372</v>
      </c>
      <c r="G2078" s="152" t="s">
        <v>309</v>
      </c>
      <c r="I2078" s="513">
        <v>1400000</v>
      </c>
      <c r="J2078" s="513">
        <v>1000</v>
      </c>
      <c r="K2078" s="513">
        <v>1400</v>
      </c>
      <c r="L2078" s="518" t="s">
        <v>3659</v>
      </c>
      <c r="M2078" s="152" t="s">
        <v>1540</v>
      </c>
      <c r="N2078" s="152" t="s">
        <v>1407</v>
      </c>
      <c r="O2078" s="152" t="s">
        <v>5679</v>
      </c>
      <c r="P2078" s="152" t="s">
        <v>5400</v>
      </c>
      <c r="Q2078" s="152" t="s">
        <v>5680</v>
      </c>
      <c r="R2078" s="152" t="s">
        <v>5680</v>
      </c>
      <c r="S2078" s="152" t="s">
        <v>5681</v>
      </c>
      <c r="T2078" s="152" t="s">
        <v>786</v>
      </c>
    </row>
    <row r="2079" spans="3:20">
      <c r="C2079" s="152" t="s">
        <v>2821</v>
      </c>
      <c r="F2079" s="152" t="s">
        <v>372</v>
      </c>
      <c r="G2079" s="152" t="s">
        <v>309</v>
      </c>
      <c r="I2079" s="513">
        <v>2100000</v>
      </c>
      <c r="J2079" s="513">
        <v>1500</v>
      </c>
      <c r="K2079" s="513">
        <v>1400</v>
      </c>
      <c r="L2079" s="518" t="s">
        <v>3659</v>
      </c>
      <c r="M2079" s="152" t="s">
        <v>1540</v>
      </c>
      <c r="N2079" s="152" t="s">
        <v>1407</v>
      </c>
      <c r="O2079" s="152" t="s">
        <v>5682</v>
      </c>
      <c r="P2079" s="152" t="s">
        <v>5400</v>
      </c>
      <c r="Q2079" s="152" t="s">
        <v>5683</v>
      </c>
      <c r="R2079" s="152" t="s">
        <v>5683</v>
      </c>
      <c r="S2079" s="152" t="s">
        <v>5684</v>
      </c>
      <c r="T2079" s="152" t="s">
        <v>786</v>
      </c>
    </row>
    <row r="2080" spans="3:20">
      <c r="C2080" s="152" t="s">
        <v>2821</v>
      </c>
      <c r="F2080" s="152" t="s">
        <v>372</v>
      </c>
      <c r="G2080" s="152" t="s">
        <v>309</v>
      </c>
      <c r="I2080" s="513">
        <v>840000</v>
      </c>
      <c r="J2080" s="513">
        <v>600</v>
      </c>
      <c r="K2080" s="513">
        <v>1400</v>
      </c>
      <c r="L2080" s="518" t="s">
        <v>3659</v>
      </c>
      <c r="M2080" s="152" t="s">
        <v>1540</v>
      </c>
      <c r="N2080" s="152" t="s">
        <v>1407</v>
      </c>
      <c r="O2080" s="152" t="s">
        <v>5685</v>
      </c>
      <c r="P2080" s="152" t="s">
        <v>5400</v>
      </c>
      <c r="Q2080" s="152" t="s">
        <v>5686</v>
      </c>
      <c r="R2080" s="152" t="s">
        <v>5686</v>
      </c>
      <c r="S2080" s="152" t="s">
        <v>5687</v>
      </c>
      <c r="T2080" s="152" t="s">
        <v>786</v>
      </c>
    </row>
    <row r="2081" spans="3:20">
      <c r="C2081" s="152" t="s">
        <v>2821</v>
      </c>
      <c r="F2081" s="152" t="s">
        <v>372</v>
      </c>
      <c r="G2081" s="152" t="s">
        <v>309</v>
      </c>
      <c r="I2081" s="513">
        <v>840000</v>
      </c>
      <c r="J2081" s="513">
        <v>600</v>
      </c>
      <c r="K2081" s="513">
        <v>1400</v>
      </c>
      <c r="L2081" s="518" t="s">
        <v>3659</v>
      </c>
      <c r="M2081" s="152" t="s">
        <v>1540</v>
      </c>
      <c r="N2081" s="152" t="s">
        <v>1407</v>
      </c>
      <c r="O2081" s="152" t="s">
        <v>5688</v>
      </c>
      <c r="P2081" s="152" t="s">
        <v>5400</v>
      </c>
      <c r="Q2081" s="152" t="s">
        <v>5689</v>
      </c>
      <c r="R2081" s="152" t="s">
        <v>5689</v>
      </c>
      <c r="S2081" s="152" t="s">
        <v>5690</v>
      </c>
      <c r="T2081" s="152" t="s">
        <v>786</v>
      </c>
    </row>
    <row r="2082" spans="3:20">
      <c r="C2082" s="152" t="s">
        <v>2821</v>
      </c>
      <c r="F2082" s="152" t="s">
        <v>372</v>
      </c>
      <c r="G2082" s="152" t="s">
        <v>309</v>
      </c>
      <c r="I2082" s="513">
        <v>840000</v>
      </c>
      <c r="J2082" s="513">
        <v>600</v>
      </c>
      <c r="K2082" s="513">
        <v>1400</v>
      </c>
      <c r="L2082" s="518" t="s">
        <v>3659</v>
      </c>
      <c r="M2082" s="152" t="s">
        <v>1540</v>
      </c>
      <c r="N2082" s="152" t="s">
        <v>1407</v>
      </c>
      <c r="O2082" s="152" t="s">
        <v>5691</v>
      </c>
      <c r="P2082" s="152" t="s">
        <v>5400</v>
      </c>
      <c r="Q2082" s="152" t="s">
        <v>5692</v>
      </c>
      <c r="R2082" s="152" t="s">
        <v>5692</v>
      </c>
      <c r="S2082" s="152" t="s">
        <v>5693</v>
      </c>
      <c r="T2082" s="152" t="s">
        <v>786</v>
      </c>
    </row>
    <row r="2083" spans="3:20">
      <c r="C2083" s="152" t="s">
        <v>2821</v>
      </c>
      <c r="F2083" s="152" t="s">
        <v>372</v>
      </c>
      <c r="G2083" s="152" t="s">
        <v>309</v>
      </c>
      <c r="I2083" s="513">
        <v>840000</v>
      </c>
      <c r="J2083" s="513">
        <v>600</v>
      </c>
      <c r="K2083" s="513">
        <v>1400</v>
      </c>
      <c r="L2083" s="518" t="s">
        <v>3659</v>
      </c>
      <c r="M2083" s="152" t="s">
        <v>1540</v>
      </c>
      <c r="N2083" s="152" t="s">
        <v>1407</v>
      </c>
      <c r="O2083" s="152" t="s">
        <v>5694</v>
      </c>
      <c r="P2083" s="152" t="s">
        <v>5400</v>
      </c>
      <c r="Q2083" s="152" t="s">
        <v>5695</v>
      </c>
      <c r="R2083" s="152" t="s">
        <v>5695</v>
      </c>
      <c r="S2083" s="152" t="s">
        <v>5696</v>
      </c>
      <c r="T2083" s="152" t="s">
        <v>786</v>
      </c>
    </row>
    <row r="2084" spans="3:20">
      <c r="C2084" s="152" t="s">
        <v>2821</v>
      </c>
      <c r="F2084" s="152" t="s">
        <v>372</v>
      </c>
      <c r="G2084" s="152" t="s">
        <v>309</v>
      </c>
      <c r="I2084" s="513">
        <v>854000</v>
      </c>
      <c r="J2084" s="513">
        <v>610</v>
      </c>
      <c r="K2084" s="513">
        <v>1400</v>
      </c>
      <c r="L2084" s="518" t="s">
        <v>3659</v>
      </c>
      <c r="M2084" s="152" t="s">
        <v>1540</v>
      </c>
      <c r="N2084" s="152" t="s">
        <v>1407</v>
      </c>
      <c r="O2084" s="152" t="s">
        <v>5697</v>
      </c>
      <c r="P2084" s="152" t="s">
        <v>5400</v>
      </c>
      <c r="Q2084" s="152" t="s">
        <v>5698</v>
      </c>
      <c r="R2084" s="152" t="s">
        <v>5698</v>
      </c>
      <c r="S2084" s="152" t="s">
        <v>5699</v>
      </c>
      <c r="T2084" s="152" t="s">
        <v>786</v>
      </c>
    </row>
    <row r="2085" spans="3:20">
      <c r="C2085" s="152" t="s">
        <v>2821</v>
      </c>
      <c r="F2085" s="152" t="s">
        <v>372</v>
      </c>
      <c r="G2085" s="152" t="s">
        <v>309</v>
      </c>
      <c r="I2085" s="513">
        <v>1610000</v>
      </c>
      <c r="J2085" s="513">
        <v>1150</v>
      </c>
      <c r="K2085" s="513">
        <v>1400</v>
      </c>
      <c r="L2085" s="518" t="s">
        <v>3659</v>
      </c>
      <c r="M2085" s="152" t="s">
        <v>1540</v>
      </c>
      <c r="N2085" s="152" t="s">
        <v>1407</v>
      </c>
      <c r="O2085" s="152" t="s">
        <v>5700</v>
      </c>
      <c r="P2085" s="152" t="s">
        <v>5400</v>
      </c>
      <c r="Q2085" s="152" t="s">
        <v>5701</v>
      </c>
      <c r="R2085" s="152" t="s">
        <v>5701</v>
      </c>
      <c r="S2085" s="152" t="s">
        <v>5702</v>
      </c>
      <c r="T2085" s="152" t="s">
        <v>786</v>
      </c>
    </row>
    <row r="2086" spans="3:20">
      <c r="C2086" s="152" t="s">
        <v>2821</v>
      </c>
      <c r="F2086" s="152" t="s">
        <v>372</v>
      </c>
      <c r="G2086" s="152" t="s">
        <v>309</v>
      </c>
      <c r="I2086" s="513">
        <v>849000</v>
      </c>
      <c r="J2086" s="513">
        <v>600</v>
      </c>
      <c r="K2086" s="513">
        <v>1415</v>
      </c>
      <c r="L2086" s="518" t="s">
        <v>3632</v>
      </c>
      <c r="M2086" s="152" t="s">
        <v>1540</v>
      </c>
      <c r="N2086" s="152" t="s">
        <v>1407</v>
      </c>
      <c r="O2086" s="152" t="s">
        <v>5703</v>
      </c>
      <c r="P2086" s="152" t="s">
        <v>5400</v>
      </c>
      <c r="Q2086" s="152" t="s">
        <v>5704</v>
      </c>
      <c r="R2086" s="152" t="s">
        <v>5704</v>
      </c>
      <c r="S2086" s="152" t="s">
        <v>5705</v>
      </c>
      <c r="T2086" s="152" t="s">
        <v>786</v>
      </c>
    </row>
    <row r="2087" spans="3:20">
      <c r="C2087" s="152" t="s">
        <v>2821</v>
      </c>
      <c r="F2087" s="152" t="s">
        <v>372</v>
      </c>
      <c r="G2087" s="152" t="s">
        <v>309</v>
      </c>
      <c r="I2087" s="513">
        <v>849000</v>
      </c>
      <c r="J2087" s="513">
        <v>600</v>
      </c>
      <c r="K2087" s="513">
        <v>1415</v>
      </c>
      <c r="L2087" s="518" t="s">
        <v>3632</v>
      </c>
      <c r="M2087" s="152" t="s">
        <v>1540</v>
      </c>
      <c r="N2087" s="152" t="s">
        <v>1407</v>
      </c>
      <c r="O2087" s="152" t="s">
        <v>5706</v>
      </c>
      <c r="P2087" s="152" t="s">
        <v>5400</v>
      </c>
      <c r="Q2087" s="152" t="s">
        <v>5707</v>
      </c>
      <c r="R2087" s="152" t="s">
        <v>5707</v>
      </c>
      <c r="S2087" s="152" t="s">
        <v>5708</v>
      </c>
      <c r="T2087" s="152" t="s">
        <v>786</v>
      </c>
    </row>
    <row r="2088" spans="3:20">
      <c r="C2088" s="152" t="s">
        <v>2821</v>
      </c>
      <c r="F2088" s="152" t="s">
        <v>372</v>
      </c>
      <c r="G2088" s="152" t="s">
        <v>309</v>
      </c>
      <c r="I2088" s="513">
        <v>1886195</v>
      </c>
      <c r="J2088" s="513">
        <v>1333</v>
      </c>
      <c r="K2088" s="513">
        <v>1415</v>
      </c>
      <c r="L2088" s="518" t="s">
        <v>3632</v>
      </c>
      <c r="M2088" s="152" t="s">
        <v>1540</v>
      </c>
      <c r="N2088" s="152" t="s">
        <v>1407</v>
      </c>
      <c r="O2088" s="152" t="s">
        <v>5709</v>
      </c>
      <c r="P2088" s="152" t="s">
        <v>5400</v>
      </c>
      <c r="Q2088" s="152" t="s">
        <v>5710</v>
      </c>
      <c r="R2088" s="152" t="s">
        <v>5710</v>
      </c>
      <c r="S2088" s="152" t="s">
        <v>5711</v>
      </c>
      <c r="T2088" s="152" t="s">
        <v>786</v>
      </c>
    </row>
    <row r="2089" spans="3:20">
      <c r="C2089" s="152" t="s">
        <v>2821</v>
      </c>
      <c r="F2089" s="152" t="s">
        <v>372</v>
      </c>
      <c r="G2089" s="152" t="s">
        <v>309</v>
      </c>
      <c r="I2089" s="513">
        <v>1886195</v>
      </c>
      <c r="J2089" s="513">
        <v>1333</v>
      </c>
      <c r="K2089" s="513">
        <v>1415</v>
      </c>
      <c r="L2089" s="518" t="s">
        <v>3632</v>
      </c>
      <c r="M2089" s="152" t="s">
        <v>1540</v>
      </c>
      <c r="N2089" s="152" t="s">
        <v>1407</v>
      </c>
      <c r="O2089" s="152" t="s">
        <v>5712</v>
      </c>
      <c r="P2089" s="152" t="s">
        <v>5400</v>
      </c>
      <c r="Q2089" s="152" t="s">
        <v>5713</v>
      </c>
      <c r="R2089" s="152" t="s">
        <v>5713</v>
      </c>
      <c r="S2089" s="152" t="s">
        <v>5714</v>
      </c>
      <c r="T2089" s="152" t="s">
        <v>786</v>
      </c>
    </row>
    <row r="2090" spans="3:20">
      <c r="C2090" s="152" t="s">
        <v>2821</v>
      </c>
      <c r="F2090" s="152" t="s">
        <v>372</v>
      </c>
      <c r="G2090" s="152" t="s">
        <v>309</v>
      </c>
      <c r="I2090" s="513">
        <v>1886195</v>
      </c>
      <c r="J2090" s="513">
        <v>1333</v>
      </c>
      <c r="K2090" s="513">
        <v>1415</v>
      </c>
      <c r="L2090" s="518" t="s">
        <v>3632</v>
      </c>
      <c r="M2090" s="152" t="s">
        <v>1540</v>
      </c>
      <c r="N2090" s="152" t="s">
        <v>1407</v>
      </c>
      <c r="O2090" s="152" t="s">
        <v>5715</v>
      </c>
      <c r="P2090" s="152" t="s">
        <v>5400</v>
      </c>
      <c r="Q2090" s="152" t="s">
        <v>5716</v>
      </c>
      <c r="R2090" s="152" t="s">
        <v>5716</v>
      </c>
      <c r="S2090" s="152" t="s">
        <v>5717</v>
      </c>
      <c r="T2090" s="152" t="s">
        <v>786</v>
      </c>
    </row>
    <row r="2091" spans="3:20">
      <c r="C2091" s="152" t="s">
        <v>2821</v>
      </c>
      <c r="F2091" s="152" t="s">
        <v>372</v>
      </c>
      <c r="G2091" s="152" t="s">
        <v>309</v>
      </c>
      <c r="I2091" s="513">
        <v>424500</v>
      </c>
      <c r="J2091" s="513">
        <v>300</v>
      </c>
      <c r="K2091" s="513">
        <v>1415</v>
      </c>
      <c r="L2091" s="518" t="s">
        <v>3632</v>
      </c>
      <c r="M2091" s="152" t="s">
        <v>1540</v>
      </c>
      <c r="N2091" s="152" t="s">
        <v>1407</v>
      </c>
      <c r="O2091" s="152" t="s">
        <v>5718</v>
      </c>
      <c r="P2091" s="152" t="s">
        <v>5400</v>
      </c>
      <c r="Q2091" s="152" t="s">
        <v>5719</v>
      </c>
      <c r="R2091" s="152" t="s">
        <v>5719</v>
      </c>
      <c r="S2091" s="152" t="s">
        <v>5720</v>
      </c>
      <c r="T2091" s="152" t="s">
        <v>786</v>
      </c>
    </row>
    <row r="2092" spans="3:20">
      <c r="C2092" s="152" t="s">
        <v>2821</v>
      </c>
      <c r="F2092" s="152" t="s">
        <v>372</v>
      </c>
      <c r="G2092" s="152" t="s">
        <v>309</v>
      </c>
      <c r="I2092" s="513">
        <v>424500</v>
      </c>
      <c r="J2092" s="513">
        <v>300</v>
      </c>
      <c r="K2092" s="513">
        <v>1415</v>
      </c>
      <c r="L2092" s="518" t="s">
        <v>3632</v>
      </c>
      <c r="M2092" s="152" t="s">
        <v>1540</v>
      </c>
      <c r="N2092" s="152" t="s">
        <v>1407</v>
      </c>
      <c r="O2092" s="152" t="s">
        <v>5721</v>
      </c>
      <c r="P2092" s="152" t="s">
        <v>5400</v>
      </c>
      <c r="Q2092" s="152" t="s">
        <v>5722</v>
      </c>
      <c r="R2092" s="152" t="s">
        <v>5722</v>
      </c>
      <c r="S2092" s="152" t="s">
        <v>5723</v>
      </c>
      <c r="T2092" s="152" t="s">
        <v>786</v>
      </c>
    </row>
    <row r="2093" spans="3:20">
      <c r="C2093" s="152" t="s">
        <v>2821</v>
      </c>
      <c r="F2093" s="152" t="s">
        <v>372</v>
      </c>
      <c r="G2093" s="152" t="s">
        <v>309</v>
      </c>
      <c r="I2093" s="513">
        <v>843000</v>
      </c>
      <c r="J2093" s="513">
        <v>600</v>
      </c>
      <c r="K2093" s="513">
        <v>1405</v>
      </c>
      <c r="L2093" s="518" t="s">
        <v>3493</v>
      </c>
      <c r="M2093" s="152" t="s">
        <v>1540</v>
      </c>
      <c r="N2093" s="152" t="s">
        <v>1407</v>
      </c>
      <c r="O2093" s="152" t="s">
        <v>5724</v>
      </c>
      <c r="P2093" s="152" t="s">
        <v>5400</v>
      </c>
      <c r="Q2093" s="152" t="s">
        <v>5725</v>
      </c>
      <c r="R2093" s="152" t="s">
        <v>5725</v>
      </c>
      <c r="S2093" s="152" t="s">
        <v>5726</v>
      </c>
      <c r="T2093" s="152" t="s">
        <v>786</v>
      </c>
    </row>
    <row r="2094" spans="3:20">
      <c r="C2094" s="152" t="s">
        <v>2821</v>
      </c>
      <c r="F2094" s="152" t="s">
        <v>372</v>
      </c>
      <c r="G2094" s="152" t="s">
        <v>309</v>
      </c>
      <c r="I2094" s="513">
        <v>843000</v>
      </c>
      <c r="J2094" s="513">
        <v>600</v>
      </c>
      <c r="K2094" s="513">
        <v>1405</v>
      </c>
      <c r="L2094" s="518" t="s">
        <v>3493</v>
      </c>
      <c r="M2094" s="152" t="s">
        <v>1540</v>
      </c>
      <c r="N2094" s="152" t="s">
        <v>1407</v>
      </c>
      <c r="O2094" s="152" t="s">
        <v>5727</v>
      </c>
      <c r="P2094" s="152" t="s">
        <v>5400</v>
      </c>
      <c r="Q2094" s="152" t="s">
        <v>5728</v>
      </c>
      <c r="R2094" s="152" t="s">
        <v>5728</v>
      </c>
      <c r="S2094" s="152" t="s">
        <v>5729</v>
      </c>
      <c r="T2094" s="152" t="s">
        <v>786</v>
      </c>
    </row>
    <row r="2095" spans="3:20">
      <c r="C2095" s="152" t="s">
        <v>2821</v>
      </c>
      <c r="F2095" s="152" t="s">
        <v>372</v>
      </c>
      <c r="G2095" s="152" t="s">
        <v>309</v>
      </c>
      <c r="I2095" s="513">
        <v>702500</v>
      </c>
      <c r="J2095" s="513">
        <v>500</v>
      </c>
      <c r="K2095" s="513">
        <v>1405</v>
      </c>
      <c r="L2095" s="518" t="s">
        <v>3493</v>
      </c>
      <c r="M2095" s="152" t="s">
        <v>1540</v>
      </c>
      <c r="N2095" s="152" t="s">
        <v>1407</v>
      </c>
      <c r="O2095" s="152" t="s">
        <v>5730</v>
      </c>
      <c r="P2095" s="152" t="s">
        <v>5400</v>
      </c>
      <c r="Q2095" s="152" t="s">
        <v>5731</v>
      </c>
      <c r="R2095" s="152" t="s">
        <v>5731</v>
      </c>
      <c r="S2095" s="152" t="s">
        <v>5732</v>
      </c>
      <c r="T2095" s="152" t="s">
        <v>786</v>
      </c>
    </row>
    <row r="2096" spans="3:20">
      <c r="C2096" s="152" t="s">
        <v>2821</v>
      </c>
      <c r="F2096" s="152" t="s">
        <v>372</v>
      </c>
      <c r="G2096" s="152" t="s">
        <v>309</v>
      </c>
      <c r="I2096" s="513">
        <v>843000</v>
      </c>
      <c r="J2096" s="513">
        <v>600</v>
      </c>
      <c r="K2096" s="513">
        <v>1405</v>
      </c>
      <c r="L2096" s="518" t="s">
        <v>3493</v>
      </c>
      <c r="M2096" s="152" t="s">
        <v>1540</v>
      </c>
      <c r="N2096" s="152" t="s">
        <v>1407</v>
      </c>
      <c r="O2096" s="152" t="s">
        <v>5733</v>
      </c>
      <c r="P2096" s="152" t="s">
        <v>5400</v>
      </c>
      <c r="Q2096" s="152" t="s">
        <v>5734</v>
      </c>
      <c r="R2096" s="152" t="s">
        <v>5734</v>
      </c>
      <c r="S2096" s="152" t="s">
        <v>5735</v>
      </c>
      <c r="T2096" s="152" t="s">
        <v>786</v>
      </c>
    </row>
    <row r="2097" spans="3:20">
      <c r="C2097" s="152" t="s">
        <v>2821</v>
      </c>
      <c r="F2097" s="152" t="s">
        <v>372</v>
      </c>
      <c r="G2097" s="152" t="s">
        <v>309</v>
      </c>
      <c r="I2097" s="513">
        <v>843000</v>
      </c>
      <c r="J2097" s="513">
        <v>600</v>
      </c>
      <c r="K2097" s="513">
        <v>1405</v>
      </c>
      <c r="L2097" s="518" t="s">
        <v>3493</v>
      </c>
      <c r="M2097" s="152" t="s">
        <v>1540</v>
      </c>
      <c r="N2097" s="152" t="s">
        <v>1407</v>
      </c>
      <c r="O2097" s="152" t="s">
        <v>5736</v>
      </c>
      <c r="P2097" s="152" t="s">
        <v>5400</v>
      </c>
      <c r="Q2097" s="152" t="s">
        <v>5737</v>
      </c>
      <c r="R2097" s="152" t="s">
        <v>5737</v>
      </c>
      <c r="S2097" s="152" t="s">
        <v>5738</v>
      </c>
      <c r="T2097" s="152" t="s">
        <v>786</v>
      </c>
    </row>
    <row r="2098" spans="3:20">
      <c r="C2098" s="152" t="s">
        <v>2821</v>
      </c>
      <c r="F2098" s="152" t="s">
        <v>372</v>
      </c>
      <c r="G2098" s="152" t="s">
        <v>309</v>
      </c>
      <c r="I2098" s="513">
        <v>3793500</v>
      </c>
      <c r="J2098" s="513">
        <v>2700</v>
      </c>
      <c r="K2098" s="513">
        <v>1405</v>
      </c>
      <c r="L2098" s="518" t="s">
        <v>3493</v>
      </c>
      <c r="M2098" s="152" t="s">
        <v>1540</v>
      </c>
      <c r="N2098" s="152" t="s">
        <v>1407</v>
      </c>
      <c r="O2098" s="152" t="s">
        <v>5739</v>
      </c>
      <c r="P2098" s="152" t="s">
        <v>5400</v>
      </c>
      <c r="Q2098" s="152" t="s">
        <v>5740</v>
      </c>
      <c r="R2098" s="152" t="s">
        <v>5740</v>
      </c>
      <c r="S2098" s="152" t="s">
        <v>5741</v>
      </c>
      <c r="T2098" s="152" t="s">
        <v>786</v>
      </c>
    </row>
    <row r="2099" spans="3:20">
      <c r="C2099" s="152" t="s">
        <v>2821</v>
      </c>
      <c r="F2099" s="152" t="s">
        <v>372</v>
      </c>
      <c r="G2099" s="152" t="s">
        <v>309</v>
      </c>
      <c r="I2099" s="513">
        <v>2810000</v>
      </c>
      <c r="J2099" s="513">
        <v>2000</v>
      </c>
      <c r="K2099" s="513">
        <v>1405</v>
      </c>
      <c r="L2099" s="518" t="s">
        <v>3493</v>
      </c>
      <c r="M2099" s="152" t="s">
        <v>1540</v>
      </c>
      <c r="N2099" s="152" t="s">
        <v>1407</v>
      </c>
      <c r="O2099" s="152" t="s">
        <v>5742</v>
      </c>
      <c r="P2099" s="152" t="s">
        <v>5400</v>
      </c>
      <c r="Q2099" s="152" t="s">
        <v>5743</v>
      </c>
      <c r="R2099" s="152" t="s">
        <v>5743</v>
      </c>
      <c r="S2099" s="152" t="s">
        <v>5744</v>
      </c>
      <c r="T2099" s="152" t="s">
        <v>786</v>
      </c>
    </row>
    <row r="2100" spans="3:20">
      <c r="C2100" s="152" t="s">
        <v>2821</v>
      </c>
      <c r="F2100" s="152" t="s">
        <v>372</v>
      </c>
      <c r="G2100" s="152" t="s">
        <v>309</v>
      </c>
      <c r="I2100" s="513">
        <v>2529000</v>
      </c>
      <c r="J2100" s="513">
        <v>1800</v>
      </c>
      <c r="K2100" s="513">
        <v>1405</v>
      </c>
      <c r="L2100" s="518" t="s">
        <v>3493</v>
      </c>
      <c r="M2100" s="152" t="s">
        <v>1540</v>
      </c>
      <c r="N2100" s="152" t="s">
        <v>1407</v>
      </c>
      <c r="O2100" s="152" t="s">
        <v>5745</v>
      </c>
      <c r="P2100" s="152" t="s">
        <v>5400</v>
      </c>
      <c r="Q2100" s="152" t="s">
        <v>5746</v>
      </c>
      <c r="R2100" s="152" t="s">
        <v>5746</v>
      </c>
      <c r="S2100" s="152" t="s">
        <v>5747</v>
      </c>
      <c r="T2100" s="152" t="s">
        <v>786</v>
      </c>
    </row>
    <row r="2101" spans="3:20">
      <c r="C2101" s="152" t="s">
        <v>2821</v>
      </c>
      <c r="F2101" s="152" t="s">
        <v>372</v>
      </c>
      <c r="G2101" s="152" t="s">
        <v>309</v>
      </c>
      <c r="I2101" s="513">
        <v>491750</v>
      </c>
      <c r="J2101" s="513">
        <v>350</v>
      </c>
      <c r="K2101" s="513">
        <v>1405</v>
      </c>
      <c r="L2101" s="518" t="s">
        <v>3493</v>
      </c>
      <c r="M2101" s="152" t="s">
        <v>1540</v>
      </c>
      <c r="N2101" s="152" t="s">
        <v>1407</v>
      </c>
      <c r="O2101" s="152" t="s">
        <v>5748</v>
      </c>
      <c r="P2101" s="152" t="s">
        <v>5400</v>
      </c>
      <c r="Q2101" s="152" t="s">
        <v>5749</v>
      </c>
      <c r="R2101" s="152" t="s">
        <v>5749</v>
      </c>
      <c r="S2101" s="152" t="s">
        <v>5750</v>
      </c>
      <c r="T2101" s="152" t="s">
        <v>786</v>
      </c>
    </row>
    <row r="2102" spans="3:20">
      <c r="C2102" s="152" t="s">
        <v>2821</v>
      </c>
      <c r="F2102" s="152" t="s">
        <v>372</v>
      </c>
      <c r="G2102" s="152" t="s">
        <v>309</v>
      </c>
      <c r="I2102" s="513">
        <v>1124000</v>
      </c>
      <c r="J2102" s="513">
        <v>800</v>
      </c>
      <c r="K2102" s="513">
        <v>1405</v>
      </c>
      <c r="L2102" s="518" t="s">
        <v>3493</v>
      </c>
      <c r="M2102" s="152" t="s">
        <v>1540</v>
      </c>
      <c r="N2102" s="152" t="s">
        <v>1407</v>
      </c>
      <c r="O2102" s="152" t="s">
        <v>5751</v>
      </c>
      <c r="P2102" s="152" t="s">
        <v>5400</v>
      </c>
      <c r="Q2102" s="152" t="s">
        <v>5752</v>
      </c>
      <c r="R2102" s="152" t="s">
        <v>5752</v>
      </c>
      <c r="S2102" s="152" t="s">
        <v>5753</v>
      </c>
      <c r="T2102" s="152" t="s">
        <v>786</v>
      </c>
    </row>
    <row r="2103" spans="3:20">
      <c r="C2103" s="152" t="s">
        <v>2821</v>
      </c>
      <c r="F2103" s="152" t="s">
        <v>372</v>
      </c>
      <c r="G2103" s="152" t="s">
        <v>309</v>
      </c>
      <c r="I2103" s="513">
        <v>1405000</v>
      </c>
      <c r="J2103" s="513">
        <v>1000</v>
      </c>
      <c r="K2103" s="513">
        <v>1405</v>
      </c>
      <c r="L2103" s="518" t="s">
        <v>3493</v>
      </c>
      <c r="M2103" s="152" t="s">
        <v>1540</v>
      </c>
      <c r="N2103" s="152" t="s">
        <v>1407</v>
      </c>
      <c r="O2103" s="152" t="s">
        <v>5754</v>
      </c>
      <c r="P2103" s="152" t="s">
        <v>5400</v>
      </c>
      <c r="Q2103" s="152" t="s">
        <v>5755</v>
      </c>
      <c r="R2103" s="152" t="s">
        <v>5755</v>
      </c>
      <c r="S2103" s="152" t="s">
        <v>5756</v>
      </c>
      <c r="T2103" s="152" t="s">
        <v>786</v>
      </c>
    </row>
    <row r="2104" spans="3:20">
      <c r="C2104" s="152" t="s">
        <v>2821</v>
      </c>
      <c r="F2104" s="152" t="s">
        <v>372</v>
      </c>
      <c r="G2104" s="152" t="s">
        <v>309</v>
      </c>
      <c r="I2104" s="513">
        <v>6294400</v>
      </c>
      <c r="J2104" s="513">
        <v>4480</v>
      </c>
      <c r="K2104" s="513">
        <v>1405</v>
      </c>
      <c r="L2104" s="518" t="s">
        <v>3493</v>
      </c>
      <c r="M2104" s="152" t="s">
        <v>1540</v>
      </c>
      <c r="N2104" s="152" t="s">
        <v>1407</v>
      </c>
      <c r="O2104" s="152" t="s">
        <v>5757</v>
      </c>
      <c r="P2104" s="152" t="s">
        <v>5400</v>
      </c>
      <c r="Q2104" s="152" t="s">
        <v>5758</v>
      </c>
      <c r="R2104" s="152" t="s">
        <v>5758</v>
      </c>
      <c r="S2104" s="152" t="s">
        <v>5759</v>
      </c>
      <c r="T2104" s="152" t="s">
        <v>786</v>
      </c>
    </row>
    <row r="2105" spans="3:20">
      <c r="C2105" s="152" t="s">
        <v>2821</v>
      </c>
      <c r="F2105" s="152" t="s">
        <v>372</v>
      </c>
      <c r="G2105" s="152" t="s">
        <v>309</v>
      </c>
      <c r="I2105" s="513">
        <v>843000</v>
      </c>
      <c r="J2105" s="513">
        <v>600</v>
      </c>
      <c r="K2105" s="513">
        <v>1405</v>
      </c>
      <c r="L2105" s="518" t="s">
        <v>3493</v>
      </c>
      <c r="M2105" s="152" t="s">
        <v>1540</v>
      </c>
      <c r="N2105" s="152" t="s">
        <v>1407</v>
      </c>
      <c r="O2105" s="152" t="s">
        <v>5760</v>
      </c>
      <c r="P2105" s="152" t="s">
        <v>5400</v>
      </c>
      <c r="Q2105" s="152" t="s">
        <v>5761</v>
      </c>
      <c r="R2105" s="152" t="s">
        <v>5761</v>
      </c>
      <c r="S2105" s="152" t="s">
        <v>5762</v>
      </c>
      <c r="T2105" s="152" t="s">
        <v>786</v>
      </c>
    </row>
    <row r="2106" spans="3:20">
      <c r="C2106" s="152" t="s">
        <v>2821</v>
      </c>
      <c r="F2106" s="152" t="s">
        <v>671</v>
      </c>
      <c r="G2106" s="152" t="s">
        <v>672</v>
      </c>
      <c r="I2106" s="513">
        <v>-173252.6</v>
      </c>
      <c r="J2106" s="513">
        <v>-122.44</v>
      </c>
      <c r="K2106" s="513">
        <v>1415</v>
      </c>
      <c r="L2106" s="518" t="s">
        <v>3632</v>
      </c>
      <c r="M2106" s="152" t="s">
        <v>780</v>
      </c>
      <c r="N2106" s="152" t="s">
        <v>781</v>
      </c>
      <c r="O2106" s="152" t="s">
        <v>4735</v>
      </c>
      <c r="P2106" s="152" t="s">
        <v>3489</v>
      </c>
      <c r="Q2106" s="152" t="s">
        <v>4736</v>
      </c>
      <c r="R2106" s="152" t="s">
        <v>4737</v>
      </c>
      <c r="S2106" s="152" t="s">
        <v>4738</v>
      </c>
      <c r="T2106" s="152" t="s">
        <v>786</v>
      </c>
    </row>
    <row r="2107" spans="3:20">
      <c r="C2107" s="152" t="s">
        <v>2821</v>
      </c>
      <c r="F2107" s="152" t="s">
        <v>671</v>
      </c>
      <c r="G2107" s="152" t="s">
        <v>672</v>
      </c>
      <c r="I2107" s="513">
        <v>-6006232.5</v>
      </c>
      <c r="J2107" s="513">
        <v>-4214.8999999999996</v>
      </c>
      <c r="K2107" s="513">
        <v>1425</v>
      </c>
      <c r="L2107" s="518" t="s">
        <v>3504</v>
      </c>
      <c r="M2107" s="152" t="s">
        <v>780</v>
      </c>
      <c r="N2107" s="152" t="s">
        <v>781</v>
      </c>
      <c r="O2107" s="152" t="s">
        <v>4739</v>
      </c>
      <c r="P2107" s="152" t="s">
        <v>3489</v>
      </c>
      <c r="Q2107" s="152" t="s">
        <v>4740</v>
      </c>
      <c r="R2107" s="152" t="s">
        <v>4741</v>
      </c>
      <c r="S2107" s="152" t="s">
        <v>4742</v>
      </c>
      <c r="T2107" s="152" t="s">
        <v>786</v>
      </c>
    </row>
    <row r="2108" spans="3:20">
      <c r="C2108" s="152" t="s">
        <v>2821</v>
      </c>
      <c r="F2108" s="152" t="s">
        <v>671</v>
      </c>
      <c r="G2108" s="152" t="s">
        <v>672</v>
      </c>
      <c r="I2108" s="513">
        <v>-221093.75</v>
      </c>
      <c r="J2108" s="513">
        <v>-156.25</v>
      </c>
      <c r="K2108" s="513">
        <v>1415</v>
      </c>
      <c r="L2108" s="518" t="s">
        <v>3498</v>
      </c>
      <c r="M2108" s="152" t="s">
        <v>780</v>
      </c>
      <c r="N2108" s="152" t="s">
        <v>781</v>
      </c>
      <c r="O2108" s="152" t="s">
        <v>4743</v>
      </c>
      <c r="P2108" s="152" t="s">
        <v>3489</v>
      </c>
      <c r="Q2108" s="152" t="s">
        <v>4744</v>
      </c>
      <c r="R2108" s="152" t="s">
        <v>4745</v>
      </c>
      <c r="S2108" s="152" t="s">
        <v>4746</v>
      </c>
      <c r="T2108" s="152" t="s">
        <v>786</v>
      </c>
    </row>
    <row r="2109" spans="3:20">
      <c r="C2109" s="152" t="s">
        <v>2821</v>
      </c>
      <c r="F2109" s="152" t="s">
        <v>671</v>
      </c>
      <c r="G2109" s="152" t="s">
        <v>672</v>
      </c>
      <c r="I2109" s="513">
        <v>-77401.45</v>
      </c>
      <c r="J2109" s="513">
        <v>-55.09</v>
      </c>
      <c r="K2109" s="513">
        <v>1405</v>
      </c>
      <c r="L2109" s="518" t="s">
        <v>3493</v>
      </c>
      <c r="M2109" s="152" t="s">
        <v>780</v>
      </c>
      <c r="N2109" s="152" t="s">
        <v>781</v>
      </c>
      <c r="O2109" s="152" t="s">
        <v>4755</v>
      </c>
      <c r="P2109" s="152" t="s">
        <v>3489</v>
      </c>
      <c r="Q2109" s="152" t="s">
        <v>4756</v>
      </c>
      <c r="R2109" s="152" t="s">
        <v>4757</v>
      </c>
      <c r="S2109" s="152" t="s">
        <v>4758</v>
      </c>
      <c r="T2109" s="152" t="s">
        <v>786</v>
      </c>
    </row>
    <row r="2110" spans="3:20">
      <c r="C2110" s="152" t="s">
        <v>2821</v>
      </c>
      <c r="F2110" s="152" t="s">
        <v>671</v>
      </c>
      <c r="G2110" s="152" t="s">
        <v>672</v>
      </c>
      <c r="I2110" s="513">
        <v>1264.5</v>
      </c>
      <c r="J2110" s="513">
        <v>0.9</v>
      </c>
      <c r="K2110" s="513">
        <v>1405</v>
      </c>
      <c r="L2110" s="518" t="s">
        <v>3493</v>
      </c>
      <c r="M2110" s="152" t="s">
        <v>780</v>
      </c>
      <c r="N2110" s="152" t="s">
        <v>781</v>
      </c>
      <c r="O2110" s="152" t="s">
        <v>4759</v>
      </c>
      <c r="P2110" s="152" t="s">
        <v>3489</v>
      </c>
      <c r="Q2110" s="152" t="s">
        <v>4760</v>
      </c>
      <c r="R2110" s="152" t="s">
        <v>4761</v>
      </c>
      <c r="S2110" s="152" t="s">
        <v>4762</v>
      </c>
      <c r="T2110" s="152" t="s">
        <v>786</v>
      </c>
    </row>
    <row r="2111" spans="3:20">
      <c r="C2111" s="152" t="s">
        <v>2821</v>
      </c>
      <c r="F2111" s="152" t="s">
        <v>671</v>
      </c>
      <c r="G2111" s="152" t="s">
        <v>672</v>
      </c>
      <c r="I2111" s="513">
        <v>-17267.45</v>
      </c>
      <c r="J2111" s="513">
        <v>-12.29</v>
      </c>
      <c r="K2111" s="513">
        <v>1405</v>
      </c>
      <c r="L2111" s="518" t="s">
        <v>3493</v>
      </c>
      <c r="M2111" s="152" t="s">
        <v>780</v>
      </c>
      <c r="N2111" s="152" t="s">
        <v>781</v>
      </c>
      <c r="O2111" s="152" t="s">
        <v>4755</v>
      </c>
      <c r="P2111" s="152" t="s">
        <v>3489</v>
      </c>
      <c r="Q2111" s="152" t="s">
        <v>4756</v>
      </c>
      <c r="R2111" s="152" t="s">
        <v>4763</v>
      </c>
      <c r="S2111" s="152" t="s">
        <v>4758</v>
      </c>
      <c r="T2111" s="152" t="s">
        <v>786</v>
      </c>
    </row>
    <row r="2112" spans="3:20">
      <c r="C2112" s="152" t="s">
        <v>2821</v>
      </c>
      <c r="F2112" s="152" t="s">
        <v>671</v>
      </c>
      <c r="G2112" s="152" t="s">
        <v>672</v>
      </c>
      <c r="I2112" s="513">
        <v>-490693.7</v>
      </c>
      <c r="J2112" s="513">
        <v>-346.78</v>
      </c>
      <c r="K2112" s="513">
        <v>1415</v>
      </c>
      <c r="L2112" s="518" t="s">
        <v>3632</v>
      </c>
      <c r="M2112" s="152" t="s">
        <v>780</v>
      </c>
      <c r="N2112" s="152" t="s">
        <v>781</v>
      </c>
      <c r="O2112" s="152" t="s">
        <v>4735</v>
      </c>
      <c r="P2112" s="152" t="s">
        <v>3489</v>
      </c>
      <c r="Q2112" s="152" t="s">
        <v>4736</v>
      </c>
      <c r="R2112" s="152" t="s">
        <v>4768</v>
      </c>
      <c r="S2112" s="152" t="s">
        <v>4738</v>
      </c>
      <c r="T2112" s="152" t="s">
        <v>786</v>
      </c>
    </row>
    <row r="2113" spans="3:20">
      <c r="C2113" s="152" t="s">
        <v>2821</v>
      </c>
      <c r="F2113" s="152" t="s">
        <v>671</v>
      </c>
      <c r="G2113" s="152" t="s">
        <v>672</v>
      </c>
      <c r="I2113" s="513">
        <v>-3419814.45</v>
      </c>
      <c r="J2113" s="513">
        <v>-2416.83</v>
      </c>
      <c r="K2113" s="513">
        <v>1415</v>
      </c>
      <c r="L2113" s="518" t="s">
        <v>3632</v>
      </c>
      <c r="M2113" s="152" t="s">
        <v>780</v>
      </c>
      <c r="N2113" s="152" t="s">
        <v>781</v>
      </c>
      <c r="O2113" s="152" t="s">
        <v>4735</v>
      </c>
      <c r="P2113" s="152" t="s">
        <v>3489</v>
      </c>
      <c r="Q2113" s="152" t="s">
        <v>4736</v>
      </c>
      <c r="R2113" s="152" t="s">
        <v>4769</v>
      </c>
      <c r="S2113" s="152" t="s">
        <v>4738</v>
      </c>
      <c r="T2113" s="152" t="s">
        <v>786</v>
      </c>
    </row>
    <row r="2114" spans="3:20">
      <c r="C2114" s="152" t="s">
        <v>2821</v>
      </c>
      <c r="F2114" s="152" t="s">
        <v>671</v>
      </c>
      <c r="G2114" s="152" t="s">
        <v>672</v>
      </c>
      <c r="I2114" s="513">
        <v>-1111827.75</v>
      </c>
      <c r="J2114" s="513">
        <v>-780.23</v>
      </c>
      <c r="K2114" s="513">
        <v>1425</v>
      </c>
      <c r="L2114" s="518" t="s">
        <v>3637</v>
      </c>
      <c r="M2114" s="152" t="s">
        <v>780</v>
      </c>
      <c r="N2114" s="152" t="s">
        <v>781</v>
      </c>
      <c r="O2114" s="152" t="s">
        <v>4770</v>
      </c>
      <c r="P2114" s="152" t="s">
        <v>2865</v>
      </c>
      <c r="Q2114" s="152" t="s">
        <v>4771</v>
      </c>
      <c r="R2114" s="152" t="s">
        <v>4772</v>
      </c>
      <c r="S2114" s="152" t="s">
        <v>4773</v>
      </c>
      <c r="T2114" s="152" t="s">
        <v>786</v>
      </c>
    </row>
    <row r="2115" spans="3:20">
      <c r="C2115" s="152" t="s">
        <v>2821</v>
      </c>
      <c r="F2115" s="152" t="s">
        <v>671</v>
      </c>
      <c r="G2115" s="152" t="s">
        <v>672</v>
      </c>
      <c r="I2115" s="513">
        <v>-189433.5</v>
      </c>
      <c r="J2115" s="513">
        <v>-134.35</v>
      </c>
      <c r="K2115" s="513">
        <v>1410</v>
      </c>
      <c r="L2115" s="518" t="s">
        <v>3498</v>
      </c>
      <c r="M2115" s="152" t="s">
        <v>780</v>
      </c>
      <c r="N2115" s="152" t="s">
        <v>781</v>
      </c>
      <c r="O2115" s="152" t="s">
        <v>4743</v>
      </c>
      <c r="P2115" s="152" t="s">
        <v>3489</v>
      </c>
      <c r="Q2115" s="152" t="s">
        <v>4744</v>
      </c>
      <c r="R2115" s="152" t="s">
        <v>4774</v>
      </c>
      <c r="S2115" s="152" t="s">
        <v>4746</v>
      </c>
      <c r="T2115" s="152" t="s">
        <v>786</v>
      </c>
    </row>
    <row r="2116" spans="3:20">
      <c r="C2116" s="152" t="s">
        <v>2821</v>
      </c>
      <c r="F2116" s="152" t="s">
        <v>671</v>
      </c>
      <c r="G2116" s="152" t="s">
        <v>672</v>
      </c>
      <c r="I2116" s="513">
        <v>-997828.8</v>
      </c>
      <c r="J2116" s="513">
        <v>-707.68</v>
      </c>
      <c r="K2116" s="513">
        <v>1410</v>
      </c>
      <c r="L2116" s="518" t="s">
        <v>3498</v>
      </c>
      <c r="M2116" s="152" t="s">
        <v>780</v>
      </c>
      <c r="N2116" s="152" t="s">
        <v>781</v>
      </c>
      <c r="O2116" s="152" t="s">
        <v>4743</v>
      </c>
      <c r="P2116" s="152" t="s">
        <v>3489</v>
      </c>
      <c r="Q2116" s="152" t="s">
        <v>4744</v>
      </c>
      <c r="R2116" s="152" t="s">
        <v>4775</v>
      </c>
      <c r="S2116" s="152" t="s">
        <v>4746</v>
      </c>
      <c r="T2116" s="152" t="s">
        <v>786</v>
      </c>
    </row>
    <row r="2117" spans="3:20">
      <c r="C2117" s="152" t="s">
        <v>2821</v>
      </c>
      <c r="F2117" s="152" t="s">
        <v>671</v>
      </c>
      <c r="G2117" s="152" t="s">
        <v>672</v>
      </c>
      <c r="I2117" s="513">
        <v>-328476.75</v>
      </c>
      <c r="J2117" s="513">
        <v>-230.51</v>
      </c>
      <c r="K2117" s="513">
        <v>1425</v>
      </c>
      <c r="L2117" s="518" t="s">
        <v>3637</v>
      </c>
      <c r="M2117" s="152" t="s">
        <v>780</v>
      </c>
      <c r="N2117" s="152" t="s">
        <v>781</v>
      </c>
      <c r="O2117" s="152" t="s">
        <v>4770</v>
      </c>
      <c r="P2117" s="152" t="s">
        <v>2865</v>
      </c>
      <c r="Q2117" s="152" t="s">
        <v>4771</v>
      </c>
      <c r="R2117" s="152" t="s">
        <v>4777</v>
      </c>
      <c r="S2117" s="152" t="s">
        <v>4773</v>
      </c>
      <c r="T2117" s="152" t="s">
        <v>786</v>
      </c>
    </row>
    <row r="2118" spans="3:20">
      <c r="C2118" s="152" t="s">
        <v>2821</v>
      </c>
      <c r="F2118" s="152" t="s">
        <v>671</v>
      </c>
      <c r="G2118" s="152" t="s">
        <v>672</v>
      </c>
      <c r="I2118" s="513">
        <v>-142959.9</v>
      </c>
      <c r="J2118" s="513">
        <v>-101.39</v>
      </c>
      <c r="K2118" s="513">
        <v>1410</v>
      </c>
      <c r="L2118" s="518" t="s">
        <v>3498</v>
      </c>
      <c r="M2118" s="152" t="s">
        <v>780</v>
      </c>
      <c r="N2118" s="152" t="s">
        <v>781</v>
      </c>
      <c r="O2118" s="152" t="s">
        <v>4743</v>
      </c>
      <c r="P2118" s="152" t="s">
        <v>3489</v>
      </c>
      <c r="Q2118" s="152" t="s">
        <v>4744</v>
      </c>
      <c r="R2118" s="152" t="s">
        <v>4778</v>
      </c>
      <c r="S2118" s="152" t="s">
        <v>4746</v>
      </c>
      <c r="T2118" s="152" t="s">
        <v>786</v>
      </c>
    </row>
    <row r="2119" spans="3:20">
      <c r="C2119" s="152" t="s">
        <v>2821</v>
      </c>
      <c r="F2119" s="152" t="s">
        <v>671</v>
      </c>
      <c r="G2119" s="152" t="s">
        <v>672</v>
      </c>
      <c r="I2119" s="513">
        <v>-322206.75</v>
      </c>
      <c r="J2119" s="513">
        <v>-226.11</v>
      </c>
      <c r="K2119" s="513">
        <v>1425</v>
      </c>
      <c r="L2119" s="518" t="s">
        <v>3637</v>
      </c>
      <c r="M2119" s="152" t="s">
        <v>780</v>
      </c>
      <c r="N2119" s="152" t="s">
        <v>781</v>
      </c>
      <c r="O2119" s="152" t="s">
        <v>4770</v>
      </c>
      <c r="P2119" s="152" t="s">
        <v>2865</v>
      </c>
      <c r="Q2119" s="152" t="s">
        <v>4771</v>
      </c>
      <c r="R2119" s="152" t="s">
        <v>4779</v>
      </c>
      <c r="S2119" s="152" t="s">
        <v>4773</v>
      </c>
      <c r="T2119" s="152" t="s">
        <v>786</v>
      </c>
    </row>
    <row r="2120" spans="3:20">
      <c r="C2120" s="152" t="s">
        <v>2821</v>
      </c>
      <c r="F2120" s="152" t="s">
        <v>671</v>
      </c>
      <c r="G2120" s="152" t="s">
        <v>672</v>
      </c>
      <c r="I2120" s="513">
        <v>-229173.4</v>
      </c>
      <c r="J2120" s="513">
        <v>-161.96</v>
      </c>
      <c r="K2120" s="513">
        <v>1415</v>
      </c>
      <c r="L2120" s="518" t="s">
        <v>3632</v>
      </c>
      <c r="M2120" s="152" t="s">
        <v>780</v>
      </c>
      <c r="N2120" s="152" t="s">
        <v>781</v>
      </c>
      <c r="O2120" s="152" t="s">
        <v>4735</v>
      </c>
      <c r="P2120" s="152" t="s">
        <v>3489</v>
      </c>
      <c r="Q2120" s="152" t="s">
        <v>4736</v>
      </c>
      <c r="R2120" s="152" t="s">
        <v>4780</v>
      </c>
      <c r="S2120" s="152" t="s">
        <v>4738</v>
      </c>
      <c r="T2120" s="152" t="s">
        <v>786</v>
      </c>
    </row>
    <row r="2121" spans="3:20">
      <c r="C2121" s="152" t="s">
        <v>2821</v>
      </c>
      <c r="F2121" s="152" t="s">
        <v>671</v>
      </c>
      <c r="G2121" s="152" t="s">
        <v>672</v>
      </c>
      <c r="I2121" s="513">
        <v>-154574.6</v>
      </c>
      <c r="J2121" s="513">
        <v>-109.24</v>
      </c>
      <c r="K2121" s="513">
        <v>1415</v>
      </c>
      <c r="L2121" s="518" t="s">
        <v>3632</v>
      </c>
      <c r="M2121" s="152" t="s">
        <v>780</v>
      </c>
      <c r="N2121" s="152" t="s">
        <v>781</v>
      </c>
      <c r="O2121" s="152" t="s">
        <v>4735</v>
      </c>
      <c r="P2121" s="152" t="s">
        <v>3489</v>
      </c>
      <c r="Q2121" s="152" t="s">
        <v>4736</v>
      </c>
      <c r="R2121" s="152" t="s">
        <v>4781</v>
      </c>
      <c r="S2121" s="152" t="s">
        <v>4738</v>
      </c>
      <c r="T2121" s="152" t="s">
        <v>786</v>
      </c>
    </row>
    <row r="2122" spans="3:20">
      <c r="C2122" s="152" t="s">
        <v>2821</v>
      </c>
      <c r="F2122" s="152" t="s">
        <v>671</v>
      </c>
      <c r="G2122" s="152" t="s">
        <v>672</v>
      </c>
      <c r="I2122" s="513">
        <v>-959509.5</v>
      </c>
      <c r="J2122" s="513">
        <v>-673.34</v>
      </c>
      <c r="K2122" s="513">
        <v>1425</v>
      </c>
      <c r="L2122" s="518" t="s">
        <v>3637</v>
      </c>
      <c r="M2122" s="152" t="s">
        <v>780</v>
      </c>
      <c r="N2122" s="152" t="s">
        <v>781</v>
      </c>
      <c r="O2122" s="152" t="s">
        <v>4770</v>
      </c>
      <c r="P2122" s="152" t="s">
        <v>2865</v>
      </c>
      <c r="Q2122" s="152" t="s">
        <v>4771</v>
      </c>
      <c r="R2122" s="152" t="s">
        <v>4783</v>
      </c>
      <c r="S2122" s="152" t="s">
        <v>4773</v>
      </c>
      <c r="T2122" s="152" t="s">
        <v>786</v>
      </c>
    </row>
    <row r="2123" spans="3:20">
      <c r="C2123" s="152" t="s">
        <v>2821</v>
      </c>
      <c r="F2123" s="152" t="s">
        <v>671</v>
      </c>
      <c r="G2123" s="152" t="s">
        <v>672</v>
      </c>
      <c r="I2123" s="513">
        <v>-1303447.5</v>
      </c>
      <c r="J2123" s="513">
        <v>-914.7</v>
      </c>
      <c r="K2123" s="513">
        <v>1425</v>
      </c>
      <c r="L2123" s="518" t="s">
        <v>3504</v>
      </c>
      <c r="M2123" s="152" t="s">
        <v>780</v>
      </c>
      <c r="N2123" s="152" t="s">
        <v>781</v>
      </c>
      <c r="O2123" s="152" t="s">
        <v>4739</v>
      </c>
      <c r="P2123" s="152" t="s">
        <v>3489</v>
      </c>
      <c r="Q2123" s="152" t="s">
        <v>4740</v>
      </c>
      <c r="R2123" s="152" t="s">
        <v>4789</v>
      </c>
      <c r="S2123" s="152" t="s">
        <v>4742</v>
      </c>
      <c r="T2123" s="152" t="s">
        <v>786</v>
      </c>
    </row>
    <row r="2124" spans="3:20">
      <c r="C2124" s="152" t="s">
        <v>2821</v>
      </c>
      <c r="F2124" s="152" t="s">
        <v>671</v>
      </c>
      <c r="G2124" s="152" t="s">
        <v>672</v>
      </c>
      <c r="I2124" s="513">
        <v>-541129.80000000005</v>
      </c>
      <c r="J2124" s="513">
        <v>-383.78</v>
      </c>
      <c r="K2124" s="513">
        <v>1410</v>
      </c>
      <c r="L2124" s="518" t="s">
        <v>3498</v>
      </c>
      <c r="M2124" s="152" t="s">
        <v>780</v>
      </c>
      <c r="N2124" s="152" t="s">
        <v>781</v>
      </c>
      <c r="O2124" s="152" t="s">
        <v>4743</v>
      </c>
      <c r="P2124" s="152" t="s">
        <v>3489</v>
      </c>
      <c r="Q2124" s="152" t="s">
        <v>4744</v>
      </c>
      <c r="R2124" s="152" t="s">
        <v>4790</v>
      </c>
      <c r="S2124" s="152" t="s">
        <v>4746</v>
      </c>
      <c r="T2124" s="152" t="s">
        <v>786</v>
      </c>
    </row>
    <row r="2125" spans="3:20">
      <c r="C2125" s="152" t="s">
        <v>2821</v>
      </c>
      <c r="F2125" s="152" t="s">
        <v>671</v>
      </c>
      <c r="G2125" s="152" t="s">
        <v>672</v>
      </c>
      <c r="I2125" s="513">
        <v>-1683309.75</v>
      </c>
      <c r="J2125" s="513">
        <v>-1181.27</v>
      </c>
      <c r="K2125" s="513">
        <v>1425</v>
      </c>
      <c r="L2125" s="518" t="s">
        <v>3637</v>
      </c>
      <c r="M2125" s="152" t="s">
        <v>780</v>
      </c>
      <c r="N2125" s="152" t="s">
        <v>781</v>
      </c>
      <c r="O2125" s="152" t="s">
        <v>4770</v>
      </c>
      <c r="P2125" s="152" t="s">
        <v>2865</v>
      </c>
      <c r="Q2125" s="152" t="s">
        <v>4771</v>
      </c>
      <c r="R2125" s="152" t="s">
        <v>1003</v>
      </c>
      <c r="S2125" s="152" t="s">
        <v>4773</v>
      </c>
      <c r="T2125" s="152" t="s">
        <v>786</v>
      </c>
    </row>
    <row r="2126" spans="3:20">
      <c r="C2126" s="152" t="s">
        <v>2821</v>
      </c>
      <c r="F2126" s="152" t="s">
        <v>671</v>
      </c>
      <c r="G2126" s="152" t="s">
        <v>672</v>
      </c>
      <c r="I2126" s="513">
        <v>-2707.5</v>
      </c>
      <c r="J2126" s="513">
        <v>-1.9</v>
      </c>
      <c r="K2126" s="513">
        <v>1425</v>
      </c>
      <c r="L2126" s="518" t="s">
        <v>3637</v>
      </c>
      <c r="M2126" s="152" t="s">
        <v>780</v>
      </c>
      <c r="N2126" s="152" t="s">
        <v>781</v>
      </c>
      <c r="O2126" s="152" t="s">
        <v>4770</v>
      </c>
      <c r="P2126" s="152" t="s">
        <v>2865</v>
      </c>
      <c r="Q2126" s="152" t="s">
        <v>4771</v>
      </c>
      <c r="R2126" s="152" t="s">
        <v>953</v>
      </c>
      <c r="S2126" s="152" t="s">
        <v>4773</v>
      </c>
      <c r="T2126" s="152" t="s">
        <v>786</v>
      </c>
    </row>
    <row r="2127" spans="3:20">
      <c r="C2127" s="152" t="s">
        <v>2821</v>
      </c>
      <c r="F2127" s="152" t="s">
        <v>671</v>
      </c>
      <c r="G2127" s="152" t="s">
        <v>672</v>
      </c>
      <c r="I2127" s="513">
        <v>-2707.5</v>
      </c>
      <c r="J2127" s="513">
        <v>-1.9</v>
      </c>
      <c r="K2127" s="513">
        <v>1425</v>
      </c>
      <c r="L2127" s="518" t="s">
        <v>3637</v>
      </c>
      <c r="M2127" s="152" t="s">
        <v>780</v>
      </c>
      <c r="N2127" s="152" t="s">
        <v>781</v>
      </c>
      <c r="O2127" s="152" t="s">
        <v>4770</v>
      </c>
      <c r="P2127" s="152" t="s">
        <v>2865</v>
      </c>
      <c r="Q2127" s="152" t="s">
        <v>4771</v>
      </c>
      <c r="R2127" s="152" t="s">
        <v>953</v>
      </c>
      <c r="S2127" s="152" t="s">
        <v>4773</v>
      </c>
      <c r="T2127" s="152" t="s">
        <v>786</v>
      </c>
    </row>
    <row r="2128" spans="3:20">
      <c r="C2128" s="152" t="s">
        <v>2821</v>
      </c>
      <c r="F2128" s="152" t="s">
        <v>671</v>
      </c>
      <c r="G2128" s="152" t="s">
        <v>672</v>
      </c>
      <c r="I2128" s="513">
        <v>-2707.5</v>
      </c>
      <c r="J2128" s="513">
        <v>-1.9</v>
      </c>
      <c r="K2128" s="513">
        <v>1425</v>
      </c>
      <c r="L2128" s="518" t="s">
        <v>3637</v>
      </c>
      <c r="M2128" s="152" t="s">
        <v>780</v>
      </c>
      <c r="N2128" s="152" t="s">
        <v>781</v>
      </c>
      <c r="O2128" s="152" t="s">
        <v>4770</v>
      </c>
      <c r="P2128" s="152" t="s">
        <v>2865</v>
      </c>
      <c r="Q2128" s="152" t="s">
        <v>4771</v>
      </c>
      <c r="R2128" s="152" t="s">
        <v>953</v>
      </c>
      <c r="S2128" s="152" t="s">
        <v>4773</v>
      </c>
      <c r="T2128" s="152" t="s">
        <v>786</v>
      </c>
    </row>
    <row r="2129" spans="3:20">
      <c r="C2129" s="152" t="s">
        <v>2821</v>
      </c>
      <c r="F2129" s="152" t="s">
        <v>671</v>
      </c>
      <c r="G2129" s="152" t="s">
        <v>672</v>
      </c>
      <c r="I2129" s="513">
        <v>-2664.9</v>
      </c>
      <c r="J2129" s="513">
        <v>-1.89</v>
      </c>
      <c r="K2129" s="513">
        <v>1410</v>
      </c>
      <c r="L2129" s="518" t="s">
        <v>3498</v>
      </c>
      <c r="M2129" s="152" t="s">
        <v>780</v>
      </c>
      <c r="N2129" s="152" t="s">
        <v>781</v>
      </c>
      <c r="O2129" s="152" t="s">
        <v>4743</v>
      </c>
      <c r="P2129" s="152" t="s">
        <v>3489</v>
      </c>
      <c r="Q2129" s="152" t="s">
        <v>4744</v>
      </c>
      <c r="R2129" s="152" t="s">
        <v>953</v>
      </c>
      <c r="S2129" s="152" t="s">
        <v>4746</v>
      </c>
      <c r="T2129" s="152" t="s">
        <v>786</v>
      </c>
    </row>
    <row r="2130" spans="3:20">
      <c r="C2130" s="152" t="s">
        <v>2821</v>
      </c>
      <c r="F2130" s="152" t="s">
        <v>671</v>
      </c>
      <c r="G2130" s="152" t="s">
        <v>672</v>
      </c>
      <c r="I2130" s="513">
        <v>-2664.9</v>
      </c>
      <c r="J2130" s="513">
        <v>-1.89</v>
      </c>
      <c r="K2130" s="513">
        <v>1410</v>
      </c>
      <c r="L2130" s="518" t="s">
        <v>3498</v>
      </c>
      <c r="M2130" s="152" t="s">
        <v>780</v>
      </c>
      <c r="N2130" s="152" t="s">
        <v>781</v>
      </c>
      <c r="O2130" s="152" t="s">
        <v>4743</v>
      </c>
      <c r="P2130" s="152" t="s">
        <v>3489</v>
      </c>
      <c r="Q2130" s="152" t="s">
        <v>4744</v>
      </c>
      <c r="R2130" s="152" t="s">
        <v>953</v>
      </c>
      <c r="S2130" s="152" t="s">
        <v>4746</v>
      </c>
      <c r="T2130" s="152" t="s">
        <v>786</v>
      </c>
    </row>
    <row r="2131" spans="3:20">
      <c r="C2131" s="152" t="s">
        <v>2821</v>
      </c>
      <c r="F2131" s="152" t="s">
        <v>671</v>
      </c>
      <c r="G2131" s="152" t="s">
        <v>672</v>
      </c>
      <c r="I2131" s="513">
        <v>-2688.5</v>
      </c>
      <c r="J2131" s="513">
        <v>-1.9</v>
      </c>
      <c r="K2131" s="513">
        <v>1415</v>
      </c>
      <c r="L2131" s="518" t="s">
        <v>3498</v>
      </c>
      <c r="M2131" s="152" t="s">
        <v>780</v>
      </c>
      <c r="N2131" s="152" t="s">
        <v>781</v>
      </c>
      <c r="O2131" s="152" t="s">
        <v>4743</v>
      </c>
      <c r="P2131" s="152" t="s">
        <v>3489</v>
      </c>
      <c r="Q2131" s="152" t="s">
        <v>4744</v>
      </c>
      <c r="R2131" s="152" t="s">
        <v>953</v>
      </c>
      <c r="S2131" s="152" t="s">
        <v>4746</v>
      </c>
      <c r="T2131" s="152" t="s">
        <v>786</v>
      </c>
    </row>
    <row r="2132" spans="3:20">
      <c r="C2132" s="152" t="s">
        <v>2821</v>
      </c>
      <c r="F2132" s="152" t="s">
        <v>671</v>
      </c>
      <c r="G2132" s="152" t="s">
        <v>672</v>
      </c>
      <c r="I2132" s="513">
        <v>-2664.9</v>
      </c>
      <c r="J2132" s="513">
        <v>-1.89</v>
      </c>
      <c r="K2132" s="513">
        <v>1410</v>
      </c>
      <c r="L2132" s="518" t="s">
        <v>3498</v>
      </c>
      <c r="M2132" s="152" t="s">
        <v>780</v>
      </c>
      <c r="N2132" s="152" t="s">
        <v>781</v>
      </c>
      <c r="O2132" s="152" t="s">
        <v>4743</v>
      </c>
      <c r="P2132" s="152" t="s">
        <v>3489</v>
      </c>
      <c r="Q2132" s="152" t="s">
        <v>4744</v>
      </c>
      <c r="R2132" s="152" t="s">
        <v>953</v>
      </c>
      <c r="S2132" s="152" t="s">
        <v>4746</v>
      </c>
      <c r="T2132" s="152" t="s">
        <v>786</v>
      </c>
    </row>
    <row r="2133" spans="3:20">
      <c r="C2133" s="152" t="s">
        <v>2821</v>
      </c>
      <c r="F2133" s="152" t="s">
        <v>671</v>
      </c>
      <c r="G2133" s="152" t="s">
        <v>672</v>
      </c>
      <c r="I2133" s="513">
        <v>-70</v>
      </c>
      <c r="J2133" s="513">
        <v>-0.05</v>
      </c>
      <c r="K2133" s="513">
        <v>1400</v>
      </c>
      <c r="L2133" s="518" t="s">
        <v>3659</v>
      </c>
      <c r="M2133" s="152" t="s">
        <v>780</v>
      </c>
      <c r="N2133" s="152" t="s">
        <v>781</v>
      </c>
      <c r="O2133" s="152" t="s">
        <v>4791</v>
      </c>
      <c r="P2133" s="152" t="s">
        <v>3489</v>
      </c>
      <c r="Q2133" s="152" t="s">
        <v>4792</v>
      </c>
      <c r="R2133" s="152" t="s">
        <v>953</v>
      </c>
      <c r="S2133" s="152" t="s">
        <v>4793</v>
      </c>
      <c r="T2133" s="152" t="s">
        <v>786</v>
      </c>
    </row>
    <row r="2134" spans="3:20">
      <c r="C2134" s="152" t="s">
        <v>2821</v>
      </c>
      <c r="F2134" s="152" t="s">
        <v>671</v>
      </c>
      <c r="G2134" s="152" t="s">
        <v>672</v>
      </c>
      <c r="I2134" s="513">
        <v>-2744</v>
      </c>
      <c r="J2134" s="513">
        <v>-1.96</v>
      </c>
      <c r="K2134" s="513">
        <v>1400</v>
      </c>
      <c r="L2134" s="518" t="s">
        <v>3659</v>
      </c>
      <c r="M2134" s="152" t="s">
        <v>780</v>
      </c>
      <c r="N2134" s="152" t="s">
        <v>781</v>
      </c>
      <c r="O2134" s="152" t="s">
        <v>4791</v>
      </c>
      <c r="P2134" s="152" t="s">
        <v>3489</v>
      </c>
      <c r="Q2134" s="152" t="s">
        <v>4792</v>
      </c>
      <c r="R2134" s="152" t="s">
        <v>953</v>
      </c>
      <c r="S2134" s="152" t="s">
        <v>4793</v>
      </c>
      <c r="T2134" s="152" t="s">
        <v>786</v>
      </c>
    </row>
    <row r="2135" spans="3:20">
      <c r="C2135" s="152" t="s">
        <v>2821</v>
      </c>
      <c r="F2135" s="152" t="s">
        <v>671</v>
      </c>
      <c r="G2135" s="152" t="s">
        <v>672</v>
      </c>
      <c r="I2135" s="513">
        <v>-2655.45</v>
      </c>
      <c r="J2135" s="513">
        <v>-1.89</v>
      </c>
      <c r="K2135" s="513">
        <v>1405</v>
      </c>
      <c r="L2135" s="518" t="s">
        <v>3493</v>
      </c>
      <c r="M2135" s="152" t="s">
        <v>780</v>
      </c>
      <c r="N2135" s="152" t="s">
        <v>781</v>
      </c>
      <c r="O2135" s="152" t="s">
        <v>4755</v>
      </c>
      <c r="P2135" s="152" t="s">
        <v>3489</v>
      </c>
      <c r="Q2135" s="152" t="s">
        <v>4756</v>
      </c>
      <c r="R2135" s="152" t="s">
        <v>953</v>
      </c>
      <c r="S2135" s="152" t="s">
        <v>4758</v>
      </c>
      <c r="T2135" s="152" t="s">
        <v>786</v>
      </c>
    </row>
    <row r="2136" spans="3:20">
      <c r="C2136" s="152" t="s">
        <v>2821</v>
      </c>
      <c r="F2136" s="152" t="s">
        <v>671</v>
      </c>
      <c r="G2136" s="152" t="s">
        <v>672</v>
      </c>
      <c r="I2136" s="513">
        <v>-2707.5</v>
      </c>
      <c r="J2136" s="513">
        <v>-1.9</v>
      </c>
      <c r="K2136" s="513">
        <v>1425</v>
      </c>
      <c r="L2136" s="518" t="s">
        <v>3637</v>
      </c>
      <c r="M2136" s="152" t="s">
        <v>780</v>
      </c>
      <c r="N2136" s="152" t="s">
        <v>781</v>
      </c>
      <c r="O2136" s="152" t="s">
        <v>4770</v>
      </c>
      <c r="P2136" s="152" t="s">
        <v>2865</v>
      </c>
      <c r="Q2136" s="152" t="s">
        <v>4771</v>
      </c>
      <c r="R2136" s="152" t="s">
        <v>4795</v>
      </c>
      <c r="S2136" s="152" t="s">
        <v>4773</v>
      </c>
      <c r="T2136" s="152" t="s">
        <v>786</v>
      </c>
    </row>
    <row r="2137" spans="3:20">
      <c r="C2137" s="152" t="s">
        <v>2821</v>
      </c>
      <c r="F2137" s="152" t="s">
        <v>671</v>
      </c>
      <c r="G2137" s="152" t="s">
        <v>672</v>
      </c>
      <c r="I2137" s="513">
        <v>-2688.5</v>
      </c>
      <c r="J2137" s="513">
        <v>-1.9</v>
      </c>
      <c r="K2137" s="513">
        <v>1415</v>
      </c>
      <c r="L2137" s="518" t="s">
        <v>3498</v>
      </c>
      <c r="M2137" s="152" t="s">
        <v>780</v>
      </c>
      <c r="N2137" s="152" t="s">
        <v>781</v>
      </c>
      <c r="O2137" s="152" t="s">
        <v>4743</v>
      </c>
      <c r="P2137" s="152" t="s">
        <v>3489</v>
      </c>
      <c r="Q2137" s="152" t="s">
        <v>4744</v>
      </c>
      <c r="R2137" s="152" t="s">
        <v>4798</v>
      </c>
      <c r="S2137" s="152" t="s">
        <v>4746</v>
      </c>
      <c r="T2137" s="152" t="s">
        <v>786</v>
      </c>
    </row>
    <row r="2138" spans="3:20">
      <c r="C2138" s="152" t="s">
        <v>2821</v>
      </c>
      <c r="F2138" s="152" t="s">
        <v>671</v>
      </c>
      <c r="G2138" s="152" t="s">
        <v>672</v>
      </c>
      <c r="I2138" s="513">
        <v>-2745.1</v>
      </c>
      <c r="J2138" s="513">
        <v>-1.94</v>
      </c>
      <c r="K2138" s="513">
        <v>1415</v>
      </c>
      <c r="L2138" s="518" t="s">
        <v>3632</v>
      </c>
      <c r="M2138" s="152" t="s">
        <v>780</v>
      </c>
      <c r="N2138" s="152" t="s">
        <v>781</v>
      </c>
      <c r="O2138" s="152" t="s">
        <v>4735</v>
      </c>
      <c r="P2138" s="152" t="s">
        <v>3489</v>
      </c>
      <c r="Q2138" s="152" t="s">
        <v>4736</v>
      </c>
      <c r="R2138" s="152" t="s">
        <v>4801</v>
      </c>
      <c r="S2138" s="152" t="s">
        <v>4738</v>
      </c>
      <c r="T2138" s="152" t="s">
        <v>786</v>
      </c>
    </row>
    <row r="2139" spans="3:20">
      <c r="C2139" s="152" t="s">
        <v>2821</v>
      </c>
      <c r="F2139" s="152" t="s">
        <v>671</v>
      </c>
      <c r="G2139" s="152" t="s">
        <v>672</v>
      </c>
      <c r="I2139" s="513">
        <v>-1655.55</v>
      </c>
      <c r="J2139" s="513">
        <v>-1.17</v>
      </c>
      <c r="K2139" s="513">
        <v>1415</v>
      </c>
      <c r="L2139" s="518" t="s">
        <v>3498</v>
      </c>
      <c r="M2139" s="152" t="s">
        <v>780</v>
      </c>
      <c r="N2139" s="152" t="s">
        <v>781</v>
      </c>
      <c r="O2139" s="152" t="s">
        <v>4743</v>
      </c>
      <c r="P2139" s="152" t="s">
        <v>3489</v>
      </c>
      <c r="Q2139" s="152" t="s">
        <v>4744</v>
      </c>
      <c r="R2139" s="152" t="s">
        <v>4802</v>
      </c>
      <c r="S2139" s="152" t="s">
        <v>4746</v>
      </c>
      <c r="T2139" s="152" t="s">
        <v>786</v>
      </c>
    </row>
    <row r="2140" spans="3:20">
      <c r="C2140" s="152" t="s">
        <v>2821</v>
      </c>
      <c r="F2140" s="152" t="s">
        <v>671</v>
      </c>
      <c r="G2140" s="152" t="s">
        <v>672</v>
      </c>
      <c r="I2140" s="513">
        <v>-2721.75</v>
      </c>
      <c r="J2140" s="513">
        <v>-1.91</v>
      </c>
      <c r="K2140" s="513">
        <v>1425</v>
      </c>
      <c r="L2140" s="518" t="s">
        <v>3637</v>
      </c>
      <c r="M2140" s="152" t="s">
        <v>780</v>
      </c>
      <c r="N2140" s="152" t="s">
        <v>781</v>
      </c>
      <c r="O2140" s="152" t="s">
        <v>4770</v>
      </c>
      <c r="P2140" s="152" t="s">
        <v>2865</v>
      </c>
      <c r="Q2140" s="152" t="s">
        <v>4771</v>
      </c>
      <c r="R2140" s="152" t="s">
        <v>4803</v>
      </c>
      <c r="S2140" s="152" t="s">
        <v>4773</v>
      </c>
      <c r="T2140" s="152" t="s">
        <v>786</v>
      </c>
    </row>
    <row r="2141" spans="3:20">
      <c r="C2141" s="152" t="s">
        <v>2821</v>
      </c>
      <c r="F2141" s="152" t="s">
        <v>671</v>
      </c>
      <c r="G2141" s="152" t="s">
        <v>672</v>
      </c>
      <c r="I2141" s="513">
        <v>-2198415.6</v>
      </c>
      <c r="J2141" s="513">
        <v>-1559.16</v>
      </c>
      <c r="K2141" s="513">
        <v>1410</v>
      </c>
      <c r="L2141" s="518" t="s">
        <v>3498</v>
      </c>
      <c r="M2141" s="152" t="s">
        <v>780</v>
      </c>
      <c r="N2141" s="152" t="s">
        <v>781</v>
      </c>
      <c r="O2141" s="152" t="s">
        <v>4743</v>
      </c>
      <c r="P2141" s="152" t="s">
        <v>3489</v>
      </c>
      <c r="Q2141" s="152" t="s">
        <v>4744</v>
      </c>
      <c r="R2141" s="152" t="s">
        <v>4808</v>
      </c>
      <c r="S2141" s="152" t="s">
        <v>4746</v>
      </c>
      <c r="T2141" s="152" t="s">
        <v>786</v>
      </c>
    </row>
    <row r="2142" spans="3:20">
      <c r="C2142" s="152" t="s">
        <v>2821</v>
      </c>
      <c r="F2142" s="152" t="s">
        <v>671</v>
      </c>
      <c r="G2142" s="152" t="s">
        <v>672</v>
      </c>
      <c r="I2142" s="513">
        <v>-456876</v>
      </c>
      <c r="J2142" s="513">
        <v>-326.33999999999997</v>
      </c>
      <c r="K2142" s="513">
        <v>1400</v>
      </c>
      <c r="L2142" s="518" t="s">
        <v>3659</v>
      </c>
      <c r="M2142" s="152" t="s">
        <v>780</v>
      </c>
      <c r="N2142" s="152" t="s">
        <v>781</v>
      </c>
      <c r="O2142" s="152" t="s">
        <v>4791</v>
      </c>
      <c r="P2142" s="152" t="s">
        <v>3489</v>
      </c>
      <c r="Q2142" s="152" t="s">
        <v>4792</v>
      </c>
      <c r="R2142" s="152" t="s">
        <v>4808</v>
      </c>
      <c r="S2142" s="152" t="s">
        <v>4793</v>
      </c>
      <c r="T2142" s="152" t="s">
        <v>786</v>
      </c>
    </row>
    <row r="2143" spans="3:20">
      <c r="C2143" s="152" t="s">
        <v>2821</v>
      </c>
      <c r="F2143" s="152" t="s">
        <v>671</v>
      </c>
      <c r="G2143" s="152" t="s">
        <v>672</v>
      </c>
      <c r="I2143" s="513">
        <v>-5189201.2</v>
      </c>
      <c r="J2143" s="513">
        <v>-3667.28</v>
      </c>
      <c r="K2143" s="513">
        <v>1415</v>
      </c>
      <c r="L2143" s="518" t="s">
        <v>3632</v>
      </c>
      <c r="M2143" s="152" t="s">
        <v>780</v>
      </c>
      <c r="N2143" s="152" t="s">
        <v>781</v>
      </c>
      <c r="O2143" s="152" t="s">
        <v>4735</v>
      </c>
      <c r="P2143" s="152" t="s">
        <v>3489</v>
      </c>
      <c r="Q2143" s="152" t="s">
        <v>4736</v>
      </c>
      <c r="R2143" s="152" t="s">
        <v>4809</v>
      </c>
      <c r="S2143" s="152" t="s">
        <v>4738</v>
      </c>
      <c r="T2143" s="152" t="s">
        <v>786</v>
      </c>
    </row>
    <row r="2144" spans="3:20">
      <c r="C2144" s="152" t="s">
        <v>2821</v>
      </c>
      <c r="F2144" s="152" t="s">
        <v>671</v>
      </c>
      <c r="G2144" s="152" t="s">
        <v>672</v>
      </c>
      <c r="I2144" s="513">
        <v>-418836</v>
      </c>
      <c r="J2144" s="513">
        <v>-293.92</v>
      </c>
      <c r="K2144" s="513">
        <v>1425</v>
      </c>
      <c r="L2144" s="518" t="s">
        <v>3504</v>
      </c>
      <c r="M2144" s="152" t="s">
        <v>780</v>
      </c>
      <c r="N2144" s="152" t="s">
        <v>781</v>
      </c>
      <c r="O2144" s="152" t="s">
        <v>4739</v>
      </c>
      <c r="P2144" s="152" t="s">
        <v>3489</v>
      </c>
      <c r="Q2144" s="152" t="s">
        <v>4740</v>
      </c>
      <c r="R2144" s="152" t="s">
        <v>941</v>
      </c>
      <c r="S2144" s="152" t="s">
        <v>4742</v>
      </c>
      <c r="T2144" s="152" t="s">
        <v>786</v>
      </c>
    </row>
    <row r="2145" spans="3:20">
      <c r="C2145" s="152" t="s">
        <v>2821</v>
      </c>
      <c r="F2145" s="152" t="s">
        <v>671</v>
      </c>
      <c r="G2145" s="152" t="s">
        <v>672</v>
      </c>
      <c r="I2145" s="513">
        <v>-431914.6</v>
      </c>
      <c r="J2145" s="513">
        <v>-305.24</v>
      </c>
      <c r="K2145" s="513">
        <v>1415</v>
      </c>
      <c r="L2145" s="518" t="s">
        <v>3632</v>
      </c>
      <c r="M2145" s="152" t="s">
        <v>780</v>
      </c>
      <c r="N2145" s="152" t="s">
        <v>781</v>
      </c>
      <c r="O2145" s="152" t="s">
        <v>4735</v>
      </c>
      <c r="P2145" s="152" t="s">
        <v>3489</v>
      </c>
      <c r="Q2145" s="152" t="s">
        <v>4736</v>
      </c>
      <c r="R2145" s="152" t="s">
        <v>4810</v>
      </c>
      <c r="S2145" s="152" t="s">
        <v>4738</v>
      </c>
      <c r="T2145" s="152" t="s">
        <v>786</v>
      </c>
    </row>
    <row r="2146" spans="3:20">
      <c r="C2146" s="152" t="s">
        <v>2821</v>
      </c>
      <c r="F2146" s="152" t="s">
        <v>671</v>
      </c>
      <c r="G2146" s="152" t="s">
        <v>672</v>
      </c>
      <c r="I2146" s="513">
        <v>-449103</v>
      </c>
      <c r="J2146" s="513">
        <v>-315.16000000000003</v>
      </c>
      <c r="K2146" s="513">
        <v>1425</v>
      </c>
      <c r="L2146" s="518" t="s">
        <v>3637</v>
      </c>
      <c r="M2146" s="152" t="s">
        <v>780</v>
      </c>
      <c r="N2146" s="152" t="s">
        <v>781</v>
      </c>
      <c r="O2146" s="152" t="s">
        <v>4770</v>
      </c>
      <c r="P2146" s="152" t="s">
        <v>2865</v>
      </c>
      <c r="Q2146" s="152" t="s">
        <v>4771</v>
      </c>
      <c r="R2146" s="152" t="s">
        <v>4811</v>
      </c>
      <c r="S2146" s="152" t="s">
        <v>4773</v>
      </c>
      <c r="T2146" s="152" t="s">
        <v>786</v>
      </c>
    </row>
    <row r="2147" spans="3:20">
      <c r="C2147" s="152" t="s">
        <v>2821</v>
      </c>
      <c r="F2147" s="152" t="s">
        <v>671</v>
      </c>
      <c r="G2147" s="152" t="s">
        <v>672</v>
      </c>
      <c r="I2147" s="513">
        <v>-29106.55</v>
      </c>
      <c r="J2147" s="513">
        <v>-20.57</v>
      </c>
      <c r="K2147" s="513">
        <v>1415</v>
      </c>
      <c r="L2147" s="518" t="s">
        <v>3498</v>
      </c>
      <c r="M2147" s="152" t="s">
        <v>780</v>
      </c>
      <c r="N2147" s="152" t="s">
        <v>781</v>
      </c>
      <c r="O2147" s="152" t="s">
        <v>4743</v>
      </c>
      <c r="P2147" s="152" t="s">
        <v>3489</v>
      </c>
      <c r="Q2147" s="152" t="s">
        <v>4744</v>
      </c>
      <c r="R2147" s="152" t="s">
        <v>4812</v>
      </c>
      <c r="S2147" s="152" t="s">
        <v>4746</v>
      </c>
      <c r="T2147" s="152" t="s">
        <v>786</v>
      </c>
    </row>
    <row r="2148" spans="3:20">
      <c r="C2148" s="152" t="s">
        <v>2821</v>
      </c>
      <c r="F2148" s="152" t="s">
        <v>671</v>
      </c>
      <c r="G2148" s="152" t="s">
        <v>672</v>
      </c>
      <c r="I2148" s="513">
        <v>-176323.15</v>
      </c>
      <c r="J2148" s="513">
        <v>-124.61</v>
      </c>
      <c r="K2148" s="513">
        <v>1415</v>
      </c>
      <c r="L2148" s="518" t="s">
        <v>3498</v>
      </c>
      <c r="M2148" s="152" t="s">
        <v>780</v>
      </c>
      <c r="N2148" s="152" t="s">
        <v>781</v>
      </c>
      <c r="O2148" s="152" t="s">
        <v>4743</v>
      </c>
      <c r="P2148" s="152" t="s">
        <v>3489</v>
      </c>
      <c r="Q2148" s="152" t="s">
        <v>4744</v>
      </c>
      <c r="R2148" s="152" t="s">
        <v>4815</v>
      </c>
      <c r="S2148" s="152" t="s">
        <v>4746</v>
      </c>
      <c r="T2148" s="152" t="s">
        <v>786</v>
      </c>
    </row>
    <row r="2149" spans="3:20">
      <c r="C2149" s="152" t="s">
        <v>2821</v>
      </c>
      <c r="F2149" s="152" t="s">
        <v>671</v>
      </c>
      <c r="G2149" s="152" t="s">
        <v>672</v>
      </c>
      <c r="I2149" s="513">
        <v>-29953.5</v>
      </c>
      <c r="J2149" s="513">
        <v>-21.02</v>
      </c>
      <c r="K2149" s="513">
        <v>1425</v>
      </c>
      <c r="L2149" s="518" t="s">
        <v>3637</v>
      </c>
      <c r="M2149" s="152" t="s">
        <v>780</v>
      </c>
      <c r="N2149" s="152" t="s">
        <v>781</v>
      </c>
      <c r="O2149" s="152" t="s">
        <v>4770</v>
      </c>
      <c r="P2149" s="152" t="s">
        <v>2865</v>
      </c>
      <c r="Q2149" s="152" t="s">
        <v>4771</v>
      </c>
      <c r="R2149" s="152" t="s">
        <v>4826</v>
      </c>
      <c r="S2149" s="152" t="s">
        <v>4773</v>
      </c>
      <c r="T2149" s="152" t="s">
        <v>786</v>
      </c>
    </row>
    <row r="2150" spans="3:20">
      <c r="C2150" s="152" t="s">
        <v>2821</v>
      </c>
      <c r="F2150" s="152" t="s">
        <v>671</v>
      </c>
      <c r="G2150" s="152" t="s">
        <v>672</v>
      </c>
      <c r="I2150" s="513">
        <v>-383952</v>
      </c>
      <c r="J2150" s="513">
        <v>-269.44</v>
      </c>
      <c r="K2150" s="513">
        <v>1425</v>
      </c>
      <c r="L2150" s="518" t="s">
        <v>3637</v>
      </c>
      <c r="M2150" s="152" t="s">
        <v>780</v>
      </c>
      <c r="N2150" s="152" t="s">
        <v>781</v>
      </c>
      <c r="O2150" s="152" t="s">
        <v>4770</v>
      </c>
      <c r="P2150" s="152" t="s">
        <v>2865</v>
      </c>
      <c r="Q2150" s="152" t="s">
        <v>4771</v>
      </c>
      <c r="R2150" s="152" t="s">
        <v>4834</v>
      </c>
      <c r="S2150" s="152" t="s">
        <v>4773</v>
      </c>
      <c r="T2150" s="152" t="s">
        <v>786</v>
      </c>
    </row>
    <row r="2151" spans="3:20">
      <c r="C2151" s="152" t="s">
        <v>2821</v>
      </c>
      <c r="F2151" s="152" t="s">
        <v>671</v>
      </c>
      <c r="G2151" s="152" t="s">
        <v>672</v>
      </c>
      <c r="I2151" s="513">
        <v>-370614</v>
      </c>
      <c r="J2151" s="513">
        <v>-260.08</v>
      </c>
      <c r="K2151" s="513">
        <v>1425</v>
      </c>
      <c r="L2151" s="518" t="s">
        <v>3637</v>
      </c>
      <c r="M2151" s="152" t="s">
        <v>780</v>
      </c>
      <c r="N2151" s="152" t="s">
        <v>781</v>
      </c>
      <c r="O2151" s="152" t="s">
        <v>4770</v>
      </c>
      <c r="P2151" s="152" t="s">
        <v>2865</v>
      </c>
      <c r="Q2151" s="152" t="s">
        <v>4771</v>
      </c>
      <c r="R2151" s="152" t="s">
        <v>4835</v>
      </c>
      <c r="S2151" s="152" t="s">
        <v>4773</v>
      </c>
      <c r="T2151" s="152" t="s">
        <v>786</v>
      </c>
    </row>
    <row r="2152" spans="3:20">
      <c r="C2152" s="152" t="s">
        <v>2821</v>
      </c>
      <c r="F2152" s="152" t="s">
        <v>671</v>
      </c>
      <c r="G2152" s="152" t="s">
        <v>672</v>
      </c>
      <c r="I2152" s="513">
        <v>-6300395.25</v>
      </c>
      <c r="J2152" s="513">
        <v>-4421.33</v>
      </c>
      <c r="K2152" s="513">
        <v>1425</v>
      </c>
      <c r="L2152" s="518" t="s">
        <v>3637</v>
      </c>
      <c r="M2152" s="152" t="s">
        <v>780</v>
      </c>
      <c r="N2152" s="152" t="s">
        <v>781</v>
      </c>
      <c r="O2152" s="152" t="s">
        <v>4770</v>
      </c>
      <c r="P2152" s="152" t="s">
        <v>2865</v>
      </c>
      <c r="Q2152" s="152" t="s">
        <v>4771</v>
      </c>
      <c r="R2152" s="152" t="s">
        <v>4836</v>
      </c>
      <c r="S2152" s="152" t="s">
        <v>4773</v>
      </c>
      <c r="T2152" s="152" t="s">
        <v>786</v>
      </c>
    </row>
    <row r="2153" spans="3:20">
      <c r="C2153" s="152" t="s">
        <v>2821</v>
      </c>
      <c r="F2153" s="152" t="s">
        <v>671</v>
      </c>
      <c r="G2153" s="152" t="s">
        <v>672</v>
      </c>
      <c r="I2153" s="513">
        <v>-520381.5</v>
      </c>
      <c r="J2153" s="513">
        <v>-365.18</v>
      </c>
      <c r="K2153" s="513">
        <v>1425</v>
      </c>
      <c r="L2153" s="518" t="s">
        <v>3637</v>
      </c>
      <c r="M2153" s="152" t="s">
        <v>780</v>
      </c>
      <c r="N2153" s="152" t="s">
        <v>781</v>
      </c>
      <c r="O2153" s="152" t="s">
        <v>4770</v>
      </c>
      <c r="P2153" s="152" t="s">
        <v>2865</v>
      </c>
      <c r="Q2153" s="152" t="s">
        <v>4771</v>
      </c>
      <c r="R2153" s="152" t="s">
        <v>1251</v>
      </c>
      <c r="S2153" s="152" t="s">
        <v>4773</v>
      </c>
      <c r="T2153" s="152" t="s">
        <v>786</v>
      </c>
    </row>
    <row r="2154" spans="3:20">
      <c r="C2154" s="152" t="s">
        <v>2821</v>
      </c>
      <c r="F2154" s="152" t="s">
        <v>671</v>
      </c>
      <c r="G2154" s="152" t="s">
        <v>672</v>
      </c>
      <c r="I2154" s="513">
        <v>-500457.2</v>
      </c>
      <c r="J2154" s="513">
        <v>-353.68</v>
      </c>
      <c r="K2154" s="513">
        <v>1415</v>
      </c>
      <c r="L2154" s="518" t="s">
        <v>3632</v>
      </c>
      <c r="M2154" s="152" t="s">
        <v>780</v>
      </c>
      <c r="N2154" s="152" t="s">
        <v>781</v>
      </c>
      <c r="O2154" s="152" t="s">
        <v>4735</v>
      </c>
      <c r="P2154" s="152" t="s">
        <v>3489</v>
      </c>
      <c r="Q2154" s="152" t="s">
        <v>4736</v>
      </c>
      <c r="R2154" s="152" t="s">
        <v>4837</v>
      </c>
      <c r="S2154" s="152" t="s">
        <v>4738</v>
      </c>
      <c r="T2154" s="152" t="s">
        <v>786</v>
      </c>
    </row>
    <row r="2155" spans="3:20">
      <c r="C2155" s="152" t="s">
        <v>2821</v>
      </c>
      <c r="F2155" s="152" t="s">
        <v>671</v>
      </c>
      <c r="G2155" s="152" t="s">
        <v>672</v>
      </c>
      <c r="I2155" s="513">
        <v>-553427.25</v>
      </c>
      <c r="J2155" s="513">
        <v>-388.37</v>
      </c>
      <c r="K2155" s="513">
        <v>1425</v>
      </c>
      <c r="L2155" s="518" t="s">
        <v>3637</v>
      </c>
      <c r="M2155" s="152" t="s">
        <v>780</v>
      </c>
      <c r="N2155" s="152" t="s">
        <v>781</v>
      </c>
      <c r="O2155" s="152" t="s">
        <v>4770</v>
      </c>
      <c r="P2155" s="152" t="s">
        <v>2865</v>
      </c>
      <c r="Q2155" s="152" t="s">
        <v>4771</v>
      </c>
      <c r="R2155" s="152" t="s">
        <v>4838</v>
      </c>
      <c r="S2155" s="152" t="s">
        <v>4773</v>
      </c>
      <c r="T2155" s="152" t="s">
        <v>786</v>
      </c>
    </row>
    <row r="2156" spans="3:20">
      <c r="C2156" s="152" t="s">
        <v>2821</v>
      </c>
      <c r="F2156" s="152" t="s">
        <v>671</v>
      </c>
      <c r="G2156" s="152" t="s">
        <v>672</v>
      </c>
      <c r="I2156" s="513">
        <v>-388356.05</v>
      </c>
      <c r="J2156" s="513">
        <v>-276.41000000000003</v>
      </c>
      <c r="K2156" s="513">
        <v>1405</v>
      </c>
      <c r="L2156" s="518" t="s">
        <v>3493</v>
      </c>
      <c r="M2156" s="152" t="s">
        <v>780</v>
      </c>
      <c r="N2156" s="152" t="s">
        <v>781</v>
      </c>
      <c r="O2156" s="152" t="s">
        <v>4755</v>
      </c>
      <c r="P2156" s="152" t="s">
        <v>3489</v>
      </c>
      <c r="Q2156" s="152" t="s">
        <v>4756</v>
      </c>
      <c r="R2156" s="152" t="s">
        <v>4839</v>
      </c>
      <c r="S2156" s="152" t="s">
        <v>4758</v>
      </c>
      <c r="T2156" s="152" t="s">
        <v>786</v>
      </c>
    </row>
    <row r="2157" spans="3:20">
      <c r="C2157" s="152" t="s">
        <v>2821</v>
      </c>
      <c r="F2157" s="152" t="s">
        <v>671</v>
      </c>
      <c r="G2157" s="152" t="s">
        <v>672</v>
      </c>
      <c r="I2157" s="513">
        <v>-2973690</v>
      </c>
      <c r="J2157" s="513">
        <v>-2109</v>
      </c>
      <c r="K2157" s="513">
        <v>1410</v>
      </c>
      <c r="L2157" s="518" t="s">
        <v>3498</v>
      </c>
      <c r="M2157" s="152" t="s">
        <v>780</v>
      </c>
      <c r="N2157" s="152" t="s">
        <v>781</v>
      </c>
      <c r="O2157" s="152" t="s">
        <v>4743</v>
      </c>
      <c r="P2157" s="152" t="s">
        <v>3489</v>
      </c>
      <c r="Q2157" s="152" t="s">
        <v>4744</v>
      </c>
      <c r="R2157" s="152" t="s">
        <v>4841</v>
      </c>
      <c r="S2157" s="152" t="s">
        <v>4746</v>
      </c>
      <c r="T2157" s="152" t="s">
        <v>786</v>
      </c>
    </row>
    <row r="2158" spans="3:20">
      <c r="C2158" s="152" t="s">
        <v>2821</v>
      </c>
      <c r="F2158" s="152" t="s">
        <v>671</v>
      </c>
      <c r="G2158" s="152" t="s">
        <v>672</v>
      </c>
      <c r="I2158" s="513">
        <v>-86598</v>
      </c>
      <c r="J2158" s="513">
        <v>-61.2</v>
      </c>
      <c r="K2158" s="513">
        <v>1415</v>
      </c>
      <c r="L2158" s="518" t="s">
        <v>3498</v>
      </c>
      <c r="M2158" s="152" t="s">
        <v>780</v>
      </c>
      <c r="N2158" s="152" t="s">
        <v>781</v>
      </c>
      <c r="O2158" s="152" t="s">
        <v>4743</v>
      </c>
      <c r="P2158" s="152" t="s">
        <v>3489</v>
      </c>
      <c r="Q2158" s="152" t="s">
        <v>4744</v>
      </c>
      <c r="R2158" s="152" t="s">
        <v>4845</v>
      </c>
      <c r="S2158" s="152" t="s">
        <v>4746</v>
      </c>
      <c r="T2158" s="152" t="s">
        <v>786</v>
      </c>
    </row>
    <row r="2159" spans="3:20">
      <c r="C2159" s="152" t="s">
        <v>2821</v>
      </c>
      <c r="F2159" s="152" t="s">
        <v>671</v>
      </c>
      <c r="G2159" s="152" t="s">
        <v>672</v>
      </c>
      <c r="I2159" s="513">
        <v>-718872</v>
      </c>
      <c r="J2159" s="513">
        <v>-513.48</v>
      </c>
      <c r="K2159" s="513">
        <v>1400</v>
      </c>
      <c r="L2159" s="518" t="s">
        <v>3659</v>
      </c>
      <c r="M2159" s="152" t="s">
        <v>780</v>
      </c>
      <c r="N2159" s="152" t="s">
        <v>781</v>
      </c>
      <c r="O2159" s="152" t="s">
        <v>4791</v>
      </c>
      <c r="P2159" s="152" t="s">
        <v>3489</v>
      </c>
      <c r="Q2159" s="152" t="s">
        <v>4792</v>
      </c>
      <c r="R2159" s="152" t="s">
        <v>4846</v>
      </c>
      <c r="S2159" s="152" t="s">
        <v>4793</v>
      </c>
      <c r="T2159" s="152" t="s">
        <v>786</v>
      </c>
    </row>
    <row r="2160" spans="3:20">
      <c r="C2160" s="152" t="s">
        <v>2821</v>
      </c>
      <c r="F2160" s="152" t="s">
        <v>671</v>
      </c>
      <c r="G2160" s="152" t="s">
        <v>672</v>
      </c>
      <c r="I2160" s="513">
        <v>7125000</v>
      </c>
      <c r="J2160" s="513">
        <v>5000</v>
      </c>
      <c r="K2160" s="513">
        <v>1425</v>
      </c>
      <c r="L2160" s="518" t="s">
        <v>3727</v>
      </c>
      <c r="M2160" s="152" t="s">
        <v>780</v>
      </c>
      <c r="N2160" s="152" t="s">
        <v>781</v>
      </c>
      <c r="O2160" s="152" t="s">
        <v>4847</v>
      </c>
      <c r="P2160" s="152" t="s">
        <v>3489</v>
      </c>
      <c r="Q2160" s="152" t="s">
        <v>4848</v>
      </c>
      <c r="R2160" s="152" t="s">
        <v>1107</v>
      </c>
      <c r="S2160" s="152" t="s">
        <v>4849</v>
      </c>
      <c r="T2160" s="152" t="s">
        <v>786</v>
      </c>
    </row>
    <row r="2161" spans="3:20">
      <c r="C2161" s="152" t="s">
        <v>2821</v>
      </c>
      <c r="F2161" s="152" t="s">
        <v>671</v>
      </c>
      <c r="G2161" s="152" t="s">
        <v>672</v>
      </c>
      <c r="I2161" s="513">
        <v>1052038.3500000001</v>
      </c>
      <c r="J2161" s="513">
        <v>743.49</v>
      </c>
      <c r="K2161" s="513">
        <v>1415</v>
      </c>
      <c r="L2161" s="518" t="s">
        <v>3632</v>
      </c>
      <c r="M2161" s="152" t="s">
        <v>780</v>
      </c>
      <c r="N2161" s="152" t="s">
        <v>781</v>
      </c>
      <c r="O2161" s="152" t="s">
        <v>4850</v>
      </c>
      <c r="P2161" s="152" t="s">
        <v>3489</v>
      </c>
      <c r="Q2161" s="152" t="s">
        <v>4851</v>
      </c>
      <c r="R2161" s="152" t="s">
        <v>1107</v>
      </c>
      <c r="S2161" s="152" t="s">
        <v>4852</v>
      </c>
      <c r="T2161" s="152" t="s">
        <v>786</v>
      </c>
    </row>
    <row r="2162" spans="3:20">
      <c r="C2162" s="152" t="s">
        <v>2821</v>
      </c>
      <c r="F2162" s="152" t="s">
        <v>671</v>
      </c>
      <c r="G2162" s="152" t="s">
        <v>672</v>
      </c>
      <c r="I2162" s="513">
        <v>8490000</v>
      </c>
      <c r="J2162" s="513">
        <v>6000</v>
      </c>
      <c r="K2162" s="513">
        <v>1415</v>
      </c>
      <c r="L2162" s="518" t="s">
        <v>3632</v>
      </c>
      <c r="M2162" s="152" t="s">
        <v>780</v>
      </c>
      <c r="N2162" s="152" t="s">
        <v>781</v>
      </c>
      <c r="O2162" s="152" t="s">
        <v>4850</v>
      </c>
      <c r="P2162" s="152" t="s">
        <v>3489</v>
      </c>
      <c r="Q2162" s="152" t="s">
        <v>4851</v>
      </c>
      <c r="R2162" s="152" t="s">
        <v>1107</v>
      </c>
      <c r="S2162" s="152" t="s">
        <v>4852</v>
      </c>
      <c r="T2162" s="152" t="s">
        <v>786</v>
      </c>
    </row>
    <row r="2163" spans="3:20">
      <c r="C2163" s="152" t="s">
        <v>2821</v>
      </c>
      <c r="F2163" s="152" t="s">
        <v>671</v>
      </c>
      <c r="G2163" s="152" t="s">
        <v>672</v>
      </c>
      <c r="I2163" s="513">
        <v>-2494956.2999999998</v>
      </c>
      <c r="J2163" s="513">
        <v>-1763.22</v>
      </c>
      <c r="K2163" s="513">
        <v>1415</v>
      </c>
      <c r="L2163" s="518" t="s">
        <v>3632</v>
      </c>
      <c r="M2163" s="152" t="s">
        <v>780</v>
      </c>
      <c r="N2163" s="152" t="s">
        <v>781</v>
      </c>
      <c r="O2163" s="152" t="s">
        <v>4735</v>
      </c>
      <c r="P2163" s="152" t="s">
        <v>3489</v>
      </c>
      <c r="Q2163" s="152" t="s">
        <v>4736</v>
      </c>
      <c r="R2163" s="152" t="s">
        <v>1181</v>
      </c>
      <c r="S2163" s="152" t="s">
        <v>4738</v>
      </c>
      <c r="T2163" s="152" t="s">
        <v>786</v>
      </c>
    </row>
    <row r="2164" spans="3:20">
      <c r="C2164" s="152" t="s">
        <v>2821</v>
      </c>
      <c r="F2164" s="152" t="s">
        <v>671</v>
      </c>
      <c r="G2164" s="152" t="s">
        <v>672</v>
      </c>
      <c r="I2164" s="513">
        <v>-981656.25</v>
      </c>
      <c r="J2164" s="513">
        <v>-693.75</v>
      </c>
      <c r="K2164" s="513">
        <v>1415</v>
      </c>
      <c r="L2164" s="518" t="s">
        <v>3498</v>
      </c>
      <c r="M2164" s="152" t="s">
        <v>780</v>
      </c>
      <c r="N2164" s="152" t="s">
        <v>781</v>
      </c>
      <c r="O2164" s="152" t="s">
        <v>4743</v>
      </c>
      <c r="P2164" s="152" t="s">
        <v>3489</v>
      </c>
      <c r="Q2164" s="152" t="s">
        <v>4744</v>
      </c>
      <c r="R2164" s="152" t="s">
        <v>4857</v>
      </c>
      <c r="S2164" s="152" t="s">
        <v>4746</v>
      </c>
      <c r="T2164" s="152" t="s">
        <v>786</v>
      </c>
    </row>
    <row r="2165" spans="3:20">
      <c r="C2165" s="152" t="s">
        <v>2821</v>
      </c>
      <c r="F2165" s="152" t="s">
        <v>671</v>
      </c>
      <c r="G2165" s="152" t="s">
        <v>672</v>
      </c>
      <c r="I2165" s="513">
        <v>-646982</v>
      </c>
      <c r="J2165" s="513">
        <v>-462.13</v>
      </c>
      <c r="K2165" s="513">
        <v>1400</v>
      </c>
      <c r="L2165" s="518" t="s">
        <v>3659</v>
      </c>
      <c r="M2165" s="152" t="s">
        <v>780</v>
      </c>
      <c r="N2165" s="152" t="s">
        <v>781</v>
      </c>
      <c r="O2165" s="152" t="s">
        <v>4791</v>
      </c>
      <c r="P2165" s="152" t="s">
        <v>3489</v>
      </c>
      <c r="Q2165" s="152" t="s">
        <v>4792</v>
      </c>
      <c r="R2165" s="152" t="s">
        <v>4859</v>
      </c>
      <c r="S2165" s="152" t="s">
        <v>4793</v>
      </c>
      <c r="T2165" s="152" t="s">
        <v>786</v>
      </c>
    </row>
    <row r="2166" spans="3:20">
      <c r="C2166" s="152" t="s">
        <v>2821</v>
      </c>
      <c r="F2166" s="152" t="s">
        <v>671</v>
      </c>
      <c r="G2166" s="152" t="s">
        <v>672</v>
      </c>
      <c r="I2166" s="513">
        <v>-1870491.9</v>
      </c>
      <c r="J2166" s="513">
        <v>-1326.59</v>
      </c>
      <c r="K2166" s="513">
        <v>1410</v>
      </c>
      <c r="L2166" s="518" t="s">
        <v>3498</v>
      </c>
      <c r="M2166" s="152" t="s">
        <v>780</v>
      </c>
      <c r="N2166" s="152" t="s">
        <v>781</v>
      </c>
      <c r="O2166" s="152" t="s">
        <v>4743</v>
      </c>
      <c r="P2166" s="152" t="s">
        <v>3489</v>
      </c>
      <c r="Q2166" s="152" t="s">
        <v>4744</v>
      </c>
      <c r="R2166" s="152" t="s">
        <v>4860</v>
      </c>
      <c r="S2166" s="152" t="s">
        <v>4746</v>
      </c>
      <c r="T2166" s="152" t="s">
        <v>786</v>
      </c>
    </row>
    <row r="2167" spans="3:20">
      <c r="C2167" s="152" t="s">
        <v>2821</v>
      </c>
      <c r="F2167" s="152" t="s">
        <v>671</v>
      </c>
      <c r="G2167" s="152" t="s">
        <v>672</v>
      </c>
      <c r="I2167" s="513">
        <v>7125000</v>
      </c>
      <c r="J2167" s="513">
        <v>5000</v>
      </c>
      <c r="K2167" s="513">
        <v>1425</v>
      </c>
      <c r="L2167" s="518" t="s">
        <v>3637</v>
      </c>
      <c r="M2167" s="152" t="s">
        <v>780</v>
      </c>
      <c r="N2167" s="152" t="s">
        <v>781</v>
      </c>
      <c r="O2167" s="152" t="s">
        <v>5021</v>
      </c>
      <c r="P2167" s="152" t="s">
        <v>2865</v>
      </c>
      <c r="Q2167" s="152" t="s">
        <v>5022</v>
      </c>
      <c r="R2167" s="152" t="s">
        <v>5022</v>
      </c>
      <c r="S2167" s="152" t="s">
        <v>5023</v>
      </c>
      <c r="T2167" s="152" t="s">
        <v>786</v>
      </c>
    </row>
    <row r="2168" spans="3:20">
      <c r="C2168" s="152" t="s">
        <v>2821</v>
      </c>
      <c r="F2168" s="152" t="s">
        <v>671</v>
      </c>
      <c r="G2168" s="152" t="s">
        <v>672</v>
      </c>
      <c r="I2168" s="513">
        <v>4275000</v>
      </c>
      <c r="J2168" s="513">
        <v>3000</v>
      </c>
      <c r="K2168" s="513">
        <v>1425</v>
      </c>
      <c r="L2168" s="518" t="s">
        <v>3637</v>
      </c>
      <c r="M2168" s="152" t="s">
        <v>780</v>
      </c>
      <c r="N2168" s="152" t="s">
        <v>781</v>
      </c>
      <c r="O2168" s="152" t="s">
        <v>5024</v>
      </c>
      <c r="P2168" s="152" t="s">
        <v>2865</v>
      </c>
      <c r="Q2168" s="152" t="s">
        <v>5025</v>
      </c>
      <c r="R2168" s="152" t="s">
        <v>5025</v>
      </c>
      <c r="S2168" s="152" t="s">
        <v>5026</v>
      </c>
      <c r="T2168" s="152" t="s">
        <v>786</v>
      </c>
    </row>
    <row r="2169" spans="3:20">
      <c r="C2169" s="152" t="s">
        <v>2821</v>
      </c>
      <c r="F2169" s="152" t="s">
        <v>671</v>
      </c>
      <c r="G2169" s="152" t="s">
        <v>672</v>
      </c>
      <c r="I2169" s="513">
        <v>7050000</v>
      </c>
      <c r="J2169" s="513">
        <v>5000</v>
      </c>
      <c r="K2169" s="513">
        <v>1410</v>
      </c>
      <c r="L2169" s="518" t="s">
        <v>3498</v>
      </c>
      <c r="M2169" s="152" t="s">
        <v>780</v>
      </c>
      <c r="N2169" s="152" t="s">
        <v>781</v>
      </c>
      <c r="O2169" s="152" t="s">
        <v>5081</v>
      </c>
      <c r="P2169" s="152" t="s">
        <v>3489</v>
      </c>
      <c r="Q2169" s="152" t="s">
        <v>5082</v>
      </c>
      <c r="R2169" s="152" t="s">
        <v>5082</v>
      </c>
      <c r="S2169" s="152" t="s">
        <v>5083</v>
      </c>
      <c r="T2169" s="152" t="s">
        <v>786</v>
      </c>
    </row>
    <row r="2170" spans="3:20">
      <c r="C2170" s="152" t="s">
        <v>2821</v>
      </c>
      <c r="F2170" s="152" t="s">
        <v>671</v>
      </c>
      <c r="G2170" s="152" t="s">
        <v>672</v>
      </c>
      <c r="I2170" s="513">
        <v>5640000</v>
      </c>
      <c r="J2170" s="513">
        <v>4000</v>
      </c>
      <c r="K2170" s="513">
        <v>1410</v>
      </c>
      <c r="L2170" s="518" t="s">
        <v>3498</v>
      </c>
      <c r="M2170" s="152" t="s">
        <v>780</v>
      </c>
      <c r="N2170" s="152" t="s">
        <v>781</v>
      </c>
      <c r="O2170" s="152" t="s">
        <v>5084</v>
      </c>
      <c r="P2170" s="152" t="s">
        <v>3489</v>
      </c>
      <c r="Q2170" s="152" t="s">
        <v>5085</v>
      </c>
      <c r="R2170" s="152" t="s">
        <v>5085</v>
      </c>
      <c r="S2170" s="152" t="s">
        <v>5086</v>
      </c>
      <c r="T2170" s="152" t="s">
        <v>786</v>
      </c>
    </row>
    <row r="2171" spans="3:20">
      <c r="C2171" s="152" t="s">
        <v>2821</v>
      </c>
      <c r="F2171" s="152" t="s">
        <v>673</v>
      </c>
      <c r="G2171" s="152" t="s">
        <v>674</v>
      </c>
      <c r="I2171" s="513">
        <v>-493500</v>
      </c>
      <c r="J2171" s="513">
        <v>-350</v>
      </c>
      <c r="K2171" s="513">
        <v>1410</v>
      </c>
      <c r="L2171" s="518" t="s">
        <v>3498</v>
      </c>
      <c r="M2171" s="152" t="s">
        <v>780</v>
      </c>
      <c r="N2171" s="152" t="s">
        <v>781</v>
      </c>
      <c r="O2171" s="152" t="s">
        <v>4731</v>
      </c>
      <c r="P2171" s="152" t="s">
        <v>3489</v>
      </c>
      <c r="Q2171" s="152" t="s">
        <v>4732</v>
      </c>
      <c r="R2171" s="152" t="s">
        <v>4733</v>
      </c>
      <c r="S2171" s="152" t="s">
        <v>4734</v>
      </c>
      <c r="T2171" s="152" t="s">
        <v>786</v>
      </c>
    </row>
    <row r="2172" spans="3:20">
      <c r="C2172" s="152" t="s">
        <v>2821</v>
      </c>
      <c r="F2172" s="152" t="s">
        <v>673</v>
      </c>
      <c r="G2172" s="152" t="s">
        <v>674</v>
      </c>
      <c r="I2172" s="513">
        <v>-4941180</v>
      </c>
      <c r="J2172" s="513">
        <v>-3492</v>
      </c>
      <c r="K2172" s="513">
        <v>1415</v>
      </c>
      <c r="L2172" s="518" t="s">
        <v>3632</v>
      </c>
      <c r="M2172" s="152" t="s">
        <v>780</v>
      </c>
      <c r="N2172" s="152" t="s">
        <v>781</v>
      </c>
      <c r="O2172" s="152" t="s">
        <v>4747</v>
      </c>
      <c r="P2172" s="152" t="s">
        <v>3489</v>
      </c>
      <c r="Q2172" s="152" t="s">
        <v>4748</v>
      </c>
      <c r="R2172" s="152" t="s">
        <v>4749</v>
      </c>
      <c r="S2172" s="152" t="s">
        <v>4750</v>
      </c>
      <c r="T2172" s="152" t="s">
        <v>786</v>
      </c>
    </row>
    <row r="2173" spans="3:20">
      <c r="C2173" s="152" t="s">
        <v>2821</v>
      </c>
      <c r="F2173" s="152" t="s">
        <v>673</v>
      </c>
      <c r="G2173" s="152" t="s">
        <v>674</v>
      </c>
      <c r="I2173" s="513">
        <v>-5241150</v>
      </c>
      <c r="J2173" s="513">
        <v>-3678</v>
      </c>
      <c r="K2173" s="513">
        <v>1425</v>
      </c>
      <c r="L2173" s="518" t="s">
        <v>3637</v>
      </c>
      <c r="M2173" s="152" t="s">
        <v>780</v>
      </c>
      <c r="N2173" s="152" t="s">
        <v>781</v>
      </c>
      <c r="O2173" s="152" t="s">
        <v>4751</v>
      </c>
      <c r="P2173" s="152" t="s">
        <v>2865</v>
      </c>
      <c r="Q2173" s="152" t="s">
        <v>4752</v>
      </c>
      <c r="R2173" s="152" t="s">
        <v>4753</v>
      </c>
      <c r="S2173" s="152" t="s">
        <v>4754</v>
      </c>
      <c r="T2173" s="152" t="s">
        <v>786</v>
      </c>
    </row>
    <row r="2174" spans="3:20">
      <c r="C2174" s="152" t="s">
        <v>2821</v>
      </c>
      <c r="F2174" s="152" t="s">
        <v>673</v>
      </c>
      <c r="G2174" s="152" t="s">
        <v>674</v>
      </c>
      <c r="I2174" s="513">
        <v>-45600</v>
      </c>
      <c r="J2174" s="513">
        <v>-32</v>
      </c>
      <c r="K2174" s="513">
        <v>1425</v>
      </c>
      <c r="L2174" s="518" t="s">
        <v>3637</v>
      </c>
      <c r="M2174" s="152" t="s">
        <v>780</v>
      </c>
      <c r="N2174" s="152" t="s">
        <v>781</v>
      </c>
      <c r="O2174" s="152" t="s">
        <v>4751</v>
      </c>
      <c r="P2174" s="152" t="s">
        <v>2865</v>
      </c>
      <c r="Q2174" s="152" t="s">
        <v>4752</v>
      </c>
      <c r="R2174" s="152" t="s">
        <v>851</v>
      </c>
      <c r="S2174" s="152" t="s">
        <v>4754</v>
      </c>
      <c r="T2174" s="152" t="s">
        <v>786</v>
      </c>
    </row>
    <row r="2175" spans="3:20">
      <c r="C2175" s="152" t="s">
        <v>2821</v>
      </c>
      <c r="F2175" s="152" t="s">
        <v>673</v>
      </c>
      <c r="G2175" s="152" t="s">
        <v>674</v>
      </c>
      <c r="I2175" s="513">
        <v>-44800</v>
      </c>
      <c r="J2175" s="513">
        <v>-32</v>
      </c>
      <c r="K2175" s="513">
        <v>1400</v>
      </c>
      <c r="L2175" s="518" t="s">
        <v>3659</v>
      </c>
      <c r="M2175" s="152" t="s">
        <v>780</v>
      </c>
      <c r="N2175" s="152" t="s">
        <v>781</v>
      </c>
      <c r="O2175" s="152" t="s">
        <v>4764</v>
      </c>
      <c r="P2175" s="152" t="s">
        <v>3489</v>
      </c>
      <c r="Q2175" s="152" t="s">
        <v>4765</v>
      </c>
      <c r="R2175" s="152" t="s">
        <v>851</v>
      </c>
      <c r="S2175" s="152" t="s">
        <v>4766</v>
      </c>
      <c r="T2175" s="152" t="s">
        <v>786</v>
      </c>
    </row>
    <row r="2176" spans="3:20">
      <c r="C2176" s="152" t="s">
        <v>2821</v>
      </c>
      <c r="F2176" s="152" t="s">
        <v>673</v>
      </c>
      <c r="G2176" s="152" t="s">
        <v>674</v>
      </c>
      <c r="I2176" s="513">
        <v>-170800</v>
      </c>
      <c r="J2176" s="513">
        <v>-122</v>
      </c>
      <c r="K2176" s="513">
        <v>1400</v>
      </c>
      <c r="L2176" s="518" t="s">
        <v>3659</v>
      </c>
      <c r="M2176" s="152" t="s">
        <v>780</v>
      </c>
      <c r="N2176" s="152" t="s">
        <v>781</v>
      </c>
      <c r="O2176" s="152" t="s">
        <v>4764</v>
      </c>
      <c r="P2176" s="152" t="s">
        <v>3489</v>
      </c>
      <c r="Q2176" s="152" t="s">
        <v>4765</v>
      </c>
      <c r="R2176" s="152" t="s">
        <v>4767</v>
      </c>
      <c r="S2176" s="152" t="s">
        <v>4766</v>
      </c>
      <c r="T2176" s="152" t="s">
        <v>786</v>
      </c>
    </row>
    <row r="2177" spans="3:20">
      <c r="C2177" s="152" t="s">
        <v>2821</v>
      </c>
      <c r="F2177" s="152" t="s">
        <v>673</v>
      </c>
      <c r="G2177" s="152" t="s">
        <v>674</v>
      </c>
      <c r="I2177" s="513">
        <v>-171527.25</v>
      </c>
      <c r="J2177" s="513">
        <v>-120.37</v>
      </c>
      <c r="K2177" s="513">
        <v>1425</v>
      </c>
      <c r="L2177" s="518" t="s">
        <v>3637</v>
      </c>
      <c r="M2177" s="152" t="s">
        <v>780</v>
      </c>
      <c r="N2177" s="152" t="s">
        <v>781</v>
      </c>
      <c r="O2177" s="152" t="s">
        <v>4751</v>
      </c>
      <c r="P2177" s="152" t="s">
        <v>2865</v>
      </c>
      <c r="Q2177" s="152" t="s">
        <v>4752</v>
      </c>
      <c r="R2177" s="152" t="s">
        <v>4776</v>
      </c>
      <c r="S2177" s="152" t="s">
        <v>4754</v>
      </c>
      <c r="T2177" s="152" t="s">
        <v>786</v>
      </c>
    </row>
    <row r="2178" spans="3:20">
      <c r="C2178" s="152" t="s">
        <v>2821</v>
      </c>
      <c r="F2178" s="152" t="s">
        <v>673</v>
      </c>
      <c r="G2178" s="152" t="s">
        <v>674</v>
      </c>
      <c r="I2178" s="513">
        <v>-997500</v>
      </c>
      <c r="J2178" s="513">
        <v>-700</v>
      </c>
      <c r="K2178" s="513">
        <v>1425</v>
      </c>
      <c r="L2178" s="518" t="s">
        <v>3637</v>
      </c>
      <c r="M2178" s="152" t="s">
        <v>780</v>
      </c>
      <c r="N2178" s="152" t="s">
        <v>781</v>
      </c>
      <c r="O2178" s="152" t="s">
        <v>4751</v>
      </c>
      <c r="P2178" s="152" t="s">
        <v>2865</v>
      </c>
      <c r="Q2178" s="152" t="s">
        <v>4752</v>
      </c>
      <c r="R2178" s="152" t="s">
        <v>4782</v>
      </c>
      <c r="S2178" s="152" t="s">
        <v>4754</v>
      </c>
      <c r="T2178" s="152" t="s">
        <v>786</v>
      </c>
    </row>
    <row r="2179" spans="3:20">
      <c r="C2179" s="152" t="s">
        <v>2821</v>
      </c>
      <c r="F2179" s="152" t="s">
        <v>673</v>
      </c>
      <c r="G2179" s="152" t="s">
        <v>674</v>
      </c>
      <c r="I2179" s="513">
        <v>-2653350</v>
      </c>
      <c r="J2179" s="513">
        <v>-1862</v>
      </c>
      <c r="K2179" s="513">
        <v>1425</v>
      </c>
      <c r="L2179" s="518" t="s">
        <v>3637</v>
      </c>
      <c r="M2179" s="152" t="s">
        <v>780</v>
      </c>
      <c r="N2179" s="152" t="s">
        <v>781</v>
      </c>
      <c r="O2179" s="152" t="s">
        <v>4751</v>
      </c>
      <c r="P2179" s="152" t="s">
        <v>2865</v>
      </c>
      <c r="Q2179" s="152" t="s">
        <v>4752</v>
      </c>
      <c r="R2179" s="152" t="s">
        <v>4784</v>
      </c>
      <c r="S2179" s="152" t="s">
        <v>4754</v>
      </c>
      <c r="T2179" s="152" t="s">
        <v>786</v>
      </c>
    </row>
    <row r="2180" spans="3:20">
      <c r="C2180" s="152" t="s">
        <v>2821</v>
      </c>
      <c r="F2180" s="152" t="s">
        <v>673</v>
      </c>
      <c r="G2180" s="152" t="s">
        <v>674</v>
      </c>
      <c r="I2180" s="513">
        <v>88008</v>
      </c>
      <c r="J2180" s="513">
        <v>61.76</v>
      </c>
      <c r="K2180" s="513">
        <v>1425</v>
      </c>
      <c r="L2180" s="518" t="s">
        <v>3637</v>
      </c>
      <c r="M2180" s="152" t="s">
        <v>780</v>
      </c>
      <c r="N2180" s="152" t="s">
        <v>781</v>
      </c>
      <c r="O2180" s="152" t="s">
        <v>4785</v>
      </c>
      <c r="P2180" s="152" t="s">
        <v>2865</v>
      </c>
      <c r="Q2180" s="152" t="s">
        <v>4786</v>
      </c>
      <c r="R2180" s="152" t="s">
        <v>4787</v>
      </c>
      <c r="S2180" s="152" t="s">
        <v>4788</v>
      </c>
      <c r="T2180" s="152" t="s">
        <v>786</v>
      </c>
    </row>
    <row r="2181" spans="3:20">
      <c r="C2181" s="152" t="s">
        <v>2821</v>
      </c>
      <c r="F2181" s="152" t="s">
        <v>673</v>
      </c>
      <c r="G2181" s="152" t="s">
        <v>674</v>
      </c>
      <c r="I2181" s="513">
        <v>-2707.5</v>
      </c>
      <c r="J2181" s="513">
        <v>-1.9</v>
      </c>
      <c r="K2181" s="513">
        <v>1425</v>
      </c>
      <c r="L2181" s="518" t="s">
        <v>3637</v>
      </c>
      <c r="M2181" s="152" t="s">
        <v>780</v>
      </c>
      <c r="N2181" s="152" t="s">
        <v>781</v>
      </c>
      <c r="O2181" s="152" t="s">
        <v>4751</v>
      </c>
      <c r="P2181" s="152" t="s">
        <v>2865</v>
      </c>
      <c r="Q2181" s="152" t="s">
        <v>4752</v>
      </c>
      <c r="R2181" s="152" t="s">
        <v>953</v>
      </c>
      <c r="S2181" s="152" t="s">
        <v>4754</v>
      </c>
      <c r="T2181" s="152" t="s">
        <v>786</v>
      </c>
    </row>
    <row r="2182" spans="3:20">
      <c r="C2182" s="152" t="s">
        <v>2821</v>
      </c>
      <c r="F2182" s="152" t="s">
        <v>673</v>
      </c>
      <c r="G2182" s="152" t="s">
        <v>674</v>
      </c>
      <c r="I2182" s="513">
        <v>-2679</v>
      </c>
      <c r="J2182" s="513">
        <v>-1.9</v>
      </c>
      <c r="K2182" s="513">
        <v>1410</v>
      </c>
      <c r="L2182" s="518" t="s">
        <v>3498</v>
      </c>
      <c r="M2182" s="152" t="s">
        <v>780</v>
      </c>
      <c r="N2182" s="152" t="s">
        <v>781</v>
      </c>
      <c r="O2182" s="152" t="s">
        <v>4731</v>
      </c>
      <c r="P2182" s="152" t="s">
        <v>3489</v>
      </c>
      <c r="Q2182" s="152" t="s">
        <v>4732</v>
      </c>
      <c r="R2182" s="152" t="s">
        <v>953</v>
      </c>
      <c r="S2182" s="152" t="s">
        <v>4734</v>
      </c>
      <c r="T2182" s="152" t="s">
        <v>786</v>
      </c>
    </row>
    <row r="2183" spans="3:20">
      <c r="C2183" s="152" t="s">
        <v>2821</v>
      </c>
      <c r="F2183" s="152" t="s">
        <v>673</v>
      </c>
      <c r="G2183" s="152" t="s">
        <v>674</v>
      </c>
      <c r="I2183" s="513">
        <v>-2688.5</v>
      </c>
      <c r="J2183" s="513">
        <v>-1.9</v>
      </c>
      <c r="K2183" s="513">
        <v>1415</v>
      </c>
      <c r="L2183" s="518" t="s">
        <v>3632</v>
      </c>
      <c r="M2183" s="152" t="s">
        <v>780</v>
      </c>
      <c r="N2183" s="152" t="s">
        <v>781</v>
      </c>
      <c r="O2183" s="152" t="s">
        <v>4747</v>
      </c>
      <c r="P2183" s="152" t="s">
        <v>3489</v>
      </c>
      <c r="Q2183" s="152" t="s">
        <v>4748</v>
      </c>
      <c r="R2183" s="152" t="s">
        <v>4794</v>
      </c>
      <c r="S2183" s="152" t="s">
        <v>4750</v>
      </c>
      <c r="T2183" s="152" t="s">
        <v>786</v>
      </c>
    </row>
    <row r="2184" spans="3:20">
      <c r="C2184" s="152" t="s">
        <v>2821</v>
      </c>
      <c r="F2184" s="152" t="s">
        <v>673</v>
      </c>
      <c r="G2184" s="152" t="s">
        <v>674</v>
      </c>
      <c r="I2184" s="513">
        <v>-2707.5</v>
      </c>
      <c r="J2184" s="513">
        <v>-1.9</v>
      </c>
      <c r="K2184" s="513">
        <v>1425</v>
      </c>
      <c r="L2184" s="518" t="s">
        <v>3637</v>
      </c>
      <c r="M2184" s="152" t="s">
        <v>780</v>
      </c>
      <c r="N2184" s="152" t="s">
        <v>781</v>
      </c>
      <c r="O2184" s="152" t="s">
        <v>4751</v>
      </c>
      <c r="P2184" s="152" t="s">
        <v>2865</v>
      </c>
      <c r="Q2184" s="152" t="s">
        <v>4752</v>
      </c>
      <c r="R2184" s="152" t="s">
        <v>4796</v>
      </c>
      <c r="S2184" s="152" t="s">
        <v>4754</v>
      </c>
      <c r="T2184" s="152" t="s">
        <v>786</v>
      </c>
    </row>
    <row r="2185" spans="3:20">
      <c r="C2185" s="152" t="s">
        <v>2821</v>
      </c>
      <c r="F2185" s="152" t="s">
        <v>673</v>
      </c>
      <c r="G2185" s="152" t="s">
        <v>674</v>
      </c>
      <c r="I2185" s="513">
        <v>-18620</v>
      </c>
      <c r="J2185" s="513">
        <v>-13.3</v>
      </c>
      <c r="K2185" s="513">
        <v>1400</v>
      </c>
      <c r="L2185" s="518" t="s">
        <v>3659</v>
      </c>
      <c r="M2185" s="152" t="s">
        <v>780</v>
      </c>
      <c r="N2185" s="152" t="s">
        <v>781</v>
      </c>
      <c r="O2185" s="152" t="s">
        <v>4764</v>
      </c>
      <c r="P2185" s="152" t="s">
        <v>3489</v>
      </c>
      <c r="Q2185" s="152" t="s">
        <v>4765</v>
      </c>
      <c r="R2185" s="152" t="s">
        <v>4797</v>
      </c>
      <c r="S2185" s="152" t="s">
        <v>4766</v>
      </c>
      <c r="T2185" s="152" t="s">
        <v>786</v>
      </c>
    </row>
    <row r="2186" spans="3:20">
      <c r="C2186" s="152" t="s">
        <v>2821</v>
      </c>
      <c r="F2186" s="152" t="s">
        <v>673</v>
      </c>
      <c r="G2186" s="152" t="s">
        <v>674</v>
      </c>
      <c r="I2186" s="513">
        <v>-38148.400000000001</v>
      </c>
      <c r="J2186" s="513">
        <v>-26.96</v>
      </c>
      <c r="K2186" s="513">
        <v>1415</v>
      </c>
      <c r="L2186" s="518" t="s">
        <v>3632</v>
      </c>
      <c r="M2186" s="152" t="s">
        <v>780</v>
      </c>
      <c r="N2186" s="152" t="s">
        <v>781</v>
      </c>
      <c r="O2186" s="152" t="s">
        <v>4747</v>
      </c>
      <c r="P2186" s="152" t="s">
        <v>3489</v>
      </c>
      <c r="Q2186" s="152" t="s">
        <v>4748</v>
      </c>
      <c r="R2186" s="152" t="s">
        <v>852</v>
      </c>
      <c r="S2186" s="152" t="s">
        <v>4750</v>
      </c>
      <c r="T2186" s="152" t="s">
        <v>786</v>
      </c>
    </row>
    <row r="2187" spans="3:20">
      <c r="C2187" s="152" t="s">
        <v>2821</v>
      </c>
      <c r="F2187" s="152" t="s">
        <v>673</v>
      </c>
      <c r="G2187" s="152" t="s">
        <v>674</v>
      </c>
      <c r="I2187" s="513">
        <v>-35250</v>
      </c>
      <c r="J2187" s="513">
        <v>-25</v>
      </c>
      <c r="K2187" s="513">
        <v>1410</v>
      </c>
      <c r="L2187" s="518" t="s">
        <v>3498</v>
      </c>
      <c r="M2187" s="152" t="s">
        <v>780</v>
      </c>
      <c r="N2187" s="152" t="s">
        <v>781</v>
      </c>
      <c r="O2187" s="152" t="s">
        <v>4731</v>
      </c>
      <c r="P2187" s="152" t="s">
        <v>3489</v>
      </c>
      <c r="Q2187" s="152" t="s">
        <v>4732</v>
      </c>
      <c r="R2187" s="152" t="s">
        <v>4799</v>
      </c>
      <c r="S2187" s="152" t="s">
        <v>4734</v>
      </c>
      <c r="T2187" s="152" t="s">
        <v>786</v>
      </c>
    </row>
    <row r="2188" spans="3:20">
      <c r="C2188" s="152" t="s">
        <v>2821</v>
      </c>
      <c r="F2188" s="152" t="s">
        <v>673</v>
      </c>
      <c r="G2188" s="152" t="s">
        <v>674</v>
      </c>
      <c r="I2188" s="513">
        <v>-40555.5</v>
      </c>
      <c r="J2188" s="513">
        <v>-28.46</v>
      </c>
      <c r="K2188" s="513">
        <v>1425</v>
      </c>
      <c r="L2188" s="518" t="s">
        <v>3637</v>
      </c>
      <c r="M2188" s="152" t="s">
        <v>780</v>
      </c>
      <c r="N2188" s="152" t="s">
        <v>781</v>
      </c>
      <c r="O2188" s="152" t="s">
        <v>4751</v>
      </c>
      <c r="P2188" s="152" t="s">
        <v>2865</v>
      </c>
      <c r="Q2188" s="152" t="s">
        <v>4752</v>
      </c>
      <c r="R2188" s="152" t="s">
        <v>4800</v>
      </c>
      <c r="S2188" s="152" t="s">
        <v>4754</v>
      </c>
      <c r="T2188" s="152" t="s">
        <v>786</v>
      </c>
    </row>
    <row r="2189" spans="3:20">
      <c r="C2189" s="152" t="s">
        <v>2821</v>
      </c>
      <c r="F2189" s="152" t="s">
        <v>673</v>
      </c>
      <c r="G2189" s="152" t="s">
        <v>674</v>
      </c>
      <c r="I2189" s="513">
        <v>-35625</v>
      </c>
      <c r="J2189" s="513">
        <v>-25</v>
      </c>
      <c r="K2189" s="513">
        <v>1425</v>
      </c>
      <c r="L2189" s="518" t="s">
        <v>3504</v>
      </c>
      <c r="M2189" s="152" t="s">
        <v>780</v>
      </c>
      <c r="N2189" s="152" t="s">
        <v>781</v>
      </c>
      <c r="O2189" s="152" t="s">
        <v>4804</v>
      </c>
      <c r="P2189" s="152" t="s">
        <v>3489</v>
      </c>
      <c r="Q2189" s="152" t="s">
        <v>4805</v>
      </c>
      <c r="R2189" s="152" t="s">
        <v>4806</v>
      </c>
      <c r="S2189" s="152" t="s">
        <v>4807</v>
      </c>
      <c r="T2189" s="152" t="s">
        <v>786</v>
      </c>
    </row>
    <row r="2190" spans="3:20">
      <c r="C2190" s="152" t="s">
        <v>2821</v>
      </c>
      <c r="F2190" s="152" t="s">
        <v>673</v>
      </c>
      <c r="G2190" s="152" t="s">
        <v>674</v>
      </c>
      <c r="I2190" s="513">
        <v>-5969885</v>
      </c>
      <c r="J2190" s="513">
        <v>-4219</v>
      </c>
      <c r="K2190" s="513">
        <v>1415</v>
      </c>
      <c r="L2190" s="518" t="s">
        <v>3632</v>
      </c>
      <c r="M2190" s="152" t="s">
        <v>780</v>
      </c>
      <c r="N2190" s="152" t="s">
        <v>781</v>
      </c>
      <c r="O2190" s="152" t="s">
        <v>4747</v>
      </c>
      <c r="P2190" s="152" t="s">
        <v>3489</v>
      </c>
      <c r="Q2190" s="152" t="s">
        <v>4748</v>
      </c>
      <c r="R2190" s="152" t="s">
        <v>941</v>
      </c>
      <c r="S2190" s="152" t="s">
        <v>4750</v>
      </c>
      <c r="T2190" s="152" t="s">
        <v>786</v>
      </c>
    </row>
    <row r="2191" spans="3:20">
      <c r="C2191" s="152" t="s">
        <v>2821</v>
      </c>
      <c r="F2191" s="152" t="s">
        <v>673</v>
      </c>
      <c r="G2191" s="152" t="s">
        <v>674</v>
      </c>
      <c r="I2191" s="513">
        <v>-141500</v>
      </c>
      <c r="J2191" s="513">
        <v>-100</v>
      </c>
      <c r="K2191" s="513">
        <v>1415</v>
      </c>
      <c r="L2191" s="518" t="s">
        <v>3632</v>
      </c>
      <c r="M2191" s="152" t="s">
        <v>780</v>
      </c>
      <c r="N2191" s="152" t="s">
        <v>781</v>
      </c>
      <c r="O2191" s="152" t="s">
        <v>4747</v>
      </c>
      <c r="P2191" s="152" t="s">
        <v>3489</v>
      </c>
      <c r="Q2191" s="152" t="s">
        <v>4748</v>
      </c>
      <c r="R2191" s="152" t="s">
        <v>4813</v>
      </c>
      <c r="S2191" s="152" t="s">
        <v>4750</v>
      </c>
      <c r="T2191" s="152" t="s">
        <v>786</v>
      </c>
    </row>
    <row r="2192" spans="3:20">
      <c r="C2192" s="152" t="s">
        <v>2821</v>
      </c>
      <c r="F2192" s="152" t="s">
        <v>673</v>
      </c>
      <c r="G2192" s="152" t="s">
        <v>674</v>
      </c>
      <c r="I2192" s="513">
        <v>-7140000</v>
      </c>
      <c r="J2192" s="513">
        <v>-5100</v>
      </c>
      <c r="K2192" s="513">
        <v>1400</v>
      </c>
      <c r="L2192" s="518" t="s">
        <v>3659</v>
      </c>
      <c r="M2192" s="152" t="s">
        <v>780</v>
      </c>
      <c r="N2192" s="152" t="s">
        <v>781</v>
      </c>
      <c r="O2192" s="152" t="s">
        <v>4764</v>
      </c>
      <c r="P2192" s="152" t="s">
        <v>3489</v>
      </c>
      <c r="Q2192" s="152" t="s">
        <v>4765</v>
      </c>
      <c r="R2192" s="152" t="s">
        <v>4814</v>
      </c>
      <c r="S2192" s="152" t="s">
        <v>4766</v>
      </c>
      <c r="T2192" s="152" t="s">
        <v>786</v>
      </c>
    </row>
    <row r="2193" spans="3:20">
      <c r="C2193" s="152" t="s">
        <v>2821</v>
      </c>
      <c r="F2193" s="152" t="s">
        <v>673</v>
      </c>
      <c r="G2193" s="152" t="s">
        <v>674</v>
      </c>
      <c r="I2193" s="513">
        <v>-28500</v>
      </c>
      <c r="J2193" s="513">
        <v>-20</v>
      </c>
      <c r="K2193" s="513">
        <v>1425</v>
      </c>
      <c r="L2193" s="518" t="s">
        <v>3637</v>
      </c>
      <c r="M2193" s="152" t="s">
        <v>780</v>
      </c>
      <c r="N2193" s="152" t="s">
        <v>781</v>
      </c>
      <c r="O2193" s="152" t="s">
        <v>4751</v>
      </c>
      <c r="P2193" s="152" t="s">
        <v>2865</v>
      </c>
      <c r="Q2193" s="152" t="s">
        <v>4752</v>
      </c>
      <c r="R2193" s="152" t="s">
        <v>4816</v>
      </c>
      <c r="S2193" s="152" t="s">
        <v>4754</v>
      </c>
      <c r="T2193" s="152" t="s">
        <v>786</v>
      </c>
    </row>
    <row r="2194" spans="3:20">
      <c r="C2194" s="152" t="s">
        <v>2821</v>
      </c>
      <c r="F2194" s="152" t="s">
        <v>673</v>
      </c>
      <c r="G2194" s="152" t="s">
        <v>674</v>
      </c>
      <c r="I2194" s="513">
        <v>-28300</v>
      </c>
      <c r="J2194" s="513">
        <v>-20</v>
      </c>
      <c r="K2194" s="513">
        <v>1415</v>
      </c>
      <c r="L2194" s="518" t="s">
        <v>3498</v>
      </c>
      <c r="M2194" s="152" t="s">
        <v>780</v>
      </c>
      <c r="N2194" s="152" t="s">
        <v>781</v>
      </c>
      <c r="O2194" s="152" t="s">
        <v>4731</v>
      </c>
      <c r="P2194" s="152" t="s">
        <v>3489</v>
      </c>
      <c r="Q2194" s="152" t="s">
        <v>4732</v>
      </c>
      <c r="R2194" s="152" t="s">
        <v>4816</v>
      </c>
      <c r="S2194" s="152" t="s">
        <v>4734</v>
      </c>
      <c r="T2194" s="152" t="s">
        <v>786</v>
      </c>
    </row>
    <row r="2195" spans="3:20">
      <c r="C2195" s="152" t="s">
        <v>2821</v>
      </c>
      <c r="F2195" s="152" t="s">
        <v>673</v>
      </c>
      <c r="G2195" s="152" t="s">
        <v>674</v>
      </c>
      <c r="I2195" s="513">
        <v>27039375</v>
      </c>
      <c r="J2195" s="513">
        <v>18975</v>
      </c>
      <c r="K2195" s="513">
        <v>1425</v>
      </c>
      <c r="L2195" s="518" t="s">
        <v>3637</v>
      </c>
      <c r="M2195" s="152" t="s">
        <v>780</v>
      </c>
      <c r="N2195" s="152" t="s">
        <v>781</v>
      </c>
      <c r="O2195" s="152" t="s">
        <v>4785</v>
      </c>
      <c r="P2195" s="152" t="s">
        <v>2865</v>
      </c>
      <c r="Q2195" s="152" t="s">
        <v>4786</v>
      </c>
      <c r="R2195" s="152" t="s">
        <v>806</v>
      </c>
      <c r="S2195" s="152" t="s">
        <v>4788</v>
      </c>
      <c r="T2195" s="152" t="s">
        <v>786</v>
      </c>
    </row>
    <row r="2196" spans="3:20">
      <c r="C2196" s="152" t="s">
        <v>2821</v>
      </c>
      <c r="F2196" s="152" t="s">
        <v>673</v>
      </c>
      <c r="G2196" s="152" t="s">
        <v>674</v>
      </c>
      <c r="I2196" s="513">
        <v>12084712.5</v>
      </c>
      <c r="J2196" s="513">
        <v>8480.5</v>
      </c>
      <c r="K2196" s="513">
        <v>1425</v>
      </c>
      <c r="L2196" s="518" t="s">
        <v>3504</v>
      </c>
      <c r="M2196" s="152" t="s">
        <v>780</v>
      </c>
      <c r="N2196" s="152" t="s">
        <v>781</v>
      </c>
      <c r="O2196" s="152" t="s">
        <v>4817</v>
      </c>
      <c r="P2196" s="152" t="s">
        <v>3489</v>
      </c>
      <c r="Q2196" s="152" t="s">
        <v>4818</v>
      </c>
      <c r="R2196" s="152" t="s">
        <v>806</v>
      </c>
      <c r="S2196" s="152" t="s">
        <v>4819</v>
      </c>
      <c r="T2196" s="152" t="s">
        <v>786</v>
      </c>
    </row>
    <row r="2197" spans="3:20">
      <c r="C2197" s="152" t="s">
        <v>2821</v>
      </c>
      <c r="F2197" s="152" t="s">
        <v>673</v>
      </c>
      <c r="G2197" s="152" t="s">
        <v>674</v>
      </c>
      <c r="I2197" s="513">
        <v>21114750</v>
      </c>
      <c r="J2197" s="513">
        <v>14975</v>
      </c>
      <c r="K2197" s="513">
        <v>1410</v>
      </c>
      <c r="L2197" s="518" t="s">
        <v>3498</v>
      </c>
      <c r="M2197" s="152" t="s">
        <v>780</v>
      </c>
      <c r="N2197" s="152" t="s">
        <v>781</v>
      </c>
      <c r="O2197" s="152" t="s">
        <v>4820</v>
      </c>
      <c r="P2197" s="152" t="s">
        <v>3489</v>
      </c>
      <c r="Q2197" s="152" t="s">
        <v>4821</v>
      </c>
      <c r="R2197" s="152" t="s">
        <v>806</v>
      </c>
      <c r="S2197" s="152" t="s">
        <v>4822</v>
      </c>
      <c r="T2197" s="152" t="s">
        <v>786</v>
      </c>
    </row>
    <row r="2198" spans="3:20">
      <c r="C2198" s="152" t="s">
        <v>2821</v>
      </c>
      <c r="F2198" s="152" t="s">
        <v>673</v>
      </c>
      <c r="G2198" s="152" t="s">
        <v>674</v>
      </c>
      <c r="I2198" s="513">
        <v>25434625</v>
      </c>
      <c r="J2198" s="513">
        <v>17975</v>
      </c>
      <c r="K2198" s="513">
        <v>1415</v>
      </c>
      <c r="L2198" s="518" t="s">
        <v>3632</v>
      </c>
      <c r="M2198" s="152" t="s">
        <v>780</v>
      </c>
      <c r="N2198" s="152" t="s">
        <v>781</v>
      </c>
      <c r="O2198" s="152" t="s">
        <v>4823</v>
      </c>
      <c r="P2198" s="152" t="s">
        <v>3489</v>
      </c>
      <c r="Q2198" s="152" t="s">
        <v>4824</v>
      </c>
      <c r="R2198" s="152" t="s">
        <v>806</v>
      </c>
      <c r="S2198" s="152" t="s">
        <v>4825</v>
      </c>
      <c r="T2198" s="152" t="s">
        <v>786</v>
      </c>
    </row>
    <row r="2199" spans="3:20">
      <c r="C2199" s="152" t="s">
        <v>2821</v>
      </c>
      <c r="F2199" s="152" t="s">
        <v>673</v>
      </c>
      <c r="G2199" s="152" t="s">
        <v>674</v>
      </c>
      <c r="I2199" s="513">
        <v>-234466.4</v>
      </c>
      <c r="J2199" s="513">
        <v>-166.88</v>
      </c>
      <c r="K2199" s="513">
        <v>1405</v>
      </c>
      <c r="L2199" s="518" t="s">
        <v>3493</v>
      </c>
      <c r="M2199" s="152" t="s">
        <v>780</v>
      </c>
      <c r="N2199" s="152" t="s">
        <v>781</v>
      </c>
      <c r="O2199" s="152" t="s">
        <v>4827</v>
      </c>
      <c r="P2199" s="152" t="s">
        <v>3489</v>
      </c>
      <c r="Q2199" s="152" t="s">
        <v>4828</v>
      </c>
      <c r="R2199" s="152" t="s">
        <v>4829</v>
      </c>
      <c r="S2199" s="152" t="s">
        <v>4830</v>
      </c>
      <c r="T2199" s="152" t="s">
        <v>786</v>
      </c>
    </row>
    <row r="2200" spans="3:20">
      <c r="C2200" s="152" t="s">
        <v>2821</v>
      </c>
      <c r="F2200" s="152" t="s">
        <v>673</v>
      </c>
      <c r="G2200" s="152" t="s">
        <v>674</v>
      </c>
      <c r="I2200" s="513">
        <v>-806550</v>
      </c>
      <c r="J2200" s="513">
        <v>-570</v>
      </c>
      <c r="K2200" s="513">
        <v>1415</v>
      </c>
      <c r="L2200" s="518" t="s">
        <v>3632</v>
      </c>
      <c r="M2200" s="152" t="s">
        <v>780</v>
      </c>
      <c r="N2200" s="152" t="s">
        <v>781</v>
      </c>
      <c r="O2200" s="152" t="s">
        <v>4747</v>
      </c>
      <c r="P2200" s="152" t="s">
        <v>3489</v>
      </c>
      <c r="Q2200" s="152" t="s">
        <v>4748</v>
      </c>
      <c r="R2200" s="152" t="s">
        <v>4831</v>
      </c>
      <c r="S2200" s="152" t="s">
        <v>4750</v>
      </c>
      <c r="T2200" s="152" t="s">
        <v>786</v>
      </c>
    </row>
    <row r="2201" spans="3:20">
      <c r="C2201" s="152" t="s">
        <v>2821</v>
      </c>
      <c r="F2201" s="152" t="s">
        <v>673</v>
      </c>
      <c r="G2201" s="152" t="s">
        <v>674</v>
      </c>
      <c r="I2201" s="513">
        <v>-725410.5</v>
      </c>
      <c r="J2201" s="513">
        <v>-509.06</v>
      </c>
      <c r="K2201" s="513">
        <v>1425</v>
      </c>
      <c r="L2201" s="518" t="s">
        <v>3504</v>
      </c>
      <c r="M2201" s="152" t="s">
        <v>780</v>
      </c>
      <c r="N2201" s="152" t="s">
        <v>781</v>
      </c>
      <c r="O2201" s="152" t="s">
        <v>4804</v>
      </c>
      <c r="P2201" s="152" t="s">
        <v>3489</v>
      </c>
      <c r="Q2201" s="152" t="s">
        <v>4805</v>
      </c>
      <c r="R2201" s="152" t="s">
        <v>4832</v>
      </c>
      <c r="S2201" s="152" t="s">
        <v>4807</v>
      </c>
      <c r="T2201" s="152" t="s">
        <v>786</v>
      </c>
    </row>
    <row r="2202" spans="3:20">
      <c r="C2202" s="152" t="s">
        <v>2821</v>
      </c>
      <c r="F2202" s="152" t="s">
        <v>673</v>
      </c>
      <c r="G2202" s="152" t="s">
        <v>674</v>
      </c>
      <c r="I2202" s="513">
        <v>-724170.75</v>
      </c>
      <c r="J2202" s="513">
        <v>-508.19</v>
      </c>
      <c r="K2202" s="513">
        <v>1425</v>
      </c>
      <c r="L2202" s="518" t="s">
        <v>3504</v>
      </c>
      <c r="M2202" s="152" t="s">
        <v>780</v>
      </c>
      <c r="N2202" s="152" t="s">
        <v>781</v>
      </c>
      <c r="O2202" s="152" t="s">
        <v>4804</v>
      </c>
      <c r="P2202" s="152" t="s">
        <v>3489</v>
      </c>
      <c r="Q2202" s="152" t="s">
        <v>4805</v>
      </c>
      <c r="R2202" s="152" t="s">
        <v>4833</v>
      </c>
      <c r="S2202" s="152" t="s">
        <v>4807</v>
      </c>
      <c r="T2202" s="152" t="s">
        <v>786</v>
      </c>
    </row>
    <row r="2203" spans="3:20">
      <c r="C2203" s="152" t="s">
        <v>2821</v>
      </c>
      <c r="F2203" s="152" t="s">
        <v>673</v>
      </c>
      <c r="G2203" s="152" t="s">
        <v>674</v>
      </c>
      <c r="I2203" s="513">
        <v>-997500</v>
      </c>
      <c r="J2203" s="513">
        <v>-700</v>
      </c>
      <c r="K2203" s="513">
        <v>1425</v>
      </c>
      <c r="L2203" s="518" t="s">
        <v>3504</v>
      </c>
      <c r="M2203" s="152" t="s">
        <v>780</v>
      </c>
      <c r="N2203" s="152" t="s">
        <v>781</v>
      </c>
      <c r="O2203" s="152" t="s">
        <v>4804</v>
      </c>
      <c r="P2203" s="152" t="s">
        <v>3489</v>
      </c>
      <c r="Q2203" s="152" t="s">
        <v>4805</v>
      </c>
      <c r="R2203" s="152" t="s">
        <v>4840</v>
      </c>
      <c r="S2203" s="152" t="s">
        <v>4807</v>
      </c>
      <c r="T2203" s="152" t="s">
        <v>786</v>
      </c>
    </row>
    <row r="2204" spans="3:20">
      <c r="C2204" s="152" t="s">
        <v>2821</v>
      </c>
      <c r="F2204" s="152" t="s">
        <v>673</v>
      </c>
      <c r="G2204" s="152" t="s">
        <v>674</v>
      </c>
      <c r="I2204" s="513">
        <v>-987000</v>
      </c>
      <c r="J2204" s="513">
        <v>-700</v>
      </c>
      <c r="K2204" s="513">
        <v>1410</v>
      </c>
      <c r="L2204" s="518" t="s">
        <v>3498</v>
      </c>
      <c r="M2204" s="152" t="s">
        <v>780</v>
      </c>
      <c r="N2204" s="152" t="s">
        <v>781</v>
      </c>
      <c r="O2204" s="152" t="s">
        <v>4731</v>
      </c>
      <c r="P2204" s="152" t="s">
        <v>3489</v>
      </c>
      <c r="Q2204" s="152" t="s">
        <v>4732</v>
      </c>
      <c r="R2204" s="152" t="s">
        <v>4842</v>
      </c>
      <c r="S2204" s="152" t="s">
        <v>4734</v>
      </c>
      <c r="T2204" s="152" t="s">
        <v>786</v>
      </c>
    </row>
    <row r="2205" spans="3:20">
      <c r="C2205" s="152" t="s">
        <v>2821</v>
      </c>
      <c r="F2205" s="152" t="s">
        <v>673</v>
      </c>
      <c r="G2205" s="152" t="s">
        <v>674</v>
      </c>
      <c r="I2205" s="513">
        <v>-1425000</v>
      </c>
      <c r="J2205" s="513">
        <v>-1000</v>
      </c>
      <c r="K2205" s="513">
        <v>1425</v>
      </c>
      <c r="L2205" s="518" t="s">
        <v>3504</v>
      </c>
      <c r="M2205" s="152" t="s">
        <v>780</v>
      </c>
      <c r="N2205" s="152" t="s">
        <v>781</v>
      </c>
      <c r="O2205" s="152" t="s">
        <v>4804</v>
      </c>
      <c r="P2205" s="152" t="s">
        <v>3489</v>
      </c>
      <c r="Q2205" s="152" t="s">
        <v>4805</v>
      </c>
      <c r="R2205" s="152" t="s">
        <v>4843</v>
      </c>
      <c r="S2205" s="152" t="s">
        <v>4807</v>
      </c>
      <c r="T2205" s="152" t="s">
        <v>786</v>
      </c>
    </row>
    <row r="2206" spans="3:20">
      <c r="C2206" s="152" t="s">
        <v>2821</v>
      </c>
      <c r="F2206" s="152" t="s">
        <v>673</v>
      </c>
      <c r="G2206" s="152" t="s">
        <v>674</v>
      </c>
      <c r="I2206" s="513">
        <v>-1410000</v>
      </c>
      <c r="J2206" s="513">
        <v>-1000</v>
      </c>
      <c r="K2206" s="513">
        <v>1410</v>
      </c>
      <c r="L2206" s="518" t="s">
        <v>3498</v>
      </c>
      <c r="M2206" s="152" t="s">
        <v>780</v>
      </c>
      <c r="N2206" s="152" t="s">
        <v>781</v>
      </c>
      <c r="O2206" s="152" t="s">
        <v>4731</v>
      </c>
      <c r="P2206" s="152" t="s">
        <v>3489</v>
      </c>
      <c r="Q2206" s="152" t="s">
        <v>4732</v>
      </c>
      <c r="R2206" s="152" t="s">
        <v>4844</v>
      </c>
      <c r="S2206" s="152" t="s">
        <v>4734</v>
      </c>
      <c r="T2206" s="152" t="s">
        <v>786</v>
      </c>
    </row>
    <row r="2207" spans="3:20">
      <c r="C2207" s="152" t="s">
        <v>2821</v>
      </c>
      <c r="F2207" s="152" t="s">
        <v>673</v>
      </c>
      <c r="G2207" s="152" t="s">
        <v>674</v>
      </c>
      <c r="I2207" s="513">
        <v>8490000</v>
      </c>
      <c r="J2207" s="513">
        <v>6000</v>
      </c>
      <c r="K2207" s="513">
        <v>1415</v>
      </c>
      <c r="L2207" s="518" t="s">
        <v>3632</v>
      </c>
      <c r="M2207" s="152" t="s">
        <v>780</v>
      </c>
      <c r="N2207" s="152" t="s">
        <v>781</v>
      </c>
      <c r="O2207" s="152" t="s">
        <v>4823</v>
      </c>
      <c r="P2207" s="152" t="s">
        <v>3489</v>
      </c>
      <c r="Q2207" s="152" t="s">
        <v>4824</v>
      </c>
      <c r="R2207" s="152" t="s">
        <v>1107</v>
      </c>
      <c r="S2207" s="152" t="s">
        <v>4825</v>
      </c>
      <c r="T2207" s="152" t="s">
        <v>786</v>
      </c>
    </row>
    <row r="2208" spans="3:20">
      <c r="C2208" s="152" t="s">
        <v>2821</v>
      </c>
      <c r="F2208" s="152" t="s">
        <v>673</v>
      </c>
      <c r="G2208" s="152" t="s">
        <v>674</v>
      </c>
      <c r="I2208" s="513">
        <v>1052038.3500000001</v>
      </c>
      <c r="J2208" s="513">
        <v>743.49</v>
      </c>
      <c r="K2208" s="513">
        <v>1415</v>
      </c>
      <c r="L2208" s="518" t="s">
        <v>3632</v>
      </c>
      <c r="M2208" s="152" t="s">
        <v>780</v>
      </c>
      <c r="N2208" s="152" t="s">
        <v>781</v>
      </c>
      <c r="O2208" s="152" t="s">
        <v>4823</v>
      </c>
      <c r="P2208" s="152" t="s">
        <v>3489</v>
      </c>
      <c r="Q2208" s="152" t="s">
        <v>4824</v>
      </c>
      <c r="R2208" s="152" t="s">
        <v>1107</v>
      </c>
      <c r="S2208" s="152" t="s">
        <v>4825</v>
      </c>
      <c r="T2208" s="152" t="s">
        <v>786</v>
      </c>
    </row>
    <row r="2209" spans="3:20">
      <c r="C2209" s="152" t="s">
        <v>2821</v>
      </c>
      <c r="F2209" s="152" t="s">
        <v>673</v>
      </c>
      <c r="G2209" s="152" t="s">
        <v>674</v>
      </c>
      <c r="I2209" s="513">
        <v>-7125000</v>
      </c>
      <c r="J2209" s="513">
        <v>-5000</v>
      </c>
      <c r="K2209" s="513">
        <v>1425</v>
      </c>
      <c r="L2209" s="518" t="s">
        <v>3727</v>
      </c>
      <c r="M2209" s="152" t="s">
        <v>780</v>
      </c>
      <c r="N2209" s="152" t="s">
        <v>781</v>
      </c>
      <c r="O2209" s="152" t="s">
        <v>4853</v>
      </c>
      <c r="P2209" s="152" t="s">
        <v>3489</v>
      </c>
      <c r="Q2209" s="152" t="s">
        <v>4854</v>
      </c>
      <c r="R2209" s="152" t="s">
        <v>1107</v>
      </c>
      <c r="S2209" s="152" t="s">
        <v>4855</v>
      </c>
      <c r="T2209" s="152" t="s">
        <v>786</v>
      </c>
    </row>
    <row r="2210" spans="3:20">
      <c r="C2210" s="152" t="s">
        <v>2821</v>
      </c>
      <c r="F2210" s="152" t="s">
        <v>673</v>
      </c>
      <c r="G2210" s="152" t="s">
        <v>674</v>
      </c>
      <c r="I2210" s="513">
        <v>-4245000</v>
      </c>
      <c r="J2210" s="513">
        <v>-3000</v>
      </c>
      <c r="K2210" s="513">
        <v>1415</v>
      </c>
      <c r="L2210" s="518" t="s">
        <v>3632</v>
      </c>
      <c r="M2210" s="152" t="s">
        <v>780</v>
      </c>
      <c r="N2210" s="152" t="s">
        <v>781</v>
      </c>
      <c r="O2210" s="152" t="s">
        <v>4747</v>
      </c>
      <c r="P2210" s="152" t="s">
        <v>3489</v>
      </c>
      <c r="Q2210" s="152" t="s">
        <v>4748</v>
      </c>
      <c r="R2210" s="152" t="s">
        <v>1143</v>
      </c>
      <c r="S2210" s="152" t="s">
        <v>4750</v>
      </c>
      <c r="T2210" s="152" t="s">
        <v>786</v>
      </c>
    </row>
    <row r="2211" spans="3:20">
      <c r="C2211" s="152" t="s">
        <v>2821</v>
      </c>
      <c r="F2211" s="152" t="s">
        <v>673</v>
      </c>
      <c r="G2211" s="152" t="s">
        <v>674</v>
      </c>
      <c r="I2211" s="513">
        <v>-2830000</v>
      </c>
      <c r="J2211" s="513">
        <v>-2000</v>
      </c>
      <c r="K2211" s="513">
        <v>1415</v>
      </c>
      <c r="L2211" s="518" t="s">
        <v>3632</v>
      </c>
      <c r="M2211" s="152" t="s">
        <v>780</v>
      </c>
      <c r="N2211" s="152" t="s">
        <v>781</v>
      </c>
      <c r="O2211" s="152" t="s">
        <v>4747</v>
      </c>
      <c r="P2211" s="152" t="s">
        <v>3489</v>
      </c>
      <c r="Q2211" s="152" t="s">
        <v>4748</v>
      </c>
      <c r="R2211" s="152" t="s">
        <v>1143</v>
      </c>
      <c r="S2211" s="152" t="s">
        <v>4750</v>
      </c>
      <c r="T2211" s="152" t="s">
        <v>786</v>
      </c>
    </row>
    <row r="2212" spans="3:20">
      <c r="C2212" s="152" t="s">
        <v>2821</v>
      </c>
      <c r="F2212" s="152" t="s">
        <v>673</v>
      </c>
      <c r="G2212" s="152" t="s">
        <v>674</v>
      </c>
      <c r="I2212" s="513">
        <v>-28500</v>
      </c>
      <c r="J2212" s="513">
        <v>-20</v>
      </c>
      <c r="K2212" s="513">
        <v>1425</v>
      </c>
      <c r="L2212" s="518" t="s">
        <v>3504</v>
      </c>
      <c r="M2212" s="152" t="s">
        <v>780</v>
      </c>
      <c r="N2212" s="152" t="s">
        <v>781</v>
      </c>
      <c r="O2212" s="152" t="s">
        <v>4804</v>
      </c>
      <c r="P2212" s="152" t="s">
        <v>3489</v>
      </c>
      <c r="Q2212" s="152" t="s">
        <v>4805</v>
      </c>
      <c r="R2212" s="152" t="s">
        <v>1146</v>
      </c>
      <c r="S2212" s="152" t="s">
        <v>4807</v>
      </c>
      <c r="T2212" s="152" t="s">
        <v>786</v>
      </c>
    </row>
    <row r="2213" spans="3:20">
      <c r="C2213" s="152" t="s">
        <v>2821</v>
      </c>
      <c r="F2213" s="152" t="s">
        <v>673</v>
      </c>
      <c r="G2213" s="152" t="s">
        <v>674</v>
      </c>
      <c r="I2213" s="513">
        <v>-28300</v>
      </c>
      <c r="J2213" s="513">
        <v>-20</v>
      </c>
      <c r="K2213" s="513">
        <v>1415</v>
      </c>
      <c r="L2213" s="518" t="s">
        <v>3632</v>
      </c>
      <c r="M2213" s="152" t="s">
        <v>780</v>
      </c>
      <c r="N2213" s="152" t="s">
        <v>781</v>
      </c>
      <c r="O2213" s="152" t="s">
        <v>4747</v>
      </c>
      <c r="P2213" s="152" t="s">
        <v>3489</v>
      </c>
      <c r="Q2213" s="152" t="s">
        <v>4748</v>
      </c>
      <c r="R2213" s="152" t="s">
        <v>1146</v>
      </c>
      <c r="S2213" s="152" t="s">
        <v>4750</v>
      </c>
      <c r="T2213" s="152" t="s">
        <v>786</v>
      </c>
    </row>
    <row r="2214" spans="3:20">
      <c r="C2214" s="152" t="s">
        <v>2821</v>
      </c>
      <c r="F2214" s="152" t="s">
        <v>673</v>
      </c>
      <c r="G2214" s="152" t="s">
        <v>674</v>
      </c>
      <c r="I2214" s="513">
        <v>-7125000</v>
      </c>
      <c r="J2214" s="513">
        <v>-5000</v>
      </c>
      <c r="K2214" s="513">
        <v>1425</v>
      </c>
      <c r="L2214" s="518" t="s">
        <v>3504</v>
      </c>
      <c r="M2214" s="152" t="s">
        <v>780</v>
      </c>
      <c r="N2214" s="152" t="s">
        <v>781</v>
      </c>
      <c r="O2214" s="152" t="s">
        <v>4804</v>
      </c>
      <c r="P2214" s="152" t="s">
        <v>3489</v>
      </c>
      <c r="Q2214" s="152" t="s">
        <v>4805</v>
      </c>
      <c r="R2214" s="152" t="s">
        <v>4856</v>
      </c>
      <c r="S2214" s="152" t="s">
        <v>4807</v>
      </c>
      <c r="T2214" s="152" t="s">
        <v>786</v>
      </c>
    </row>
    <row r="2215" spans="3:20">
      <c r="C2215" s="152" t="s">
        <v>2821</v>
      </c>
      <c r="F2215" s="152" t="s">
        <v>673</v>
      </c>
      <c r="G2215" s="152" t="s">
        <v>674</v>
      </c>
      <c r="I2215" s="513">
        <v>-1101995.25</v>
      </c>
      <c r="J2215" s="513">
        <v>-773.33</v>
      </c>
      <c r="K2215" s="513">
        <v>1425</v>
      </c>
      <c r="L2215" s="518" t="s">
        <v>3637</v>
      </c>
      <c r="M2215" s="152" t="s">
        <v>780</v>
      </c>
      <c r="N2215" s="152" t="s">
        <v>781</v>
      </c>
      <c r="O2215" s="152" t="s">
        <v>4751</v>
      </c>
      <c r="P2215" s="152" t="s">
        <v>2865</v>
      </c>
      <c r="Q2215" s="152" t="s">
        <v>4752</v>
      </c>
      <c r="R2215" s="152" t="s">
        <v>4858</v>
      </c>
      <c r="S2215" s="152" t="s">
        <v>4754</v>
      </c>
      <c r="T2215" s="152" t="s">
        <v>786</v>
      </c>
    </row>
    <row r="2216" spans="3:20">
      <c r="C2216" s="152" t="s">
        <v>2821</v>
      </c>
      <c r="F2216" s="152" t="s">
        <v>673</v>
      </c>
      <c r="G2216" s="152" t="s">
        <v>674</v>
      </c>
      <c r="I2216" s="513">
        <v>-16980000</v>
      </c>
      <c r="J2216" s="513">
        <v>-12000</v>
      </c>
      <c r="K2216" s="513">
        <v>1415</v>
      </c>
      <c r="L2216" s="518" t="s">
        <v>3493</v>
      </c>
      <c r="M2216" s="152" t="s">
        <v>780</v>
      </c>
      <c r="N2216" s="152" t="s">
        <v>781</v>
      </c>
      <c r="O2216" s="152" t="s">
        <v>4902</v>
      </c>
      <c r="P2216" s="152" t="s">
        <v>3489</v>
      </c>
      <c r="Q2216" s="152" t="s">
        <v>4903</v>
      </c>
      <c r="R2216" s="152" t="s">
        <v>4900</v>
      </c>
      <c r="S2216" s="152" t="s">
        <v>4904</v>
      </c>
      <c r="T2216" s="152" t="s">
        <v>786</v>
      </c>
    </row>
    <row r="2217" spans="3:20">
      <c r="C2217" s="152" t="s">
        <v>2821</v>
      </c>
      <c r="F2217" s="152" t="s">
        <v>673</v>
      </c>
      <c r="G2217" s="152" t="s">
        <v>674</v>
      </c>
      <c r="I2217" s="513">
        <v>-2104076.7000000002</v>
      </c>
      <c r="J2217" s="513">
        <v>-1486.98</v>
      </c>
      <c r="K2217" s="513">
        <v>1415</v>
      </c>
      <c r="L2217" s="518" t="s">
        <v>3493</v>
      </c>
      <c r="M2217" s="152" t="s">
        <v>780</v>
      </c>
      <c r="N2217" s="152" t="s">
        <v>781</v>
      </c>
      <c r="O2217" s="152" t="s">
        <v>4902</v>
      </c>
      <c r="P2217" s="152" t="s">
        <v>3489</v>
      </c>
      <c r="Q2217" s="152" t="s">
        <v>4903</v>
      </c>
      <c r="R2217" s="152" t="s">
        <v>4900</v>
      </c>
      <c r="S2217" s="152" t="s">
        <v>4904</v>
      </c>
      <c r="T2217" s="152" t="s">
        <v>786</v>
      </c>
    </row>
    <row r="2218" spans="3:20">
      <c r="C2218" s="152" t="s">
        <v>2821</v>
      </c>
      <c r="F2218" s="152" t="s">
        <v>673</v>
      </c>
      <c r="G2218" s="152" t="s">
        <v>674</v>
      </c>
      <c r="I2218" s="513">
        <v>-7125000</v>
      </c>
      <c r="J2218" s="513">
        <v>-5000</v>
      </c>
      <c r="K2218" s="513">
        <v>1425</v>
      </c>
      <c r="L2218" s="518" t="s">
        <v>3637</v>
      </c>
      <c r="M2218" s="152" t="s">
        <v>780</v>
      </c>
      <c r="N2218" s="152" t="s">
        <v>781</v>
      </c>
      <c r="O2218" s="152" t="s">
        <v>5021</v>
      </c>
      <c r="P2218" s="152" t="s">
        <v>2865</v>
      </c>
      <c r="Q2218" s="152" t="s">
        <v>5022</v>
      </c>
      <c r="R2218" s="152" t="s">
        <v>5022</v>
      </c>
      <c r="S2218" s="152" t="s">
        <v>5023</v>
      </c>
      <c r="T2218" s="152" t="s">
        <v>786</v>
      </c>
    </row>
    <row r="2219" spans="3:20">
      <c r="C2219" s="152" t="s">
        <v>2821</v>
      </c>
      <c r="F2219" s="152" t="s">
        <v>673</v>
      </c>
      <c r="G2219" s="152" t="s">
        <v>674</v>
      </c>
      <c r="I2219" s="513">
        <v>-4275000</v>
      </c>
      <c r="J2219" s="513">
        <v>-3000</v>
      </c>
      <c r="K2219" s="513">
        <v>1425</v>
      </c>
      <c r="L2219" s="518" t="s">
        <v>3637</v>
      </c>
      <c r="M2219" s="152" t="s">
        <v>780</v>
      </c>
      <c r="N2219" s="152" t="s">
        <v>781</v>
      </c>
      <c r="O2219" s="152" t="s">
        <v>5024</v>
      </c>
      <c r="P2219" s="152" t="s">
        <v>2865</v>
      </c>
      <c r="Q2219" s="152" t="s">
        <v>5025</v>
      </c>
      <c r="R2219" s="152" t="s">
        <v>5025</v>
      </c>
      <c r="S2219" s="152" t="s">
        <v>5026</v>
      </c>
      <c r="T2219" s="152" t="s">
        <v>786</v>
      </c>
    </row>
    <row r="2220" spans="3:20">
      <c r="C2220" s="152" t="s">
        <v>2821</v>
      </c>
      <c r="F2220" s="152" t="s">
        <v>673</v>
      </c>
      <c r="G2220" s="152" t="s">
        <v>674</v>
      </c>
      <c r="I2220" s="513">
        <v>-7050000</v>
      </c>
      <c r="J2220" s="513">
        <v>-5000</v>
      </c>
      <c r="K2220" s="513">
        <v>1410</v>
      </c>
      <c r="L2220" s="518" t="s">
        <v>3498</v>
      </c>
      <c r="M2220" s="152" t="s">
        <v>780</v>
      </c>
      <c r="N2220" s="152" t="s">
        <v>781</v>
      </c>
      <c r="O2220" s="152" t="s">
        <v>5081</v>
      </c>
      <c r="P2220" s="152" t="s">
        <v>3489</v>
      </c>
      <c r="Q2220" s="152" t="s">
        <v>5082</v>
      </c>
      <c r="R2220" s="152" t="s">
        <v>5082</v>
      </c>
      <c r="S2220" s="152" t="s">
        <v>5083</v>
      </c>
      <c r="T2220" s="152" t="s">
        <v>786</v>
      </c>
    </row>
    <row r="2221" spans="3:20">
      <c r="C2221" s="152" t="s">
        <v>2821</v>
      </c>
      <c r="F2221" s="152" t="s">
        <v>673</v>
      </c>
      <c r="G2221" s="152" t="s">
        <v>674</v>
      </c>
      <c r="I2221" s="513">
        <v>-5640000</v>
      </c>
      <c r="J2221" s="513">
        <v>-4000</v>
      </c>
      <c r="K2221" s="513">
        <v>1410</v>
      </c>
      <c r="L2221" s="518" t="s">
        <v>3498</v>
      </c>
      <c r="M2221" s="152" t="s">
        <v>780</v>
      </c>
      <c r="N2221" s="152" t="s">
        <v>781</v>
      </c>
      <c r="O2221" s="152" t="s">
        <v>5084</v>
      </c>
      <c r="P2221" s="152" t="s">
        <v>3489</v>
      </c>
      <c r="Q2221" s="152" t="s">
        <v>5085</v>
      </c>
      <c r="R2221" s="152" t="s">
        <v>5085</v>
      </c>
      <c r="S2221" s="152" t="s">
        <v>5086</v>
      </c>
      <c r="T2221" s="152" t="s">
        <v>786</v>
      </c>
    </row>
    <row r="2222" spans="3:20">
      <c r="C2222" s="152" t="s">
        <v>2821</v>
      </c>
      <c r="F2222" s="152" t="s">
        <v>666</v>
      </c>
      <c r="G2222" s="152" t="s">
        <v>667</v>
      </c>
      <c r="I2222" s="513">
        <v>-80584</v>
      </c>
      <c r="J2222" s="513">
        <v>-57.56</v>
      </c>
      <c r="K2222" s="513">
        <v>1400</v>
      </c>
      <c r="L2222" s="518" t="s">
        <v>3659</v>
      </c>
      <c r="M2222" s="152" t="s">
        <v>780</v>
      </c>
      <c r="N2222" s="152" t="s">
        <v>1272</v>
      </c>
      <c r="O2222" s="152" t="s">
        <v>4919</v>
      </c>
      <c r="P2222" s="152" t="s">
        <v>3489</v>
      </c>
      <c r="Q2222" s="152" t="s">
        <v>4920</v>
      </c>
      <c r="R2222" s="152" t="s">
        <v>4921</v>
      </c>
      <c r="S2222" s="152" t="s">
        <v>4922</v>
      </c>
      <c r="T2222" s="152" t="s">
        <v>786</v>
      </c>
    </row>
    <row r="2223" spans="3:20">
      <c r="C2223" s="152" t="s">
        <v>2821</v>
      </c>
      <c r="F2223" s="152" t="s">
        <v>666</v>
      </c>
      <c r="G2223" s="152" t="s">
        <v>667</v>
      </c>
      <c r="I2223" s="513">
        <v>-31877.25</v>
      </c>
      <c r="J2223" s="513">
        <v>-22.37</v>
      </c>
      <c r="K2223" s="513">
        <v>1425</v>
      </c>
      <c r="L2223" s="518" t="s">
        <v>3637</v>
      </c>
      <c r="M2223" s="152" t="s">
        <v>780</v>
      </c>
      <c r="N2223" s="152" t="s">
        <v>1272</v>
      </c>
      <c r="O2223" s="152" t="s">
        <v>4924</v>
      </c>
      <c r="P2223" s="152" t="s">
        <v>2865</v>
      </c>
      <c r="Q2223" s="152" t="s">
        <v>4925</v>
      </c>
      <c r="R2223" s="152" t="s">
        <v>1296</v>
      </c>
      <c r="S2223" s="152" t="s">
        <v>4926</v>
      </c>
      <c r="T2223" s="152" t="s">
        <v>786</v>
      </c>
    </row>
    <row r="2224" spans="3:20">
      <c r="C2224" s="152" t="s">
        <v>2821</v>
      </c>
      <c r="F2224" s="152" t="s">
        <v>666</v>
      </c>
      <c r="G2224" s="152" t="s">
        <v>667</v>
      </c>
      <c r="I2224" s="513">
        <v>-30912</v>
      </c>
      <c r="J2224" s="513">
        <v>-22.08</v>
      </c>
      <c r="K2224" s="513">
        <v>1400</v>
      </c>
      <c r="L2224" s="518" t="s">
        <v>3659</v>
      </c>
      <c r="M2224" s="152" t="s">
        <v>780</v>
      </c>
      <c r="N2224" s="152" t="s">
        <v>1272</v>
      </c>
      <c r="O2224" s="152" t="s">
        <v>4919</v>
      </c>
      <c r="P2224" s="152" t="s">
        <v>3489</v>
      </c>
      <c r="Q2224" s="152" t="s">
        <v>4920</v>
      </c>
      <c r="R2224" s="152" t="s">
        <v>1296</v>
      </c>
      <c r="S2224" s="152" t="s">
        <v>4922</v>
      </c>
      <c r="T2224" s="152" t="s">
        <v>786</v>
      </c>
    </row>
    <row r="2225" spans="3:20">
      <c r="C2225" s="152" t="s">
        <v>2821</v>
      </c>
      <c r="F2225" s="152" t="s">
        <v>666</v>
      </c>
      <c r="G2225" s="152" t="s">
        <v>667</v>
      </c>
      <c r="I2225" s="513">
        <v>-269570</v>
      </c>
      <c r="J2225" s="513">
        <v>-192.55</v>
      </c>
      <c r="K2225" s="513">
        <v>1400</v>
      </c>
      <c r="L2225" s="518" t="s">
        <v>3659</v>
      </c>
      <c r="M2225" s="152" t="s">
        <v>780</v>
      </c>
      <c r="N2225" s="152" t="s">
        <v>1272</v>
      </c>
      <c r="O2225" s="152" t="s">
        <v>4919</v>
      </c>
      <c r="P2225" s="152" t="s">
        <v>3489</v>
      </c>
      <c r="Q2225" s="152" t="s">
        <v>4920</v>
      </c>
      <c r="R2225" s="152" t="s">
        <v>4934</v>
      </c>
      <c r="S2225" s="152" t="s">
        <v>4922</v>
      </c>
      <c r="T2225" s="152" t="s">
        <v>786</v>
      </c>
    </row>
    <row r="2226" spans="3:20">
      <c r="C2226" s="152" t="s">
        <v>2821</v>
      </c>
      <c r="F2226" s="152" t="s">
        <v>666</v>
      </c>
      <c r="G2226" s="152" t="s">
        <v>667</v>
      </c>
      <c r="I2226" s="513">
        <v>1311</v>
      </c>
      <c r="J2226" s="513">
        <v>0.92</v>
      </c>
      <c r="K2226" s="513">
        <v>1425</v>
      </c>
      <c r="L2226" s="518" t="s">
        <v>3637</v>
      </c>
      <c r="M2226" s="152" t="s">
        <v>780</v>
      </c>
      <c r="N2226" s="152" t="s">
        <v>1272</v>
      </c>
      <c r="O2226" s="152" t="s">
        <v>4935</v>
      </c>
      <c r="P2226" s="152" t="s">
        <v>2865</v>
      </c>
      <c r="Q2226" s="152" t="s">
        <v>4936</v>
      </c>
      <c r="R2226" s="152" t="s">
        <v>4937</v>
      </c>
      <c r="S2226" s="152" t="s">
        <v>4938</v>
      </c>
      <c r="T2226" s="152" t="s">
        <v>786</v>
      </c>
    </row>
    <row r="2227" spans="3:20">
      <c r="C2227" s="152" t="s">
        <v>2821</v>
      </c>
      <c r="F2227" s="152" t="s">
        <v>666</v>
      </c>
      <c r="G2227" s="152" t="s">
        <v>667</v>
      </c>
      <c r="I2227" s="513">
        <v>1316</v>
      </c>
      <c r="J2227" s="513">
        <v>0.94</v>
      </c>
      <c r="K2227" s="513">
        <v>1400</v>
      </c>
      <c r="L2227" s="518" t="s">
        <v>3659</v>
      </c>
      <c r="M2227" s="152" t="s">
        <v>780</v>
      </c>
      <c r="N2227" s="152" t="s">
        <v>1272</v>
      </c>
      <c r="O2227" s="152" t="s">
        <v>4939</v>
      </c>
      <c r="P2227" s="152" t="s">
        <v>3489</v>
      </c>
      <c r="Q2227" s="152" t="s">
        <v>4940</v>
      </c>
      <c r="R2227" s="152" t="s">
        <v>4941</v>
      </c>
      <c r="S2227" s="152" t="s">
        <v>4942</v>
      </c>
      <c r="T2227" s="152" t="s">
        <v>786</v>
      </c>
    </row>
    <row r="2228" spans="3:20">
      <c r="C2228" s="152" t="s">
        <v>2821</v>
      </c>
      <c r="F2228" s="152" t="s">
        <v>666</v>
      </c>
      <c r="G2228" s="152" t="s">
        <v>667</v>
      </c>
      <c r="I2228" s="513">
        <v>-87210</v>
      </c>
      <c r="J2228" s="513">
        <v>-61.2</v>
      </c>
      <c r="K2228" s="513">
        <v>1425</v>
      </c>
      <c r="L2228" s="518" t="s">
        <v>3504</v>
      </c>
      <c r="M2228" s="152" t="s">
        <v>780</v>
      </c>
      <c r="N2228" s="152" t="s">
        <v>1272</v>
      </c>
      <c r="O2228" s="152" t="s">
        <v>4947</v>
      </c>
      <c r="P2228" s="152" t="s">
        <v>3489</v>
      </c>
      <c r="Q2228" s="152" t="s">
        <v>4948</v>
      </c>
      <c r="R2228" s="152" t="s">
        <v>4949</v>
      </c>
      <c r="S2228" s="152" t="s">
        <v>4950</v>
      </c>
      <c r="T2228" s="152" t="s">
        <v>786</v>
      </c>
    </row>
    <row r="2229" spans="3:20">
      <c r="C2229" s="152" t="s">
        <v>2821</v>
      </c>
      <c r="F2229" s="152" t="s">
        <v>666</v>
      </c>
      <c r="G2229" s="152" t="s">
        <v>667</v>
      </c>
      <c r="I2229" s="513">
        <v>-84319.85</v>
      </c>
      <c r="J2229" s="513">
        <v>-59.59</v>
      </c>
      <c r="K2229" s="513">
        <v>1415</v>
      </c>
      <c r="L2229" s="518" t="s">
        <v>3632</v>
      </c>
      <c r="M2229" s="152" t="s">
        <v>780</v>
      </c>
      <c r="N2229" s="152" t="s">
        <v>1272</v>
      </c>
      <c r="O2229" s="152" t="s">
        <v>4951</v>
      </c>
      <c r="P2229" s="152" t="s">
        <v>3489</v>
      </c>
      <c r="Q2229" s="152" t="s">
        <v>4952</v>
      </c>
      <c r="R2229" s="152" t="s">
        <v>4953</v>
      </c>
      <c r="S2229" s="152" t="s">
        <v>4954</v>
      </c>
      <c r="T2229" s="152" t="s">
        <v>786</v>
      </c>
    </row>
    <row r="2230" spans="3:20">
      <c r="C2230" s="152" t="s">
        <v>2821</v>
      </c>
      <c r="F2230" s="152" t="s">
        <v>666</v>
      </c>
      <c r="G2230" s="152" t="s">
        <v>667</v>
      </c>
      <c r="I2230" s="513">
        <v>718872</v>
      </c>
      <c r="J2230" s="513">
        <v>513.48</v>
      </c>
      <c r="K2230" s="513">
        <v>1400</v>
      </c>
      <c r="L2230" s="518" t="s">
        <v>3659</v>
      </c>
      <c r="M2230" s="152" t="s">
        <v>780</v>
      </c>
      <c r="N2230" s="152" t="s">
        <v>1272</v>
      </c>
      <c r="O2230" s="152" t="s">
        <v>4939</v>
      </c>
      <c r="P2230" s="152" t="s">
        <v>3489</v>
      </c>
      <c r="Q2230" s="152" t="s">
        <v>4940</v>
      </c>
      <c r="R2230" s="152" t="s">
        <v>1381</v>
      </c>
      <c r="S2230" s="152" t="s">
        <v>4942</v>
      </c>
      <c r="T2230" s="152" t="s">
        <v>786</v>
      </c>
    </row>
    <row r="2231" spans="3:20">
      <c r="C2231" s="152" t="s">
        <v>2821</v>
      </c>
      <c r="F2231" s="152" t="s">
        <v>662</v>
      </c>
      <c r="G2231" s="152" t="s">
        <v>663</v>
      </c>
      <c r="I2231" s="513">
        <v>-28500</v>
      </c>
      <c r="J2231" s="513">
        <v>-20</v>
      </c>
      <c r="K2231" s="513">
        <v>1425</v>
      </c>
      <c r="L2231" s="518" t="s">
        <v>3504</v>
      </c>
      <c r="M2231" s="152" t="s">
        <v>780</v>
      </c>
      <c r="N2231" s="152" t="s">
        <v>1272</v>
      </c>
      <c r="O2231" s="152" t="s">
        <v>4927</v>
      </c>
      <c r="P2231" s="152" t="s">
        <v>3489</v>
      </c>
      <c r="Q2231" s="152" t="s">
        <v>4928</v>
      </c>
      <c r="R2231" s="152" t="s">
        <v>1296</v>
      </c>
      <c r="S2231" s="152" t="s">
        <v>4929</v>
      </c>
      <c r="T2231" s="152" t="s">
        <v>786</v>
      </c>
    </row>
    <row r="2232" spans="3:20">
      <c r="C2232" s="152" t="s">
        <v>2821</v>
      </c>
      <c r="F2232" s="152" t="s">
        <v>662</v>
      </c>
      <c r="G2232" s="152" t="s">
        <v>663</v>
      </c>
      <c r="I2232" s="513">
        <v>-28300</v>
      </c>
      <c r="J2232" s="513">
        <v>-20</v>
      </c>
      <c r="K2232" s="513">
        <v>1415</v>
      </c>
      <c r="L2232" s="518" t="s">
        <v>3632</v>
      </c>
      <c r="M2232" s="152" t="s">
        <v>780</v>
      </c>
      <c r="N2232" s="152" t="s">
        <v>1272</v>
      </c>
      <c r="O2232" s="152" t="s">
        <v>4930</v>
      </c>
      <c r="P2232" s="152" t="s">
        <v>3489</v>
      </c>
      <c r="Q2232" s="152" t="s">
        <v>4931</v>
      </c>
      <c r="R2232" s="152" t="s">
        <v>1296</v>
      </c>
      <c r="S2232" s="152" t="s">
        <v>4932</v>
      </c>
      <c r="T2232" s="152" t="s">
        <v>786</v>
      </c>
    </row>
    <row r="2233" spans="3:20">
      <c r="C2233" s="152" t="s">
        <v>2821</v>
      </c>
      <c r="F2233" s="152" t="s">
        <v>662</v>
      </c>
      <c r="G2233" s="152" t="s">
        <v>663</v>
      </c>
      <c r="I2233" s="513">
        <v>28500</v>
      </c>
      <c r="J2233" s="513">
        <v>20</v>
      </c>
      <c r="K2233" s="513">
        <v>1425</v>
      </c>
      <c r="L2233" s="518" t="s">
        <v>3504</v>
      </c>
      <c r="M2233" s="152" t="s">
        <v>780</v>
      </c>
      <c r="N2233" s="152" t="s">
        <v>1272</v>
      </c>
      <c r="O2233" s="152" t="s">
        <v>4955</v>
      </c>
      <c r="P2233" s="152" t="s">
        <v>3489</v>
      </c>
      <c r="Q2233" s="152" t="s">
        <v>4956</v>
      </c>
      <c r="R2233" s="152" t="s">
        <v>1348</v>
      </c>
      <c r="S2233" s="152" t="s">
        <v>4957</v>
      </c>
      <c r="T2233" s="152" t="s">
        <v>786</v>
      </c>
    </row>
    <row r="2234" spans="3:20">
      <c r="C2234" s="152" t="s">
        <v>2821</v>
      </c>
      <c r="F2234" s="152" t="s">
        <v>662</v>
      </c>
      <c r="G2234" s="152" t="s">
        <v>663</v>
      </c>
      <c r="I2234" s="513">
        <v>28300</v>
      </c>
      <c r="J2234" s="513">
        <v>20</v>
      </c>
      <c r="K2234" s="513">
        <v>1415</v>
      </c>
      <c r="L2234" s="518" t="s">
        <v>3632</v>
      </c>
      <c r="M2234" s="152" t="s">
        <v>780</v>
      </c>
      <c r="N2234" s="152" t="s">
        <v>1272</v>
      </c>
      <c r="O2234" s="152" t="s">
        <v>4958</v>
      </c>
      <c r="P2234" s="152" t="s">
        <v>3489</v>
      </c>
      <c r="Q2234" s="152" t="s">
        <v>4959</v>
      </c>
      <c r="R2234" s="152" t="s">
        <v>4960</v>
      </c>
      <c r="S2234" s="152" t="s">
        <v>4961</v>
      </c>
      <c r="T2234" s="152" t="s">
        <v>786</v>
      </c>
    </row>
    <row r="2235" spans="3:20">
      <c r="C2235" s="152" t="s">
        <v>2821</v>
      </c>
      <c r="F2235" s="152" t="s">
        <v>658</v>
      </c>
      <c r="G2235" s="152" t="s">
        <v>659</v>
      </c>
      <c r="I2235" s="513">
        <v>-2664.9</v>
      </c>
      <c r="J2235" s="513">
        <v>-1.89</v>
      </c>
      <c r="K2235" s="513">
        <v>1410</v>
      </c>
      <c r="L2235" s="518" t="s">
        <v>3498</v>
      </c>
      <c r="M2235" s="152" t="s">
        <v>780</v>
      </c>
      <c r="N2235" s="152" t="s">
        <v>1407</v>
      </c>
      <c r="O2235" s="152" t="s">
        <v>3522</v>
      </c>
      <c r="P2235" s="152" t="s">
        <v>3489</v>
      </c>
      <c r="Q2235" s="152" t="s">
        <v>3523</v>
      </c>
      <c r="R2235" s="152" t="s">
        <v>3524</v>
      </c>
      <c r="S2235" s="152" t="s">
        <v>3525</v>
      </c>
      <c r="T2235" s="152" t="s">
        <v>786</v>
      </c>
    </row>
    <row r="2236" spans="3:20">
      <c r="C2236" s="152" t="s">
        <v>2821</v>
      </c>
      <c r="F2236" s="152" t="s">
        <v>658</v>
      </c>
      <c r="G2236" s="152" t="s">
        <v>659</v>
      </c>
      <c r="I2236" s="513">
        <v>-486083.4</v>
      </c>
      <c r="J2236" s="513">
        <v>-344.74</v>
      </c>
      <c r="K2236" s="513">
        <v>1410</v>
      </c>
      <c r="L2236" s="518" t="s">
        <v>3498</v>
      </c>
      <c r="M2236" s="152" t="s">
        <v>780</v>
      </c>
      <c r="N2236" s="152" t="s">
        <v>1407</v>
      </c>
      <c r="O2236" s="152" t="s">
        <v>3522</v>
      </c>
      <c r="P2236" s="152" t="s">
        <v>3489</v>
      </c>
      <c r="Q2236" s="152" t="s">
        <v>3523</v>
      </c>
      <c r="R2236" s="152" t="s">
        <v>3653</v>
      </c>
      <c r="S2236" s="152" t="s">
        <v>3525</v>
      </c>
      <c r="T2236" s="152" t="s">
        <v>786</v>
      </c>
    </row>
    <row r="2237" spans="3:20">
      <c r="C2237" s="152" t="s">
        <v>2821</v>
      </c>
      <c r="F2237" s="152" t="s">
        <v>658</v>
      </c>
      <c r="G2237" s="152" t="s">
        <v>659</v>
      </c>
      <c r="I2237" s="513">
        <v>-2680607.4</v>
      </c>
      <c r="J2237" s="513">
        <v>-1901.14</v>
      </c>
      <c r="K2237" s="513">
        <v>1410</v>
      </c>
      <c r="L2237" s="518" t="s">
        <v>3498</v>
      </c>
      <c r="M2237" s="152" t="s">
        <v>780</v>
      </c>
      <c r="N2237" s="152" t="s">
        <v>1407</v>
      </c>
      <c r="O2237" s="152" t="s">
        <v>3522</v>
      </c>
      <c r="P2237" s="152" t="s">
        <v>3489</v>
      </c>
      <c r="Q2237" s="152" t="s">
        <v>3523</v>
      </c>
      <c r="R2237" s="152" t="s">
        <v>3654</v>
      </c>
      <c r="S2237" s="152" t="s">
        <v>3525</v>
      </c>
      <c r="T2237" s="152" t="s">
        <v>786</v>
      </c>
    </row>
    <row r="2238" spans="3:20">
      <c r="C2238" s="152" t="s">
        <v>2821</v>
      </c>
      <c r="F2238" s="152" t="s">
        <v>658</v>
      </c>
      <c r="G2238" s="152" t="s">
        <v>659</v>
      </c>
      <c r="I2238" s="513">
        <v>-561772.80000000005</v>
      </c>
      <c r="J2238" s="513">
        <v>-390.12</v>
      </c>
      <c r="K2238" s="513">
        <v>1440</v>
      </c>
      <c r="L2238" s="518" t="s">
        <v>3517</v>
      </c>
      <c r="M2238" s="152" t="s">
        <v>780</v>
      </c>
      <c r="N2238" s="152" t="s">
        <v>1407</v>
      </c>
      <c r="O2238" s="152" t="s">
        <v>3655</v>
      </c>
      <c r="P2238" s="152" t="s">
        <v>892</v>
      </c>
      <c r="Q2238" s="152" t="s">
        <v>3656</v>
      </c>
      <c r="R2238" s="152" t="s">
        <v>3657</v>
      </c>
      <c r="S2238" s="152" t="s">
        <v>3658</v>
      </c>
      <c r="T2238" s="152" t="s">
        <v>786</v>
      </c>
    </row>
    <row r="2239" spans="3:20">
      <c r="C2239" s="152" t="s">
        <v>2821</v>
      </c>
      <c r="F2239" s="152" t="s">
        <v>658</v>
      </c>
      <c r="G2239" s="152" t="s">
        <v>659</v>
      </c>
      <c r="I2239" s="513">
        <v>-1976898</v>
      </c>
      <c r="J2239" s="513">
        <v>-1412.07</v>
      </c>
      <c r="K2239" s="513">
        <v>1400</v>
      </c>
      <c r="L2239" s="518" t="s">
        <v>3659</v>
      </c>
      <c r="M2239" s="152" t="s">
        <v>780</v>
      </c>
      <c r="N2239" s="152" t="s">
        <v>1407</v>
      </c>
      <c r="O2239" s="152" t="s">
        <v>3660</v>
      </c>
      <c r="P2239" s="152" t="s">
        <v>3489</v>
      </c>
      <c r="Q2239" s="152" t="s">
        <v>3661</v>
      </c>
      <c r="R2239" s="152" t="s">
        <v>3662</v>
      </c>
      <c r="S2239" s="152" t="s">
        <v>3663</v>
      </c>
      <c r="T2239" s="152" t="s">
        <v>786</v>
      </c>
    </row>
    <row r="2240" spans="3:20">
      <c r="C2240" s="152" t="s">
        <v>2821</v>
      </c>
      <c r="F2240" s="152" t="s">
        <v>658</v>
      </c>
      <c r="G2240" s="152" t="s">
        <v>659</v>
      </c>
      <c r="I2240" s="513">
        <v>-737380.5</v>
      </c>
      <c r="J2240" s="513">
        <v>-517.46</v>
      </c>
      <c r="K2240" s="513">
        <v>1425</v>
      </c>
      <c r="L2240" s="518" t="s">
        <v>3504</v>
      </c>
      <c r="M2240" s="152" t="s">
        <v>780</v>
      </c>
      <c r="N2240" s="152" t="s">
        <v>1407</v>
      </c>
      <c r="O2240" s="152" t="s">
        <v>3665</v>
      </c>
      <c r="P2240" s="152" t="s">
        <v>3489</v>
      </c>
      <c r="Q2240" s="152" t="s">
        <v>3666</v>
      </c>
      <c r="R2240" s="152" t="s">
        <v>3667</v>
      </c>
      <c r="S2240" s="152" t="s">
        <v>3668</v>
      </c>
      <c r="T2240" s="152" t="s">
        <v>786</v>
      </c>
    </row>
    <row r="2241" spans="3:20">
      <c r="C2241" s="152" t="s">
        <v>2821</v>
      </c>
      <c r="F2241" s="152" t="s">
        <v>658</v>
      </c>
      <c r="G2241" s="152" t="s">
        <v>659</v>
      </c>
      <c r="I2241" s="513">
        <v>-517812.75</v>
      </c>
      <c r="J2241" s="513">
        <v>-368.55</v>
      </c>
      <c r="K2241" s="513">
        <v>1405</v>
      </c>
      <c r="L2241" s="518" t="s">
        <v>3493</v>
      </c>
      <c r="M2241" s="152" t="s">
        <v>780</v>
      </c>
      <c r="N2241" s="152" t="s">
        <v>1407</v>
      </c>
      <c r="O2241" s="152" t="s">
        <v>3669</v>
      </c>
      <c r="P2241" s="152" t="s">
        <v>3489</v>
      </c>
      <c r="Q2241" s="152" t="s">
        <v>3670</v>
      </c>
      <c r="R2241" s="152" t="s">
        <v>3671</v>
      </c>
      <c r="S2241" s="152" t="s">
        <v>3672</v>
      </c>
      <c r="T2241" s="152" t="s">
        <v>786</v>
      </c>
    </row>
    <row r="2242" spans="3:20">
      <c r="C2242" s="152" t="s">
        <v>2821</v>
      </c>
      <c r="F2242" s="152" t="s">
        <v>658</v>
      </c>
      <c r="G2242" s="152" t="s">
        <v>659</v>
      </c>
      <c r="I2242" s="513">
        <v>-285136.65000000002</v>
      </c>
      <c r="J2242" s="513">
        <v>-201.51</v>
      </c>
      <c r="K2242" s="513">
        <v>1415</v>
      </c>
      <c r="L2242" s="518" t="s">
        <v>3632</v>
      </c>
      <c r="M2242" s="152" t="s">
        <v>780</v>
      </c>
      <c r="N2242" s="152" t="s">
        <v>1407</v>
      </c>
      <c r="O2242" s="152" t="s">
        <v>3673</v>
      </c>
      <c r="P2242" s="152" t="s">
        <v>3489</v>
      </c>
      <c r="Q2242" s="152" t="s">
        <v>3674</v>
      </c>
      <c r="R2242" s="152" t="s">
        <v>3675</v>
      </c>
      <c r="S2242" s="152" t="s">
        <v>3676</v>
      </c>
      <c r="T2242" s="152" t="s">
        <v>786</v>
      </c>
    </row>
    <row r="2243" spans="3:20">
      <c r="C2243" s="152" t="s">
        <v>2821</v>
      </c>
      <c r="F2243" s="152" t="s">
        <v>658</v>
      </c>
      <c r="G2243" s="152" t="s">
        <v>659</v>
      </c>
      <c r="I2243" s="513">
        <v>-741228</v>
      </c>
      <c r="J2243" s="513">
        <v>-520.16</v>
      </c>
      <c r="K2243" s="513">
        <v>1425</v>
      </c>
      <c r="L2243" s="518" t="s">
        <v>3637</v>
      </c>
      <c r="M2243" s="152" t="s">
        <v>780</v>
      </c>
      <c r="N2243" s="152" t="s">
        <v>1407</v>
      </c>
      <c r="O2243" s="152" t="s">
        <v>3680</v>
      </c>
      <c r="P2243" s="152" t="s">
        <v>2865</v>
      </c>
      <c r="Q2243" s="152" t="s">
        <v>3681</v>
      </c>
      <c r="R2243" s="152" t="s">
        <v>3682</v>
      </c>
      <c r="S2243" s="152" t="s">
        <v>3683</v>
      </c>
      <c r="T2243" s="152" t="s">
        <v>786</v>
      </c>
    </row>
    <row r="2244" spans="3:20">
      <c r="C2244" s="152" t="s">
        <v>2821</v>
      </c>
      <c r="F2244" s="152" t="s">
        <v>658</v>
      </c>
      <c r="G2244" s="152" t="s">
        <v>659</v>
      </c>
      <c r="I2244" s="513">
        <v>-712848.7</v>
      </c>
      <c r="J2244" s="513">
        <v>-503.78</v>
      </c>
      <c r="K2244" s="513">
        <v>1415</v>
      </c>
      <c r="L2244" s="518" t="s">
        <v>3632</v>
      </c>
      <c r="M2244" s="152" t="s">
        <v>780</v>
      </c>
      <c r="N2244" s="152" t="s">
        <v>1407</v>
      </c>
      <c r="O2244" s="152" t="s">
        <v>3673</v>
      </c>
      <c r="P2244" s="152" t="s">
        <v>3489</v>
      </c>
      <c r="Q2244" s="152" t="s">
        <v>3674</v>
      </c>
      <c r="R2244" s="152" t="s">
        <v>3684</v>
      </c>
      <c r="S2244" s="152" t="s">
        <v>3676</v>
      </c>
      <c r="T2244" s="152" t="s">
        <v>786</v>
      </c>
    </row>
    <row r="2245" spans="3:20">
      <c r="C2245" s="152" t="s">
        <v>2821</v>
      </c>
      <c r="F2245" s="152" t="s">
        <v>658</v>
      </c>
      <c r="G2245" s="152" t="s">
        <v>659</v>
      </c>
      <c r="I2245" s="513">
        <v>-119742.75</v>
      </c>
      <c r="J2245" s="513">
        <v>-84.03</v>
      </c>
      <c r="K2245" s="513">
        <v>1425</v>
      </c>
      <c r="L2245" s="518" t="s">
        <v>3637</v>
      </c>
      <c r="M2245" s="152" t="s">
        <v>780</v>
      </c>
      <c r="N2245" s="152" t="s">
        <v>1407</v>
      </c>
      <c r="O2245" s="152" t="s">
        <v>3680</v>
      </c>
      <c r="P2245" s="152" t="s">
        <v>2865</v>
      </c>
      <c r="Q2245" s="152" t="s">
        <v>3681</v>
      </c>
      <c r="R2245" s="152" t="s">
        <v>3685</v>
      </c>
      <c r="S2245" s="152" t="s">
        <v>3683</v>
      </c>
      <c r="T2245" s="152" t="s">
        <v>786</v>
      </c>
    </row>
    <row r="2246" spans="3:20">
      <c r="C2246" s="152" t="s">
        <v>2821</v>
      </c>
      <c r="F2246" s="152" t="s">
        <v>658</v>
      </c>
      <c r="G2246" s="152" t="s">
        <v>659</v>
      </c>
      <c r="I2246" s="513">
        <v>-116130</v>
      </c>
      <c r="J2246" s="513">
        <v>-82.95</v>
      </c>
      <c r="K2246" s="513">
        <v>1400</v>
      </c>
      <c r="L2246" s="518" t="s">
        <v>3659</v>
      </c>
      <c r="M2246" s="152" t="s">
        <v>780</v>
      </c>
      <c r="N2246" s="152" t="s">
        <v>1407</v>
      </c>
      <c r="O2246" s="152" t="s">
        <v>3660</v>
      </c>
      <c r="P2246" s="152" t="s">
        <v>3489</v>
      </c>
      <c r="Q2246" s="152" t="s">
        <v>3661</v>
      </c>
      <c r="R2246" s="152" t="s">
        <v>3686</v>
      </c>
      <c r="S2246" s="152" t="s">
        <v>3663</v>
      </c>
      <c r="T2246" s="152" t="s">
        <v>786</v>
      </c>
    </row>
    <row r="2247" spans="3:20">
      <c r="C2247" s="152" t="s">
        <v>2821</v>
      </c>
      <c r="F2247" s="152" t="s">
        <v>658</v>
      </c>
      <c r="G2247" s="152" t="s">
        <v>659</v>
      </c>
      <c r="I2247" s="513">
        <v>-21574.5</v>
      </c>
      <c r="J2247" s="513">
        <v>-15.14</v>
      </c>
      <c r="K2247" s="513">
        <v>1425</v>
      </c>
      <c r="L2247" s="518" t="s">
        <v>3504</v>
      </c>
      <c r="M2247" s="152" t="s">
        <v>780</v>
      </c>
      <c r="N2247" s="152" t="s">
        <v>1407</v>
      </c>
      <c r="O2247" s="152" t="s">
        <v>3665</v>
      </c>
      <c r="P2247" s="152" t="s">
        <v>3489</v>
      </c>
      <c r="Q2247" s="152" t="s">
        <v>3666</v>
      </c>
      <c r="R2247" s="152" t="s">
        <v>3692</v>
      </c>
      <c r="S2247" s="152" t="s">
        <v>3668</v>
      </c>
      <c r="T2247" s="152" t="s">
        <v>786</v>
      </c>
    </row>
    <row r="2248" spans="3:20">
      <c r="C2248" s="152" t="s">
        <v>2821</v>
      </c>
      <c r="F2248" s="152" t="s">
        <v>658</v>
      </c>
      <c r="G2248" s="152" t="s">
        <v>659</v>
      </c>
      <c r="I2248" s="513">
        <v>-222840</v>
      </c>
      <c r="J2248" s="513">
        <v>-154.75</v>
      </c>
      <c r="K2248" s="513">
        <v>1440</v>
      </c>
      <c r="L2248" s="518" t="s">
        <v>3517</v>
      </c>
      <c r="M2248" s="152" t="s">
        <v>780</v>
      </c>
      <c r="N2248" s="152" t="s">
        <v>1407</v>
      </c>
      <c r="O2248" s="152" t="s">
        <v>3655</v>
      </c>
      <c r="P2248" s="152" t="s">
        <v>892</v>
      </c>
      <c r="Q2248" s="152" t="s">
        <v>3656</v>
      </c>
      <c r="R2248" s="152" t="s">
        <v>3705</v>
      </c>
      <c r="S2248" s="152" t="s">
        <v>3658</v>
      </c>
      <c r="T2248" s="152" t="s">
        <v>786</v>
      </c>
    </row>
    <row r="2249" spans="3:20">
      <c r="C2249" s="152" t="s">
        <v>2821</v>
      </c>
      <c r="F2249" s="152" t="s">
        <v>658</v>
      </c>
      <c r="G2249" s="152" t="s">
        <v>659</v>
      </c>
      <c r="I2249" s="513">
        <v>-132019.20000000001</v>
      </c>
      <c r="J2249" s="513">
        <v>-91.68</v>
      </c>
      <c r="K2249" s="513">
        <v>1440</v>
      </c>
      <c r="L2249" s="518" t="s">
        <v>3517</v>
      </c>
      <c r="M2249" s="152" t="s">
        <v>780</v>
      </c>
      <c r="N2249" s="152" t="s">
        <v>1407</v>
      </c>
      <c r="O2249" s="152" t="s">
        <v>3655</v>
      </c>
      <c r="P2249" s="152" t="s">
        <v>892</v>
      </c>
      <c r="Q2249" s="152" t="s">
        <v>3656</v>
      </c>
      <c r="R2249" s="152" t="s">
        <v>3706</v>
      </c>
      <c r="S2249" s="152" t="s">
        <v>3658</v>
      </c>
      <c r="T2249" s="152" t="s">
        <v>786</v>
      </c>
    </row>
    <row r="2250" spans="3:20">
      <c r="C2250" s="152" t="s">
        <v>2821</v>
      </c>
      <c r="F2250" s="152" t="s">
        <v>658</v>
      </c>
      <c r="G2250" s="152" t="s">
        <v>659</v>
      </c>
      <c r="I2250" s="513">
        <v>-159163.20000000001</v>
      </c>
      <c r="J2250" s="513">
        <v>-110.53</v>
      </c>
      <c r="K2250" s="513">
        <v>1440</v>
      </c>
      <c r="L2250" s="518" t="s">
        <v>3517</v>
      </c>
      <c r="M2250" s="152" t="s">
        <v>780</v>
      </c>
      <c r="N2250" s="152" t="s">
        <v>1407</v>
      </c>
      <c r="O2250" s="152" t="s">
        <v>3655</v>
      </c>
      <c r="P2250" s="152" t="s">
        <v>892</v>
      </c>
      <c r="Q2250" s="152" t="s">
        <v>3656</v>
      </c>
      <c r="R2250" s="152" t="s">
        <v>3707</v>
      </c>
      <c r="S2250" s="152" t="s">
        <v>3658</v>
      </c>
      <c r="T2250" s="152" t="s">
        <v>786</v>
      </c>
    </row>
    <row r="2251" spans="3:20">
      <c r="C2251" s="152" t="s">
        <v>2821</v>
      </c>
      <c r="F2251" s="152" t="s">
        <v>658</v>
      </c>
      <c r="G2251" s="152" t="s">
        <v>659</v>
      </c>
      <c r="I2251" s="513">
        <v>-757454.4</v>
      </c>
      <c r="J2251" s="513">
        <v>-526.01</v>
      </c>
      <c r="K2251" s="513">
        <v>1440</v>
      </c>
      <c r="L2251" s="518" t="s">
        <v>3517</v>
      </c>
      <c r="M2251" s="152" t="s">
        <v>780</v>
      </c>
      <c r="N2251" s="152" t="s">
        <v>1407</v>
      </c>
      <c r="O2251" s="152" t="s">
        <v>3655</v>
      </c>
      <c r="P2251" s="152" t="s">
        <v>892</v>
      </c>
      <c r="Q2251" s="152" t="s">
        <v>3656</v>
      </c>
      <c r="R2251" s="152" t="s">
        <v>3708</v>
      </c>
      <c r="S2251" s="152" t="s">
        <v>3658</v>
      </c>
      <c r="T2251" s="152" t="s">
        <v>786</v>
      </c>
    </row>
    <row r="2252" spans="3:20">
      <c r="C2252" s="152" t="s">
        <v>2821</v>
      </c>
      <c r="F2252" s="152" t="s">
        <v>658</v>
      </c>
      <c r="G2252" s="152" t="s">
        <v>659</v>
      </c>
      <c r="I2252" s="513">
        <v>-127339.2</v>
      </c>
      <c r="J2252" s="513">
        <v>-88.43</v>
      </c>
      <c r="K2252" s="513">
        <v>1440</v>
      </c>
      <c r="L2252" s="518" t="s">
        <v>3517</v>
      </c>
      <c r="M2252" s="152" t="s">
        <v>780</v>
      </c>
      <c r="N2252" s="152" t="s">
        <v>1407</v>
      </c>
      <c r="O2252" s="152" t="s">
        <v>3655</v>
      </c>
      <c r="P2252" s="152" t="s">
        <v>892</v>
      </c>
      <c r="Q2252" s="152" t="s">
        <v>3656</v>
      </c>
      <c r="R2252" s="152" t="s">
        <v>3709</v>
      </c>
      <c r="S2252" s="152" t="s">
        <v>3658</v>
      </c>
      <c r="T2252" s="152" t="s">
        <v>786</v>
      </c>
    </row>
    <row r="2253" spans="3:20">
      <c r="C2253" s="152" t="s">
        <v>2821</v>
      </c>
      <c r="F2253" s="152" t="s">
        <v>658</v>
      </c>
      <c r="G2253" s="152" t="s">
        <v>659</v>
      </c>
      <c r="I2253" s="513">
        <v>-254664</v>
      </c>
      <c r="J2253" s="513">
        <v>-176.85</v>
      </c>
      <c r="K2253" s="513">
        <v>1440</v>
      </c>
      <c r="L2253" s="518" t="s">
        <v>3517</v>
      </c>
      <c r="M2253" s="152" t="s">
        <v>780</v>
      </c>
      <c r="N2253" s="152" t="s">
        <v>1407</v>
      </c>
      <c r="O2253" s="152" t="s">
        <v>3655</v>
      </c>
      <c r="P2253" s="152" t="s">
        <v>892</v>
      </c>
      <c r="Q2253" s="152" t="s">
        <v>3656</v>
      </c>
      <c r="R2253" s="152" t="s">
        <v>3710</v>
      </c>
      <c r="S2253" s="152" t="s">
        <v>3658</v>
      </c>
      <c r="T2253" s="152" t="s">
        <v>786</v>
      </c>
    </row>
    <row r="2254" spans="3:20">
      <c r="C2254" s="152" t="s">
        <v>2821</v>
      </c>
      <c r="F2254" s="152" t="s">
        <v>658</v>
      </c>
      <c r="G2254" s="152" t="s">
        <v>659</v>
      </c>
      <c r="I2254" s="513">
        <v>-222840</v>
      </c>
      <c r="J2254" s="513">
        <v>-154.75</v>
      </c>
      <c r="K2254" s="513">
        <v>1440</v>
      </c>
      <c r="L2254" s="518" t="s">
        <v>3517</v>
      </c>
      <c r="M2254" s="152" t="s">
        <v>780</v>
      </c>
      <c r="N2254" s="152" t="s">
        <v>1407</v>
      </c>
      <c r="O2254" s="152" t="s">
        <v>3655</v>
      </c>
      <c r="P2254" s="152" t="s">
        <v>892</v>
      </c>
      <c r="Q2254" s="152" t="s">
        <v>3656</v>
      </c>
      <c r="R2254" s="152" t="s">
        <v>3711</v>
      </c>
      <c r="S2254" s="152" t="s">
        <v>3658</v>
      </c>
      <c r="T2254" s="152" t="s">
        <v>786</v>
      </c>
    </row>
    <row r="2255" spans="3:20">
      <c r="C2255" s="152" t="s">
        <v>2821</v>
      </c>
      <c r="F2255" s="152" t="s">
        <v>658</v>
      </c>
      <c r="G2255" s="152" t="s">
        <v>659</v>
      </c>
      <c r="I2255" s="513">
        <v>-541166.4</v>
      </c>
      <c r="J2255" s="513">
        <v>-375.81</v>
      </c>
      <c r="K2255" s="513">
        <v>1440</v>
      </c>
      <c r="L2255" s="518" t="s">
        <v>3517</v>
      </c>
      <c r="M2255" s="152" t="s">
        <v>780</v>
      </c>
      <c r="N2255" s="152" t="s">
        <v>1407</v>
      </c>
      <c r="O2255" s="152" t="s">
        <v>3655</v>
      </c>
      <c r="P2255" s="152" t="s">
        <v>892</v>
      </c>
      <c r="Q2255" s="152" t="s">
        <v>3656</v>
      </c>
      <c r="R2255" s="152" t="s">
        <v>3712</v>
      </c>
      <c r="S2255" s="152" t="s">
        <v>3658</v>
      </c>
      <c r="T2255" s="152" t="s">
        <v>786</v>
      </c>
    </row>
    <row r="2256" spans="3:20">
      <c r="C2256" s="152" t="s">
        <v>2821</v>
      </c>
      <c r="F2256" s="152" t="s">
        <v>658</v>
      </c>
      <c r="G2256" s="152" t="s">
        <v>659</v>
      </c>
      <c r="I2256" s="513">
        <v>-127339.2</v>
      </c>
      <c r="J2256" s="513">
        <v>-88.43</v>
      </c>
      <c r="K2256" s="513">
        <v>1440</v>
      </c>
      <c r="L2256" s="518" t="s">
        <v>3517</v>
      </c>
      <c r="M2256" s="152" t="s">
        <v>780</v>
      </c>
      <c r="N2256" s="152" t="s">
        <v>1407</v>
      </c>
      <c r="O2256" s="152" t="s">
        <v>3655</v>
      </c>
      <c r="P2256" s="152" t="s">
        <v>892</v>
      </c>
      <c r="Q2256" s="152" t="s">
        <v>3656</v>
      </c>
      <c r="R2256" s="152" t="s">
        <v>3713</v>
      </c>
      <c r="S2256" s="152" t="s">
        <v>3658</v>
      </c>
      <c r="T2256" s="152" t="s">
        <v>786</v>
      </c>
    </row>
    <row r="2257" spans="3:20">
      <c r="C2257" s="152" t="s">
        <v>2821</v>
      </c>
      <c r="F2257" s="152" t="s">
        <v>658</v>
      </c>
      <c r="G2257" s="152" t="s">
        <v>659</v>
      </c>
      <c r="I2257" s="513">
        <v>-541166.4</v>
      </c>
      <c r="J2257" s="513">
        <v>-375.81</v>
      </c>
      <c r="K2257" s="513">
        <v>1440</v>
      </c>
      <c r="L2257" s="518" t="s">
        <v>3517</v>
      </c>
      <c r="M2257" s="152" t="s">
        <v>780</v>
      </c>
      <c r="N2257" s="152" t="s">
        <v>1407</v>
      </c>
      <c r="O2257" s="152" t="s">
        <v>3655</v>
      </c>
      <c r="P2257" s="152" t="s">
        <v>892</v>
      </c>
      <c r="Q2257" s="152" t="s">
        <v>3656</v>
      </c>
      <c r="R2257" s="152" t="s">
        <v>3714</v>
      </c>
      <c r="S2257" s="152" t="s">
        <v>3658</v>
      </c>
      <c r="T2257" s="152" t="s">
        <v>786</v>
      </c>
    </row>
    <row r="2258" spans="3:20">
      <c r="C2258" s="152" t="s">
        <v>2821</v>
      </c>
      <c r="F2258" s="152" t="s">
        <v>658</v>
      </c>
      <c r="G2258" s="152" t="s">
        <v>659</v>
      </c>
      <c r="I2258" s="513">
        <v>-222840</v>
      </c>
      <c r="J2258" s="513">
        <v>-154.75</v>
      </c>
      <c r="K2258" s="513">
        <v>1440</v>
      </c>
      <c r="L2258" s="518" t="s">
        <v>3517</v>
      </c>
      <c r="M2258" s="152" t="s">
        <v>780</v>
      </c>
      <c r="N2258" s="152" t="s">
        <v>1407</v>
      </c>
      <c r="O2258" s="152" t="s">
        <v>3655</v>
      </c>
      <c r="P2258" s="152" t="s">
        <v>892</v>
      </c>
      <c r="Q2258" s="152" t="s">
        <v>3656</v>
      </c>
      <c r="R2258" s="152" t="s">
        <v>3715</v>
      </c>
      <c r="S2258" s="152" t="s">
        <v>3658</v>
      </c>
      <c r="T2258" s="152" t="s">
        <v>786</v>
      </c>
    </row>
    <row r="2259" spans="3:20">
      <c r="C2259" s="152" t="s">
        <v>2821</v>
      </c>
      <c r="F2259" s="152" t="s">
        <v>658</v>
      </c>
      <c r="G2259" s="152" t="s">
        <v>659</v>
      </c>
      <c r="I2259" s="513">
        <v>-379195.2</v>
      </c>
      <c r="J2259" s="513">
        <v>-263.33</v>
      </c>
      <c r="K2259" s="513">
        <v>1440</v>
      </c>
      <c r="L2259" s="518" t="s">
        <v>3517</v>
      </c>
      <c r="M2259" s="152" t="s">
        <v>780</v>
      </c>
      <c r="N2259" s="152" t="s">
        <v>1407</v>
      </c>
      <c r="O2259" s="152" t="s">
        <v>3655</v>
      </c>
      <c r="P2259" s="152" t="s">
        <v>892</v>
      </c>
      <c r="Q2259" s="152" t="s">
        <v>3656</v>
      </c>
      <c r="R2259" s="152" t="s">
        <v>3716</v>
      </c>
      <c r="S2259" s="152" t="s">
        <v>3658</v>
      </c>
      <c r="T2259" s="152" t="s">
        <v>786</v>
      </c>
    </row>
    <row r="2260" spans="3:20">
      <c r="C2260" s="152" t="s">
        <v>2821</v>
      </c>
      <c r="F2260" s="152" t="s">
        <v>658</v>
      </c>
      <c r="G2260" s="152" t="s">
        <v>659</v>
      </c>
      <c r="I2260" s="513">
        <v>-127339.2</v>
      </c>
      <c r="J2260" s="513">
        <v>-88.43</v>
      </c>
      <c r="K2260" s="513">
        <v>1440</v>
      </c>
      <c r="L2260" s="518" t="s">
        <v>3517</v>
      </c>
      <c r="M2260" s="152" t="s">
        <v>780</v>
      </c>
      <c r="N2260" s="152" t="s">
        <v>1407</v>
      </c>
      <c r="O2260" s="152" t="s">
        <v>3655</v>
      </c>
      <c r="P2260" s="152" t="s">
        <v>892</v>
      </c>
      <c r="Q2260" s="152" t="s">
        <v>3656</v>
      </c>
      <c r="R2260" s="152" t="s">
        <v>3717</v>
      </c>
      <c r="S2260" s="152" t="s">
        <v>3658</v>
      </c>
      <c r="T2260" s="152" t="s">
        <v>786</v>
      </c>
    </row>
    <row r="2261" spans="3:20">
      <c r="C2261" s="152" t="s">
        <v>2821</v>
      </c>
      <c r="F2261" s="152" t="s">
        <v>658</v>
      </c>
      <c r="G2261" s="152" t="s">
        <v>659</v>
      </c>
      <c r="I2261" s="513">
        <v>-378024</v>
      </c>
      <c r="J2261" s="513">
        <v>-265.27999999999997</v>
      </c>
      <c r="K2261" s="513">
        <v>1425</v>
      </c>
      <c r="L2261" s="518" t="s">
        <v>3637</v>
      </c>
      <c r="M2261" s="152" t="s">
        <v>780</v>
      </c>
      <c r="N2261" s="152" t="s">
        <v>1407</v>
      </c>
      <c r="O2261" s="152" t="s">
        <v>3680</v>
      </c>
      <c r="P2261" s="152" t="s">
        <v>2865</v>
      </c>
      <c r="Q2261" s="152" t="s">
        <v>3681</v>
      </c>
      <c r="R2261" s="152" t="s">
        <v>3718</v>
      </c>
      <c r="S2261" s="152" t="s">
        <v>3683</v>
      </c>
      <c r="T2261" s="152" t="s">
        <v>786</v>
      </c>
    </row>
    <row r="2262" spans="3:20">
      <c r="C2262" s="152" t="s">
        <v>2821</v>
      </c>
      <c r="F2262" s="152" t="s">
        <v>658</v>
      </c>
      <c r="G2262" s="152" t="s">
        <v>659</v>
      </c>
      <c r="I2262" s="513">
        <v>-127339.2</v>
      </c>
      <c r="J2262" s="513">
        <v>-88.43</v>
      </c>
      <c r="K2262" s="513">
        <v>1440</v>
      </c>
      <c r="L2262" s="518" t="s">
        <v>3517</v>
      </c>
      <c r="M2262" s="152" t="s">
        <v>780</v>
      </c>
      <c r="N2262" s="152" t="s">
        <v>1407</v>
      </c>
      <c r="O2262" s="152" t="s">
        <v>3655</v>
      </c>
      <c r="P2262" s="152" t="s">
        <v>892</v>
      </c>
      <c r="Q2262" s="152" t="s">
        <v>3656</v>
      </c>
      <c r="R2262" s="152" t="s">
        <v>3719</v>
      </c>
      <c r="S2262" s="152" t="s">
        <v>3658</v>
      </c>
      <c r="T2262" s="152" t="s">
        <v>786</v>
      </c>
    </row>
    <row r="2263" spans="3:20">
      <c r="C2263" s="152" t="s">
        <v>2821</v>
      </c>
      <c r="F2263" s="152" t="s">
        <v>658</v>
      </c>
      <c r="G2263" s="152" t="s">
        <v>659</v>
      </c>
      <c r="I2263" s="513">
        <v>-313386</v>
      </c>
      <c r="J2263" s="513">
        <v>-219.92</v>
      </c>
      <c r="K2263" s="513">
        <v>1425</v>
      </c>
      <c r="L2263" s="518" t="s">
        <v>3504</v>
      </c>
      <c r="M2263" s="152" t="s">
        <v>780</v>
      </c>
      <c r="N2263" s="152" t="s">
        <v>1407</v>
      </c>
      <c r="O2263" s="152" t="s">
        <v>3665</v>
      </c>
      <c r="P2263" s="152" t="s">
        <v>3489</v>
      </c>
      <c r="Q2263" s="152" t="s">
        <v>3666</v>
      </c>
      <c r="R2263" s="152" t="s">
        <v>3720</v>
      </c>
      <c r="S2263" s="152" t="s">
        <v>3668</v>
      </c>
      <c r="T2263" s="152" t="s">
        <v>786</v>
      </c>
    </row>
    <row r="2264" spans="3:20">
      <c r="C2264" s="152" t="s">
        <v>2821</v>
      </c>
      <c r="F2264" s="152" t="s">
        <v>658</v>
      </c>
      <c r="G2264" s="152" t="s">
        <v>659</v>
      </c>
      <c r="I2264" s="513">
        <v>-407407.5</v>
      </c>
      <c r="J2264" s="513">
        <v>-285.89999999999998</v>
      </c>
      <c r="K2264" s="513">
        <v>1425</v>
      </c>
      <c r="L2264" s="518" t="s">
        <v>3504</v>
      </c>
      <c r="M2264" s="152" t="s">
        <v>780</v>
      </c>
      <c r="N2264" s="152" t="s">
        <v>1407</v>
      </c>
      <c r="O2264" s="152" t="s">
        <v>3665</v>
      </c>
      <c r="P2264" s="152" t="s">
        <v>3489</v>
      </c>
      <c r="Q2264" s="152" t="s">
        <v>3666</v>
      </c>
      <c r="R2264" s="152" t="s">
        <v>3721</v>
      </c>
      <c r="S2264" s="152" t="s">
        <v>3668</v>
      </c>
      <c r="T2264" s="152" t="s">
        <v>786</v>
      </c>
    </row>
    <row r="2265" spans="3:20">
      <c r="C2265" s="152" t="s">
        <v>2821</v>
      </c>
      <c r="F2265" s="152" t="s">
        <v>658</v>
      </c>
      <c r="G2265" s="152" t="s">
        <v>659</v>
      </c>
      <c r="I2265" s="513">
        <v>-125357.25</v>
      </c>
      <c r="J2265" s="513">
        <v>-87.97</v>
      </c>
      <c r="K2265" s="513">
        <v>1425</v>
      </c>
      <c r="L2265" s="518" t="s">
        <v>3504</v>
      </c>
      <c r="M2265" s="152" t="s">
        <v>780</v>
      </c>
      <c r="N2265" s="152" t="s">
        <v>1407</v>
      </c>
      <c r="O2265" s="152" t="s">
        <v>3665</v>
      </c>
      <c r="P2265" s="152" t="s">
        <v>3489</v>
      </c>
      <c r="Q2265" s="152" t="s">
        <v>3666</v>
      </c>
      <c r="R2265" s="152" t="s">
        <v>3722</v>
      </c>
      <c r="S2265" s="152" t="s">
        <v>3668</v>
      </c>
      <c r="T2265" s="152" t="s">
        <v>786</v>
      </c>
    </row>
    <row r="2266" spans="3:20">
      <c r="C2266" s="152" t="s">
        <v>2821</v>
      </c>
      <c r="F2266" s="152" t="s">
        <v>658</v>
      </c>
      <c r="G2266" s="152" t="s">
        <v>659</v>
      </c>
      <c r="I2266" s="513">
        <v>-958597.5</v>
      </c>
      <c r="J2266" s="513">
        <v>-672.7</v>
      </c>
      <c r="K2266" s="513">
        <v>1425</v>
      </c>
      <c r="L2266" s="518" t="s">
        <v>3504</v>
      </c>
      <c r="M2266" s="152" t="s">
        <v>780</v>
      </c>
      <c r="N2266" s="152" t="s">
        <v>1407</v>
      </c>
      <c r="O2266" s="152" t="s">
        <v>3665</v>
      </c>
      <c r="P2266" s="152" t="s">
        <v>3489</v>
      </c>
      <c r="Q2266" s="152" t="s">
        <v>3666</v>
      </c>
      <c r="R2266" s="152" t="s">
        <v>3723</v>
      </c>
      <c r="S2266" s="152" t="s">
        <v>3668</v>
      </c>
      <c r="T2266" s="152" t="s">
        <v>786</v>
      </c>
    </row>
    <row r="2267" spans="3:20">
      <c r="C2267" s="152" t="s">
        <v>2821</v>
      </c>
      <c r="F2267" s="152" t="s">
        <v>658</v>
      </c>
      <c r="G2267" s="152" t="s">
        <v>659</v>
      </c>
      <c r="I2267" s="513">
        <v>-501429</v>
      </c>
      <c r="J2267" s="513">
        <v>-351.88</v>
      </c>
      <c r="K2267" s="513">
        <v>1425</v>
      </c>
      <c r="L2267" s="518" t="s">
        <v>3504</v>
      </c>
      <c r="M2267" s="152" t="s">
        <v>780</v>
      </c>
      <c r="N2267" s="152" t="s">
        <v>1407</v>
      </c>
      <c r="O2267" s="152" t="s">
        <v>3665</v>
      </c>
      <c r="P2267" s="152" t="s">
        <v>3489</v>
      </c>
      <c r="Q2267" s="152" t="s">
        <v>3666</v>
      </c>
      <c r="R2267" s="152" t="s">
        <v>3724</v>
      </c>
      <c r="S2267" s="152" t="s">
        <v>3668</v>
      </c>
      <c r="T2267" s="152" t="s">
        <v>786</v>
      </c>
    </row>
    <row r="2268" spans="3:20">
      <c r="C2268" s="152" t="s">
        <v>2821</v>
      </c>
      <c r="F2268" s="152" t="s">
        <v>658</v>
      </c>
      <c r="G2268" s="152" t="s">
        <v>659</v>
      </c>
      <c r="I2268" s="513">
        <v>-407407.5</v>
      </c>
      <c r="J2268" s="513">
        <v>-285.89999999999998</v>
      </c>
      <c r="K2268" s="513">
        <v>1425</v>
      </c>
      <c r="L2268" s="518" t="s">
        <v>3504</v>
      </c>
      <c r="M2268" s="152" t="s">
        <v>780</v>
      </c>
      <c r="N2268" s="152" t="s">
        <v>1407</v>
      </c>
      <c r="O2268" s="152" t="s">
        <v>3665</v>
      </c>
      <c r="P2268" s="152" t="s">
        <v>3489</v>
      </c>
      <c r="Q2268" s="152" t="s">
        <v>3666</v>
      </c>
      <c r="R2268" s="152" t="s">
        <v>3725</v>
      </c>
      <c r="S2268" s="152" t="s">
        <v>3668</v>
      </c>
      <c r="T2268" s="152" t="s">
        <v>786</v>
      </c>
    </row>
    <row r="2269" spans="3:20">
      <c r="C2269" s="152" t="s">
        <v>2821</v>
      </c>
      <c r="F2269" s="152" t="s">
        <v>658</v>
      </c>
      <c r="G2269" s="152" t="s">
        <v>659</v>
      </c>
      <c r="I2269" s="513">
        <v>-626772</v>
      </c>
      <c r="J2269" s="513">
        <v>-439.84</v>
      </c>
      <c r="K2269" s="513">
        <v>1425</v>
      </c>
      <c r="L2269" s="518" t="s">
        <v>3504</v>
      </c>
      <c r="M2269" s="152" t="s">
        <v>780</v>
      </c>
      <c r="N2269" s="152" t="s">
        <v>1407</v>
      </c>
      <c r="O2269" s="152" t="s">
        <v>3665</v>
      </c>
      <c r="P2269" s="152" t="s">
        <v>3489</v>
      </c>
      <c r="Q2269" s="152" t="s">
        <v>3666</v>
      </c>
      <c r="R2269" s="152" t="s">
        <v>3726</v>
      </c>
      <c r="S2269" s="152" t="s">
        <v>3668</v>
      </c>
      <c r="T2269" s="152" t="s">
        <v>786</v>
      </c>
    </row>
    <row r="2270" spans="3:20">
      <c r="C2270" s="152" t="s">
        <v>2821</v>
      </c>
      <c r="F2270" s="152" t="s">
        <v>658</v>
      </c>
      <c r="G2270" s="152" t="s">
        <v>659</v>
      </c>
      <c r="I2270" s="513">
        <v>316107.75</v>
      </c>
      <c r="J2270" s="513">
        <v>221.83</v>
      </c>
      <c r="K2270" s="513">
        <v>1425</v>
      </c>
      <c r="L2270" s="518" t="s">
        <v>3727</v>
      </c>
      <c r="M2270" s="152" t="s">
        <v>780</v>
      </c>
      <c r="N2270" s="152" t="s">
        <v>1407</v>
      </c>
      <c r="O2270" s="152" t="s">
        <v>3728</v>
      </c>
      <c r="P2270" s="152" t="s">
        <v>3489</v>
      </c>
      <c r="Q2270" s="152" t="s">
        <v>3729</v>
      </c>
      <c r="R2270" s="152" t="s">
        <v>3730</v>
      </c>
      <c r="S2270" s="152" t="s">
        <v>3731</v>
      </c>
      <c r="T2270" s="152" t="s">
        <v>786</v>
      </c>
    </row>
    <row r="2271" spans="3:20">
      <c r="C2271" s="152" t="s">
        <v>2821</v>
      </c>
      <c r="F2271" s="152" t="s">
        <v>658</v>
      </c>
      <c r="G2271" s="152" t="s">
        <v>659</v>
      </c>
      <c r="I2271" s="513">
        <v>-313386</v>
      </c>
      <c r="J2271" s="513">
        <v>-219.92</v>
      </c>
      <c r="K2271" s="513">
        <v>1425</v>
      </c>
      <c r="L2271" s="518" t="s">
        <v>3504</v>
      </c>
      <c r="M2271" s="152" t="s">
        <v>780</v>
      </c>
      <c r="N2271" s="152" t="s">
        <v>1407</v>
      </c>
      <c r="O2271" s="152" t="s">
        <v>3665</v>
      </c>
      <c r="P2271" s="152" t="s">
        <v>3489</v>
      </c>
      <c r="Q2271" s="152" t="s">
        <v>3666</v>
      </c>
      <c r="R2271" s="152" t="s">
        <v>3730</v>
      </c>
      <c r="S2271" s="152" t="s">
        <v>3668</v>
      </c>
      <c r="T2271" s="152" t="s">
        <v>786</v>
      </c>
    </row>
    <row r="2272" spans="3:20">
      <c r="C2272" s="152" t="s">
        <v>2821</v>
      </c>
      <c r="F2272" s="152" t="s">
        <v>658</v>
      </c>
      <c r="G2272" s="152" t="s">
        <v>659</v>
      </c>
      <c r="I2272" s="513">
        <v>-564100.5</v>
      </c>
      <c r="J2272" s="513">
        <v>-395.86</v>
      </c>
      <c r="K2272" s="513">
        <v>1425</v>
      </c>
      <c r="L2272" s="518" t="s">
        <v>3504</v>
      </c>
      <c r="M2272" s="152" t="s">
        <v>780</v>
      </c>
      <c r="N2272" s="152" t="s">
        <v>1407</v>
      </c>
      <c r="O2272" s="152" t="s">
        <v>3665</v>
      </c>
      <c r="P2272" s="152" t="s">
        <v>3489</v>
      </c>
      <c r="Q2272" s="152" t="s">
        <v>3666</v>
      </c>
      <c r="R2272" s="152" t="s">
        <v>3732</v>
      </c>
      <c r="S2272" s="152" t="s">
        <v>3668</v>
      </c>
      <c r="T2272" s="152" t="s">
        <v>786</v>
      </c>
    </row>
    <row r="2273" spans="3:20">
      <c r="C2273" s="152" t="s">
        <v>2821</v>
      </c>
      <c r="F2273" s="152" t="s">
        <v>658</v>
      </c>
      <c r="G2273" s="152" t="s">
        <v>659</v>
      </c>
      <c r="I2273" s="513">
        <v>-94021.5</v>
      </c>
      <c r="J2273" s="513">
        <v>-65.98</v>
      </c>
      <c r="K2273" s="513">
        <v>1425</v>
      </c>
      <c r="L2273" s="518" t="s">
        <v>3504</v>
      </c>
      <c r="M2273" s="152" t="s">
        <v>780</v>
      </c>
      <c r="N2273" s="152" t="s">
        <v>1407</v>
      </c>
      <c r="O2273" s="152" t="s">
        <v>3665</v>
      </c>
      <c r="P2273" s="152" t="s">
        <v>3489</v>
      </c>
      <c r="Q2273" s="152" t="s">
        <v>3666</v>
      </c>
      <c r="R2273" s="152" t="s">
        <v>3733</v>
      </c>
      <c r="S2273" s="152" t="s">
        <v>3668</v>
      </c>
      <c r="T2273" s="152" t="s">
        <v>786</v>
      </c>
    </row>
    <row r="2274" spans="3:20">
      <c r="C2274" s="152" t="s">
        <v>2821</v>
      </c>
      <c r="F2274" s="152" t="s">
        <v>658</v>
      </c>
      <c r="G2274" s="152" t="s">
        <v>659</v>
      </c>
      <c r="I2274" s="513">
        <v>-282050.25</v>
      </c>
      <c r="J2274" s="513">
        <v>-197.93</v>
      </c>
      <c r="K2274" s="513">
        <v>1425</v>
      </c>
      <c r="L2274" s="518" t="s">
        <v>3504</v>
      </c>
      <c r="M2274" s="152" t="s">
        <v>780</v>
      </c>
      <c r="N2274" s="152" t="s">
        <v>1407</v>
      </c>
      <c r="O2274" s="152" t="s">
        <v>3665</v>
      </c>
      <c r="P2274" s="152" t="s">
        <v>3489</v>
      </c>
      <c r="Q2274" s="152" t="s">
        <v>3666</v>
      </c>
      <c r="R2274" s="152" t="s">
        <v>3734</v>
      </c>
      <c r="S2274" s="152" t="s">
        <v>3668</v>
      </c>
      <c r="T2274" s="152" t="s">
        <v>786</v>
      </c>
    </row>
    <row r="2275" spans="3:20">
      <c r="C2275" s="152" t="s">
        <v>2821</v>
      </c>
      <c r="F2275" s="152" t="s">
        <v>658</v>
      </c>
      <c r="G2275" s="152" t="s">
        <v>659</v>
      </c>
      <c r="I2275" s="513">
        <v>-51984</v>
      </c>
      <c r="J2275" s="513">
        <v>-36.479999999999997</v>
      </c>
      <c r="K2275" s="513">
        <v>1425</v>
      </c>
      <c r="L2275" s="518" t="s">
        <v>3504</v>
      </c>
      <c r="M2275" s="152" t="s">
        <v>780</v>
      </c>
      <c r="N2275" s="152" t="s">
        <v>1407</v>
      </c>
      <c r="O2275" s="152" t="s">
        <v>3665</v>
      </c>
      <c r="P2275" s="152" t="s">
        <v>3489</v>
      </c>
      <c r="Q2275" s="152" t="s">
        <v>3666</v>
      </c>
      <c r="R2275" s="152" t="s">
        <v>3735</v>
      </c>
      <c r="S2275" s="152" t="s">
        <v>3668</v>
      </c>
      <c r="T2275" s="152" t="s">
        <v>786</v>
      </c>
    </row>
    <row r="2276" spans="3:20">
      <c r="C2276" s="152" t="s">
        <v>2821</v>
      </c>
      <c r="F2276" s="152" t="s">
        <v>658</v>
      </c>
      <c r="G2276" s="152" t="s">
        <v>659</v>
      </c>
      <c r="I2276" s="513">
        <v>-313386</v>
      </c>
      <c r="J2276" s="513">
        <v>-219.92</v>
      </c>
      <c r="K2276" s="513">
        <v>1425</v>
      </c>
      <c r="L2276" s="518" t="s">
        <v>3504</v>
      </c>
      <c r="M2276" s="152" t="s">
        <v>780</v>
      </c>
      <c r="N2276" s="152" t="s">
        <v>1407</v>
      </c>
      <c r="O2276" s="152" t="s">
        <v>3665</v>
      </c>
      <c r="P2276" s="152" t="s">
        <v>3489</v>
      </c>
      <c r="Q2276" s="152" t="s">
        <v>3666</v>
      </c>
      <c r="R2276" s="152" t="s">
        <v>3736</v>
      </c>
      <c r="S2276" s="152" t="s">
        <v>3668</v>
      </c>
      <c r="T2276" s="152" t="s">
        <v>786</v>
      </c>
    </row>
    <row r="2277" spans="3:20">
      <c r="C2277" s="152" t="s">
        <v>2821</v>
      </c>
      <c r="F2277" s="152" t="s">
        <v>658</v>
      </c>
      <c r="G2277" s="152" t="s">
        <v>659</v>
      </c>
      <c r="I2277" s="513">
        <v>-488518.5</v>
      </c>
      <c r="J2277" s="513">
        <v>-342.82</v>
      </c>
      <c r="K2277" s="513">
        <v>1425</v>
      </c>
      <c r="L2277" s="518" t="s">
        <v>3504</v>
      </c>
      <c r="M2277" s="152" t="s">
        <v>780</v>
      </c>
      <c r="N2277" s="152" t="s">
        <v>1407</v>
      </c>
      <c r="O2277" s="152" t="s">
        <v>3665</v>
      </c>
      <c r="P2277" s="152" t="s">
        <v>3489</v>
      </c>
      <c r="Q2277" s="152" t="s">
        <v>3666</v>
      </c>
      <c r="R2277" s="152" t="s">
        <v>3737</v>
      </c>
      <c r="S2277" s="152" t="s">
        <v>3668</v>
      </c>
      <c r="T2277" s="152" t="s">
        <v>786</v>
      </c>
    </row>
    <row r="2278" spans="3:20">
      <c r="C2278" s="152" t="s">
        <v>2821</v>
      </c>
      <c r="F2278" s="152" t="s">
        <v>658</v>
      </c>
      <c r="G2278" s="152" t="s">
        <v>659</v>
      </c>
      <c r="I2278" s="513">
        <v>-212656.2</v>
      </c>
      <c r="J2278" s="513">
        <v>-150.82</v>
      </c>
      <c r="K2278" s="513">
        <v>1410</v>
      </c>
      <c r="L2278" s="518" t="s">
        <v>3498</v>
      </c>
      <c r="M2278" s="152" t="s">
        <v>780</v>
      </c>
      <c r="N2278" s="152" t="s">
        <v>1407</v>
      </c>
      <c r="O2278" s="152" t="s">
        <v>3522</v>
      </c>
      <c r="P2278" s="152" t="s">
        <v>3489</v>
      </c>
      <c r="Q2278" s="152" t="s">
        <v>3523</v>
      </c>
      <c r="R2278" s="152" t="s">
        <v>3738</v>
      </c>
      <c r="S2278" s="152" t="s">
        <v>3525</v>
      </c>
      <c r="T2278" s="152" t="s">
        <v>786</v>
      </c>
    </row>
    <row r="2279" spans="3:20">
      <c r="C2279" s="152" t="s">
        <v>2821</v>
      </c>
      <c r="F2279" s="152" t="s">
        <v>658</v>
      </c>
      <c r="G2279" s="152" t="s">
        <v>659</v>
      </c>
      <c r="I2279" s="513">
        <v>-425326.5</v>
      </c>
      <c r="J2279" s="513">
        <v>-301.64999999999998</v>
      </c>
      <c r="K2279" s="513">
        <v>1410</v>
      </c>
      <c r="L2279" s="518" t="s">
        <v>3498</v>
      </c>
      <c r="M2279" s="152" t="s">
        <v>780</v>
      </c>
      <c r="N2279" s="152" t="s">
        <v>1407</v>
      </c>
      <c r="O2279" s="152" t="s">
        <v>3522</v>
      </c>
      <c r="P2279" s="152" t="s">
        <v>3489</v>
      </c>
      <c r="Q2279" s="152" t="s">
        <v>3523</v>
      </c>
      <c r="R2279" s="152" t="s">
        <v>3739</v>
      </c>
      <c r="S2279" s="152" t="s">
        <v>3525</v>
      </c>
      <c r="T2279" s="152" t="s">
        <v>786</v>
      </c>
    </row>
    <row r="2280" spans="3:20">
      <c r="C2280" s="152" t="s">
        <v>2821</v>
      </c>
      <c r="F2280" s="152" t="s">
        <v>658</v>
      </c>
      <c r="G2280" s="152" t="s">
        <v>659</v>
      </c>
      <c r="I2280" s="513">
        <v>-516468.9</v>
      </c>
      <c r="J2280" s="513">
        <v>-366.29</v>
      </c>
      <c r="K2280" s="513">
        <v>1410</v>
      </c>
      <c r="L2280" s="518" t="s">
        <v>3498</v>
      </c>
      <c r="M2280" s="152" t="s">
        <v>780</v>
      </c>
      <c r="N2280" s="152" t="s">
        <v>1407</v>
      </c>
      <c r="O2280" s="152" t="s">
        <v>3522</v>
      </c>
      <c r="P2280" s="152" t="s">
        <v>3489</v>
      </c>
      <c r="Q2280" s="152" t="s">
        <v>3523</v>
      </c>
      <c r="R2280" s="152" t="s">
        <v>3740</v>
      </c>
      <c r="S2280" s="152" t="s">
        <v>3525</v>
      </c>
      <c r="T2280" s="152" t="s">
        <v>786</v>
      </c>
    </row>
    <row r="2281" spans="3:20">
      <c r="C2281" s="152" t="s">
        <v>2821</v>
      </c>
      <c r="F2281" s="152" t="s">
        <v>658</v>
      </c>
      <c r="G2281" s="152" t="s">
        <v>659</v>
      </c>
      <c r="I2281" s="513">
        <v>-881024.4</v>
      </c>
      <c r="J2281" s="513">
        <v>-624.84</v>
      </c>
      <c r="K2281" s="513">
        <v>1410</v>
      </c>
      <c r="L2281" s="518" t="s">
        <v>3498</v>
      </c>
      <c r="M2281" s="152" t="s">
        <v>780</v>
      </c>
      <c r="N2281" s="152" t="s">
        <v>1407</v>
      </c>
      <c r="O2281" s="152" t="s">
        <v>3522</v>
      </c>
      <c r="P2281" s="152" t="s">
        <v>3489</v>
      </c>
      <c r="Q2281" s="152" t="s">
        <v>3523</v>
      </c>
      <c r="R2281" s="152" t="s">
        <v>3741</v>
      </c>
      <c r="S2281" s="152" t="s">
        <v>3525</v>
      </c>
      <c r="T2281" s="152" t="s">
        <v>786</v>
      </c>
    </row>
    <row r="2282" spans="3:20">
      <c r="C2282" s="152" t="s">
        <v>2821</v>
      </c>
      <c r="F2282" s="152" t="s">
        <v>658</v>
      </c>
      <c r="G2282" s="152" t="s">
        <v>659</v>
      </c>
      <c r="I2282" s="513">
        <v>-486083.4</v>
      </c>
      <c r="J2282" s="513">
        <v>-344.74</v>
      </c>
      <c r="K2282" s="513">
        <v>1410</v>
      </c>
      <c r="L2282" s="518" t="s">
        <v>3498</v>
      </c>
      <c r="M2282" s="152" t="s">
        <v>780</v>
      </c>
      <c r="N2282" s="152" t="s">
        <v>1407</v>
      </c>
      <c r="O2282" s="152" t="s">
        <v>3522</v>
      </c>
      <c r="P2282" s="152" t="s">
        <v>3489</v>
      </c>
      <c r="Q2282" s="152" t="s">
        <v>3523</v>
      </c>
      <c r="R2282" s="152" t="s">
        <v>3742</v>
      </c>
      <c r="S2282" s="152" t="s">
        <v>3525</v>
      </c>
      <c r="T2282" s="152" t="s">
        <v>786</v>
      </c>
    </row>
    <row r="2283" spans="3:20">
      <c r="C2283" s="152" t="s">
        <v>2821</v>
      </c>
      <c r="F2283" s="152" t="s">
        <v>658</v>
      </c>
      <c r="G2283" s="152" t="s">
        <v>659</v>
      </c>
      <c r="I2283" s="513">
        <v>-486083.4</v>
      </c>
      <c r="J2283" s="513">
        <v>-344.74</v>
      </c>
      <c r="K2283" s="513">
        <v>1410</v>
      </c>
      <c r="L2283" s="518" t="s">
        <v>3498</v>
      </c>
      <c r="M2283" s="152" t="s">
        <v>780</v>
      </c>
      <c r="N2283" s="152" t="s">
        <v>1407</v>
      </c>
      <c r="O2283" s="152" t="s">
        <v>3522</v>
      </c>
      <c r="P2283" s="152" t="s">
        <v>3489</v>
      </c>
      <c r="Q2283" s="152" t="s">
        <v>3523</v>
      </c>
      <c r="R2283" s="152" t="s">
        <v>3743</v>
      </c>
      <c r="S2283" s="152" t="s">
        <v>3525</v>
      </c>
      <c r="T2283" s="152" t="s">
        <v>786</v>
      </c>
    </row>
    <row r="2284" spans="3:20">
      <c r="C2284" s="152" t="s">
        <v>2821</v>
      </c>
      <c r="F2284" s="152" t="s">
        <v>658</v>
      </c>
      <c r="G2284" s="152" t="s">
        <v>659</v>
      </c>
      <c r="I2284" s="513">
        <v>-236964.6</v>
      </c>
      <c r="J2284" s="513">
        <v>-168.06</v>
      </c>
      <c r="K2284" s="513">
        <v>1410</v>
      </c>
      <c r="L2284" s="518" t="s">
        <v>3498</v>
      </c>
      <c r="M2284" s="152" t="s">
        <v>780</v>
      </c>
      <c r="N2284" s="152" t="s">
        <v>1407</v>
      </c>
      <c r="O2284" s="152" t="s">
        <v>3522</v>
      </c>
      <c r="P2284" s="152" t="s">
        <v>3489</v>
      </c>
      <c r="Q2284" s="152" t="s">
        <v>3523</v>
      </c>
      <c r="R2284" s="152" t="s">
        <v>3744</v>
      </c>
      <c r="S2284" s="152" t="s">
        <v>3525</v>
      </c>
      <c r="T2284" s="152" t="s">
        <v>786</v>
      </c>
    </row>
    <row r="2285" spans="3:20">
      <c r="C2285" s="152" t="s">
        <v>2821</v>
      </c>
      <c r="F2285" s="152" t="s">
        <v>658</v>
      </c>
      <c r="G2285" s="152" t="s">
        <v>659</v>
      </c>
      <c r="I2285" s="513">
        <v>-546840.30000000005</v>
      </c>
      <c r="J2285" s="513">
        <v>-387.83</v>
      </c>
      <c r="K2285" s="513">
        <v>1410</v>
      </c>
      <c r="L2285" s="518" t="s">
        <v>3498</v>
      </c>
      <c r="M2285" s="152" t="s">
        <v>780</v>
      </c>
      <c r="N2285" s="152" t="s">
        <v>1407</v>
      </c>
      <c r="O2285" s="152" t="s">
        <v>3522</v>
      </c>
      <c r="P2285" s="152" t="s">
        <v>3489</v>
      </c>
      <c r="Q2285" s="152" t="s">
        <v>3523</v>
      </c>
      <c r="R2285" s="152" t="s">
        <v>3745</v>
      </c>
      <c r="S2285" s="152" t="s">
        <v>3525</v>
      </c>
      <c r="T2285" s="152" t="s">
        <v>786</v>
      </c>
    </row>
    <row r="2286" spans="3:20">
      <c r="C2286" s="152" t="s">
        <v>2821</v>
      </c>
      <c r="F2286" s="152" t="s">
        <v>658</v>
      </c>
      <c r="G2286" s="152" t="s">
        <v>659</v>
      </c>
      <c r="I2286" s="513">
        <v>-394941</v>
      </c>
      <c r="J2286" s="513">
        <v>-280.10000000000002</v>
      </c>
      <c r="K2286" s="513">
        <v>1410</v>
      </c>
      <c r="L2286" s="518" t="s">
        <v>3498</v>
      </c>
      <c r="M2286" s="152" t="s">
        <v>780</v>
      </c>
      <c r="N2286" s="152" t="s">
        <v>1407</v>
      </c>
      <c r="O2286" s="152" t="s">
        <v>3522</v>
      </c>
      <c r="P2286" s="152" t="s">
        <v>3489</v>
      </c>
      <c r="Q2286" s="152" t="s">
        <v>3523</v>
      </c>
      <c r="R2286" s="152" t="s">
        <v>3746</v>
      </c>
      <c r="S2286" s="152" t="s">
        <v>3525</v>
      </c>
      <c r="T2286" s="152" t="s">
        <v>786</v>
      </c>
    </row>
    <row r="2287" spans="3:20">
      <c r="C2287" s="152" t="s">
        <v>2821</v>
      </c>
      <c r="F2287" s="152" t="s">
        <v>658</v>
      </c>
      <c r="G2287" s="152" t="s">
        <v>659</v>
      </c>
      <c r="I2287" s="513">
        <v>-486083.4</v>
      </c>
      <c r="J2287" s="513">
        <v>-344.74</v>
      </c>
      <c r="K2287" s="513">
        <v>1410</v>
      </c>
      <c r="L2287" s="518" t="s">
        <v>3498</v>
      </c>
      <c r="M2287" s="152" t="s">
        <v>780</v>
      </c>
      <c r="N2287" s="152" t="s">
        <v>1407</v>
      </c>
      <c r="O2287" s="152" t="s">
        <v>3522</v>
      </c>
      <c r="P2287" s="152" t="s">
        <v>3489</v>
      </c>
      <c r="Q2287" s="152" t="s">
        <v>3523</v>
      </c>
      <c r="R2287" s="152" t="s">
        <v>3747</v>
      </c>
      <c r="S2287" s="152" t="s">
        <v>3525</v>
      </c>
      <c r="T2287" s="152" t="s">
        <v>786</v>
      </c>
    </row>
    <row r="2288" spans="3:20">
      <c r="C2288" s="152" t="s">
        <v>2821</v>
      </c>
      <c r="F2288" s="152" t="s">
        <v>658</v>
      </c>
      <c r="G2288" s="152" t="s">
        <v>659</v>
      </c>
      <c r="I2288" s="513">
        <v>-303798.59999999998</v>
      </c>
      <c r="J2288" s="513">
        <v>-215.46</v>
      </c>
      <c r="K2288" s="513">
        <v>1410</v>
      </c>
      <c r="L2288" s="518" t="s">
        <v>3498</v>
      </c>
      <c r="M2288" s="152" t="s">
        <v>780</v>
      </c>
      <c r="N2288" s="152" t="s">
        <v>1407</v>
      </c>
      <c r="O2288" s="152" t="s">
        <v>3522</v>
      </c>
      <c r="P2288" s="152" t="s">
        <v>3489</v>
      </c>
      <c r="Q2288" s="152" t="s">
        <v>3523</v>
      </c>
      <c r="R2288" s="152" t="s">
        <v>3748</v>
      </c>
      <c r="S2288" s="152" t="s">
        <v>3525</v>
      </c>
      <c r="T2288" s="152" t="s">
        <v>786</v>
      </c>
    </row>
    <row r="2289" spans="3:20">
      <c r="C2289" s="152" t="s">
        <v>2821</v>
      </c>
      <c r="F2289" s="152" t="s">
        <v>658</v>
      </c>
      <c r="G2289" s="152" t="s">
        <v>659</v>
      </c>
      <c r="I2289" s="513">
        <v>-243041.7</v>
      </c>
      <c r="J2289" s="513">
        <v>-172.37</v>
      </c>
      <c r="K2289" s="513">
        <v>1410</v>
      </c>
      <c r="L2289" s="518" t="s">
        <v>3498</v>
      </c>
      <c r="M2289" s="152" t="s">
        <v>780</v>
      </c>
      <c r="N2289" s="152" t="s">
        <v>1407</v>
      </c>
      <c r="O2289" s="152" t="s">
        <v>3522</v>
      </c>
      <c r="P2289" s="152" t="s">
        <v>3489</v>
      </c>
      <c r="Q2289" s="152" t="s">
        <v>3523</v>
      </c>
      <c r="R2289" s="152" t="s">
        <v>3749</v>
      </c>
      <c r="S2289" s="152" t="s">
        <v>3525</v>
      </c>
      <c r="T2289" s="152" t="s">
        <v>786</v>
      </c>
    </row>
    <row r="2290" spans="3:20">
      <c r="C2290" s="152" t="s">
        <v>2821</v>
      </c>
      <c r="F2290" s="152" t="s">
        <v>658</v>
      </c>
      <c r="G2290" s="152" t="s">
        <v>659</v>
      </c>
      <c r="I2290" s="513">
        <v>-486083.4</v>
      </c>
      <c r="J2290" s="513">
        <v>-344.74</v>
      </c>
      <c r="K2290" s="513">
        <v>1410</v>
      </c>
      <c r="L2290" s="518" t="s">
        <v>3498</v>
      </c>
      <c r="M2290" s="152" t="s">
        <v>780</v>
      </c>
      <c r="N2290" s="152" t="s">
        <v>1407</v>
      </c>
      <c r="O2290" s="152" t="s">
        <v>3522</v>
      </c>
      <c r="P2290" s="152" t="s">
        <v>3489</v>
      </c>
      <c r="Q2290" s="152" t="s">
        <v>3523</v>
      </c>
      <c r="R2290" s="152" t="s">
        <v>3750</v>
      </c>
      <c r="S2290" s="152" t="s">
        <v>3525</v>
      </c>
      <c r="T2290" s="152" t="s">
        <v>786</v>
      </c>
    </row>
    <row r="2291" spans="3:20">
      <c r="C2291" s="152" t="s">
        <v>2821</v>
      </c>
      <c r="F2291" s="152" t="s">
        <v>658</v>
      </c>
      <c r="G2291" s="152" t="s">
        <v>659</v>
      </c>
      <c r="I2291" s="513">
        <v>-611178.6</v>
      </c>
      <c r="J2291" s="513">
        <v>-433.46</v>
      </c>
      <c r="K2291" s="513">
        <v>1410</v>
      </c>
      <c r="L2291" s="518" t="s">
        <v>3498</v>
      </c>
      <c r="M2291" s="152" t="s">
        <v>780</v>
      </c>
      <c r="N2291" s="152" t="s">
        <v>1407</v>
      </c>
      <c r="O2291" s="152" t="s">
        <v>3522</v>
      </c>
      <c r="P2291" s="152" t="s">
        <v>3489</v>
      </c>
      <c r="Q2291" s="152" t="s">
        <v>3523</v>
      </c>
      <c r="R2291" s="152" t="s">
        <v>3751</v>
      </c>
      <c r="S2291" s="152" t="s">
        <v>3525</v>
      </c>
      <c r="T2291" s="152" t="s">
        <v>786</v>
      </c>
    </row>
    <row r="2292" spans="3:20">
      <c r="C2292" s="152" t="s">
        <v>2821</v>
      </c>
      <c r="F2292" s="152" t="s">
        <v>658</v>
      </c>
      <c r="G2292" s="152" t="s">
        <v>659</v>
      </c>
      <c r="I2292" s="513">
        <v>-605917.15</v>
      </c>
      <c r="J2292" s="513">
        <v>-428.21</v>
      </c>
      <c r="K2292" s="513">
        <v>1415</v>
      </c>
      <c r="L2292" s="518" t="s">
        <v>3632</v>
      </c>
      <c r="M2292" s="152" t="s">
        <v>780</v>
      </c>
      <c r="N2292" s="152" t="s">
        <v>1407</v>
      </c>
      <c r="O2292" s="152" t="s">
        <v>3673</v>
      </c>
      <c r="P2292" s="152" t="s">
        <v>3489</v>
      </c>
      <c r="Q2292" s="152" t="s">
        <v>3674</v>
      </c>
      <c r="R2292" s="152" t="s">
        <v>3752</v>
      </c>
      <c r="S2292" s="152" t="s">
        <v>3676</v>
      </c>
      <c r="T2292" s="152" t="s">
        <v>786</v>
      </c>
    </row>
    <row r="2293" spans="3:20">
      <c r="C2293" s="152" t="s">
        <v>2821</v>
      </c>
      <c r="F2293" s="152" t="s">
        <v>658</v>
      </c>
      <c r="G2293" s="152" t="s">
        <v>659</v>
      </c>
      <c r="I2293" s="513">
        <v>-30295.15</v>
      </c>
      <c r="J2293" s="513">
        <v>-21.41</v>
      </c>
      <c r="K2293" s="513">
        <v>1415</v>
      </c>
      <c r="L2293" s="518" t="s">
        <v>3632</v>
      </c>
      <c r="M2293" s="152" t="s">
        <v>780</v>
      </c>
      <c r="N2293" s="152" t="s">
        <v>1407</v>
      </c>
      <c r="O2293" s="152" t="s">
        <v>3673</v>
      </c>
      <c r="P2293" s="152" t="s">
        <v>3489</v>
      </c>
      <c r="Q2293" s="152" t="s">
        <v>3674</v>
      </c>
      <c r="R2293" s="152" t="s">
        <v>3753</v>
      </c>
      <c r="S2293" s="152" t="s">
        <v>3676</v>
      </c>
      <c r="T2293" s="152" t="s">
        <v>786</v>
      </c>
    </row>
    <row r="2294" spans="3:20">
      <c r="C2294" s="152" t="s">
        <v>2821</v>
      </c>
      <c r="F2294" s="152" t="s">
        <v>658</v>
      </c>
      <c r="G2294" s="152" t="s">
        <v>659</v>
      </c>
      <c r="I2294" s="513">
        <v>-424146.25</v>
      </c>
      <c r="J2294" s="513">
        <v>-299.75</v>
      </c>
      <c r="K2294" s="513">
        <v>1415</v>
      </c>
      <c r="L2294" s="518" t="s">
        <v>3632</v>
      </c>
      <c r="M2294" s="152" t="s">
        <v>780</v>
      </c>
      <c r="N2294" s="152" t="s">
        <v>1407</v>
      </c>
      <c r="O2294" s="152" t="s">
        <v>3673</v>
      </c>
      <c r="P2294" s="152" t="s">
        <v>3489</v>
      </c>
      <c r="Q2294" s="152" t="s">
        <v>3674</v>
      </c>
      <c r="R2294" s="152" t="s">
        <v>3754</v>
      </c>
      <c r="S2294" s="152" t="s">
        <v>3676</v>
      </c>
      <c r="T2294" s="152" t="s">
        <v>786</v>
      </c>
    </row>
    <row r="2295" spans="3:20">
      <c r="C2295" s="152" t="s">
        <v>2821</v>
      </c>
      <c r="F2295" s="152" t="s">
        <v>658</v>
      </c>
      <c r="G2295" s="152" t="s">
        <v>659</v>
      </c>
      <c r="I2295" s="513">
        <v>-848292.5</v>
      </c>
      <c r="J2295" s="513">
        <v>-599.5</v>
      </c>
      <c r="K2295" s="513">
        <v>1415</v>
      </c>
      <c r="L2295" s="518" t="s">
        <v>3632</v>
      </c>
      <c r="M2295" s="152" t="s">
        <v>780</v>
      </c>
      <c r="N2295" s="152" t="s">
        <v>1407</v>
      </c>
      <c r="O2295" s="152" t="s">
        <v>3673</v>
      </c>
      <c r="P2295" s="152" t="s">
        <v>3489</v>
      </c>
      <c r="Q2295" s="152" t="s">
        <v>3674</v>
      </c>
      <c r="R2295" s="152" t="s">
        <v>3755</v>
      </c>
      <c r="S2295" s="152" t="s">
        <v>3676</v>
      </c>
      <c r="T2295" s="152" t="s">
        <v>786</v>
      </c>
    </row>
    <row r="2296" spans="3:20">
      <c r="C2296" s="152" t="s">
        <v>2821</v>
      </c>
      <c r="F2296" s="152" t="s">
        <v>658</v>
      </c>
      <c r="G2296" s="152" t="s">
        <v>659</v>
      </c>
      <c r="I2296" s="513">
        <v>-424146.25</v>
      </c>
      <c r="J2296" s="513">
        <v>-299.75</v>
      </c>
      <c r="K2296" s="513">
        <v>1415</v>
      </c>
      <c r="L2296" s="518" t="s">
        <v>3632</v>
      </c>
      <c r="M2296" s="152" t="s">
        <v>780</v>
      </c>
      <c r="N2296" s="152" t="s">
        <v>1407</v>
      </c>
      <c r="O2296" s="152" t="s">
        <v>3673</v>
      </c>
      <c r="P2296" s="152" t="s">
        <v>3489</v>
      </c>
      <c r="Q2296" s="152" t="s">
        <v>3674</v>
      </c>
      <c r="R2296" s="152" t="s">
        <v>3756</v>
      </c>
      <c r="S2296" s="152" t="s">
        <v>3676</v>
      </c>
      <c r="T2296" s="152" t="s">
        <v>786</v>
      </c>
    </row>
    <row r="2297" spans="3:20">
      <c r="C2297" s="152" t="s">
        <v>2821</v>
      </c>
      <c r="F2297" s="152" t="s">
        <v>658</v>
      </c>
      <c r="G2297" s="152" t="s">
        <v>659</v>
      </c>
      <c r="I2297" s="513">
        <v>-1326435.1499999999</v>
      </c>
      <c r="J2297" s="513">
        <v>-937.41</v>
      </c>
      <c r="K2297" s="513">
        <v>1415</v>
      </c>
      <c r="L2297" s="518" t="s">
        <v>3632</v>
      </c>
      <c r="M2297" s="152" t="s">
        <v>780</v>
      </c>
      <c r="N2297" s="152" t="s">
        <v>1407</v>
      </c>
      <c r="O2297" s="152" t="s">
        <v>3673</v>
      </c>
      <c r="P2297" s="152" t="s">
        <v>3489</v>
      </c>
      <c r="Q2297" s="152" t="s">
        <v>3674</v>
      </c>
      <c r="R2297" s="152" t="s">
        <v>3757</v>
      </c>
      <c r="S2297" s="152" t="s">
        <v>3676</v>
      </c>
      <c r="T2297" s="152" t="s">
        <v>786</v>
      </c>
    </row>
    <row r="2298" spans="3:20">
      <c r="C2298" s="152" t="s">
        <v>2821</v>
      </c>
      <c r="F2298" s="152" t="s">
        <v>658</v>
      </c>
      <c r="G2298" s="152" t="s">
        <v>659</v>
      </c>
      <c r="I2298" s="513">
        <v>-424146.25</v>
      </c>
      <c r="J2298" s="513">
        <v>-299.75</v>
      </c>
      <c r="K2298" s="513">
        <v>1415</v>
      </c>
      <c r="L2298" s="518" t="s">
        <v>3632</v>
      </c>
      <c r="M2298" s="152" t="s">
        <v>780</v>
      </c>
      <c r="N2298" s="152" t="s">
        <v>1407</v>
      </c>
      <c r="O2298" s="152" t="s">
        <v>3673</v>
      </c>
      <c r="P2298" s="152" t="s">
        <v>3489</v>
      </c>
      <c r="Q2298" s="152" t="s">
        <v>3674</v>
      </c>
      <c r="R2298" s="152" t="s">
        <v>3758</v>
      </c>
      <c r="S2298" s="152" t="s">
        <v>3676</v>
      </c>
      <c r="T2298" s="152" t="s">
        <v>786</v>
      </c>
    </row>
    <row r="2299" spans="3:20">
      <c r="C2299" s="152" t="s">
        <v>2821</v>
      </c>
      <c r="F2299" s="152" t="s">
        <v>658</v>
      </c>
      <c r="G2299" s="152" t="s">
        <v>659</v>
      </c>
      <c r="I2299" s="513">
        <v>-333260.79999999999</v>
      </c>
      <c r="J2299" s="513">
        <v>-235.52</v>
      </c>
      <c r="K2299" s="513">
        <v>1415</v>
      </c>
      <c r="L2299" s="518" t="s">
        <v>3632</v>
      </c>
      <c r="M2299" s="152" t="s">
        <v>780</v>
      </c>
      <c r="N2299" s="152" t="s">
        <v>1407</v>
      </c>
      <c r="O2299" s="152" t="s">
        <v>3673</v>
      </c>
      <c r="P2299" s="152" t="s">
        <v>3489</v>
      </c>
      <c r="Q2299" s="152" t="s">
        <v>3674</v>
      </c>
      <c r="R2299" s="152" t="s">
        <v>3759</v>
      </c>
      <c r="S2299" s="152" t="s">
        <v>3676</v>
      </c>
      <c r="T2299" s="152" t="s">
        <v>786</v>
      </c>
    </row>
    <row r="2300" spans="3:20">
      <c r="C2300" s="152" t="s">
        <v>2821</v>
      </c>
      <c r="F2300" s="152" t="s">
        <v>658</v>
      </c>
      <c r="G2300" s="152" t="s">
        <v>659</v>
      </c>
      <c r="I2300" s="513">
        <v>-212066.05</v>
      </c>
      <c r="J2300" s="513">
        <v>-149.87</v>
      </c>
      <c r="K2300" s="513">
        <v>1415</v>
      </c>
      <c r="L2300" s="518" t="s">
        <v>3632</v>
      </c>
      <c r="M2300" s="152" t="s">
        <v>780</v>
      </c>
      <c r="N2300" s="152" t="s">
        <v>1407</v>
      </c>
      <c r="O2300" s="152" t="s">
        <v>3673</v>
      </c>
      <c r="P2300" s="152" t="s">
        <v>3489</v>
      </c>
      <c r="Q2300" s="152" t="s">
        <v>3674</v>
      </c>
      <c r="R2300" s="152" t="s">
        <v>3760</v>
      </c>
      <c r="S2300" s="152" t="s">
        <v>3676</v>
      </c>
      <c r="T2300" s="152" t="s">
        <v>786</v>
      </c>
    </row>
    <row r="2301" spans="3:20">
      <c r="C2301" s="152" t="s">
        <v>2821</v>
      </c>
      <c r="F2301" s="152" t="s">
        <v>658</v>
      </c>
      <c r="G2301" s="152" t="s">
        <v>659</v>
      </c>
      <c r="I2301" s="513">
        <v>-30295.15</v>
      </c>
      <c r="J2301" s="513">
        <v>-21.41</v>
      </c>
      <c r="K2301" s="513">
        <v>1415</v>
      </c>
      <c r="L2301" s="518" t="s">
        <v>3632</v>
      </c>
      <c r="M2301" s="152" t="s">
        <v>780</v>
      </c>
      <c r="N2301" s="152" t="s">
        <v>1407</v>
      </c>
      <c r="O2301" s="152" t="s">
        <v>3673</v>
      </c>
      <c r="P2301" s="152" t="s">
        <v>3489</v>
      </c>
      <c r="Q2301" s="152" t="s">
        <v>3674</v>
      </c>
      <c r="R2301" s="152" t="s">
        <v>3761</v>
      </c>
      <c r="S2301" s="152" t="s">
        <v>3676</v>
      </c>
      <c r="T2301" s="152" t="s">
        <v>786</v>
      </c>
    </row>
    <row r="2302" spans="3:20">
      <c r="C2302" s="152" t="s">
        <v>2821</v>
      </c>
      <c r="F2302" s="152" t="s">
        <v>658</v>
      </c>
      <c r="G2302" s="152" t="s">
        <v>659</v>
      </c>
      <c r="I2302" s="513">
        <v>-515031.7</v>
      </c>
      <c r="J2302" s="513">
        <v>-363.98</v>
      </c>
      <c r="K2302" s="513">
        <v>1415</v>
      </c>
      <c r="L2302" s="518" t="s">
        <v>3632</v>
      </c>
      <c r="M2302" s="152" t="s">
        <v>780</v>
      </c>
      <c r="N2302" s="152" t="s">
        <v>1407</v>
      </c>
      <c r="O2302" s="152" t="s">
        <v>3673</v>
      </c>
      <c r="P2302" s="152" t="s">
        <v>3489</v>
      </c>
      <c r="Q2302" s="152" t="s">
        <v>3674</v>
      </c>
      <c r="R2302" s="152" t="s">
        <v>3762</v>
      </c>
      <c r="S2302" s="152" t="s">
        <v>3676</v>
      </c>
      <c r="T2302" s="152" t="s">
        <v>786</v>
      </c>
    </row>
    <row r="2303" spans="3:20">
      <c r="C2303" s="152" t="s">
        <v>2821</v>
      </c>
      <c r="F2303" s="152" t="s">
        <v>658</v>
      </c>
      <c r="G2303" s="152" t="s">
        <v>659</v>
      </c>
      <c r="I2303" s="513">
        <v>-121180.6</v>
      </c>
      <c r="J2303" s="513">
        <v>-85.64</v>
      </c>
      <c r="K2303" s="513">
        <v>1415</v>
      </c>
      <c r="L2303" s="518" t="s">
        <v>3632</v>
      </c>
      <c r="M2303" s="152" t="s">
        <v>780</v>
      </c>
      <c r="N2303" s="152" t="s">
        <v>1407</v>
      </c>
      <c r="O2303" s="152" t="s">
        <v>3673</v>
      </c>
      <c r="P2303" s="152" t="s">
        <v>3489</v>
      </c>
      <c r="Q2303" s="152" t="s">
        <v>3674</v>
      </c>
      <c r="R2303" s="152" t="s">
        <v>3763</v>
      </c>
      <c r="S2303" s="152" t="s">
        <v>3676</v>
      </c>
      <c r="T2303" s="152" t="s">
        <v>786</v>
      </c>
    </row>
    <row r="2304" spans="3:20">
      <c r="C2304" s="152" t="s">
        <v>2821</v>
      </c>
      <c r="F2304" s="152" t="s">
        <v>658</v>
      </c>
      <c r="G2304" s="152" t="s">
        <v>659</v>
      </c>
      <c r="I2304" s="513">
        <v>-705717.1</v>
      </c>
      <c r="J2304" s="513">
        <v>-498.74</v>
      </c>
      <c r="K2304" s="513">
        <v>1415</v>
      </c>
      <c r="L2304" s="518" t="s">
        <v>3632</v>
      </c>
      <c r="M2304" s="152" t="s">
        <v>780</v>
      </c>
      <c r="N2304" s="152" t="s">
        <v>1407</v>
      </c>
      <c r="O2304" s="152" t="s">
        <v>3673</v>
      </c>
      <c r="P2304" s="152" t="s">
        <v>3489</v>
      </c>
      <c r="Q2304" s="152" t="s">
        <v>3674</v>
      </c>
      <c r="R2304" s="152" t="s">
        <v>3764</v>
      </c>
      <c r="S2304" s="152" t="s">
        <v>3676</v>
      </c>
      <c r="T2304" s="152" t="s">
        <v>786</v>
      </c>
    </row>
    <row r="2305" spans="3:20">
      <c r="C2305" s="152" t="s">
        <v>2821</v>
      </c>
      <c r="F2305" s="152" t="s">
        <v>658</v>
      </c>
      <c r="G2305" s="152" t="s">
        <v>659</v>
      </c>
      <c r="I2305" s="513">
        <v>-2413642</v>
      </c>
      <c r="J2305" s="513">
        <v>-1724.03</v>
      </c>
      <c r="K2305" s="513">
        <v>1400</v>
      </c>
      <c r="L2305" s="518" t="s">
        <v>3659</v>
      </c>
      <c r="M2305" s="152" t="s">
        <v>780</v>
      </c>
      <c r="N2305" s="152" t="s">
        <v>1407</v>
      </c>
      <c r="O2305" s="152" t="s">
        <v>3660</v>
      </c>
      <c r="P2305" s="152" t="s">
        <v>3489</v>
      </c>
      <c r="Q2305" s="152" t="s">
        <v>3661</v>
      </c>
      <c r="R2305" s="152" t="s">
        <v>3766</v>
      </c>
      <c r="S2305" s="152" t="s">
        <v>3663</v>
      </c>
      <c r="T2305" s="152" t="s">
        <v>786</v>
      </c>
    </row>
    <row r="2306" spans="3:20">
      <c r="C2306" s="152" t="s">
        <v>2821</v>
      </c>
      <c r="F2306" s="152" t="s">
        <v>658</v>
      </c>
      <c r="G2306" s="152" t="s">
        <v>659</v>
      </c>
      <c r="I2306" s="513">
        <v>-267321.8</v>
      </c>
      <c r="J2306" s="513">
        <v>-188.92</v>
      </c>
      <c r="K2306" s="513">
        <v>1415</v>
      </c>
      <c r="L2306" s="518" t="s">
        <v>3632</v>
      </c>
      <c r="M2306" s="152" t="s">
        <v>780</v>
      </c>
      <c r="N2306" s="152" t="s">
        <v>1407</v>
      </c>
      <c r="O2306" s="152" t="s">
        <v>3673</v>
      </c>
      <c r="P2306" s="152" t="s">
        <v>3489</v>
      </c>
      <c r="Q2306" s="152" t="s">
        <v>3674</v>
      </c>
      <c r="R2306" s="152" t="s">
        <v>3773</v>
      </c>
      <c r="S2306" s="152" t="s">
        <v>3676</v>
      </c>
      <c r="T2306" s="152" t="s">
        <v>786</v>
      </c>
    </row>
    <row r="2307" spans="3:20">
      <c r="C2307" s="152" t="s">
        <v>2821</v>
      </c>
      <c r="F2307" s="152" t="s">
        <v>658</v>
      </c>
      <c r="G2307" s="152" t="s">
        <v>659</v>
      </c>
      <c r="I2307" s="513">
        <v>-213579</v>
      </c>
      <c r="J2307" s="513">
        <v>-149.88</v>
      </c>
      <c r="K2307" s="513">
        <v>1425</v>
      </c>
      <c r="L2307" s="518" t="s">
        <v>3637</v>
      </c>
      <c r="M2307" s="152" t="s">
        <v>780</v>
      </c>
      <c r="N2307" s="152" t="s">
        <v>1407</v>
      </c>
      <c r="O2307" s="152" t="s">
        <v>3680</v>
      </c>
      <c r="P2307" s="152" t="s">
        <v>2865</v>
      </c>
      <c r="Q2307" s="152" t="s">
        <v>3681</v>
      </c>
      <c r="R2307" s="152" t="s">
        <v>3774</v>
      </c>
      <c r="S2307" s="152" t="s">
        <v>3683</v>
      </c>
      <c r="T2307" s="152" t="s">
        <v>786</v>
      </c>
    </row>
    <row r="2308" spans="3:20">
      <c r="C2308" s="152" t="s">
        <v>2821</v>
      </c>
      <c r="F2308" s="152" t="s">
        <v>658</v>
      </c>
      <c r="G2308" s="152" t="s">
        <v>659</v>
      </c>
      <c r="I2308" s="513">
        <v>-400982.7</v>
      </c>
      <c r="J2308" s="513">
        <v>-283.38</v>
      </c>
      <c r="K2308" s="513">
        <v>1415</v>
      </c>
      <c r="L2308" s="518" t="s">
        <v>3632</v>
      </c>
      <c r="M2308" s="152" t="s">
        <v>780</v>
      </c>
      <c r="N2308" s="152" t="s">
        <v>1407</v>
      </c>
      <c r="O2308" s="152" t="s">
        <v>3673</v>
      </c>
      <c r="P2308" s="152" t="s">
        <v>3489</v>
      </c>
      <c r="Q2308" s="152" t="s">
        <v>3674</v>
      </c>
      <c r="R2308" s="152" t="s">
        <v>3775</v>
      </c>
      <c r="S2308" s="152" t="s">
        <v>3676</v>
      </c>
      <c r="T2308" s="152" t="s">
        <v>786</v>
      </c>
    </row>
    <row r="2309" spans="3:20">
      <c r="C2309" s="152" t="s">
        <v>2821</v>
      </c>
      <c r="F2309" s="152" t="s">
        <v>658</v>
      </c>
      <c r="G2309" s="152" t="s">
        <v>659</v>
      </c>
      <c r="I2309" s="513">
        <v>-1045565.25</v>
      </c>
      <c r="J2309" s="513">
        <v>-733.73</v>
      </c>
      <c r="K2309" s="513">
        <v>1425</v>
      </c>
      <c r="L2309" s="518" t="s">
        <v>3637</v>
      </c>
      <c r="M2309" s="152" t="s">
        <v>780</v>
      </c>
      <c r="N2309" s="152" t="s">
        <v>1407</v>
      </c>
      <c r="O2309" s="152" t="s">
        <v>3680</v>
      </c>
      <c r="P2309" s="152" t="s">
        <v>2865</v>
      </c>
      <c r="Q2309" s="152" t="s">
        <v>3681</v>
      </c>
      <c r="R2309" s="152" t="s">
        <v>3776</v>
      </c>
      <c r="S2309" s="152" t="s">
        <v>3683</v>
      </c>
      <c r="T2309" s="152" t="s">
        <v>786</v>
      </c>
    </row>
    <row r="2310" spans="3:20">
      <c r="C2310" s="152" t="s">
        <v>2821</v>
      </c>
      <c r="F2310" s="152" t="s">
        <v>658</v>
      </c>
      <c r="G2310" s="152" t="s">
        <v>659</v>
      </c>
      <c r="I2310" s="513">
        <v>-2440875</v>
      </c>
      <c r="J2310" s="513">
        <v>-1725</v>
      </c>
      <c r="K2310" s="513">
        <v>1415</v>
      </c>
      <c r="L2310" s="518" t="s">
        <v>3498</v>
      </c>
      <c r="M2310" s="152" t="s">
        <v>780</v>
      </c>
      <c r="N2310" s="152" t="s">
        <v>1407</v>
      </c>
      <c r="O2310" s="152" t="s">
        <v>3522</v>
      </c>
      <c r="P2310" s="152" t="s">
        <v>3489</v>
      </c>
      <c r="Q2310" s="152" t="s">
        <v>3523</v>
      </c>
      <c r="R2310" s="152" t="s">
        <v>3777</v>
      </c>
      <c r="S2310" s="152" t="s">
        <v>3525</v>
      </c>
      <c r="T2310" s="152" t="s">
        <v>786</v>
      </c>
    </row>
    <row r="2311" spans="3:20">
      <c r="C2311" s="152" t="s">
        <v>2821</v>
      </c>
      <c r="F2311" s="152" t="s">
        <v>658</v>
      </c>
      <c r="G2311" s="152" t="s">
        <v>659</v>
      </c>
      <c r="I2311" s="513">
        <v>-866390.4</v>
      </c>
      <c r="J2311" s="513">
        <v>-601.66</v>
      </c>
      <c r="K2311" s="513">
        <v>1440</v>
      </c>
      <c r="L2311" s="518" t="s">
        <v>3517</v>
      </c>
      <c r="M2311" s="152" t="s">
        <v>780</v>
      </c>
      <c r="N2311" s="152" t="s">
        <v>1407</v>
      </c>
      <c r="O2311" s="152" t="s">
        <v>3655</v>
      </c>
      <c r="P2311" s="152" t="s">
        <v>892</v>
      </c>
      <c r="Q2311" s="152" t="s">
        <v>3656</v>
      </c>
      <c r="R2311" s="152" t="s">
        <v>3778</v>
      </c>
      <c r="S2311" s="152" t="s">
        <v>3658</v>
      </c>
      <c r="T2311" s="152" t="s">
        <v>786</v>
      </c>
    </row>
    <row r="2312" spans="3:20">
      <c r="C2312" s="152" t="s">
        <v>2821</v>
      </c>
      <c r="F2312" s="152" t="s">
        <v>658</v>
      </c>
      <c r="G2312" s="152" t="s">
        <v>659</v>
      </c>
      <c r="I2312" s="513">
        <v>-1006418</v>
      </c>
      <c r="J2312" s="513">
        <v>-718.87</v>
      </c>
      <c r="K2312" s="513">
        <v>1400</v>
      </c>
      <c r="L2312" s="518" t="s">
        <v>3659</v>
      </c>
      <c r="M2312" s="152" t="s">
        <v>780</v>
      </c>
      <c r="N2312" s="152" t="s">
        <v>1407</v>
      </c>
      <c r="O2312" s="152" t="s">
        <v>3660</v>
      </c>
      <c r="P2312" s="152" t="s">
        <v>3489</v>
      </c>
      <c r="Q2312" s="152" t="s">
        <v>3661</v>
      </c>
      <c r="R2312" s="152" t="s">
        <v>3779</v>
      </c>
      <c r="S2312" s="152" t="s">
        <v>3663</v>
      </c>
      <c r="T2312" s="152" t="s">
        <v>786</v>
      </c>
    </row>
    <row r="2313" spans="3:20">
      <c r="C2313" s="152" t="s">
        <v>2821</v>
      </c>
      <c r="F2313" s="152" t="s">
        <v>658</v>
      </c>
      <c r="G2313" s="152" t="s">
        <v>659</v>
      </c>
      <c r="I2313" s="513">
        <v>-23140.799999999999</v>
      </c>
      <c r="J2313" s="513">
        <v>-16.07</v>
      </c>
      <c r="K2313" s="513">
        <v>1440</v>
      </c>
      <c r="L2313" s="518" t="s">
        <v>3517</v>
      </c>
      <c r="M2313" s="152" t="s">
        <v>780</v>
      </c>
      <c r="N2313" s="152" t="s">
        <v>1407</v>
      </c>
      <c r="O2313" s="152" t="s">
        <v>3655</v>
      </c>
      <c r="P2313" s="152" t="s">
        <v>892</v>
      </c>
      <c r="Q2313" s="152" t="s">
        <v>3656</v>
      </c>
      <c r="R2313" s="152" t="s">
        <v>3781</v>
      </c>
      <c r="S2313" s="152" t="s">
        <v>3658</v>
      </c>
      <c r="T2313" s="152" t="s">
        <v>786</v>
      </c>
    </row>
    <row r="2314" spans="3:20">
      <c r="C2314" s="152" t="s">
        <v>2821</v>
      </c>
      <c r="F2314" s="152" t="s">
        <v>658</v>
      </c>
      <c r="G2314" s="152" t="s">
        <v>659</v>
      </c>
      <c r="I2314" s="513">
        <v>-804830.4</v>
      </c>
      <c r="J2314" s="513">
        <v>-558.91</v>
      </c>
      <c r="K2314" s="513">
        <v>1440</v>
      </c>
      <c r="L2314" s="518" t="s">
        <v>3517</v>
      </c>
      <c r="M2314" s="152" t="s">
        <v>780</v>
      </c>
      <c r="N2314" s="152" t="s">
        <v>1407</v>
      </c>
      <c r="O2314" s="152" t="s">
        <v>3655</v>
      </c>
      <c r="P2314" s="152" t="s">
        <v>892</v>
      </c>
      <c r="Q2314" s="152" t="s">
        <v>3656</v>
      </c>
      <c r="R2314" s="152" t="s">
        <v>3782</v>
      </c>
      <c r="S2314" s="152" t="s">
        <v>3658</v>
      </c>
      <c r="T2314" s="152" t="s">
        <v>786</v>
      </c>
    </row>
    <row r="2315" spans="3:20">
      <c r="C2315" s="152" t="s">
        <v>2821</v>
      </c>
      <c r="F2315" s="152" t="s">
        <v>658</v>
      </c>
      <c r="G2315" s="152" t="s">
        <v>659</v>
      </c>
      <c r="I2315" s="513">
        <v>-619215.6</v>
      </c>
      <c r="J2315" s="513">
        <v>-439.16</v>
      </c>
      <c r="K2315" s="513">
        <v>1410</v>
      </c>
      <c r="L2315" s="518" t="s">
        <v>3498</v>
      </c>
      <c r="M2315" s="152" t="s">
        <v>780</v>
      </c>
      <c r="N2315" s="152" t="s">
        <v>1407</v>
      </c>
      <c r="O2315" s="152" t="s">
        <v>3522</v>
      </c>
      <c r="P2315" s="152" t="s">
        <v>3489</v>
      </c>
      <c r="Q2315" s="152" t="s">
        <v>3523</v>
      </c>
      <c r="R2315" s="152" t="s">
        <v>3785</v>
      </c>
      <c r="S2315" s="152" t="s">
        <v>3525</v>
      </c>
      <c r="T2315" s="152" t="s">
        <v>786</v>
      </c>
    </row>
    <row r="2316" spans="3:20">
      <c r="C2316" s="152" t="s">
        <v>2821</v>
      </c>
      <c r="F2316" s="152" t="s">
        <v>658</v>
      </c>
      <c r="G2316" s="152" t="s">
        <v>659</v>
      </c>
      <c r="I2316" s="513">
        <v>-524734</v>
      </c>
      <c r="J2316" s="513">
        <v>-374.81</v>
      </c>
      <c r="K2316" s="513">
        <v>1400</v>
      </c>
      <c r="L2316" s="518" t="s">
        <v>3659</v>
      </c>
      <c r="M2316" s="152" t="s">
        <v>780</v>
      </c>
      <c r="N2316" s="152" t="s">
        <v>1407</v>
      </c>
      <c r="O2316" s="152" t="s">
        <v>3660</v>
      </c>
      <c r="P2316" s="152" t="s">
        <v>3489</v>
      </c>
      <c r="Q2316" s="152" t="s">
        <v>3661</v>
      </c>
      <c r="R2316" s="152" t="s">
        <v>3786</v>
      </c>
      <c r="S2316" s="152" t="s">
        <v>3663</v>
      </c>
      <c r="T2316" s="152" t="s">
        <v>786</v>
      </c>
    </row>
    <row r="2317" spans="3:20">
      <c r="C2317" s="152" t="s">
        <v>2821</v>
      </c>
      <c r="F2317" s="152" t="s">
        <v>658</v>
      </c>
      <c r="G2317" s="152" t="s">
        <v>659</v>
      </c>
      <c r="I2317" s="513">
        <v>-86258.4</v>
      </c>
      <c r="J2317" s="513">
        <v>-60.96</v>
      </c>
      <c r="K2317" s="513">
        <v>1415</v>
      </c>
      <c r="L2317" s="518" t="s">
        <v>3632</v>
      </c>
      <c r="M2317" s="152" t="s">
        <v>780</v>
      </c>
      <c r="N2317" s="152" t="s">
        <v>1407</v>
      </c>
      <c r="O2317" s="152" t="s">
        <v>3673</v>
      </c>
      <c r="P2317" s="152" t="s">
        <v>3489</v>
      </c>
      <c r="Q2317" s="152" t="s">
        <v>3674</v>
      </c>
      <c r="R2317" s="152" t="s">
        <v>3790</v>
      </c>
      <c r="S2317" s="152" t="s">
        <v>3676</v>
      </c>
      <c r="T2317" s="152" t="s">
        <v>786</v>
      </c>
    </row>
    <row r="2318" spans="3:20">
      <c r="C2318" s="152" t="s">
        <v>2821</v>
      </c>
      <c r="F2318" s="152" t="s">
        <v>658</v>
      </c>
      <c r="G2318" s="152" t="s">
        <v>659</v>
      </c>
      <c r="I2318" s="513">
        <v>-5091820.9000000004</v>
      </c>
      <c r="J2318" s="513">
        <v>-3598.46</v>
      </c>
      <c r="K2318" s="513">
        <v>1415</v>
      </c>
      <c r="L2318" s="518" t="s">
        <v>3632</v>
      </c>
      <c r="M2318" s="152" t="s">
        <v>780</v>
      </c>
      <c r="N2318" s="152" t="s">
        <v>1407</v>
      </c>
      <c r="O2318" s="152" t="s">
        <v>3673</v>
      </c>
      <c r="P2318" s="152" t="s">
        <v>3489</v>
      </c>
      <c r="Q2318" s="152" t="s">
        <v>3674</v>
      </c>
      <c r="R2318" s="152" t="s">
        <v>3791</v>
      </c>
      <c r="S2318" s="152" t="s">
        <v>3676</v>
      </c>
      <c r="T2318" s="152" t="s">
        <v>786</v>
      </c>
    </row>
    <row r="2319" spans="3:20">
      <c r="C2319" s="152" t="s">
        <v>2821</v>
      </c>
      <c r="F2319" s="152" t="s">
        <v>658</v>
      </c>
      <c r="G2319" s="152" t="s">
        <v>659</v>
      </c>
      <c r="I2319" s="513">
        <v>-141103.5</v>
      </c>
      <c r="J2319" s="513">
        <v>-99.02</v>
      </c>
      <c r="K2319" s="513">
        <v>1425</v>
      </c>
      <c r="L2319" s="518" t="s">
        <v>3504</v>
      </c>
      <c r="M2319" s="152" t="s">
        <v>780</v>
      </c>
      <c r="N2319" s="152" t="s">
        <v>1407</v>
      </c>
      <c r="O2319" s="152" t="s">
        <v>3665</v>
      </c>
      <c r="P2319" s="152" t="s">
        <v>3489</v>
      </c>
      <c r="Q2319" s="152" t="s">
        <v>3666</v>
      </c>
      <c r="R2319" s="152" t="s">
        <v>3792</v>
      </c>
      <c r="S2319" s="152" t="s">
        <v>3668</v>
      </c>
      <c r="T2319" s="152" t="s">
        <v>786</v>
      </c>
    </row>
    <row r="2320" spans="3:20">
      <c r="C2320" s="152" t="s">
        <v>2821</v>
      </c>
      <c r="F2320" s="152" t="s">
        <v>658</v>
      </c>
      <c r="G2320" s="152" t="s">
        <v>659</v>
      </c>
      <c r="I2320" s="513">
        <v>-1643409.75</v>
      </c>
      <c r="J2320" s="513">
        <v>-1153.27</v>
      </c>
      <c r="K2320" s="513">
        <v>1425</v>
      </c>
      <c r="L2320" s="518" t="s">
        <v>3504</v>
      </c>
      <c r="M2320" s="152" t="s">
        <v>780</v>
      </c>
      <c r="N2320" s="152" t="s">
        <v>1407</v>
      </c>
      <c r="O2320" s="152" t="s">
        <v>3665</v>
      </c>
      <c r="P2320" s="152" t="s">
        <v>3489</v>
      </c>
      <c r="Q2320" s="152" t="s">
        <v>3666</v>
      </c>
      <c r="R2320" s="152" t="s">
        <v>3858</v>
      </c>
      <c r="S2320" s="152" t="s">
        <v>3668</v>
      </c>
      <c r="T2320" s="152" t="s">
        <v>786</v>
      </c>
    </row>
    <row r="2321" spans="3:20">
      <c r="C2321" s="152" t="s">
        <v>2821</v>
      </c>
      <c r="F2321" s="152" t="s">
        <v>658</v>
      </c>
      <c r="G2321" s="152" t="s">
        <v>659</v>
      </c>
      <c r="I2321" s="513">
        <v>-62999.25</v>
      </c>
      <c r="J2321" s="513">
        <v>-44.21</v>
      </c>
      <c r="K2321" s="513">
        <v>1425</v>
      </c>
      <c r="L2321" s="518" t="s">
        <v>3637</v>
      </c>
      <c r="M2321" s="152" t="s">
        <v>780</v>
      </c>
      <c r="N2321" s="152" t="s">
        <v>1407</v>
      </c>
      <c r="O2321" s="152" t="s">
        <v>3680</v>
      </c>
      <c r="P2321" s="152" t="s">
        <v>2865</v>
      </c>
      <c r="Q2321" s="152" t="s">
        <v>3681</v>
      </c>
      <c r="R2321" s="152" t="s">
        <v>3859</v>
      </c>
      <c r="S2321" s="152" t="s">
        <v>3683</v>
      </c>
      <c r="T2321" s="152" t="s">
        <v>786</v>
      </c>
    </row>
    <row r="2322" spans="3:20">
      <c r="C2322" s="152" t="s">
        <v>2821</v>
      </c>
      <c r="F2322" s="152" t="s">
        <v>658</v>
      </c>
      <c r="G2322" s="152" t="s">
        <v>659</v>
      </c>
      <c r="I2322" s="513">
        <v>-2721.75</v>
      </c>
      <c r="J2322" s="513">
        <v>-1.91</v>
      </c>
      <c r="K2322" s="513">
        <v>1425</v>
      </c>
      <c r="L2322" s="518" t="s">
        <v>3504</v>
      </c>
      <c r="M2322" s="152" t="s">
        <v>780</v>
      </c>
      <c r="N2322" s="152" t="s">
        <v>1407</v>
      </c>
      <c r="O2322" s="152" t="s">
        <v>3665</v>
      </c>
      <c r="P2322" s="152" t="s">
        <v>3489</v>
      </c>
      <c r="Q2322" s="152" t="s">
        <v>3666</v>
      </c>
      <c r="R2322" s="152" t="s">
        <v>3861</v>
      </c>
      <c r="S2322" s="152" t="s">
        <v>3668</v>
      </c>
      <c r="T2322" s="152" t="s">
        <v>786</v>
      </c>
    </row>
    <row r="2323" spans="3:20">
      <c r="C2323" s="152" t="s">
        <v>2821</v>
      </c>
      <c r="F2323" s="152" t="s">
        <v>658</v>
      </c>
      <c r="G2323" s="152" t="s">
        <v>659</v>
      </c>
      <c r="I2323" s="513">
        <v>-2664.9</v>
      </c>
      <c r="J2323" s="513">
        <v>-1.89</v>
      </c>
      <c r="K2323" s="513">
        <v>1410</v>
      </c>
      <c r="L2323" s="518" t="s">
        <v>3498</v>
      </c>
      <c r="M2323" s="152" t="s">
        <v>780</v>
      </c>
      <c r="N2323" s="152" t="s">
        <v>1407</v>
      </c>
      <c r="O2323" s="152" t="s">
        <v>3522</v>
      </c>
      <c r="P2323" s="152" t="s">
        <v>3489</v>
      </c>
      <c r="Q2323" s="152" t="s">
        <v>3523</v>
      </c>
      <c r="R2323" s="152" t="s">
        <v>3861</v>
      </c>
      <c r="S2323" s="152" t="s">
        <v>3525</v>
      </c>
      <c r="T2323" s="152" t="s">
        <v>786</v>
      </c>
    </row>
    <row r="2324" spans="3:20">
      <c r="C2324" s="152" t="s">
        <v>2821</v>
      </c>
      <c r="F2324" s="152" t="s">
        <v>658</v>
      </c>
      <c r="G2324" s="152" t="s">
        <v>659</v>
      </c>
      <c r="I2324" s="513">
        <v>-2764.8</v>
      </c>
      <c r="J2324" s="513">
        <v>-1.92</v>
      </c>
      <c r="K2324" s="513">
        <v>1440</v>
      </c>
      <c r="L2324" s="518" t="s">
        <v>3517</v>
      </c>
      <c r="M2324" s="152" t="s">
        <v>780</v>
      </c>
      <c r="N2324" s="152" t="s">
        <v>1407</v>
      </c>
      <c r="O2324" s="152" t="s">
        <v>3655</v>
      </c>
      <c r="P2324" s="152" t="s">
        <v>892</v>
      </c>
      <c r="Q2324" s="152" t="s">
        <v>3656</v>
      </c>
      <c r="R2324" s="152" t="s">
        <v>1515</v>
      </c>
      <c r="S2324" s="152" t="s">
        <v>3658</v>
      </c>
      <c r="T2324" s="152" t="s">
        <v>786</v>
      </c>
    </row>
    <row r="2325" spans="3:20">
      <c r="C2325" s="152" t="s">
        <v>2821</v>
      </c>
      <c r="F2325" s="152" t="s">
        <v>658</v>
      </c>
      <c r="G2325" s="152" t="s">
        <v>659</v>
      </c>
      <c r="I2325" s="513">
        <v>-2764.8</v>
      </c>
      <c r="J2325" s="513">
        <v>-1.92</v>
      </c>
      <c r="K2325" s="513">
        <v>1440</v>
      </c>
      <c r="L2325" s="518" t="s">
        <v>3517</v>
      </c>
      <c r="M2325" s="152" t="s">
        <v>780</v>
      </c>
      <c r="N2325" s="152" t="s">
        <v>1407</v>
      </c>
      <c r="O2325" s="152" t="s">
        <v>3655</v>
      </c>
      <c r="P2325" s="152" t="s">
        <v>892</v>
      </c>
      <c r="Q2325" s="152" t="s">
        <v>3656</v>
      </c>
      <c r="R2325" s="152" t="s">
        <v>1515</v>
      </c>
      <c r="S2325" s="152" t="s">
        <v>3658</v>
      </c>
      <c r="T2325" s="152" t="s">
        <v>786</v>
      </c>
    </row>
    <row r="2326" spans="3:20">
      <c r="C2326" s="152" t="s">
        <v>2821</v>
      </c>
      <c r="F2326" s="152" t="s">
        <v>658</v>
      </c>
      <c r="G2326" s="152" t="s">
        <v>659</v>
      </c>
      <c r="I2326" s="513">
        <v>-2764.8</v>
      </c>
      <c r="J2326" s="513">
        <v>-1.92</v>
      </c>
      <c r="K2326" s="513">
        <v>1440</v>
      </c>
      <c r="L2326" s="518" t="s">
        <v>3517</v>
      </c>
      <c r="M2326" s="152" t="s">
        <v>780</v>
      </c>
      <c r="N2326" s="152" t="s">
        <v>1407</v>
      </c>
      <c r="O2326" s="152" t="s">
        <v>3655</v>
      </c>
      <c r="P2326" s="152" t="s">
        <v>892</v>
      </c>
      <c r="Q2326" s="152" t="s">
        <v>3656</v>
      </c>
      <c r="R2326" s="152" t="s">
        <v>1515</v>
      </c>
      <c r="S2326" s="152" t="s">
        <v>3658</v>
      </c>
      <c r="T2326" s="152" t="s">
        <v>786</v>
      </c>
    </row>
    <row r="2327" spans="3:20">
      <c r="C2327" s="152" t="s">
        <v>2821</v>
      </c>
      <c r="F2327" s="152" t="s">
        <v>658</v>
      </c>
      <c r="G2327" s="152" t="s">
        <v>659</v>
      </c>
      <c r="I2327" s="513">
        <v>-2764.8</v>
      </c>
      <c r="J2327" s="513">
        <v>-1.92</v>
      </c>
      <c r="K2327" s="513">
        <v>1440</v>
      </c>
      <c r="L2327" s="518" t="s">
        <v>3517</v>
      </c>
      <c r="M2327" s="152" t="s">
        <v>780</v>
      </c>
      <c r="N2327" s="152" t="s">
        <v>1407</v>
      </c>
      <c r="O2327" s="152" t="s">
        <v>3655</v>
      </c>
      <c r="P2327" s="152" t="s">
        <v>892</v>
      </c>
      <c r="Q2327" s="152" t="s">
        <v>3656</v>
      </c>
      <c r="R2327" s="152" t="s">
        <v>1515</v>
      </c>
      <c r="S2327" s="152" t="s">
        <v>3658</v>
      </c>
      <c r="T2327" s="152" t="s">
        <v>786</v>
      </c>
    </row>
    <row r="2328" spans="3:20">
      <c r="C2328" s="152" t="s">
        <v>2821</v>
      </c>
      <c r="F2328" s="152" t="s">
        <v>658</v>
      </c>
      <c r="G2328" s="152" t="s">
        <v>659</v>
      </c>
      <c r="I2328" s="513">
        <v>-2764.8</v>
      </c>
      <c r="J2328" s="513">
        <v>-1.92</v>
      </c>
      <c r="K2328" s="513">
        <v>1440</v>
      </c>
      <c r="L2328" s="518" t="s">
        <v>3517</v>
      </c>
      <c r="M2328" s="152" t="s">
        <v>780</v>
      </c>
      <c r="N2328" s="152" t="s">
        <v>1407</v>
      </c>
      <c r="O2328" s="152" t="s">
        <v>3655</v>
      </c>
      <c r="P2328" s="152" t="s">
        <v>892</v>
      </c>
      <c r="Q2328" s="152" t="s">
        <v>3656</v>
      </c>
      <c r="R2328" s="152" t="s">
        <v>1515</v>
      </c>
      <c r="S2328" s="152" t="s">
        <v>3658</v>
      </c>
      <c r="T2328" s="152" t="s">
        <v>786</v>
      </c>
    </row>
    <row r="2329" spans="3:20">
      <c r="C2329" s="152" t="s">
        <v>2821</v>
      </c>
      <c r="F2329" s="152" t="s">
        <v>658</v>
      </c>
      <c r="G2329" s="152" t="s">
        <v>659</v>
      </c>
      <c r="I2329" s="513">
        <v>-2764.8</v>
      </c>
      <c r="J2329" s="513">
        <v>-1.92</v>
      </c>
      <c r="K2329" s="513">
        <v>1440</v>
      </c>
      <c r="L2329" s="518" t="s">
        <v>3517</v>
      </c>
      <c r="M2329" s="152" t="s">
        <v>780</v>
      </c>
      <c r="N2329" s="152" t="s">
        <v>1407</v>
      </c>
      <c r="O2329" s="152" t="s">
        <v>3655</v>
      </c>
      <c r="P2329" s="152" t="s">
        <v>892</v>
      </c>
      <c r="Q2329" s="152" t="s">
        <v>3656</v>
      </c>
      <c r="R2329" s="152" t="s">
        <v>1515</v>
      </c>
      <c r="S2329" s="152" t="s">
        <v>3658</v>
      </c>
      <c r="T2329" s="152" t="s">
        <v>786</v>
      </c>
    </row>
    <row r="2330" spans="3:20">
      <c r="C2330" s="152" t="s">
        <v>2821</v>
      </c>
      <c r="F2330" s="152" t="s">
        <v>658</v>
      </c>
      <c r="G2330" s="152" t="s">
        <v>659</v>
      </c>
      <c r="I2330" s="513">
        <v>-2764.8</v>
      </c>
      <c r="J2330" s="513">
        <v>-1.92</v>
      </c>
      <c r="K2330" s="513">
        <v>1440</v>
      </c>
      <c r="L2330" s="518" t="s">
        <v>3517</v>
      </c>
      <c r="M2330" s="152" t="s">
        <v>780</v>
      </c>
      <c r="N2330" s="152" t="s">
        <v>1407</v>
      </c>
      <c r="O2330" s="152" t="s">
        <v>3655</v>
      </c>
      <c r="P2330" s="152" t="s">
        <v>892</v>
      </c>
      <c r="Q2330" s="152" t="s">
        <v>3656</v>
      </c>
      <c r="R2330" s="152" t="s">
        <v>1515</v>
      </c>
      <c r="S2330" s="152" t="s">
        <v>3658</v>
      </c>
      <c r="T2330" s="152" t="s">
        <v>786</v>
      </c>
    </row>
    <row r="2331" spans="3:20">
      <c r="C2331" s="152" t="s">
        <v>2821</v>
      </c>
      <c r="F2331" s="152" t="s">
        <v>658</v>
      </c>
      <c r="G2331" s="152" t="s">
        <v>659</v>
      </c>
      <c r="I2331" s="513">
        <v>-2764.8</v>
      </c>
      <c r="J2331" s="513">
        <v>-1.92</v>
      </c>
      <c r="K2331" s="513">
        <v>1440</v>
      </c>
      <c r="L2331" s="518" t="s">
        <v>3517</v>
      </c>
      <c r="M2331" s="152" t="s">
        <v>780</v>
      </c>
      <c r="N2331" s="152" t="s">
        <v>1407</v>
      </c>
      <c r="O2331" s="152" t="s">
        <v>3655</v>
      </c>
      <c r="P2331" s="152" t="s">
        <v>892</v>
      </c>
      <c r="Q2331" s="152" t="s">
        <v>3656</v>
      </c>
      <c r="R2331" s="152" t="s">
        <v>1515</v>
      </c>
      <c r="S2331" s="152" t="s">
        <v>3658</v>
      </c>
      <c r="T2331" s="152" t="s">
        <v>786</v>
      </c>
    </row>
    <row r="2332" spans="3:20">
      <c r="C2332" s="152" t="s">
        <v>2821</v>
      </c>
      <c r="F2332" s="152" t="s">
        <v>658</v>
      </c>
      <c r="G2332" s="152" t="s">
        <v>659</v>
      </c>
      <c r="I2332" s="513">
        <v>-2764.8</v>
      </c>
      <c r="J2332" s="513">
        <v>-1.92</v>
      </c>
      <c r="K2332" s="513">
        <v>1440</v>
      </c>
      <c r="L2332" s="518" t="s">
        <v>3517</v>
      </c>
      <c r="M2332" s="152" t="s">
        <v>780</v>
      </c>
      <c r="N2332" s="152" t="s">
        <v>1407</v>
      </c>
      <c r="O2332" s="152" t="s">
        <v>3655</v>
      </c>
      <c r="P2332" s="152" t="s">
        <v>892</v>
      </c>
      <c r="Q2332" s="152" t="s">
        <v>3656</v>
      </c>
      <c r="R2332" s="152" t="s">
        <v>1515</v>
      </c>
      <c r="S2332" s="152" t="s">
        <v>3658</v>
      </c>
      <c r="T2332" s="152" t="s">
        <v>786</v>
      </c>
    </row>
    <row r="2333" spans="3:20">
      <c r="C2333" s="152" t="s">
        <v>2821</v>
      </c>
      <c r="F2333" s="152" t="s">
        <v>658</v>
      </c>
      <c r="G2333" s="152" t="s">
        <v>659</v>
      </c>
      <c r="I2333" s="513">
        <v>-2764.8</v>
      </c>
      <c r="J2333" s="513">
        <v>-1.92</v>
      </c>
      <c r="K2333" s="513">
        <v>1440</v>
      </c>
      <c r="L2333" s="518" t="s">
        <v>3517</v>
      </c>
      <c r="M2333" s="152" t="s">
        <v>780</v>
      </c>
      <c r="N2333" s="152" t="s">
        <v>1407</v>
      </c>
      <c r="O2333" s="152" t="s">
        <v>3655</v>
      </c>
      <c r="P2333" s="152" t="s">
        <v>892</v>
      </c>
      <c r="Q2333" s="152" t="s">
        <v>3656</v>
      </c>
      <c r="R2333" s="152" t="s">
        <v>1515</v>
      </c>
      <c r="S2333" s="152" t="s">
        <v>3658</v>
      </c>
      <c r="T2333" s="152" t="s">
        <v>786</v>
      </c>
    </row>
    <row r="2334" spans="3:20">
      <c r="C2334" s="152" t="s">
        <v>2821</v>
      </c>
      <c r="F2334" s="152" t="s">
        <v>658</v>
      </c>
      <c r="G2334" s="152" t="s">
        <v>659</v>
      </c>
      <c r="I2334" s="513">
        <v>-2764.8</v>
      </c>
      <c r="J2334" s="513">
        <v>-1.92</v>
      </c>
      <c r="K2334" s="513">
        <v>1440</v>
      </c>
      <c r="L2334" s="518" t="s">
        <v>3517</v>
      </c>
      <c r="M2334" s="152" t="s">
        <v>780</v>
      </c>
      <c r="N2334" s="152" t="s">
        <v>1407</v>
      </c>
      <c r="O2334" s="152" t="s">
        <v>3655</v>
      </c>
      <c r="P2334" s="152" t="s">
        <v>892</v>
      </c>
      <c r="Q2334" s="152" t="s">
        <v>3656</v>
      </c>
      <c r="R2334" s="152" t="s">
        <v>1515</v>
      </c>
      <c r="S2334" s="152" t="s">
        <v>3658</v>
      </c>
      <c r="T2334" s="152" t="s">
        <v>786</v>
      </c>
    </row>
    <row r="2335" spans="3:20">
      <c r="C2335" s="152" t="s">
        <v>2821</v>
      </c>
      <c r="F2335" s="152" t="s">
        <v>658</v>
      </c>
      <c r="G2335" s="152" t="s">
        <v>659</v>
      </c>
      <c r="I2335" s="513">
        <v>-2764.8</v>
      </c>
      <c r="J2335" s="513">
        <v>-1.92</v>
      </c>
      <c r="K2335" s="513">
        <v>1440</v>
      </c>
      <c r="L2335" s="518" t="s">
        <v>3517</v>
      </c>
      <c r="M2335" s="152" t="s">
        <v>780</v>
      </c>
      <c r="N2335" s="152" t="s">
        <v>1407</v>
      </c>
      <c r="O2335" s="152" t="s">
        <v>3655</v>
      </c>
      <c r="P2335" s="152" t="s">
        <v>892</v>
      </c>
      <c r="Q2335" s="152" t="s">
        <v>3656</v>
      </c>
      <c r="R2335" s="152" t="s">
        <v>1515</v>
      </c>
      <c r="S2335" s="152" t="s">
        <v>3658</v>
      </c>
      <c r="T2335" s="152" t="s">
        <v>786</v>
      </c>
    </row>
    <row r="2336" spans="3:20">
      <c r="C2336" s="152" t="s">
        <v>2821</v>
      </c>
      <c r="F2336" s="152" t="s">
        <v>658</v>
      </c>
      <c r="G2336" s="152" t="s">
        <v>659</v>
      </c>
      <c r="I2336" s="513">
        <v>-2764.8</v>
      </c>
      <c r="J2336" s="513">
        <v>-1.92</v>
      </c>
      <c r="K2336" s="513">
        <v>1440</v>
      </c>
      <c r="L2336" s="518" t="s">
        <v>3517</v>
      </c>
      <c r="M2336" s="152" t="s">
        <v>780</v>
      </c>
      <c r="N2336" s="152" t="s">
        <v>1407</v>
      </c>
      <c r="O2336" s="152" t="s">
        <v>3655</v>
      </c>
      <c r="P2336" s="152" t="s">
        <v>892</v>
      </c>
      <c r="Q2336" s="152" t="s">
        <v>3656</v>
      </c>
      <c r="R2336" s="152" t="s">
        <v>1515</v>
      </c>
      <c r="S2336" s="152" t="s">
        <v>3658</v>
      </c>
      <c r="T2336" s="152" t="s">
        <v>786</v>
      </c>
    </row>
    <row r="2337" spans="3:20">
      <c r="C2337" s="152" t="s">
        <v>2821</v>
      </c>
      <c r="F2337" s="152" t="s">
        <v>658</v>
      </c>
      <c r="G2337" s="152" t="s">
        <v>659</v>
      </c>
      <c r="I2337" s="513">
        <v>-2764.8</v>
      </c>
      <c r="J2337" s="513">
        <v>-1.92</v>
      </c>
      <c r="K2337" s="513">
        <v>1440</v>
      </c>
      <c r="L2337" s="518" t="s">
        <v>3517</v>
      </c>
      <c r="M2337" s="152" t="s">
        <v>780</v>
      </c>
      <c r="N2337" s="152" t="s">
        <v>1407</v>
      </c>
      <c r="O2337" s="152" t="s">
        <v>3655</v>
      </c>
      <c r="P2337" s="152" t="s">
        <v>892</v>
      </c>
      <c r="Q2337" s="152" t="s">
        <v>3656</v>
      </c>
      <c r="R2337" s="152" t="s">
        <v>1515</v>
      </c>
      <c r="S2337" s="152" t="s">
        <v>3658</v>
      </c>
      <c r="T2337" s="152" t="s">
        <v>786</v>
      </c>
    </row>
    <row r="2338" spans="3:20">
      <c r="C2338" s="152" t="s">
        <v>2821</v>
      </c>
      <c r="F2338" s="152" t="s">
        <v>658</v>
      </c>
      <c r="G2338" s="152" t="s">
        <v>659</v>
      </c>
      <c r="I2338" s="513">
        <v>-2764.8</v>
      </c>
      <c r="J2338" s="513">
        <v>-1.92</v>
      </c>
      <c r="K2338" s="513">
        <v>1440</v>
      </c>
      <c r="L2338" s="518" t="s">
        <v>3517</v>
      </c>
      <c r="M2338" s="152" t="s">
        <v>780</v>
      </c>
      <c r="N2338" s="152" t="s">
        <v>1407</v>
      </c>
      <c r="O2338" s="152" t="s">
        <v>3655</v>
      </c>
      <c r="P2338" s="152" t="s">
        <v>892</v>
      </c>
      <c r="Q2338" s="152" t="s">
        <v>3656</v>
      </c>
      <c r="R2338" s="152" t="s">
        <v>1515</v>
      </c>
      <c r="S2338" s="152" t="s">
        <v>3658</v>
      </c>
      <c r="T2338" s="152" t="s">
        <v>786</v>
      </c>
    </row>
    <row r="2339" spans="3:20">
      <c r="C2339" s="152" t="s">
        <v>2821</v>
      </c>
      <c r="F2339" s="152" t="s">
        <v>658</v>
      </c>
      <c r="G2339" s="152" t="s">
        <v>659</v>
      </c>
      <c r="I2339" s="513">
        <v>-2764.8</v>
      </c>
      <c r="J2339" s="513">
        <v>-1.92</v>
      </c>
      <c r="K2339" s="513">
        <v>1440</v>
      </c>
      <c r="L2339" s="518" t="s">
        <v>3517</v>
      </c>
      <c r="M2339" s="152" t="s">
        <v>780</v>
      </c>
      <c r="N2339" s="152" t="s">
        <v>1407</v>
      </c>
      <c r="O2339" s="152" t="s">
        <v>3655</v>
      </c>
      <c r="P2339" s="152" t="s">
        <v>892</v>
      </c>
      <c r="Q2339" s="152" t="s">
        <v>3656</v>
      </c>
      <c r="R2339" s="152" t="s">
        <v>1515</v>
      </c>
      <c r="S2339" s="152" t="s">
        <v>3658</v>
      </c>
      <c r="T2339" s="152" t="s">
        <v>786</v>
      </c>
    </row>
    <row r="2340" spans="3:20">
      <c r="C2340" s="152" t="s">
        <v>2821</v>
      </c>
      <c r="F2340" s="152" t="s">
        <v>658</v>
      </c>
      <c r="G2340" s="152" t="s">
        <v>659</v>
      </c>
      <c r="I2340" s="513">
        <v>-2721.75</v>
      </c>
      <c r="J2340" s="513">
        <v>-1.91</v>
      </c>
      <c r="K2340" s="513">
        <v>1425</v>
      </c>
      <c r="L2340" s="518" t="s">
        <v>3637</v>
      </c>
      <c r="M2340" s="152" t="s">
        <v>780</v>
      </c>
      <c r="N2340" s="152" t="s">
        <v>1407</v>
      </c>
      <c r="O2340" s="152" t="s">
        <v>3680</v>
      </c>
      <c r="P2340" s="152" t="s">
        <v>2865</v>
      </c>
      <c r="Q2340" s="152" t="s">
        <v>3681</v>
      </c>
      <c r="R2340" s="152" t="s">
        <v>1515</v>
      </c>
      <c r="S2340" s="152" t="s">
        <v>3683</v>
      </c>
      <c r="T2340" s="152" t="s">
        <v>786</v>
      </c>
    </row>
    <row r="2341" spans="3:20">
      <c r="C2341" s="152" t="s">
        <v>2821</v>
      </c>
      <c r="F2341" s="152" t="s">
        <v>658</v>
      </c>
      <c r="G2341" s="152" t="s">
        <v>659</v>
      </c>
      <c r="I2341" s="513">
        <v>-2721.75</v>
      </c>
      <c r="J2341" s="513">
        <v>-1.91</v>
      </c>
      <c r="K2341" s="513">
        <v>1425</v>
      </c>
      <c r="L2341" s="518" t="s">
        <v>3637</v>
      </c>
      <c r="M2341" s="152" t="s">
        <v>780</v>
      </c>
      <c r="N2341" s="152" t="s">
        <v>1407</v>
      </c>
      <c r="O2341" s="152" t="s">
        <v>3680</v>
      </c>
      <c r="P2341" s="152" t="s">
        <v>2865</v>
      </c>
      <c r="Q2341" s="152" t="s">
        <v>3681</v>
      </c>
      <c r="R2341" s="152" t="s">
        <v>1515</v>
      </c>
      <c r="S2341" s="152" t="s">
        <v>3683</v>
      </c>
      <c r="T2341" s="152" t="s">
        <v>786</v>
      </c>
    </row>
    <row r="2342" spans="3:20">
      <c r="C2342" s="152" t="s">
        <v>2821</v>
      </c>
      <c r="F2342" s="152" t="s">
        <v>658</v>
      </c>
      <c r="G2342" s="152" t="s">
        <v>659</v>
      </c>
      <c r="I2342" s="513">
        <v>-2707.5</v>
      </c>
      <c r="J2342" s="513">
        <v>-1.9</v>
      </c>
      <c r="K2342" s="513">
        <v>1425</v>
      </c>
      <c r="L2342" s="518" t="s">
        <v>3637</v>
      </c>
      <c r="M2342" s="152" t="s">
        <v>780</v>
      </c>
      <c r="N2342" s="152" t="s">
        <v>1407</v>
      </c>
      <c r="O2342" s="152" t="s">
        <v>3680</v>
      </c>
      <c r="P2342" s="152" t="s">
        <v>2865</v>
      </c>
      <c r="Q2342" s="152" t="s">
        <v>3681</v>
      </c>
      <c r="R2342" s="152" t="s">
        <v>1515</v>
      </c>
      <c r="S2342" s="152" t="s">
        <v>3683</v>
      </c>
      <c r="T2342" s="152" t="s">
        <v>786</v>
      </c>
    </row>
    <row r="2343" spans="3:20">
      <c r="C2343" s="152" t="s">
        <v>2821</v>
      </c>
      <c r="F2343" s="152" t="s">
        <v>658</v>
      </c>
      <c r="G2343" s="152" t="s">
        <v>659</v>
      </c>
      <c r="I2343" s="513">
        <v>-2721.75</v>
      </c>
      <c r="J2343" s="513">
        <v>-1.91</v>
      </c>
      <c r="K2343" s="513">
        <v>1425</v>
      </c>
      <c r="L2343" s="518" t="s">
        <v>3504</v>
      </c>
      <c r="M2343" s="152" t="s">
        <v>780</v>
      </c>
      <c r="N2343" s="152" t="s">
        <v>1407</v>
      </c>
      <c r="O2343" s="152" t="s">
        <v>3665</v>
      </c>
      <c r="P2343" s="152" t="s">
        <v>3489</v>
      </c>
      <c r="Q2343" s="152" t="s">
        <v>3666</v>
      </c>
      <c r="R2343" s="152" t="s">
        <v>1515</v>
      </c>
      <c r="S2343" s="152" t="s">
        <v>3668</v>
      </c>
      <c r="T2343" s="152" t="s">
        <v>786</v>
      </c>
    </row>
    <row r="2344" spans="3:20">
      <c r="C2344" s="152" t="s">
        <v>2821</v>
      </c>
      <c r="F2344" s="152" t="s">
        <v>658</v>
      </c>
      <c r="G2344" s="152" t="s">
        <v>659</v>
      </c>
      <c r="I2344" s="513">
        <v>-2721.75</v>
      </c>
      <c r="J2344" s="513">
        <v>-1.91</v>
      </c>
      <c r="K2344" s="513">
        <v>1425</v>
      </c>
      <c r="L2344" s="518" t="s">
        <v>3504</v>
      </c>
      <c r="M2344" s="152" t="s">
        <v>780</v>
      </c>
      <c r="N2344" s="152" t="s">
        <v>1407</v>
      </c>
      <c r="O2344" s="152" t="s">
        <v>3665</v>
      </c>
      <c r="P2344" s="152" t="s">
        <v>3489</v>
      </c>
      <c r="Q2344" s="152" t="s">
        <v>3666</v>
      </c>
      <c r="R2344" s="152" t="s">
        <v>1515</v>
      </c>
      <c r="S2344" s="152" t="s">
        <v>3668</v>
      </c>
      <c r="T2344" s="152" t="s">
        <v>786</v>
      </c>
    </row>
    <row r="2345" spans="3:20">
      <c r="C2345" s="152" t="s">
        <v>2821</v>
      </c>
      <c r="F2345" s="152" t="s">
        <v>658</v>
      </c>
      <c r="G2345" s="152" t="s">
        <v>659</v>
      </c>
      <c r="I2345" s="513">
        <v>-2721.75</v>
      </c>
      <c r="J2345" s="513">
        <v>-1.91</v>
      </c>
      <c r="K2345" s="513">
        <v>1425</v>
      </c>
      <c r="L2345" s="518" t="s">
        <v>3504</v>
      </c>
      <c r="M2345" s="152" t="s">
        <v>780</v>
      </c>
      <c r="N2345" s="152" t="s">
        <v>1407</v>
      </c>
      <c r="O2345" s="152" t="s">
        <v>3665</v>
      </c>
      <c r="P2345" s="152" t="s">
        <v>3489</v>
      </c>
      <c r="Q2345" s="152" t="s">
        <v>3666</v>
      </c>
      <c r="R2345" s="152" t="s">
        <v>1515</v>
      </c>
      <c r="S2345" s="152" t="s">
        <v>3668</v>
      </c>
      <c r="T2345" s="152" t="s">
        <v>786</v>
      </c>
    </row>
    <row r="2346" spans="3:20">
      <c r="C2346" s="152" t="s">
        <v>2821</v>
      </c>
      <c r="F2346" s="152" t="s">
        <v>658</v>
      </c>
      <c r="G2346" s="152" t="s">
        <v>659</v>
      </c>
      <c r="I2346" s="513">
        <v>-2721.75</v>
      </c>
      <c r="J2346" s="513">
        <v>-1.91</v>
      </c>
      <c r="K2346" s="513">
        <v>1425</v>
      </c>
      <c r="L2346" s="518" t="s">
        <v>3504</v>
      </c>
      <c r="M2346" s="152" t="s">
        <v>780</v>
      </c>
      <c r="N2346" s="152" t="s">
        <v>1407</v>
      </c>
      <c r="O2346" s="152" t="s">
        <v>3665</v>
      </c>
      <c r="P2346" s="152" t="s">
        <v>3489</v>
      </c>
      <c r="Q2346" s="152" t="s">
        <v>3666</v>
      </c>
      <c r="R2346" s="152" t="s">
        <v>1515</v>
      </c>
      <c r="S2346" s="152" t="s">
        <v>3668</v>
      </c>
      <c r="T2346" s="152" t="s">
        <v>786</v>
      </c>
    </row>
    <row r="2347" spans="3:20">
      <c r="C2347" s="152" t="s">
        <v>2821</v>
      </c>
      <c r="F2347" s="152" t="s">
        <v>658</v>
      </c>
      <c r="G2347" s="152" t="s">
        <v>659</v>
      </c>
      <c r="I2347" s="513">
        <v>-2721.75</v>
      </c>
      <c r="J2347" s="513">
        <v>-1.91</v>
      </c>
      <c r="K2347" s="513">
        <v>1425</v>
      </c>
      <c r="L2347" s="518" t="s">
        <v>3504</v>
      </c>
      <c r="M2347" s="152" t="s">
        <v>780</v>
      </c>
      <c r="N2347" s="152" t="s">
        <v>1407</v>
      </c>
      <c r="O2347" s="152" t="s">
        <v>3665</v>
      </c>
      <c r="P2347" s="152" t="s">
        <v>3489</v>
      </c>
      <c r="Q2347" s="152" t="s">
        <v>3666</v>
      </c>
      <c r="R2347" s="152" t="s">
        <v>1515</v>
      </c>
      <c r="S2347" s="152" t="s">
        <v>3668</v>
      </c>
      <c r="T2347" s="152" t="s">
        <v>786</v>
      </c>
    </row>
    <row r="2348" spans="3:20">
      <c r="C2348" s="152" t="s">
        <v>2821</v>
      </c>
      <c r="F2348" s="152" t="s">
        <v>658</v>
      </c>
      <c r="G2348" s="152" t="s">
        <v>659</v>
      </c>
      <c r="I2348" s="513">
        <v>-2721.75</v>
      </c>
      <c r="J2348" s="513">
        <v>-1.91</v>
      </c>
      <c r="K2348" s="513">
        <v>1425</v>
      </c>
      <c r="L2348" s="518" t="s">
        <v>3504</v>
      </c>
      <c r="M2348" s="152" t="s">
        <v>780</v>
      </c>
      <c r="N2348" s="152" t="s">
        <v>1407</v>
      </c>
      <c r="O2348" s="152" t="s">
        <v>3665</v>
      </c>
      <c r="P2348" s="152" t="s">
        <v>3489</v>
      </c>
      <c r="Q2348" s="152" t="s">
        <v>3666</v>
      </c>
      <c r="R2348" s="152" t="s">
        <v>1515</v>
      </c>
      <c r="S2348" s="152" t="s">
        <v>3668</v>
      </c>
      <c r="T2348" s="152" t="s">
        <v>786</v>
      </c>
    </row>
    <row r="2349" spans="3:20">
      <c r="C2349" s="152" t="s">
        <v>2821</v>
      </c>
      <c r="F2349" s="152" t="s">
        <v>658</v>
      </c>
      <c r="G2349" s="152" t="s">
        <v>659</v>
      </c>
      <c r="I2349" s="513">
        <v>-2721.75</v>
      </c>
      <c r="J2349" s="513">
        <v>-1.91</v>
      </c>
      <c r="K2349" s="513">
        <v>1425</v>
      </c>
      <c r="L2349" s="518" t="s">
        <v>3504</v>
      </c>
      <c r="M2349" s="152" t="s">
        <v>780</v>
      </c>
      <c r="N2349" s="152" t="s">
        <v>1407</v>
      </c>
      <c r="O2349" s="152" t="s">
        <v>3665</v>
      </c>
      <c r="P2349" s="152" t="s">
        <v>3489</v>
      </c>
      <c r="Q2349" s="152" t="s">
        <v>3666</v>
      </c>
      <c r="R2349" s="152" t="s">
        <v>1515</v>
      </c>
      <c r="S2349" s="152" t="s">
        <v>3668</v>
      </c>
      <c r="T2349" s="152" t="s">
        <v>786</v>
      </c>
    </row>
    <row r="2350" spans="3:20">
      <c r="C2350" s="152" t="s">
        <v>2821</v>
      </c>
      <c r="F2350" s="152" t="s">
        <v>658</v>
      </c>
      <c r="G2350" s="152" t="s">
        <v>659</v>
      </c>
      <c r="I2350" s="513">
        <v>-2721.75</v>
      </c>
      <c r="J2350" s="513">
        <v>-1.91</v>
      </c>
      <c r="K2350" s="513">
        <v>1425</v>
      </c>
      <c r="L2350" s="518" t="s">
        <v>3504</v>
      </c>
      <c r="M2350" s="152" t="s">
        <v>780</v>
      </c>
      <c r="N2350" s="152" t="s">
        <v>1407</v>
      </c>
      <c r="O2350" s="152" t="s">
        <v>3665</v>
      </c>
      <c r="P2350" s="152" t="s">
        <v>3489</v>
      </c>
      <c r="Q2350" s="152" t="s">
        <v>3666</v>
      </c>
      <c r="R2350" s="152" t="s">
        <v>1515</v>
      </c>
      <c r="S2350" s="152" t="s">
        <v>3668</v>
      </c>
      <c r="T2350" s="152" t="s">
        <v>786</v>
      </c>
    </row>
    <row r="2351" spans="3:20">
      <c r="C2351" s="152" t="s">
        <v>2821</v>
      </c>
      <c r="F2351" s="152" t="s">
        <v>658</v>
      </c>
      <c r="G2351" s="152" t="s">
        <v>659</v>
      </c>
      <c r="I2351" s="513">
        <v>-2721.75</v>
      </c>
      <c r="J2351" s="513">
        <v>-1.91</v>
      </c>
      <c r="K2351" s="513">
        <v>1425</v>
      </c>
      <c r="L2351" s="518" t="s">
        <v>3504</v>
      </c>
      <c r="M2351" s="152" t="s">
        <v>780</v>
      </c>
      <c r="N2351" s="152" t="s">
        <v>1407</v>
      </c>
      <c r="O2351" s="152" t="s">
        <v>3665</v>
      </c>
      <c r="P2351" s="152" t="s">
        <v>3489</v>
      </c>
      <c r="Q2351" s="152" t="s">
        <v>3666</v>
      </c>
      <c r="R2351" s="152" t="s">
        <v>1515</v>
      </c>
      <c r="S2351" s="152" t="s">
        <v>3668</v>
      </c>
      <c r="T2351" s="152" t="s">
        <v>786</v>
      </c>
    </row>
    <row r="2352" spans="3:20">
      <c r="C2352" s="152" t="s">
        <v>2821</v>
      </c>
      <c r="F2352" s="152" t="s">
        <v>658</v>
      </c>
      <c r="G2352" s="152" t="s">
        <v>659</v>
      </c>
      <c r="I2352" s="513">
        <v>-2721.75</v>
      </c>
      <c r="J2352" s="513">
        <v>-1.91</v>
      </c>
      <c r="K2352" s="513">
        <v>1425</v>
      </c>
      <c r="L2352" s="518" t="s">
        <v>3504</v>
      </c>
      <c r="M2352" s="152" t="s">
        <v>780</v>
      </c>
      <c r="N2352" s="152" t="s">
        <v>1407</v>
      </c>
      <c r="O2352" s="152" t="s">
        <v>3665</v>
      </c>
      <c r="P2352" s="152" t="s">
        <v>3489</v>
      </c>
      <c r="Q2352" s="152" t="s">
        <v>3666</v>
      </c>
      <c r="R2352" s="152" t="s">
        <v>1515</v>
      </c>
      <c r="S2352" s="152" t="s">
        <v>3668</v>
      </c>
      <c r="T2352" s="152" t="s">
        <v>786</v>
      </c>
    </row>
    <row r="2353" spans="3:20">
      <c r="C2353" s="152" t="s">
        <v>2821</v>
      </c>
      <c r="F2353" s="152" t="s">
        <v>658</v>
      </c>
      <c r="G2353" s="152" t="s">
        <v>659</v>
      </c>
      <c r="I2353" s="513">
        <v>-2721.75</v>
      </c>
      <c r="J2353" s="513">
        <v>-1.91</v>
      </c>
      <c r="K2353" s="513">
        <v>1425</v>
      </c>
      <c r="L2353" s="518" t="s">
        <v>3504</v>
      </c>
      <c r="M2353" s="152" t="s">
        <v>780</v>
      </c>
      <c r="N2353" s="152" t="s">
        <v>1407</v>
      </c>
      <c r="O2353" s="152" t="s">
        <v>3665</v>
      </c>
      <c r="P2353" s="152" t="s">
        <v>3489</v>
      </c>
      <c r="Q2353" s="152" t="s">
        <v>3666</v>
      </c>
      <c r="R2353" s="152" t="s">
        <v>1515</v>
      </c>
      <c r="S2353" s="152" t="s">
        <v>3668</v>
      </c>
      <c r="T2353" s="152" t="s">
        <v>786</v>
      </c>
    </row>
    <row r="2354" spans="3:20">
      <c r="C2354" s="152" t="s">
        <v>2821</v>
      </c>
      <c r="F2354" s="152" t="s">
        <v>658</v>
      </c>
      <c r="G2354" s="152" t="s">
        <v>659</v>
      </c>
      <c r="I2354" s="513">
        <v>-2721.75</v>
      </c>
      <c r="J2354" s="513">
        <v>-1.91</v>
      </c>
      <c r="K2354" s="513">
        <v>1425</v>
      </c>
      <c r="L2354" s="518" t="s">
        <v>3504</v>
      </c>
      <c r="M2354" s="152" t="s">
        <v>780</v>
      </c>
      <c r="N2354" s="152" t="s">
        <v>1407</v>
      </c>
      <c r="O2354" s="152" t="s">
        <v>3665</v>
      </c>
      <c r="P2354" s="152" t="s">
        <v>3489</v>
      </c>
      <c r="Q2354" s="152" t="s">
        <v>3666</v>
      </c>
      <c r="R2354" s="152" t="s">
        <v>1515</v>
      </c>
      <c r="S2354" s="152" t="s">
        <v>3668</v>
      </c>
      <c r="T2354" s="152" t="s">
        <v>786</v>
      </c>
    </row>
    <row r="2355" spans="3:20">
      <c r="C2355" s="152" t="s">
        <v>2821</v>
      </c>
      <c r="F2355" s="152" t="s">
        <v>658</v>
      </c>
      <c r="G2355" s="152" t="s">
        <v>659</v>
      </c>
      <c r="I2355" s="513">
        <v>-2721.75</v>
      </c>
      <c r="J2355" s="513">
        <v>-1.91</v>
      </c>
      <c r="K2355" s="513">
        <v>1425</v>
      </c>
      <c r="L2355" s="518" t="s">
        <v>3504</v>
      </c>
      <c r="M2355" s="152" t="s">
        <v>780</v>
      </c>
      <c r="N2355" s="152" t="s">
        <v>1407</v>
      </c>
      <c r="O2355" s="152" t="s">
        <v>3665</v>
      </c>
      <c r="P2355" s="152" t="s">
        <v>3489</v>
      </c>
      <c r="Q2355" s="152" t="s">
        <v>3666</v>
      </c>
      <c r="R2355" s="152" t="s">
        <v>1515</v>
      </c>
      <c r="S2355" s="152" t="s">
        <v>3668</v>
      </c>
      <c r="T2355" s="152" t="s">
        <v>786</v>
      </c>
    </row>
    <row r="2356" spans="3:20">
      <c r="C2356" s="152" t="s">
        <v>2821</v>
      </c>
      <c r="F2356" s="152" t="s">
        <v>658</v>
      </c>
      <c r="G2356" s="152" t="s">
        <v>659</v>
      </c>
      <c r="I2356" s="513">
        <v>-2721.75</v>
      </c>
      <c r="J2356" s="513">
        <v>-1.91</v>
      </c>
      <c r="K2356" s="513">
        <v>1425</v>
      </c>
      <c r="L2356" s="518" t="s">
        <v>3504</v>
      </c>
      <c r="M2356" s="152" t="s">
        <v>780</v>
      </c>
      <c r="N2356" s="152" t="s">
        <v>1407</v>
      </c>
      <c r="O2356" s="152" t="s">
        <v>3665</v>
      </c>
      <c r="P2356" s="152" t="s">
        <v>3489</v>
      </c>
      <c r="Q2356" s="152" t="s">
        <v>3666</v>
      </c>
      <c r="R2356" s="152" t="s">
        <v>1515</v>
      </c>
      <c r="S2356" s="152" t="s">
        <v>3668</v>
      </c>
      <c r="T2356" s="152" t="s">
        <v>786</v>
      </c>
    </row>
    <row r="2357" spans="3:20">
      <c r="C2357" s="152" t="s">
        <v>2821</v>
      </c>
      <c r="F2357" s="152" t="s">
        <v>658</v>
      </c>
      <c r="G2357" s="152" t="s">
        <v>659</v>
      </c>
      <c r="I2357" s="513">
        <v>-2721.75</v>
      </c>
      <c r="J2357" s="513">
        <v>-1.91</v>
      </c>
      <c r="K2357" s="513">
        <v>1425</v>
      </c>
      <c r="L2357" s="518" t="s">
        <v>3504</v>
      </c>
      <c r="M2357" s="152" t="s">
        <v>780</v>
      </c>
      <c r="N2357" s="152" t="s">
        <v>1407</v>
      </c>
      <c r="O2357" s="152" t="s">
        <v>3665</v>
      </c>
      <c r="P2357" s="152" t="s">
        <v>3489</v>
      </c>
      <c r="Q2357" s="152" t="s">
        <v>3666</v>
      </c>
      <c r="R2357" s="152" t="s">
        <v>1515</v>
      </c>
      <c r="S2357" s="152" t="s">
        <v>3668</v>
      </c>
      <c r="T2357" s="152" t="s">
        <v>786</v>
      </c>
    </row>
    <row r="2358" spans="3:20">
      <c r="C2358" s="152" t="s">
        <v>2821</v>
      </c>
      <c r="F2358" s="152" t="s">
        <v>658</v>
      </c>
      <c r="G2358" s="152" t="s">
        <v>659</v>
      </c>
      <c r="I2358" s="513">
        <v>-2664.9</v>
      </c>
      <c r="J2358" s="513">
        <v>-1.89</v>
      </c>
      <c r="K2358" s="513">
        <v>1410</v>
      </c>
      <c r="L2358" s="518" t="s">
        <v>3498</v>
      </c>
      <c r="M2358" s="152" t="s">
        <v>780</v>
      </c>
      <c r="N2358" s="152" t="s">
        <v>1407</v>
      </c>
      <c r="O2358" s="152" t="s">
        <v>3522</v>
      </c>
      <c r="P2358" s="152" t="s">
        <v>3489</v>
      </c>
      <c r="Q2358" s="152" t="s">
        <v>3523</v>
      </c>
      <c r="R2358" s="152" t="s">
        <v>1515</v>
      </c>
      <c r="S2358" s="152" t="s">
        <v>3525</v>
      </c>
      <c r="T2358" s="152" t="s">
        <v>786</v>
      </c>
    </row>
    <row r="2359" spans="3:20">
      <c r="C2359" s="152" t="s">
        <v>2821</v>
      </c>
      <c r="F2359" s="152" t="s">
        <v>658</v>
      </c>
      <c r="G2359" s="152" t="s">
        <v>659</v>
      </c>
      <c r="I2359" s="513">
        <v>-2664.9</v>
      </c>
      <c r="J2359" s="513">
        <v>-1.89</v>
      </c>
      <c r="K2359" s="513">
        <v>1410</v>
      </c>
      <c r="L2359" s="518" t="s">
        <v>3498</v>
      </c>
      <c r="M2359" s="152" t="s">
        <v>780</v>
      </c>
      <c r="N2359" s="152" t="s">
        <v>1407</v>
      </c>
      <c r="O2359" s="152" t="s">
        <v>3522</v>
      </c>
      <c r="P2359" s="152" t="s">
        <v>3489</v>
      </c>
      <c r="Q2359" s="152" t="s">
        <v>3523</v>
      </c>
      <c r="R2359" s="152" t="s">
        <v>1515</v>
      </c>
      <c r="S2359" s="152" t="s">
        <v>3525</v>
      </c>
      <c r="T2359" s="152" t="s">
        <v>786</v>
      </c>
    </row>
    <row r="2360" spans="3:20">
      <c r="C2360" s="152" t="s">
        <v>2821</v>
      </c>
      <c r="F2360" s="152" t="s">
        <v>658</v>
      </c>
      <c r="G2360" s="152" t="s">
        <v>659</v>
      </c>
      <c r="I2360" s="513">
        <v>-2664.9</v>
      </c>
      <c r="J2360" s="513">
        <v>-1.89</v>
      </c>
      <c r="K2360" s="513">
        <v>1410</v>
      </c>
      <c r="L2360" s="518" t="s">
        <v>3498</v>
      </c>
      <c r="M2360" s="152" t="s">
        <v>780</v>
      </c>
      <c r="N2360" s="152" t="s">
        <v>1407</v>
      </c>
      <c r="O2360" s="152" t="s">
        <v>3522</v>
      </c>
      <c r="P2360" s="152" t="s">
        <v>3489</v>
      </c>
      <c r="Q2360" s="152" t="s">
        <v>3523</v>
      </c>
      <c r="R2360" s="152" t="s">
        <v>1515</v>
      </c>
      <c r="S2360" s="152" t="s">
        <v>3525</v>
      </c>
      <c r="T2360" s="152" t="s">
        <v>786</v>
      </c>
    </row>
    <row r="2361" spans="3:20">
      <c r="C2361" s="152" t="s">
        <v>2821</v>
      </c>
      <c r="F2361" s="152" t="s">
        <v>658</v>
      </c>
      <c r="G2361" s="152" t="s">
        <v>659</v>
      </c>
      <c r="I2361" s="513">
        <v>-2664.9</v>
      </c>
      <c r="J2361" s="513">
        <v>-1.89</v>
      </c>
      <c r="K2361" s="513">
        <v>1410</v>
      </c>
      <c r="L2361" s="518" t="s">
        <v>3498</v>
      </c>
      <c r="M2361" s="152" t="s">
        <v>780</v>
      </c>
      <c r="N2361" s="152" t="s">
        <v>1407</v>
      </c>
      <c r="O2361" s="152" t="s">
        <v>3522</v>
      </c>
      <c r="P2361" s="152" t="s">
        <v>3489</v>
      </c>
      <c r="Q2361" s="152" t="s">
        <v>3523</v>
      </c>
      <c r="R2361" s="152" t="s">
        <v>1515</v>
      </c>
      <c r="S2361" s="152" t="s">
        <v>3525</v>
      </c>
      <c r="T2361" s="152" t="s">
        <v>786</v>
      </c>
    </row>
    <row r="2362" spans="3:20">
      <c r="C2362" s="152" t="s">
        <v>2821</v>
      </c>
      <c r="F2362" s="152" t="s">
        <v>658</v>
      </c>
      <c r="G2362" s="152" t="s">
        <v>659</v>
      </c>
      <c r="I2362" s="513">
        <v>-2664.9</v>
      </c>
      <c r="J2362" s="513">
        <v>-1.89</v>
      </c>
      <c r="K2362" s="513">
        <v>1410</v>
      </c>
      <c r="L2362" s="518" t="s">
        <v>3498</v>
      </c>
      <c r="M2362" s="152" t="s">
        <v>780</v>
      </c>
      <c r="N2362" s="152" t="s">
        <v>1407</v>
      </c>
      <c r="O2362" s="152" t="s">
        <v>3522</v>
      </c>
      <c r="P2362" s="152" t="s">
        <v>3489</v>
      </c>
      <c r="Q2362" s="152" t="s">
        <v>3523</v>
      </c>
      <c r="R2362" s="152" t="s">
        <v>1515</v>
      </c>
      <c r="S2362" s="152" t="s">
        <v>3525</v>
      </c>
      <c r="T2362" s="152" t="s">
        <v>786</v>
      </c>
    </row>
    <row r="2363" spans="3:20">
      <c r="C2363" s="152" t="s">
        <v>2821</v>
      </c>
      <c r="F2363" s="152" t="s">
        <v>658</v>
      </c>
      <c r="G2363" s="152" t="s">
        <v>659</v>
      </c>
      <c r="I2363" s="513">
        <v>-2664.9</v>
      </c>
      <c r="J2363" s="513">
        <v>-1.89</v>
      </c>
      <c r="K2363" s="513">
        <v>1410</v>
      </c>
      <c r="L2363" s="518" t="s">
        <v>3498</v>
      </c>
      <c r="M2363" s="152" t="s">
        <v>780</v>
      </c>
      <c r="N2363" s="152" t="s">
        <v>1407</v>
      </c>
      <c r="O2363" s="152" t="s">
        <v>3522</v>
      </c>
      <c r="P2363" s="152" t="s">
        <v>3489</v>
      </c>
      <c r="Q2363" s="152" t="s">
        <v>3523</v>
      </c>
      <c r="R2363" s="152" t="s">
        <v>1515</v>
      </c>
      <c r="S2363" s="152" t="s">
        <v>3525</v>
      </c>
      <c r="T2363" s="152" t="s">
        <v>786</v>
      </c>
    </row>
    <row r="2364" spans="3:20">
      <c r="C2364" s="152" t="s">
        <v>2821</v>
      </c>
      <c r="F2364" s="152" t="s">
        <v>658</v>
      </c>
      <c r="G2364" s="152" t="s">
        <v>659</v>
      </c>
      <c r="I2364" s="513">
        <v>-2664.9</v>
      </c>
      <c r="J2364" s="513">
        <v>-1.89</v>
      </c>
      <c r="K2364" s="513">
        <v>1410</v>
      </c>
      <c r="L2364" s="518" t="s">
        <v>3498</v>
      </c>
      <c r="M2364" s="152" t="s">
        <v>780</v>
      </c>
      <c r="N2364" s="152" t="s">
        <v>1407</v>
      </c>
      <c r="O2364" s="152" t="s">
        <v>3522</v>
      </c>
      <c r="P2364" s="152" t="s">
        <v>3489</v>
      </c>
      <c r="Q2364" s="152" t="s">
        <v>3523</v>
      </c>
      <c r="R2364" s="152" t="s">
        <v>1515</v>
      </c>
      <c r="S2364" s="152" t="s">
        <v>3525</v>
      </c>
      <c r="T2364" s="152" t="s">
        <v>786</v>
      </c>
    </row>
    <row r="2365" spans="3:20">
      <c r="C2365" s="152" t="s">
        <v>2821</v>
      </c>
      <c r="F2365" s="152" t="s">
        <v>658</v>
      </c>
      <c r="G2365" s="152" t="s">
        <v>659</v>
      </c>
      <c r="I2365" s="513">
        <v>-2664.9</v>
      </c>
      <c r="J2365" s="513">
        <v>-1.89</v>
      </c>
      <c r="K2365" s="513">
        <v>1410</v>
      </c>
      <c r="L2365" s="518" t="s">
        <v>3498</v>
      </c>
      <c r="M2365" s="152" t="s">
        <v>780</v>
      </c>
      <c r="N2365" s="152" t="s">
        <v>1407</v>
      </c>
      <c r="O2365" s="152" t="s">
        <v>3522</v>
      </c>
      <c r="P2365" s="152" t="s">
        <v>3489</v>
      </c>
      <c r="Q2365" s="152" t="s">
        <v>3523</v>
      </c>
      <c r="R2365" s="152" t="s">
        <v>1515</v>
      </c>
      <c r="S2365" s="152" t="s">
        <v>3525</v>
      </c>
      <c r="T2365" s="152" t="s">
        <v>786</v>
      </c>
    </row>
    <row r="2366" spans="3:20">
      <c r="C2366" s="152" t="s">
        <v>2821</v>
      </c>
      <c r="F2366" s="152" t="s">
        <v>658</v>
      </c>
      <c r="G2366" s="152" t="s">
        <v>659</v>
      </c>
      <c r="I2366" s="513">
        <v>-2664.9</v>
      </c>
      <c r="J2366" s="513">
        <v>-1.89</v>
      </c>
      <c r="K2366" s="513">
        <v>1410</v>
      </c>
      <c r="L2366" s="518" t="s">
        <v>3498</v>
      </c>
      <c r="M2366" s="152" t="s">
        <v>780</v>
      </c>
      <c r="N2366" s="152" t="s">
        <v>1407</v>
      </c>
      <c r="O2366" s="152" t="s">
        <v>3522</v>
      </c>
      <c r="P2366" s="152" t="s">
        <v>3489</v>
      </c>
      <c r="Q2366" s="152" t="s">
        <v>3523</v>
      </c>
      <c r="R2366" s="152" t="s">
        <v>1515</v>
      </c>
      <c r="S2366" s="152" t="s">
        <v>3525</v>
      </c>
      <c r="T2366" s="152" t="s">
        <v>786</v>
      </c>
    </row>
    <row r="2367" spans="3:20">
      <c r="C2367" s="152" t="s">
        <v>2821</v>
      </c>
      <c r="F2367" s="152" t="s">
        <v>658</v>
      </c>
      <c r="G2367" s="152" t="s">
        <v>659</v>
      </c>
      <c r="I2367" s="513">
        <v>-2688.5</v>
      </c>
      <c r="J2367" s="513">
        <v>-1.9</v>
      </c>
      <c r="K2367" s="513">
        <v>1415</v>
      </c>
      <c r="L2367" s="518" t="s">
        <v>3498</v>
      </c>
      <c r="M2367" s="152" t="s">
        <v>780</v>
      </c>
      <c r="N2367" s="152" t="s">
        <v>1407</v>
      </c>
      <c r="O2367" s="152" t="s">
        <v>3522</v>
      </c>
      <c r="P2367" s="152" t="s">
        <v>3489</v>
      </c>
      <c r="Q2367" s="152" t="s">
        <v>3523</v>
      </c>
      <c r="R2367" s="152" t="s">
        <v>1515</v>
      </c>
      <c r="S2367" s="152" t="s">
        <v>3525</v>
      </c>
      <c r="T2367" s="152" t="s">
        <v>786</v>
      </c>
    </row>
    <row r="2368" spans="3:20">
      <c r="C2368" s="152" t="s">
        <v>2821</v>
      </c>
      <c r="F2368" s="152" t="s">
        <v>658</v>
      </c>
      <c r="G2368" s="152" t="s">
        <v>659</v>
      </c>
      <c r="I2368" s="513">
        <v>-2664.9</v>
      </c>
      <c r="J2368" s="513">
        <v>-1.89</v>
      </c>
      <c r="K2368" s="513">
        <v>1410</v>
      </c>
      <c r="L2368" s="518" t="s">
        <v>3498</v>
      </c>
      <c r="M2368" s="152" t="s">
        <v>780</v>
      </c>
      <c r="N2368" s="152" t="s">
        <v>1407</v>
      </c>
      <c r="O2368" s="152" t="s">
        <v>3522</v>
      </c>
      <c r="P2368" s="152" t="s">
        <v>3489</v>
      </c>
      <c r="Q2368" s="152" t="s">
        <v>3523</v>
      </c>
      <c r="R2368" s="152" t="s">
        <v>1515</v>
      </c>
      <c r="S2368" s="152" t="s">
        <v>3525</v>
      </c>
      <c r="T2368" s="152" t="s">
        <v>786</v>
      </c>
    </row>
    <row r="2369" spans="3:20">
      <c r="C2369" s="152" t="s">
        <v>2821</v>
      </c>
      <c r="F2369" s="152" t="s">
        <v>658</v>
      </c>
      <c r="G2369" s="152" t="s">
        <v>659</v>
      </c>
      <c r="I2369" s="513">
        <v>-2664.9</v>
      </c>
      <c r="J2369" s="513">
        <v>-1.89</v>
      </c>
      <c r="K2369" s="513">
        <v>1410</v>
      </c>
      <c r="L2369" s="518" t="s">
        <v>3498</v>
      </c>
      <c r="M2369" s="152" t="s">
        <v>780</v>
      </c>
      <c r="N2369" s="152" t="s">
        <v>1407</v>
      </c>
      <c r="O2369" s="152" t="s">
        <v>3522</v>
      </c>
      <c r="P2369" s="152" t="s">
        <v>3489</v>
      </c>
      <c r="Q2369" s="152" t="s">
        <v>3523</v>
      </c>
      <c r="R2369" s="152" t="s">
        <v>1515</v>
      </c>
      <c r="S2369" s="152" t="s">
        <v>3525</v>
      </c>
      <c r="T2369" s="152" t="s">
        <v>786</v>
      </c>
    </row>
    <row r="2370" spans="3:20">
      <c r="C2370" s="152" t="s">
        <v>2821</v>
      </c>
      <c r="F2370" s="152" t="s">
        <v>658</v>
      </c>
      <c r="G2370" s="152" t="s">
        <v>659</v>
      </c>
      <c r="I2370" s="513">
        <v>-2664.9</v>
      </c>
      <c r="J2370" s="513">
        <v>-1.89</v>
      </c>
      <c r="K2370" s="513">
        <v>1410</v>
      </c>
      <c r="L2370" s="518" t="s">
        <v>3498</v>
      </c>
      <c r="M2370" s="152" t="s">
        <v>780</v>
      </c>
      <c r="N2370" s="152" t="s">
        <v>1407</v>
      </c>
      <c r="O2370" s="152" t="s">
        <v>3522</v>
      </c>
      <c r="P2370" s="152" t="s">
        <v>3489</v>
      </c>
      <c r="Q2370" s="152" t="s">
        <v>3523</v>
      </c>
      <c r="R2370" s="152" t="s">
        <v>1515</v>
      </c>
      <c r="S2370" s="152" t="s">
        <v>3525</v>
      </c>
      <c r="T2370" s="152" t="s">
        <v>786</v>
      </c>
    </row>
    <row r="2371" spans="3:20">
      <c r="C2371" s="152" t="s">
        <v>2821</v>
      </c>
      <c r="F2371" s="152" t="s">
        <v>658</v>
      </c>
      <c r="G2371" s="152" t="s">
        <v>659</v>
      </c>
      <c r="I2371" s="513">
        <v>-2664.9</v>
      </c>
      <c r="J2371" s="513">
        <v>-1.89</v>
      </c>
      <c r="K2371" s="513">
        <v>1410</v>
      </c>
      <c r="L2371" s="518" t="s">
        <v>3498</v>
      </c>
      <c r="M2371" s="152" t="s">
        <v>780</v>
      </c>
      <c r="N2371" s="152" t="s">
        <v>1407</v>
      </c>
      <c r="O2371" s="152" t="s">
        <v>3522</v>
      </c>
      <c r="P2371" s="152" t="s">
        <v>3489</v>
      </c>
      <c r="Q2371" s="152" t="s">
        <v>3523</v>
      </c>
      <c r="R2371" s="152" t="s">
        <v>1515</v>
      </c>
      <c r="S2371" s="152" t="s">
        <v>3525</v>
      </c>
      <c r="T2371" s="152" t="s">
        <v>786</v>
      </c>
    </row>
    <row r="2372" spans="3:20">
      <c r="C2372" s="152" t="s">
        <v>2821</v>
      </c>
      <c r="F2372" s="152" t="s">
        <v>658</v>
      </c>
      <c r="G2372" s="152" t="s">
        <v>659</v>
      </c>
      <c r="I2372" s="513">
        <v>-2664.9</v>
      </c>
      <c r="J2372" s="513">
        <v>-1.89</v>
      </c>
      <c r="K2372" s="513">
        <v>1410</v>
      </c>
      <c r="L2372" s="518" t="s">
        <v>3498</v>
      </c>
      <c r="M2372" s="152" t="s">
        <v>780</v>
      </c>
      <c r="N2372" s="152" t="s">
        <v>1407</v>
      </c>
      <c r="O2372" s="152" t="s">
        <v>3522</v>
      </c>
      <c r="P2372" s="152" t="s">
        <v>3489</v>
      </c>
      <c r="Q2372" s="152" t="s">
        <v>3523</v>
      </c>
      <c r="R2372" s="152" t="s">
        <v>1515</v>
      </c>
      <c r="S2372" s="152" t="s">
        <v>3525</v>
      </c>
      <c r="T2372" s="152" t="s">
        <v>786</v>
      </c>
    </row>
    <row r="2373" spans="3:20">
      <c r="C2373" s="152" t="s">
        <v>2821</v>
      </c>
      <c r="F2373" s="152" t="s">
        <v>658</v>
      </c>
      <c r="G2373" s="152" t="s">
        <v>659</v>
      </c>
      <c r="I2373" s="513">
        <v>-2664.9</v>
      </c>
      <c r="J2373" s="513">
        <v>-1.89</v>
      </c>
      <c r="K2373" s="513">
        <v>1410</v>
      </c>
      <c r="L2373" s="518" t="s">
        <v>3498</v>
      </c>
      <c r="M2373" s="152" t="s">
        <v>780</v>
      </c>
      <c r="N2373" s="152" t="s">
        <v>1407</v>
      </c>
      <c r="O2373" s="152" t="s">
        <v>3522</v>
      </c>
      <c r="P2373" s="152" t="s">
        <v>3489</v>
      </c>
      <c r="Q2373" s="152" t="s">
        <v>3523</v>
      </c>
      <c r="R2373" s="152" t="s">
        <v>1515</v>
      </c>
      <c r="S2373" s="152" t="s">
        <v>3525</v>
      </c>
      <c r="T2373" s="152" t="s">
        <v>786</v>
      </c>
    </row>
    <row r="2374" spans="3:20">
      <c r="C2374" s="152" t="s">
        <v>2821</v>
      </c>
      <c r="F2374" s="152" t="s">
        <v>658</v>
      </c>
      <c r="G2374" s="152" t="s">
        <v>659</v>
      </c>
      <c r="I2374" s="513">
        <v>-2744</v>
      </c>
      <c r="J2374" s="513">
        <v>-1.96</v>
      </c>
      <c r="K2374" s="513">
        <v>1400</v>
      </c>
      <c r="L2374" s="518" t="s">
        <v>3659</v>
      </c>
      <c r="M2374" s="152" t="s">
        <v>780</v>
      </c>
      <c r="N2374" s="152" t="s">
        <v>1407</v>
      </c>
      <c r="O2374" s="152" t="s">
        <v>3660</v>
      </c>
      <c r="P2374" s="152" t="s">
        <v>3489</v>
      </c>
      <c r="Q2374" s="152" t="s">
        <v>3661</v>
      </c>
      <c r="R2374" s="152" t="s">
        <v>1515</v>
      </c>
      <c r="S2374" s="152" t="s">
        <v>3663</v>
      </c>
      <c r="T2374" s="152" t="s">
        <v>786</v>
      </c>
    </row>
    <row r="2375" spans="3:20">
      <c r="C2375" s="152" t="s">
        <v>2821</v>
      </c>
      <c r="F2375" s="152" t="s">
        <v>658</v>
      </c>
      <c r="G2375" s="152" t="s">
        <v>659</v>
      </c>
      <c r="I2375" s="513">
        <v>-2758</v>
      </c>
      <c r="J2375" s="513">
        <v>-1.97</v>
      </c>
      <c r="K2375" s="513">
        <v>1400</v>
      </c>
      <c r="L2375" s="518" t="s">
        <v>3659</v>
      </c>
      <c r="M2375" s="152" t="s">
        <v>780</v>
      </c>
      <c r="N2375" s="152" t="s">
        <v>1407</v>
      </c>
      <c r="O2375" s="152" t="s">
        <v>3660</v>
      </c>
      <c r="P2375" s="152" t="s">
        <v>3489</v>
      </c>
      <c r="Q2375" s="152" t="s">
        <v>3661</v>
      </c>
      <c r="R2375" s="152" t="s">
        <v>1515</v>
      </c>
      <c r="S2375" s="152" t="s">
        <v>3663</v>
      </c>
      <c r="T2375" s="152" t="s">
        <v>786</v>
      </c>
    </row>
    <row r="2376" spans="3:20">
      <c r="C2376" s="152" t="s">
        <v>2821</v>
      </c>
      <c r="F2376" s="152" t="s">
        <v>658</v>
      </c>
      <c r="G2376" s="152" t="s">
        <v>659</v>
      </c>
      <c r="I2376" s="513">
        <v>-2758</v>
      </c>
      <c r="J2376" s="513">
        <v>-1.97</v>
      </c>
      <c r="K2376" s="513">
        <v>1400</v>
      </c>
      <c r="L2376" s="518" t="s">
        <v>3659</v>
      </c>
      <c r="M2376" s="152" t="s">
        <v>780</v>
      </c>
      <c r="N2376" s="152" t="s">
        <v>1407</v>
      </c>
      <c r="O2376" s="152" t="s">
        <v>3660</v>
      </c>
      <c r="P2376" s="152" t="s">
        <v>3489</v>
      </c>
      <c r="Q2376" s="152" t="s">
        <v>3661</v>
      </c>
      <c r="R2376" s="152" t="s">
        <v>1515</v>
      </c>
      <c r="S2376" s="152" t="s">
        <v>3663</v>
      </c>
      <c r="T2376" s="152" t="s">
        <v>786</v>
      </c>
    </row>
    <row r="2377" spans="3:20">
      <c r="C2377" s="152" t="s">
        <v>2821</v>
      </c>
      <c r="F2377" s="152" t="s">
        <v>658</v>
      </c>
      <c r="G2377" s="152" t="s">
        <v>659</v>
      </c>
      <c r="I2377" s="513">
        <v>-2744</v>
      </c>
      <c r="J2377" s="513">
        <v>-1.96</v>
      </c>
      <c r="K2377" s="513">
        <v>1400</v>
      </c>
      <c r="L2377" s="518" t="s">
        <v>3659</v>
      </c>
      <c r="M2377" s="152" t="s">
        <v>780</v>
      </c>
      <c r="N2377" s="152" t="s">
        <v>1407</v>
      </c>
      <c r="O2377" s="152" t="s">
        <v>3660</v>
      </c>
      <c r="P2377" s="152" t="s">
        <v>3489</v>
      </c>
      <c r="Q2377" s="152" t="s">
        <v>3661</v>
      </c>
      <c r="R2377" s="152" t="s">
        <v>1515</v>
      </c>
      <c r="S2377" s="152" t="s">
        <v>3663</v>
      </c>
      <c r="T2377" s="152" t="s">
        <v>786</v>
      </c>
    </row>
    <row r="2378" spans="3:20">
      <c r="C2378" s="152" t="s">
        <v>2821</v>
      </c>
      <c r="F2378" s="152" t="s">
        <v>658</v>
      </c>
      <c r="G2378" s="152" t="s">
        <v>659</v>
      </c>
      <c r="I2378" s="513">
        <v>-2744</v>
      </c>
      <c r="J2378" s="513">
        <v>-1.96</v>
      </c>
      <c r="K2378" s="513">
        <v>1400</v>
      </c>
      <c r="L2378" s="518" t="s">
        <v>3659</v>
      </c>
      <c r="M2378" s="152" t="s">
        <v>780</v>
      </c>
      <c r="N2378" s="152" t="s">
        <v>1407</v>
      </c>
      <c r="O2378" s="152" t="s">
        <v>3660</v>
      </c>
      <c r="P2378" s="152" t="s">
        <v>3489</v>
      </c>
      <c r="Q2378" s="152" t="s">
        <v>3661</v>
      </c>
      <c r="R2378" s="152" t="s">
        <v>1515</v>
      </c>
      <c r="S2378" s="152" t="s">
        <v>3663</v>
      </c>
      <c r="T2378" s="152" t="s">
        <v>786</v>
      </c>
    </row>
    <row r="2379" spans="3:20">
      <c r="C2379" s="152" t="s">
        <v>2821</v>
      </c>
      <c r="F2379" s="152" t="s">
        <v>658</v>
      </c>
      <c r="G2379" s="152" t="s">
        <v>659</v>
      </c>
      <c r="I2379" s="513">
        <v>-2744</v>
      </c>
      <c r="J2379" s="513">
        <v>-1.96</v>
      </c>
      <c r="K2379" s="513">
        <v>1400</v>
      </c>
      <c r="L2379" s="518" t="s">
        <v>3659</v>
      </c>
      <c r="M2379" s="152" t="s">
        <v>780</v>
      </c>
      <c r="N2379" s="152" t="s">
        <v>1407</v>
      </c>
      <c r="O2379" s="152" t="s">
        <v>3660</v>
      </c>
      <c r="P2379" s="152" t="s">
        <v>3489</v>
      </c>
      <c r="Q2379" s="152" t="s">
        <v>3661</v>
      </c>
      <c r="R2379" s="152" t="s">
        <v>1515</v>
      </c>
      <c r="S2379" s="152" t="s">
        <v>3663</v>
      </c>
      <c r="T2379" s="152" t="s">
        <v>786</v>
      </c>
    </row>
    <row r="2380" spans="3:20">
      <c r="C2380" s="152" t="s">
        <v>2821</v>
      </c>
      <c r="F2380" s="152" t="s">
        <v>658</v>
      </c>
      <c r="G2380" s="152" t="s">
        <v>659</v>
      </c>
      <c r="I2380" s="513">
        <v>-2759.25</v>
      </c>
      <c r="J2380" s="513">
        <v>-1.95</v>
      </c>
      <c r="K2380" s="513">
        <v>1415</v>
      </c>
      <c r="L2380" s="518" t="s">
        <v>3632</v>
      </c>
      <c r="M2380" s="152" t="s">
        <v>780</v>
      </c>
      <c r="N2380" s="152" t="s">
        <v>1407</v>
      </c>
      <c r="O2380" s="152" t="s">
        <v>3673</v>
      </c>
      <c r="P2380" s="152" t="s">
        <v>3489</v>
      </c>
      <c r="Q2380" s="152" t="s">
        <v>3674</v>
      </c>
      <c r="R2380" s="152" t="s">
        <v>1515</v>
      </c>
      <c r="S2380" s="152" t="s">
        <v>3676</v>
      </c>
      <c r="T2380" s="152" t="s">
        <v>786</v>
      </c>
    </row>
    <row r="2381" spans="3:20">
      <c r="C2381" s="152" t="s">
        <v>2821</v>
      </c>
      <c r="F2381" s="152" t="s">
        <v>658</v>
      </c>
      <c r="G2381" s="152" t="s">
        <v>659</v>
      </c>
      <c r="I2381" s="513">
        <v>-2759.25</v>
      </c>
      <c r="J2381" s="513">
        <v>-1.95</v>
      </c>
      <c r="K2381" s="513">
        <v>1415</v>
      </c>
      <c r="L2381" s="518" t="s">
        <v>3632</v>
      </c>
      <c r="M2381" s="152" t="s">
        <v>780</v>
      </c>
      <c r="N2381" s="152" t="s">
        <v>1407</v>
      </c>
      <c r="O2381" s="152" t="s">
        <v>3673</v>
      </c>
      <c r="P2381" s="152" t="s">
        <v>3489</v>
      </c>
      <c r="Q2381" s="152" t="s">
        <v>3674</v>
      </c>
      <c r="R2381" s="152" t="s">
        <v>1515</v>
      </c>
      <c r="S2381" s="152" t="s">
        <v>3676</v>
      </c>
      <c r="T2381" s="152" t="s">
        <v>786</v>
      </c>
    </row>
    <row r="2382" spans="3:20">
      <c r="C2382" s="152" t="s">
        <v>2821</v>
      </c>
      <c r="F2382" s="152" t="s">
        <v>658</v>
      </c>
      <c r="G2382" s="152" t="s">
        <v>659</v>
      </c>
      <c r="I2382" s="513">
        <v>-2759.25</v>
      </c>
      <c r="J2382" s="513">
        <v>-1.95</v>
      </c>
      <c r="K2382" s="513">
        <v>1415</v>
      </c>
      <c r="L2382" s="518" t="s">
        <v>3632</v>
      </c>
      <c r="M2382" s="152" t="s">
        <v>780</v>
      </c>
      <c r="N2382" s="152" t="s">
        <v>1407</v>
      </c>
      <c r="O2382" s="152" t="s">
        <v>3673</v>
      </c>
      <c r="P2382" s="152" t="s">
        <v>3489</v>
      </c>
      <c r="Q2382" s="152" t="s">
        <v>3674</v>
      </c>
      <c r="R2382" s="152" t="s">
        <v>1515</v>
      </c>
      <c r="S2382" s="152" t="s">
        <v>3676</v>
      </c>
      <c r="T2382" s="152" t="s">
        <v>786</v>
      </c>
    </row>
    <row r="2383" spans="3:20">
      <c r="C2383" s="152" t="s">
        <v>2821</v>
      </c>
      <c r="F2383" s="152" t="s">
        <v>658</v>
      </c>
      <c r="G2383" s="152" t="s">
        <v>659</v>
      </c>
      <c r="I2383" s="513">
        <v>-2759.25</v>
      </c>
      <c r="J2383" s="513">
        <v>-1.95</v>
      </c>
      <c r="K2383" s="513">
        <v>1415</v>
      </c>
      <c r="L2383" s="518" t="s">
        <v>3632</v>
      </c>
      <c r="M2383" s="152" t="s">
        <v>780</v>
      </c>
      <c r="N2383" s="152" t="s">
        <v>1407</v>
      </c>
      <c r="O2383" s="152" t="s">
        <v>3673</v>
      </c>
      <c r="P2383" s="152" t="s">
        <v>3489</v>
      </c>
      <c r="Q2383" s="152" t="s">
        <v>3674</v>
      </c>
      <c r="R2383" s="152" t="s">
        <v>1515</v>
      </c>
      <c r="S2383" s="152" t="s">
        <v>3676</v>
      </c>
      <c r="T2383" s="152" t="s">
        <v>786</v>
      </c>
    </row>
    <row r="2384" spans="3:20">
      <c r="C2384" s="152" t="s">
        <v>2821</v>
      </c>
      <c r="F2384" s="152" t="s">
        <v>658</v>
      </c>
      <c r="G2384" s="152" t="s">
        <v>659</v>
      </c>
      <c r="I2384" s="513">
        <v>-2759.25</v>
      </c>
      <c r="J2384" s="513">
        <v>-1.95</v>
      </c>
      <c r="K2384" s="513">
        <v>1415</v>
      </c>
      <c r="L2384" s="518" t="s">
        <v>3632</v>
      </c>
      <c r="M2384" s="152" t="s">
        <v>780</v>
      </c>
      <c r="N2384" s="152" t="s">
        <v>1407</v>
      </c>
      <c r="O2384" s="152" t="s">
        <v>3673</v>
      </c>
      <c r="P2384" s="152" t="s">
        <v>3489</v>
      </c>
      <c r="Q2384" s="152" t="s">
        <v>3674</v>
      </c>
      <c r="R2384" s="152" t="s">
        <v>1515</v>
      </c>
      <c r="S2384" s="152" t="s">
        <v>3676</v>
      </c>
      <c r="T2384" s="152" t="s">
        <v>786</v>
      </c>
    </row>
    <row r="2385" spans="3:20">
      <c r="C2385" s="152" t="s">
        <v>2821</v>
      </c>
      <c r="F2385" s="152" t="s">
        <v>658</v>
      </c>
      <c r="G2385" s="152" t="s">
        <v>659</v>
      </c>
      <c r="I2385" s="513">
        <v>-2759.25</v>
      </c>
      <c r="J2385" s="513">
        <v>-1.95</v>
      </c>
      <c r="K2385" s="513">
        <v>1415</v>
      </c>
      <c r="L2385" s="518" t="s">
        <v>3632</v>
      </c>
      <c r="M2385" s="152" t="s">
        <v>780</v>
      </c>
      <c r="N2385" s="152" t="s">
        <v>1407</v>
      </c>
      <c r="O2385" s="152" t="s">
        <v>3673</v>
      </c>
      <c r="P2385" s="152" t="s">
        <v>3489</v>
      </c>
      <c r="Q2385" s="152" t="s">
        <v>3674</v>
      </c>
      <c r="R2385" s="152" t="s">
        <v>1515</v>
      </c>
      <c r="S2385" s="152" t="s">
        <v>3676</v>
      </c>
      <c r="T2385" s="152" t="s">
        <v>786</v>
      </c>
    </row>
    <row r="2386" spans="3:20">
      <c r="C2386" s="152" t="s">
        <v>2821</v>
      </c>
      <c r="F2386" s="152" t="s">
        <v>658</v>
      </c>
      <c r="G2386" s="152" t="s">
        <v>659</v>
      </c>
      <c r="I2386" s="513">
        <v>-2759.25</v>
      </c>
      <c r="J2386" s="513">
        <v>-1.95</v>
      </c>
      <c r="K2386" s="513">
        <v>1415</v>
      </c>
      <c r="L2386" s="518" t="s">
        <v>3632</v>
      </c>
      <c r="M2386" s="152" t="s">
        <v>780</v>
      </c>
      <c r="N2386" s="152" t="s">
        <v>1407</v>
      </c>
      <c r="O2386" s="152" t="s">
        <v>3673</v>
      </c>
      <c r="P2386" s="152" t="s">
        <v>3489</v>
      </c>
      <c r="Q2386" s="152" t="s">
        <v>3674</v>
      </c>
      <c r="R2386" s="152" t="s">
        <v>1515</v>
      </c>
      <c r="S2386" s="152" t="s">
        <v>3676</v>
      </c>
      <c r="T2386" s="152" t="s">
        <v>786</v>
      </c>
    </row>
    <row r="2387" spans="3:20">
      <c r="C2387" s="152" t="s">
        <v>2821</v>
      </c>
      <c r="F2387" s="152" t="s">
        <v>658</v>
      </c>
      <c r="G2387" s="152" t="s">
        <v>659</v>
      </c>
      <c r="I2387" s="513">
        <v>-2759.25</v>
      </c>
      <c r="J2387" s="513">
        <v>-1.95</v>
      </c>
      <c r="K2387" s="513">
        <v>1415</v>
      </c>
      <c r="L2387" s="518" t="s">
        <v>3632</v>
      </c>
      <c r="M2387" s="152" t="s">
        <v>780</v>
      </c>
      <c r="N2387" s="152" t="s">
        <v>1407</v>
      </c>
      <c r="O2387" s="152" t="s">
        <v>3673</v>
      </c>
      <c r="P2387" s="152" t="s">
        <v>3489</v>
      </c>
      <c r="Q2387" s="152" t="s">
        <v>3674</v>
      </c>
      <c r="R2387" s="152" t="s">
        <v>1515</v>
      </c>
      <c r="S2387" s="152" t="s">
        <v>3676</v>
      </c>
      <c r="T2387" s="152" t="s">
        <v>786</v>
      </c>
    </row>
    <row r="2388" spans="3:20">
      <c r="C2388" s="152" t="s">
        <v>2821</v>
      </c>
      <c r="F2388" s="152" t="s">
        <v>658</v>
      </c>
      <c r="G2388" s="152" t="s">
        <v>659</v>
      </c>
      <c r="I2388" s="513">
        <v>-2759.25</v>
      </c>
      <c r="J2388" s="513">
        <v>-1.95</v>
      </c>
      <c r="K2388" s="513">
        <v>1415</v>
      </c>
      <c r="L2388" s="518" t="s">
        <v>3632</v>
      </c>
      <c r="M2388" s="152" t="s">
        <v>780</v>
      </c>
      <c r="N2388" s="152" t="s">
        <v>1407</v>
      </c>
      <c r="O2388" s="152" t="s">
        <v>3673</v>
      </c>
      <c r="P2388" s="152" t="s">
        <v>3489</v>
      </c>
      <c r="Q2388" s="152" t="s">
        <v>3674</v>
      </c>
      <c r="R2388" s="152" t="s">
        <v>1515</v>
      </c>
      <c r="S2388" s="152" t="s">
        <v>3676</v>
      </c>
      <c r="T2388" s="152" t="s">
        <v>786</v>
      </c>
    </row>
    <row r="2389" spans="3:20">
      <c r="C2389" s="152" t="s">
        <v>2821</v>
      </c>
      <c r="F2389" s="152" t="s">
        <v>658</v>
      </c>
      <c r="G2389" s="152" t="s">
        <v>659</v>
      </c>
      <c r="I2389" s="513">
        <v>-2759.25</v>
      </c>
      <c r="J2389" s="513">
        <v>-1.95</v>
      </c>
      <c r="K2389" s="513">
        <v>1415</v>
      </c>
      <c r="L2389" s="518" t="s">
        <v>3632</v>
      </c>
      <c r="M2389" s="152" t="s">
        <v>780</v>
      </c>
      <c r="N2389" s="152" t="s">
        <v>1407</v>
      </c>
      <c r="O2389" s="152" t="s">
        <v>3673</v>
      </c>
      <c r="P2389" s="152" t="s">
        <v>3489</v>
      </c>
      <c r="Q2389" s="152" t="s">
        <v>3674</v>
      </c>
      <c r="R2389" s="152" t="s">
        <v>1515</v>
      </c>
      <c r="S2389" s="152" t="s">
        <v>3676</v>
      </c>
      <c r="T2389" s="152" t="s">
        <v>786</v>
      </c>
    </row>
    <row r="2390" spans="3:20">
      <c r="C2390" s="152" t="s">
        <v>2821</v>
      </c>
      <c r="F2390" s="152" t="s">
        <v>658</v>
      </c>
      <c r="G2390" s="152" t="s">
        <v>659</v>
      </c>
      <c r="I2390" s="513">
        <v>-2759.25</v>
      </c>
      <c r="J2390" s="513">
        <v>-1.95</v>
      </c>
      <c r="K2390" s="513">
        <v>1415</v>
      </c>
      <c r="L2390" s="518" t="s">
        <v>3632</v>
      </c>
      <c r="M2390" s="152" t="s">
        <v>780</v>
      </c>
      <c r="N2390" s="152" t="s">
        <v>1407</v>
      </c>
      <c r="O2390" s="152" t="s">
        <v>3673</v>
      </c>
      <c r="P2390" s="152" t="s">
        <v>3489</v>
      </c>
      <c r="Q2390" s="152" t="s">
        <v>3674</v>
      </c>
      <c r="R2390" s="152" t="s">
        <v>1515</v>
      </c>
      <c r="S2390" s="152" t="s">
        <v>3676</v>
      </c>
      <c r="T2390" s="152" t="s">
        <v>786</v>
      </c>
    </row>
    <row r="2391" spans="3:20">
      <c r="C2391" s="152" t="s">
        <v>2821</v>
      </c>
      <c r="F2391" s="152" t="s">
        <v>658</v>
      </c>
      <c r="G2391" s="152" t="s">
        <v>659</v>
      </c>
      <c r="I2391" s="513">
        <v>-2759.25</v>
      </c>
      <c r="J2391" s="513">
        <v>-1.95</v>
      </c>
      <c r="K2391" s="513">
        <v>1415</v>
      </c>
      <c r="L2391" s="518" t="s">
        <v>3632</v>
      </c>
      <c r="M2391" s="152" t="s">
        <v>780</v>
      </c>
      <c r="N2391" s="152" t="s">
        <v>1407</v>
      </c>
      <c r="O2391" s="152" t="s">
        <v>3673</v>
      </c>
      <c r="P2391" s="152" t="s">
        <v>3489</v>
      </c>
      <c r="Q2391" s="152" t="s">
        <v>3674</v>
      </c>
      <c r="R2391" s="152" t="s">
        <v>1515</v>
      </c>
      <c r="S2391" s="152" t="s">
        <v>3676</v>
      </c>
      <c r="T2391" s="152" t="s">
        <v>786</v>
      </c>
    </row>
    <row r="2392" spans="3:20">
      <c r="C2392" s="152" t="s">
        <v>2821</v>
      </c>
      <c r="F2392" s="152" t="s">
        <v>658</v>
      </c>
      <c r="G2392" s="152" t="s">
        <v>659</v>
      </c>
      <c r="I2392" s="513">
        <v>-2745.1</v>
      </c>
      <c r="J2392" s="513">
        <v>-1.94</v>
      </c>
      <c r="K2392" s="513">
        <v>1415</v>
      </c>
      <c r="L2392" s="518" t="s">
        <v>3632</v>
      </c>
      <c r="M2392" s="152" t="s">
        <v>780</v>
      </c>
      <c r="N2392" s="152" t="s">
        <v>1407</v>
      </c>
      <c r="O2392" s="152" t="s">
        <v>3673</v>
      </c>
      <c r="P2392" s="152" t="s">
        <v>3489</v>
      </c>
      <c r="Q2392" s="152" t="s">
        <v>3674</v>
      </c>
      <c r="R2392" s="152" t="s">
        <v>1515</v>
      </c>
      <c r="S2392" s="152" t="s">
        <v>3676</v>
      </c>
      <c r="T2392" s="152" t="s">
        <v>786</v>
      </c>
    </row>
    <row r="2393" spans="3:20">
      <c r="C2393" s="152" t="s">
        <v>2821</v>
      </c>
      <c r="F2393" s="152" t="s">
        <v>658</v>
      </c>
      <c r="G2393" s="152" t="s">
        <v>659</v>
      </c>
      <c r="I2393" s="513">
        <v>-2759.25</v>
      </c>
      <c r="J2393" s="513">
        <v>-1.95</v>
      </c>
      <c r="K2393" s="513">
        <v>1415</v>
      </c>
      <c r="L2393" s="518" t="s">
        <v>3632</v>
      </c>
      <c r="M2393" s="152" t="s">
        <v>780</v>
      </c>
      <c r="N2393" s="152" t="s">
        <v>1407</v>
      </c>
      <c r="O2393" s="152" t="s">
        <v>3673</v>
      </c>
      <c r="P2393" s="152" t="s">
        <v>3489</v>
      </c>
      <c r="Q2393" s="152" t="s">
        <v>3674</v>
      </c>
      <c r="R2393" s="152" t="s">
        <v>1515</v>
      </c>
      <c r="S2393" s="152" t="s">
        <v>3676</v>
      </c>
      <c r="T2393" s="152" t="s">
        <v>786</v>
      </c>
    </row>
    <row r="2394" spans="3:20">
      <c r="C2394" s="152" t="s">
        <v>2821</v>
      </c>
      <c r="F2394" s="152" t="s">
        <v>658</v>
      </c>
      <c r="G2394" s="152" t="s">
        <v>659</v>
      </c>
      <c r="I2394" s="513">
        <v>-2759.25</v>
      </c>
      <c r="J2394" s="513">
        <v>-1.95</v>
      </c>
      <c r="K2394" s="513">
        <v>1415</v>
      </c>
      <c r="L2394" s="518" t="s">
        <v>3632</v>
      </c>
      <c r="M2394" s="152" t="s">
        <v>780</v>
      </c>
      <c r="N2394" s="152" t="s">
        <v>1407</v>
      </c>
      <c r="O2394" s="152" t="s">
        <v>3673</v>
      </c>
      <c r="P2394" s="152" t="s">
        <v>3489</v>
      </c>
      <c r="Q2394" s="152" t="s">
        <v>3674</v>
      </c>
      <c r="R2394" s="152" t="s">
        <v>1515</v>
      </c>
      <c r="S2394" s="152" t="s">
        <v>3676</v>
      </c>
      <c r="T2394" s="152" t="s">
        <v>786</v>
      </c>
    </row>
    <row r="2395" spans="3:20">
      <c r="C2395" s="152" t="s">
        <v>2821</v>
      </c>
      <c r="F2395" s="152" t="s">
        <v>658</v>
      </c>
      <c r="G2395" s="152" t="s">
        <v>659</v>
      </c>
      <c r="I2395" s="513">
        <v>-2759.25</v>
      </c>
      <c r="J2395" s="513">
        <v>-1.95</v>
      </c>
      <c r="K2395" s="513">
        <v>1415</v>
      </c>
      <c r="L2395" s="518" t="s">
        <v>3632</v>
      </c>
      <c r="M2395" s="152" t="s">
        <v>780</v>
      </c>
      <c r="N2395" s="152" t="s">
        <v>1407</v>
      </c>
      <c r="O2395" s="152" t="s">
        <v>3673</v>
      </c>
      <c r="P2395" s="152" t="s">
        <v>3489</v>
      </c>
      <c r="Q2395" s="152" t="s">
        <v>3674</v>
      </c>
      <c r="R2395" s="152" t="s">
        <v>1515</v>
      </c>
      <c r="S2395" s="152" t="s">
        <v>3676</v>
      </c>
      <c r="T2395" s="152" t="s">
        <v>786</v>
      </c>
    </row>
    <row r="2396" spans="3:20">
      <c r="C2396" s="152" t="s">
        <v>2821</v>
      </c>
      <c r="F2396" s="152" t="s">
        <v>658</v>
      </c>
      <c r="G2396" s="152" t="s">
        <v>659</v>
      </c>
      <c r="I2396" s="513">
        <v>-2759.25</v>
      </c>
      <c r="J2396" s="513">
        <v>-1.95</v>
      </c>
      <c r="K2396" s="513">
        <v>1415</v>
      </c>
      <c r="L2396" s="518" t="s">
        <v>3632</v>
      </c>
      <c r="M2396" s="152" t="s">
        <v>780</v>
      </c>
      <c r="N2396" s="152" t="s">
        <v>1407</v>
      </c>
      <c r="O2396" s="152" t="s">
        <v>3673</v>
      </c>
      <c r="P2396" s="152" t="s">
        <v>3489</v>
      </c>
      <c r="Q2396" s="152" t="s">
        <v>3674</v>
      </c>
      <c r="R2396" s="152" t="s">
        <v>1515</v>
      </c>
      <c r="S2396" s="152" t="s">
        <v>3676</v>
      </c>
      <c r="T2396" s="152" t="s">
        <v>786</v>
      </c>
    </row>
    <row r="2397" spans="3:20">
      <c r="C2397" s="152" t="s">
        <v>2821</v>
      </c>
      <c r="F2397" s="152" t="s">
        <v>658</v>
      </c>
      <c r="G2397" s="152" t="s">
        <v>659</v>
      </c>
      <c r="I2397" s="513">
        <v>-2655.45</v>
      </c>
      <c r="J2397" s="513">
        <v>-1.89</v>
      </c>
      <c r="K2397" s="513">
        <v>1405</v>
      </c>
      <c r="L2397" s="518" t="s">
        <v>3493</v>
      </c>
      <c r="M2397" s="152" t="s">
        <v>780</v>
      </c>
      <c r="N2397" s="152" t="s">
        <v>1407</v>
      </c>
      <c r="O2397" s="152" t="s">
        <v>3669</v>
      </c>
      <c r="P2397" s="152" t="s">
        <v>3489</v>
      </c>
      <c r="Q2397" s="152" t="s">
        <v>3670</v>
      </c>
      <c r="R2397" s="152" t="s">
        <v>1515</v>
      </c>
      <c r="S2397" s="152" t="s">
        <v>3672</v>
      </c>
      <c r="T2397" s="152" t="s">
        <v>786</v>
      </c>
    </row>
    <row r="2398" spans="3:20">
      <c r="C2398" s="152" t="s">
        <v>2821</v>
      </c>
      <c r="F2398" s="152" t="s">
        <v>658</v>
      </c>
      <c r="G2398" s="152" t="s">
        <v>659</v>
      </c>
      <c r="I2398" s="513">
        <v>-2688.5</v>
      </c>
      <c r="J2398" s="513">
        <v>-1.9</v>
      </c>
      <c r="K2398" s="513">
        <v>1415</v>
      </c>
      <c r="L2398" s="518" t="s">
        <v>3498</v>
      </c>
      <c r="M2398" s="152" t="s">
        <v>780</v>
      </c>
      <c r="N2398" s="152" t="s">
        <v>1407</v>
      </c>
      <c r="O2398" s="152" t="s">
        <v>3522</v>
      </c>
      <c r="P2398" s="152" t="s">
        <v>3489</v>
      </c>
      <c r="Q2398" s="152" t="s">
        <v>3523</v>
      </c>
      <c r="R2398" s="152" t="s">
        <v>3872</v>
      </c>
      <c r="S2398" s="152" t="s">
        <v>3525</v>
      </c>
      <c r="T2398" s="152" t="s">
        <v>786</v>
      </c>
    </row>
    <row r="2399" spans="3:20">
      <c r="C2399" s="152" t="s">
        <v>2821</v>
      </c>
      <c r="F2399" s="152" t="s">
        <v>658</v>
      </c>
      <c r="G2399" s="152" t="s">
        <v>659</v>
      </c>
      <c r="I2399" s="513">
        <v>-2764.8</v>
      </c>
      <c r="J2399" s="513">
        <v>-1.92</v>
      </c>
      <c r="K2399" s="513">
        <v>1440</v>
      </c>
      <c r="L2399" s="518" t="s">
        <v>3517</v>
      </c>
      <c r="M2399" s="152" t="s">
        <v>780</v>
      </c>
      <c r="N2399" s="152" t="s">
        <v>1407</v>
      </c>
      <c r="O2399" s="152" t="s">
        <v>3655</v>
      </c>
      <c r="P2399" s="152" t="s">
        <v>892</v>
      </c>
      <c r="Q2399" s="152" t="s">
        <v>3656</v>
      </c>
      <c r="R2399" s="152" t="s">
        <v>3873</v>
      </c>
      <c r="S2399" s="152" t="s">
        <v>3658</v>
      </c>
      <c r="T2399" s="152" t="s">
        <v>786</v>
      </c>
    </row>
    <row r="2400" spans="3:20">
      <c r="C2400" s="152" t="s">
        <v>2821</v>
      </c>
      <c r="F2400" s="152" t="s">
        <v>658</v>
      </c>
      <c r="G2400" s="152" t="s">
        <v>659</v>
      </c>
      <c r="I2400" s="513">
        <v>-2721.75</v>
      </c>
      <c r="J2400" s="513">
        <v>-1.91</v>
      </c>
      <c r="K2400" s="513">
        <v>1425</v>
      </c>
      <c r="L2400" s="518" t="s">
        <v>3504</v>
      </c>
      <c r="M2400" s="152" t="s">
        <v>780</v>
      </c>
      <c r="N2400" s="152" t="s">
        <v>1407</v>
      </c>
      <c r="O2400" s="152" t="s">
        <v>3665</v>
      </c>
      <c r="P2400" s="152" t="s">
        <v>3489</v>
      </c>
      <c r="Q2400" s="152" t="s">
        <v>3666</v>
      </c>
      <c r="R2400" s="152" t="s">
        <v>3873</v>
      </c>
      <c r="S2400" s="152" t="s">
        <v>3668</v>
      </c>
      <c r="T2400" s="152" t="s">
        <v>786</v>
      </c>
    </row>
    <row r="2401" spans="3:20">
      <c r="C2401" s="152" t="s">
        <v>2821</v>
      </c>
      <c r="F2401" s="152" t="s">
        <v>658</v>
      </c>
      <c r="G2401" s="152" t="s">
        <v>659</v>
      </c>
      <c r="I2401" s="513">
        <v>-2284630.7000000002</v>
      </c>
      <c r="J2401" s="513">
        <v>-1614.58</v>
      </c>
      <c r="K2401" s="513">
        <v>1415</v>
      </c>
      <c r="L2401" s="518" t="s">
        <v>3498</v>
      </c>
      <c r="M2401" s="152" t="s">
        <v>780</v>
      </c>
      <c r="N2401" s="152" t="s">
        <v>1407</v>
      </c>
      <c r="O2401" s="152" t="s">
        <v>3522</v>
      </c>
      <c r="P2401" s="152" t="s">
        <v>3489</v>
      </c>
      <c r="Q2401" s="152" t="s">
        <v>3523</v>
      </c>
      <c r="R2401" s="152" t="s">
        <v>3874</v>
      </c>
      <c r="S2401" s="152" t="s">
        <v>3525</v>
      </c>
      <c r="T2401" s="152" t="s">
        <v>786</v>
      </c>
    </row>
    <row r="2402" spans="3:20">
      <c r="C2402" s="152" t="s">
        <v>2821</v>
      </c>
      <c r="F2402" s="152" t="s">
        <v>658</v>
      </c>
      <c r="G2402" s="152" t="s">
        <v>659</v>
      </c>
      <c r="I2402" s="513">
        <v>-1843465.5</v>
      </c>
      <c r="J2402" s="513">
        <v>-1293.6600000000001</v>
      </c>
      <c r="K2402" s="513">
        <v>1425</v>
      </c>
      <c r="L2402" s="518" t="s">
        <v>3504</v>
      </c>
      <c r="M2402" s="152" t="s">
        <v>780</v>
      </c>
      <c r="N2402" s="152" t="s">
        <v>1407</v>
      </c>
      <c r="O2402" s="152" t="s">
        <v>3665</v>
      </c>
      <c r="P2402" s="152" t="s">
        <v>3489</v>
      </c>
      <c r="Q2402" s="152" t="s">
        <v>3666</v>
      </c>
      <c r="R2402" s="152" t="s">
        <v>3875</v>
      </c>
      <c r="S2402" s="152" t="s">
        <v>3668</v>
      </c>
      <c r="T2402" s="152" t="s">
        <v>786</v>
      </c>
    </row>
    <row r="2403" spans="3:20">
      <c r="C2403" s="152" t="s">
        <v>2821</v>
      </c>
      <c r="F2403" s="152" t="s">
        <v>658</v>
      </c>
      <c r="G2403" s="152" t="s">
        <v>659</v>
      </c>
      <c r="I2403" s="513">
        <v>-2026690.35</v>
      </c>
      <c r="J2403" s="513">
        <v>-1432.29</v>
      </c>
      <c r="K2403" s="513">
        <v>1415</v>
      </c>
      <c r="L2403" s="518" t="s">
        <v>3498</v>
      </c>
      <c r="M2403" s="152" t="s">
        <v>780</v>
      </c>
      <c r="N2403" s="152" t="s">
        <v>1407</v>
      </c>
      <c r="O2403" s="152" t="s">
        <v>3522</v>
      </c>
      <c r="P2403" s="152" t="s">
        <v>3489</v>
      </c>
      <c r="Q2403" s="152" t="s">
        <v>3523</v>
      </c>
      <c r="R2403" s="152" t="s">
        <v>3876</v>
      </c>
      <c r="S2403" s="152" t="s">
        <v>3525</v>
      </c>
      <c r="T2403" s="152" t="s">
        <v>786</v>
      </c>
    </row>
    <row r="2404" spans="3:20">
      <c r="C2404" s="152" t="s">
        <v>2821</v>
      </c>
      <c r="F2404" s="152" t="s">
        <v>658</v>
      </c>
      <c r="G2404" s="152" t="s">
        <v>659</v>
      </c>
      <c r="I2404" s="513">
        <v>-6433463.4000000004</v>
      </c>
      <c r="J2404" s="513">
        <v>-4562.74</v>
      </c>
      <c r="K2404" s="513">
        <v>1410</v>
      </c>
      <c r="L2404" s="518" t="s">
        <v>3498</v>
      </c>
      <c r="M2404" s="152" t="s">
        <v>780</v>
      </c>
      <c r="N2404" s="152" t="s">
        <v>1407</v>
      </c>
      <c r="O2404" s="152" t="s">
        <v>3522</v>
      </c>
      <c r="P2404" s="152" t="s">
        <v>3489</v>
      </c>
      <c r="Q2404" s="152" t="s">
        <v>3523</v>
      </c>
      <c r="R2404" s="152" t="s">
        <v>3877</v>
      </c>
      <c r="S2404" s="152" t="s">
        <v>3525</v>
      </c>
      <c r="T2404" s="152" t="s">
        <v>786</v>
      </c>
    </row>
    <row r="2405" spans="3:20">
      <c r="C2405" s="152" t="s">
        <v>2821</v>
      </c>
      <c r="F2405" s="152" t="s">
        <v>658</v>
      </c>
      <c r="G2405" s="152" t="s">
        <v>659</v>
      </c>
      <c r="I2405" s="513">
        <v>-6433463.4000000004</v>
      </c>
      <c r="J2405" s="513">
        <v>-4562.74</v>
      </c>
      <c r="K2405" s="513">
        <v>1410</v>
      </c>
      <c r="L2405" s="518" t="s">
        <v>3498</v>
      </c>
      <c r="M2405" s="152" t="s">
        <v>780</v>
      </c>
      <c r="N2405" s="152" t="s">
        <v>1407</v>
      </c>
      <c r="O2405" s="152" t="s">
        <v>3522</v>
      </c>
      <c r="P2405" s="152" t="s">
        <v>3489</v>
      </c>
      <c r="Q2405" s="152" t="s">
        <v>3523</v>
      </c>
      <c r="R2405" s="152" t="s">
        <v>3878</v>
      </c>
      <c r="S2405" s="152" t="s">
        <v>3525</v>
      </c>
      <c r="T2405" s="152" t="s">
        <v>786</v>
      </c>
    </row>
    <row r="2406" spans="3:20">
      <c r="C2406" s="152" t="s">
        <v>2821</v>
      </c>
      <c r="F2406" s="152" t="s">
        <v>658</v>
      </c>
      <c r="G2406" s="152" t="s">
        <v>659</v>
      </c>
      <c r="I2406" s="513">
        <v>-509679.75</v>
      </c>
      <c r="J2406" s="513">
        <v>-357.67</v>
      </c>
      <c r="K2406" s="513">
        <v>1425</v>
      </c>
      <c r="L2406" s="518" t="s">
        <v>3504</v>
      </c>
      <c r="M2406" s="152" t="s">
        <v>780</v>
      </c>
      <c r="N2406" s="152" t="s">
        <v>1407</v>
      </c>
      <c r="O2406" s="152" t="s">
        <v>3665</v>
      </c>
      <c r="P2406" s="152" t="s">
        <v>3489</v>
      </c>
      <c r="Q2406" s="152" t="s">
        <v>3666</v>
      </c>
      <c r="R2406" s="152" t="s">
        <v>3879</v>
      </c>
      <c r="S2406" s="152" t="s">
        <v>3668</v>
      </c>
      <c r="T2406" s="152" t="s">
        <v>786</v>
      </c>
    </row>
    <row r="2407" spans="3:20">
      <c r="C2407" s="152" t="s">
        <v>2821</v>
      </c>
      <c r="F2407" s="152" t="s">
        <v>658</v>
      </c>
      <c r="G2407" s="152" t="s">
        <v>659</v>
      </c>
      <c r="I2407" s="513">
        <v>-74160</v>
      </c>
      <c r="J2407" s="513">
        <v>-51.5</v>
      </c>
      <c r="K2407" s="513">
        <v>1440</v>
      </c>
      <c r="L2407" s="518" t="s">
        <v>3517</v>
      </c>
      <c r="M2407" s="152" t="s">
        <v>780</v>
      </c>
      <c r="N2407" s="152" t="s">
        <v>1407</v>
      </c>
      <c r="O2407" s="152" t="s">
        <v>3655</v>
      </c>
      <c r="P2407" s="152" t="s">
        <v>892</v>
      </c>
      <c r="Q2407" s="152" t="s">
        <v>3656</v>
      </c>
      <c r="R2407" s="152" t="s">
        <v>3880</v>
      </c>
      <c r="S2407" s="152" t="s">
        <v>3658</v>
      </c>
      <c r="T2407" s="152" t="s">
        <v>786</v>
      </c>
    </row>
    <row r="2408" spans="3:20">
      <c r="C2408" s="152" t="s">
        <v>2821</v>
      </c>
      <c r="F2408" s="152" t="s">
        <v>658</v>
      </c>
      <c r="G2408" s="152" t="s">
        <v>659</v>
      </c>
      <c r="I2408" s="513">
        <v>-72604</v>
      </c>
      <c r="J2408" s="513">
        <v>-51.86</v>
      </c>
      <c r="K2408" s="513">
        <v>1400</v>
      </c>
      <c r="L2408" s="518" t="s">
        <v>3659</v>
      </c>
      <c r="M2408" s="152" t="s">
        <v>780</v>
      </c>
      <c r="N2408" s="152" t="s">
        <v>1407</v>
      </c>
      <c r="O2408" s="152" t="s">
        <v>3660</v>
      </c>
      <c r="P2408" s="152" t="s">
        <v>3489</v>
      </c>
      <c r="Q2408" s="152" t="s">
        <v>3661</v>
      </c>
      <c r="R2408" s="152" t="s">
        <v>3882</v>
      </c>
      <c r="S2408" s="152" t="s">
        <v>3663</v>
      </c>
      <c r="T2408" s="152" t="s">
        <v>786</v>
      </c>
    </row>
    <row r="2409" spans="3:20">
      <c r="C2409" s="152" t="s">
        <v>2821</v>
      </c>
      <c r="F2409" s="152" t="s">
        <v>658</v>
      </c>
      <c r="G2409" s="152" t="s">
        <v>659</v>
      </c>
      <c r="I2409" s="513">
        <v>-291144</v>
      </c>
      <c r="J2409" s="513">
        <v>-207.96</v>
      </c>
      <c r="K2409" s="513">
        <v>1400</v>
      </c>
      <c r="L2409" s="518" t="s">
        <v>3659</v>
      </c>
      <c r="M2409" s="152" t="s">
        <v>780</v>
      </c>
      <c r="N2409" s="152" t="s">
        <v>1407</v>
      </c>
      <c r="O2409" s="152" t="s">
        <v>3660</v>
      </c>
      <c r="P2409" s="152" t="s">
        <v>3489</v>
      </c>
      <c r="Q2409" s="152" t="s">
        <v>3661</v>
      </c>
      <c r="R2409" s="152" t="s">
        <v>3883</v>
      </c>
      <c r="S2409" s="152" t="s">
        <v>3663</v>
      </c>
      <c r="T2409" s="152" t="s">
        <v>786</v>
      </c>
    </row>
    <row r="2410" spans="3:20">
      <c r="C2410" s="152" t="s">
        <v>2821</v>
      </c>
      <c r="F2410" s="152" t="s">
        <v>658</v>
      </c>
      <c r="G2410" s="152" t="s">
        <v>659</v>
      </c>
      <c r="I2410" s="513">
        <v>-10670.4</v>
      </c>
      <c r="J2410" s="513">
        <v>-7.41</v>
      </c>
      <c r="K2410" s="513">
        <v>1440</v>
      </c>
      <c r="L2410" s="518" t="s">
        <v>3517</v>
      </c>
      <c r="M2410" s="152" t="s">
        <v>780</v>
      </c>
      <c r="N2410" s="152" t="s">
        <v>1407</v>
      </c>
      <c r="O2410" s="152" t="s">
        <v>3655</v>
      </c>
      <c r="P2410" s="152" t="s">
        <v>892</v>
      </c>
      <c r="Q2410" s="152" t="s">
        <v>3656</v>
      </c>
      <c r="R2410" s="152" t="s">
        <v>3884</v>
      </c>
      <c r="S2410" s="152" t="s">
        <v>3658</v>
      </c>
      <c r="T2410" s="152" t="s">
        <v>786</v>
      </c>
    </row>
    <row r="2411" spans="3:20">
      <c r="C2411" s="152" t="s">
        <v>2821</v>
      </c>
      <c r="F2411" s="152" t="s">
        <v>658</v>
      </c>
      <c r="G2411" s="152" t="s">
        <v>659</v>
      </c>
      <c r="I2411" s="513">
        <v>-40032</v>
      </c>
      <c r="J2411" s="513">
        <v>-27.8</v>
      </c>
      <c r="K2411" s="513">
        <v>1440</v>
      </c>
      <c r="L2411" s="518" t="s">
        <v>3517</v>
      </c>
      <c r="M2411" s="152" t="s">
        <v>780</v>
      </c>
      <c r="N2411" s="152" t="s">
        <v>1407</v>
      </c>
      <c r="O2411" s="152" t="s">
        <v>3655</v>
      </c>
      <c r="P2411" s="152" t="s">
        <v>892</v>
      </c>
      <c r="Q2411" s="152" t="s">
        <v>3656</v>
      </c>
      <c r="R2411" s="152" t="s">
        <v>3885</v>
      </c>
      <c r="S2411" s="152" t="s">
        <v>3658</v>
      </c>
      <c r="T2411" s="152" t="s">
        <v>786</v>
      </c>
    </row>
    <row r="2412" spans="3:20">
      <c r="C2412" s="152" t="s">
        <v>2821</v>
      </c>
      <c r="F2412" s="152" t="s">
        <v>658</v>
      </c>
      <c r="G2412" s="152" t="s">
        <v>659</v>
      </c>
      <c r="I2412" s="513">
        <v>-134947.5</v>
      </c>
      <c r="J2412" s="513">
        <v>-94.7</v>
      </c>
      <c r="K2412" s="513">
        <v>1425</v>
      </c>
      <c r="L2412" s="518" t="s">
        <v>3504</v>
      </c>
      <c r="M2412" s="152" t="s">
        <v>780</v>
      </c>
      <c r="N2412" s="152" t="s">
        <v>1407</v>
      </c>
      <c r="O2412" s="152" t="s">
        <v>3665</v>
      </c>
      <c r="P2412" s="152" t="s">
        <v>3489</v>
      </c>
      <c r="Q2412" s="152" t="s">
        <v>3666</v>
      </c>
      <c r="R2412" s="152" t="s">
        <v>3902</v>
      </c>
      <c r="S2412" s="152" t="s">
        <v>3668</v>
      </c>
      <c r="T2412" s="152" t="s">
        <v>786</v>
      </c>
    </row>
    <row r="2413" spans="3:20">
      <c r="C2413" s="152" t="s">
        <v>2821</v>
      </c>
      <c r="F2413" s="152" t="s">
        <v>658</v>
      </c>
      <c r="G2413" s="152" t="s">
        <v>659</v>
      </c>
      <c r="I2413" s="513">
        <v>-4747763.6500000004</v>
      </c>
      <c r="J2413" s="513">
        <v>-3355.31</v>
      </c>
      <c r="K2413" s="513">
        <v>1415</v>
      </c>
      <c r="L2413" s="518" t="s">
        <v>3498</v>
      </c>
      <c r="M2413" s="152" t="s">
        <v>780</v>
      </c>
      <c r="N2413" s="152" t="s">
        <v>1407</v>
      </c>
      <c r="O2413" s="152" t="s">
        <v>3522</v>
      </c>
      <c r="P2413" s="152" t="s">
        <v>3489</v>
      </c>
      <c r="Q2413" s="152" t="s">
        <v>3523</v>
      </c>
      <c r="R2413" s="152" t="s">
        <v>3905</v>
      </c>
      <c r="S2413" s="152" t="s">
        <v>3525</v>
      </c>
      <c r="T2413" s="152" t="s">
        <v>786</v>
      </c>
    </row>
    <row r="2414" spans="3:20">
      <c r="C2414" s="152" t="s">
        <v>2821</v>
      </c>
      <c r="F2414" s="152" t="s">
        <v>658</v>
      </c>
      <c r="G2414" s="152" t="s">
        <v>659</v>
      </c>
      <c r="I2414" s="513">
        <v>-409472</v>
      </c>
      <c r="J2414" s="513">
        <v>-292.48</v>
      </c>
      <c r="K2414" s="513">
        <v>1400</v>
      </c>
      <c r="L2414" s="518" t="s">
        <v>3659</v>
      </c>
      <c r="M2414" s="152" t="s">
        <v>780</v>
      </c>
      <c r="N2414" s="152" t="s">
        <v>1407</v>
      </c>
      <c r="O2414" s="152" t="s">
        <v>3660</v>
      </c>
      <c r="P2414" s="152" t="s">
        <v>3489</v>
      </c>
      <c r="Q2414" s="152" t="s">
        <v>3661</v>
      </c>
      <c r="R2414" s="152" t="s">
        <v>3906</v>
      </c>
      <c r="S2414" s="152" t="s">
        <v>3663</v>
      </c>
      <c r="T2414" s="152" t="s">
        <v>786</v>
      </c>
    </row>
    <row r="2415" spans="3:20">
      <c r="C2415" s="152" t="s">
        <v>2821</v>
      </c>
      <c r="F2415" s="152" t="s">
        <v>658</v>
      </c>
      <c r="G2415" s="152" t="s">
        <v>659</v>
      </c>
      <c r="I2415" s="513">
        <v>5187</v>
      </c>
      <c r="J2415" s="513">
        <v>3.64</v>
      </c>
      <c r="K2415" s="513">
        <v>1425</v>
      </c>
      <c r="L2415" s="518" t="s">
        <v>3637</v>
      </c>
      <c r="M2415" s="152" t="s">
        <v>780</v>
      </c>
      <c r="N2415" s="152" t="s">
        <v>1407</v>
      </c>
      <c r="O2415" s="152" t="s">
        <v>3929</v>
      </c>
      <c r="P2415" s="152" t="s">
        <v>2865</v>
      </c>
      <c r="Q2415" s="152" t="s">
        <v>3930</v>
      </c>
      <c r="R2415" s="152" t="s">
        <v>3931</v>
      </c>
      <c r="S2415" s="152" t="s">
        <v>3932</v>
      </c>
      <c r="T2415" s="152" t="s">
        <v>786</v>
      </c>
    </row>
    <row r="2416" spans="3:20">
      <c r="C2416" s="152" t="s">
        <v>2821</v>
      </c>
      <c r="F2416" s="152" t="s">
        <v>658</v>
      </c>
      <c r="G2416" s="152" t="s">
        <v>659</v>
      </c>
      <c r="I2416" s="513">
        <v>-149803.20000000001</v>
      </c>
      <c r="J2416" s="513">
        <v>-104.03</v>
      </c>
      <c r="K2416" s="513">
        <v>1440</v>
      </c>
      <c r="L2416" s="518" t="s">
        <v>3517</v>
      </c>
      <c r="M2416" s="152" t="s">
        <v>780</v>
      </c>
      <c r="N2416" s="152" t="s">
        <v>1407</v>
      </c>
      <c r="O2416" s="152" t="s">
        <v>3655</v>
      </c>
      <c r="P2416" s="152" t="s">
        <v>892</v>
      </c>
      <c r="Q2416" s="152" t="s">
        <v>3656</v>
      </c>
      <c r="R2416" s="152" t="s">
        <v>3955</v>
      </c>
      <c r="S2416" s="152" t="s">
        <v>3658</v>
      </c>
      <c r="T2416" s="152" t="s">
        <v>786</v>
      </c>
    </row>
    <row r="2417" spans="3:20">
      <c r="C2417" s="152" t="s">
        <v>2821</v>
      </c>
      <c r="F2417" s="152" t="s">
        <v>658</v>
      </c>
      <c r="G2417" s="152" t="s">
        <v>659</v>
      </c>
      <c r="I2417" s="513">
        <v>-956568.3</v>
      </c>
      <c r="J2417" s="513">
        <v>-676.02</v>
      </c>
      <c r="K2417" s="513">
        <v>1415</v>
      </c>
      <c r="L2417" s="518" t="s">
        <v>3498</v>
      </c>
      <c r="M2417" s="152" t="s">
        <v>780</v>
      </c>
      <c r="N2417" s="152" t="s">
        <v>1407</v>
      </c>
      <c r="O2417" s="152" t="s">
        <v>3522</v>
      </c>
      <c r="P2417" s="152" t="s">
        <v>3489</v>
      </c>
      <c r="Q2417" s="152" t="s">
        <v>3523</v>
      </c>
      <c r="R2417" s="152" t="s">
        <v>3998</v>
      </c>
      <c r="S2417" s="152" t="s">
        <v>3525</v>
      </c>
      <c r="T2417" s="152" t="s">
        <v>786</v>
      </c>
    </row>
    <row r="2418" spans="3:20">
      <c r="C2418" s="152" t="s">
        <v>2821</v>
      </c>
      <c r="F2418" s="152" t="s">
        <v>658</v>
      </c>
      <c r="G2418" s="152" t="s">
        <v>659</v>
      </c>
      <c r="I2418" s="513">
        <v>-1188232.1000000001</v>
      </c>
      <c r="J2418" s="513">
        <v>-839.74</v>
      </c>
      <c r="K2418" s="513">
        <v>1415</v>
      </c>
      <c r="L2418" s="518" t="s">
        <v>3498</v>
      </c>
      <c r="M2418" s="152" t="s">
        <v>780</v>
      </c>
      <c r="N2418" s="152" t="s">
        <v>1407</v>
      </c>
      <c r="O2418" s="152" t="s">
        <v>3522</v>
      </c>
      <c r="P2418" s="152" t="s">
        <v>3489</v>
      </c>
      <c r="Q2418" s="152" t="s">
        <v>3523</v>
      </c>
      <c r="R2418" s="152" t="s">
        <v>3999</v>
      </c>
      <c r="S2418" s="152" t="s">
        <v>3525</v>
      </c>
      <c r="T2418" s="152" t="s">
        <v>786</v>
      </c>
    </row>
    <row r="2419" spans="3:20">
      <c r="C2419" s="152" t="s">
        <v>2821</v>
      </c>
      <c r="F2419" s="152" t="s">
        <v>658</v>
      </c>
      <c r="G2419" s="152" t="s">
        <v>659</v>
      </c>
      <c r="I2419" s="513">
        <v>-395850.75</v>
      </c>
      <c r="J2419" s="513">
        <v>-277.79000000000002</v>
      </c>
      <c r="K2419" s="513">
        <v>1425</v>
      </c>
      <c r="L2419" s="518" t="s">
        <v>3637</v>
      </c>
      <c r="M2419" s="152" t="s">
        <v>780</v>
      </c>
      <c r="N2419" s="152" t="s">
        <v>1407</v>
      </c>
      <c r="O2419" s="152" t="s">
        <v>3680</v>
      </c>
      <c r="P2419" s="152" t="s">
        <v>2865</v>
      </c>
      <c r="Q2419" s="152" t="s">
        <v>3681</v>
      </c>
      <c r="R2419" s="152" t="s">
        <v>2160</v>
      </c>
      <c r="S2419" s="152" t="s">
        <v>3683</v>
      </c>
      <c r="T2419" s="152" t="s">
        <v>786</v>
      </c>
    </row>
    <row r="2420" spans="3:20">
      <c r="C2420" s="152" t="s">
        <v>2821</v>
      </c>
      <c r="F2420" s="152" t="s">
        <v>658</v>
      </c>
      <c r="G2420" s="152" t="s">
        <v>659</v>
      </c>
      <c r="I2420" s="513">
        <v>-380691.6</v>
      </c>
      <c r="J2420" s="513">
        <v>-269.04000000000002</v>
      </c>
      <c r="K2420" s="513">
        <v>1415</v>
      </c>
      <c r="L2420" s="518" t="s">
        <v>3632</v>
      </c>
      <c r="M2420" s="152" t="s">
        <v>780</v>
      </c>
      <c r="N2420" s="152" t="s">
        <v>1407</v>
      </c>
      <c r="O2420" s="152" t="s">
        <v>3673</v>
      </c>
      <c r="P2420" s="152" t="s">
        <v>3489</v>
      </c>
      <c r="Q2420" s="152" t="s">
        <v>3674</v>
      </c>
      <c r="R2420" s="152" t="s">
        <v>4010</v>
      </c>
      <c r="S2420" s="152" t="s">
        <v>3676</v>
      </c>
      <c r="T2420" s="152" t="s">
        <v>786</v>
      </c>
    </row>
    <row r="2421" spans="3:20">
      <c r="C2421" s="152" t="s">
        <v>2821</v>
      </c>
      <c r="F2421" s="152" t="s">
        <v>658</v>
      </c>
      <c r="G2421" s="152" t="s">
        <v>659</v>
      </c>
      <c r="I2421" s="513">
        <v>-4856866</v>
      </c>
      <c r="J2421" s="513">
        <v>-3469.19</v>
      </c>
      <c r="K2421" s="513">
        <v>1400</v>
      </c>
      <c r="L2421" s="518" t="s">
        <v>3659</v>
      </c>
      <c r="M2421" s="152" t="s">
        <v>780</v>
      </c>
      <c r="N2421" s="152" t="s">
        <v>1407</v>
      </c>
      <c r="O2421" s="152" t="s">
        <v>3660</v>
      </c>
      <c r="P2421" s="152" t="s">
        <v>3489</v>
      </c>
      <c r="Q2421" s="152" t="s">
        <v>3661</v>
      </c>
      <c r="R2421" s="152" t="s">
        <v>4015</v>
      </c>
      <c r="S2421" s="152" t="s">
        <v>3663</v>
      </c>
      <c r="T2421" s="152" t="s">
        <v>786</v>
      </c>
    </row>
    <row r="2422" spans="3:20">
      <c r="C2422" s="152" t="s">
        <v>2821</v>
      </c>
      <c r="F2422" s="152" t="s">
        <v>658</v>
      </c>
      <c r="G2422" s="152" t="s">
        <v>659</v>
      </c>
      <c r="I2422" s="513">
        <v>8316</v>
      </c>
      <c r="J2422" s="513">
        <v>5.94</v>
      </c>
      <c r="K2422" s="513">
        <v>1400</v>
      </c>
      <c r="L2422" s="518" t="s">
        <v>3659</v>
      </c>
      <c r="M2422" s="152" t="s">
        <v>780</v>
      </c>
      <c r="N2422" s="152" t="s">
        <v>1407</v>
      </c>
      <c r="O2422" s="152" t="s">
        <v>4017</v>
      </c>
      <c r="P2422" s="152" t="s">
        <v>3489</v>
      </c>
      <c r="Q2422" s="152" t="s">
        <v>4018</v>
      </c>
      <c r="R2422" s="152" t="s">
        <v>4019</v>
      </c>
      <c r="S2422" s="152" t="s">
        <v>4020</v>
      </c>
      <c r="T2422" s="152" t="s">
        <v>786</v>
      </c>
    </row>
    <row r="2423" spans="3:20">
      <c r="C2423" s="152" t="s">
        <v>2821</v>
      </c>
      <c r="F2423" s="152" t="s">
        <v>658</v>
      </c>
      <c r="G2423" s="152" t="s">
        <v>659</v>
      </c>
      <c r="I2423" s="513">
        <v>-1048158.75</v>
      </c>
      <c r="J2423" s="513">
        <v>-735.55</v>
      </c>
      <c r="K2423" s="513">
        <v>1425</v>
      </c>
      <c r="L2423" s="518" t="s">
        <v>3637</v>
      </c>
      <c r="M2423" s="152" t="s">
        <v>780</v>
      </c>
      <c r="N2423" s="152" t="s">
        <v>1407</v>
      </c>
      <c r="O2423" s="152" t="s">
        <v>3680</v>
      </c>
      <c r="P2423" s="152" t="s">
        <v>2865</v>
      </c>
      <c r="Q2423" s="152" t="s">
        <v>3681</v>
      </c>
      <c r="R2423" s="152" t="s">
        <v>4022</v>
      </c>
      <c r="S2423" s="152" t="s">
        <v>3683</v>
      </c>
      <c r="T2423" s="152" t="s">
        <v>786</v>
      </c>
    </row>
    <row r="2424" spans="3:20">
      <c r="C2424" s="152" t="s">
        <v>2821</v>
      </c>
      <c r="F2424" s="152" t="s">
        <v>658</v>
      </c>
      <c r="G2424" s="152" t="s">
        <v>659</v>
      </c>
      <c r="I2424" s="513">
        <v>-129456.7</v>
      </c>
      <c r="J2424" s="513">
        <v>-92.14</v>
      </c>
      <c r="K2424" s="513">
        <v>1405</v>
      </c>
      <c r="L2424" s="518" t="s">
        <v>3493</v>
      </c>
      <c r="M2424" s="152" t="s">
        <v>780</v>
      </c>
      <c r="N2424" s="152" t="s">
        <v>1407</v>
      </c>
      <c r="O2424" s="152" t="s">
        <v>3669</v>
      </c>
      <c r="P2424" s="152" t="s">
        <v>3489</v>
      </c>
      <c r="Q2424" s="152" t="s">
        <v>3670</v>
      </c>
      <c r="R2424" s="152" t="s">
        <v>4028</v>
      </c>
      <c r="S2424" s="152" t="s">
        <v>3672</v>
      </c>
      <c r="T2424" s="152" t="s">
        <v>786</v>
      </c>
    </row>
    <row r="2425" spans="3:20">
      <c r="C2425" s="152" t="s">
        <v>2821</v>
      </c>
      <c r="F2425" s="152" t="s">
        <v>658</v>
      </c>
      <c r="G2425" s="152" t="s">
        <v>659</v>
      </c>
      <c r="I2425" s="513">
        <v>-2366</v>
      </c>
      <c r="J2425" s="513">
        <v>-1.69</v>
      </c>
      <c r="K2425" s="513">
        <v>1400</v>
      </c>
      <c r="L2425" s="518" t="s">
        <v>3659</v>
      </c>
      <c r="M2425" s="152" t="s">
        <v>780</v>
      </c>
      <c r="N2425" s="152" t="s">
        <v>1407</v>
      </c>
      <c r="O2425" s="152" t="s">
        <v>3660</v>
      </c>
      <c r="P2425" s="152" t="s">
        <v>3489</v>
      </c>
      <c r="Q2425" s="152" t="s">
        <v>3661</v>
      </c>
      <c r="R2425" s="152" t="s">
        <v>4029</v>
      </c>
      <c r="S2425" s="152" t="s">
        <v>3663</v>
      </c>
      <c r="T2425" s="152" t="s">
        <v>786</v>
      </c>
    </row>
    <row r="2426" spans="3:20">
      <c r="C2426" s="152" t="s">
        <v>2821</v>
      </c>
      <c r="F2426" s="152" t="s">
        <v>658</v>
      </c>
      <c r="G2426" s="152" t="s">
        <v>659</v>
      </c>
      <c r="I2426" s="513">
        <v>-427712.05</v>
      </c>
      <c r="J2426" s="513">
        <v>-302.27</v>
      </c>
      <c r="K2426" s="513">
        <v>1415</v>
      </c>
      <c r="L2426" s="518" t="s">
        <v>3632</v>
      </c>
      <c r="M2426" s="152" t="s">
        <v>780</v>
      </c>
      <c r="N2426" s="152" t="s">
        <v>1407</v>
      </c>
      <c r="O2426" s="152" t="s">
        <v>3673</v>
      </c>
      <c r="P2426" s="152" t="s">
        <v>3489</v>
      </c>
      <c r="Q2426" s="152" t="s">
        <v>3674</v>
      </c>
      <c r="R2426" s="152" t="s">
        <v>4031</v>
      </c>
      <c r="S2426" s="152" t="s">
        <v>3676</v>
      </c>
      <c r="T2426" s="152" t="s">
        <v>786</v>
      </c>
    </row>
    <row r="2427" spans="3:20">
      <c r="C2427" s="152" t="s">
        <v>2821</v>
      </c>
      <c r="F2427" s="152" t="s">
        <v>658</v>
      </c>
      <c r="G2427" s="152" t="s">
        <v>659</v>
      </c>
      <c r="I2427" s="513">
        <v>-96358.5</v>
      </c>
      <c r="J2427" s="513">
        <v>-67.62</v>
      </c>
      <c r="K2427" s="513">
        <v>1425</v>
      </c>
      <c r="L2427" s="518" t="s">
        <v>3637</v>
      </c>
      <c r="M2427" s="152" t="s">
        <v>780</v>
      </c>
      <c r="N2427" s="152" t="s">
        <v>1407</v>
      </c>
      <c r="O2427" s="152" t="s">
        <v>3680</v>
      </c>
      <c r="P2427" s="152" t="s">
        <v>2865</v>
      </c>
      <c r="Q2427" s="152" t="s">
        <v>3681</v>
      </c>
      <c r="R2427" s="152" t="s">
        <v>4032</v>
      </c>
      <c r="S2427" s="152" t="s">
        <v>3683</v>
      </c>
      <c r="T2427" s="152" t="s">
        <v>786</v>
      </c>
    </row>
    <row r="2428" spans="3:20">
      <c r="C2428" s="152" t="s">
        <v>2821</v>
      </c>
      <c r="F2428" s="152" t="s">
        <v>658</v>
      </c>
      <c r="G2428" s="152" t="s">
        <v>659</v>
      </c>
      <c r="I2428" s="513">
        <v>-185007.75</v>
      </c>
      <c r="J2428" s="513">
        <v>-129.83000000000001</v>
      </c>
      <c r="K2428" s="513">
        <v>1425</v>
      </c>
      <c r="L2428" s="518" t="s">
        <v>3637</v>
      </c>
      <c r="M2428" s="152" t="s">
        <v>780</v>
      </c>
      <c r="N2428" s="152" t="s">
        <v>1407</v>
      </c>
      <c r="O2428" s="152" t="s">
        <v>3680</v>
      </c>
      <c r="P2428" s="152" t="s">
        <v>2865</v>
      </c>
      <c r="Q2428" s="152" t="s">
        <v>3681</v>
      </c>
      <c r="R2428" s="152" t="s">
        <v>4033</v>
      </c>
      <c r="S2428" s="152" t="s">
        <v>3683</v>
      </c>
      <c r="T2428" s="152" t="s">
        <v>786</v>
      </c>
    </row>
    <row r="2429" spans="3:20">
      <c r="C2429" s="152" t="s">
        <v>2821</v>
      </c>
      <c r="F2429" s="152" t="s">
        <v>658</v>
      </c>
      <c r="G2429" s="152" t="s">
        <v>659</v>
      </c>
      <c r="I2429" s="513">
        <v>-153555.79999999999</v>
      </c>
      <c r="J2429" s="513">
        <v>-108.52</v>
      </c>
      <c r="K2429" s="513">
        <v>1415</v>
      </c>
      <c r="L2429" s="518" t="s">
        <v>3498</v>
      </c>
      <c r="M2429" s="152" t="s">
        <v>780</v>
      </c>
      <c r="N2429" s="152" t="s">
        <v>1407</v>
      </c>
      <c r="O2429" s="152" t="s">
        <v>3522</v>
      </c>
      <c r="P2429" s="152" t="s">
        <v>3489</v>
      </c>
      <c r="Q2429" s="152" t="s">
        <v>3523</v>
      </c>
      <c r="R2429" s="152" t="s">
        <v>4035</v>
      </c>
      <c r="S2429" s="152" t="s">
        <v>3525</v>
      </c>
      <c r="T2429" s="152" t="s">
        <v>786</v>
      </c>
    </row>
    <row r="2430" spans="3:20">
      <c r="C2430" s="152" t="s">
        <v>2821</v>
      </c>
      <c r="F2430" s="152" t="s">
        <v>658</v>
      </c>
      <c r="G2430" s="152" t="s">
        <v>659</v>
      </c>
      <c r="I2430" s="513">
        <v>-303350.40000000002</v>
      </c>
      <c r="J2430" s="513">
        <v>-210.66</v>
      </c>
      <c r="K2430" s="513">
        <v>1440</v>
      </c>
      <c r="L2430" s="518" t="s">
        <v>3517</v>
      </c>
      <c r="M2430" s="152" t="s">
        <v>780</v>
      </c>
      <c r="N2430" s="152" t="s">
        <v>1407</v>
      </c>
      <c r="O2430" s="152" t="s">
        <v>3655</v>
      </c>
      <c r="P2430" s="152" t="s">
        <v>892</v>
      </c>
      <c r="Q2430" s="152" t="s">
        <v>3656</v>
      </c>
      <c r="R2430" s="152" t="s">
        <v>4036</v>
      </c>
      <c r="S2430" s="152" t="s">
        <v>3658</v>
      </c>
      <c r="T2430" s="152" t="s">
        <v>786</v>
      </c>
    </row>
    <row r="2431" spans="3:20">
      <c r="C2431" s="152" t="s">
        <v>2821</v>
      </c>
      <c r="F2431" s="152" t="s">
        <v>658</v>
      </c>
      <c r="G2431" s="152" t="s">
        <v>659</v>
      </c>
      <c r="I2431" s="513">
        <v>-93628.800000000003</v>
      </c>
      <c r="J2431" s="513">
        <v>-65.02</v>
      </c>
      <c r="K2431" s="513">
        <v>1440</v>
      </c>
      <c r="L2431" s="518" t="s">
        <v>3517</v>
      </c>
      <c r="M2431" s="152" t="s">
        <v>780</v>
      </c>
      <c r="N2431" s="152" t="s">
        <v>1407</v>
      </c>
      <c r="O2431" s="152" t="s">
        <v>3655</v>
      </c>
      <c r="P2431" s="152" t="s">
        <v>892</v>
      </c>
      <c r="Q2431" s="152" t="s">
        <v>3656</v>
      </c>
      <c r="R2431" s="152" t="s">
        <v>4037</v>
      </c>
      <c r="S2431" s="152" t="s">
        <v>3658</v>
      </c>
      <c r="T2431" s="152" t="s">
        <v>786</v>
      </c>
    </row>
    <row r="2432" spans="3:20">
      <c r="C2432" s="152" t="s">
        <v>2821</v>
      </c>
      <c r="F2432" s="152" t="s">
        <v>658</v>
      </c>
      <c r="G2432" s="152" t="s">
        <v>659</v>
      </c>
      <c r="I2432" s="513">
        <v>-431326</v>
      </c>
      <c r="J2432" s="513">
        <v>-308.08999999999997</v>
      </c>
      <c r="K2432" s="513">
        <v>1400</v>
      </c>
      <c r="L2432" s="518" t="s">
        <v>3659</v>
      </c>
      <c r="M2432" s="152" t="s">
        <v>780</v>
      </c>
      <c r="N2432" s="152" t="s">
        <v>1407</v>
      </c>
      <c r="O2432" s="152" t="s">
        <v>3660</v>
      </c>
      <c r="P2432" s="152" t="s">
        <v>3489</v>
      </c>
      <c r="Q2432" s="152" t="s">
        <v>3661</v>
      </c>
      <c r="R2432" s="152" t="s">
        <v>4039</v>
      </c>
      <c r="S2432" s="152" t="s">
        <v>3663</v>
      </c>
      <c r="T2432" s="152" t="s">
        <v>786</v>
      </c>
    </row>
    <row r="2433" spans="3:20">
      <c r="C2433" s="152" t="s">
        <v>2821</v>
      </c>
      <c r="F2433" s="152" t="s">
        <v>658</v>
      </c>
      <c r="G2433" s="152" t="s">
        <v>659</v>
      </c>
      <c r="I2433" s="513">
        <v>-1004724</v>
      </c>
      <c r="J2433" s="513">
        <v>-717.66</v>
      </c>
      <c r="K2433" s="513">
        <v>1400</v>
      </c>
      <c r="L2433" s="518" t="s">
        <v>3659</v>
      </c>
      <c r="M2433" s="152" t="s">
        <v>780</v>
      </c>
      <c r="N2433" s="152" t="s">
        <v>1407</v>
      </c>
      <c r="O2433" s="152" t="s">
        <v>3660</v>
      </c>
      <c r="P2433" s="152" t="s">
        <v>3489</v>
      </c>
      <c r="Q2433" s="152" t="s">
        <v>3661</v>
      </c>
      <c r="R2433" s="152" t="s">
        <v>4041</v>
      </c>
      <c r="S2433" s="152" t="s">
        <v>3663</v>
      </c>
      <c r="T2433" s="152" t="s">
        <v>786</v>
      </c>
    </row>
    <row r="2434" spans="3:20">
      <c r="C2434" s="152" t="s">
        <v>2821</v>
      </c>
      <c r="F2434" s="152" t="s">
        <v>658</v>
      </c>
      <c r="G2434" s="152" t="s">
        <v>659</v>
      </c>
      <c r="I2434" s="513">
        <v>-868867.2</v>
      </c>
      <c r="J2434" s="513">
        <v>-603.38</v>
      </c>
      <c r="K2434" s="513">
        <v>1440</v>
      </c>
      <c r="L2434" s="518" t="s">
        <v>3517</v>
      </c>
      <c r="M2434" s="152" t="s">
        <v>780</v>
      </c>
      <c r="N2434" s="152" t="s">
        <v>1407</v>
      </c>
      <c r="O2434" s="152" t="s">
        <v>3655</v>
      </c>
      <c r="P2434" s="152" t="s">
        <v>892</v>
      </c>
      <c r="Q2434" s="152" t="s">
        <v>3656</v>
      </c>
      <c r="R2434" s="152" t="s">
        <v>4042</v>
      </c>
      <c r="S2434" s="152" t="s">
        <v>3658</v>
      </c>
      <c r="T2434" s="152" t="s">
        <v>786</v>
      </c>
    </row>
    <row r="2435" spans="3:20">
      <c r="C2435" s="152" t="s">
        <v>2821</v>
      </c>
      <c r="F2435" s="152" t="s">
        <v>658</v>
      </c>
      <c r="G2435" s="152" t="s">
        <v>659</v>
      </c>
      <c r="I2435" s="513">
        <v>-3321302.15</v>
      </c>
      <c r="J2435" s="513">
        <v>-2347.21</v>
      </c>
      <c r="K2435" s="513">
        <v>1415</v>
      </c>
      <c r="L2435" s="518" t="s">
        <v>3498</v>
      </c>
      <c r="M2435" s="152" t="s">
        <v>780</v>
      </c>
      <c r="N2435" s="152" t="s">
        <v>1407</v>
      </c>
      <c r="O2435" s="152" t="s">
        <v>3522</v>
      </c>
      <c r="P2435" s="152" t="s">
        <v>3489</v>
      </c>
      <c r="Q2435" s="152" t="s">
        <v>3523</v>
      </c>
      <c r="R2435" s="152" t="s">
        <v>4046</v>
      </c>
      <c r="S2435" s="152" t="s">
        <v>3525</v>
      </c>
      <c r="T2435" s="152" t="s">
        <v>786</v>
      </c>
    </row>
    <row r="2436" spans="3:20">
      <c r="C2436" s="152" t="s">
        <v>2821</v>
      </c>
      <c r="F2436" s="152" t="s">
        <v>658</v>
      </c>
      <c r="G2436" s="152" t="s">
        <v>659</v>
      </c>
      <c r="I2436" s="513">
        <v>-1464350.4</v>
      </c>
      <c r="J2436" s="513">
        <v>-1016.91</v>
      </c>
      <c r="K2436" s="513">
        <v>1440</v>
      </c>
      <c r="L2436" s="518" t="s">
        <v>3517</v>
      </c>
      <c r="M2436" s="152" t="s">
        <v>780</v>
      </c>
      <c r="N2436" s="152" t="s">
        <v>1407</v>
      </c>
      <c r="O2436" s="152" t="s">
        <v>3655</v>
      </c>
      <c r="P2436" s="152" t="s">
        <v>892</v>
      </c>
      <c r="Q2436" s="152" t="s">
        <v>3656</v>
      </c>
      <c r="R2436" s="152" t="s">
        <v>4047</v>
      </c>
      <c r="S2436" s="152" t="s">
        <v>3658</v>
      </c>
      <c r="T2436" s="152" t="s">
        <v>786</v>
      </c>
    </row>
    <row r="2437" spans="3:20">
      <c r="C2437" s="152" t="s">
        <v>2821</v>
      </c>
      <c r="F2437" s="152" t="s">
        <v>658</v>
      </c>
      <c r="G2437" s="152" t="s">
        <v>659</v>
      </c>
      <c r="I2437" s="513">
        <v>-405331.20000000001</v>
      </c>
      <c r="J2437" s="513">
        <v>-281.48</v>
      </c>
      <c r="K2437" s="513">
        <v>1440</v>
      </c>
      <c r="L2437" s="518" t="s">
        <v>3517</v>
      </c>
      <c r="M2437" s="152" t="s">
        <v>780</v>
      </c>
      <c r="N2437" s="152" t="s">
        <v>1407</v>
      </c>
      <c r="O2437" s="152" t="s">
        <v>3655</v>
      </c>
      <c r="P2437" s="152" t="s">
        <v>892</v>
      </c>
      <c r="Q2437" s="152" t="s">
        <v>3656</v>
      </c>
      <c r="R2437" s="152" t="s">
        <v>4048</v>
      </c>
      <c r="S2437" s="152" t="s">
        <v>3658</v>
      </c>
      <c r="T2437" s="152" t="s">
        <v>786</v>
      </c>
    </row>
    <row r="2438" spans="3:20">
      <c r="C2438" s="152" t="s">
        <v>2821</v>
      </c>
      <c r="F2438" s="152" t="s">
        <v>658</v>
      </c>
      <c r="G2438" s="152" t="s">
        <v>659</v>
      </c>
      <c r="I2438" s="513">
        <v>-1353081.6</v>
      </c>
      <c r="J2438" s="513">
        <v>-939.64</v>
      </c>
      <c r="K2438" s="513">
        <v>1440</v>
      </c>
      <c r="L2438" s="518" t="s">
        <v>3517</v>
      </c>
      <c r="M2438" s="152" t="s">
        <v>780</v>
      </c>
      <c r="N2438" s="152" t="s">
        <v>1407</v>
      </c>
      <c r="O2438" s="152" t="s">
        <v>3655</v>
      </c>
      <c r="P2438" s="152" t="s">
        <v>892</v>
      </c>
      <c r="Q2438" s="152" t="s">
        <v>3656</v>
      </c>
      <c r="R2438" s="152" t="s">
        <v>4049</v>
      </c>
      <c r="S2438" s="152" t="s">
        <v>3658</v>
      </c>
      <c r="T2438" s="152" t="s">
        <v>786</v>
      </c>
    </row>
    <row r="2439" spans="3:20">
      <c r="C2439" s="152" t="s">
        <v>2821</v>
      </c>
      <c r="F2439" s="152" t="s">
        <v>658</v>
      </c>
      <c r="G2439" s="152" t="s">
        <v>659</v>
      </c>
      <c r="I2439" s="513">
        <v>-1327838.3999999999</v>
      </c>
      <c r="J2439" s="513">
        <v>-922.11</v>
      </c>
      <c r="K2439" s="513">
        <v>1440</v>
      </c>
      <c r="L2439" s="518" t="s">
        <v>3517</v>
      </c>
      <c r="M2439" s="152" t="s">
        <v>780</v>
      </c>
      <c r="N2439" s="152" t="s">
        <v>1407</v>
      </c>
      <c r="O2439" s="152" t="s">
        <v>3655</v>
      </c>
      <c r="P2439" s="152" t="s">
        <v>892</v>
      </c>
      <c r="Q2439" s="152" t="s">
        <v>3656</v>
      </c>
      <c r="R2439" s="152" t="s">
        <v>4050</v>
      </c>
      <c r="S2439" s="152" t="s">
        <v>3658</v>
      </c>
      <c r="T2439" s="152" t="s">
        <v>786</v>
      </c>
    </row>
    <row r="2440" spans="3:20">
      <c r="C2440" s="152" t="s">
        <v>2821</v>
      </c>
      <c r="F2440" s="152" t="s">
        <v>658</v>
      </c>
      <c r="G2440" s="152" t="s">
        <v>659</v>
      </c>
      <c r="I2440" s="513">
        <v>-1353081.6</v>
      </c>
      <c r="J2440" s="513">
        <v>-939.64</v>
      </c>
      <c r="K2440" s="513">
        <v>1440</v>
      </c>
      <c r="L2440" s="518" t="s">
        <v>3517</v>
      </c>
      <c r="M2440" s="152" t="s">
        <v>780</v>
      </c>
      <c r="N2440" s="152" t="s">
        <v>1407</v>
      </c>
      <c r="O2440" s="152" t="s">
        <v>3655</v>
      </c>
      <c r="P2440" s="152" t="s">
        <v>892</v>
      </c>
      <c r="Q2440" s="152" t="s">
        <v>3656</v>
      </c>
      <c r="R2440" s="152" t="s">
        <v>4051</v>
      </c>
      <c r="S2440" s="152" t="s">
        <v>3658</v>
      </c>
      <c r="T2440" s="152" t="s">
        <v>786</v>
      </c>
    </row>
    <row r="2441" spans="3:20">
      <c r="C2441" s="152" t="s">
        <v>2821</v>
      </c>
      <c r="F2441" s="152" t="s">
        <v>658</v>
      </c>
      <c r="G2441" s="152" t="s">
        <v>659</v>
      </c>
      <c r="I2441" s="513">
        <v>-1327838.3999999999</v>
      </c>
      <c r="J2441" s="513">
        <v>-922.11</v>
      </c>
      <c r="K2441" s="513">
        <v>1440</v>
      </c>
      <c r="L2441" s="518" t="s">
        <v>3517</v>
      </c>
      <c r="M2441" s="152" t="s">
        <v>780</v>
      </c>
      <c r="N2441" s="152" t="s">
        <v>1407</v>
      </c>
      <c r="O2441" s="152" t="s">
        <v>3655</v>
      </c>
      <c r="P2441" s="152" t="s">
        <v>892</v>
      </c>
      <c r="Q2441" s="152" t="s">
        <v>3656</v>
      </c>
      <c r="R2441" s="152" t="s">
        <v>4052</v>
      </c>
      <c r="S2441" s="152" t="s">
        <v>3658</v>
      </c>
      <c r="T2441" s="152" t="s">
        <v>786</v>
      </c>
    </row>
    <row r="2442" spans="3:20">
      <c r="C2442" s="152" t="s">
        <v>2821</v>
      </c>
      <c r="F2442" s="152" t="s">
        <v>658</v>
      </c>
      <c r="G2442" s="152" t="s">
        <v>659</v>
      </c>
      <c r="I2442" s="513">
        <v>-1267209.3</v>
      </c>
      <c r="J2442" s="513">
        <v>-898.73</v>
      </c>
      <c r="K2442" s="513">
        <v>1410</v>
      </c>
      <c r="L2442" s="518" t="s">
        <v>3498</v>
      </c>
      <c r="M2442" s="152" t="s">
        <v>780</v>
      </c>
      <c r="N2442" s="152" t="s">
        <v>1407</v>
      </c>
      <c r="O2442" s="152" t="s">
        <v>3522</v>
      </c>
      <c r="P2442" s="152" t="s">
        <v>3489</v>
      </c>
      <c r="Q2442" s="152" t="s">
        <v>3523</v>
      </c>
      <c r="R2442" s="152" t="s">
        <v>4053</v>
      </c>
      <c r="S2442" s="152" t="s">
        <v>3525</v>
      </c>
      <c r="T2442" s="152" t="s">
        <v>786</v>
      </c>
    </row>
    <row r="2443" spans="3:20">
      <c r="C2443" s="152" t="s">
        <v>2821</v>
      </c>
      <c r="F2443" s="152" t="s">
        <v>658</v>
      </c>
      <c r="G2443" s="152" t="s">
        <v>659</v>
      </c>
      <c r="I2443" s="513">
        <v>-2814642</v>
      </c>
      <c r="J2443" s="513">
        <v>-1996.2</v>
      </c>
      <c r="K2443" s="513">
        <v>1410</v>
      </c>
      <c r="L2443" s="518" t="s">
        <v>3498</v>
      </c>
      <c r="M2443" s="152" t="s">
        <v>780</v>
      </c>
      <c r="N2443" s="152" t="s">
        <v>1407</v>
      </c>
      <c r="O2443" s="152" t="s">
        <v>3522</v>
      </c>
      <c r="P2443" s="152" t="s">
        <v>3489</v>
      </c>
      <c r="Q2443" s="152" t="s">
        <v>3523</v>
      </c>
      <c r="R2443" s="152" t="s">
        <v>4054</v>
      </c>
      <c r="S2443" s="152" t="s">
        <v>3525</v>
      </c>
      <c r="T2443" s="152" t="s">
        <v>786</v>
      </c>
    </row>
    <row r="2444" spans="3:20">
      <c r="C2444" s="152" t="s">
        <v>2821</v>
      </c>
      <c r="F2444" s="152" t="s">
        <v>658</v>
      </c>
      <c r="G2444" s="152" t="s">
        <v>659</v>
      </c>
      <c r="I2444" s="513">
        <v>-3717112.5</v>
      </c>
      <c r="J2444" s="513">
        <v>-2636.25</v>
      </c>
      <c r="K2444" s="513">
        <v>1410</v>
      </c>
      <c r="L2444" s="518" t="s">
        <v>3498</v>
      </c>
      <c r="M2444" s="152" t="s">
        <v>780</v>
      </c>
      <c r="N2444" s="152" t="s">
        <v>1407</v>
      </c>
      <c r="O2444" s="152" t="s">
        <v>3522</v>
      </c>
      <c r="P2444" s="152" t="s">
        <v>3489</v>
      </c>
      <c r="Q2444" s="152" t="s">
        <v>3523</v>
      </c>
      <c r="R2444" s="152" t="s">
        <v>4055</v>
      </c>
      <c r="S2444" s="152" t="s">
        <v>3525</v>
      </c>
      <c r="T2444" s="152" t="s">
        <v>786</v>
      </c>
    </row>
    <row r="2445" spans="3:20">
      <c r="C2445" s="152" t="s">
        <v>2821</v>
      </c>
      <c r="F2445" s="152" t="s">
        <v>658</v>
      </c>
      <c r="G2445" s="152" t="s">
        <v>659</v>
      </c>
      <c r="I2445" s="513">
        <v>-2301754.5</v>
      </c>
      <c r="J2445" s="513">
        <v>-1632.45</v>
      </c>
      <c r="K2445" s="513">
        <v>1410</v>
      </c>
      <c r="L2445" s="518" t="s">
        <v>3498</v>
      </c>
      <c r="M2445" s="152" t="s">
        <v>780</v>
      </c>
      <c r="N2445" s="152" t="s">
        <v>1407</v>
      </c>
      <c r="O2445" s="152" t="s">
        <v>3522</v>
      </c>
      <c r="P2445" s="152" t="s">
        <v>3489</v>
      </c>
      <c r="Q2445" s="152" t="s">
        <v>3523</v>
      </c>
      <c r="R2445" s="152" t="s">
        <v>4056</v>
      </c>
      <c r="S2445" s="152" t="s">
        <v>3525</v>
      </c>
      <c r="T2445" s="152" t="s">
        <v>786</v>
      </c>
    </row>
    <row r="2446" spans="3:20">
      <c r="C2446" s="152" t="s">
        <v>2821</v>
      </c>
      <c r="F2446" s="152" t="s">
        <v>658</v>
      </c>
      <c r="G2446" s="152" t="s">
        <v>659</v>
      </c>
      <c r="I2446" s="513">
        <v>-857801.7</v>
      </c>
      <c r="J2446" s="513">
        <v>-608.37</v>
      </c>
      <c r="K2446" s="513">
        <v>1410</v>
      </c>
      <c r="L2446" s="518" t="s">
        <v>3498</v>
      </c>
      <c r="M2446" s="152" t="s">
        <v>780</v>
      </c>
      <c r="N2446" s="152" t="s">
        <v>1407</v>
      </c>
      <c r="O2446" s="152" t="s">
        <v>3522</v>
      </c>
      <c r="P2446" s="152" t="s">
        <v>3489</v>
      </c>
      <c r="Q2446" s="152" t="s">
        <v>3523</v>
      </c>
      <c r="R2446" s="152" t="s">
        <v>4057</v>
      </c>
      <c r="S2446" s="152" t="s">
        <v>3525</v>
      </c>
      <c r="T2446" s="152" t="s">
        <v>786</v>
      </c>
    </row>
    <row r="2447" spans="3:20">
      <c r="C2447" s="152" t="s">
        <v>2821</v>
      </c>
      <c r="F2447" s="152" t="s">
        <v>658</v>
      </c>
      <c r="G2447" s="152" t="s">
        <v>659</v>
      </c>
      <c r="I2447" s="513">
        <v>-1930036.2</v>
      </c>
      <c r="J2447" s="513">
        <v>-1368.82</v>
      </c>
      <c r="K2447" s="513">
        <v>1410</v>
      </c>
      <c r="L2447" s="518" t="s">
        <v>3498</v>
      </c>
      <c r="M2447" s="152" t="s">
        <v>780</v>
      </c>
      <c r="N2447" s="152" t="s">
        <v>1407</v>
      </c>
      <c r="O2447" s="152" t="s">
        <v>3522</v>
      </c>
      <c r="P2447" s="152" t="s">
        <v>3489</v>
      </c>
      <c r="Q2447" s="152" t="s">
        <v>3523</v>
      </c>
      <c r="R2447" s="152" t="s">
        <v>4058</v>
      </c>
      <c r="S2447" s="152" t="s">
        <v>3525</v>
      </c>
      <c r="T2447" s="152" t="s">
        <v>786</v>
      </c>
    </row>
    <row r="2448" spans="3:20">
      <c r="C2448" s="152" t="s">
        <v>2821</v>
      </c>
      <c r="F2448" s="152" t="s">
        <v>658</v>
      </c>
      <c r="G2448" s="152" t="s">
        <v>659</v>
      </c>
      <c r="I2448" s="513">
        <v>-982530.3</v>
      </c>
      <c r="J2448" s="513">
        <v>-696.83</v>
      </c>
      <c r="K2448" s="513">
        <v>1410</v>
      </c>
      <c r="L2448" s="518" t="s">
        <v>3498</v>
      </c>
      <c r="M2448" s="152" t="s">
        <v>780</v>
      </c>
      <c r="N2448" s="152" t="s">
        <v>1407</v>
      </c>
      <c r="O2448" s="152" t="s">
        <v>3522</v>
      </c>
      <c r="P2448" s="152" t="s">
        <v>3489</v>
      </c>
      <c r="Q2448" s="152" t="s">
        <v>3523</v>
      </c>
      <c r="R2448" s="152" t="s">
        <v>4059</v>
      </c>
      <c r="S2448" s="152" t="s">
        <v>3525</v>
      </c>
      <c r="T2448" s="152" t="s">
        <v>786</v>
      </c>
    </row>
    <row r="2449" spans="3:20">
      <c r="C2449" s="152" t="s">
        <v>2821</v>
      </c>
      <c r="F2449" s="152" t="s">
        <v>658</v>
      </c>
      <c r="G2449" s="152" t="s">
        <v>659</v>
      </c>
      <c r="I2449" s="513">
        <v>-1291306.2</v>
      </c>
      <c r="J2449" s="513">
        <v>-915.82</v>
      </c>
      <c r="K2449" s="513">
        <v>1410</v>
      </c>
      <c r="L2449" s="518" t="s">
        <v>3498</v>
      </c>
      <c r="M2449" s="152" t="s">
        <v>780</v>
      </c>
      <c r="N2449" s="152" t="s">
        <v>1407</v>
      </c>
      <c r="O2449" s="152" t="s">
        <v>3522</v>
      </c>
      <c r="P2449" s="152" t="s">
        <v>3489</v>
      </c>
      <c r="Q2449" s="152" t="s">
        <v>3523</v>
      </c>
      <c r="R2449" s="152" t="s">
        <v>4060</v>
      </c>
      <c r="S2449" s="152" t="s">
        <v>3525</v>
      </c>
      <c r="T2449" s="152" t="s">
        <v>786</v>
      </c>
    </row>
    <row r="2450" spans="3:20">
      <c r="C2450" s="152" t="s">
        <v>2821</v>
      </c>
      <c r="F2450" s="152" t="s">
        <v>658</v>
      </c>
      <c r="G2450" s="152" t="s">
        <v>659</v>
      </c>
      <c r="I2450" s="513">
        <v>-1267209.3</v>
      </c>
      <c r="J2450" s="513">
        <v>-898.73</v>
      </c>
      <c r="K2450" s="513">
        <v>1410</v>
      </c>
      <c r="L2450" s="518" t="s">
        <v>3498</v>
      </c>
      <c r="M2450" s="152" t="s">
        <v>780</v>
      </c>
      <c r="N2450" s="152" t="s">
        <v>1407</v>
      </c>
      <c r="O2450" s="152" t="s">
        <v>3522</v>
      </c>
      <c r="P2450" s="152" t="s">
        <v>3489</v>
      </c>
      <c r="Q2450" s="152" t="s">
        <v>3523</v>
      </c>
      <c r="R2450" s="152" t="s">
        <v>4061</v>
      </c>
      <c r="S2450" s="152" t="s">
        <v>3525</v>
      </c>
      <c r="T2450" s="152" t="s">
        <v>786</v>
      </c>
    </row>
    <row r="2451" spans="3:20">
      <c r="C2451" s="152" t="s">
        <v>2821</v>
      </c>
      <c r="F2451" s="152" t="s">
        <v>658</v>
      </c>
      <c r="G2451" s="152" t="s">
        <v>659</v>
      </c>
      <c r="I2451" s="513">
        <v>-1291306.2</v>
      </c>
      <c r="J2451" s="513">
        <v>-915.82</v>
      </c>
      <c r="K2451" s="513">
        <v>1410</v>
      </c>
      <c r="L2451" s="518" t="s">
        <v>3498</v>
      </c>
      <c r="M2451" s="152" t="s">
        <v>780</v>
      </c>
      <c r="N2451" s="152" t="s">
        <v>1407</v>
      </c>
      <c r="O2451" s="152" t="s">
        <v>3522</v>
      </c>
      <c r="P2451" s="152" t="s">
        <v>3489</v>
      </c>
      <c r="Q2451" s="152" t="s">
        <v>3523</v>
      </c>
      <c r="R2451" s="152" t="s">
        <v>4062</v>
      </c>
      <c r="S2451" s="152" t="s">
        <v>3525</v>
      </c>
      <c r="T2451" s="152" t="s">
        <v>786</v>
      </c>
    </row>
    <row r="2452" spans="3:20">
      <c r="C2452" s="152" t="s">
        <v>2821</v>
      </c>
      <c r="F2452" s="152" t="s">
        <v>658</v>
      </c>
      <c r="G2452" s="152" t="s">
        <v>659</v>
      </c>
      <c r="I2452" s="513">
        <v>-117975.75</v>
      </c>
      <c r="J2452" s="513">
        <v>-82.79</v>
      </c>
      <c r="K2452" s="513">
        <v>1425</v>
      </c>
      <c r="L2452" s="518" t="s">
        <v>3504</v>
      </c>
      <c r="M2452" s="152" t="s">
        <v>780</v>
      </c>
      <c r="N2452" s="152" t="s">
        <v>1407</v>
      </c>
      <c r="O2452" s="152" t="s">
        <v>3665</v>
      </c>
      <c r="P2452" s="152" t="s">
        <v>3489</v>
      </c>
      <c r="Q2452" s="152" t="s">
        <v>3666</v>
      </c>
      <c r="R2452" s="152" t="s">
        <v>4068</v>
      </c>
      <c r="S2452" s="152" t="s">
        <v>3668</v>
      </c>
      <c r="T2452" s="152" t="s">
        <v>786</v>
      </c>
    </row>
    <row r="2453" spans="3:20">
      <c r="C2453" s="152" t="s">
        <v>2821</v>
      </c>
      <c r="F2453" s="152" t="s">
        <v>658</v>
      </c>
      <c r="G2453" s="152" t="s">
        <v>659</v>
      </c>
      <c r="I2453" s="513">
        <v>11200000</v>
      </c>
      <c r="J2453" s="513">
        <v>8000</v>
      </c>
      <c r="K2453" s="513">
        <v>1400</v>
      </c>
      <c r="L2453" s="518" t="s">
        <v>3659</v>
      </c>
      <c r="M2453" s="152" t="s">
        <v>780</v>
      </c>
      <c r="N2453" s="152" t="s">
        <v>1407</v>
      </c>
      <c r="O2453" s="152" t="s">
        <v>4017</v>
      </c>
      <c r="P2453" s="152" t="s">
        <v>3489</v>
      </c>
      <c r="Q2453" s="152" t="s">
        <v>4018</v>
      </c>
      <c r="R2453" s="152" t="s">
        <v>4093</v>
      </c>
      <c r="S2453" s="152" t="s">
        <v>4020</v>
      </c>
      <c r="T2453" s="152" t="s">
        <v>786</v>
      </c>
    </row>
    <row r="2454" spans="3:20">
      <c r="C2454" s="152" t="s">
        <v>2821</v>
      </c>
      <c r="F2454" s="152" t="s">
        <v>658</v>
      </c>
      <c r="G2454" s="152" t="s">
        <v>659</v>
      </c>
      <c r="I2454" s="513">
        <v>2830000</v>
      </c>
      <c r="J2454" s="513">
        <v>2000</v>
      </c>
      <c r="K2454" s="513">
        <v>1415</v>
      </c>
      <c r="L2454" s="518" t="s">
        <v>3632</v>
      </c>
      <c r="M2454" s="152" t="s">
        <v>780</v>
      </c>
      <c r="N2454" s="152" t="s">
        <v>1407</v>
      </c>
      <c r="O2454" s="152" t="s">
        <v>4095</v>
      </c>
      <c r="P2454" s="152" t="s">
        <v>3489</v>
      </c>
      <c r="Q2454" s="152" t="s">
        <v>4096</v>
      </c>
      <c r="R2454" s="152" t="s">
        <v>4093</v>
      </c>
      <c r="S2454" s="152" t="s">
        <v>4097</v>
      </c>
      <c r="T2454" s="152" t="s">
        <v>786</v>
      </c>
    </row>
    <row r="2455" spans="3:20">
      <c r="C2455" s="152" t="s">
        <v>2821</v>
      </c>
      <c r="F2455" s="152" t="s">
        <v>658</v>
      </c>
      <c r="G2455" s="152" t="s">
        <v>659</v>
      </c>
      <c r="I2455" s="513">
        <v>8490000</v>
      </c>
      <c r="J2455" s="513">
        <v>6000</v>
      </c>
      <c r="K2455" s="513">
        <v>1415</v>
      </c>
      <c r="L2455" s="518" t="s">
        <v>3632</v>
      </c>
      <c r="M2455" s="152" t="s">
        <v>780</v>
      </c>
      <c r="N2455" s="152" t="s">
        <v>1407</v>
      </c>
      <c r="O2455" s="152" t="s">
        <v>4095</v>
      </c>
      <c r="P2455" s="152" t="s">
        <v>3489</v>
      </c>
      <c r="Q2455" s="152" t="s">
        <v>4096</v>
      </c>
      <c r="R2455" s="152" t="s">
        <v>4093</v>
      </c>
      <c r="S2455" s="152" t="s">
        <v>4097</v>
      </c>
      <c r="T2455" s="152" t="s">
        <v>786</v>
      </c>
    </row>
    <row r="2456" spans="3:20">
      <c r="C2456" s="152" t="s">
        <v>2821</v>
      </c>
      <c r="F2456" s="152" t="s">
        <v>658</v>
      </c>
      <c r="G2456" s="152" t="s">
        <v>659</v>
      </c>
      <c r="I2456" s="513">
        <v>2494956.2999999998</v>
      </c>
      <c r="J2456" s="513">
        <v>1763.22</v>
      </c>
      <c r="K2456" s="513">
        <v>1415</v>
      </c>
      <c r="L2456" s="518" t="s">
        <v>3632</v>
      </c>
      <c r="M2456" s="152" t="s">
        <v>780</v>
      </c>
      <c r="N2456" s="152" t="s">
        <v>1407</v>
      </c>
      <c r="O2456" s="152" t="s">
        <v>4095</v>
      </c>
      <c r="P2456" s="152" t="s">
        <v>3489</v>
      </c>
      <c r="Q2456" s="152" t="s">
        <v>4096</v>
      </c>
      <c r="R2456" s="152" t="s">
        <v>4098</v>
      </c>
      <c r="S2456" s="152" t="s">
        <v>4097</v>
      </c>
      <c r="T2456" s="152" t="s">
        <v>786</v>
      </c>
    </row>
    <row r="2457" spans="3:20">
      <c r="C2457" s="152" t="s">
        <v>2821</v>
      </c>
      <c r="F2457" s="152" t="s">
        <v>658</v>
      </c>
      <c r="G2457" s="152" t="s">
        <v>659</v>
      </c>
      <c r="I2457" s="513">
        <v>-333777.75</v>
      </c>
      <c r="J2457" s="513">
        <v>-234.23</v>
      </c>
      <c r="K2457" s="513">
        <v>1425</v>
      </c>
      <c r="L2457" s="518" t="s">
        <v>3637</v>
      </c>
      <c r="M2457" s="152" t="s">
        <v>780</v>
      </c>
      <c r="N2457" s="152" t="s">
        <v>1407</v>
      </c>
      <c r="O2457" s="152" t="s">
        <v>3680</v>
      </c>
      <c r="P2457" s="152" t="s">
        <v>2865</v>
      </c>
      <c r="Q2457" s="152" t="s">
        <v>3681</v>
      </c>
      <c r="R2457" s="152" t="s">
        <v>4101</v>
      </c>
      <c r="S2457" s="152" t="s">
        <v>3683</v>
      </c>
      <c r="T2457" s="152" t="s">
        <v>786</v>
      </c>
    </row>
    <row r="2458" spans="3:20">
      <c r="C2458" s="152" t="s">
        <v>2821</v>
      </c>
      <c r="F2458" s="152" t="s">
        <v>658</v>
      </c>
      <c r="G2458" s="152" t="s">
        <v>659</v>
      </c>
      <c r="I2458" s="513">
        <v>-2165814.75</v>
      </c>
      <c r="J2458" s="513">
        <v>-1519.87</v>
      </c>
      <c r="K2458" s="513">
        <v>1425</v>
      </c>
      <c r="L2458" s="518" t="s">
        <v>3637</v>
      </c>
      <c r="M2458" s="152" t="s">
        <v>780</v>
      </c>
      <c r="N2458" s="152" t="s">
        <v>1407</v>
      </c>
      <c r="O2458" s="152" t="s">
        <v>3680</v>
      </c>
      <c r="P2458" s="152" t="s">
        <v>2865</v>
      </c>
      <c r="Q2458" s="152" t="s">
        <v>3681</v>
      </c>
      <c r="R2458" s="152" t="s">
        <v>4102</v>
      </c>
      <c r="S2458" s="152" t="s">
        <v>3683</v>
      </c>
      <c r="T2458" s="152" t="s">
        <v>786</v>
      </c>
    </row>
    <row r="2459" spans="3:20">
      <c r="C2459" s="152" t="s">
        <v>2821</v>
      </c>
      <c r="F2459" s="152" t="s">
        <v>658</v>
      </c>
      <c r="G2459" s="152" t="s">
        <v>659</v>
      </c>
      <c r="I2459" s="513">
        <v>-3275888</v>
      </c>
      <c r="J2459" s="513">
        <v>-2339.92</v>
      </c>
      <c r="K2459" s="513">
        <v>1400</v>
      </c>
      <c r="L2459" s="518" t="s">
        <v>3659</v>
      </c>
      <c r="M2459" s="152" t="s">
        <v>780</v>
      </c>
      <c r="N2459" s="152" t="s">
        <v>1407</v>
      </c>
      <c r="O2459" s="152" t="s">
        <v>3660</v>
      </c>
      <c r="P2459" s="152" t="s">
        <v>3489</v>
      </c>
      <c r="Q2459" s="152" t="s">
        <v>3661</v>
      </c>
      <c r="R2459" s="152" t="s">
        <v>4104</v>
      </c>
      <c r="S2459" s="152" t="s">
        <v>3663</v>
      </c>
      <c r="T2459" s="152" t="s">
        <v>786</v>
      </c>
    </row>
    <row r="2460" spans="3:20">
      <c r="C2460" s="152" t="s">
        <v>2821</v>
      </c>
      <c r="F2460" s="152" t="s">
        <v>658</v>
      </c>
      <c r="G2460" s="152" t="s">
        <v>659</v>
      </c>
      <c r="I2460" s="513">
        <v>-2204301.15</v>
      </c>
      <c r="J2460" s="513">
        <v>-1557.81</v>
      </c>
      <c r="K2460" s="513">
        <v>1415</v>
      </c>
      <c r="L2460" s="518" t="s">
        <v>3498</v>
      </c>
      <c r="M2460" s="152" t="s">
        <v>780</v>
      </c>
      <c r="N2460" s="152" t="s">
        <v>1407</v>
      </c>
      <c r="O2460" s="152" t="s">
        <v>3522</v>
      </c>
      <c r="P2460" s="152" t="s">
        <v>3489</v>
      </c>
      <c r="Q2460" s="152" t="s">
        <v>3523</v>
      </c>
      <c r="R2460" s="152" t="s">
        <v>4107</v>
      </c>
      <c r="S2460" s="152" t="s">
        <v>3525</v>
      </c>
      <c r="T2460" s="152" t="s">
        <v>786</v>
      </c>
    </row>
    <row r="2461" spans="3:20">
      <c r="C2461" s="152" t="s">
        <v>2821</v>
      </c>
      <c r="F2461" s="152" t="s">
        <v>658</v>
      </c>
      <c r="G2461" s="152" t="s">
        <v>659</v>
      </c>
      <c r="I2461" s="513">
        <v>-1870491.9</v>
      </c>
      <c r="J2461" s="513">
        <v>-1326.59</v>
      </c>
      <c r="K2461" s="513">
        <v>1410</v>
      </c>
      <c r="L2461" s="518" t="s">
        <v>3498</v>
      </c>
      <c r="M2461" s="152" t="s">
        <v>780</v>
      </c>
      <c r="N2461" s="152" t="s">
        <v>1407</v>
      </c>
      <c r="O2461" s="152" t="s">
        <v>3522</v>
      </c>
      <c r="P2461" s="152" t="s">
        <v>3489</v>
      </c>
      <c r="Q2461" s="152" t="s">
        <v>3523</v>
      </c>
      <c r="R2461" s="152" t="s">
        <v>4108</v>
      </c>
      <c r="S2461" s="152" t="s">
        <v>3525</v>
      </c>
      <c r="T2461" s="152" t="s">
        <v>786</v>
      </c>
    </row>
    <row r="2462" spans="3:20">
      <c r="C2462" s="152" t="s">
        <v>2821</v>
      </c>
      <c r="F2462" s="152" t="s">
        <v>658</v>
      </c>
      <c r="G2462" s="152" t="s">
        <v>659</v>
      </c>
      <c r="I2462" s="513">
        <v>-1528012.8</v>
      </c>
      <c r="J2462" s="513">
        <v>-1061.1199999999999</v>
      </c>
      <c r="K2462" s="513">
        <v>1440</v>
      </c>
      <c r="L2462" s="518" t="s">
        <v>3517</v>
      </c>
      <c r="M2462" s="152" t="s">
        <v>780</v>
      </c>
      <c r="N2462" s="152" t="s">
        <v>1407</v>
      </c>
      <c r="O2462" s="152" t="s">
        <v>3655</v>
      </c>
      <c r="P2462" s="152" t="s">
        <v>892</v>
      </c>
      <c r="Q2462" s="152" t="s">
        <v>3656</v>
      </c>
      <c r="R2462" s="152" t="s">
        <v>4109</v>
      </c>
      <c r="S2462" s="152" t="s">
        <v>3658</v>
      </c>
      <c r="T2462" s="152" t="s">
        <v>786</v>
      </c>
    </row>
    <row r="2463" spans="3:20">
      <c r="C2463" s="152" t="s">
        <v>2821</v>
      </c>
      <c r="F2463" s="152" t="s">
        <v>658</v>
      </c>
      <c r="G2463" s="152" t="s">
        <v>659</v>
      </c>
      <c r="I2463" s="513">
        <v>23040000</v>
      </c>
      <c r="J2463" s="513">
        <v>16000</v>
      </c>
      <c r="K2463" s="513">
        <v>1440</v>
      </c>
      <c r="L2463" s="518" t="s">
        <v>3916</v>
      </c>
      <c r="M2463" s="152" t="s">
        <v>780</v>
      </c>
      <c r="N2463" s="152" t="s">
        <v>1407</v>
      </c>
      <c r="O2463" s="152" t="s">
        <v>4970</v>
      </c>
      <c r="P2463" s="152" t="s">
        <v>892</v>
      </c>
      <c r="Q2463" s="152" t="s">
        <v>4971</v>
      </c>
      <c r="R2463" s="152" t="s">
        <v>4971</v>
      </c>
      <c r="S2463" s="152" t="s">
        <v>4972</v>
      </c>
      <c r="T2463" s="152" t="s">
        <v>786</v>
      </c>
    </row>
    <row r="2464" spans="3:20">
      <c r="C2464" s="152" t="s">
        <v>2821</v>
      </c>
      <c r="F2464" s="152" t="s">
        <v>658</v>
      </c>
      <c r="G2464" s="152" t="s">
        <v>659</v>
      </c>
      <c r="I2464" s="513">
        <v>22800000</v>
      </c>
      <c r="J2464" s="513">
        <v>16000</v>
      </c>
      <c r="K2464" s="513">
        <v>1425</v>
      </c>
      <c r="L2464" s="518" t="s">
        <v>3504</v>
      </c>
      <c r="M2464" s="152" t="s">
        <v>780</v>
      </c>
      <c r="N2464" s="152" t="s">
        <v>1407</v>
      </c>
      <c r="O2464" s="152" t="s">
        <v>5069</v>
      </c>
      <c r="P2464" s="152" t="s">
        <v>3489</v>
      </c>
      <c r="Q2464" s="152" t="s">
        <v>5070</v>
      </c>
      <c r="R2464" s="152" t="s">
        <v>5070</v>
      </c>
      <c r="S2464" s="152" t="s">
        <v>5071</v>
      </c>
      <c r="T2464" s="152" t="s">
        <v>786</v>
      </c>
    </row>
    <row r="2465" spans="3:20">
      <c r="C2465" s="152" t="s">
        <v>2821</v>
      </c>
      <c r="F2465" s="152" t="s">
        <v>658</v>
      </c>
      <c r="G2465" s="152" t="s">
        <v>659</v>
      </c>
      <c r="I2465" s="513">
        <v>7125000</v>
      </c>
      <c r="J2465" s="513">
        <v>5000</v>
      </c>
      <c r="K2465" s="513">
        <v>1425</v>
      </c>
      <c r="L2465" s="518" t="s">
        <v>3504</v>
      </c>
      <c r="M2465" s="152" t="s">
        <v>780</v>
      </c>
      <c r="N2465" s="152" t="s">
        <v>1407</v>
      </c>
      <c r="O2465" s="152" t="s">
        <v>5072</v>
      </c>
      <c r="P2465" s="152" t="s">
        <v>3489</v>
      </c>
      <c r="Q2465" s="152" t="s">
        <v>5073</v>
      </c>
      <c r="R2465" s="152" t="s">
        <v>5073</v>
      </c>
      <c r="S2465" s="152" t="s">
        <v>5074</v>
      </c>
      <c r="T2465" s="152" t="s">
        <v>786</v>
      </c>
    </row>
    <row r="2466" spans="3:20">
      <c r="C2466" s="152" t="s">
        <v>2821</v>
      </c>
      <c r="F2466" s="152" t="s">
        <v>658</v>
      </c>
      <c r="G2466" s="152" t="s">
        <v>659</v>
      </c>
      <c r="I2466" s="513">
        <v>42300000</v>
      </c>
      <c r="J2466" s="513">
        <v>30000</v>
      </c>
      <c r="K2466" s="513">
        <v>1410</v>
      </c>
      <c r="L2466" s="518" t="s">
        <v>3498</v>
      </c>
      <c r="M2466" s="152" t="s">
        <v>780</v>
      </c>
      <c r="N2466" s="152" t="s">
        <v>1407</v>
      </c>
      <c r="O2466" s="152" t="s">
        <v>5075</v>
      </c>
      <c r="P2466" s="152" t="s">
        <v>3489</v>
      </c>
      <c r="Q2466" s="152" t="s">
        <v>5076</v>
      </c>
      <c r="R2466" s="152" t="s">
        <v>5076</v>
      </c>
      <c r="S2466" s="152" t="s">
        <v>5077</v>
      </c>
      <c r="T2466" s="152" t="s">
        <v>786</v>
      </c>
    </row>
    <row r="2467" spans="3:20">
      <c r="C2467" s="152" t="s">
        <v>2821</v>
      </c>
      <c r="F2467" s="152" t="s">
        <v>658</v>
      </c>
      <c r="G2467" s="152" t="s">
        <v>659</v>
      </c>
      <c r="I2467" s="513">
        <v>5640000</v>
      </c>
      <c r="J2467" s="513">
        <v>4000</v>
      </c>
      <c r="K2467" s="513">
        <v>1410</v>
      </c>
      <c r="L2467" s="518" t="s">
        <v>3498</v>
      </c>
      <c r="M2467" s="152" t="s">
        <v>780</v>
      </c>
      <c r="N2467" s="152" t="s">
        <v>1407</v>
      </c>
      <c r="O2467" s="152" t="s">
        <v>5078</v>
      </c>
      <c r="P2467" s="152" t="s">
        <v>3489</v>
      </c>
      <c r="Q2467" s="152" t="s">
        <v>5079</v>
      </c>
      <c r="R2467" s="152" t="s">
        <v>5079</v>
      </c>
      <c r="S2467" s="152" t="s">
        <v>5080</v>
      </c>
      <c r="T2467" s="152" t="s">
        <v>786</v>
      </c>
    </row>
    <row r="2468" spans="3:20">
      <c r="C2468" s="152" t="s">
        <v>2821</v>
      </c>
      <c r="F2468" s="152" t="s">
        <v>660</v>
      </c>
      <c r="G2468" s="152" t="s">
        <v>661</v>
      </c>
      <c r="I2468" s="513">
        <v>-195295</v>
      </c>
      <c r="J2468" s="513">
        <v>-139</v>
      </c>
      <c r="K2468" s="513">
        <v>1405</v>
      </c>
      <c r="L2468" s="518" t="s">
        <v>3493</v>
      </c>
      <c r="M2468" s="152" t="s">
        <v>780</v>
      </c>
      <c r="N2468" s="152" t="s">
        <v>1407</v>
      </c>
      <c r="O2468" s="152" t="s">
        <v>3695</v>
      </c>
      <c r="P2468" s="152" t="s">
        <v>3489</v>
      </c>
      <c r="Q2468" s="152" t="s">
        <v>3696</v>
      </c>
      <c r="R2468" s="152" t="s">
        <v>3697</v>
      </c>
      <c r="S2468" s="152" t="s">
        <v>3698</v>
      </c>
      <c r="T2468" s="152" t="s">
        <v>786</v>
      </c>
    </row>
    <row r="2469" spans="3:20">
      <c r="C2469" s="152" t="s">
        <v>2821</v>
      </c>
      <c r="F2469" s="152" t="s">
        <v>660</v>
      </c>
      <c r="G2469" s="152" t="s">
        <v>661</v>
      </c>
      <c r="I2469" s="513">
        <v>-45600</v>
      </c>
      <c r="J2469" s="513">
        <v>-32</v>
      </c>
      <c r="K2469" s="513">
        <v>1425</v>
      </c>
      <c r="L2469" s="518" t="s">
        <v>3637</v>
      </c>
      <c r="M2469" s="152" t="s">
        <v>780</v>
      </c>
      <c r="N2469" s="152" t="s">
        <v>1407</v>
      </c>
      <c r="O2469" s="152" t="s">
        <v>3699</v>
      </c>
      <c r="P2469" s="152" t="s">
        <v>2865</v>
      </c>
      <c r="Q2469" s="152" t="s">
        <v>3700</v>
      </c>
      <c r="R2469" s="152" t="s">
        <v>1474</v>
      </c>
      <c r="S2469" s="152" t="s">
        <v>3701</v>
      </c>
      <c r="T2469" s="152" t="s">
        <v>786</v>
      </c>
    </row>
    <row r="2470" spans="3:20">
      <c r="C2470" s="152" t="s">
        <v>2821</v>
      </c>
      <c r="F2470" s="152" t="s">
        <v>660</v>
      </c>
      <c r="G2470" s="152" t="s">
        <v>661</v>
      </c>
      <c r="I2470" s="513">
        <v>-44800</v>
      </c>
      <c r="J2470" s="513">
        <v>-32</v>
      </c>
      <c r="K2470" s="513">
        <v>1400</v>
      </c>
      <c r="L2470" s="518" t="s">
        <v>3659</v>
      </c>
      <c r="M2470" s="152" t="s">
        <v>780</v>
      </c>
      <c r="N2470" s="152" t="s">
        <v>1407</v>
      </c>
      <c r="O2470" s="152" t="s">
        <v>3702</v>
      </c>
      <c r="P2470" s="152" t="s">
        <v>3489</v>
      </c>
      <c r="Q2470" s="152" t="s">
        <v>3703</v>
      </c>
      <c r="R2470" s="152" t="s">
        <v>1474</v>
      </c>
      <c r="S2470" s="152" t="s">
        <v>3704</v>
      </c>
      <c r="T2470" s="152" t="s">
        <v>786</v>
      </c>
    </row>
    <row r="2471" spans="3:20">
      <c r="C2471" s="152" t="s">
        <v>2821</v>
      </c>
      <c r="F2471" s="152" t="s">
        <v>660</v>
      </c>
      <c r="G2471" s="152" t="s">
        <v>661</v>
      </c>
      <c r="I2471" s="513">
        <v>-85705</v>
      </c>
      <c r="J2471" s="513">
        <v>-61</v>
      </c>
      <c r="K2471" s="513">
        <v>1405</v>
      </c>
      <c r="L2471" s="518" t="s">
        <v>3493</v>
      </c>
      <c r="M2471" s="152" t="s">
        <v>780</v>
      </c>
      <c r="N2471" s="152" t="s">
        <v>1407</v>
      </c>
      <c r="O2471" s="152" t="s">
        <v>3695</v>
      </c>
      <c r="P2471" s="152" t="s">
        <v>3489</v>
      </c>
      <c r="Q2471" s="152" t="s">
        <v>3696</v>
      </c>
      <c r="R2471" s="152" t="s">
        <v>3767</v>
      </c>
      <c r="S2471" s="152" t="s">
        <v>3698</v>
      </c>
      <c r="T2471" s="152" t="s">
        <v>786</v>
      </c>
    </row>
    <row r="2472" spans="3:20">
      <c r="C2472" s="152" t="s">
        <v>2821</v>
      </c>
      <c r="F2472" s="152" t="s">
        <v>660</v>
      </c>
      <c r="G2472" s="152" t="s">
        <v>661</v>
      </c>
      <c r="I2472" s="513">
        <v>-86925</v>
      </c>
      <c r="J2472" s="513">
        <v>-61</v>
      </c>
      <c r="K2472" s="513">
        <v>1425</v>
      </c>
      <c r="L2472" s="518" t="s">
        <v>3504</v>
      </c>
      <c r="M2472" s="152" t="s">
        <v>780</v>
      </c>
      <c r="N2472" s="152" t="s">
        <v>1407</v>
      </c>
      <c r="O2472" s="152" t="s">
        <v>3768</v>
      </c>
      <c r="P2472" s="152" t="s">
        <v>3489</v>
      </c>
      <c r="Q2472" s="152" t="s">
        <v>3769</v>
      </c>
      <c r="R2472" s="152" t="s">
        <v>3770</v>
      </c>
      <c r="S2472" s="152" t="s">
        <v>3771</v>
      </c>
      <c r="T2472" s="152" t="s">
        <v>786</v>
      </c>
    </row>
    <row r="2473" spans="3:20">
      <c r="C2473" s="152" t="s">
        <v>2821</v>
      </c>
      <c r="F2473" s="152" t="s">
        <v>660</v>
      </c>
      <c r="G2473" s="152" t="s">
        <v>661</v>
      </c>
      <c r="I2473" s="513">
        <v>-38959.5</v>
      </c>
      <c r="J2473" s="513">
        <v>-27.34</v>
      </c>
      <c r="K2473" s="513">
        <v>1425</v>
      </c>
      <c r="L2473" s="518" t="s">
        <v>3504</v>
      </c>
      <c r="M2473" s="152" t="s">
        <v>780</v>
      </c>
      <c r="N2473" s="152" t="s">
        <v>1407</v>
      </c>
      <c r="O2473" s="152" t="s">
        <v>3768</v>
      </c>
      <c r="P2473" s="152" t="s">
        <v>3489</v>
      </c>
      <c r="Q2473" s="152" t="s">
        <v>3769</v>
      </c>
      <c r="R2473" s="152" t="s">
        <v>3772</v>
      </c>
      <c r="S2473" s="152" t="s">
        <v>3771</v>
      </c>
      <c r="T2473" s="152" t="s">
        <v>786</v>
      </c>
    </row>
    <row r="2474" spans="3:20">
      <c r="C2474" s="152" t="s">
        <v>2821</v>
      </c>
      <c r="F2474" s="152" t="s">
        <v>660</v>
      </c>
      <c r="G2474" s="152" t="s">
        <v>661</v>
      </c>
      <c r="I2474" s="513">
        <v>-51300</v>
      </c>
      <c r="J2474" s="513">
        <v>-36</v>
      </c>
      <c r="K2474" s="513">
        <v>1425</v>
      </c>
      <c r="L2474" s="518" t="s">
        <v>3504</v>
      </c>
      <c r="M2474" s="152" t="s">
        <v>780</v>
      </c>
      <c r="N2474" s="152" t="s">
        <v>1407</v>
      </c>
      <c r="O2474" s="152" t="s">
        <v>3768</v>
      </c>
      <c r="P2474" s="152" t="s">
        <v>3489</v>
      </c>
      <c r="Q2474" s="152" t="s">
        <v>3769</v>
      </c>
      <c r="R2474" s="152" t="s">
        <v>3793</v>
      </c>
      <c r="S2474" s="152" t="s">
        <v>3771</v>
      </c>
      <c r="T2474" s="152" t="s">
        <v>786</v>
      </c>
    </row>
    <row r="2475" spans="3:20">
      <c r="C2475" s="152" t="s">
        <v>2821</v>
      </c>
      <c r="F2475" s="152" t="s">
        <v>660</v>
      </c>
      <c r="G2475" s="152" t="s">
        <v>661</v>
      </c>
      <c r="I2475" s="513">
        <v>-2736</v>
      </c>
      <c r="J2475" s="513">
        <v>-1.9</v>
      </c>
      <c r="K2475" s="513">
        <v>1440</v>
      </c>
      <c r="L2475" s="518" t="s">
        <v>3517</v>
      </c>
      <c r="M2475" s="152" t="s">
        <v>780</v>
      </c>
      <c r="N2475" s="152" t="s">
        <v>1407</v>
      </c>
      <c r="O2475" s="152" t="s">
        <v>3862</v>
      </c>
      <c r="P2475" s="152" t="s">
        <v>892</v>
      </c>
      <c r="Q2475" s="152" t="s">
        <v>3863</v>
      </c>
      <c r="R2475" s="152" t="s">
        <v>1515</v>
      </c>
      <c r="S2475" s="152" t="s">
        <v>3864</v>
      </c>
      <c r="T2475" s="152" t="s">
        <v>786</v>
      </c>
    </row>
    <row r="2476" spans="3:20">
      <c r="C2476" s="152" t="s">
        <v>2821</v>
      </c>
      <c r="F2476" s="152" t="s">
        <v>660</v>
      </c>
      <c r="G2476" s="152" t="s">
        <v>661</v>
      </c>
      <c r="I2476" s="513">
        <v>-2707.5</v>
      </c>
      <c r="J2476" s="513">
        <v>-1.9</v>
      </c>
      <c r="K2476" s="513">
        <v>1425</v>
      </c>
      <c r="L2476" s="518" t="s">
        <v>3637</v>
      </c>
      <c r="M2476" s="152" t="s">
        <v>780</v>
      </c>
      <c r="N2476" s="152" t="s">
        <v>1407</v>
      </c>
      <c r="O2476" s="152" t="s">
        <v>3699</v>
      </c>
      <c r="P2476" s="152" t="s">
        <v>2865</v>
      </c>
      <c r="Q2476" s="152" t="s">
        <v>3700</v>
      </c>
      <c r="R2476" s="152" t="s">
        <v>1515</v>
      </c>
      <c r="S2476" s="152" t="s">
        <v>3701</v>
      </c>
      <c r="T2476" s="152" t="s">
        <v>786</v>
      </c>
    </row>
    <row r="2477" spans="3:20">
      <c r="C2477" s="152" t="s">
        <v>2821</v>
      </c>
      <c r="F2477" s="152" t="s">
        <v>660</v>
      </c>
      <c r="G2477" s="152" t="s">
        <v>661</v>
      </c>
      <c r="I2477" s="513">
        <v>-2707.5</v>
      </c>
      <c r="J2477" s="513">
        <v>-1.9</v>
      </c>
      <c r="K2477" s="513">
        <v>1425</v>
      </c>
      <c r="L2477" s="518" t="s">
        <v>3637</v>
      </c>
      <c r="M2477" s="152" t="s">
        <v>780</v>
      </c>
      <c r="N2477" s="152" t="s">
        <v>1407</v>
      </c>
      <c r="O2477" s="152" t="s">
        <v>3699</v>
      </c>
      <c r="P2477" s="152" t="s">
        <v>2865</v>
      </c>
      <c r="Q2477" s="152" t="s">
        <v>3700</v>
      </c>
      <c r="R2477" s="152" t="s">
        <v>1515</v>
      </c>
      <c r="S2477" s="152" t="s">
        <v>3701</v>
      </c>
      <c r="T2477" s="152" t="s">
        <v>786</v>
      </c>
    </row>
    <row r="2478" spans="3:20">
      <c r="C2478" s="152" t="s">
        <v>2821</v>
      </c>
      <c r="F2478" s="152" t="s">
        <v>660</v>
      </c>
      <c r="G2478" s="152" t="s">
        <v>661</v>
      </c>
      <c r="I2478" s="513">
        <v>-2707.5</v>
      </c>
      <c r="J2478" s="513">
        <v>-1.9</v>
      </c>
      <c r="K2478" s="513">
        <v>1425</v>
      </c>
      <c r="L2478" s="518" t="s">
        <v>3637</v>
      </c>
      <c r="M2478" s="152" t="s">
        <v>780</v>
      </c>
      <c r="N2478" s="152" t="s">
        <v>1407</v>
      </c>
      <c r="O2478" s="152" t="s">
        <v>3699</v>
      </c>
      <c r="P2478" s="152" t="s">
        <v>2865</v>
      </c>
      <c r="Q2478" s="152" t="s">
        <v>3700</v>
      </c>
      <c r="R2478" s="152" t="s">
        <v>1515</v>
      </c>
      <c r="S2478" s="152" t="s">
        <v>3701</v>
      </c>
      <c r="T2478" s="152" t="s">
        <v>786</v>
      </c>
    </row>
    <row r="2479" spans="3:20">
      <c r="C2479" s="152" t="s">
        <v>2821</v>
      </c>
      <c r="F2479" s="152" t="s">
        <v>660</v>
      </c>
      <c r="G2479" s="152" t="s">
        <v>661</v>
      </c>
      <c r="I2479" s="513">
        <v>-2707.5</v>
      </c>
      <c r="J2479" s="513">
        <v>-1.9</v>
      </c>
      <c r="K2479" s="513">
        <v>1425</v>
      </c>
      <c r="L2479" s="518" t="s">
        <v>3504</v>
      </c>
      <c r="M2479" s="152" t="s">
        <v>780</v>
      </c>
      <c r="N2479" s="152" t="s">
        <v>1407</v>
      </c>
      <c r="O2479" s="152" t="s">
        <v>3768</v>
      </c>
      <c r="P2479" s="152" t="s">
        <v>3489</v>
      </c>
      <c r="Q2479" s="152" t="s">
        <v>3769</v>
      </c>
      <c r="R2479" s="152" t="s">
        <v>1515</v>
      </c>
      <c r="S2479" s="152" t="s">
        <v>3771</v>
      </c>
      <c r="T2479" s="152" t="s">
        <v>786</v>
      </c>
    </row>
    <row r="2480" spans="3:20">
      <c r="C2480" s="152" t="s">
        <v>2821</v>
      </c>
      <c r="F2480" s="152" t="s">
        <v>660</v>
      </c>
      <c r="G2480" s="152" t="s">
        <v>661</v>
      </c>
      <c r="I2480" s="513">
        <v>-2707.5</v>
      </c>
      <c r="J2480" s="513">
        <v>-1.9</v>
      </c>
      <c r="K2480" s="513">
        <v>1425</v>
      </c>
      <c r="L2480" s="518" t="s">
        <v>3504</v>
      </c>
      <c r="M2480" s="152" t="s">
        <v>780</v>
      </c>
      <c r="N2480" s="152" t="s">
        <v>1407</v>
      </c>
      <c r="O2480" s="152" t="s">
        <v>3768</v>
      </c>
      <c r="P2480" s="152" t="s">
        <v>3489</v>
      </c>
      <c r="Q2480" s="152" t="s">
        <v>3769</v>
      </c>
      <c r="R2480" s="152" t="s">
        <v>1515</v>
      </c>
      <c r="S2480" s="152" t="s">
        <v>3771</v>
      </c>
      <c r="T2480" s="152" t="s">
        <v>786</v>
      </c>
    </row>
    <row r="2481" spans="3:20">
      <c r="C2481" s="152" t="s">
        <v>2821</v>
      </c>
      <c r="F2481" s="152" t="s">
        <v>660</v>
      </c>
      <c r="G2481" s="152" t="s">
        <v>661</v>
      </c>
      <c r="I2481" s="513">
        <v>-2707.5</v>
      </c>
      <c r="J2481" s="513">
        <v>-1.9</v>
      </c>
      <c r="K2481" s="513">
        <v>1425</v>
      </c>
      <c r="L2481" s="518" t="s">
        <v>3504</v>
      </c>
      <c r="M2481" s="152" t="s">
        <v>780</v>
      </c>
      <c r="N2481" s="152" t="s">
        <v>1407</v>
      </c>
      <c r="O2481" s="152" t="s">
        <v>3768</v>
      </c>
      <c r="P2481" s="152" t="s">
        <v>3489</v>
      </c>
      <c r="Q2481" s="152" t="s">
        <v>3769</v>
      </c>
      <c r="R2481" s="152" t="s">
        <v>1515</v>
      </c>
      <c r="S2481" s="152" t="s">
        <v>3771</v>
      </c>
      <c r="T2481" s="152" t="s">
        <v>786</v>
      </c>
    </row>
    <row r="2482" spans="3:20">
      <c r="C2482" s="152" t="s">
        <v>2821</v>
      </c>
      <c r="F2482" s="152" t="s">
        <v>660</v>
      </c>
      <c r="G2482" s="152" t="s">
        <v>661</v>
      </c>
      <c r="I2482" s="513">
        <v>-2688.5</v>
      </c>
      <c r="J2482" s="513">
        <v>-1.9</v>
      </c>
      <c r="K2482" s="513">
        <v>1415</v>
      </c>
      <c r="L2482" s="518" t="s">
        <v>3632</v>
      </c>
      <c r="M2482" s="152" t="s">
        <v>780</v>
      </c>
      <c r="N2482" s="152" t="s">
        <v>1407</v>
      </c>
      <c r="O2482" s="152" t="s">
        <v>3865</v>
      </c>
      <c r="P2482" s="152" t="s">
        <v>3489</v>
      </c>
      <c r="Q2482" s="152" t="s">
        <v>3866</v>
      </c>
      <c r="R2482" s="152" t="s">
        <v>1515</v>
      </c>
      <c r="S2482" s="152" t="s">
        <v>3867</v>
      </c>
      <c r="T2482" s="152" t="s">
        <v>786</v>
      </c>
    </row>
    <row r="2483" spans="3:20">
      <c r="C2483" s="152" t="s">
        <v>2821</v>
      </c>
      <c r="F2483" s="152" t="s">
        <v>660</v>
      </c>
      <c r="G2483" s="152" t="s">
        <v>661</v>
      </c>
      <c r="I2483" s="513">
        <v>-2669.5</v>
      </c>
      <c r="J2483" s="513">
        <v>-1.9</v>
      </c>
      <c r="K2483" s="513">
        <v>1405</v>
      </c>
      <c r="L2483" s="518" t="s">
        <v>3493</v>
      </c>
      <c r="M2483" s="152" t="s">
        <v>780</v>
      </c>
      <c r="N2483" s="152" t="s">
        <v>1407</v>
      </c>
      <c r="O2483" s="152" t="s">
        <v>3695</v>
      </c>
      <c r="P2483" s="152" t="s">
        <v>3489</v>
      </c>
      <c r="Q2483" s="152" t="s">
        <v>3696</v>
      </c>
      <c r="R2483" s="152" t="s">
        <v>1515</v>
      </c>
      <c r="S2483" s="152" t="s">
        <v>3698</v>
      </c>
      <c r="T2483" s="152" t="s">
        <v>786</v>
      </c>
    </row>
    <row r="2484" spans="3:20">
      <c r="C2484" s="152" t="s">
        <v>2821</v>
      </c>
      <c r="F2484" s="152" t="s">
        <v>660</v>
      </c>
      <c r="G2484" s="152" t="s">
        <v>661</v>
      </c>
      <c r="I2484" s="513">
        <v>-2669.5</v>
      </c>
      <c r="J2484" s="513">
        <v>-1.9</v>
      </c>
      <c r="K2484" s="513">
        <v>1405</v>
      </c>
      <c r="L2484" s="518" t="s">
        <v>3493</v>
      </c>
      <c r="M2484" s="152" t="s">
        <v>780</v>
      </c>
      <c r="N2484" s="152" t="s">
        <v>1407</v>
      </c>
      <c r="O2484" s="152" t="s">
        <v>3695</v>
      </c>
      <c r="P2484" s="152" t="s">
        <v>3489</v>
      </c>
      <c r="Q2484" s="152" t="s">
        <v>3696</v>
      </c>
      <c r="R2484" s="152" t="s">
        <v>1515</v>
      </c>
      <c r="S2484" s="152" t="s">
        <v>3698</v>
      </c>
      <c r="T2484" s="152" t="s">
        <v>786</v>
      </c>
    </row>
    <row r="2485" spans="3:20">
      <c r="C2485" s="152" t="s">
        <v>2821</v>
      </c>
      <c r="F2485" s="152" t="s">
        <v>660</v>
      </c>
      <c r="G2485" s="152" t="s">
        <v>661</v>
      </c>
      <c r="I2485" s="513">
        <v>-2736</v>
      </c>
      <c r="J2485" s="513">
        <v>-1.9</v>
      </c>
      <c r="K2485" s="513">
        <v>1440</v>
      </c>
      <c r="L2485" s="518" t="s">
        <v>3517</v>
      </c>
      <c r="M2485" s="152" t="s">
        <v>780</v>
      </c>
      <c r="N2485" s="152" t="s">
        <v>1407</v>
      </c>
      <c r="O2485" s="152" t="s">
        <v>3862</v>
      </c>
      <c r="P2485" s="152" t="s">
        <v>892</v>
      </c>
      <c r="Q2485" s="152" t="s">
        <v>3863</v>
      </c>
      <c r="R2485" s="152" t="s">
        <v>3868</v>
      </c>
      <c r="S2485" s="152" t="s">
        <v>3864</v>
      </c>
      <c r="T2485" s="152" t="s">
        <v>786</v>
      </c>
    </row>
    <row r="2486" spans="3:20">
      <c r="C2486" s="152" t="s">
        <v>2821</v>
      </c>
      <c r="F2486" s="152" t="s">
        <v>660</v>
      </c>
      <c r="G2486" s="152" t="s">
        <v>661</v>
      </c>
      <c r="I2486" s="513">
        <v>-44844.75</v>
      </c>
      <c r="J2486" s="513">
        <v>-31.47</v>
      </c>
      <c r="K2486" s="513">
        <v>1425</v>
      </c>
      <c r="L2486" s="518" t="s">
        <v>3504</v>
      </c>
      <c r="M2486" s="152" t="s">
        <v>780</v>
      </c>
      <c r="N2486" s="152" t="s">
        <v>1407</v>
      </c>
      <c r="O2486" s="152" t="s">
        <v>3768</v>
      </c>
      <c r="P2486" s="152" t="s">
        <v>3489</v>
      </c>
      <c r="Q2486" s="152" t="s">
        <v>3769</v>
      </c>
      <c r="R2486" s="152" t="s">
        <v>3869</v>
      </c>
      <c r="S2486" s="152" t="s">
        <v>3771</v>
      </c>
      <c r="T2486" s="152" t="s">
        <v>786</v>
      </c>
    </row>
    <row r="2487" spans="3:20">
      <c r="C2487" s="152" t="s">
        <v>2821</v>
      </c>
      <c r="F2487" s="152" t="s">
        <v>660</v>
      </c>
      <c r="G2487" s="152" t="s">
        <v>661</v>
      </c>
      <c r="I2487" s="513">
        <v>-35375</v>
      </c>
      <c r="J2487" s="513">
        <v>-25</v>
      </c>
      <c r="K2487" s="513">
        <v>1415</v>
      </c>
      <c r="L2487" s="518" t="s">
        <v>3632</v>
      </c>
      <c r="M2487" s="152" t="s">
        <v>780</v>
      </c>
      <c r="N2487" s="152" t="s">
        <v>1407</v>
      </c>
      <c r="O2487" s="152" t="s">
        <v>3865</v>
      </c>
      <c r="P2487" s="152" t="s">
        <v>3489</v>
      </c>
      <c r="Q2487" s="152" t="s">
        <v>3866</v>
      </c>
      <c r="R2487" s="152" t="s">
        <v>3869</v>
      </c>
      <c r="S2487" s="152" t="s">
        <v>3867</v>
      </c>
      <c r="T2487" s="152" t="s">
        <v>786</v>
      </c>
    </row>
    <row r="2488" spans="3:20">
      <c r="C2488" s="152" t="s">
        <v>2821</v>
      </c>
      <c r="F2488" s="152" t="s">
        <v>660</v>
      </c>
      <c r="G2488" s="152" t="s">
        <v>661</v>
      </c>
      <c r="I2488" s="513">
        <v>-53928</v>
      </c>
      <c r="J2488" s="513">
        <v>-37.450000000000003</v>
      </c>
      <c r="K2488" s="513">
        <v>1440</v>
      </c>
      <c r="L2488" s="518" t="s">
        <v>3517</v>
      </c>
      <c r="M2488" s="152" t="s">
        <v>780</v>
      </c>
      <c r="N2488" s="152" t="s">
        <v>1407</v>
      </c>
      <c r="O2488" s="152" t="s">
        <v>3862</v>
      </c>
      <c r="P2488" s="152" t="s">
        <v>892</v>
      </c>
      <c r="Q2488" s="152" t="s">
        <v>3863</v>
      </c>
      <c r="R2488" s="152" t="s">
        <v>3870</v>
      </c>
      <c r="S2488" s="152" t="s">
        <v>3864</v>
      </c>
      <c r="T2488" s="152" t="s">
        <v>786</v>
      </c>
    </row>
    <row r="2489" spans="3:20">
      <c r="C2489" s="152" t="s">
        <v>2821</v>
      </c>
      <c r="F2489" s="152" t="s">
        <v>660</v>
      </c>
      <c r="G2489" s="152" t="s">
        <v>661</v>
      </c>
      <c r="I2489" s="513">
        <v>-2688.5</v>
      </c>
      <c r="J2489" s="513">
        <v>-1.9</v>
      </c>
      <c r="K2489" s="513">
        <v>1415</v>
      </c>
      <c r="L2489" s="518" t="s">
        <v>3632</v>
      </c>
      <c r="M2489" s="152" t="s">
        <v>780</v>
      </c>
      <c r="N2489" s="152" t="s">
        <v>1407</v>
      </c>
      <c r="O2489" s="152" t="s">
        <v>3865</v>
      </c>
      <c r="P2489" s="152" t="s">
        <v>3489</v>
      </c>
      <c r="Q2489" s="152" t="s">
        <v>3866</v>
      </c>
      <c r="R2489" s="152" t="s">
        <v>3871</v>
      </c>
      <c r="S2489" s="152" t="s">
        <v>3867</v>
      </c>
      <c r="T2489" s="152" t="s">
        <v>786</v>
      </c>
    </row>
    <row r="2490" spans="3:20">
      <c r="C2490" s="152" t="s">
        <v>2821</v>
      </c>
      <c r="F2490" s="152" t="s">
        <v>660</v>
      </c>
      <c r="G2490" s="152" t="s">
        <v>661</v>
      </c>
      <c r="I2490" s="513">
        <v>-1194250</v>
      </c>
      <c r="J2490" s="513">
        <v>-850</v>
      </c>
      <c r="K2490" s="513">
        <v>1405</v>
      </c>
      <c r="L2490" s="518" t="s">
        <v>3493</v>
      </c>
      <c r="M2490" s="152" t="s">
        <v>780</v>
      </c>
      <c r="N2490" s="152" t="s">
        <v>1407</v>
      </c>
      <c r="O2490" s="152" t="s">
        <v>3695</v>
      </c>
      <c r="P2490" s="152" t="s">
        <v>3489</v>
      </c>
      <c r="Q2490" s="152" t="s">
        <v>3696</v>
      </c>
      <c r="R2490" s="152" t="s">
        <v>3886</v>
      </c>
      <c r="S2490" s="152" t="s">
        <v>3698</v>
      </c>
      <c r="T2490" s="152" t="s">
        <v>786</v>
      </c>
    </row>
    <row r="2491" spans="3:20">
      <c r="C2491" s="152" t="s">
        <v>2821</v>
      </c>
      <c r="F2491" s="152" t="s">
        <v>660</v>
      </c>
      <c r="G2491" s="152" t="s">
        <v>661</v>
      </c>
      <c r="I2491" s="513">
        <v>-498750</v>
      </c>
      <c r="J2491" s="513">
        <v>-350</v>
      </c>
      <c r="K2491" s="513">
        <v>1425</v>
      </c>
      <c r="L2491" s="518" t="s">
        <v>3637</v>
      </c>
      <c r="M2491" s="152" t="s">
        <v>780</v>
      </c>
      <c r="N2491" s="152" t="s">
        <v>1407</v>
      </c>
      <c r="O2491" s="152" t="s">
        <v>3699</v>
      </c>
      <c r="P2491" s="152" t="s">
        <v>2865</v>
      </c>
      <c r="Q2491" s="152" t="s">
        <v>3700</v>
      </c>
      <c r="R2491" s="152" t="s">
        <v>3887</v>
      </c>
      <c r="S2491" s="152" t="s">
        <v>3701</v>
      </c>
      <c r="T2491" s="152" t="s">
        <v>786</v>
      </c>
    </row>
    <row r="2492" spans="3:20">
      <c r="C2492" s="152" t="s">
        <v>2821</v>
      </c>
      <c r="F2492" s="152" t="s">
        <v>660</v>
      </c>
      <c r="G2492" s="152" t="s">
        <v>661</v>
      </c>
      <c r="I2492" s="513">
        <v>-213750</v>
      </c>
      <c r="J2492" s="513">
        <v>-150</v>
      </c>
      <c r="K2492" s="513">
        <v>1425</v>
      </c>
      <c r="L2492" s="518" t="s">
        <v>3637</v>
      </c>
      <c r="M2492" s="152" t="s">
        <v>780</v>
      </c>
      <c r="N2492" s="152" t="s">
        <v>1407</v>
      </c>
      <c r="O2492" s="152" t="s">
        <v>3699</v>
      </c>
      <c r="P2492" s="152" t="s">
        <v>2865</v>
      </c>
      <c r="Q2492" s="152" t="s">
        <v>3700</v>
      </c>
      <c r="R2492" s="152" t="s">
        <v>3888</v>
      </c>
      <c r="S2492" s="152" t="s">
        <v>3701</v>
      </c>
      <c r="T2492" s="152" t="s">
        <v>786</v>
      </c>
    </row>
    <row r="2493" spans="3:20">
      <c r="C2493" s="152" t="s">
        <v>2821</v>
      </c>
      <c r="F2493" s="152" t="s">
        <v>660</v>
      </c>
      <c r="G2493" s="152" t="s">
        <v>661</v>
      </c>
      <c r="I2493" s="513">
        <v>-641250</v>
      </c>
      <c r="J2493" s="513">
        <v>-450</v>
      </c>
      <c r="K2493" s="513">
        <v>1425</v>
      </c>
      <c r="L2493" s="518" t="s">
        <v>3637</v>
      </c>
      <c r="M2493" s="152" t="s">
        <v>780</v>
      </c>
      <c r="N2493" s="152" t="s">
        <v>1407</v>
      </c>
      <c r="O2493" s="152" t="s">
        <v>3699</v>
      </c>
      <c r="P2493" s="152" t="s">
        <v>2865</v>
      </c>
      <c r="Q2493" s="152" t="s">
        <v>3700</v>
      </c>
      <c r="R2493" s="152" t="s">
        <v>3889</v>
      </c>
      <c r="S2493" s="152" t="s">
        <v>3701</v>
      </c>
      <c r="T2493" s="152" t="s">
        <v>786</v>
      </c>
    </row>
    <row r="2494" spans="3:20">
      <c r="C2494" s="152" t="s">
        <v>2821</v>
      </c>
      <c r="F2494" s="152" t="s">
        <v>660</v>
      </c>
      <c r="G2494" s="152" t="s">
        <v>661</v>
      </c>
      <c r="I2494" s="513">
        <v>-864000</v>
      </c>
      <c r="J2494" s="513">
        <v>-600</v>
      </c>
      <c r="K2494" s="513">
        <v>1440</v>
      </c>
      <c r="L2494" s="518" t="s">
        <v>3517</v>
      </c>
      <c r="M2494" s="152" t="s">
        <v>780</v>
      </c>
      <c r="N2494" s="152" t="s">
        <v>1407</v>
      </c>
      <c r="O2494" s="152" t="s">
        <v>3862</v>
      </c>
      <c r="P2494" s="152" t="s">
        <v>892</v>
      </c>
      <c r="Q2494" s="152" t="s">
        <v>3863</v>
      </c>
      <c r="R2494" s="152" t="s">
        <v>3890</v>
      </c>
      <c r="S2494" s="152" t="s">
        <v>3864</v>
      </c>
      <c r="T2494" s="152" t="s">
        <v>786</v>
      </c>
    </row>
    <row r="2495" spans="3:20">
      <c r="C2495" s="152" t="s">
        <v>2821</v>
      </c>
      <c r="F2495" s="152" t="s">
        <v>660</v>
      </c>
      <c r="G2495" s="152" t="s">
        <v>661</v>
      </c>
      <c r="I2495" s="513">
        <v>-168600</v>
      </c>
      <c r="J2495" s="513">
        <v>-120</v>
      </c>
      <c r="K2495" s="513">
        <v>1405</v>
      </c>
      <c r="L2495" s="518" t="s">
        <v>3493</v>
      </c>
      <c r="M2495" s="152" t="s">
        <v>780</v>
      </c>
      <c r="N2495" s="152" t="s">
        <v>1407</v>
      </c>
      <c r="O2495" s="152" t="s">
        <v>3695</v>
      </c>
      <c r="P2495" s="152" t="s">
        <v>3489</v>
      </c>
      <c r="Q2495" s="152" t="s">
        <v>3696</v>
      </c>
      <c r="R2495" s="152" t="s">
        <v>3903</v>
      </c>
      <c r="S2495" s="152" t="s">
        <v>3698</v>
      </c>
      <c r="T2495" s="152" t="s">
        <v>786</v>
      </c>
    </row>
    <row r="2496" spans="3:20">
      <c r="C2496" s="152" t="s">
        <v>2821</v>
      </c>
      <c r="F2496" s="152" t="s">
        <v>660</v>
      </c>
      <c r="G2496" s="152" t="s">
        <v>661</v>
      </c>
      <c r="I2496" s="513">
        <v>-855000</v>
      </c>
      <c r="J2496" s="513">
        <v>-600</v>
      </c>
      <c r="K2496" s="513">
        <v>1425</v>
      </c>
      <c r="L2496" s="518" t="s">
        <v>3637</v>
      </c>
      <c r="M2496" s="152" t="s">
        <v>780</v>
      </c>
      <c r="N2496" s="152" t="s">
        <v>1407</v>
      </c>
      <c r="O2496" s="152" t="s">
        <v>3699</v>
      </c>
      <c r="P2496" s="152" t="s">
        <v>2865</v>
      </c>
      <c r="Q2496" s="152" t="s">
        <v>3700</v>
      </c>
      <c r="R2496" s="152" t="s">
        <v>3909</v>
      </c>
      <c r="S2496" s="152" t="s">
        <v>3701</v>
      </c>
      <c r="T2496" s="152" t="s">
        <v>786</v>
      </c>
    </row>
    <row r="2497" spans="3:20">
      <c r="C2497" s="152" t="s">
        <v>2821</v>
      </c>
      <c r="F2497" s="152" t="s">
        <v>660</v>
      </c>
      <c r="G2497" s="152" t="s">
        <v>661</v>
      </c>
      <c r="I2497" s="513">
        <v>-1736000</v>
      </c>
      <c r="J2497" s="513">
        <v>-1240</v>
      </c>
      <c r="K2497" s="513">
        <v>1400</v>
      </c>
      <c r="L2497" s="518" t="s">
        <v>3659</v>
      </c>
      <c r="M2497" s="152" t="s">
        <v>780</v>
      </c>
      <c r="N2497" s="152" t="s">
        <v>1407</v>
      </c>
      <c r="O2497" s="152" t="s">
        <v>3702</v>
      </c>
      <c r="P2497" s="152" t="s">
        <v>3489</v>
      </c>
      <c r="Q2497" s="152" t="s">
        <v>3703</v>
      </c>
      <c r="R2497" s="152" t="s">
        <v>3910</v>
      </c>
      <c r="S2497" s="152" t="s">
        <v>3704</v>
      </c>
      <c r="T2497" s="152" t="s">
        <v>786</v>
      </c>
    </row>
    <row r="2498" spans="3:20">
      <c r="C2498" s="152" t="s">
        <v>2821</v>
      </c>
      <c r="F2498" s="152" t="s">
        <v>660</v>
      </c>
      <c r="G2498" s="152" t="s">
        <v>661</v>
      </c>
      <c r="I2498" s="513">
        <v>35949600</v>
      </c>
      <c r="J2498" s="513">
        <v>24965</v>
      </c>
      <c r="K2498" s="513">
        <v>1440</v>
      </c>
      <c r="L2498" s="518" t="s">
        <v>3916</v>
      </c>
      <c r="M2498" s="152" t="s">
        <v>780</v>
      </c>
      <c r="N2498" s="152" t="s">
        <v>1407</v>
      </c>
      <c r="O2498" s="152" t="s">
        <v>3917</v>
      </c>
      <c r="P2498" s="152" t="s">
        <v>892</v>
      </c>
      <c r="Q2498" s="152" t="s">
        <v>3918</v>
      </c>
      <c r="R2498" s="152" t="s">
        <v>1432</v>
      </c>
      <c r="S2498" s="152" t="s">
        <v>3919</v>
      </c>
      <c r="T2498" s="152" t="s">
        <v>786</v>
      </c>
    </row>
    <row r="2499" spans="3:20">
      <c r="C2499" s="152" t="s">
        <v>2821</v>
      </c>
      <c r="F2499" s="152" t="s">
        <v>660</v>
      </c>
      <c r="G2499" s="152" t="s">
        <v>661</v>
      </c>
      <c r="I2499" s="513">
        <v>29897212.5</v>
      </c>
      <c r="J2499" s="513">
        <v>20980.5</v>
      </c>
      <c r="K2499" s="513">
        <v>1425</v>
      </c>
      <c r="L2499" s="518" t="s">
        <v>3504</v>
      </c>
      <c r="M2499" s="152" t="s">
        <v>780</v>
      </c>
      <c r="N2499" s="152" t="s">
        <v>1407</v>
      </c>
      <c r="O2499" s="152" t="s">
        <v>3920</v>
      </c>
      <c r="P2499" s="152" t="s">
        <v>3489</v>
      </c>
      <c r="Q2499" s="152" t="s">
        <v>3921</v>
      </c>
      <c r="R2499" s="152" t="s">
        <v>1432</v>
      </c>
      <c r="S2499" s="152" t="s">
        <v>3922</v>
      </c>
      <c r="T2499" s="152" t="s">
        <v>786</v>
      </c>
    </row>
    <row r="2500" spans="3:20">
      <c r="C2500" s="152" t="s">
        <v>2821</v>
      </c>
      <c r="F2500" s="152" t="s">
        <v>660</v>
      </c>
      <c r="G2500" s="152" t="s">
        <v>661</v>
      </c>
      <c r="I2500" s="513">
        <v>56350650</v>
      </c>
      <c r="J2500" s="513">
        <v>39965</v>
      </c>
      <c r="K2500" s="513">
        <v>1410</v>
      </c>
      <c r="L2500" s="518" t="s">
        <v>3498</v>
      </c>
      <c r="M2500" s="152" t="s">
        <v>780</v>
      </c>
      <c r="N2500" s="152" t="s">
        <v>1407</v>
      </c>
      <c r="O2500" s="152" t="s">
        <v>3923</v>
      </c>
      <c r="P2500" s="152" t="s">
        <v>3489</v>
      </c>
      <c r="Q2500" s="152" t="s">
        <v>3924</v>
      </c>
      <c r="R2500" s="152" t="s">
        <v>1432</v>
      </c>
      <c r="S2500" s="152" t="s">
        <v>3925</v>
      </c>
      <c r="T2500" s="152" t="s">
        <v>786</v>
      </c>
    </row>
    <row r="2501" spans="3:20">
      <c r="C2501" s="152" t="s">
        <v>2821</v>
      </c>
      <c r="F2501" s="152" t="s">
        <v>660</v>
      </c>
      <c r="G2501" s="152" t="s">
        <v>661</v>
      </c>
      <c r="I2501" s="513">
        <v>14114625</v>
      </c>
      <c r="J2501" s="513">
        <v>9975</v>
      </c>
      <c r="K2501" s="513">
        <v>1415</v>
      </c>
      <c r="L2501" s="518" t="s">
        <v>3632</v>
      </c>
      <c r="M2501" s="152" t="s">
        <v>780</v>
      </c>
      <c r="N2501" s="152" t="s">
        <v>1407</v>
      </c>
      <c r="O2501" s="152" t="s">
        <v>3926</v>
      </c>
      <c r="P2501" s="152" t="s">
        <v>3489</v>
      </c>
      <c r="Q2501" s="152" t="s">
        <v>3927</v>
      </c>
      <c r="R2501" s="152" t="s">
        <v>1432</v>
      </c>
      <c r="S2501" s="152" t="s">
        <v>3928</v>
      </c>
      <c r="T2501" s="152" t="s">
        <v>786</v>
      </c>
    </row>
    <row r="2502" spans="3:20">
      <c r="C2502" s="152" t="s">
        <v>2821</v>
      </c>
      <c r="F2502" s="152" t="s">
        <v>660</v>
      </c>
      <c r="G2502" s="152" t="s">
        <v>661</v>
      </c>
      <c r="I2502" s="513">
        <v>-180129.5</v>
      </c>
      <c r="J2502" s="513">
        <v>-127.3</v>
      </c>
      <c r="K2502" s="513">
        <v>1415</v>
      </c>
      <c r="L2502" s="518" t="s">
        <v>3632</v>
      </c>
      <c r="M2502" s="152" t="s">
        <v>780</v>
      </c>
      <c r="N2502" s="152" t="s">
        <v>1407</v>
      </c>
      <c r="O2502" s="152" t="s">
        <v>3865</v>
      </c>
      <c r="P2502" s="152" t="s">
        <v>3489</v>
      </c>
      <c r="Q2502" s="152" t="s">
        <v>3866</v>
      </c>
      <c r="R2502" s="152" t="s">
        <v>3934</v>
      </c>
      <c r="S2502" s="152" t="s">
        <v>3867</v>
      </c>
      <c r="T2502" s="152" t="s">
        <v>786</v>
      </c>
    </row>
    <row r="2503" spans="3:20">
      <c r="C2503" s="152" t="s">
        <v>2821</v>
      </c>
      <c r="F2503" s="152" t="s">
        <v>660</v>
      </c>
      <c r="G2503" s="152" t="s">
        <v>661</v>
      </c>
      <c r="I2503" s="513">
        <v>-335795</v>
      </c>
      <c r="J2503" s="513">
        <v>-239</v>
      </c>
      <c r="K2503" s="513">
        <v>1405</v>
      </c>
      <c r="L2503" s="518" t="s">
        <v>3493</v>
      </c>
      <c r="M2503" s="152" t="s">
        <v>780</v>
      </c>
      <c r="N2503" s="152" t="s">
        <v>1407</v>
      </c>
      <c r="O2503" s="152" t="s">
        <v>3695</v>
      </c>
      <c r="P2503" s="152" t="s">
        <v>3489</v>
      </c>
      <c r="Q2503" s="152" t="s">
        <v>3696</v>
      </c>
      <c r="R2503" s="152" t="s">
        <v>3953</v>
      </c>
      <c r="S2503" s="152" t="s">
        <v>3698</v>
      </c>
      <c r="T2503" s="152" t="s">
        <v>786</v>
      </c>
    </row>
    <row r="2504" spans="3:20">
      <c r="C2504" s="152" t="s">
        <v>2821</v>
      </c>
      <c r="F2504" s="152" t="s">
        <v>660</v>
      </c>
      <c r="G2504" s="152" t="s">
        <v>661</v>
      </c>
      <c r="I2504" s="513">
        <v>-2830000</v>
      </c>
      <c r="J2504" s="513">
        <v>-2000</v>
      </c>
      <c r="K2504" s="513">
        <v>1415</v>
      </c>
      <c r="L2504" s="518" t="s">
        <v>3632</v>
      </c>
      <c r="M2504" s="152" t="s">
        <v>780</v>
      </c>
      <c r="N2504" s="152" t="s">
        <v>1407</v>
      </c>
      <c r="O2504" s="152" t="s">
        <v>3865</v>
      </c>
      <c r="P2504" s="152" t="s">
        <v>3489</v>
      </c>
      <c r="Q2504" s="152" t="s">
        <v>3866</v>
      </c>
      <c r="R2504" s="152" t="s">
        <v>4006</v>
      </c>
      <c r="S2504" s="152" t="s">
        <v>3867</v>
      </c>
      <c r="T2504" s="152" t="s">
        <v>786</v>
      </c>
    </row>
    <row r="2505" spans="3:20">
      <c r="C2505" s="152" t="s">
        <v>2821</v>
      </c>
      <c r="F2505" s="152" t="s">
        <v>660</v>
      </c>
      <c r="G2505" s="152" t="s">
        <v>661</v>
      </c>
      <c r="I2505" s="513">
        <v>-84515.4</v>
      </c>
      <c r="J2505" s="513">
        <v>-59.94</v>
      </c>
      <c r="K2505" s="513">
        <v>1410</v>
      </c>
      <c r="L2505" s="518" t="s">
        <v>3498</v>
      </c>
      <c r="M2505" s="152" t="s">
        <v>780</v>
      </c>
      <c r="N2505" s="152" t="s">
        <v>1407</v>
      </c>
      <c r="O2505" s="152" t="s">
        <v>4011</v>
      </c>
      <c r="P2505" s="152" t="s">
        <v>3489</v>
      </c>
      <c r="Q2505" s="152" t="s">
        <v>4012</v>
      </c>
      <c r="R2505" s="152" t="s">
        <v>4013</v>
      </c>
      <c r="S2505" s="152" t="s">
        <v>4014</v>
      </c>
      <c r="T2505" s="152" t="s">
        <v>786</v>
      </c>
    </row>
    <row r="2506" spans="3:20">
      <c r="C2506" s="152" t="s">
        <v>2821</v>
      </c>
      <c r="F2506" s="152" t="s">
        <v>660</v>
      </c>
      <c r="G2506" s="152" t="s">
        <v>661</v>
      </c>
      <c r="I2506" s="513">
        <v>-119700</v>
      </c>
      <c r="J2506" s="513">
        <v>-84</v>
      </c>
      <c r="K2506" s="513">
        <v>1425</v>
      </c>
      <c r="L2506" s="518" t="s">
        <v>3504</v>
      </c>
      <c r="M2506" s="152" t="s">
        <v>780</v>
      </c>
      <c r="N2506" s="152" t="s">
        <v>1407</v>
      </c>
      <c r="O2506" s="152" t="s">
        <v>3768</v>
      </c>
      <c r="P2506" s="152" t="s">
        <v>3489</v>
      </c>
      <c r="Q2506" s="152" t="s">
        <v>3769</v>
      </c>
      <c r="R2506" s="152" t="s">
        <v>4021</v>
      </c>
      <c r="S2506" s="152" t="s">
        <v>3771</v>
      </c>
      <c r="T2506" s="152" t="s">
        <v>786</v>
      </c>
    </row>
    <row r="2507" spans="3:20">
      <c r="C2507" s="152" t="s">
        <v>2821</v>
      </c>
      <c r="F2507" s="152" t="s">
        <v>660</v>
      </c>
      <c r="G2507" s="152" t="s">
        <v>661</v>
      </c>
      <c r="I2507" s="513">
        <v>-2514240</v>
      </c>
      <c r="J2507" s="513">
        <v>-1746</v>
      </c>
      <c r="K2507" s="513">
        <v>1440</v>
      </c>
      <c r="L2507" s="518" t="s">
        <v>3517</v>
      </c>
      <c r="M2507" s="152" t="s">
        <v>780</v>
      </c>
      <c r="N2507" s="152" t="s">
        <v>1407</v>
      </c>
      <c r="O2507" s="152" t="s">
        <v>3862</v>
      </c>
      <c r="P2507" s="152" t="s">
        <v>892</v>
      </c>
      <c r="Q2507" s="152" t="s">
        <v>3863</v>
      </c>
      <c r="R2507" s="152" t="s">
        <v>4027</v>
      </c>
      <c r="S2507" s="152" t="s">
        <v>3864</v>
      </c>
      <c r="T2507" s="152" t="s">
        <v>786</v>
      </c>
    </row>
    <row r="2508" spans="3:20">
      <c r="C2508" s="152" t="s">
        <v>2821</v>
      </c>
      <c r="F2508" s="152" t="s">
        <v>660</v>
      </c>
      <c r="G2508" s="152" t="s">
        <v>661</v>
      </c>
      <c r="I2508" s="513">
        <v>-6555000</v>
      </c>
      <c r="J2508" s="513">
        <v>-4600</v>
      </c>
      <c r="K2508" s="513">
        <v>1425</v>
      </c>
      <c r="L2508" s="518" t="s">
        <v>3637</v>
      </c>
      <c r="M2508" s="152" t="s">
        <v>780</v>
      </c>
      <c r="N2508" s="152" t="s">
        <v>1407</v>
      </c>
      <c r="O2508" s="152" t="s">
        <v>3699</v>
      </c>
      <c r="P2508" s="152" t="s">
        <v>2865</v>
      </c>
      <c r="Q2508" s="152" t="s">
        <v>3700</v>
      </c>
      <c r="R2508" s="152" t="s">
        <v>4030</v>
      </c>
      <c r="S2508" s="152" t="s">
        <v>3701</v>
      </c>
      <c r="T2508" s="152" t="s">
        <v>786</v>
      </c>
    </row>
    <row r="2509" spans="3:20">
      <c r="C2509" s="152" t="s">
        <v>2821</v>
      </c>
      <c r="F2509" s="152" t="s">
        <v>660</v>
      </c>
      <c r="G2509" s="152" t="s">
        <v>661</v>
      </c>
      <c r="I2509" s="513">
        <v>-225475.20000000001</v>
      </c>
      <c r="J2509" s="513">
        <v>-156.58000000000001</v>
      </c>
      <c r="K2509" s="513">
        <v>1440</v>
      </c>
      <c r="L2509" s="518" t="s">
        <v>3517</v>
      </c>
      <c r="M2509" s="152" t="s">
        <v>780</v>
      </c>
      <c r="N2509" s="152" t="s">
        <v>1407</v>
      </c>
      <c r="O2509" s="152" t="s">
        <v>3862</v>
      </c>
      <c r="P2509" s="152" t="s">
        <v>892</v>
      </c>
      <c r="Q2509" s="152" t="s">
        <v>3863</v>
      </c>
      <c r="R2509" s="152" t="s">
        <v>4034</v>
      </c>
      <c r="S2509" s="152" t="s">
        <v>3864</v>
      </c>
      <c r="T2509" s="152" t="s">
        <v>786</v>
      </c>
    </row>
    <row r="2510" spans="3:20">
      <c r="C2510" s="152" t="s">
        <v>2821</v>
      </c>
      <c r="F2510" s="152" t="s">
        <v>660</v>
      </c>
      <c r="G2510" s="152" t="s">
        <v>661</v>
      </c>
      <c r="I2510" s="513">
        <v>-1296750</v>
      </c>
      <c r="J2510" s="513">
        <v>-910</v>
      </c>
      <c r="K2510" s="513">
        <v>1425</v>
      </c>
      <c r="L2510" s="518" t="s">
        <v>3504</v>
      </c>
      <c r="M2510" s="152" t="s">
        <v>780</v>
      </c>
      <c r="N2510" s="152" t="s">
        <v>1407</v>
      </c>
      <c r="O2510" s="152" t="s">
        <v>3768</v>
      </c>
      <c r="P2510" s="152" t="s">
        <v>3489</v>
      </c>
      <c r="Q2510" s="152" t="s">
        <v>3769</v>
      </c>
      <c r="R2510" s="152" t="s">
        <v>4071</v>
      </c>
      <c r="S2510" s="152" t="s">
        <v>3771</v>
      </c>
      <c r="T2510" s="152" t="s">
        <v>786</v>
      </c>
    </row>
    <row r="2511" spans="3:20">
      <c r="C2511" s="152" t="s">
        <v>2821</v>
      </c>
      <c r="F2511" s="152" t="s">
        <v>660</v>
      </c>
      <c r="G2511" s="152" t="s">
        <v>661</v>
      </c>
      <c r="I2511" s="513">
        <v>-902025</v>
      </c>
      <c r="J2511" s="513">
        <v>-633</v>
      </c>
      <c r="K2511" s="513">
        <v>1425</v>
      </c>
      <c r="L2511" s="518" t="s">
        <v>3504</v>
      </c>
      <c r="M2511" s="152" t="s">
        <v>780</v>
      </c>
      <c r="N2511" s="152" t="s">
        <v>1407</v>
      </c>
      <c r="O2511" s="152" t="s">
        <v>3768</v>
      </c>
      <c r="P2511" s="152" t="s">
        <v>3489</v>
      </c>
      <c r="Q2511" s="152" t="s">
        <v>3769</v>
      </c>
      <c r="R2511" s="152" t="s">
        <v>4072</v>
      </c>
      <c r="S2511" s="152" t="s">
        <v>3771</v>
      </c>
      <c r="T2511" s="152" t="s">
        <v>786</v>
      </c>
    </row>
    <row r="2512" spans="3:20">
      <c r="C2512" s="152" t="s">
        <v>2821</v>
      </c>
      <c r="F2512" s="152" t="s">
        <v>660</v>
      </c>
      <c r="G2512" s="152" t="s">
        <v>661</v>
      </c>
      <c r="I2512" s="513">
        <v>-990500</v>
      </c>
      <c r="J2512" s="513">
        <v>-700</v>
      </c>
      <c r="K2512" s="513">
        <v>1415</v>
      </c>
      <c r="L2512" s="518" t="s">
        <v>3632</v>
      </c>
      <c r="M2512" s="152" t="s">
        <v>780</v>
      </c>
      <c r="N2512" s="152" t="s">
        <v>1407</v>
      </c>
      <c r="O2512" s="152" t="s">
        <v>3865</v>
      </c>
      <c r="P2512" s="152" t="s">
        <v>3489</v>
      </c>
      <c r="Q2512" s="152" t="s">
        <v>3866</v>
      </c>
      <c r="R2512" s="152" t="s">
        <v>4089</v>
      </c>
      <c r="S2512" s="152" t="s">
        <v>3867</v>
      </c>
      <c r="T2512" s="152" t="s">
        <v>786</v>
      </c>
    </row>
    <row r="2513" spans="3:20">
      <c r="C2513" s="152" t="s">
        <v>2821</v>
      </c>
      <c r="F2513" s="152" t="s">
        <v>660</v>
      </c>
      <c r="G2513" s="152" t="s">
        <v>661</v>
      </c>
      <c r="I2513" s="513">
        <v>-3070550</v>
      </c>
      <c r="J2513" s="513">
        <v>-2170</v>
      </c>
      <c r="K2513" s="513">
        <v>1415</v>
      </c>
      <c r="L2513" s="518" t="s">
        <v>3632</v>
      </c>
      <c r="M2513" s="152" t="s">
        <v>780</v>
      </c>
      <c r="N2513" s="152" t="s">
        <v>1407</v>
      </c>
      <c r="O2513" s="152" t="s">
        <v>3865</v>
      </c>
      <c r="P2513" s="152" t="s">
        <v>3489</v>
      </c>
      <c r="Q2513" s="152" t="s">
        <v>3866</v>
      </c>
      <c r="R2513" s="152" t="s">
        <v>4090</v>
      </c>
      <c r="S2513" s="152" t="s">
        <v>3867</v>
      </c>
      <c r="T2513" s="152" t="s">
        <v>786</v>
      </c>
    </row>
    <row r="2514" spans="3:20">
      <c r="C2514" s="152" t="s">
        <v>2821</v>
      </c>
      <c r="F2514" s="152" t="s">
        <v>660</v>
      </c>
      <c r="G2514" s="152" t="s">
        <v>661</v>
      </c>
      <c r="I2514" s="513">
        <v>11200000</v>
      </c>
      <c r="J2514" s="513">
        <v>8000</v>
      </c>
      <c r="K2514" s="513">
        <v>1400</v>
      </c>
      <c r="L2514" s="518" t="s">
        <v>3659</v>
      </c>
      <c r="M2514" s="152" t="s">
        <v>780</v>
      </c>
      <c r="N2514" s="152" t="s">
        <v>1407</v>
      </c>
      <c r="O2514" s="152" t="s">
        <v>4091</v>
      </c>
      <c r="P2514" s="152" t="s">
        <v>3489</v>
      </c>
      <c r="Q2514" s="152" t="s">
        <v>4092</v>
      </c>
      <c r="R2514" s="152" t="s">
        <v>4093</v>
      </c>
      <c r="S2514" s="152" t="s">
        <v>4094</v>
      </c>
      <c r="T2514" s="152" t="s">
        <v>786</v>
      </c>
    </row>
    <row r="2515" spans="3:20">
      <c r="C2515" s="152" t="s">
        <v>2821</v>
      </c>
      <c r="F2515" s="152" t="s">
        <v>660</v>
      </c>
      <c r="G2515" s="152" t="s">
        <v>661</v>
      </c>
      <c r="I2515" s="513">
        <v>8490000</v>
      </c>
      <c r="J2515" s="513">
        <v>6000</v>
      </c>
      <c r="K2515" s="513">
        <v>1415</v>
      </c>
      <c r="L2515" s="518" t="s">
        <v>3632</v>
      </c>
      <c r="M2515" s="152" t="s">
        <v>780</v>
      </c>
      <c r="N2515" s="152" t="s">
        <v>1407</v>
      </c>
      <c r="O2515" s="152" t="s">
        <v>3926</v>
      </c>
      <c r="P2515" s="152" t="s">
        <v>3489</v>
      </c>
      <c r="Q2515" s="152" t="s">
        <v>3927</v>
      </c>
      <c r="R2515" s="152" t="s">
        <v>4093</v>
      </c>
      <c r="S2515" s="152" t="s">
        <v>3928</v>
      </c>
      <c r="T2515" s="152" t="s">
        <v>786</v>
      </c>
    </row>
    <row r="2516" spans="3:20">
      <c r="C2516" s="152" t="s">
        <v>2821</v>
      </c>
      <c r="F2516" s="152" t="s">
        <v>660</v>
      </c>
      <c r="G2516" s="152" t="s">
        <v>661</v>
      </c>
      <c r="I2516" s="513">
        <v>2830000</v>
      </c>
      <c r="J2516" s="513">
        <v>2000</v>
      </c>
      <c r="K2516" s="513">
        <v>1415</v>
      </c>
      <c r="L2516" s="518" t="s">
        <v>3632</v>
      </c>
      <c r="M2516" s="152" t="s">
        <v>780</v>
      </c>
      <c r="N2516" s="152" t="s">
        <v>1407</v>
      </c>
      <c r="O2516" s="152" t="s">
        <v>3926</v>
      </c>
      <c r="P2516" s="152" t="s">
        <v>3489</v>
      </c>
      <c r="Q2516" s="152" t="s">
        <v>3927</v>
      </c>
      <c r="R2516" s="152" t="s">
        <v>4093</v>
      </c>
      <c r="S2516" s="152" t="s">
        <v>3928</v>
      </c>
      <c r="T2516" s="152" t="s">
        <v>786</v>
      </c>
    </row>
    <row r="2517" spans="3:20">
      <c r="C2517" s="152" t="s">
        <v>2821</v>
      </c>
      <c r="F2517" s="152" t="s">
        <v>660</v>
      </c>
      <c r="G2517" s="152" t="s">
        <v>661</v>
      </c>
      <c r="I2517" s="513">
        <v>7125000</v>
      </c>
      <c r="J2517" s="513">
        <v>5000</v>
      </c>
      <c r="K2517" s="513">
        <v>1425</v>
      </c>
      <c r="L2517" s="518" t="s">
        <v>3504</v>
      </c>
      <c r="M2517" s="152" t="s">
        <v>780</v>
      </c>
      <c r="N2517" s="152" t="s">
        <v>1407</v>
      </c>
      <c r="O2517" s="152" t="s">
        <v>3920</v>
      </c>
      <c r="P2517" s="152" t="s">
        <v>3489</v>
      </c>
      <c r="Q2517" s="152" t="s">
        <v>3921</v>
      </c>
      <c r="R2517" s="152" t="s">
        <v>2318</v>
      </c>
      <c r="S2517" s="152" t="s">
        <v>3922</v>
      </c>
      <c r="T2517" s="152" t="s">
        <v>786</v>
      </c>
    </row>
    <row r="2518" spans="3:20">
      <c r="C2518" s="152" t="s">
        <v>2821</v>
      </c>
      <c r="F2518" s="152" t="s">
        <v>660</v>
      </c>
      <c r="G2518" s="152" t="s">
        <v>661</v>
      </c>
      <c r="I2518" s="513">
        <v>2830000</v>
      </c>
      <c r="J2518" s="513">
        <v>2000</v>
      </c>
      <c r="K2518" s="513">
        <v>1415</v>
      </c>
      <c r="L2518" s="518" t="s">
        <v>3632</v>
      </c>
      <c r="M2518" s="152" t="s">
        <v>780</v>
      </c>
      <c r="N2518" s="152" t="s">
        <v>1407</v>
      </c>
      <c r="O2518" s="152" t="s">
        <v>3926</v>
      </c>
      <c r="P2518" s="152" t="s">
        <v>3489</v>
      </c>
      <c r="Q2518" s="152" t="s">
        <v>3927</v>
      </c>
      <c r="R2518" s="152" t="s">
        <v>2318</v>
      </c>
      <c r="S2518" s="152" t="s">
        <v>3928</v>
      </c>
      <c r="T2518" s="152" t="s">
        <v>786</v>
      </c>
    </row>
    <row r="2519" spans="3:20">
      <c r="C2519" s="152" t="s">
        <v>2821</v>
      </c>
      <c r="F2519" s="152" t="s">
        <v>660</v>
      </c>
      <c r="G2519" s="152" t="s">
        <v>661</v>
      </c>
      <c r="I2519" s="513">
        <v>4245000</v>
      </c>
      <c r="J2519" s="513">
        <v>3000</v>
      </c>
      <c r="K2519" s="513">
        <v>1415</v>
      </c>
      <c r="L2519" s="518" t="s">
        <v>3632</v>
      </c>
      <c r="M2519" s="152" t="s">
        <v>780</v>
      </c>
      <c r="N2519" s="152" t="s">
        <v>1407</v>
      </c>
      <c r="O2519" s="152" t="s">
        <v>3926</v>
      </c>
      <c r="P2519" s="152" t="s">
        <v>3489</v>
      </c>
      <c r="Q2519" s="152" t="s">
        <v>3927</v>
      </c>
      <c r="R2519" s="152" t="s">
        <v>2318</v>
      </c>
      <c r="S2519" s="152" t="s">
        <v>3928</v>
      </c>
      <c r="T2519" s="152" t="s">
        <v>786</v>
      </c>
    </row>
    <row r="2520" spans="3:20">
      <c r="C2520" s="152" t="s">
        <v>2821</v>
      </c>
      <c r="F2520" s="152" t="s">
        <v>660</v>
      </c>
      <c r="G2520" s="152" t="s">
        <v>661</v>
      </c>
      <c r="I2520" s="513">
        <v>-2978052</v>
      </c>
      <c r="J2520" s="513">
        <v>-2127.1799999999998</v>
      </c>
      <c r="K2520" s="513">
        <v>1400</v>
      </c>
      <c r="L2520" s="518" t="s">
        <v>3659</v>
      </c>
      <c r="M2520" s="152" t="s">
        <v>780</v>
      </c>
      <c r="N2520" s="152" t="s">
        <v>1407</v>
      </c>
      <c r="O2520" s="152" t="s">
        <v>3702</v>
      </c>
      <c r="P2520" s="152" t="s">
        <v>3489</v>
      </c>
      <c r="Q2520" s="152" t="s">
        <v>3703</v>
      </c>
      <c r="R2520" s="152" t="s">
        <v>4100</v>
      </c>
      <c r="S2520" s="152" t="s">
        <v>3704</v>
      </c>
      <c r="T2520" s="152" t="s">
        <v>786</v>
      </c>
    </row>
    <row r="2521" spans="3:20">
      <c r="C2521" s="152" t="s">
        <v>2821</v>
      </c>
      <c r="F2521" s="152" t="s">
        <v>660</v>
      </c>
      <c r="G2521" s="152" t="s">
        <v>661</v>
      </c>
      <c r="I2521" s="513">
        <v>-8430000</v>
      </c>
      <c r="J2521" s="513">
        <v>-6000</v>
      </c>
      <c r="K2521" s="513">
        <v>1405</v>
      </c>
      <c r="L2521" s="518" t="s">
        <v>3493</v>
      </c>
      <c r="M2521" s="152" t="s">
        <v>780</v>
      </c>
      <c r="N2521" s="152" t="s">
        <v>1407</v>
      </c>
      <c r="O2521" s="152" t="s">
        <v>4898</v>
      </c>
      <c r="P2521" s="152" t="s">
        <v>3489</v>
      </c>
      <c r="Q2521" s="152" t="s">
        <v>4899</v>
      </c>
      <c r="R2521" s="152" t="s">
        <v>4900</v>
      </c>
      <c r="S2521" s="152" t="s">
        <v>4901</v>
      </c>
      <c r="T2521" s="152" t="s">
        <v>786</v>
      </c>
    </row>
    <row r="2522" spans="3:20">
      <c r="C2522" s="152" t="s">
        <v>2821</v>
      </c>
      <c r="F2522" s="152" t="s">
        <v>660</v>
      </c>
      <c r="G2522" s="152" t="s">
        <v>661</v>
      </c>
      <c r="I2522" s="513">
        <v>-2810000</v>
      </c>
      <c r="J2522" s="513">
        <v>-2000</v>
      </c>
      <c r="K2522" s="513">
        <v>1405</v>
      </c>
      <c r="L2522" s="518" t="s">
        <v>3493</v>
      </c>
      <c r="M2522" s="152" t="s">
        <v>780</v>
      </c>
      <c r="N2522" s="152" t="s">
        <v>1407</v>
      </c>
      <c r="O2522" s="152" t="s">
        <v>4898</v>
      </c>
      <c r="P2522" s="152" t="s">
        <v>3489</v>
      </c>
      <c r="Q2522" s="152" t="s">
        <v>4899</v>
      </c>
      <c r="R2522" s="152" t="s">
        <v>4900</v>
      </c>
      <c r="S2522" s="152" t="s">
        <v>4901</v>
      </c>
      <c r="T2522" s="152" t="s">
        <v>786</v>
      </c>
    </row>
    <row r="2523" spans="3:20">
      <c r="C2523" s="152" t="s">
        <v>2821</v>
      </c>
      <c r="F2523" s="152" t="s">
        <v>660</v>
      </c>
      <c r="G2523" s="152" t="s">
        <v>661</v>
      </c>
      <c r="I2523" s="513">
        <v>-8490000</v>
      </c>
      <c r="J2523" s="513">
        <v>-6000</v>
      </c>
      <c r="K2523" s="513">
        <v>1415</v>
      </c>
      <c r="L2523" s="518" t="s">
        <v>3493</v>
      </c>
      <c r="M2523" s="152" t="s">
        <v>780</v>
      </c>
      <c r="N2523" s="152" t="s">
        <v>1407</v>
      </c>
      <c r="O2523" s="152" t="s">
        <v>4905</v>
      </c>
      <c r="P2523" s="152" t="s">
        <v>3489</v>
      </c>
      <c r="Q2523" s="152" t="s">
        <v>4906</v>
      </c>
      <c r="R2523" s="152" t="s">
        <v>4900</v>
      </c>
      <c r="S2523" s="152" t="s">
        <v>4907</v>
      </c>
      <c r="T2523" s="152" t="s">
        <v>786</v>
      </c>
    </row>
    <row r="2524" spans="3:20">
      <c r="C2524" s="152" t="s">
        <v>2821</v>
      </c>
      <c r="F2524" s="152" t="s">
        <v>660</v>
      </c>
      <c r="G2524" s="152" t="s">
        <v>661</v>
      </c>
      <c r="I2524" s="513">
        <v>-2830000</v>
      </c>
      <c r="J2524" s="513">
        <v>-2000</v>
      </c>
      <c r="K2524" s="513">
        <v>1415</v>
      </c>
      <c r="L2524" s="518" t="s">
        <v>3493</v>
      </c>
      <c r="M2524" s="152" t="s">
        <v>780</v>
      </c>
      <c r="N2524" s="152" t="s">
        <v>1407</v>
      </c>
      <c r="O2524" s="152" t="s">
        <v>4905</v>
      </c>
      <c r="P2524" s="152" t="s">
        <v>3489</v>
      </c>
      <c r="Q2524" s="152" t="s">
        <v>4906</v>
      </c>
      <c r="R2524" s="152" t="s">
        <v>4900</v>
      </c>
      <c r="S2524" s="152" t="s">
        <v>4907</v>
      </c>
      <c r="T2524" s="152" t="s">
        <v>786</v>
      </c>
    </row>
    <row r="2525" spans="3:20">
      <c r="C2525" s="152" t="s">
        <v>2821</v>
      </c>
      <c r="F2525" s="152" t="s">
        <v>660</v>
      </c>
      <c r="G2525" s="152" t="s">
        <v>661</v>
      </c>
      <c r="I2525" s="513">
        <v>-11240000</v>
      </c>
      <c r="J2525" s="513">
        <v>-8000</v>
      </c>
      <c r="K2525" s="513">
        <v>1405</v>
      </c>
      <c r="L2525" s="518" t="s">
        <v>3493</v>
      </c>
      <c r="M2525" s="152" t="s">
        <v>780</v>
      </c>
      <c r="N2525" s="152" t="s">
        <v>1407</v>
      </c>
      <c r="O2525" s="152" t="s">
        <v>4898</v>
      </c>
      <c r="P2525" s="152" t="s">
        <v>3489</v>
      </c>
      <c r="Q2525" s="152" t="s">
        <v>4899</v>
      </c>
      <c r="R2525" s="152" t="s">
        <v>4908</v>
      </c>
      <c r="S2525" s="152" t="s">
        <v>4901</v>
      </c>
      <c r="T2525" s="152" t="s">
        <v>786</v>
      </c>
    </row>
    <row r="2526" spans="3:20">
      <c r="C2526" s="152" t="s">
        <v>2821</v>
      </c>
      <c r="F2526" s="152" t="s">
        <v>660</v>
      </c>
      <c r="G2526" s="152" t="s">
        <v>661</v>
      </c>
      <c r="I2526" s="513">
        <v>-11320000</v>
      </c>
      <c r="J2526" s="513">
        <v>-8000</v>
      </c>
      <c r="K2526" s="513">
        <v>1415</v>
      </c>
      <c r="L2526" s="518" t="s">
        <v>3493</v>
      </c>
      <c r="M2526" s="152" t="s">
        <v>780</v>
      </c>
      <c r="N2526" s="152" t="s">
        <v>1407</v>
      </c>
      <c r="O2526" s="152" t="s">
        <v>4905</v>
      </c>
      <c r="P2526" s="152" t="s">
        <v>3489</v>
      </c>
      <c r="Q2526" s="152" t="s">
        <v>4906</v>
      </c>
      <c r="R2526" s="152" t="s">
        <v>4908</v>
      </c>
      <c r="S2526" s="152" t="s">
        <v>4907</v>
      </c>
      <c r="T2526" s="152" t="s">
        <v>786</v>
      </c>
    </row>
    <row r="2527" spans="3:20">
      <c r="C2527" s="152" t="s">
        <v>2821</v>
      </c>
      <c r="F2527" s="152" t="s">
        <v>660</v>
      </c>
      <c r="G2527" s="152" t="s">
        <v>661</v>
      </c>
      <c r="I2527" s="513">
        <v>-23040000</v>
      </c>
      <c r="J2527" s="513">
        <v>-16000</v>
      </c>
      <c r="K2527" s="513">
        <v>1440</v>
      </c>
      <c r="L2527" s="518" t="s">
        <v>3916</v>
      </c>
      <c r="M2527" s="152" t="s">
        <v>780</v>
      </c>
      <c r="N2527" s="152" t="s">
        <v>1407</v>
      </c>
      <c r="O2527" s="152" t="s">
        <v>4970</v>
      </c>
      <c r="P2527" s="152" t="s">
        <v>892</v>
      </c>
      <c r="Q2527" s="152" t="s">
        <v>4971</v>
      </c>
      <c r="R2527" s="152" t="s">
        <v>4971</v>
      </c>
      <c r="S2527" s="152" t="s">
        <v>4972</v>
      </c>
      <c r="T2527" s="152" t="s">
        <v>786</v>
      </c>
    </row>
    <row r="2528" spans="3:20">
      <c r="C2528" s="152" t="s">
        <v>2821</v>
      </c>
      <c r="F2528" s="152" t="s">
        <v>660</v>
      </c>
      <c r="G2528" s="152" t="s">
        <v>661</v>
      </c>
      <c r="I2528" s="513">
        <v>-22800000</v>
      </c>
      <c r="J2528" s="513">
        <v>-16000</v>
      </c>
      <c r="K2528" s="513">
        <v>1425</v>
      </c>
      <c r="L2528" s="518" t="s">
        <v>3504</v>
      </c>
      <c r="M2528" s="152" t="s">
        <v>780</v>
      </c>
      <c r="N2528" s="152" t="s">
        <v>1407</v>
      </c>
      <c r="O2528" s="152" t="s">
        <v>5069</v>
      </c>
      <c r="P2528" s="152" t="s">
        <v>3489</v>
      </c>
      <c r="Q2528" s="152" t="s">
        <v>5070</v>
      </c>
      <c r="R2528" s="152" t="s">
        <v>5070</v>
      </c>
      <c r="S2528" s="152" t="s">
        <v>5071</v>
      </c>
      <c r="T2528" s="152" t="s">
        <v>786</v>
      </c>
    </row>
    <row r="2529" spans="3:20">
      <c r="C2529" s="152" t="s">
        <v>2821</v>
      </c>
      <c r="F2529" s="152" t="s">
        <v>660</v>
      </c>
      <c r="G2529" s="152" t="s">
        <v>661</v>
      </c>
      <c r="I2529" s="513">
        <v>-7125000</v>
      </c>
      <c r="J2529" s="513">
        <v>-5000</v>
      </c>
      <c r="K2529" s="513">
        <v>1425</v>
      </c>
      <c r="L2529" s="518" t="s">
        <v>3504</v>
      </c>
      <c r="M2529" s="152" t="s">
        <v>780</v>
      </c>
      <c r="N2529" s="152" t="s">
        <v>1407</v>
      </c>
      <c r="O2529" s="152" t="s">
        <v>5072</v>
      </c>
      <c r="P2529" s="152" t="s">
        <v>3489</v>
      </c>
      <c r="Q2529" s="152" t="s">
        <v>5073</v>
      </c>
      <c r="R2529" s="152" t="s">
        <v>5073</v>
      </c>
      <c r="S2529" s="152" t="s">
        <v>5074</v>
      </c>
      <c r="T2529" s="152" t="s">
        <v>786</v>
      </c>
    </row>
    <row r="2530" spans="3:20">
      <c r="C2530" s="152" t="s">
        <v>2821</v>
      </c>
      <c r="F2530" s="152" t="s">
        <v>660</v>
      </c>
      <c r="G2530" s="152" t="s">
        <v>661</v>
      </c>
      <c r="I2530" s="513">
        <v>-42300000</v>
      </c>
      <c r="J2530" s="513">
        <v>-30000</v>
      </c>
      <c r="K2530" s="513">
        <v>1410</v>
      </c>
      <c r="L2530" s="518" t="s">
        <v>3498</v>
      </c>
      <c r="M2530" s="152" t="s">
        <v>780</v>
      </c>
      <c r="N2530" s="152" t="s">
        <v>1407</v>
      </c>
      <c r="O2530" s="152" t="s">
        <v>5075</v>
      </c>
      <c r="P2530" s="152" t="s">
        <v>3489</v>
      </c>
      <c r="Q2530" s="152" t="s">
        <v>5076</v>
      </c>
      <c r="R2530" s="152" t="s">
        <v>5076</v>
      </c>
      <c r="S2530" s="152" t="s">
        <v>5077</v>
      </c>
      <c r="T2530" s="152" t="s">
        <v>786</v>
      </c>
    </row>
    <row r="2531" spans="3:20">
      <c r="C2531" s="152" t="s">
        <v>2821</v>
      </c>
      <c r="F2531" s="152" t="s">
        <v>660</v>
      </c>
      <c r="G2531" s="152" t="s">
        <v>661</v>
      </c>
      <c r="I2531" s="513">
        <v>-5640000</v>
      </c>
      <c r="J2531" s="513">
        <v>-4000</v>
      </c>
      <c r="K2531" s="513">
        <v>1410</v>
      </c>
      <c r="L2531" s="518" t="s">
        <v>3498</v>
      </c>
      <c r="M2531" s="152" t="s">
        <v>780</v>
      </c>
      <c r="N2531" s="152" t="s">
        <v>1407</v>
      </c>
      <c r="O2531" s="152" t="s">
        <v>5078</v>
      </c>
      <c r="P2531" s="152" t="s">
        <v>3489</v>
      </c>
      <c r="Q2531" s="152" t="s">
        <v>5079</v>
      </c>
      <c r="R2531" s="152" t="s">
        <v>5079</v>
      </c>
      <c r="S2531" s="152" t="s">
        <v>5080</v>
      </c>
      <c r="T2531" s="152" t="s">
        <v>786</v>
      </c>
    </row>
    <row r="2532" spans="3:20">
      <c r="C2532" s="152" t="s">
        <v>2821</v>
      </c>
      <c r="F2532" s="152" t="s">
        <v>373</v>
      </c>
      <c r="G2532" s="152" t="s">
        <v>374</v>
      </c>
      <c r="I2532" s="513">
        <v>-4167175</v>
      </c>
      <c r="J2532" s="513">
        <v>-2945</v>
      </c>
      <c r="K2532" s="513">
        <v>1415</v>
      </c>
      <c r="L2532" s="518" t="s">
        <v>3511</v>
      </c>
      <c r="M2532" s="152" t="s">
        <v>1540</v>
      </c>
      <c r="N2532" s="152" t="s">
        <v>1272</v>
      </c>
      <c r="O2532" s="152" t="s">
        <v>5622</v>
      </c>
      <c r="P2532" s="152" t="s">
        <v>5400</v>
      </c>
      <c r="Q2532" s="152" t="s">
        <v>5623</v>
      </c>
      <c r="R2532" s="152" t="s">
        <v>5623</v>
      </c>
      <c r="S2532" s="152" t="s">
        <v>5624</v>
      </c>
      <c r="T2532" s="152" t="s">
        <v>786</v>
      </c>
    </row>
    <row r="2533" spans="3:20">
      <c r="C2533" s="152" t="s">
        <v>2821</v>
      </c>
      <c r="F2533" s="152" t="s">
        <v>373</v>
      </c>
      <c r="G2533" s="152" t="s">
        <v>374</v>
      </c>
      <c r="I2533" s="513">
        <v>4167175</v>
      </c>
      <c r="J2533" s="513">
        <v>2945</v>
      </c>
      <c r="K2533" s="513">
        <v>1415</v>
      </c>
      <c r="L2533" s="518" t="s">
        <v>3511</v>
      </c>
      <c r="M2533" s="152" t="s">
        <v>1540</v>
      </c>
      <c r="N2533" s="152" t="s">
        <v>1272</v>
      </c>
      <c r="O2533" s="152" t="s">
        <v>5661</v>
      </c>
      <c r="P2533" s="152" t="s">
        <v>5400</v>
      </c>
      <c r="Q2533" s="152" t="s">
        <v>5662</v>
      </c>
      <c r="R2533" s="152" t="s">
        <v>5662</v>
      </c>
      <c r="S2533" s="152" t="s">
        <v>5663</v>
      </c>
      <c r="T2533" s="152" t="s">
        <v>786</v>
      </c>
    </row>
    <row r="2534" spans="3:20">
      <c r="C2534" s="152" t="s">
        <v>2821</v>
      </c>
      <c r="F2534" s="152" t="s">
        <v>373</v>
      </c>
      <c r="G2534" s="152" t="s">
        <v>374</v>
      </c>
      <c r="I2534" s="513">
        <v>360000</v>
      </c>
      <c r="J2534" s="513">
        <v>250</v>
      </c>
      <c r="K2534" s="513">
        <v>1440</v>
      </c>
      <c r="L2534" s="518" t="s">
        <v>3517</v>
      </c>
      <c r="M2534" s="152" t="s">
        <v>1566</v>
      </c>
      <c r="N2534" s="152" t="s">
        <v>1407</v>
      </c>
      <c r="O2534" s="152" t="s">
        <v>4239</v>
      </c>
      <c r="P2534" s="152" t="s">
        <v>1881</v>
      </c>
      <c r="Q2534" s="152" t="s">
        <v>4240</v>
      </c>
      <c r="R2534" s="152" t="s">
        <v>4241</v>
      </c>
      <c r="S2534" s="152" t="s">
        <v>4242</v>
      </c>
      <c r="T2534" s="152" t="s">
        <v>786</v>
      </c>
    </row>
    <row r="2535" spans="3:20">
      <c r="C2535" s="152" t="s">
        <v>2821</v>
      </c>
      <c r="F2535" s="152" t="s">
        <v>373</v>
      </c>
      <c r="G2535" s="152" t="s">
        <v>374</v>
      </c>
      <c r="I2535" s="513">
        <v>489600</v>
      </c>
      <c r="J2535" s="513">
        <v>340</v>
      </c>
      <c r="K2535" s="513">
        <v>1440</v>
      </c>
      <c r="L2535" s="518" t="s">
        <v>3517</v>
      </c>
      <c r="M2535" s="152" t="s">
        <v>1566</v>
      </c>
      <c r="N2535" s="152" t="s">
        <v>1407</v>
      </c>
      <c r="O2535" s="152" t="s">
        <v>4243</v>
      </c>
      <c r="P2535" s="152" t="s">
        <v>1881</v>
      </c>
      <c r="Q2535" s="152" t="s">
        <v>4244</v>
      </c>
      <c r="R2535" s="152" t="s">
        <v>4241</v>
      </c>
      <c r="S2535" s="152" t="s">
        <v>4245</v>
      </c>
      <c r="T2535" s="152" t="s">
        <v>786</v>
      </c>
    </row>
    <row r="2536" spans="3:20">
      <c r="C2536" s="152" t="s">
        <v>2821</v>
      </c>
      <c r="F2536" s="152" t="s">
        <v>373</v>
      </c>
      <c r="G2536" s="152" t="s">
        <v>374</v>
      </c>
      <c r="I2536" s="513">
        <v>360000</v>
      </c>
      <c r="J2536" s="513">
        <v>250</v>
      </c>
      <c r="K2536" s="513">
        <v>1440</v>
      </c>
      <c r="L2536" s="518" t="s">
        <v>3517</v>
      </c>
      <c r="M2536" s="152" t="s">
        <v>1566</v>
      </c>
      <c r="N2536" s="152" t="s">
        <v>1407</v>
      </c>
      <c r="O2536" s="152" t="s">
        <v>4246</v>
      </c>
      <c r="P2536" s="152" t="s">
        <v>1881</v>
      </c>
      <c r="Q2536" s="152" t="s">
        <v>4247</v>
      </c>
      <c r="R2536" s="152" t="s">
        <v>4241</v>
      </c>
      <c r="S2536" s="152" t="s">
        <v>4248</v>
      </c>
      <c r="T2536" s="152" t="s">
        <v>786</v>
      </c>
    </row>
    <row r="2537" spans="3:20">
      <c r="C2537" s="152" t="s">
        <v>2821</v>
      </c>
      <c r="F2537" s="152" t="s">
        <v>373</v>
      </c>
      <c r="G2537" s="152" t="s">
        <v>374</v>
      </c>
      <c r="I2537" s="513">
        <v>1857600</v>
      </c>
      <c r="J2537" s="513">
        <v>1290</v>
      </c>
      <c r="K2537" s="513">
        <v>1440</v>
      </c>
      <c r="L2537" s="518" t="s">
        <v>3517</v>
      </c>
      <c r="M2537" s="152" t="s">
        <v>1566</v>
      </c>
      <c r="N2537" s="152" t="s">
        <v>1407</v>
      </c>
      <c r="O2537" s="152" t="s">
        <v>4249</v>
      </c>
      <c r="P2537" s="152" t="s">
        <v>1881</v>
      </c>
      <c r="Q2537" s="152" t="s">
        <v>4250</v>
      </c>
      <c r="R2537" s="152" t="s">
        <v>4241</v>
      </c>
      <c r="S2537" s="152" t="s">
        <v>4251</v>
      </c>
      <c r="T2537" s="152" t="s">
        <v>786</v>
      </c>
    </row>
    <row r="2538" spans="3:20">
      <c r="C2538" s="152" t="s">
        <v>2821</v>
      </c>
      <c r="F2538" s="152" t="s">
        <v>373</v>
      </c>
      <c r="G2538" s="152" t="s">
        <v>374</v>
      </c>
      <c r="I2538" s="513">
        <v>-360000</v>
      </c>
      <c r="J2538" s="513">
        <v>-250</v>
      </c>
      <c r="K2538" s="513">
        <v>1440</v>
      </c>
      <c r="L2538" s="518" t="s">
        <v>3517</v>
      </c>
      <c r="M2538" s="152" t="s">
        <v>1566</v>
      </c>
      <c r="N2538" s="152" t="s">
        <v>1407</v>
      </c>
      <c r="O2538" s="152" t="s">
        <v>4252</v>
      </c>
      <c r="P2538" s="152" t="s">
        <v>1881</v>
      </c>
      <c r="Q2538" s="152" t="s">
        <v>4253</v>
      </c>
      <c r="R2538" s="152" t="s">
        <v>4254</v>
      </c>
      <c r="S2538" s="152" t="s">
        <v>4255</v>
      </c>
      <c r="T2538" s="152" t="s">
        <v>786</v>
      </c>
    </row>
    <row r="2539" spans="3:20">
      <c r="C2539" s="152" t="s">
        <v>2821</v>
      </c>
      <c r="F2539" s="152" t="s">
        <v>373</v>
      </c>
      <c r="G2539" s="152" t="s">
        <v>374</v>
      </c>
      <c r="I2539" s="513">
        <v>6288525</v>
      </c>
      <c r="J2539" s="513">
        <v>4413</v>
      </c>
      <c r="K2539" s="513">
        <v>1425</v>
      </c>
      <c r="L2539" s="518" t="s">
        <v>3637</v>
      </c>
      <c r="M2539" s="152" t="s">
        <v>1566</v>
      </c>
      <c r="N2539" s="152" t="s">
        <v>1407</v>
      </c>
      <c r="O2539" s="152" t="s">
        <v>4256</v>
      </c>
      <c r="P2539" s="152" t="s">
        <v>1881</v>
      </c>
      <c r="Q2539" s="152" t="s">
        <v>4257</v>
      </c>
      <c r="R2539" s="152" t="s">
        <v>4258</v>
      </c>
      <c r="S2539" s="152" t="s">
        <v>4259</v>
      </c>
      <c r="T2539" s="152" t="s">
        <v>786</v>
      </c>
    </row>
    <row r="2540" spans="3:20">
      <c r="C2540" s="152" t="s">
        <v>2821</v>
      </c>
      <c r="F2540" s="152" t="s">
        <v>373</v>
      </c>
      <c r="G2540" s="152" t="s">
        <v>374</v>
      </c>
      <c r="I2540" s="513">
        <v>6915525</v>
      </c>
      <c r="J2540" s="513">
        <v>4853</v>
      </c>
      <c r="K2540" s="513">
        <v>1425</v>
      </c>
      <c r="L2540" s="518" t="s">
        <v>3637</v>
      </c>
      <c r="M2540" s="152" t="s">
        <v>1566</v>
      </c>
      <c r="N2540" s="152" t="s">
        <v>1407</v>
      </c>
      <c r="O2540" s="152" t="s">
        <v>4260</v>
      </c>
      <c r="P2540" s="152" t="s">
        <v>1881</v>
      </c>
      <c r="Q2540" s="152" t="s">
        <v>4261</v>
      </c>
      <c r="R2540" s="152" t="s">
        <v>4258</v>
      </c>
      <c r="S2540" s="152" t="s">
        <v>4262</v>
      </c>
      <c r="T2540" s="152" t="s">
        <v>786</v>
      </c>
    </row>
    <row r="2541" spans="3:20">
      <c r="C2541" s="152" t="s">
        <v>2821</v>
      </c>
      <c r="F2541" s="152" t="s">
        <v>373</v>
      </c>
      <c r="G2541" s="152" t="s">
        <v>374</v>
      </c>
      <c r="I2541" s="513">
        <v>6771600</v>
      </c>
      <c r="J2541" s="513">
        <v>4752</v>
      </c>
      <c r="K2541" s="513">
        <v>1425</v>
      </c>
      <c r="L2541" s="518" t="s">
        <v>3637</v>
      </c>
      <c r="M2541" s="152" t="s">
        <v>1566</v>
      </c>
      <c r="N2541" s="152" t="s">
        <v>1407</v>
      </c>
      <c r="O2541" s="152" t="s">
        <v>4263</v>
      </c>
      <c r="P2541" s="152" t="s">
        <v>1881</v>
      </c>
      <c r="Q2541" s="152" t="s">
        <v>4264</v>
      </c>
      <c r="R2541" s="152" t="s">
        <v>4258</v>
      </c>
      <c r="S2541" s="152" t="s">
        <v>4265</v>
      </c>
      <c r="T2541" s="152" t="s">
        <v>786</v>
      </c>
    </row>
    <row r="2542" spans="3:20">
      <c r="C2542" s="152" t="s">
        <v>2821</v>
      </c>
      <c r="F2542" s="152" t="s">
        <v>373</v>
      </c>
      <c r="G2542" s="152" t="s">
        <v>374</v>
      </c>
      <c r="I2542" s="513">
        <v>7615912.5</v>
      </c>
      <c r="J2542" s="513">
        <v>5344.5</v>
      </c>
      <c r="K2542" s="513">
        <v>1425</v>
      </c>
      <c r="L2542" s="518" t="s">
        <v>3637</v>
      </c>
      <c r="M2542" s="152" t="s">
        <v>1566</v>
      </c>
      <c r="N2542" s="152" t="s">
        <v>1407</v>
      </c>
      <c r="O2542" s="152" t="s">
        <v>4266</v>
      </c>
      <c r="P2542" s="152" t="s">
        <v>1881</v>
      </c>
      <c r="Q2542" s="152" t="s">
        <v>4267</v>
      </c>
      <c r="R2542" s="152" t="s">
        <v>4258</v>
      </c>
      <c r="S2542" s="152" t="s">
        <v>4268</v>
      </c>
      <c r="T2542" s="152" t="s">
        <v>786</v>
      </c>
    </row>
    <row r="2543" spans="3:20">
      <c r="C2543" s="152" t="s">
        <v>2821</v>
      </c>
      <c r="F2543" s="152" t="s">
        <v>373</v>
      </c>
      <c r="G2543" s="152" t="s">
        <v>374</v>
      </c>
      <c r="I2543" s="513">
        <v>4389712.5</v>
      </c>
      <c r="J2543" s="513">
        <v>3080.5</v>
      </c>
      <c r="K2543" s="513">
        <v>1425</v>
      </c>
      <c r="L2543" s="518" t="s">
        <v>3637</v>
      </c>
      <c r="M2543" s="152" t="s">
        <v>1566</v>
      </c>
      <c r="N2543" s="152" t="s">
        <v>1407</v>
      </c>
      <c r="O2543" s="152" t="s">
        <v>4269</v>
      </c>
      <c r="P2543" s="152" t="s">
        <v>1881</v>
      </c>
      <c r="Q2543" s="152" t="s">
        <v>4270</v>
      </c>
      <c r="R2543" s="152" t="s">
        <v>4258</v>
      </c>
      <c r="S2543" s="152" t="s">
        <v>4271</v>
      </c>
      <c r="T2543" s="152" t="s">
        <v>786</v>
      </c>
    </row>
    <row r="2544" spans="3:20">
      <c r="C2544" s="152" t="s">
        <v>2821</v>
      </c>
      <c r="F2544" s="152" t="s">
        <v>373</v>
      </c>
      <c r="G2544" s="152" t="s">
        <v>374</v>
      </c>
      <c r="I2544" s="513">
        <v>11728462.5</v>
      </c>
      <c r="J2544" s="513">
        <v>8230.5</v>
      </c>
      <c r="K2544" s="513">
        <v>1425</v>
      </c>
      <c r="L2544" s="518" t="s">
        <v>3637</v>
      </c>
      <c r="M2544" s="152" t="s">
        <v>1566</v>
      </c>
      <c r="N2544" s="152" t="s">
        <v>1407</v>
      </c>
      <c r="O2544" s="152" t="s">
        <v>4272</v>
      </c>
      <c r="P2544" s="152" t="s">
        <v>1881</v>
      </c>
      <c r="Q2544" s="152" t="s">
        <v>4273</v>
      </c>
      <c r="R2544" s="152" t="s">
        <v>4258</v>
      </c>
      <c r="S2544" s="152" t="s">
        <v>4274</v>
      </c>
      <c r="T2544" s="152" t="s">
        <v>786</v>
      </c>
    </row>
    <row r="2545" spans="3:20">
      <c r="C2545" s="152" t="s">
        <v>2821</v>
      </c>
      <c r="F2545" s="152" t="s">
        <v>373</v>
      </c>
      <c r="G2545" s="152" t="s">
        <v>374</v>
      </c>
      <c r="I2545" s="513">
        <v>5472000</v>
      </c>
      <c r="J2545" s="513">
        <v>3840</v>
      </c>
      <c r="K2545" s="513">
        <v>1425</v>
      </c>
      <c r="L2545" s="518" t="s">
        <v>3637</v>
      </c>
      <c r="M2545" s="152" t="s">
        <v>1566</v>
      </c>
      <c r="N2545" s="152" t="s">
        <v>1407</v>
      </c>
      <c r="O2545" s="152" t="s">
        <v>4275</v>
      </c>
      <c r="P2545" s="152" t="s">
        <v>1881</v>
      </c>
      <c r="Q2545" s="152" t="s">
        <v>4276</v>
      </c>
      <c r="R2545" s="152" t="s">
        <v>4258</v>
      </c>
      <c r="S2545" s="152" t="s">
        <v>4277</v>
      </c>
      <c r="T2545" s="152" t="s">
        <v>786</v>
      </c>
    </row>
    <row r="2546" spans="3:20">
      <c r="C2546" s="152" t="s">
        <v>2821</v>
      </c>
      <c r="F2546" s="152" t="s">
        <v>373</v>
      </c>
      <c r="G2546" s="152" t="s">
        <v>374</v>
      </c>
      <c r="I2546" s="513">
        <v>7098000</v>
      </c>
      <c r="J2546" s="513">
        <v>5070</v>
      </c>
      <c r="K2546" s="513">
        <v>1400</v>
      </c>
      <c r="L2546" s="518" t="s">
        <v>3659</v>
      </c>
      <c r="M2546" s="152" t="s">
        <v>1566</v>
      </c>
      <c r="N2546" s="152" t="s">
        <v>1407</v>
      </c>
      <c r="O2546" s="152" t="s">
        <v>4278</v>
      </c>
      <c r="P2546" s="152" t="s">
        <v>4279</v>
      </c>
      <c r="Q2546" s="152" t="s">
        <v>4280</v>
      </c>
      <c r="R2546" s="152" t="s">
        <v>4281</v>
      </c>
      <c r="S2546" s="152" t="s">
        <v>4282</v>
      </c>
      <c r="T2546" s="152" t="s">
        <v>786</v>
      </c>
    </row>
    <row r="2547" spans="3:20">
      <c r="C2547" s="152" t="s">
        <v>2821</v>
      </c>
      <c r="F2547" s="152" t="s">
        <v>373</v>
      </c>
      <c r="G2547" s="152" t="s">
        <v>374</v>
      </c>
      <c r="I2547" s="513">
        <v>6601000</v>
      </c>
      <c r="J2547" s="513">
        <v>4715</v>
      </c>
      <c r="K2547" s="513">
        <v>1400</v>
      </c>
      <c r="L2547" s="518" t="s">
        <v>3659</v>
      </c>
      <c r="M2547" s="152" t="s">
        <v>1566</v>
      </c>
      <c r="N2547" s="152" t="s">
        <v>1407</v>
      </c>
      <c r="O2547" s="152" t="s">
        <v>4283</v>
      </c>
      <c r="P2547" s="152" t="s">
        <v>4279</v>
      </c>
      <c r="Q2547" s="152" t="s">
        <v>4284</v>
      </c>
      <c r="R2547" s="152" t="s">
        <v>4281</v>
      </c>
      <c r="S2547" s="152" t="s">
        <v>4285</v>
      </c>
      <c r="T2547" s="152" t="s">
        <v>786</v>
      </c>
    </row>
    <row r="2548" spans="3:20">
      <c r="C2548" s="152" t="s">
        <v>2821</v>
      </c>
      <c r="F2548" s="152" t="s">
        <v>373</v>
      </c>
      <c r="G2548" s="152" t="s">
        <v>374</v>
      </c>
      <c r="I2548" s="513">
        <v>7353500</v>
      </c>
      <c r="J2548" s="513">
        <v>5252.5</v>
      </c>
      <c r="K2548" s="513">
        <v>1400</v>
      </c>
      <c r="L2548" s="518" t="s">
        <v>3659</v>
      </c>
      <c r="M2548" s="152" t="s">
        <v>1566</v>
      </c>
      <c r="N2548" s="152" t="s">
        <v>1407</v>
      </c>
      <c r="O2548" s="152" t="s">
        <v>4286</v>
      </c>
      <c r="P2548" s="152" t="s">
        <v>4279</v>
      </c>
      <c r="Q2548" s="152" t="s">
        <v>4287</v>
      </c>
      <c r="R2548" s="152" t="s">
        <v>4281</v>
      </c>
      <c r="S2548" s="152" t="s">
        <v>4288</v>
      </c>
      <c r="T2548" s="152" t="s">
        <v>786</v>
      </c>
    </row>
    <row r="2549" spans="3:20">
      <c r="C2549" s="152" t="s">
        <v>2821</v>
      </c>
      <c r="F2549" s="152" t="s">
        <v>373</v>
      </c>
      <c r="G2549" s="152" t="s">
        <v>374</v>
      </c>
      <c r="I2549" s="513">
        <v>8482687.5</v>
      </c>
      <c r="J2549" s="513">
        <v>6037.5</v>
      </c>
      <c r="K2549" s="513">
        <v>1405</v>
      </c>
      <c r="L2549" s="518" t="s">
        <v>3493</v>
      </c>
      <c r="M2549" s="152" t="s">
        <v>1566</v>
      </c>
      <c r="N2549" s="152" t="s">
        <v>1407</v>
      </c>
      <c r="O2549" s="152" t="s">
        <v>4289</v>
      </c>
      <c r="P2549" s="152" t="s">
        <v>4279</v>
      </c>
      <c r="Q2549" s="152" t="s">
        <v>4290</v>
      </c>
      <c r="R2549" s="152" t="s">
        <v>4291</v>
      </c>
      <c r="S2549" s="152" t="s">
        <v>4292</v>
      </c>
      <c r="T2549" s="152" t="s">
        <v>786</v>
      </c>
    </row>
    <row r="2550" spans="3:20">
      <c r="C2550" s="152" t="s">
        <v>2821</v>
      </c>
      <c r="F2550" s="152" t="s">
        <v>373</v>
      </c>
      <c r="G2550" s="152" t="s">
        <v>374</v>
      </c>
      <c r="I2550" s="513">
        <v>6294400</v>
      </c>
      <c r="J2550" s="513">
        <v>4480</v>
      </c>
      <c r="K2550" s="513">
        <v>1405</v>
      </c>
      <c r="L2550" s="518" t="s">
        <v>3493</v>
      </c>
      <c r="M2550" s="152" t="s">
        <v>1566</v>
      </c>
      <c r="N2550" s="152" t="s">
        <v>1407</v>
      </c>
      <c r="O2550" s="152" t="s">
        <v>4293</v>
      </c>
      <c r="P2550" s="152" t="s">
        <v>4279</v>
      </c>
      <c r="Q2550" s="152" t="s">
        <v>4294</v>
      </c>
      <c r="R2550" s="152" t="s">
        <v>4291</v>
      </c>
      <c r="S2550" s="152" t="s">
        <v>4295</v>
      </c>
      <c r="T2550" s="152" t="s">
        <v>786</v>
      </c>
    </row>
    <row r="2551" spans="3:20">
      <c r="C2551" s="152" t="s">
        <v>2821</v>
      </c>
      <c r="F2551" s="152" t="s">
        <v>373</v>
      </c>
      <c r="G2551" s="152" t="s">
        <v>374</v>
      </c>
      <c r="I2551" s="513">
        <v>8254375</v>
      </c>
      <c r="J2551" s="513">
        <v>5875</v>
      </c>
      <c r="K2551" s="513">
        <v>1405</v>
      </c>
      <c r="L2551" s="518" t="s">
        <v>3493</v>
      </c>
      <c r="M2551" s="152" t="s">
        <v>1566</v>
      </c>
      <c r="N2551" s="152" t="s">
        <v>1407</v>
      </c>
      <c r="O2551" s="152" t="s">
        <v>4296</v>
      </c>
      <c r="P2551" s="152" t="s">
        <v>4279</v>
      </c>
      <c r="Q2551" s="152" t="s">
        <v>4297</v>
      </c>
      <c r="R2551" s="152" t="s">
        <v>4291</v>
      </c>
      <c r="S2551" s="152" t="s">
        <v>4298</v>
      </c>
      <c r="T2551" s="152" t="s">
        <v>786</v>
      </c>
    </row>
    <row r="2552" spans="3:20">
      <c r="C2552" s="152" t="s">
        <v>2821</v>
      </c>
      <c r="F2552" s="152" t="s">
        <v>373</v>
      </c>
      <c r="G2552" s="152" t="s">
        <v>374</v>
      </c>
      <c r="I2552" s="513">
        <v>7017975</v>
      </c>
      <c r="J2552" s="513">
        <v>4995</v>
      </c>
      <c r="K2552" s="513">
        <v>1405</v>
      </c>
      <c r="L2552" s="518" t="s">
        <v>3493</v>
      </c>
      <c r="M2552" s="152" t="s">
        <v>1566</v>
      </c>
      <c r="N2552" s="152" t="s">
        <v>1407</v>
      </c>
      <c r="O2552" s="152" t="s">
        <v>4299</v>
      </c>
      <c r="P2552" s="152" t="s">
        <v>4279</v>
      </c>
      <c r="Q2552" s="152" t="s">
        <v>4300</v>
      </c>
      <c r="R2552" s="152" t="s">
        <v>4291</v>
      </c>
      <c r="S2552" s="152" t="s">
        <v>4301</v>
      </c>
      <c r="T2552" s="152" t="s">
        <v>786</v>
      </c>
    </row>
    <row r="2553" spans="3:20">
      <c r="C2553" s="152" t="s">
        <v>2821</v>
      </c>
      <c r="F2553" s="152" t="s">
        <v>373</v>
      </c>
      <c r="G2553" s="152" t="s">
        <v>374</v>
      </c>
      <c r="I2553" s="513">
        <v>5879700</v>
      </c>
      <c r="J2553" s="513">
        <v>4170</v>
      </c>
      <c r="K2553" s="513">
        <v>1410</v>
      </c>
      <c r="L2553" s="518" t="s">
        <v>3498</v>
      </c>
      <c r="M2553" s="152" t="s">
        <v>1566</v>
      </c>
      <c r="N2553" s="152" t="s">
        <v>1407</v>
      </c>
      <c r="O2553" s="152" t="s">
        <v>4302</v>
      </c>
      <c r="P2553" s="152" t="s">
        <v>4279</v>
      </c>
      <c r="Q2553" s="152" t="s">
        <v>4303</v>
      </c>
      <c r="R2553" s="152" t="s">
        <v>4304</v>
      </c>
      <c r="S2553" s="152" t="s">
        <v>4305</v>
      </c>
      <c r="T2553" s="152" t="s">
        <v>786</v>
      </c>
    </row>
    <row r="2554" spans="3:20">
      <c r="C2554" s="152" t="s">
        <v>2821</v>
      </c>
      <c r="F2554" s="152" t="s">
        <v>373</v>
      </c>
      <c r="G2554" s="152" t="s">
        <v>374</v>
      </c>
      <c r="I2554" s="513">
        <v>6567075</v>
      </c>
      <c r="J2554" s="513">
        <v>4657.5</v>
      </c>
      <c r="K2554" s="513">
        <v>1410</v>
      </c>
      <c r="L2554" s="518" t="s">
        <v>3498</v>
      </c>
      <c r="M2554" s="152" t="s">
        <v>1566</v>
      </c>
      <c r="N2554" s="152" t="s">
        <v>1407</v>
      </c>
      <c r="O2554" s="152" t="s">
        <v>4306</v>
      </c>
      <c r="P2554" s="152" t="s">
        <v>4279</v>
      </c>
      <c r="Q2554" s="152" t="s">
        <v>4307</v>
      </c>
      <c r="R2554" s="152" t="s">
        <v>4304</v>
      </c>
      <c r="S2554" s="152" t="s">
        <v>4308</v>
      </c>
      <c r="T2554" s="152" t="s">
        <v>786</v>
      </c>
    </row>
    <row r="2555" spans="3:20">
      <c r="C2555" s="152" t="s">
        <v>2821</v>
      </c>
      <c r="F2555" s="152" t="s">
        <v>373</v>
      </c>
      <c r="G2555" s="152" t="s">
        <v>374</v>
      </c>
      <c r="I2555" s="513">
        <v>4920900</v>
      </c>
      <c r="J2555" s="513">
        <v>3490</v>
      </c>
      <c r="K2555" s="513">
        <v>1410</v>
      </c>
      <c r="L2555" s="518" t="s">
        <v>3498</v>
      </c>
      <c r="M2555" s="152" t="s">
        <v>1566</v>
      </c>
      <c r="N2555" s="152" t="s">
        <v>1407</v>
      </c>
      <c r="O2555" s="152" t="s">
        <v>4311</v>
      </c>
      <c r="P2555" s="152" t="s">
        <v>4279</v>
      </c>
      <c r="Q2555" s="152" t="s">
        <v>4312</v>
      </c>
      <c r="R2555" s="152" t="s">
        <v>4304</v>
      </c>
      <c r="S2555" s="152" t="s">
        <v>4313</v>
      </c>
      <c r="T2555" s="152" t="s">
        <v>786</v>
      </c>
    </row>
    <row r="2556" spans="3:20">
      <c r="C2556" s="152" t="s">
        <v>2821</v>
      </c>
      <c r="F2556" s="152" t="s">
        <v>373</v>
      </c>
      <c r="G2556" s="152" t="s">
        <v>374</v>
      </c>
      <c r="I2556" s="513">
        <v>5107725</v>
      </c>
      <c r="J2556" s="513">
        <v>3622.5</v>
      </c>
      <c r="K2556" s="513">
        <v>1410</v>
      </c>
      <c r="L2556" s="518" t="s">
        <v>3498</v>
      </c>
      <c r="M2556" s="152" t="s">
        <v>1566</v>
      </c>
      <c r="N2556" s="152" t="s">
        <v>1407</v>
      </c>
      <c r="O2556" s="152" t="s">
        <v>4314</v>
      </c>
      <c r="P2556" s="152" t="s">
        <v>4279</v>
      </c>
      <c r="Q2556" s="152" t="s">
        <v>4315</v>
      </c>
      <c r="R2556" s="152" t="s">
        <v>4304</v>
      </c>
      <c r="S2556" s="152" t="s">
        <v>4316</v>
      </c>
      <c r="T2556" s="152" t="s">
        <v>786</v>
      </c>
    </row>
    <row r="2557" spans="3:20">
      <c r="C2557" s="152" t="s">
        <v>2821</v>
      </c>
      <c r="F2557" s="152" t="s">
        <v>373</v>
      </c>
      <c r="G2557" s="152" t="s">
        <v>374</v>
      </c>
      <c r="I2557" s="513">
        <v>70750</v>
      </c>
      <c r="J2557" s="513">
        <v>50</v>
      </c>
      <c r="K2557" s="513">
        <v>1415</v>
      </c>
      <c r="L2557" s="518" t="s">
        <v>3511</v>
      </c>
      <c r="M2557" s="152" t="s">
        <v>1566</v>
      </c>
      <c r="N2557" s="152" t="s">
        <v>1407</v>
      </c>
      <c r="O2557" s="152" t="s">
        <v>4317</v>
      </c>
      <c r="P2557" s="152" t="s">
        <v>4279</v>
      </c>
      <c r="Q2557" s="152" t="s">
        <v>4318</v>
      </c>
      <c r="R2557" s="152" t="s">
        <v>4319</v>
      </c>
      <c r="S2557" s="152" t="s">
        <v>4320</v>
      </c>
      <c r="T2557" s="152" t="s">
        <v>786</v>
      </c>
    </row>
    <row r="2558" spans="3:20">
      <c r="C2558" s="152" t="s">
        <v>2821</v>
      </c>
      <c r="F2558" s="152" t="s">
        <v>373</v>
      </c>
      <c r="G2558" s="152" t="s">
        <v>374</v>
      </c>
      <c r="I2558" s="513">
        <v>6733462.5</v>
      </c>
      <c r="J2558" s="513">
        <v>4792.5</v>
      </c>
      <c r="K2558" s="513">
        <v>1405</v>
      </c>
      <c r="L2558" s="518" t="s">
        <v>3493</v>
      </c>
      <c r="M2558" s="152" t="s">
        <v>1566</v>
      </c>
      <c r="N2558" s="152" t="s">
        <v>1407</v>
      </c>
      <c r="O2558" s="152" t="s">
        <v>4321</v>
      </c>
      <c r="P2558" s="152" t="s">
        <v>4279</v>
      </c>
      <c r="Q2558" s="152" t="s">
        <v>4322</v>
      </c>
      <c r="R2558" s="152" t="s">
        <v>4323</v>
      </c>
      <c r="S2558" s="152" t="s">
        <v>4324</v>
      </c>
      <c r="T2558" s="152" t="s">
        <v>786</v>
      </c>
    </row>
    <row r="2559" spans="3:20">
      <c r="C2559" s="152" t="s">
        <v>2821</v>
      </c>
      <c r="F2559" s="152" t="s">
        <v>373</v>
      </c>
      <c r="G2559" s="152" t="s">
        <v>374</v>
      </c>
      <c r="I2559" s="513">
        <v>6599987.5</v>
      </c>
      <c r="J2559" s="513">
        <v>4697.5</v>
      </c>
      <c r="K2559" s="513">
        <v>1405</v>
      </c>
      <c r="L2559" s="518" t="s">
        <v>3493</v>
      </c>
      <c r="M2559" s="152" t="s">
        <v>1566</v>
      </c>
      <c r="N2559" s="152" t="s">
        <v>1407</v>
      </c>
      <c r="O2559" s="152" t="s">
        <v>4325</v>
      </c>
      <c r="P2559" s="152" t="s">
        <v>4279</v>
      </c>
      <c r="Q2559" s="152" t="s">
        <v>4326</v>
      </c>
      <c r="R2559" s="152" t="s">
        <v>4323</v>
      </c>
      <c r="S2559" s="152" t="s">
        <v>4327</v>
      </c>
      <c r="T2559" s="152" t="s">
        <v>786</v>
      </c>
    </row>
    <row r="2560" spans="3:20">
      <c r="C2560" s="152" t="s">
        <v>2821</v>
      </c>
      <c r="F2560" s="152" t="s">
        <v>373</v>
      </c>
      <c r="G2560" s="152" t="s">
        <v>374</v>
      </c>
      <c r="I2560" s="513">
        <v>7327075</v>
      </c>
      <c r="J2560" s="513">
        <v>5215</v>
      </c>
      <c r="K2560" s="513">
        <v>1405</v>
      </c>
      <c r="L2560" s="518" t="s">
        <v>3493</v>
      </c>
      <c r="M2560" s="152" t="s">
        <v>1566</v>
      </c>
      <c r="N2560" s="152" t="s">
        <v>1407</v>
      </c>
      <c r="O2560" s="152" t="s">
        <v>4328</v>
      </c>
      <c r="P2560" s="152" t="s">
        <v>4279</v>
      </c>
      <c r="Q2560" s="152" t="s">
        <v>4329</v>
      </c>
      <c r="R2560" s="152" t="s">
        <v>4323</v>
      </c>
      <c r="S2560" s="152" t="s">
        <v>4330</v>
      </c>
      <c r="T2560" s="152" t="s">
        <v>786</v>
      </c>
    </row>
    <row r="2561" spans="3:20">
      <c r="C2561" s="152" t="s">
        <v>2821</v>
      </c>
      <c r="F2561" s="152" t="s">
        <v>373</v>
      </c>
      <c r="G2561" s="152" t="s">
        <v>374</v>
      </c>
      <c r="I2561" s="513">
        <v>4963162.5</v>
      </c>
      <c r="J2561" s="513">
        <v>3532.5</v>
      </c>
      <c r="K2561" s="513">
        <v>1405</v>
      </c>
      <c r="L2561" s="518" t="s">
        <v>3493</v>
      </c>
      <c r="M2561" s="152" t="s">
        <v>1566</v>
      </c>
      <c r="N2561" s="152" t="s">
        <v>1407</v>
      </c>
      <c r="O2561" s="152" t="s">
        <v>4331</v>
      </c>
      <c r="P2561" s="152" t="s">
        <v>4279</v>
      </c>
      <c r="Q2561" s="152" t="s">
        <v>4332</v>
      </c>
      <c r="R2561" s="152" t="s">
        <v>4323</v>
      </c>
      <c r="S2561" s="152" t="s">
        <v>4333</v>
      </c>
      <c r="T2561" s="152" t="s">
        <v>786</v>
      </c>
    </row>
    <row r="2562" spans="3:20">
      <c r="C2562" s="152" t="s">
        <v>2821</v>
      </c>
      <c r="F2562" s="152" t="s">
        <v>373</v>
      </c>
      <c r="G2562" s="152" t="s">
        <v>374</v>
      </c>
      <c r="I2562" s="513">
        <v>6803712.5</v>
      </c>
      <c r="J2562" s="513">
        <v>4842.5</v>
      </c>
      <c r="K2562" s="513">
        <v>1405</v>
      </c>
      <c r="L2562" s="518" t="s">
        <v>3493</v>
      </c>
      <c r="M2562" s="152" t="s">
        <v>1566</v>
      </c>
      <c r="N2562" s="152" t="s">
        <v>1407</v>
      </c>
      <c r="O2562" s="152" t="s">
        <v>4334</v>
      </c>
      <c r="P2562" s="152" t="s">
        <v>4279</v>
      </c>
      <c r="Q2562" s="152" t="s">
        <v>4335</v>
      </c>
      <c r="R2562" s="152" t="s">
        <v>4323</v>
      </c>
      <c r="S2562" s="152" t="s">
        <v>4336</v>
      </c>
      <c r="T2562" s="152" t="s">
        <v>786</v>
      </c>
    </row>
    <row r="2563" spans="3:20">
      <c r="C2563" s="152" t="s">
        <v>2821</v>
      </c>
      <c r="F2563" s="152" t="s">
        <v>373</v>
      </c>
      <c r="G2563" s="152" t="s">
        <v>374</v>
      </c>
      <c r="I2563" s="513">
        <v>4524100</v>
      </c>
      <c r="J2563" s="513">
        <v>3220</v>
      </c>
      <c r="K2563" s="513">
        <v>1405</v>
      </c>
      <c r="L2563" s="518" t="s">
        <v>3493</v>
      </c>
      <c r="M2563" s="152" t="s">
        <v>1566</v>
      </c>
      <c r="N2563" s="152" t="s">
        <v>1407</v>
      </c>
      <c r="O2563" s="152" t="s">
        <v>4337</v>
      </c>
      <c r="P2563" s="152" t="s">
        <v>4279</v>
      </c>
      <c r="Q2563" s="152" t="s">
        <v>4338</v>
      </c>
      <c r="R2563" s="152" t="s">
        <v>4323</v>
      </c>
      <c r="S2563" s="152" t="s">
        <v>4339</v>
      </c>
      <c r="T2563" s="152" t="s">
        <v>786</v>
      </c>
    </row>
    <row r="2564" spans="3:20">
      <c r="C2564" s="152" t="s">
        <v>2821</v>
      </c>
      <c r="F2564" s="152" t="s">
        <v>373</v>
      </c>
      <c r="G2564" s="152" t="s">
        <v>374</v>
      </c>
      <c r="I2564" s="513">
        <v>3976150</v>
      </c>
      <c r="J2564" s="513">
        <v>2810</v>
      </c>
      <c r="K2564" s="513">
        <v>1415</v>
      </c>
      <c r="L2564" s="518" t="s">
        <v>3632</v>
      </c>
      <c r="M2564" s="152" t="s">
        <v>1566</v>
      </c>
      <c r="N2564" s="152" t="s">
        <v>1407</v>
      </c>
      <c r="O2564" s="152" t="s">
        <v>4340</v>
      </c>
      <c r="P2564" s="152" t="s">
        <v>4279</v>
      </c>
      <c r="Q2564" s="152" t="s">
        <v>4341</v>
      </c>
      <c r="R2564" s="152" t="s">
        <v>4342</v>
      </c>
      <c r="S2564" s="152" t="s">
        <v>4343</v>
      </c>
      <c r="T2564" s="152" t="s">
        <v>786</v>
      </c>
    </row>
    <row r="2565" spans="3:20">
      <c r="C2565" s="152" t="s">
        <v>2821</v>
      </c>
      <c r="F2565" s="152" t="s">
        <v>373</v>
      </c>
      <c r="G2565" s="152" t="s">
        <v>374</v>
      </c>
      <c r="I2565" s="513">
        <v>2985650</v>
      </c>
      <c r="J2565" s="513">
        <v>2110</v>
      </c>
      <c r="K2565" s="513">
        <v>1415</v>
      </c>
      <c r="L2565" s="518" t="s">
        <v>3632</v>
      </c>
      <c r="M2565" s="152" t="s">
        <v>1566</v>
      </c>
      <c r="N2565" s="152" t="s">
        <v>1407</v>
      </c>
      <c r="O2565" s="152" t="s">
        <v>4344</v>
      </c>
      <c r="P2565" s="152" t="s">
        <v>4279</v>
      </c>
      <c r="Q2565" s="152" t="s">
        <v>4345</v>
      </c>
      <c r="R2565" s="152" t="s">
        <v>4342</v>
      </c>
      <c r="S2565" s="152" t="s">
        <v>4346</v>
      </c>
      <c r="T2565" s="152" t="s">
        <v>786</v>
      </c>
    </row>
    <row r="2566" spans="3:20">
      <c r="C2566" s="152" t="s">
        <v>2821</v>
      </c>
      <c r="F2566" s="152" t="s">
        <v>373</v>
      </c>
      <c r="G2566" s="152" t="s">
        <v>374</v>
      </c>
      <c r="I2566" s="513">
        <v>3006875</v>
      </c>
      <c r="J2566" s="513">
        <v>2125</v>
      </c>
      <c r="K2566" s="513">
        <v>1415</v>
      </c>
      <c r="L2566" s="518" t="s">
        <v>3632</v>
      </c>
      <c r="M2566" s="152" t="s">
        <v>1566</v>
      </c>
      <c r="N2566" s="152" t="s">
        <v>1407</v>
      </c>
      <c r="O2566" s="152" t="s">
        <v>4347</v>
      </c>
      <c r="P2566" s="152" t="s">
        <v>4279</v>
      </c>
      <c r="Q2566" s="152" t="s">
        <v>4348</v>
      </c>
      <c r="R2566" s="152" t="s">
        <v>4342</v>
      </c>
      <c r="S2566" s="152" t="s">
        <v>4349</v>
      </c>
      <c r="T2566" s="152" t="s">
        <v>786</v>
      </c>
    </row>
    <row r="2567" spans="3:20">
      <c r="C2567" s="152" t="s">
        <v>2821</v>
      </c>
      <c r="F2567" s="152" t="s">
        <v>373</v>
      </c>
      <c r="G2567" s="152" t="s">
        <v>374</v>
      </c>
      <c r="I2567" s="513">
        <v>2380737.5</v>
      </c>
      <c r="J2567" s="513">
        <v>1682.5</v>
      </c>
      <c r="K2567" s="513">
        <v>1415</v>
      </c>
      <c r="L2567" s="518" t="s">
        <v>3632</v>
      </c>
      <c r="M2567" s="152" t="s">
        <v>1566</v>
      </c>
      <c r="N2567" s="152" t="s">
        <v>1407</v>
      </c>
      <c r="O2567" s="152" t="s">
        <v>4350</v>
      </c>
      <c r="P2567" s="152" t="s">
        <v>4279</v>
      </c>
      <c r="Q2567" s="152" t="s">
        <v>4351</v>
      </c>
      <c r="R2567" s="152" t="s">
        <v>4342</v>
      </c>
      <c r="S2567" s="152" t="s">
        <v>4352</v>
      </c>
      <c r="T2567" s="152" t="s">
        <v>786</v>
      </c>
    </row>
    <row r="2568" spans="3:20">
      <c r="C2568" s="152" t="s">
        <v>2821</v>
      </c>
      <c r="F2568" s="152" t="s">
        <v>373</v>
      </c>
      <c r="G2568" s="152" t="s">
        <v>374</v>
      </c>
      <c r="I2568" s="513">
        <v>8987040</v>
      </c>
      <c r="J2568" s="513">
        <v>6241</v>
      </c>
      <c r="K2568" s="513">
        <v>1440</v>
      </c>
      <c r="L2568" s="518" t="s">
        <v>3517</v>
      </c>
      <c r="M2568" s="152" t="s">
        <v>1566</v>
      </c>
      <c r="N2568" s="152" t="s">
        <v>1407</v>
      </c>
      <c r="O2568" s="152" t="s">
        <v>4353</v>
      </c>
      <c r="P2568" s="152" t="s">
        <v>1881</v>
      </c>
      <c r="Q2568" s="152" t="s">
        <v>4354</v>
      </c>
      <c r="R2568" s="152" t="s">
        <v>4355</v>
      </c>
      <c r="S2568" s="152" t="s">
        <v>4356</v>
      </c>
      <c r="T2568" s="152" t="s">
        <v>786</v>
      </c>
    </row>
    <row r="2569" spans="3:20">
      <c r="C2569" s="152" t="s">
        <v>2821</v>
      </c>
      <c r="F2569" s="152" t="s">
        <v>373</v>
      </c>
      <c r="G2569" s="152" t="s">
        <v>374</v>
      </c>
      <c r="I2569" s="513">
        <v>9755280</v>
      </c>
      <c r="J2569" s="513">
        <v>6774.5</v>
      </c>
      <c r="K2569" s="513">
        <v>1440</v>
      </c>
      <c r="L2569" s="518" t="s">
        <v>3517</v>
      </c>
      <c r="M2569" s="152" t="s">
        <v>1566</v>
      </c>
      <c r="N2569" s="152" t="s">
        <v>1407</v>
      </c>
      <c r="O2569" s="152" t="s">
        <v>4357</v>
      </c>
      <c r="P2569" s="152" t="s">
        <v>1881</v>
      </c>
      <c r="Q2569" s="152" t="s">
        <v>4358</v>
      </c>
      <c r="R2569" s="152" t="s">
        <v>4355</v>
      </c>
      <c r="S2569" s="152" t="s">
        <v>4359</v>
      </c>
      <c r="T2569" s="152" t="s">
        <v>786</v>
      </c>
    </row>
    <row r="2570" spans="3:20">
      <c r="C2570" s="152" t="s">
        <v>2821</v>
      </c>
      <c r="F2570" s="152" t="s">
        <v>373</v>
      </c>
      <c r="G2570" s="152" t="s">
        <v>374</v>
      </c>
      <c r="I2570" s="513">
        <v>10951500</v>
      </c>
      <c r="J2570" s="513">
        <v>7822.5</v>
      </c>
      <c r="K2570" s="513">
        <v>1400</v>
      </c>
      <c r="L2570" s="518" t="s">
        <v>3659</v>
      </c>
      <c r="M2570" s="152" t="s">
        <v>1566</v>
      </c>
      <c r="N2570" s="152" t="s">
        <v>1407</v>
      </c>
      <c r="O2570" s="152" t="s">
        <v>4360</v>
      </c>
      <c r="P2570" s="152" t="s">
        <v>4279</v>
      </c>
      <c r="Q2570" s="152" t="s">
        <v>4361</v>
      </c>
      <c r="R2570" s="152" t="s">
        <v>4362</v>
      </c>
      <c r="S2570" s="152" t="s">
        <v>4363</v>
      </c>
      <c r="T2570" s="152" t="s">
        <v>786</v>
      </c>
    </row>
    <row r="2571" spans="3:20">
      <c r="C2571" s="152" t="s">
        <v>2821</v>
      </c>
      <c r="F2571" s="152" t="s">
        <v>373</v>
      </c>
      <c r="G2571" s="152" t="s">
        <v>374</v>
      </c>
      <c r="I2571" s="513">
        <v>7259000</v>
      </c>
      <c r="J2571" s="513">
        <v>5185</v>
      </c>
      <c r="K2571" s="513">
        <v>1400</v>
      </c>
      <c r="L2571" s="518" t="s">
        <v>3659</v>
      </c>
      <c r="M2571" s="152" t="s">
        <v>1566</v>
      </c>
      <c r="N2571" s="152" t="s">
        <v>1407</v>
      </c>
      <c r="O2571" s="152" t="s">
        <v>4364</v>
      </c>
      <c r="P2571" s="152" t="s">
        <v>4279</v>
      </c>
      <c r="Q2571" s="152" t="s">
        <v>4365</v>
      </c>
      <c r="R2571" s="152" t="s">
        <v>4362</v>
      </c>
      <c r="S2571" s="152" t="s">
        <v>4366</v>
      </c>
      <c r="T2571" s="152" t="s">
        <v>786</v>
      </c>
    </row>
    <row r="2572" spans="3:20">
      <c r="C2572" s="152" t="s">
        <v>2821</v>
      </c>
      <c r="F2572" s="152" t="s">
        <v>373</v>
      </c>
      <c r="G2572" s="152" t="s">
        <v>374</v>
      </c>
      <c r="I2572" s="513">
        <v>4318125</v>
      </c>
      <c r="J2572" s="513">
        <v>3062.5</v>
      </c>
      <c r="K2572" s="513">
        <v>1410</v>
      </c>
      <c r="L2572" s="518" t="s">
        <v>3498</v>
      </c>
      <c r="M2572" s="152" t="s">
        <v>1566</v>
      </c>
      <c r="N2572" s="152" t="s">
        <v>1407</v>
      </c>
      <c r="O2572" s="152" t="s">
        <v>4367</v>
      </c>
      <c r="P2572" s="152" t="s">
        <v>4279</v>
      </c>
      <c r="Q2572" s="152" t="s">
        <v>4368</v>
      </c>
      <c r="R2572" s="152" t="s">
        <v>4369</v>
      </c>
      <c r="S2572" s="152" t="s">
        <v>4370</v>
      </c>
      <c r="T2572" s="152" t="s">
        <v>786</v>
      </c>
    </row>
    <row r="2573" spans="3:20">
      <c r="C2573" s="152" t="s">
        <v>2821</v>
      </c>
      <c r="F2573" s="152" t="s">
        <v>373</v>
      </c>
      <c r="G2573" s="152" t="s">
        <v>374</v>
      </c>
      <c r="I2573" s="513">
        <v>5326275</v>
      </c>
      <c r="J2573" s="513">
        <v>3777.5</v>
      </c>
      <c r="K2573" s="513">
        <v>1410</v>
      </c>
      <c r="L2573" s="518" t="s">
        <v>3498</v>
      </c>
      <c r="M2573" s="152" t="s">
        <v>1566</v>
      </c>
      <c r="N2573" s="152" t="s">
        <v>1407</v>
      </c>
      <c r="O2573" s="152" t="s">
        <v>4371</v>
      </c>
      <c r="P2573" s="152" t="s">
        <v>4279</v>
      </c>
      <c r="Q2573" s="152" t="s">
        <v>4372</v>
      </c>
      <c r="R2573" s="152" t="s">
        <v>4369</v>
      </c>
      <c r="S2573" s="152" t="s">
        <v>4373</v>
      </c>
      <c r="T2573" s="152" t="s">
        <v>786</v>
      </c>
    </row>
    <row r="2574" spans="3:20">
      <c r="C2574" s="152" t="s">
        <v>2821</v>
      </c>
      <c r="F2574" s="152" t="s">
        <v>373</v>
      </c>
      <c r="G2574" s="152" t="s">
        <v>374</v>
      </c>
      <c r="I2574" s="513">
        <v>6221625</v>
      </c>
      <c r="J2574" s="513">
        <v>4412.5</v>
      </c>
      <c r="K2574" s="513">
        <v>1410</v>
      </c>
      <c r="L2574" s="518" t="s">
        <v>3498</v>
      </c>
      <c r="M2574" s="152" t="s">
        <v>1566</v>
      </c>
      <c r="N2574" s="152" t="s">
        <v>1407</v>
      </c>
      <c r="O2574" s="152" t="s">
        <v>4374</v>
      </c>
      <c r="P2574" s="152" t="s">
        <v>4279</v>
      </c>
      <c r="Q2574" s="152" t="s">
        <v>4375</v>
      </c>
      <c r="R2574" s="152" t="s">
        <v>4369</v>
      </c>
      <c r="S2574" s="152" t="s">
        <v>4376</v>
      </c>
      <c r="T2574" s="152" t="s">
        <v>786</v>
      </c>
    </row>
    <row r="2575" spans="3:20">
      <c r="C2575" s="152" t="s">
        <v>2821</v>
      </c>
      <c r="F2575" s="152" t="s">
        <v>373</v>
      </c>
      <c r="G2575" s="152" t="s">
        <v>374</v>
      </c>
      <c r="I2575" s="513">
        <v>21225</v>
      </c>
      <c r="J2575" s="513">
        <v>15</v>
      </c>
      <c r="K2575" s="513">
        <v>1415</v>
      </c>
      <c r="L2575" s="518" t="s">
        <v>3511</v>
      </c>
      <c r="M2575" s="152" t="s">
        <v>1566</v>
      </c>
      <c r="N2575" s="152" t="s">
        <v>1407</v>
      </c>
      <c r="O2575" s="152" t="s">
        <v>4377</v>
      </c>
      <c r="P2575" s="152" t="s">
        <v>4279</v>
      </c>
      <c r="Q2575" s="152" t="s">
        <v>4378</v>
      </c>
      <c r="R2575" s="152" t="s">
        <v>4379</v>
      </c>
      <c r="S2575" s="152" t="s">
        <v>4380</v>
      </c>
      <c r="T2575" s="152" t="s">
        <v>786</v>
      </c>
    </row>
    <row r="2576" spans="3:20">
      <c r="C2576" s="152" t="s">
        <v>2821</v>
      </c>
      <c r="F2576" s="152" t="s">
        <v>373</v>
      </c>
      <c r="G2576" s="152" t="s">
        <v>374</v>
      </c>
      <c r="I2576" s="513">
        <v>3862080</v>
      </c>
      <c r="J2576" s="513">
        <v>2682</v>
      </c>
      <c r="K2576" s="513">
        <v>1440</v>
      </c>
      <c r="L2576" s="518" t="s">
        <v>3517</v>
      </c>
      <c r="M2576" s="152" t="s">
        <v>1566</v>
      </c>
      <c r="N2576" s="152" t="s">
        <v>1407</v>
      </c>
      <c r="O2576" s="152" t="s">
        <v>4381</v>
      </c>
      <c r="P2576" s="152" t="s">
        <v>1881</v>
      </c>
      <c r="Q2576" s="152" t="s">
        <v>4382</v>
      </c>
      <c r="R2576" s="152" t="s">
        <v>4383</v>
      </c>
      <c r="S2576" s="152" t="s">
        <v>4384</v>
      </c>
      <c r="T2576" s="152" t="s">
        <v>786</v>
      </c>
    </row>
    <row r="2577" spans="3:20">
      <c r="C2577" s="152" t="s">
        <v>2821</v>
      </c>
      <c r="F2577" s="152" t="s">
        <v>373</v>
      </c>
      <c r="G2577" s="152" t="s">
        <v>374</v>
      </c>
      <c r="I2577" s="513">
        <v>1746000</v>
      </c>
      <c r="J2577" s="513">
        <v>1212.5</v>
      </c>
      <c r="K2577" s="513">
        <v>1440</v>
      </c>
      <c r="L2577" s="518" t="s">
        <v>3517</v>
      </c>
      <c r="M2577" s="152" t="s">
        <v>1566</v>
      </c>
      <c r="N2577" s="152" t="s">
        <v>1407</v>
      </c>
      <c r="O2577" s="152" t="s">
        <v>4385</v>
      </c>
      <c r="P2577" s="152" t="s">
        <v>1881</v>
      </c>
      <c r="Q2577" s="152" t="s">
        <v>4386</v>
      </c>
      <c r="R2577" s="152" t="s">
        <v>4383</v>
      </c>
      <c r="S2577" s="152" t="s">
        <v>4387</v>
      </c>
      <c r="T2577" s="152" t="s">
        <v>786</v>
      </c>
    </row>
    <row r="2578" spans="3:20">
      <c r="C2578" s="152" t="s">
        <v>2821</v>
      </c>
      <c r="F2578" s="152" t="s">
        <v>373</v>
      </c>
      <c r="G2578" s="152" t="s">
        <v>374</v>
      </c>
      <c r="I2578" s="513">
        <v>2352960</v>
      </c>
      <c r="J2578" s="513">
        <v>1634</v>
      </c>
      <c r="K2578" s="513">
        <v>1440</v>
      </c>
      <c r="L2578" s="518" t="s">
        <v>3517</v>
      </c>
      <c r="M2578" s="152" t="s">
        <v>1566</v>
      </c>
      <c r="N2578" s="152" t="s">
        <v>1407</v>
      </c>
      <c r="O2578" s="152" t="s">
        <v>4388</v>
      </c>
      <c r="P2578" s="152" t="s">
        <v>1881</v>
      </c>
      <c r="Q2578" s="152" t="s">
        <v>4389</v>
      </c>
      <c r="R2578" s="152" t="s">
        <v>4383</v>
      </c>
      <c r="S2578" s="152" t="s">
        <v>4390</v>
      </c>
      <c r="T2578" s="152" t="s">
        <v>786</v>
      </c>
    </row>
    <row r="2579" spans="3:20">
      <c r="C2579" s="152" t="s">
        <v>2821</v>
      </c>
      <c r="F2579" s="152" t="s">
        <v>373</v>
      </c>
      <c r="G2579" s="152" t="s">
        <v>374</v>
      </c>
      <c r="I2579" s="513">
        <v>3602550</v>
      </c>
      <c r="J2579" s="513">
        <v>2555</v>
      </c>
      <c r="K2579" s="513">
        <v>1410</v>
      </c>
      <c r="L2579" s="518" t="s">
        <v>3498</v>
      </c>
      <c r="M2579" s="152" t="s">
        <v>1566</v>
      </c>
      <c r="N2579" s="152" t="s">
        <v>1407</v>
      </c>
      <c r="O2579" s="152" t="s">
        <v>4391</v>
      </c>
      <c r="P2579" s="152" t="s">
        <v>4279</v>
      </c>
      <c r="Q2579" s="152" t="s">
        <v>4392</v>
      </c>
      <c r="R2579" s="152" t="s">
        <v>4393</v>
      </c>
      <c r="S2579" s="152" t="s">
        <v>4394</v>
      </c>
      <c r="T2579" s="152" t="s">
        <v>786</v>
      </c>
    </row>
    <row r="2580" spans="3:20">
      <c r="C2580" s="152" t="s">
        <v>2821</v>
      </c>
      <c r="F2580" s="152" t="s">
        <v>373</v>
      </c>
      <c r="G2580" s="152" t="s">
        <v>374</v>
      </c>
      <c r="I2580" s="513">
        <v>3687150</v>
      </c>
      <c r="J2580" s="513">
        <v>2615</v>
      </c>
      <c r="K2580" s="513">
        <v>1410</v>
      </c>
      <c r="L2580" s="518" t="s">
        <v>3498</v>
      </c>
      <c r="M2580" s="152" t="s">
        <v>1566</v>
      </c>
      <c r="N2580" s="152" t="s">
        <v>1407</v>
      </c>
      <c r="O2580" s="152" t="s">
        <v>4395</v>
      </c>
      <c r="P2580" s="152" t="s">
        <v>4279</v>
      </c>
      <c r="Q2580" s="152" t="s">
        <v>4396</v>
      </c>
      <c r="R2580" s="152" t="s">
        <v>4393</v>
      </c>
      <c r="S2580" s="152" t="s">
        <v>4397</v>
      </c>
      <c r="T2580" s="152" t="s">
        <v>786</v>
      </c>
    </row>
    <row r="2581" spans="3:20">
      <c r="C2581" s="152" t="s">
        <v>2821</v>
      </c>
      <c r="F2581" s="152" t="s">
        <v>373</v>
      </c>
      <c r="G2581" s="152" t="s">
        <v>374</v>
      </c>
      <c r="I2581" s="513">
        <v>3591975</v>
      </c>
      <c r="J2581" s="513">
        <v>2547.5</v>
      </c>
      <c r="K2581" s="513">
        <v>1410</v>
      </c>
      <c r="L2581" s="518" t="s">
        <v>3498</v>
      </c>
      <c r="M2581" s="152" t="s">
        <v>1566</v>
      </c>
      <c r="N2581" s="152" t="s">
        <v>1407</v>
      </c>
      <c r="O2581" s="152" t="s">
        <v>4398</v>
      </c>
      <c r="P2581" s="152" t="s">
        <v>4279</v>
      </c>
      <c r="Q2581" s="152" t="s">
        <v>4399</v>
      </c>
      <c r="R2581" s="152" t="s">
        <v>4393</v>
      </c>
      <c r="S2581" s="152" t="s">
        <v>4400</v>
      </c>
      <c r="T2581" s="152" t="s">
        <v>786</v>
      </c>
    </row>
    <row r="2582" spans="3:20">
      <c r="C2582" s="152" t="s">
        <v>2821</v>
      </c>
      <c r="F2582" s="152" t="s">
        <v>373</v>
      </c>
      <c r="G2582" s="152" t="s">
        <v>374</v>
      </c>
      <c r="I2582" s="513">
        <v>3546150</v>
      </c>
      <c r="J2582" s="513">
        <v>2515</v>
      </c>
      <c r="K2582" s="513">
        <v>1410</v>
      </c>
      <c r="L2582" s="518" t="s">
        <v>3498</v>
      </c>
      <c r="M2582" s="152" t="s">
        <v>1566</v>
      </c>
      <c r="N2582" s="152" t="s">
        <v>1407</v>
      </c>
      <c r="O2582" s="152" t="s">
        <v>4401</v>
      </c>
      <c r="P2582" s="152" t="s">
        <v>4279</v>
      </c>
      <c r="Q2582" s="152" t="s">
        <v>4402</v>
      </c>
      <c r="R2582" s="152" t="s">
        <v>4393</v>
      </c>
      <c r="S2582" s="152" t="s">
        <v>4403</v>
      </c>
      <c r="T2582" s="152" t="s">
        <v>786</v>
      </c>
    </row>
    <row r="2583" spans="3:20">
      <c r="C2583" s="152" t="s">
        <v>2821</v>
      </c>
      <c r="F2583" s="152" t="s">
        <v>373</v>
      </c>
      <c r="G2583" s="152" t="s">
        <v>374</v>
      </c>
      <c r="I2583" s="513">
        <v>176875</v>
      </c>
      <c r="J2583" s="513">
        <v>125</v>
      </c>
      <c r="K2583" s="513">
        <v>1415</v>
      </c>
      <c r="L2583" s="518" t="s">
        <v>3511</v>
      </c>
      <c r="M2583" s="152" t="s">
        <v>1566</v>
      </c>
      <c r="N2583" s="152" t="s">
        <v>1407</v>
      </c>
      <c r="O2583" s="152" t="s">
        <v>4404</v>
      </c>
      <c r="P2583" s="152" t="s">
        <v>4279</v>
      </c>
      <c r="Q2583" s="152" t="s">
        <v>4405</v>
      </c>
      <c r="R2583" s="152" t="s">
        <v>4406</v>
      </c>
      <c r="S2583" s="152" t="s">
        <v>4407</v>
      </c>
      <c r="T2583" s="152" t="s">
        <v>786</v>
      </c>
    </row>
    <row r="2584" spans="3:20">
      <c r="C2584" s="152" t="s">
        <v>2821</v>
      </c>
      <c r="F2584" s="152" t="s">
        <v>373</v>
      </c>
      <c r="G2584" s="152" t="s">
        <v>374</v>
      </c>
      <c r="I2584" s="513">
        <v>304225</v>
      </c>
      <c r="J2584" s="513">
        <v>215</v>
      </c>
      <c r="K2584" s="513">
        <v>1415</v>
      </c>
      <c r="L2584" s="518" t="s">
        <v>3511</v>
      </c>
      <c r="M2584" s="152" t="s">
        <v>1566</v>
      </c>
      <c r="N2584" s="152" t="s">
        <v>1407</v>
      </c>
      <c r="O2584" s="152" t="s">
        <v>4408</v>
      </c>
      <c r="P2584" s="152" t="s">
        <v>4279</v>
      </c>
      <c r="Q2584" s="152" t="s">
        <v>4409</v>
      </c>
      <c r="R2584" s="152" t="s">
        <v>4406</v>
      </c>
      <c r="S2584" s="152" t="s">
        <v>4410</v>
      </c>
      <c r="T2584" s="152" t="s">
        <v>786</v>
      </c>
    </row>
    <row r="2585" spans="3:20">
      <c r="C2585" s="152" t="s">
        <v>2821</v>
      </c>
      <c r="F2585" s="152" t="s">
        <v>373</v>
      </c>
      <c r="G2585" s="152" t="s">
        <v>374</v>
      </c>
      <c r="I2585" s="513">
        <v>304225</v>
      </c>
      <c r="J2585" s="513">
        <v>215</v>
      </c>
      <c r="K2585" s="513">
        <v>1415</v>
      </c>
      <c r="L2585" s="518" t="s">
        <v>3511</v>
      </c>
      <c r="M2585" s="152" t="s">
        <v>1566</v>
      </c>
      <c r="N2585" s="152" t="s">
        <v>1407</v>
      </c>
      <c r="O2585" s="152" t="s">
        <v>4411</v>
      </c>
      <c r="P2585" s="152" t="s">
        <v>4279</v>
      </c>
      <c r="Q2585" s="152" t="s">
        <v>4412</v>
      </c>
      <c r="R2585" s="152" t="s">
        <v>4406</v>
      </c>
      <c r="S2585" s="152" t="s">
        <v>4413</v>
      </c>
      <c r="T2585" s="152" t="s">
        <v>786</v>
      </c>
    </row>
    <row r="2586" spans="3:20">
      <c r="C2586" s="152" t="s">
        <v>2821</v>
      </c>
      <c r="F2586" s="152" t="s">
        <v>373</v>
      </c>
      <c r="G2586" s="152" t="s">
        <v>374</v>
      </c>
      <c r="I2586" s="513">
        <v>127350</v>
      </c>
      <c r="J2586" s="513">
        <v>90</v>
      </c>
      <c r="K2586" s="513">
        <v>1415</v>
      </c>
      <c r="L2586" s="518" t="s">
        <v>3511</v>
      </c>
      <c r="M2586" s="152" t="s">
        <v>1566</v>
      </c>
      <c r="N2586" s="152" t="s">
        <v>1407</v>
      </c>
      <c r="O2586" s="152" t="s">
        <v>4414</v>
      </c>
      <c r="P2586" s="152" t="s">
        <v>4279</v>
      </c>
      <c r="Q2586" s="152" t="s">
        <v>4415</v>
      </c>
      <c r="R2586" s="152" t="s">
        <v>4406</v>
      </c>
      <c r="S2586" s="152" t="s">
        <v>4416</v>
      </c>
      <c r="T2586" s="152" t="s">
        <v>786</v>
      </c>
    </row>
    <row r="2587" spans="3:20">
      <c r="C2587" s="152" t="s">
        <v>2821</v>
      </c>
      <c r="F2587" s="152" t="s">
        <v>373</v>
      </c>
      <c r="G2587" s="152" t="s">
        <v>374</v>
      </c>
      <c r="I2587" s="513">
        <v>2448212.5</v>
      </c>
      <c r="J2587" s="513">
        <v>1742.5</v>
      </c>
      <c r="K2587" s="513">
        <v>1405</v>
      </c>
      <c r="L2587" s="518" t="s">
        <v>3493</v>
      </c>
      <c r="M2587" s="152" t="s">
        <v>1566</v>
      </c>
      <c r="N2587" s="152" t="s">
        <v>1407</v>
      </c>
      <c r="O2587" s="152" t="s">
        <v>4417</v>
      </c>
      <c r="P2587" s="152" t="s">
        <v>4279</v>
      </c>
      <c r="Q2587" s="152" t="s">
        <v>4418</v>
      </c>
      <c r="R2587" s="152" t="s">
        <v>4419</v>
      </c>
      <c r="S2587" s="152" t="s">
        <v>4420</v>
      </c>
      <c r="T2587" s="152" t="s">
        <v>786</v>
      </c>
    </row>
    <row r="2588" spans="3:20">
      <c r="C2588" s="152" t="s">
        <v>2821</v>
      </c>
      <c r="F2588" s="152" t="s">
        <v>373</v>
      </c>
      <c r="G2588" s="152" t="s">
        <v>374</v>
      </c>
      <c r="I2588" s="513">
        <v>1763275</v>
      </c>
      <c r="J2588" s="513">
        <v>1255</v>
      </c>
      <c r="K2588" s="513">
        <v>1405</v>
      </c>
      <c r="L2588" s="518" t="s">
        <v>3493</v>
      </c>
      <c r="M2588" s="152" t="s">
        <v>1566</v>
      </c>
      <c r="N2588" s="152" t="s">
        <v>1407</v>
      </c>
      <c r="O2588" s="152" t="s">
        <v>4421</v>
      </c>
      <c r="P2588" s="152" t="s">
        <v>4279</v>
      </c>
      <c r="Q2588" s="152" t="s">
        <v>4422</v>
      </c>
      <c r="R2588" s="152" t="s">
        <v>4419</v>
      </c>
      <c r="S2588" s="152" t="s">
        <v>4423</v>
      </c>
      <c r="T2588" s="152" t="s">
        <v>786</v>
      </c>
    </row>
    <row r="2589" spans="3:20">
      <c r="C2589" s="152" t="s">
        <v>2821</v>
      </c>
      <c r="F2589" s="152" t="s">
        <v>373</v>
      </c>
      <c r="G2589" s="152" t="s">
        <v>374</v>
      </c>
      <c r="I2589" s="513">
        <v>2265562.5</v>
      </c>
      <c r="J2589" s="513">
        <v>1612.5</v>
      </c>
      <c r="K2589" s="513">
        <v>1405</v>
      </c>
      <c r="L2589" s="518" t="s">
        <v>3493</v>
      </c>
      <c r="M2589" s="152" t="s">
        <v>1566</v>
      </c>
      <c r="N2589" s="152" t="s">
        <v>1407</v>
      </c>
      <c r="O2589" s="152" t="s">
        <v>4424</v>
      </c>
      <c r="P2589" s="152" t="s">
        <v>4279</v>
      </c>
      <c r="Q2589" s="152" t="s">
        <v>4425</v>
      </c>
      <c r="R2589" s="152" t="s">
        <v>4419</v>
      </c>
      <c r="S2589" s="152" t="s">
        <v>4426</v>
      </c>
      <c r="T2589" s="152" t="s">
        <v>786</v>
      </c>
    </row>
    <row r="2590" spans="3:20">
      <c r="C2590" s="152" t="s">
        <v>2821</v>
      </c>
      <c r="F2590" s="152" t="s">
        <v>373</v>
      </c>
      <c r="G2590" s="152" t="s">
        <v>374</v>
      </c>
      <c r="I2590" s="513">
        <v>5271120</v>
      </c>
      <c r="J2590" s="513">
        <v>3660.5</v>
      </c>
      <c r="K2590" s="513">
        <v>1440</v>
      </c>
      <c r="L2590" s="518" t="s">
        <v>3517</v>
      </c>
      <c r="M2590" s="152" t="s">
        <v>1566</v>
      </c>
      <c r="N2590" s="152" t="s">
        <v>1407</v>
      </c>
      <c r="O2590" s="152" t="s">
        <v>4427</v>
      </c>
      <c r="P2590" s="152" t="s">
        <v>1881</v>
      </c>
      <c r="Q2590" s="152" t="s">
        <v>4428</v>
      </c>
      <c r="R2590" s="152" t="s">
        <v>4429</v>
      </c>
      <c r="S2590" s="152" t="s">
        <v>4430</v>
      </c>
      <c r="T2590" s="152" t="s">
        <v>786</v>
      </c>
    </row>
    <row r="2591" spans="3:20">
      <c r="C2591" s="152" t="s">
        <v>2821</v>
      </c>
      <c r="F2591" s="152" t="s">
        <v>373</v>
      </c>
      <c r="G2591" s="152" t="s">
        <v>374</v>
      </c>
      <c r="I2591" s="513">
        <v>3830400</v>
      </c>
      <c r="J2591" s="513">
        <v>2660</v>
      </c>
      <c r="K2591" s="513">
        <v>1440</v>
      </c>
      <c r="L2591" s="518" t="s">
        <v>3517</v>
      </c>
      <c r="M2591" s="152" t="s">
        <v>1566</v>
      </c>
      <c r="N2591" s="152" t="s">
        <v>1407</v>
      </c>
      <c r="O2591" s="152" t="s">
        <v>4431</v>
      </c>
      <c r="P2591" s="152" t="s">
        <v>1881</v>
      </c>
      <c r="Q2591" s="152" t="s">
        <v>4432</v>
      </c>
      <c r="R2591" s="152" t="s">
        <v>4429</v>
      </c>
      <c r="S2591" s="152" t="s">
        <v>4433</v>
      </c>
      <c r="T2591" s="152" t="s">
        <v>786</v>
      </c>
    </row>
    <row r="2592" spans="3:20">
      <c r="C2592" s="152" t="s">
        <v>2821</v>
      </c>
      <c r="F2592" s="152" t="s">
        <v>373</v>
      </c>
      <c r="G2592" s="152" t="s">
        <v>374</v>
      </c>
      <c r="I2592" s="513">
        <v>3804480</v>
      </c>
      <c r="J2592" s="513">
        <v>2642</v>
      </c>
      <c r="K2592" s="513">
        <v>1440</v>
      </c>
      <c r="L2592" s="518" t="s">
        <v>3517</v>
      </c>
      <c r="M2592" s="152" t="s">
        <v>1566</v>
      </c>
      <c r="N2592" s="152" t="s">
        <v>1407</v>
      </c>
      <c r="O2592" s="152" t="s">
        <v>4434</v>
      </c>
      <c r="P2592" s="152" t="s">
        <v>1881</v>
      </c>
      <c r="Q2592" s="152" t="s">
        <v>4435</v>
      </c>
      <c r="R2592" s="152" t="s">
        <v>4429</v>
      </c>
      <c r="S2592" s="152" t="s">
        <v>4436</v>
      </c>
      <c r="T2592" s="152" t="s">
        <v>786</v>
      </c>
    </row>
    <row r="2593" spans="3:20">
      <c r="C2593" s="152" t="s">
        <v>2821</v>
      </c>
      <c r="F2593" s="152" t="s">
        <v>373</v>
      </c>
      <c r="G2593" s="152" t="s">
        <v>374</v>
      </c>
      <c r="I2593" s="513">
        <v>4103280</v>
      </c>
      <c r="J2593" s="513">
        <v>2849.5</v>
      </c>
      <c r="K2593" s="513">
        <v>1440</v>
      </c>
      <c r="L2593" s="518" t="s">
        <v>3517</v>
      </c>
      <c r="M2593" s="152" t="s">
        <v>1566</v>
      </c>
      <c r="N2593" s="152" t="s">
        <v>1407</v>
      </c>
      <c r="O2593" s="152" t="s">
        <v>4437</v>
      </c>
      <c r="P2593" s="152" t="s">
        <v>1881</v>
      </c>
      <c r="Q2593" s="152" t="s">
        <v>4438</v>
      </c>
      <c r="R2593" s="152" t="s">
        <v>4429</v>
      </c>
      <c r="S2593" s="152" t="s">
        <v>4439</v>
      </c>
      <c r="T2593" s="152" t="s">
        <v>786</v>
      </c>
    </row>
    <row r="2594" spans="3:20">
      <c r="C2594" s="152" t="s">
        <v>2821</v>
      </c>
      <c r="F2594" s="152" t="s">
        <v>373</v>
      </c>
      <c r="G2594" s="152" t="s">
        <v>374</v>
      </c>
      <c r="I2594" s="513">
        <v>3389562.5</v>
      </c>
      <c r="J2594" s="513">
        <v>2412.5</v>
      </c>
      <c r="K2594" s="513">
        <v>1405</v>
      </c>
      <c r="L2594" s="518" t="s">
        <v>3493</v>
      </c>
      <c r="M2594" s="152" t="s">
        <v>1566</v>
      </c>
      <c r="N2594" s="152" t="s">
        <v>1407</v>
      </c>
      <c r="O2594" s="152" t="s">
        <v>4440</v>
      </c>
      <c r="P2594" s="152" t="s">
        <v>4279</v>
      </c>
      <c r="Q2594" s="152" t="s">
        <v>4441</v>
      </c>
      <c r="R2594" s="152" t="s">
        <v>4442</v>
      </c>
      <c r="S2594" s="152" t="s">
        <v>4443</v>
      </c>
      <c r="T2594" s="152" t="s">
        <v>786</v>
      </c>
    </row>
    <row r="2595" spans="3:20">
      <c r="C2595" s="152" t="s">
        <v>2821</v>
      </c>
      <c r="F2595" s="152" t="s">
        <v>373</v>
      </c>
      <c r="G2595" s="152" t="s">
        <v>374</v>
      </c>
      <c r="I2595" s="513">
        <v>2177750</v>
      </c>
      <c r="J2595" s="513">
        <v>1550</v>
      </c>
      <c r="K2595" s="513">
        <v>1405</v>
      </c>
      <c r="L2595" s="518" t="s">
        <v>3493</v>
      </c>
      <c r="M2595" s="152" t="s">
        <v>1566</v>
      </c>
      <c r="N2595" s="152" t="s">
        <v>1407</v>
      </c>
      <c r="O2595" s="152" t="s">
        <v>4444</v>
      </c>
      <c r="P2595" s="152" t="s">
        <v>4279</v>
      </c>
      <c r="Q2595" s="152" t="s">
        <v>4445</v>
      </c>
      <c r="R2595" s="152" t="s">
        <v>4442</v>
      </c>
      <c r="S2595" s="152" t="s">
        <v>4446</v>
      </c>
      <c r="T2595" s="152" t="s">
        <v>786</v>
      </c>
    </row>
    <row r="2596" spans="3:20">
      <c r="C2596" s="152" t="s">
        <v>2821</v>
      </c>
      <c r="F2596" s="152" t="s">
        <v>373</v>
      </c>
      <c r="G2596" s="152" t="s">
        <v>374</v>
      </c>
      <c r="I2596" s="513">
        <v>2929425</v>
      </c>
      <c r="J2596" s="513">
        <v>2085</v>
      </c>
      <c r="K2596" s="513">
        <v>1405</v>
      </c>
      <c r="L2596" s="518" t="s">
        <v>3493</v>
      </c>
      <c r="M2596" s="152" t="s">
        <v>1566</v>
      </c>
      <c r="N2596" s="152" t="s">
        <v>1407</v>
      </c>
      <c r="O2596" s="152" t="s">
        <v>4447</v>
      </c>
      <c r="P2596" s="152" t="s">
        <v>4279</v>
      </c>
      <c r="Q2596" s="152" t="s">
        <v>4448</v>
      </c>
      <c r="R2596" s="152" t="s">
        <v>4442</v>
      </c>
      <c r="S2596" s="152" t="s">
        <v>4449</v>
      </c>
      <c r="T2596" s="152" t="s">
        <v>786</v>
      </c>
    </row>
    <row r="2597" spans="3:20">
      <c r="C2597" s="152" t="s">
        <v>2821</v>
      </c>
      <c r="F2597" s="152" t="s">
        <v>373</v>
      </c>
      <c r="G2597" s="152" t="s">
        <v>374</v>
      </c>
      <c r="I2597" s="513">
        <v>4608400</v>
      </c>
      <c r="J2597" s="513">
        <v>3280</v>
      </c>
      <c r="K2597" s="513">
        <v>1405</v>
      </c>
      <c r="L2597" s="518" t="s">
        <v>3493</v>
      </c>
      <c r="M2597" s="152" t="s">
        <v>1566</v>
      </c>
      <c r="N2597" s="152" t="s">
        <v>1407</v>
      </c>
      <c r="O2597" s="152" t="s">
        <v>4450</v>
      </c>
      <c r="P2597" s="152" t="s">
        <v>4279</v>
      </c>
      <c r="Q2597" s="152" t="s">
        <v>4451</v>
      </c>
      <c r="R2597" s="152" t="s">
        <v>4442</v>
      </c>
      <c r="S2597" s="152" t="s">
        <v>4452</v>
      </c>
      <c r="T2597" s="152" t="s">
        <v>786</v>
      </c>
    </row>
    <row r="2598" spans="3:20">
      <c r="C2598" s="152" t="s">
        <v>2821</v>
      </c>
      <c r="F2598" s="152" t="s">
        <v>373</v>
      </c>
      <c r="G2598" s="152" t="s">
        <v>374</v>
      </c>
      <c r="I2598" s="513">
        <v>3487975</v>
      </c>
      <c r="J2598" s="513">
        <v>2465</v>
      </c>
      <c r="K2598" s="513">
        <v>1415</v>
      </c>
      <c r="L2598" s="518" t="s">
        <v>3511</v>
      </c>
      <c r="M2598" s="152" t="s">
        <v>1566</v>
      </c>
      <c r="N2598" s="152" t="s">
        <v>1407</v>
      </c>
      <c r="O2598" s="152" t="s">
        <v>4453</v>
      </c>
      <c r="P2598" s="152" t="s">
        <v>4279</v>
      </c>
      <c r="Q2598" s="152" t="s">
        <v>4454</v>
      </c>
      <c r="R2598" s="152" t="s">
        <v>4455</v>
      </c>
      <c r="S2598" s="152" t="s">
        <v>4456</v>
      </c>
      <c r="T2598" s="152" t="s">
        <v>786</v>
      </c>
    </row>
    <row r="2599" spans="3:20">
      <c r="C2599" s="152" t="s">
        <v>2821</v>
      </c>
      <c r="F2599" s="152" t="s">
        <v>373</v>
      </c>
      <c r="G2599" s="152" t="s">
        <v>374</v>
      </c>
      <c r="I2599" s="513">
        <v>2865375</v>
      </c>
      <c r="J2599" s="513">
        <v>2025</v>
      </c>
      <c r="K2599" s="513">
        <v>1415</v>
      </c>
      <c r="L2599" s="518" t="s">
        <v>3511</v>
      </c>
      <c r="M2599" s="152" t="s">
        <v>1566</v>
      </c>
      <c r="N2599" s="152" t="s">
        <v>1407</v>
      </c>
      <c r="O2599" s="152" t="s">
        <v>4457</v>
      </c>
      <c r="P2599" s="152" t="s">
        <v>4279</v>
      </c>
      <c r="Q2599" s="152" t="s">
        <v>4458</v>
      </c>
      <c r="R2599" s="152" t="s">
        <v>4455</v>
      </c>
      <c r="S2599" s="152" t="s">
        <v>4459</v>
      </c>
      <c r="T2599" s="152" t="s">
        <v>786</v>
      </c>
    </row>
    <row r="2600" spans="3:20">
      <c r="C2600" s="152" t="s">
        <v>2821</v>
      </c>
      <c r="F2600" s="152" t="s">
        <v>373</v>
      </c>
      <c r="G2600" s="152" t="s">
        <v>374</v>
      </c>
      <c r="I2600" s="513">
        <v>2437337.5</v>
      </c>
      <c r="J2600" s="513">
        <v>1722.5</v>
      </c>
      <c r="K2600" s="513">
        <v>1415</v>
      </c>
      <c r="L2600" s="518" t="s">
        <v>3511</v>
      </c>
      <c r="M2600" s="152" t="s">
        <v>1566</v>
      </c>
      <c r="N2600" s="152" t="s">
        <v>1407</v>
      </c>
      <c r="O2600" s="152" t="s">
        <v>4460</v>
      </c>
      <c r="P2600" s="152" t="s">
        <v>4279</v>
      </c>
      <c r="Q2600" s="152" t="s">
        <v>4461</v>
      </c>
      <c r="R2600" s="152" t="s">
        <v>4455</v>
      </c>
      <c r="S2600" s="152" t="s">
        <v>4462</v>
      </c>
      <c r="T2600" s="152" t="s">
        <v>786</v>
      </c>
    </row>
    <row r="2601" spans="3:20">
      <c r="C2601" s="152" t="s">
        <v>2821</v>
      </c>
      <c r="F2601" s="152" t="s">
        <v>373</v>
      </c>
      <c r="G2601" s="152" t="s">
        <v>374</v>
      </c>
      <c r="I2601" s="513">
        <v>3487975</v>
      </c>
      <c r="J2601" s="513">
        <v>2465</v>
      </c>
      <c r="K2601" s="513">
        <v>1415</v>
      </c>
      <c r="L2601" s="518" t="s">
        <v>3511</v>
      </c>
      <c r="M2601" s="152" t="s">
        <v>1566</v>
      </c>
      <c r="N2601" s="152" t="s">
        <v>1407</v>
      </c>
      <c r="O2601" s="152" t="s">
        <v>4463</v>
      </c>
      <c r="P2601" s="152" t="s">
        <v>4279</v>
      </c>
      <c r="Q2601" s="152" t="s">
        <v>4464</v>
      </c>
      <c r="R2601" s="152" t="s">
        <v>4455</v>
      </c>
      <c r="S2601" s="152" t="s">
        <v>4465</v>
      </c>
      <c r="T2601" s="152" t="s">
        <v>786</v>
      </c>
    </row>
    <row r="2602" spans="3:20">
      <c r="C2602" s="152" t="s">
        <v>2821</v>
      </c>
      <c r="F2602" s="152" t="s">
        <v>373</v>
      </c>
      <c r="G2602" s="152" t="s">
        <v>374</v>
      </c>
      <c r="I2602" s="513">
        <v>178125</v>
      </c>
      <c r="J2602" s="513">
        <v>125</v>
      </c>
      <c r="K2602" s="513">
        <v>1425</v>
      </c>
      <c r="L2602" s="518" t="s">
        <v>3504</v>
      </c>
      <c r="M2602" s="152" t="s">
        <v>1566</v>
      </c>
      <c r="N2602" s="152" t="s">
        <v>1407</v>
      </c>
      <c r="O2602" s="152" t="s">
        <v>4466</v>
      </c>
      <c r="P2602" s="152" t="s">
        <v>4279</v>
      </c>
      <c r="Q2602" s="152" t="s">
        <v>4467</v>
      </c>
      <c r="R2602" s="152" t="s">
        <v>4468</v>
      </c>
      <c r="S2602" s="152" t="s">
        <v>4469</v>
      </c>
      <c r="T2602" s="152" t="s">
        <v>786</v>
      </c>
    </row>
    <row r="2603" spans="3:20">
      <c r="C2603" s="152" t="s">
        <v>2821</v>
      </c>
      <c r="F2603" s="152" t="s">
        <v>373</v>
      </c>
      <c r="G2603" s="152" t="s">
        <v>374</v>
      </c>
      <c r="I2603" s="513">
        <v>5858100</v>
      </c>
      <c r="J2603" s="513">
        <v>4140</v>
      </c>
      <c r="K2603" s="513">
        <v>1415</v>
      </c>
      <c r="L2603" s="518" t="s">
        <v>3511</v>
      </c>
      <c r="M2603" s="152" t="s">
        <v>1566</v>
      </c>
      <c r="N2603" s="152" t="s">
        <v>1407</v>
      </c>
      <c r="O2603" s="152" t="s">
        <v>4470</v>
      </c>
      <c r="P2603" s="152" t="s">
        <v>4279</v>
      </c>
      <c r="Q2603" s="152" t="s">
        <v>4471</v>
      </c>
      <c r="R2603" s="152" t="s">
        <v>4472</v>
      </c>
      <c r="S2603" s="152" t="s">
        <v>4473</v>
      </c>
      <c r="T2603" s="152" t="s">
        <v>786</v>
      </c>
    </row>
    <row r="2604" spans="3:20">
      <c r="C2604" s="152" t="s">
        <v>2821</v>
      </c>
      <c r="F2604" s="152" t="s">
        <v>373</v>
      </c>
      <c r="G2604" s="152" t="s">
        <v>374</v>
      </c>
      <c r="I2604" s="513">
        <v>5210737.5</v>
      </c>
      <c r="J2604" s="513">
        <v>3682.5</v>
      </c>
      <c r="K2604" s="513">
        <v>1415</v>
      </c>
      <c r="L2604" s="518" t="s">
        <v>3511</v>
      </c>
      <c r="M2604" s="152" t="s">
        <v>1566</v>
      </c>
      <c r="N2604" s="152" t="s">
        <v>1407</v>
      </c>
      <c r="O2604" s="152" t="s">
        <v>4474</v>
      </c>
      <c r="P2604" s="152" t="s">
        <v>4279</v>
      </c>
      <c r="Q2604" s="152" t="s">
        <v>4475</v>
      </c>
      <c r="R2604" s="152" t="s">
        <v>4472</v>
      </c>
      <c r="S2604" s="152" t="s">
        <v>4476</v>
      </c>
      <c r="T2604" s="152" t="s">
        <v>786</v>
      </c>
    </row>
    <row r="2605" spans="3:20">
      <c r="C2605" s="152" t="s">
        <v>2821</v>
      </c>
      <c r="F2605" s="152" t="s">
        <v>373</v>
      </c>
      <c r="G2605" s="152" t="s">
        <v>374</v>
      </c>
      <c r="I2605" s="513">
        <v>6494850</v>
      </c>
      <c r="J2605" s="513">
        <v>4590</v>
      </c>
      <c r="K2605" s="513">
        <v>1415</v>
      </c>
      <c r="L2605" s="518" t="s">
        <v>3511</v>
      </c>
      <c r="M2605" s="152" t="s">
        <v>1566</v>
      </c>
      <c r="N2605" s="152" t="s">
        <v>1407</v>
      </c>
      <c r="O2605" s="152" t="s">
        <v>4477</v>
      </c>
      <c r="P2605" s="152" t="s">
        <v>4279</v>
      </c>
      <c r="Q2605" s="152" t="s">
        <v>4478</v>
      </c>
      <c r="R2605" s="152" t="s">
        <v>4472</v>
      </c>
      <c r="S2605" s="152" t="s">
        <v>4479</v>
      </c>
      <c r="T2605" s="152" t="s">
        <v>786</v>
      </c>
    </row>
    <row r="2606" spans="3:20">
      <c r="C2606" s="152" t="s">
        <v>2821</v>
      </c>
      <c r="F2606" s="152" t="s">
        <v>373</v>
      </c>
      <c r="G2606" s="152" t="s">
        <v>374</v>
      </c>
      <c r="I2606" s="513">
        <v>6777850</v>
      </c>
      <c r="J2606" s="513">
        <v>4790</v>
      </c>
      <c r="K2606" s="513">
        <v>1415</v>
      </c>
      <c r="L2606" s="518" t="s">
        <v>3511</v>
      </c>
      <c r="M2606" s="152" t="s">
        <v>1566</v>
      </c>
      <c r="N2606" s="152" t="s">
        <v>1407</v>
      </c>
      <c r="O2606" s="152" t="s">
        <v>4480</v>
      </c>
      <c r="P2606" s="152" t="s">
        <v>4279</v>
      </c>
      <c r="Q2606" s="152" t="s">
        <v>4481</v>
      </c>
      <c r="R2606" s="152" t="s">
        <v>4472</v>
      </c>
      <c r="S2606" s="152" t="s">
        <v>4482</v>
      </c>
      <c r="T2606" s="152" t="s">
        <v>786</v>
      </c>
    </row>
    <row r="2607" spans="3:20">
      <c r="C2607" s="152" t="s">
        <v>2821</v>
      </c>
      <c r="F2607" s="152" t="s">
        <v>373</v>
      </c>
      <c r="G2607" s="152" t="s">
        <v>374</v>
      </c>
      <c r="I2607" s="513">
        <v>7916400</v>
      </c>
      <c r="J2607" s="513">
        <v>5497.5</v>
      </c>
      <c r="K2607" s="513">
        <v>1440</v>
      </c>
      <c r="L2607" s="518" t="s">
        <v>3517</v>
      </c>
      <c r="M2607" s="152" t="s">
        <v>1566</v>
      </c>
      <c r="N2607" s="152" t="s">
        <v>1407</v>
      </c>
      <c r="O2607" s="152" t="s">
        <v>4483</v>
      </c>
      <c r="P2607" s="152" t="s">
        <v>1881</v>
      </c>
      <c r="Q2607" s="152" t="s">
        <v>4484</v>
      </c>
      <c r="R2607" s="152" t="s">
        <v>4485</v>
      </c>
      <c r="S2607" s="152" t="s">
        <v>4486</v>
      </c>
      <c r="T2607" s="152" t="s">
        <v>786</v>
      </c>
    </row>
    <row r="2608" spans="3:20">
      <c r="C2608" s="152" t="s">
        <v>2821</v>
      </c>
      <c r="F2608" s="152" t="s">
        <v>373</v>
      </c>
      <c r="G2608" s="152" t="s">
        <v>374</v>
      </c>
      <c r="I2608" s="513">
        <v>6402240</v>
      </c>
      <c r="J2608" s="513">
        <v>4446</v>
      </c>
      <c r="K2608" s="513">
        <v>1440</v>
      </c>
      <c r="L2608" s="518" t="s">
        <v>3517</v>
      </c>
      <c r="M2608" s="152" t="s">
        <v>1566</v>
      </c>
      <c r="N2608" s="152" t="s">
        <v>1407</v>
      </c>
      <c r="O2608" s="152" t="s">
        <v>4487</v>
      </c>
      <c r="P2608" s="152" t="s">
        <v>1881</v>
      </c>
      <c r="Q2608" s="152" t="s">
        <v>4488</v>
      </c>
      <c r="R2608" s="152" t="s">
        <v>4485</v>
      </c>
      <c r="S2608" s="152" t="s">
        <v>4489</v>
      </c>
      <c r="T2608" s="152" t="s">
        <v>786</v>
      </c>
    </row>
    <row r="2609" spans="3:20">
      <c r="C2609" s="152" t="s">
        <v>2821</v>
      </c>
      <c r="F2609" s="152" t="s">
        <v>373</v>
      </c>
      <c r="G2609" s="152" t="s">
        <v>374</v>
      </c>
      <c r="I2609" s="513">
        <v>5460480</v>
      </c>
      <c r="J2609" s="513">
        <v>3792</v>
      </c>
      <c r="K2609" s="513">
        <v>1440</v>
      </c>
      <c r="L2609" s="518" t="s">
        <v>3517</v>
      </c>
      <c r="M2609" s="152" t="s">
        <v>1566</v>
      </c>
      <c r="N2609" s="152" t="s">
        <v>1407</v>
      </c>
      <c r="O2609" s="152" t="s">
        <v>4490</v>
      </c>
      <c r="P2609" s="152" t="s">
        <v>1881</v>
      </c>
      <c r="Q2609" s="152" t="s">
        <v>4491</v>
      </c>
      <c r="R2609" s="152" t="s">
        <v>4485</v>
      </c>
      <c r="S2609" s="152" t="s">
        <v>4492</v>
      </c>
      <c r="T2609" s="152" t="s">
        <v>786</v>
      </c>
    </row>
    <row r="2610" spans="3:20">
      <c r="C2610" s="152" t="s">
        <v>2821</v>
      </c>
      <c r="F2610" s="152" t="s">
        <v>373</v>
      </c>
      <c r="G2610" s="152" t="s">
        <v>374</v>
      </c>
      <c r="I2610" s="513">
        <v>3601440</v>
      </c>
      <c r="J2610" s="513">
        <v>2501</v>
      </c>
      <c r="K2610" s="513">
        <v>1440</v>
      </c>
      <c r="L2610" s="518" t="s">
        <v>3517</v>
      </c>
      <c r="M2610" s="152" t="s">
        <v>1566</v>
      </c>
      <c r="N2610" s="152" t="s">
        <v>1407</v>
      </c>
      <c r="O2610" s="152" t="s">
        <v>4493</v>
      </c>
      <c r="P2610" s="152" t="s">
        <v>1881</v>
      </c>
      <c r="Q2610" s="152" t="s">
        <v>4494</v>
      </c>
      <c r="R2610" s="152" t="s">
        <v>4485</v>
      </c>
      <c r="S2610" s="152" t="s">
        <v>4495</v>
      </c>
      <c r="T2610" s="152" t="s">
        <v>786</v>
      </c>
    </row>
    <row r="2611" spans="3:20">
      <c r="C2611" s="152" t="s">
        <v>2821</v>
      </c>
      <c r="F2611" s="152" t="s">
        <v>373</v>
      </c>
      <c r="G2611" s="152" t="s">
        <v>374</v>
      </c>
      <c r="I2611" s="513">
        <v>3765400</v>
      </c>
      <c r="J2611" s="513">
        <v>2680</v>
      </c>
      <c r="K2611" s="513">
        <v>1405</v>
      </c>
      <c r="L2611" s="518" t="s">
        <v>3493</v>
      </c>
      <c r="M2611" s="152" t="s">
        <v>1566</v>
      </c>
      <c r="N2611" s="152" t="s">
        <v>1407</v>
      </c>
      <c r="O2611" s="152" t="s">
        <v>4496</v>
      </c>
      <c r="P2611" s="152" t="s">
        <v>4279</v>
      </c>
      <c r="Q2611" s="152" t="s">
        <v>4497</v>
      </c>
      <c r="R2611" s="152" t="s">
        <v>4498</v>
      </c>
      <c r="S2611" s="152" t="s">
        <v>4499</v>
      </c>
      <c r="T2611" s="152" t="s">
        <v>786</v>
      </c>
    </row>
    <row r="2612" spans="3:20">
      <c r="C2612" s="152" t="s">
        <v>2821</v>
      </c>
      <c r="F2612" s="152" t="s">
        <v>373</v>
      </c>
      <c r="G2612" s="152" t="s">
        <v>374</v>
      </c>
      <c r="I2612" s="513">
        <v>4727825</v>
      </c>
      <c r="J2612" s="513">
        <v>3365</v>
      </c>
      <c r="K2612" s="513">
        <v>1405</v>
      </c>
      <c r="L2612" s="518" t="s">
        <v>3493</v>
      </c>
      <c r="M2612" s="152" t="s">
        <v>1566</v>
      </c>
      <c r="N2612" s="152" t="s">
        <v>1407</v>
      </c>
      <c r="O2612" s="152" t="s">
        <v>4500</v>
      </c>
      <c r="P2612" s="152" t="s">
        <v>4279</v>
      </c>
      <c r="Q2612" s="152" t="s">
        <v>4501</v>
      </c>
      <c r="R2612" s="152" t="s">
        <v>4498</v>
      </c>
      <c r="S2612" s="152" t="s">
        <v>4502</v>
      </c>
      <c r="T2612" s="152" t="s">
        <v>786</v>
      </c>
    </row>
    <row r="2613" spans="3:20">
      <c r="C2613" s="152" t="s">
        <v>2821</v>
      </c>
      <c r="F2613" s="152" t="s">
        <v>373</v>
      </c>
      <c r="G2613" s="152" t="s">
        <v>374</v>
      </c>
      <c r="I2613" s="513">
        <v>4158800</v>
      </c>
      <c r="J2613" s="513">
        <v>2960</v>
      </c>
      <c r="K2613" s="513">
        <v>1405</v>
      </c>
      <c r="L2613" s="518" t="s">
        <v>3493</v>
      </c>
      <c r="M2613" s="152" t="s">
        <v>1566</v>
      </c>
      <c r="N2613" s="152" t="s">
        <v>1407</v>
      </c>
      <c r="O2613" s="152" t="s">
        <v>4503</v>
      </c>
      <c r="P2613" s="152" t="s">
        <v>4279</v>
      </c>
      <c r="Q2613" s="152" t="s">
        <v>4504</v>
      </c>
      <c r="R2613" s="152" t="s">
        <v>4498</v>
      </c>
      <c r="S2613" s="152" t="s">
        <v>4505</v>
      </c>
      <c r="T2613" s="152" t="s">
        <v>786</v>
      </c>
    </row>
    <row r="2614" spans="3:20">
      <c r="C2614" s="152" t="s">
        <v>2821</v>
      </c>
      <c r="F2614" s="152" t="s">
        <v>373</v>
      </c>
      <c r="G2614" s="152" t="s">
        <v>374</v>
      </c>
      <c r="I2614" s="513">
        <v>6431387.5</v>
      </c>
      <c r="J2614" s="513">
        <v>4577.5</v>
      </c>
      <c r="K2614" s="513">
        <v>1405</v>
      </c>
      <c r="L2614" s="518" t="s">
        <v>3493</v>
      </c>
      <c r="M2614" s="152" t="s">
        <v>1566</v>
      </c>
      <c r="N2614" s="152" t="s">
        <v>1407</v>
      </c>
      <c r="O2614" s="152" t="s">
        <v>4506</v>
      </c>
      <c r="P2614" s="152" t="s">
        <v>4279</v>
      </c>
      <c r="Q2614" s="152" t="s">
        <v>4507</v>
      </c>
      <c r="R2614" s="152" t="s">
        <v>4498</v>
      </c>
      <c r="S2614" s="152" t="s">
        <v>4508</v>
      </c>
      <c r="T2614" s="152" t="s">
        <v>786</v>
      </c>
    </row>
    <row r="2615" spans="3:20">
      <c r="C2615" s="152" t="s">
        <v>2821</v>
      </c>
      <c r="F2615" s="152" t="s">
        <v>373</v>
      </c>
      <c r="G2615" s="152" t="s">
        <v>374</v>
      </c>
      <c r="I2615" s="513">
        <v>6937000</v>
      </c>
      <c r="J2615" s="513">
        <v>4955</v>
      </c>
      <c r="K2615" s="513">
        <v>1400</v>
      </c>
      <c r="L2615" s="518" t="s">
        <v>3659</v>
      </c>
      <c r="M2615" s="152" t="s">
        <v>1566</v>
      </c>
      <c r="N2615" s="152" t="s">
        <v>1407</v>
      </c>
      <c r="O2615" s="152" t="s">
        <v>4509</v>
      </c>
      <c r="P2615" s="152" t="s">
        <v>4279</v>
      </c>
      <c r="Q2615" s="152" t="s">
        <v>4510</v>
      </c>
      <c r="R2615" s="152" t="s">
        <v>4511</v>
      </c>
      <c r="S2615" s="152" t="s">
        <v>4512</v>
      </c>
      <c r="T2615" s="152" t="s">
        <v>786</v>
      </c>
    </row>
    <row r="2616" spans="3:20">
      <c r="C2616" s="152" t="s">
        <v>2821</v>
      </c>
      <c r="F2616" s="152" t="s">
        <v>373</v>
      </c>
      <c r="G2616" s="152" t="s">
        <v>374</v>
      </c>
      <c r="I2616" s="513">
        <v>7259000</v>
      </c>
      <c r="J2616" s="513">
        <v>5185</v>
      </c>
      <c r="K2616" s="513">
        <v>1400</v>
      </c>
      <c r="L2616" s="518" t="s">
        <v>3659</v>
      </c>
      <c r="M2616" s="152" t="s">
        <v>1566</v>
      </c>
      <c r="N2616" s="152" t="s">
        <v>1407</v>
      </c>
      <c r="O2616" s="152" t="s">
        <v>4513</v>
      </c>
      <c r="P2616" s="152" t="s">
        <v>4279</v>
      </c>
      <c r="Q2616" s="152" t="s">
        <v>4514</v>
      </c>
      <c r="R2616" s="152" t="s">
        <v>4511</v>
      </c>
      <c r="S2616" s="152" t="s">
        <v>4515</v>
      </c>
      <c r="T2616" s="152" t="s">
        <v>786</v>
      </c>
    </row>
    <row r="2617" spans="3:20">
      <c r="C2617" s="152" t="s">
        <v>2821</v>
      </c>
      <c r="F2617" s="152" t="s">
        <v>373</v>
      </c>
      <c r="G2617" s="152" t="s">
        <v>374</v>
      </c>
      <c r="I2617" s="513">
        <v>4656057.5</v>
      </c>
      <c r="J2617" s="513">
        <v>3290.5</v>
      </c>
      <c r="K2617" s="513">
        <v>1415</v>
      </c>
      <c r="L2617" s="518" t="s">
        <v>3632</v>
      </c>
      <c r="M2617" s="152" t="s">
        <v>1566</v>
      </c>
      <c r="N2617" s="152" t="s">
        <v>1407</v>
      </c>
      <c r="O2617" s="152" t="s">
        <v>4516</v>
      </c>
      <c r="P2617" s="152" t="s">
        <v>4279</v>
      </c>
      <c r="Q2617" s="152" t="s">
        <v>4517</v>
      </c>
      <c r="R2617" s="152" t="s">
        <v>4518</v>
      </c>
      <c r="S2617" s="152" t="s">
        <v>4519</v>
      </c>
      <c r="T2617" s="152" t="s">
        <v>786</v>
      </c>
    </row>
    <row r="2618" spans="3:20">
      <c r="C2618" s="152" t="s">
        <v>2821</v>
      </c>
      <c r="F2618" s="152" t="s">
        <v>373</v>
      </c>
      <c r="G2618" s="152" t="s">
        <v>374</v>
      </c>
      <c r="I2618" s="513">
        <v>5372755</v>
      </c>
      <c r="J2618" s="513">
        <v>3797</v>
      </c>
      <c r="K2618" s="513">
        <v>1415</v>
      </c>
      <c r="L2618" s="518" t="s">
        <v>3632</v>
      </c>
      <c r="M2618" s="152" t="s">
        <v>1566</v>
      </c>
      <c r="N2618" s="152" t="s">
        <v>1407</v>
      </c>
      <c r="O2618" s="152" t="s">
        <v>4520</v>
      </c>
      <c r="P2618" s="152" t="s">
        <v>4279</v>
      </c>
      <c r="Q2618" s="152" t="s">
        <v>4521</v>
      </c>
      <c r="R2618" s="152" t="s">
        <v>4518</v>
      </c>
      <c r="S2618" s="152" t="s">
        <v>4522</v>
      </c>
      <c r="T2618" s="152" t="s">
        <v>786</v>
      </c>
    </row>
    <row r="2619" spans="3:20">
      <c r="C2619" s="152" t="s">
        <v>2821</v>
      </c>
      <c r="F2619" s="152" t="s">
        <v>373</v>
      </c>
      <c r="G2619" s="152" t="s">
        <v>374</v>
      </c>
      <c r="I2619" s="513">
        <v>5641605</v>
      </c>
      <c r="J2619" s="513">
        <v>3987</v>
      </c>
      <c r="K2619" s="513">
        <v>1415</v>
      </c>
      <c r="L2619" s="518" t="s">
        <v>3632</v>
      </c>
      <c r="M2619" s="152" t="s">
        <v>1566</v>
      </c>
      <c r="N2619" s="152" t="s">
        <v>1407</v>
      </c>
      <c r="O2619" s="152" t="s">
        <v>4523</v>
      </c>
      <c r="P2619" s="152" t="s">
        <v>4279</v>
      </c>
      <c r="Q2619" s="152" t="s">
        <v>4524</v>
      </c>
      <c r="R2619" s="152" t="s">
        <v>4518</v>
      </c>
      <c r="S2619" s="152" t="s">
        <v>4525</v>
      </c>
      <c r="T2619" s="152" t="s">
        <v>786</v>
      </c>
    </row>
    <row r="2620" spans="3:20">
      <c r="C2620" s="152" t="s">
        <v>2821</v>
      </c>
      <c r="F2620" s="152" t="s">
        <v>373</v>
      </c>
      <c r="G2620" s="152" t="s">
        <v>374</v>
      </c>
      <c r="I2620" s="513">
        <v>4507482.5</v>
      </c>
      <c r="J2620" s="513">
        <v>3185.5</v>
      </c>
      <c r="K2620" s="513">
        <v>1415</v>
      </c>
      <c r="L2620" s="518" t="s">
        <v>3632</v>
      </c>
      <c r="M2620" s="152" t="s">
        <v>1566</v>
      </c>
      <c r="N2620" s="152" t="s">
        <v>1407</v>
      </c>
      <c r="O2620" s="152" t="s">
        <v>4526</v>
      </c>
      <c r="P2620" s="152" t="s">
        <v>4279</v>
      </c>
      <c r="Q2620" s="152" t="s">
        <v>4527</v>
      </c>
      <c r="R2620" s="152" t="s">
        <v>4518</v>
      </c>
      <c r="S2620" s="152" t="s">
        <v>4528</v>
      </c>
      <c r="T2620" s="152" t="s">
        <v>786</v>
      </c>
    </row>
    <row r="2621" spans="3:20">
      <c r="C2621" s="152" t="s">
        <v>2821</v>
      </c>
      <c r="F2621" s="152" t="s">
        <v>373</v>
      </c>
      <c r="G2621" s="152" t="s">
        <v>374</v>
      </c>
      <c r="I2621" s="513">
        <v>2886975</v>
      </c>
      <c r="J2621" s="513">
        <v>2047.5</v>
      </c>
      <c r="K2621" s="513">
        <v>1410</v>
      </c>
      <c r="L2621" s="518" t="s">
        <v>3498</v>
      </c>
      <c r="M2621" s="152" t="s">
        <v>1566</v>
      </c>
      <c r="N2621" s="152" t="s">
        <v>1407</v>
      </c>
      <c r="O2621" s="152" t="s">
        <v>4529</v>
      </c>
      <c r="P2621" s="152" t="s">
        <v>4279</v>
      </c>
      <c r="Q2621" s="152" t="s">
        <v>4530</v>
      </c>
      <c r="R2621" s="152" t="s">
        <v>4531</v>
      </c>
      <c r="S2621" s="152" t="s">
        <v>4532</v>
      </c>
      <c r="T2621" s="152" t="s">
        <v>786</v>
      </c>
    </row>
    <row r="2622" spans="3:20">
      <c r="C2622" s="152" t="s">
        <v>2821</v>
      </c>
      <c r="F2622" s="152" t="s">
        <v>373</v>
      </c>
      <c r="G2622" s="152" t="s">
        <v>374</v>
      </c>
      <c r="I2622" s="513">
        <v>3369900</v>
      </c>
      <c r="J2622" s="513">
        <v>2390</v>
      </c>
      <c r="K2622" s="513">
        <v>1410</v>
      </c>
      <c r="L2622" s="518" t="s">
        <v>3498</v>
      </c>
      <c r="M2622" s="152" t="s">
        <v>1566</v>
      </c>
      <c r="N2622" s="152" t="s">
        <v>1407</v>
      </c>
      <c r="O2622" s="152" t="s">
        <v>4533</v>
      </c>
      <c r="P2622" s="152" t="s">
        <v>4279</v>
      </c>
      <c r="Q2622" s="152" t="s">
        <v>4534</v>
      </c>
      <c r="R2622" s="152" t="s">
        <v>4531</v>
      </c>
      <c r="S2622" s="152" t="s">
        <v>4535</v>
      </c>
      <c r="T2622" s="152" t="s">
        <v>786</v>
      </c>
    </row>
    <row r="2623" spans="3:20">
      <c r="C2623" s="152" t="s">
        <v>2821</v>
      </c>
      <c r="F2623" s="152" t="s">
        <v>373</v>
      </c>
      <c r="G2623" s="152" t="s">
        <v>374</v>
      </c>
      <c r="I2623" s="513">
        <v>5009025</v>
      </c>
      <c r="J2623" s="513">
        <v>3552.5</v>
      </c>
      <c r="K2623" s="513">
        <v>1410</v>
      </c>
      <c r="L2623" s="518" t="s">
        <v>3498</v>
      </c>
      <c r="M2623" s="152" t="s">
        <v>1566</v>
      </c>
      <c r="N2623" s="152" t="s">
        <v>1407</v>
      </c>
      <c r="O2623" s="152" t="s">
        <v>4536</v>
      </c>
      <c r="P2623" s="152" t="s">
        <v>4279</v>
      </c>
      <c r="Q2623" s="152" t="s">
        <v>4537</v>
      </c>
      <c r="R2623" s="152" t="s">
        <v>4531</v>
      </c>
      <c r="S2623" s="152" t="s">
        <v>4538</v>
      </c>
      <c r="T2623" s="152" t="s">
        <v>786</v>
      </c>
    </row>
    <row r="2624" spans="3:20">
      <c r="C2624" s="152" t="s">
        <v>2821</v>
      </c>
      <c r="F2624" s="152" t="s">
        <v>373</v>
      </c>
      <c r="G2624" s="152" t="s">
        <v>374</v>
      </c>
      <c r="I2624" s="513">
        <v>127350</v>
      </c>
      <c r="J2624" s="513">
        <v>90</v>
      </c>
      <c r="K2624" s="513">
        <v>1415</v>
      </c>
      <c r="L2624" s="518" t="s">
        <v>3511</v>
      </c>
      <c r="M2624" s="152" t="s">
        <v>1566</v>
      </c>
      <c r="N2624" s="152" t="s">
        <v>1407</v>
      </c>
      <c r="O2624" s="152" t="s">
        <v>4539</v>
      </c>
      <c r="P2624" s="152" t="s">
        <v>4279</v>
      </c>
      <c r="Q2624" s="152" t="s">
        <v>4540</v>
      </c>
      <c r="R2624" s="152" t="s">
        <v>4541</v>
      </c>
      <c r="S2624" s="152" t="s">
        <v>4542</v>
      </c>
      <c r="T2624" s="152" t="s">
        <v>786</v>
      </c>
    </row>
    <row r="2625" spans="3:20">
      <c r="C2625" s="152" t="s">
        <v>2821</v>
      </c>
      <c r="F2625" s="152" t="s">
        <v>373</v>
      </c>
      <c r="G2625" s="152" t="s">
        <v>374</v>
      </c>
      <c r="I2625" s="513">
        <v>530625</v>
      </c>
      <c r="J2625" s="513">
        <v>375</v>
      </c>
      <c r="K2625" s="513">
        <v>1415</v>
      </c>
      <c r="L2625" s="518" t="s">
        <v>3511</v>
      </c>
      <c r="M2625" s="152" t="s">
        <v>1566</v>
      </c>
      <c r="N2625" s="152" t="s">
        <v>1407</v>
      </c>
      <c r="O2625" s="152" t="s">
        <v>4543</v>
      </c>
      <c r="P2625" s="152" t="s">
        <v>4279</v>
      </c>
      <c r="Q2625" s="152" t="s">
        <v>4544</v>
      </c>
      <c r="R2625" s="152" t="s">
        <v>4541</v>
      </c>
      <c r="S2625" s="152" t="s">
        <v>4545</v>
      </c>
      <c r="T2625" s="152" t="s">
        <v>786</v>
      </c>
    </row>
    <row r="2626" spans="3:20">
      <c r="C2626" s="152" t="s">
        <v>2821</v>
      </c>
      <c r="F2626" s="152" t="s">
        <v>373</v>
      </c>
      <c r="G2626" s="152" t="s">
        <v>374</v>
      </c>
      <c r="I2626" s="513">
        <v>4395675</v>
      </c>
      <c r="J2626" s="513">
        <v>3117.5</v>
      </c>
      <c r="K2626" s="513">
        <v>1410</v>
      </c>
      <c r="L2626" s="518" t="s">
        <v>3498</v>
      </c>
      <c r="M2626" s="152" t="s">
        <v>1566</v>
      </c>
      <c r="N2626" s="152" t="s">
        <v>1407</v>
      </c>
      <c r="O2626" s="152" t="s">
        <v>4546</v>
      </c>
      <c r="P2626" s="152" t="s">
        <v>4279</v>
      </c>
      <c r="Q2626" s="152" t="s">
        <v>4547</v>
      </c>
      <c r="R2626" s="152" t="s">
        <v>4548</v>
      </c>
      <c r="S2626" s="152" t="s">
        <v>4549</v>
      </c>
      <c r="T2626" s="152" t="s">
        <v>786</v>
      </c>
    </row>
    <row r="2627" spans="3:20">
      <c r="C2627" s="152" t="s">
        <v>2821</v>
      </c>
      <c r="F2627" s="152" t="s">
        <v>373</v>
      </c>
      <c r="G2627" s="152" t="s">
        <v>374</v>
      </c>
      <c r="I2627" s="513">
        <v>4719975</v>
      </c>
      <c r="J2627" s="513">
        <v>3347.5</v>
      </c>
      <c r="K2627" s="513">
        <v>1410</v>
      </c>
      <c r="L2627" s="518" t="s">
        <v>3498</v>
      </c>
      <c r="M2627" s="152" t="s">
        <v>1566</v>
      </c>
      <c r="N2627" s="152" t="s">
        <v>1407</v>
      </c>
      <c r="O2627" s="152" t="s">
        <v>4550</v>
      </c>
      <c r="P2627" s="152" t="s">
        <v>4279</v>
      </c>
      <c r="Q2627" s="152" t="s">
        <v>4551</v>
      </c>
      <c r="R2627" s="152" t="s">
        <v>4548</v>
      </c>
      <c r="S2627" s="152" t="s">
        <v>4552</v>
      </c>
      <c r="T2627" s="152" t="s">
        <v>786</v>
      </c>
    </row>
    <row r="2628" spans="3:20">
      <c r="C2628" s="152" t="s">
        <v>2821</v>
      </c>
      <c r="F2628" s="152" t="s">
        <v>373</v>
      </c>
      <c r="G2628" s="152" t="s">
        <v>374</v>
      </c>
      <c r="I2628" s="513">
        <v>4279350</v>
      </c>
      <c r="J2628" s="513">
        <v>3035</v>
      </c>
      <c r="K2628" s="513">
        <v>1410</v>
      </c>
      <c r="L2628" s="518" t="s">
        <v>3498</v>
      </c>
      <c r="M2628" s="152" t="s">
        <v>1566</v>
      </c>
      <c r="N2628" s="152" t="s">
        <v>1407</v>
      </c>
      <c r="O2628" s="152" t="s">
        <v>4553</v>
      </c>
      <c r="P2628" s="152" t="s">
        <v>4279</v>
      </c>
      <c r="Q2628" s="152" t="s">
        <v>4554</v>
      </c>
      <c r="R2628" s="152" t="s">
        <v>4548</v>
      </c>
      <c r="S2628" s="152" t="s">
        <v>4555</v>
      </c>
      <c r="T2628" s="152" t="s">
        <v>786</v>
      </c>
    </row>
    <row r="2629" spans="3:20">
      <c r="C2629" s="152" t="s">
        <v>2821</v>
      </c>
      <c r="F2629" s="152" t="s">
        <v>373</v>
      </c>
      <c r="G2629" s="152" t="s">
        <v>374</v>
      </c>
      <c r="I2629" s="513">
        <v>4385100</v>
      </c>
      <c r="J2629" s="513">
        <v>3110</v>
      </c>
      <c r="K2629" s="513">
        <v>1410</v>
      </c>
      <c r="L2629" s="518" t="s">
        <v>3498</v>
      </c>
      <c r="M2629" s="152" t="s">
        <v>1566</v>
      </c>
      <c r="N2629" s="152" t="s">
        <v>1407</v>
      </c>
      <c r="O2629" s="152" t="s">
        <v>4556</v>
      </c>
      <c r="P2629" s="152" t="s">
        <v>4279</v>
      </c>
      <c r="Q2629" s="152" t="s">
        <v>4557</v>
      </c>
      <c r="R2629" s="152" t="s">
        <v>4548</v>
      </c>
      <c r="S2629" s="152" t="s">
        <v>4558</v>
      </c>
      <c r="T2629" s="152" t="s">
        <v>786</v>
      </c>
    </row>
    <row r="2630" spans="3:20">
      <c r="C2630" s="152" t="s">
        <v>2821</v>
      </c>
      <c r="F2630" s="152" t="s">
        <v>373</v>
      </c>
      <c r="G2630" s="152" t="s">
        <v>374</v>
      </c>
      <c r="I2630" s="513">
        <v>4770500</v>
      </c>
      <c r="J2630" s="513">
        <v>3407.5</v>
      </c>
      <c r="K2630" s="513">
        <v>1400</v>
      </c>
      <c r="L2630" s="518" t="s">
        <v>3659</v>
      </c>
      <c r="M2630" s="152" t="s">
        <v>1566</v>
      </c>
      <c r="N2630" s="152" t="s">
        <v>1407</v>
      </c>
      <c r="O2630" s="152" t="s">
        <v>4559</v>
      </c>
      <c r="P2630" s="152" t="s">
        <v>4279</v>
      </c>
      <c r="Q2630" s="152" t="s">
        <v>4560</v>
      </c>
      <c r="R2630" s="152" t="s">
        <v>4561</v>
      </c>
      <c r="S2630" s="152" t="s">
        <v>4562</v>
      </c>
      <c r="T2630" s="152" t="s">
        <v>786</v>
      </c>
    </row>
    <row r="2631" spans="3:20">
      <c r="C2631" s="152" t="s">
        <v>2821</v>
      </c>
      <c r="F2631" s="152" t="s">
        <v>373</v>
      </c>
      <c r="G2631" s="152" t="s">
        <v>374</v>
      </c>
      <c r="I2631" s="513">
        <v>5964000</v>
      </c>
      <c r="J2631" s="513">
        <v>4260</v>
      </c>
      <c r="K2631" s="513">
        <v>1400</v>
      </c>
      <c r="L2631" s="518" t="s">
        <v>3659</v>
      </c>
      <c r="M2631" s="152" t="s">
        <v>1566</v>
      </c>
      <c r="N2631" s="152" t="s">
        <v>1407</v>
      </c>
      <c r="O2631" s="152" t="s">
        <v>4563</v>
      </c>
      <c r="P2631" s="152" t="s">
        <v>4279</v>
      </c>
      <c r="Q2631" s="152" t="s">
        <v>4564</v>
      </c>
      <c r="R2631" s="152" t="s">
        <v>4561</v>
      </c>
      <c r="S2631" s="152" t="s">
        <v>4565</v>
      </c>
      <c r="T2631" s="152" t="s">
        <v>786</v>
      </c>
    </row>
    <row r="2632" spans="3:20">
      <c r="C2632" s="152" t="s">
        <v>2821</v>
      </c>
      <c r="F2632" s="152" t="s">
        <v>373</v>
      </c>
      <c r="G2632" s="152" t="s">
        <v>374</v>
      </c>
      <c r="I2632" s="513">
        <v>5197500</v>
      </c>
      <c r="J2632" s="513">
        <v>3712.5</v>
      </c>
      <c r="K2632" s="513">
        <v>1400</v>
      </c>
      <c r="L2632" s="518" t="s">
        <v>3659</v>
      </c>
      <c r="M2632" s="152" t="s">
        <v>1566</v>
      </c>
      <c r="N2632" s="152" t="s">
        <v>1407</v>
      </c>
      <c r="O2632" s="152" t="s">
        <v>4566</v>
      </c>
      <c r="P2632" s="152" t="s">
        <v>4279</v>
      </c>
      <c r="Q2632" s="152" t="s">
        <v>4567</v>
      </c>
      <c r="R2632" s="152" t="s">
        <v>4561</v>
      </c>
      <c r="S2632" s="152" t="s">
        <v>4568</v>
      </c>
      <c r="T2632" s="152" t="s">
        <v>786</v>
      </c>
    </row>
    <row r="2633" spans="3:20">
      <c r="C2633" s="152" t="s">
        <v>2821</v>
      </c>
      <c r="F2633" s="152" t="s">
        <v>373</v>
      </c>
      <c r="G2633" s="152" t="s">
        <v>374</v>
      </c>
      <c r="I2633" s="513">
        <v>4004000</v>
      </c>
      <c r="J2633" s="513">
        <v>2860</v>
      </c>
      <c r="K2633" s="513">
        <v>1400</v>
      </c>
      <c r="L2633" s="518" t="s">
        <v>3659</v>
      </c>
      <c r="M2633" s="152" t="s">
        <v>1566</v>
      </c>
      <c r="N2633" s="152" t="s">
        <v>1407</v>
      </c>
      <c r="O2633" s="152" t="s">
        <v>4569</v>
      </c>
      <c r="P2633" s="152" t="s">
        <v>4279</v>
      </c>
      <c r="Q2633" s="152" t="s">
        <v>4570</v>
      </c>
      <c r="R2633" s="152" t="s">
        <v>4561</v>
      </c>
      <c r="S2633" s="152" t="s">
        <v>4571</v>
      </c>
      <c r="T2633" s="152" t="s">
        <v>786</v>
      </c>
    </row>
    <row r="2634" spans="3:20">
      <c r="C2634" s="152" t="s">
        <v>2821</v>
      </c>
      <c r="F2634" s="152" t="s">
        <v>373</v>
      </c>
      <c r="G2634" s="152" t="s">
        <v>374</v>
      </c>
      <c r="I2634" s="513">
        <v>11245500</v>
      </c>
      <c r="J2634" s="513">
        <v>8032.5</v>
      </c>
      <c r="K2634" s="513">
        <v>1400</v>
      </c>
      <c r="L2634" s="518" t="s">
        <v>3659</v>
      </c>
      <c r="M2634" s="152" t="s">
        <v>1566</v>
      </c>
      <c r="N2634" s="152" t="s">
        <v>1407</v>
      </c>
      <c r="O2634" s="152" t="s">
        <v>4572</v>
      </c>
      <c r="P2634" s="152" t="s">
        <v>4279</v>
      </c>
      <c r="Q2634" s="152" t="s">
        <v>4573</v>
      </c>
      <c r="R2634" s="152" t="s">
        <v>4561</v>
      </c>
      <c r="S2634" s="152" t="s">
        <v>4574</v>
      </c>
      <c r="T2634" s="152" t="s">
        <v>786</v>
      </c>
    </row>
    <row r="2635" spans="3:20">
      <c r="C2635" s="152" t="s">
        <v>2821</v>
      </c>
      <c r="F2635" s="152" t="s">
        <v>373</v>
      </c>
      <c r="G2635" s="152" t="s">
        <v>374</v>
      </c>
      <c r="I2635" s="513">
        <v>7889000</v>
      </c>
      <c r="J2635" s="513">
        <v>5635</v>
      </c>
      <c r="K2635" s="513">
        <v>1400</v>
      </c>
      <c r="L2635" s="518" t="s">
        <v>3659</v>
      </c>
      <c r="M2635" s="152" t="s">
        <v>1566</v>
      </c>
      <c r="N2635" s="152" t="s">
        <v>1407</v>
      </c>
      <c r="O2635" s="152" t="s">
        <v>4575</v>
      </c>
      <c r="P2635" s="152" t="s">
        <v>4279</v>
      </c>
      <c r="Q2635" s="152" t="s">
        <v>4576</v>
      </c>
      <c r="R2635" s="152" t="s">
        <v>4561</v>
      </c>
      <c r="S2635" s="152" t="s">
        <v>4577</v>
      </c>
      <c r="T2635" s="152" t="s">
        <v>786</v>
      </c>
    </row>
    <row r="2636" spans="3:20">
      <c r="C2636" s="152" t="s">
        <v>2821</v>
      </c>
      <c r="F2636" s="152" t="s">
        <v>373</v>
      </c>
      <c r="G2636" s="152" t="s">
        <v>374</v>
      </c>
      <c r="I2636" s="513">
        <v>7031500</v>
      </c>
      <c r="J2636" s="513">
        <v>5022.5</v>
      </c>
      <c r="K2636" s="513">
        <v>1400</v>
      </c>
      <c r="L2636" s="518" t="s">
        <v>3659</v>
      </c>
      <c r="M2636" s="152" t="s">
        <v>1566</v>
      </c>
      <c r="N2636" s="152" t="s">
        <v>1407</v>
      </c>
      <c r="O2636" s="152" t="s">
        <v>4578</v>
      </c>
      <c r="P2636" s="152" t="s">
        <v>4279</v>
      </c>
      <c r="Q2636" s="152" t="s">
        <v>4579</v>
      </c>
      <c r="R2636" s="152" t="s">
        <v>4561</v>
      </c>
      <c r="S2636" s="152" t="s">
        <v>4580</v>
      </c>
      <c r="T2636" s="152" t="s">
        <v>786</v>
      </c>
    </row>
    <row r="2637" spans="3:20">
      <c r="C2637" s="152" t="s">
        <v>2821</v>
      </c>
      <c r="F2637" s="152" t="s">
        <v>373</v>
      </c>
      <c r="G2637" s="152" t="s">
        <v>374</v>
      </c>
      <c r="I2637" s="513">
        <v>4980500</v>
      </c>
      <c r="J2637" s="513">
        <v>3557.5</v>
      </c>
      <c r="K2637" s="513">
        <v>1400</v>
      </c>
      <c r="L2637" s="518" t="s">
        <v>3659</v>
      </c>
      <c r="M2637" s="152" t="s">
        <v>1566</v>
      </c>
      <c r="N2637" s="152" t="s">
        <v>1407</v>
      </c>
      <c r="O2637" s="152" t="s">
        <v>4581</v>
      </c>
      <c r="P2637" s="152" t="s">
        <v>4279</v>
      </c>
      <c r="Q2637" s="152" t="s">
        <v>4582</v>
      </c>
      <c r="R2637" s="152" t="s">
        <v>4561</v>
      </c>
      <c r="S2637" s="152" t="s">
        <v>4583</v>
      </c>
      <c r="T2637" s="152" t="s">
        <v>786</v>
      </c>
    </row>
    <row r="2638" spans="3:20">
      <c r="C2638" s="152" t="s">
        <v>2821</v>
      </c>
      <c r="F2638" s="152" t="s">
        <v>373</v>
      </c>
      <c r="G2638" s="152" t="s">
        <v>374</v>
      </c>
      <c r="I2638" s="513">
        <v>4525500</v>
      </c>
      <c r="J2638" s="513">
        <v>3232.5</v>
      </c>
      <c r="K2638" s="513">
        <v>1400</v>
      </c>
      <c r="L2638" s="518" t="s">
        <v>3659</v>
      </c>
      <c r="M2638" s="152" t="s">
        <v>1566</v>
      </c>
      <c r="N2638" s="152" t="s">
        <v>1407</v>
      </c>
      <c r="O2638" s="152" t="s">
        <v>4584</v>
      </c>
      <c r="P2638" s="152" t="s">
        <v>4279</v>
      </c>
      <c r="Q2638" s="152" t="s">
        <v>4585</v>
      </c>
      <c r="R2638" s="152" t="s">
        <v>4561</v>
      </c>
      <c r="S2638" s="152" t="s">
        <v>4586</v>
      </c>
      <c r="T2638" s="152" t="s">
        <v>786</v>
      </c>
    </row>
    <row r="2639" spans="3:20">
      <c r="C2639" s="152" t="s">
        <v>2821</v>
      </c>
      <c r="F2639" s="152" t="s">
        <v>373</v>
      </c>
      <c r="G2639" s="152" t="s">
        <v>374</v>
      </c>
      <c r="I2639" s="513">
        <v>4672500</v>
      </c>
      <c r="J2639" s="513">
        <v>3337.5</v>
      </c>
      <c r="K2639" s="513">
        <v>1400</v>
      </c>
      <c r="L2639" s="518" t="s">
        <v>3659</v>
      </c>
      <c r="M2639" s="152" t="s">
        <v>1566</v>
      </c>
      <c r="N2639" s="152" t="s">
        <v>1407</v>
      </c>
      <c r="O2639" s="152" t="s">
        <v>4587</v>
      </c>
      <c r="P2639" s="152" t="s">
        <v>4279</v>
      </c>
      <c r="Q2639" s="152" t="s">
        <v>4588</v>
      </c>
      <c r="R2639" s="152" t="s">
        <v>4561</v>
      </c>
      <c r="S2639" s="152" t="s">
        <v>4589</v>
      </c>
      <c r="T2639" s="152" t="s">
        <v>786</v>
      </c>
    </row>
    <row r="2640" spans="3:20">
      <c r="C2640" s="152" t="s">
        <v>2821</v>
      </c>
      <c r="F2640" s="152" t="s">
        <v>373</v>
      </c>
      <c r="G2640" s="152" t="s">
        <v>374</v>
      </c>
      <c r="I2640" s="513">
        <v>6583500</v>
      </c>
      <c r="J2640" s="513">
        <v>4702.5</v>
      </c>
      <c r="K2640" s="513">
        <v>1400</v>
      </c>
      <c r="L2640" s="518" t="s">
        <v>3659</v>
      </c>
      <c r="M2640" s="152" t="s">
        <v>1566</v>
      </c>
      <c r="N2640" s="152" t="s">
        <v>1407</v>
      </c>
      <c r="O2640" s="152" t="s">
        <v>4590</v>
      </c>
      <c r="P2640" s="152" t="s">
        <v>4279</v>
      </c>
      <c r="Q2640" s="152" t="s">
        <v>4591</v>
      </c>
      <c r="R2640" s="152" t="s">
        <v>4561</v>
      </c>
      <c r="S2640" s="152" t="s">
        <v>4592</v>
      </c>
      <c r="T2640" s="152" t="s">
        <v>786</v>
      </c>
    </row>
    <row r="2641" spans="3:20">
      <c r="C2641" s="152" t="s">
        <v>2821</v>
      </c>
      <c r="F2641" s="152" t="s">
        <v>373</v>
      </c>
      <c r="G2641" s="152" t="s">
        <v>374</v>
      </c>
      <c r="I2641" s="513">
        <v>9562000</v>
      </c>
      <c r="J2641" s="513">
        <v>6830</v>
      </c>
      <c r="K2641" s="513">
        <v>1400</v>
      </c>
      <c r="L2641" s="518" t="s">
        <v>3659</v>
      </c>
      <c r="M2641" s="152" t="s">
        <v>1566</v>
      </c>
      <c r="N2641" s="152" t="s">
        <v>1407</v>
      </c>
      <c r="O2641" s="152" t="s">
        <v>4593</v>
      </c>
      <c r="P2641" s="152" t="s">
        <v>4279</v>
      </c>
      <c r="Q2641" s="152" t="s">
        <v>4594</v>
      </c>
      <c r="R2641" s="152" t="s">
        <v>4561</v>
      </c>
      <c r="S2641" s="152" t="s">
        <v>4595</v>
      </c>
      <c r="T2641" s="152" t="s">
        <v>786</v>
      </c>
    </row>
    <row r="2642" spans="3:20">
      <c r="C2642" s="152" t="s">
        <v>2821</v>
      </c>
      <c r="F2642" s="152" t="s">
        <v>373</v>
      </c>
      <c r="G2642" s="152" t="s">
        <v>374</v>
      </c>
      <c r="I2642" s="513">
        <v>4317750</v>
      </c>
      <c r="J2642" s="513">
        <v>3030</v>
      </c>
      <c r="K2642" s="513">
        <v>1425</v>
      </c>
      <c r="L2642" s="518" t="s">
        <v>3637</v>
      </c>
      <c r="M2642" s="152" t="s">
        <v>1566</v>
      </c>
      <c r="N2642" s="152" t="s">
        <v>1407</v>
      </c>
      <c r="O2642" s="152" t="s">
        <v>4596</v>
      </c>
      <c r="P2642" s="152" t="s">
        <v>1881</v>
      </c>
      <c r="Q2642" s="152" t="s">
        <v>4597</v>
      </c>
      <c r="R2642" s="152" t="s">
        <v>4598</v>
      </c>
      <c r="S2642" s="152" t="s">
        <v>4599</v>
      </c>
      <c r="T2642" s="152" t="s">
        <v>786</v>
      </c>
    </row>
    <row r="2643" spans="3:20">
      <c r="C2643" s="152" t="s">
        <v>2821</v>
      </c>
      <c r="F2643" s="152" t="s">
        <v>373</v>
      </c>
      <c r="G2643" s="152" t="s">
        <v>374</v>
      </c>
      <c r="I2643" s="513">
        <v>3276075</v>
      </c>
      <c r="J2643" s="513">
        <v>2299</v>
      </c>
      <c r="K2643" s="513">
        <v>1425</v>
      </c>
      <c r="L2643" s="518" t="s">
        <v>3637</v>
      </c>
      <c r="M2643" s="152" t="s">
        <v>1566</v>
      </c>
      <c r="N2643" s="152" t="s">
        <v>1407</v>
      </c>
      <c r="O2643" s="152" t="s">
        <v>4600</v>
      </c>
      <c r="P2643" s="152" t="s">
        <v>1881</v>
      </c>
      <c r="Q2643" s="152" t="s">
        <v>4601</v>
      </c>
      <c r="R2643" s="152" t="s">
        <v>4598</v>
      </c>
      <c r="S2643" s="152" t="s">
        <v>4602</v>
      </c>
      <c r="T2643" s="152" t="s">
        <v>786</v>
      </c>
    </row>
    <row r="2644" spans="3:20">
      <c r="C2644" s="152" t="s">
        <v>2821</v>
      </c>
      <c r="F2644" s="152" t="s">
        <v>373</v>
      </c>
      <c r="G2644" s="152" t="s">
        <v>374</v>
      </c>
      <c r="I2644" s="513">
        <v>5153512.5</v>
      </c>
      <c r="J2644" s="513">
        <v>3616.5</v>
      </c>
      <c r="K2644" s="513">
        <v>1425</v>
      </c>
      <c r="L2644" s="518" t="s">
        <v>3637</v>
      </c>
      <c r="M2644" s="152" t="s">
        <v>1566</v>
      </c>
      <c r="N2644" s="152" t="s">
        <v>1407</v>
      </c>
      <c r="O2644" s="152" t="s">
        <v>4603</v>
      </c>
      <c r="P2644" s="152" t="s">
        <v>1881</v>
      </c>
      <c r="Q2644" s="152" t="s">
        <v>4604</v>
      </c>
      <c r="R2644" s="152" t="s">
        <v>4598</v>
      </c>
      <c r="S2644" s="152" t="s">
        <v>4605</v>
      </c>
      <c r="T2644" s="152" t="s">
        <v>786</v>
      </c>
    </row>
    <row r="2645" spans="3:20">
      <c r="C2645" s="152" t="s">
        <v>2821</v>
      </c>
      <c r="F2645" s="152" t="s">
        <v>373</v>
      </c>
      <c r="G2645" s="152" t="s">
        <v>374</v>
      </c>
      <c r="I2645" s="513">
        <v>5117175</v>
      </c>
      <c r="J2645" s="513">
        <v>3591</v>
      </c>
      <c r="K2645" s="513">
        <v>1425</v>
      </c>
      <c r="L2645" s="518" t="s">
        <v>3637</v>
      </c>
      <c r="M2645" s="152" t="s">
        <v>1566</v>
      </c>
      <c r="N2645" s="152" t="s">
        <v>1407</v>
      </c>
      <c r="O2645" s="152" t="s">
        <v>4606</v>
      </c>
      <c r="P2645" s="152" t="s">
        <v>1881</v>
      </c>
      <c r="Q2645" s="152" t="s">
        <v>4607</v>
      </c>
      <c r="R2645" s="152" t="s">
        <v>4598</v>
      </c>
      <c r="S2645" s="152" t="s">
        <v>4608</v>
      </c>
      <c r="T2645" s="152" t="s">
        <v>786</v>
      </c>
    </row>
    <row r="2646" spans="3:20">
      <c r="C2646" s="152" t="s">
        <v>2821</v>
      </c>
      <c r="F2646" s="152" t="s">
        <v>373</v>
      </c>
      <c r="G2646" s="152" t="s">
        <v>374</v>
      </c>
      <c r="I2646" s="513">
        <v>2557612.5</v>
      </c>
      <c r="J2646" s="513">
        <v>1807.5</v>
      </c>
      <c r="K2646" s="513">
        <v>1415</v>
      </c>
      <c r="L2646" s="518" t="s">
        <v>3511</v>
      </c>
      <c r="M2646" s="152" t="s">
        <v>1566</v>
      </c>
      <c r="N2646" s="152" t="s">
        <v>1407</v>
      </c>
      <c r="O2646" s="152" t="s">
        <v>4609</v>
      </c>
      <c r="P2646" s="152" t="s">
        <v>4279</v>
      </c>
      <c r="Q2646" s="152" t="s">
        <v>4610</v>
      </c>
      <c r="R2646" s="152" t="s">
        <v>4611</v>
      </c>
      <c r="S2646" s="152" t="s">
        <v>4612</v>
      </c>
      <c r="T2646" s="152" t="s">
        <v>786</v>
      </c>
    </row>
    <row r="2647" spans="3:20">
      <c r="C2647" s="152" t="s">
        <v>2821</v>
      </c>
      <c r="F2647" s="152" t="s">
        <v>373</v>
      </c>
      <c r="G2647" s="152" t="s">
        <v>374</v>
      </c>
      <c r="I2647" s="513">
        <v>3724987.5</v>
      </c>
      <c r="J2647" s="513">
        <v>2632.5</v>
      </c>
      <c r="K2647" s="513">
        <v>1415</v>
      </c>
      <c r="L2647" s="518" t="s">
        <v>3511</v>
      </c>
      <c r="M2647" s="152" t="s">
        <v>1566</v>
      </c>
      <c r="N2647" s="152" t="s">
        <v>1407</v>
      </c>
      <c r="O2647" s="152" t="s">
        <v>4613</v>
      </c>
      <c r="P2647" s="152" t="s">
        <v>4279</v>
      </c>
      <c r="Q2647" s="152" t="s">
        <v>4614</v>
      </c>
      <c r="R2647" s="152" t="s">
        <v>4611</v>
      </c>
      <c r="S2647" s="152" t="s">
        <v>4615</v>
      </c>
      <c r="T2647" s="152" t="s">
        <v>786</v>
      </c>
    </row>
    <row r="2648" spans="3:20">
      <c r="C2648" s="152" t="s">
        <v>2821</v>
      </c>
      <c r="F2648" s="152" t="s">
        <v>373</v>
      </c>
      <c r="G2648" s="152" t="s">
        <v>374</v>
      </c>
      <c r="I2648" s="513">
        <v>8913792.5</v>
      </c>
      <c r="J2648" s="513">
        <v>6299.5</v>
      </c>
      <c r="K2648" s="513">
        <v>1415</v>
      </c>
      <c r="L2648" s="518" t="s">
        <v>3511</v>
      </c>
      <c r="M2648" s="152" t="s">
        <v>1566</v>
      </c>
      <c r="N2648" s="152" t="s">
        <v>1407</v>
      </c>
      <c r="O2648" s="152" t="s">
        <v>4616</v>
      </c>
      <c r="P2648" s="152" t="s">
        <v>4279</v>
      </c>
      <c r="Q2648" s="152" t="s">
        <v>4617</v>
      </c>
      <c r="R2648" s="152" t="s">
        <v>4611</v>
      </c>
      <c r="S2648" s="152" t="s">
        <v>4618</v>
      </c>
      <c r="T2648" s="152" t="s">
        <v>786</v>
      </c>
    </row>
    <row r="2649" spans="3:20">
      <c r="C2649" s="152" t="s">
        <v>2821</v>
      </c>
      <c r="F2649" s="152" t="s">
        <v>373</v>
      </c>
      <c r="G2649" s="152" t="s">
        <v>374</v>
      </c>
      <c r="I2649" s="513">
        <v>5340375</v>
      </c>
      <c r="J2649" s="513">
        <v>3787.5</v>
      </c>
      <c r="K2649" s="513">
        <v>1410</v>
      </c>
      <c r="L2649" s="518" t="s">
        <v>3498</v>
      </c>
      <c r="M2649" s="152" t="s">
        <v>1566</v>
      </c>
      <c r="N2649" s="152" t="s">
        <v>1407</v>
      </c>
      <c r="O2649" s="152" t="s">
        <v>4619</v>
      </c>
      <c r="P2649" s="152" t="s">
        <v>4279</v>
      </c>
      <c r="Q2649" s="152" t="s">
        <v>4620</v>
      </c>
      <c r="R2649" s="152" t="s">
        <v>4621</v>
      </c>
      <c r="S2649" s="152" t="s">
        <v>4622</v>
      </c>
      <c r="T2649" s="152" t="s">
        <v>786</v>
      </c>
    </row>
    <row r="2650" spans="3:20">
      <c r="C2650" s="152" t="s">
        <v>2821</v>
      </c>
      <c r="F2650" s="152" t="s">
        <v>373</v>
      </c>
      <c r="G2650" s="152" t="s">
        <v>374</v>
      </c>
      <c r="I2650" s="513">
        <v>3849300</v>
      </c>
      <c r="J2650" s="513">
        <v>2730</v>
      </c>
      <c r="K2650" s="513">
        <v>1410</v>
      </c>
      <c r="L2650" s="518" t="s">
        <v>3498</v>
      </c>
      <c r="M2650" s="152" t="s">
        <v>1566</v>
      </c>
      <c r="N2650" s="152" t="s">
        <v>1407</v>
      </c>
      <c r="O2650" s="152" t="s">
        <v>4623</v>
      </c>
      <c r="P2650" s="152" t="s">
        <v>4279</v>
      </c>
      <c r="Q2650" s="152" t="s">
        <v>4624</v>
      </c>
      <c r="R2650" s="152" t="s">
        <v>4621</v>
      </c>
      <c r="S2650" s="152" t="s">
        <v>4625</v>
      </c>
      <c r="T2650" s="152" t="s">
        <v>786</v>
      </c>
    </row>
    <row r="2651" spans="3:20">
      <c r="C2651" s="152" t="s">
        <v>2821</v>
      </c>
      <c r="F2651" s="152" t="s">
        <v>373</v>
      </c>
      <c r="G2651" s="152" t="s">
        <v>374</v>
      </c>
      <c r="I2651" s="513">
        <v>3317025</v>
      </c>
      <c r="J2651" s="513">
        <v>2352.5</v>
      </c>
      <c r="K2651" s="513">
        <v>1410</v>
      </c>
      <c r="L2651" s="518" t="s">
        <v>3498</v>
      </c>
      <c r="M2651" s="152" t="s">
        <v>1566</v>
      </c>
      <c r="N2651" s="152" t="s">
        <v>1407</v>
      </c>
      <c r="O2651" s="152" t="s">
        <v>4626</v>
      </c>
      <c r="P2651" s="152" t="s">
        <v>4279</v>
      </c>
      <c r="Q2651" s="152" t="s">
        <v>4627</v>
      </c>
      <c r="R2651" s="152" t="s">
        <v>4621</v>
      </c>
      <c r="S2651" s="152" t="s">
        <v>4628</v>
      </c>
      <c r="T2651" s="152" t="s">
        <v>786</v>
      </c>
    </row>
    <row r="2652" spans="3:20">
      <c r="C2652" s="152" t="s">
        <v>2821</v>
      </c>
      <c r="F2652" s="152" t="s">
        <v>373</v>
      </c>
      <c r="G2652" s="152" t="s">
        <v>374</v>
      </c>
      <c r="I2652" s="513">
        <v>3281775</v>
      </c>
      <c r="J2652" s="513">
        <v>2327.5</v>
      </c>
      <c r="K2652" s="513">
        <v>1410</v>
      </c>
      <c r="L2652" s="518" t="s">
        <v>3498</v>
      </c>
      <c r="M2652" s="152" t="s">
        <v>1566</v>
      </c>
      <c r="N2652" s="152" t="s">
        <v>1407</v>
      </c>
      <c r="O2652" s="152" t="s">
        <v>4629</v>
      </c>
      <c r="P2652" s="152" t="s">
        <v>4279</v>
      </c>
      <c r="Q2652" s="152" t="s">
        <v>4630</v>
      </c>
      <c r="R2652" s="152" t="s">
        <v>4621</v>
      </c>
      <c r="S2652" s="152" t="s">
        <v>4631</v>
      </c>
      <c r="T2652" s="152" t="s">
        <v>786</v>
      </c>
    </row>
    <row r="2653" spans="3:20">
      <c r="C2653" s="152" t="s">
        <v>2821</v>
      </c>
      <c r="F2653" s="152" t="s">
        <v>373</v>
      </c>
      <c r="G2653" s="152" t="s">
        <v>374</v>
      </c>
      <c r="I2653" s="513">
        <v>2622600</v>
      </c>
      <c r="J2653" s="513">
        <v>1860</v>
      </c>
      <c r="K2653" s="513">
        <v>1410</v>
      </c>
      <c r="L2653" s="518" t="s">
        <v>3498</v>
      </c>
      <c r="M2653" s="152" t="s">
        <v>1566</v>
      </c>
      <c r="N2653" s="152" t="s">
        <v>1407</v>
      </c>
      <c r="O2653" s="152" t="s">
        <v>4632</v>
      </c>
      <c r="P2653" s="152" t="s">
        <v>4279</v>
      </c>
      <c r="Q2653" s="152" t="s">
        <v>4633</v>
      </c>
      <c r="R2653" s="152" t="s">
        <v>4634</v>
      </c>
      <c r="S2653" s="152" t="s">
        <v>4635</v>
      </c>
      <c r="T2653" s="152" t="s">
        <v>786</v>
      </c>
    </row>
    <row r="2654" spans="3:20">
      <c r="C2654" s="152" t="s">
        <v>2821</v>
      </c>
      <c r="F2654" s="152" t="s">
        <v>373</v>
      </c>
      <c r="G2654" s="152" t="s">
        <v>374</v>
      </c>
      <c r="I2654" s="513">
        <v>2622600</v>
      </c>
      <c r="J2654" s="513">
        <v>1860</v>
      </c>
      <c r="K2654" s="513">
        <v>1410</v>
      </c>
      <c r="L2654" s="518" t="s">
        <v>3498</v>
      </c>
      <c r="M2654" s="152" t="s">
        <v>1566</v>
      </c>
      <c r="N2654" s="152" t="s">
        <v>1407</v>
      </c>
      <c r="O2654" s="152" t="s">
        <v>4636</v>
      </c>
      <c r="P2654" s="152" t="s">
        <v>4279</v>
      </c>
      <c r="Q2654" s="152" t="s">
        <v>4637</v>
      </c>
      <c r="R2654" s="152" t="s">
        <v>4634</v>
      </c>
      <c r="S2654" s="152" t="s">
        <v>4638</v>
      </c>
      <c r="T2654" s="152" t="s">
        <v>786</v>
      </c>
    </row>
    <row r="2655" spans="3:20">
      <c r="C2655" s="152" t="s">
        <v>2821</v>
      </c>
      <c r="F2655" s="152" t="s">
        <v>373</v>
      </c>
      <c r="G2655" s="152" t="s">
        <v>374</v>
      </c>
      <c r="I2655" s="513">
        <v>4223775</v>
      </c>
      <c r="J2655" s="513">
        <v>2985</v>
      </c>
      <c r="K2655" s="513">
        <v>1415</v>
      </c>
      <c r="L2655" s="518" t="s">
        <v>3632</v>
      </c>
      <c r="M2655" s="152" t="s">
        <v>1566</v>
      </c>
      <c r="N2655" s="152" t="s">
        <v>1407</v>
      </c>
      <c r="O2655" s="152" t="s">
        <v>4639</v>
      </c>
      <c r="P2655" s="152" t="s">
        <v>4279</v>
      </c>
      <c r="Q2655" s="152" t="s">
        <v>4640</v>
      </c>
      <c r="R2655" s="152" t="s">
        <v>4641</v>
      </c>
      <c r="S2655" s="152" t="s">
        <v>4642</v>
      </c>
      <c r="T2655" s="152" t="s">
        <v>786</v>
      </c>
    </row>
    <row r="2656" spans="3:20">
      <c r="C2656" s="152" t="s">
        <v>2821</v>
      </c>
      <c r="F2656" s="152" t="s">
        <v>373</v>
      </c>
      <c r="G2656" s="152" t="s">
        <v>374</v>
      </c>
      <c r="I2656" s="513">
        <v>3643625</v>
      </c>
      <c r="J2656" s="513">
        <v>2575</v>
      </c>
      <c r="K2656" s="513">
        <v>1415</v>
      </c>
      <c r="L2656" s="518" t="s">
        <v>3632</v>
      </c>
      <c r="M2656" s="152" t="s">
        <v>1566</v>
      </c>
      <c r="N2656" s="152" t="s">
        <v>1407</v>
      </c>
      <c r="O2656" s="152" t="s">
        <v>4643</v>
      </c>
      <c r="P2656" s="152" t="s">
        <v>4279</v>
      </c>
      <c r="Q2656" s="152" t="s">
        <v>4644</v>
      </c>
      <c r="R2656" s="152" t="s">
        <v>4641</v>
      </c>
      <c r="S2656" s="152" t="s">
        <v>4645</v>
      </c>
      <c r="T2656" s="152" t="s">
        <v>786</v>
      </c>
    </row>
    <row r="2657" spans="3:20">
      <c r="C2657" s="152" t="s">
        <v>2821</v>
      </c>
      <c r="F2657" s="152" t="s">
        <v>373</v>
      </c>
      <c r="G2657" s="152" t="s">
        <v>374</v>
      </c>
      <c r="I2657" s="513">
        <v>5338800</v>
      </c>
      <c r="J2657" s="513">
        <v>3707.5</v>
      </c>
      <c r="K2657" s="513">
        <v>1440</v>
      </c>
      <c r="L2657" s="518" t="s">
        <v>3517</v>
      </c>
      <c r="M2657" s="152" t="s">
        <v>1566</v>
      </c>
      <c r="N2657" s="152" t="s">
        <v>1407</v>
      </c>
      <c r="O2657" s="152" t="s">
        <v>4646</v>
      </c>
      <c r="P2657" s="152" t="s">
        <v>1881</v>
      </c>
      <c r="Q2657" s="152" t="s">
        <v>4647</v>
      </c>
      <c r="R2657" s="152" t="s">
        <v>4648</v>
      </c>
      <c r="S2657" s="152" t="s">
        <v>4649</v>
      </c>
      <c r="T2657" s="152" t="s">
        <v>786</v>
      </c>
    </row>
    <row r="2658" spans="3:20">
      <c r="C2658" s="152" t="s">
        <v>2821</v>
      </c>
      <c r="F2658" s="152" t="s">
        <v>373</v>
      </c>
      <c r="G2658" s="152" t="s">
        <v>374</v>
      </c>
      <c r="I2658" s="513">
        <v>5005562.5</v>
      </c>
      <c r="J2658" s="513">
        <v>3537.5</v>
      </c>
      <c r="K2658" s="513">
        <v>1415</v>
      </c>
      <c r="L2658" s="518" t="s">
        <v>3632</v>
      </c>
      <c r="M2658" s="152" t="s">
        <v>1566</v>
      </c>
      <c r="N2658" s="152" t="s">
        <v>1407</v>
      </c>
      <c r="O2658" s="152" t="s">
        <v>4650</v>
      </c>
      <c r="P2658" s="152" t="s">
        <v>4279</v>
      </c>
      <c r="Q2658" s="152" t="s">
        <v>4651</v>
      </c>
      <c r="R2658" s="152" t="s">
        <v>4652</v>
      </c>
      <c r="S2658" s="152" t="s">
        <v>4653</v>
      </c>
      <c r="T2658" s="152" t="s">
        <v>786</v>
      </c>
    </row>
    <row r="2659" spans="3:20">
      <c r="C2659" s="152" t="s">
        <v>2821</v>
      </c>
      <c r="F2659" s="152" t="s">
        <v>373</v>
      </c>
      <c r="G2659" s="152" t="s">
        <v>374</v>
      </c>
      <c r="I2659" s="513">
        <v>3396000</v>
      </c>
      <c r="J2659" s="513">
        <v>2400</v>
      </c>
      <c r="K2659" s="513">
        <v>1415</v>
      </c>
      <c r="L2659" s="518" t="s">
        <v>3632</v>
      </c>
      <c r="M2659" s="152" t="s">
        <v>1566</v>
      </c>
      <c r="N2659" s="152" t="s">
        <v>1407</v>
      </c>
      <c r="O2659" s="152" t="s">
        <v>4654</v>
      </c>
      <c r="P2659" s="152" t="s">
        <v>4279</v>
      </c>
      <c r="Q2659" s="152" t="s">
        <v>4655</v>
      </c>
      <c r="R2659" s="152" t="s">
        <v>4652</v>
      </c>
      <c r="S2659" s="152" t="s">
        <v>4656</v>
      </c>
      <c r="T2659" s="152" t="s">
        <v>786</v>
      </c>
    </row>
    <row r="2660" spans="3:20">
      <c r="C2660" s="152" t="s">
        <v>2821</v>
      </c>
      <c r="F2660" s="152" t="s">
        <v>373</v>
      </c>
      <c r="G2660" s="152" t="s">
        <v>374</v>
      </c>
      <c r="I2660" s="513">
        <v>42300</v>
      </c>
      <c r="J2660" s="513">
        <v>30</v>
      </c>
      <c r="K2660" s="513">
        <v>1410</v>
      </c>
      <c r="L2660" s="518" t="s">
        <v>3498</v>
      </c>
      <c r="M2660" s="152" t="s">
        <v>1566</v>
      </c>
      <c r="N2660" s="152" t="s">
        <v>1407</v>
      </c>
      <c r="O2660" s="152" t="s">
        <v>4657</v>
      </c>
      <c r="P2660" s="152" t="s">
        <v>4279</v>
      </c>
      <c r="Q2660" s="152" t="s">
        <v>4658</v>
      </c>
      <c r="R2660" s="152" t="s">
        <v>4659</v>
      </c>
      <c r="S2660" s="152" t="s">
        <v>4660</v>
      </c>
      <c r="T2660" s="152" t="s">
        <v>786</v>
      </c>
    </row>
    <row r="2661" spans="3:20">
      <c r="C2661" s="152" t="s">
        <v>2821</v>
      </c>
      <c r="F2661" s="152" t="s">
        <v>373</v>
      </c>
      <c r="G2661" s="152" t="s">
        <v>374</v>
      </c>
      <c r="I2661" s="513">
        <v>13317500</v>
      </c>
      <c r="J2661" s="513">
        <v>9512.5</v>
      </c>
      <c r="K2661" s="513">
        <v>1400</v>
      </c>
      <c r="L2661" s="518" t="s">
        <v>3659</v>
      </c>
      <c r="M2661" s="152" t="s">
        <v>1566</v>
      </c>
      <c r="N2661" s="152" t="s">
        <v>1407</v>
      </c>
      <c r="O2661" s="152" t="s">
        <v>4661</v>
      </c>
      <c r="P2661" s="152" t="s">
        <v>4279</v>
      </c>
      <c r="Q2661" s="152" t="s">
        <v>4662</v>
      </c>
      <c r="R2661" s="152" t="s">
        <v>4663</v>
      </c>
      <c r="S2661" s="152" t="s">
        <v>4664</v>
      </c>
      <c r="T2661" s="152" t="s">
        <v>786</v>
      </c>
    </row>
    <row r="2662" spans="3:20">
      <c r="C2662" s="152" t="s">
        <v>2821</v>
      </c>
      <c r="F2662" s="152" t="s">
        <v>373</v>
      </c>
      <c r="G2662" s="152" t="s">
        <v>374</v>
      </c>
      <c r="I2662" s="513">
        <v>13251000</v>
      </c>
      <c r="J2662" s="513">
        <v>9465</v>
      </c>
      <c r="K2662" s="513">
        <v>1400</v>
      </c>
      <c r="L2662" s="518" t="s">
        <v>3659</v>
      </c>
      <c r="M2662" s="152" t="s">
        <v>1566</v>
      </c>
      <c r="N2662" s="152" t="s">
        <v>1407</v>
      </c>
      <c r="O2662" s="152" t="s">
        <v>4665</v>
      </c>
      <c r="P2662" s="152" t="s">
        <v>4279</v>
      </c>
      <c r="Q2662" s="152" t="s">
        <v>4666</v>
      </c>
      <c r="R2662" s="152" t="s">
        <v>4663</v>
      </c>
      <c r="S2662" s="152" t="s">
        <v>4667</v>
      </c>
      <c r="T2662" s="152" t="s">
        <v>786</v>
      </c>
    </row>
    <row r="2663" spans="3:20">
      <c r="C2663" s="152" t="s">
        <v>2821</v>
      </c>
      <c r="F2663" s="152" t="s">
        <v>373</v>
      </c>
      <c r="G2663" s="152" t="s">
        <v>374</v>
      </c>
      <c r="I2663" s="513">
        <v>5016175</v>
      </c>
      <c r="J2663" s="513">
        <v>3545</v>
      </c>
      <c r="K2663" s="513">
        <v>1415</v>
      </c>
      <c r="L2663" s="518" t="s">
        <v>3511</v>
      </c>
      <c r="M2663" s="152" t="s">
        <v>1566</v>
      </c>
      <c r="N2663" s="152" t="s">
        <v>1407</v>
      </c>
      <c r="O2663" s="152" t="s">
        <v>4668</v>
      </c>
      <c r="P2663" s="152" t="s">
        <v>4279</v>
      </c>
      <c r="Q2663" s="152" t="s">
        <v>4669</v>
      </c>
      <c r="R2663" s="152" t="s">
        <v>4670</v>
      </c>
      <c r="S2663" s="152" t="s">
        <v>4671</v>
      </c>
      <c r="T2663" s="152" t="s">
        <v>786</v>
      </c>
    </row>
    <row r="2664" spans="3:20">
      <c r="C2664" s="152" t="s">
        <v>2821</v>
      </c>
      <c r="F2664" s="152" t="s">
        <v>373</v>
      </c>
      <c r="G2664" s="152" t="s">
        <v>374</v>
      </c>
      <c r="I2664" s="513">
        <v>3013725</v>
      </c>
      <c r="J2664" s="513">
        <v>2145</v>
      </c>
      <c r="K2664" s="513">
        <v>1405</v>
      </c>
      <c r="L2664" s="518" t="s">
        <v>3493</v>
      </c>
      <c r="M2664" s="152" t="s">
        <v>1566</v>
      </c>
      <c r="N2664" s="152" t="s">
        <v>1407</v>
      </c>
      <c r="O2664" s="152" t="s">
        <v>4672</v>
      </c>
      <c r="P2664" s="152" t="s">
        <v>4279</v>
      </c>
      <c r="Q2664" s="152" t="s">
        <v>4673</v>
      </c>
      <c r="R2664" s="152" t="s">
        <v>4674</v>
      </c>
      <c r="S2664" s="152" t="s">
        <v>4675</v>
      </c>
      <c r="T2664" s="152" t="s">
        <v>786</v>
      </c>
    </row>
    <row r="2665" spans="3:20">
      <c r="C2665" s="152" t="s">
        <v>2821</v>
      </c>
      <c r="F2665" s="152" t="s">
        <v>373</v>
      </c>
      <c r="G2665" s="152" t="s">
        <v>374</v>
      </c>
      <c r="I2665" s="513">
        <v>3955075</v>
      </c>
      <c r="J2665" s="513">
        <v>2815</v>
      </c>
      <c r="K2665" s="513">
        <v>1405</v>
      </c>
      <c r="L2665" s="518" t="s">
        <v>3493</v>
      </c>
      <c r="M2665" s="152" t="s">
        <v>1566</v>
      </c>
      <c r="N2665" s="152" t="s">
        <v>1407</v>
      </c>
      <c r="O2665" s="152" t="s">
        <v>4676</v>
      </c>
      <c r="P2665" s="152" t="s">
        <v>4279</v>
      </c>
      <c r="Q2665" s="152" t="s">
        <v>4677</v>
      </c>
      <c r="R2665" s="152" t="s">
        <v>4674</v>
      </c>
      <c r="S2665" s="152" t="s">
        <v>4678</v>
      </c>
      <c r="T2665" s="152" t="s">
        <v>786</v>
      </c>
    </row>
    <row r="2666" spans="3:20">
      <c r="C2666" s="152" t="s">
        <v>2821</v>
      </c>
      <c r="F2666" s="152" t="s">
        <v>373</v>
      </c>
      <c r="G2666" s="152" t="s">
        <v>374</v>
      </c>
      <c r="I2666" s="513">
        <v>4632987.5</v>
      </c>
      <c r="J2666" s="513">
        <v>3297.5</v>
      </c>
      <c r="K2666" s="513">
        <v>1405</v>
      </c>
      <c r="L2666" s="518" t="s">
        <v>3493</v>
      </c>
      <c r="M2666" s="152" t="s">
        <v>1566</v>
      </c>
      <c r="N2666" s="152" t="s">
        <v>1407</v>
      </c>
      <c r="O2666" s="152" t="s">
        <v>4679</v>
      </c>
      <c r="P2666" s="152" t="s">
        <v>4279</v>
      </c>
      <c r="Q2666" s="152" t="s">
        <v>4680</v>
      </c>
      <c r="R2666" s="152" t="s">
        <v>4681</v>
      </c>
      <c r="S2666" s="152" t="s">
        <v>4682</v>
      </c>
      <c r="T2666" s="152" t="s">
        <v>786</v>
      </c>
    </row>
    <row r="2667" spans="3:20">
      <c r="C2667" s="152" t="s">
        <v>2821</v>
      </c>
      <c r="F2667" s="152" t="s">
        <v>373</v>
      </c>
      <c r="G2667" s="152" t="s">
        <v>374</v>
      </c>
      <c r="I2667" s="513">
        <v>4848562.5</v>
      </c>
      <c r="J2667" s="513">
        <v>3402.5</v>
      </c>
      <c r="K2667" s="513">
        <v>1425</v>
      </c>
      <c r="L2667" s="518" t="s">
        <v>3504</v>
      </c>
      <c r="M2667" s="152" t="s">
        <v>1566</v>
      </c>
      <c r="N2667" s="152" t="s">
        <v>1407</v>
      </c>
      <c r="O2667" s="152" t="s">
        <v>4683</v>
      </c>
      <c r="P2667" s="152" t="s">
        <v>4279</v>
      </c>
      <c r="Q2667" s="152" t="s">
        <v>4684</v>
      </c>
      <c r="R2667" s="152" t="s">
        <v>4685</v>
      </c>
      <c r="S2667" s="152" t="s">
        <v>4686</v>
      </c>
      <c r="T2667" s="152" t="s">
        <v>786</v>
      </c>
    </row>
    <row r="2668" spans="3:20">
      <c r="C2668" s="152" t="s">
        <v>2821</v>
      </c>
      <c r="F2668" s="152" t="s">
        <v>373</v>
      </c>
      <c r="G2668" s="152" t="s">
        <v>374</v>
      </c>
      <c r="I2668" s="513">
        <v>3352312.5</v>
      </c>
      <c r="J2668" s="513">
        <v>2352.5</v>
      </c>
      <c r="K2668" s="513">
        <v>1425</v>
      </c>
      <c r="L2668" s="518" t="s">
        <v>3504</v>
      </c>
      <c r="M2668" s="152" t="s">
        <v>1566</v>
      </c>
      <c r="N2668" s="152" t="s">
        <v>1407</v>
      </c>
      <c r="O2668" s="152" t="s">
        <v>4687</v>
      </c>
      <c r="P2668" s="152" t="s">
        <v>4279</v>
      </c>
      <c r="Q2668" s="152" t="s">
        <v>4688</v>
      </c>
      <c r="R2668" s="152" t="s">
        <v>4685</v>
      </c>
      <c r="S2668" s="152" t="s">
        <v>4689</v>
      </c>
      <c r="T2668" s="152" t="s">
        <v>786</v>
      </c>
    </row>
    <row r="2669" spans="3:20">
      <c r="C2669" s="152" t="s">
        <v>2821</v>
      </c>
      <c r="F2669" s="152" t="s">
        <v>373</v>
      </c>
      <c r="G2669" s="152" t="s">
        <v>374</v>
      </c>
      <c r="I2669" s="513">
        <v>4275000</v>
      </c>
      <c r="J2669" s="513">
        <v>3000</v>
      </c>
      <c r="K2669" s="513">
        <v>1425</v>
      </c>
      <c r="L2669" s="518" t="s">
        <v>3504</v>
      </c>
      <c r="M2669" s="152" t="s">
        <v>1566</v>
      </c>
      <c r="N2669" s="152" t="s">
        <v>1407</v>
      </c>
      <c r="O2669" s="152" t="s">
        <v>4690</v>
      </c>
      <c r="P2669" s="152" t="s">
        <v>4279</v>
      </c>
      <c r="Q2669" s="152" t="s">
        <v>4691</v>
      </c>
      <c r="R2669" s="152" t="s">
        <v>4685</v>
      </c>
      <c r="S2669" s="152" t="s">
        <v>4692</v>
      </c>
      <c r="T2669" s="152" t="s">
        <v>786</v>
      </c>
    </row>
    <row r="2670" spans="3:20">
      <c r="C2670" s="152" t="s">
        <v>2821</v>
      </c>
      <c r="F2670" s="152" t="s">
        <v>373</v>
      </c>
      <c r="G2670" s="152" t="s">
        <v>374</v>
      </c>
      <c r="I2670" s="513">
        <v>5012437.5</v>
      </c>
      <c r="J2670" s="513">
        <v>3517.5</v>
      </c>
      <c r="K2670" s="513">
        <v>1425</v>
      </c>
      <c r="L2670" s="518" t="s">
        <v>3504</v>
      </c>
      <c r="M2670" s="152" t="s">
        <v>1566</v>
      </c>
      <c r="N2670" s="152" t="s">
        <v>1407</v>
      </c>
      <c r="O2670" s="152" t="s">
        <v>4693</v>
      </c>
      <c r="P2670" s="152" t="s">
        <v>4279</v>
      </c>
      <c r="Q2670" s="152" t="s">
        <v>4694</v>
      </c>
      <c r="R2670" s="152" t="s">
        <v>4685</v>
      </c>
      <c r="S2670" s="152" t="s">
        <v>4695</v>
      </c>
      <c r="T2670" s="152" t="s">
        <v>786</v>
      </c>
    </row>
    <row r="2671" spans="3:20">
      <c r="C2671" s="152" t="s">
        <v>2821</v>
      </c>
      <c r="F2671" s="152" t="s">
        <v>373</v>
      </c>
      <c r="G2671" s="152" t="s">
        <v>374</v>
      </c>
      <c r="I2671" s="513">
        <v>5033812.5</v>
      </c>
      <c r="J2671" s="513">
        <v>3532.5</v>
      </c>
      <c r="K2671" s="513">
        <v>1425</v>
      </c>
      <c r="L2671" s="518" t="s">
        <v>3504</v>
      </c>
      <c r="M2671" s="152" t="s">
        <v>1566</v>
      </c>
      <c r="N2671" s="152" t="s">
        <v>1407</v>
      </c>
      <c r="O2671" s="152" t="s">
        <v>4696</v>
      </c>
      <c r="P2671" s="152" t="s">
        <v>4279</v>
      </c>
      <c r="Q2671" s="152" t="s">
        <v>4697</v>
      </c>
      <c r="R2671" s="152" t="s">
        <v>4685</v>
      </c>
      <c r="S2671" s="152" t="s">
        <v>4698</v>
      </c>
      <c r="T2671" s="152" t="s">
        <v>786</v>
      </c>
    </row>
    <row r="2672" spans="3:20">
      <c r="C2672" s="152" t="s">
        <v>2821</v>
      </c>
      <c r="F2672" s="152" t="s">
        <v>373</v>
      </c>
      <c r="G2672" s="152" t="s">
        <v>374</v>
      </c>
      <c r="I2672" s="513">
        <v>4527937.5</v>
      </c>
      <c r="J2672" s="513">
        <v>3177.5</v>
      </c>
      <c r="K2672" s="513">
        <v>1425</v>
      </c>
      <c r="L2672" s="518" t="s">
        <v>3504</v>
      </c>
      <c r="M2672" s="152" t="s">
        <v>1566</v>
      </c>
      <c r="N2672" s="152" t="s">
        <v>1407</v>
      </c>
      <c r="O2672" s="152" t="s">
        <v>4699</v>
      </c>
      <c r="P2672" s="152" t="s">
        <v>4279</v>
      </c>
      <c r="Q2672" s="152" t="s">
        <v>4700</v>
      </c>
      <c r="R2672" s="152" t="s">
        <v>4685</v>
      </c>
      <c r="S2672" s="152" t="s">
        <v>4701</v>
      </c>
      <c r="T2672" s="152" t="s">
        <v>786</v>
      </c>
    </row>
    <row r="2673" spans="3:20">
      <c r="C2673" s="152" t="s">
        <v>2821</v>
      </c>
      <c r="F2673" s="152" t="s">
        <v>373</v>
      </c>
      <c r="G2673" s="152" t="s">
        <v>374</v>
      </c>
      <c r="I2673" s="513">
        <v>3665812.5</v>
      </c>
      <c r="J2673" s="513">
        <v>2572.5</v>
      </c>
      <c r="K2673" s="513">
        <v>1425</v>
      </c>
      <c r="L2673" s="518" t="s">
        <v>3504</v>
      </c>
      <c r="M2673" s="152" t="s">
        <v>1566</v>
      </c>
      <c r="N2673" s="152" t="s">
        <v>1407</v>
      </c>
      <c r="O2673" s="152" t="s">
        <v>4702</v>
      </c>
      <c r="P2673" s="152" t="s">
        <v>4279</v>
      </c>
      <c r="Q2673" s="152" t="s">
        <v>4703</v>
      </c>
      <c r="R2673" s="152" t="s">
        <v>4685</v>
      </c>
      <c r="S2673" s="152" t="s">
        <v>4704</v>
      </c>
      <c r="T2673" s="152" t="s">
        <v>786</v>
      </c>
    </row>
    <row r="2674" spans="3:20">
      <c r="C2674" s="152" t="s">
        <v>2821</v>
      </c>
      <c r="F2674" s="152" t="s">
        <v>373</v>
      </c>
      <c r="G2674" s="152" t="s">
        <v>374</v>
      </c>
      <c r="I2674" s="513">
        <v>4039875</v>
      </c>
      <c r="J2674" s="513">
        <v>2835</v>
      </c>
      <c r="K2674" s="513">
        <v>1425</v>
      </c>
      <c r="L2674" s="518" t="s">
        <v>3504</v>
      </c>
      <c r="M2674" s="152" t="s">
        <v>1566</v>
      </c>
      <c r="N2674" s="152" t="s">
        <v>1407</v>
      </c>
      <c r="O2674" s="152" t="s">
        <v>4705</v>
      </c>
      <c r="P2674" s="152" t="s">
        <v>4279</v>
      </c>
      <c r="Q2674" s="152" t="s">
        <v>4706</v>
      </c>
      <c r="R2674" s="152" t="s">
        <v>4707</v>
      </c>
      <c r="S2674" s="152" t="s">
        <v>4708</v>
      </c>
      <c r="T2674" s="152" t="s">
        <v>786</v>
      </c>
    </row>
    <row r="2675" spans="3:20">
      <c r="C2675" s="152" t="s">
        <v>2821</v>
      </c>
      <c r="F2675" s="152" t="s">
        <v>373</v>
      </c>
      <c r="G2675" s="152" t="s">
        <v>374</v>
      </c>
      <c r="I2675" s="513">
        <v>1553250</v>
      </c>
      <c r="J2675" s="513">
        <v>1090</v>
      </c>
      <c r="K2675" s="513">
        <v>1425</v>
      </c>
      <c r="L2675" s="518" t="s">
        <v>3504</v>
      </c>
      <c r="M2675" s="152" t="s">
        <v>1566</v>
      </c>
      <c r="N2675" s="152" t="s">
        <v>1407</v>
      </c>
      <c r="O2675" s="152" t="s">
        <v>4709</v>
      </c>
      <c r="P2675" s="152" t="s">
        <v>4279</v>
      </c>
      <c r="Q2675" s="152" t="s">
        <v>4710</v>
      </c>
      <c r="R2675" s="152" t="s">
        <v>4707</v>
      </c>
      <c r="S2675" s="152" t="s">
        <v>4711</v>
      </c>
      <c r="T2675" s="152" t="s">
        <v>786</v>
      </c>
    </row>
    <row r="2676" spans="3:20">
      <c r="C2676" s="152" t="s">
        <v>2821</v>
      </c>
      <c r="F2676" s="152" t="s">
        <v>373</v>
      </c>
      <c r="G2676" s="152" t="s">
        <v>374</v>
      </c>
      <c r="I2676" s="513">
        <v>3473437.5</v>
      </c>
      <c r="J2676" s="513">
        <v>2437.5</v>
      </c>
      <c r="K2676" s="513">
        <v>1425</v>
      </c>
      <c r="L2676" s="518" t="s">
        <v>3504</v>
      </c>
      <c r="M2676" s="152" t="s">
        <v>1566</v>
      </c>
      <c r="N2676" s="152" t="s">
        <v>1407</v>
      </c>
      <c r="O2676" s="152" t="s">
        <v>4712</v>
      </c>
      <c r="P2676" s="152" t="s">
        <v>4279</v>
      </c>
      <c r="Q2676" s="152" t="s">
        <v>4713</v>
      </c>
      <c r="R2676" s="152" t="s">
        <v>4707</v>
      </c>
      <c r="S2676" s="152" t="s">
        <v>4714</v>
      </c>
      <c r="T2676" s="152" t="s">
        <v>786</v>
      </c>
    </row>
    <row r="2677" spans="3:20">
      <c r="C2677" s="152" t="s">
        <v>2821</v>
      </c>
      <c r="F2677" s="152" t="s">
        <v>373</v>
      </c>
      <c r="G2677" s="152" t="s">
        <v>374</v>
      </c>
      <c r="I2677" s="513">
        <v>4303500</v>
      </c>
      <c r="J2677" s="513">
        <v>3020</v>
      </c>
      <c r="K2677" s="513">
        <v>1425</v>
      </c>
      <c r="L2677" s="518" t="s">
        <v>3504</v>
      </c>
      <c r="M2677" s="152" t="s">
        <v>1566</v>
      </c>
      <c r="N2677" s="152" t="s">
        <v>1407</v>
      </c>
      <c r="O2677" s="152" t="s">
        <v>4715</v>
      </c>
      <c r="P2677" s="152" t="s">
        <v>4279</v>
      </c>
      <c r="Q2677" s="152" t="s">
        <v>4716</v>
      </c>
      <c r="R2677" s="152" t="s">
        <v>4707</v>
      </c>
      <c r="S2677" s="152" t="s">
        <v>4717</v>
      </c>
      <c r="T2677" s="152" t="s">
        <v>786</v>
      </c>
    </row>
    <row r="2678" spans="3:20">
      <c r="C2678" s="152" t="s">
        <v>2821</v>
      </c>
      <c r="F2678" s="152" t="s">
        <v>373</v>
      </c>
      <c r="G2678" s="152" t="s">
        <v>374</v>
      </c>
      <c r="I2678" s="513">
        <v>3608812.5</v>
      </c>
      <c r="J2678" s="513">
        <v>2532.5</v>
      </c>
      <c r="K2678" s="513">
        <v>1425</v>
      </c>
      <c r="L2678" s="518" t="s">
        <v>3504</v>
      </c>
      <c r="M2678" s="152" t="s">
        <v>1566</v>
      </c>
      <c r="N2678" s="152" t="s">
        <v>1407</v>
      </c>
      <c r="O2678" s="152" t="s">
        <v>4718</v>
      </c>
      <c r="P2678" s="152" t="s">
        <v>4279</v>
      </c>
      <c r="Q2678" s="152" t="s">
        <v>4719</v>
      </c>
      <c r="R2678" s="152" t="s">
        <v>4720</v>
      </c>
      <c r="S2678" s="152" t="s">
        <v>4721</v>
      </c>
      <c r="T2678" s="152" t="s">
        <v>786</v>
      </c>
    </row>
    <row r="2679" spans="3:20">
      <c r="C2679" s="152" t="s">
        <v>2821</v>
      </c>
      <c r="F2679" s="152" t="s">
        <v>373</v>
      </c>
      <c r="G2679" s="152" t="s">
        <v>374</v>
      </c>
      <c r="I2679" s="513">
        <v>4346250</v>
      </c>
      <c r="J2679" s="513">
        <v>3050</v>
      </c>
      <c r="K2679" s="513">
        <v>1425</v>
      </c>
      <c r="L2679" s="518" t="s">
        <v>3504</v>
      </c>
      <c r="M2679" s="152" t="s">
        <v>1566</v>
      </c>
      <c r="N2679" s="152" t="s">
        <v>1407</v>
      </c>
      <c r="O2679" s="152" t="s">
        <v>4722</v>
      </c>
      <c r="P2679" s="152" t="s">
        <v>4279</v>
      </c>
      <c r="Q2679" s="152" t="s">
        <v>4723</v>
      </c>
      <c r="R2679" s="152" t="s">
        <v>4720</v>
      </c>
      <c r="S2679" s="152" t="s">
        <v>4724</v>
      </c>
      <c r="T2679" s="152" t="s">
        <v>786</v>
      </c>
    </row>
    <row r="2680" spans="3:20">
      <c r="C2680" s="152" t="s">
        <v>2821</v>
      </c>
      <c r="F2680" s="152" t="s">
        <v>373</v>
      </c>
      <c r="G2680" s="152" t="s">
        <v>374</v>
      </c>
      <c r="I2680" s="513">
        <v>4663312.5</v>
      </c>
      <c r="J2680" s="513">
        <v>3272.5</v>
      </c>
      <c r="K2680" s="513">
        <v>1425</v>
      </c>
      <c r="L2680" s="518" t="s">
        <v>3504</v>
      </c>
      <c r="M2680" s="152" t="s">
        <v>1566</v>
      </c>
      <c r="N2680" s="152" t="s">
        <v>1407</v>
      </c>
      <c r="O2680" s="152" t="s">
        <v>4725</v>
      </c>
      <c r="P2680" s="152" t="s">
        <v>4279</v>
      </c>
      <c r="Q2680" s="152" t="s">
        <v>4726</v>
      </c>
      <c r="R2680" s="152" t="s">
        <v>4720</v>
      </c>
      <c r="S2680" s="152" t="s">
        <v>4727</v>
      </c>
      <c r="T2680" s="152" t="s">
        <v>786</v>
      </c>
    </row>
    <row r="2681" spans="3:20">
      <c r="C2681" s="152" t="s">
        <v>2821</v>
      </c>
      <c r="F2681" s="152" t="s">
        <v>373</v>
      </c>
      <c r="G2681" s="152" t="s">
        <v>374</v>
      </c>
      <c r="I2681" s="513">
        <v>6191625</v>
      </c>
      <c r="J2681" s="513">
        <v>4345</v>
      </c>
      <c r="K2681" s="513">
        <v>1425</v>
      </c>
      <c r="L2681" s="518" t="s">
        <v>3504</v>
      </c>
      <c r="M2681" s="152" t="s">
        <v>1566</v>
      </c>
      <c r="N2681" s="152" t="s">
        <v>1407</v>
      </c>
      <c r="O2681" s="152" t="s">
        <v>4728</v>
      </c>
      <c r="P2681" s="152" t="s">
        <v>4279</v>
      </c>
      <c r="Q2681" s="152" t="s">
        <v>4729</v>
      </c>
      <c r="R2681" s="152" t="s">
        <v>4720</v>
      </c>
      <c r="S2681" s="152" t="s">
        <v>4730</v>
      </c>
      <c r="T2681" s="152" t="s">
        <v>786</v>
      </c>
    </row>
    <row r="2682" spans="3:20">
      <c r="C2682" s="152" t="s">
        <v>2821</v>
      </c>
      <c r="F2682" s="152" t="s">
        <v>373</v>
      </c>
      <c r="G2682" s="152" t="s">
        <v>374</v>
      </c>
      <c r="I2682" s="513">
        <v>7903440.0215999996</v>
      </c>
      <c r="J2682" s="513">
        <v>5488.5000149999996</v>
      </c>
      <c r="K2682" s="513">
        <v>1440</v>
      </c>
      <c r="L2682" s="518" t="s">
        <v>3517</v>
      </c>
      <c r="M2682" s="152" t="s">
        <v>1566</v>
      </c>
      <c r="N2682" s="152" t="s">
        <v>1407</v>
      </c>
      <c r="O2682" s="152" t="s">
        <v>4976</v>
      </c>
      <c r="P2682" s="152" t="s">
        <v>1881</v>
      </c>
      <c r="Q2682" s="152" t="s">
        <v>4977</v>
      </c>
      <c r="R2682" s="152" t="s">
        <v>4977</v>
      </c>
      <c r="S2682" s="152" t="s">
        <v>4978</v>
      </c>
      <c r="T2682" s="152" t="s">
        <v>786</v>
      </c>
    </row>
    <row r="2683" spans="3:20">
      <c r="C2683" s="152" t="s">
        <v>2821</v>
      </c>
      <c r="F2683" s="152" t="s">
        <v>373</v>
      </c>
      <c r="G2683" s="152" t="s">
        <v>374</v>
      </c>
      <c r="I2683" s="513">
        <v>-576000</v>
      </c>
      <c r="J2683" s="513">
        <v>-400</v>
      </c>
      <c r="K2683" s="513">
        <v>1440</v>
      </c>
      <c r="L2683" s="518" t="s">
        <v>3517</v>
      </c>
      <c r="M2683" s="152" t="s">
        <v>1540</v>
      </c>
      <c r="N2683" s="152" t="s">
        <v>1407</v>
      </c>
      <c r="O2683" s="152" t="s">
        <v>4979</v>
      </c>
      <c r="P2683" s="152" t="s">
        <v>1832</v>
      </c>
      <c r="Q2683" s="152" t="s">
        <v>4980</v>
      </c>
      <c r="R2683" s="152" t="s">
        <v>4980</v>
      </c>
      <c r="S2683" s="152" t="s">
        <v>4981</v>
      </c>
      <c r="T2683" s="152" t="s">
        <v>786</v>
      </c>
    </row>
    <row r="2684" spans="3:20">
      <c r="C2684" s="152" t="s">
        <v>2821</v>
      </c>
      <c r="F2684" s="152" t="s">
        <v>373</v>
      </c>
      <c r="G2684" s="152" t="s">
        <v>374</v>
      </c>
      <c r="I2684" s="513">
        <v>-115200</v>
      </c>
      <c r="J2684" s="513">
        <v>-80</v>
      </c>
      <c r="K2684" s="513">
        <v>1440</v>
      </c>
      <c r="L2684" s="518" t="s">
        <v>3517</v>
      </c>
      <c r="M2684" s="152" t="s">
        <v>1540</v>
      </c>
      <c r="N2684" s="152" t="s">
        <v>1407</v>
      </c>
      <c r="O2684" s="152" t="s">
        <v>4982</v>
      </c>
      <c r="P2684" s="152" t="s">
        <v>1832</v>
      </c>
      <c r="Q2684" s="152" t="s">
        <v>4983</v>
      </c>
      <c r="R2684" s="152" t="s">
        <v>4983</v>
      </c>
      <c r="S2684" s="152" t="s">
        <v>4984</v>
      </c>
      <c r="T2684" s="152" t="s">
        <v>786</v>
      </c>
    </row>
    <row r="2685" spans="3:20">
      <c r="C2685" s="152" t="s">
        <v>2821</v>
      </c>
      <c r="F2685" s="152" t="s">
        <v>373</v>
      </c>
      <c r="G2685" s="152" t="s">
        <v>374</v>
      </c>
      <c r="I2685" s="513">
        <v>-1008000</v>
      </c>
      <c r="J2685" s="513">
        <v>-700</v>
      </c>
      <c r="K2685" s="513">
        <v>1440</v>
      </c>
      <c r="L2685" s="518" t="s">
        <v>3517</v>
      </c>
      <c r="M2685" s="152" t="s">
        <v>1540</v>
      </c>
      <c r="N2685" s="152" t="s">
        <v>1407</v>
      </c>
      <c r="O2685" s="152" t="s">
        <v>4985</v>
      </c>
      <c r="P2685" s="152" t="s">
        <v>1832</v>
      </c>
      <c r="Q2685" s="152" t="s">
        <v>4986</v>
      </c>
      <c r="R2685" s="152" t="s">
        <v>4986</v>
      </c>
      <c r="S2685" s="152" t="s">
        <v>4987</v>
      </c>
      <c r="T2685" s="152" t="s">
        <v>786</v>
      </c>
    </row>
    <row r="2686" spans="3:20">
      <c r="C2686" s="152" t="s">
        <v>2821</v>
      </c>
      <c r="F2686" s="152" t="s">
        <v>373</v>
      </c>
      <c r="G2686" s="152" t="s">
        <v>374</v>
      </c>
      <c r="I2686" s="513">
        <v>-720000</v>
      </c>
      <c r="J2686" s="513">
        <v>-500</v>
      </c>
      <c r="K2686" s="513">
        <v>1440</v>
      </c>
      <c r="L2686" s="518" t="s">
        <v>3517</v>
      </c>
      <c r="M2686" s="152" t="s">
        <v>1540</v>
      </c>
      <c r="N2686" s="152" t="s">
        <v>1407</v>
      </c>
      <c r="O2686" s="152" t="s">
        <v>4988</v>
      </c>
      <c r="P2686" s="152" t="s">
        <v>1832</v>
      </c>
      <c r="Q2686" s="152" t="s">
        <v>4989</v>
      </c>
      <c r="R2686" s="152" t="s">
        <v>4989</v>
      </c>
      <c r="S2686" s="152" t="s">
        <v>4990</v>
      </c>
      <c r="T2686" s="152" t="s">
        <v>786</v>
      </c>
    </row>
    <row r="2687" spans="3:20">
      <c r="C2687" s="152" t="s">
        <v>2821</v>
      </c>
      <c r="F2687" s="152" t="s">
        <v>373</v>
      </c>
      <c r="G2687" s="152" t="s">
        <v>374</v>
      </c>
      <c r="I2687" s="513">
        <v>-2073600</v>
      </c>
      <c r="J2687" s="513">
        <v>-1440</v>
      </c>
      <c r="K2687" s="513">
        <v>1440</v>
      </c>
      <c r="L2687" s="518" t="s">
        <v>3517</v>
      </c>
      <c r="M2687" s="152" t="s">
        <v>1540</v>
      </c>
      <c r="N2687" s="152" t="s">
        <v>1407</v>
      </c>
      <c r="O2687" s="152" t="s">
        <v>4991</v>
      </c>
      <c r="P2687" s="152" t="s">
        <v>1832</v>
      </c>
      <c r="Q2687" s="152" t="s">
        <v>4992</v>
      </c>
      <c r="R2687" s="152" t="s">
        <v>4992</v>
      </c>
      <c r="S2687" s="152" t="s">
        <v>4993</v>
      </c>
      <c r="T2687" s="152" t="s">
        <v>786</v>
      </c>
    </row>
    <row r="2688" spans="3:20">
      <c r="C2688" s="152" t="s">
        <v>2821</v>
      </c>
      <c r="F2688" s="152" t="s">
        <v>373</v>
      </c>
      <c r="G2688" s="152" t="s">
        <v>374</v>
      </c>
      <c r="I2688" s="513">
        <v>-5840640</v>
      </c>
      <c r="J2688" s="513">
        <v>-4056</v>
      </c>
      <c r="K2688" s="513">
        <v>1440</v>
      </c>
      <c r="L2688" s="518" t="s">
        <v>3517</v>
      </c>
      <c r="M2688" s="152" t="s">
        <v>1540</v>
      </c>
      <c r="N2688" s="152" t="s">
        <v>1407</v>
      </c>
      <c r="O2688" s="152" t="s">
        <v>4994</v>
      </c>
      <c r="P2688" s="152" t="s">
        <v>1832</v>
      </c>
      <c r="Q2688" s="152" t="s">
        <v>4995</v>
      </c>
      <c r="R2688" s="152" t="s">
        <v>4995</v>
      </c>
      <c r="S2688" s="152" t="s">
        <v>4996</v>
      </c>
      <c r="T2688" s="152" t="s">
        <v>786</v>
      </c>
    </row>
    <row r="2689" spans="3:20">
      <c r="C2689" s="152" t="s">
        <v>2821</v>
      </c>
      <c r="F2689" s="152" t="s">
        <v>373</v>
      </c>
      <c r="G2689" s="152" t="s">
        <v>374</v>
      </c>
      <c r="I2689" s="513">
        <v>-2736000</v>
      </c>
      <c r="J2689" s="513">
        <v>-1900</v>
      </c>
      <c r="K2689" s="513">
        <v>1440</v>
      </c>
      <c r="L2689" s="518" t="s">
        <v>3517</v>
      </c>
      <c r="M2689" s="152" t="s">
        <v>1540</v>
      </c>
      <c r="N2689" s="152" t="s">
        <v>1407</v>
      </c>
      <c r="O2689" s="152" t="s">
        <v>4997</v>
      </c>
      <c r="P2689" s="152" t="s">
        <v>1832</v>
      </c>
      <c r="Q2689" s="152" t="s">
        <v>4998</v>
      </c>
      <c r="R2689" s="152" t="s">
        <v>4998</v>
      </c>
      <c r="S2689" s="152" t="s">
        <v>4999</v>
      </c>
      <c r="T2689" s="152" t="s">
        <v>786</v>
      </c>
    </row>
    <row r="2690" spans="3:20">
      <c r="C2690" s="152" t="s">
        <v>2821</v>
      </c>
      <c r="F2690" s="152" t="s">
        <v>373</v>
      </c>
      <c r="G2690" s="152" t="s">
        <v>374</v>
      </c>
      <c r="I2690" s="513">
        <v>-5457600</v>
      </c>
      <c r="J2690" s="513">
        <v>-3790</v>
      </c>
      <c r="K2690" s="513">
        <v>1440</v>
      </c>
      <c r="L2690" s="518" t="s">
        <v>3517</v>
      </c>
      <c r="M2690" s="152" t="s">
        <v>1540</v>
      </c>
      <c r="N2690" s="152" t="s">
        <v>1407</v>
      </c>
      <c r="O2690" s="152" t="s">
        <v>5000</v>
      </c>
      <c r="P2690" s="152" t="s">
        <v>1832</v>
      </c>
      <c r="Q2690" s="152" t="s">
        <v>5001</v>
      </c>
      <c r="R2690" s="152" t="s">
        <v>5001</v>
      </c>
      <c r="S2690" s="152" t="s">
        <v>5002</v>
      </c>
      <c r="T2690" s="152" t="s">
        <v>786</v>
      </c>
    </row>
    <row r="2691" spans="3:20">
      <c r="C2691" s="152" t="s">
        <v>2821</v>
      </c>
      <c r="F2691" s="152" t="s">
        <v>373</v>
      </c>
      <c r="G2691" s="152" t="s">
        <v>374</v>
      </c>
      <c r="I2691" s="513">
        <v>-1152000</v>
      </c>
      <c r="J2691" s="513">
        <v>-800</v>
      </c>
      <c r="K2691" s="513">
        <v>1440</v>
      </c>
      <c r="L2691" s="518" t="s">
        <v>3517</v>
      </c>
      <c r="M2691" s="152" t="s">
        <v>1540</v>
      </c>
      <c r="N2691" s="152" t="s">
        <v>1407</v>
      </c>
      <c r="O2691" s="152" t="s">
        <v>5003</v>
      </c>
      <c r="P2691" s="152" t="s">
        <v>1832</v>
      </c>
      <c r="Q2691" s="152" t="s">
        <v>5004</v>
      </c>
      <c r="R2691" s="152" t="s">
        <v>5004</v>
      </c>
      <c r="S2691" s="152" t="s">
        <v>5005</v>
      </c>
      <c r="T2691" s="152" t="s">
        <v>786</v>
      </c>
    </row>
    <row r="2692" spans="3:20">
      <c r="C2692" s="152" t="s">
        <v>2821</v>
      </c>
      <c r="F2692" s="152" t="s">
        <v>373</v>
      </c>
      <c r="G2692" s="152" t="s">
        <v>374</v>
      </c>
      <c r="I2692" s="513">
        <v>-1137600</v>
      </c>
      <c r="J2692" s="513">
        <v>-790</v>
      </c>
      <c r="K2692" s="513">
        <v>1440</v>
      </c>
      <c r="L2692" s="518" t="s">
        <v>3517</v>
      </c>
      <c r="M2692" s="152" t="s">
        <v>1540</v>
      </c>
      <c r="N2692" s="152" t="s">
        <v>1407</v>
      </c>
      <c r="O2692" s="152" t="s">
        <v>5006</v>
      </c>
      <c r="P2692" s="152" t="s">
        <v>1832</v>
      </c>
      <c r="Q2692" s="152" t="s">
        <v>5007</v>
      </c>
      <c r="R2692" s="152" t="s">
        <v>5007</v>
      </c>
      <c r="S2692" s="152" t="s">
        <v>5008</v>
      </c>
      <c r="T2692" s="152" t="s">
        <v>786</v>
      </c>
    </row>
    <row r="2693" spans="3:20">
      <c r="C2693" s="152" t="s">
        <v>2821</v>
      </c>
      <c r="F2693" s="152" t="s">
        <v>373</v>
      </c>
      <c r="G2693" s="152" t="s">
        <v>374</v>
      </c>
      <c r="I2693" s="513">
        <v>-936000</v>
      </c>
      <c r="J2693" s="513">
        <v>-650</v>
      </c>
      <c r="K2693" s="513">
        <v>1440</v>
      </c>
      <c r="L2693" s="518" t="s">
        <v>3517</v>
      </c>
      <c r="M2693" s="152" t="s">
        <v>1540</v>
      </c>
      <c r="N2693" s="152" t="s">
        <v>1407</v>
      </c>
      <c r="O2693" s="152" t="s">
        <v>5009</v>
      </c>
      <c r="P2693" s="152" t="s">
        <v>1832</v>
      </c>
      <c r="Q2693" s="152" t="s">
        <v>5010</v>
      </c>
      <c r="R2693" s="152" t="s">
        <v>5010</v>
      </c>
      <c r="S2693" s="152" t="s">
        <v>5011</v>
      </c>
      <c r="T2693" s="152" t="s">
        <v>786</v>
      </c>
    </row>
    <row r="2694" spans="3:20">
      <c r="C2694" s="152" t="s">
        <v>2821</v>
      </c>
      <c r="F2694" s="152" t="s">
        <v>373</v>
      </c>
      <c r="G2694" s="152" t="s">
        <v>374</v>
      </c>
      <c r="I2694" s="513">
        <v>-1152000</v>
      </c>
      <c r="J2694" s="513">
        <v>-800</v>
      </c>
      <c r="K2694" s="513">
        <v>1440</v>
      </c>
      <c r="L2694" s="518" t="s">
        <v>3517</v>
      </c>
      <c r="M2694" s="152" t="s">
        <v>1540</v>
      </c>
      <c r="N2694" s="152" t="s">
        <v>1407</v>
      </c>
      <c r="O2694" s="152" t="s">
        <v>5012</v>
      </c>
      <c r="P2694" s="152" t="s">
        <v>1832</v>
      </c>
      <c r="Q2694" s="152" t="s">
        <v>5013</v>
      </c>
      <c r="R2694" s="152" t="s">
        <v>5013</v>
      </c>
      <c r="S2694" s="152" t="s">
        <v>5014</v>
      </c>
      <c r="T2694" s="152" t="s">
        <v>786</v>
      </c>
    </row>
    <row r="2695" spans="3:20">
      <c r="C2695" s="152" t="s">
        <v>2821</v>
      </c>
      <c r="F2695" s="152" t="s">
        <v>373</v>
      </c>
      <c r="G2695" s="152" t="s">
        <v>374</v>
      </c>
      <c r="I2695" s="513">
        <v>-444000</v>
      </c>
      <c r="J2695" s="513">
        <v>-300</v>
      </c>
      <c r="K2695" s="513">
        <v>1480</v>
      </c>
      <c r="L2695" s="518" t="s">
        <v>3517</v>
      </c>
      <c r="M2695" s="152" t="s">
        <v>1540</v>
      </c>
      <c r="N2695" s="152" t="s">
        <v>1407</v>
      </c>
      <c r="O2695" s="152" t="s">
        <v>5015</v>
      </c>
      <c r="P2695" s="152" t="s">
        <v>1832</v>
      </c>
      <c r="Q2695" s="152" t="s">
        <v>5016</v>
      </c>
      <c r="R2695" s="152" t="s">
        <v>5016</v>
      </c>
      <c r="S2695" s="152" t="s">
        <v>5017</v>
      </c>
      <c r="T2695" s="152" t="s">
        <v>786</v>
      </c>
    </row>
    <row r="2696" spans="3:20">
      <c r="C2696" s="152" t="s">
        <v>2821</v>
      </c>
      <c r="F2696" s="152" t="s">
        <v>373</v>
      </c>
      <c r="G2696" s="152" t="s">
        <v>374</v>
      </c>
      <c r="I2696" s="513">
        <v>-115200</v>
      </c>
      <c r="J2696" s="513">
        <v>-80</v>
      </c>
      <c r="K2696" s="513">
        <v>1440</v>
      </c>
      <c r="L2696" s="518" t="s">
        <v>3517</v>
      </c>
      <c r="M2696" s="152" t="s">
        <v>1540</v>
      </c>
      <c r="N2696" s="152" t="s">
        <v>1407</v>
      </c>
      <c r="O2696" s="152" t="s">
        <v>5018</v>
      </c>
      <c r="P2696" s="152" t="s">
        <v>1832</v>
      </c>
      <c r="Q2696" s="152" t="s">
        <v>5019</v>
      </c>
      <c r="R2696" s="152" t="s">
        <v>5019</v>
      </c>
      <c r="S2696" s="152" t="s">
        <v>5020</v>
      </c>
      <c r="T2696" s="152" t="s">
        <v>786</v>
      </c>
    </row>
    <row r="2697" spans="3:20">
      <c r="C2697" s="152" t="s">
        <v>2821</v>
      </c>
      <c r="F2697" s="152" t="s">
        <v>373</v>
      </c>
      <c r="G2697" s="152" t="s">
        <v>374</v>
      </c>
      <c r="I2697" s="513">
        <v>-356250</v>
      </c>
      <c r="J2697" s="513">
        <v>-250</v>
      </c>
      <c r="K2697" s="513">
        <v>1425</v>
      </c>
      <c r="L2697" s="518" t="s">
        <v>3637</v>
      </c>
      <c r="M2697" s="152" t="s">
        <v>1566</v>
      </c>
      <c r="N2697" s="152" t="s">
        <v>1407</v>
      </c>
      <c r="O2697" s="152" t="s">
        <v>5027</v>
      </c>
      <c r="P2697" s="152" t="s">
        <v>1881</v>
      </c>
      <c r="Q2697" s="152" t="s">
        <v>5028</v>
      </c>
      <c r="R2697" s="152" t="s">
        <v>5028</v>
      </c>
      <c r="S2697" s="152" t="s">
        <v>5029</v>
      </c>
      <c r="T2697" s="152" t="s">
        <v>786</v>
      </c>
    </row>
    <row r="2698" spans="3:20">
      <c r="C2698" s="152" t="s">
        <v>2821</v>
      </c>
      <c r="F2698" s="152" t="s">
        <v>373</v>
      </c>
      <c r="G2698" s="152" t="s">
        <v>374</v>
      </c>
      <c r="I2698" s="513">
        <v>-1852500</v>
      </c>
      <c r="J2698" s="513">
        <v>-1300</v>
      </c>
      <c r="K2698" s="513">
        <v>1425</v>
      </c>
      <c r="L2698" s="518" t="s">
        <v>3637</v>
      </c>
      <c r="M2698" s="152" t="s">
        <v>1540</v>
      </c>
      <c r="N2698" s="152" t="s">
        <v>1407</v>
      </c>
      <c r="O2698" s="152" t="s">
        <v>5030</v>
      </c>
      <c r="P2698" s="152" t="s">
        <v>1832</v>
      </c>
      <c r="Q2698" s="152" t="s">
        <v>5031</v>
      </c>
      <c r="R2698" s="152" t="s">
        <v>5031</v>
      </c>
      <c r="S2698" s="152" t="s">
        <v>5032</v>
      </c>
      <c r="T2698" s="152" t="s">
        <v>786</v>
      </c>
    </row>
    <row r="2699" spans="3:20">
      <c r="C2699" s="152" t="s">
        <v>2821</v>
      </c>
      <c r="F2699" s="152" t="s">
        <v>373</v>
      </c>
      <c r="G2699" s="152" t="s">
        <v>374</v>
      </c>
      <c r="I2699" s="513">
        <v>-427500</v>
      </c>
      <c r="J2699" s="513">
        <v>-300</v>
      </c>
      <c r="K2699" s="513">
        <v>1425</v>
      </c>
      <c r="L2699" s="518" t="s">
        <v>3637</v>
      </c>
      <c r="M2699" s="152" t="s">
        <v>1540</v>
      </c>
      <c r="N2699" s="152" t="s">
        <v>1407</v>
      </c>
      <c r="O2699" s="152" t="s">
        <v>5033</v>
      </c>
      <c r="P2699" s="152" t="s">
        <v>1832</v>
      </c>
      <c r="Q2699" s="152" t="s">
        <v>5034</v>
      </c>
      <c r="R2699" s="152" t="s">
        <v>5034</v>
      </c>
      <c r="S2699" s="152" t="s">
        <v>5035</v>
      </c>
      <c r="T2699" s="152" t="s">
        <v>786</v>
      </c>
    </row>
    <row r="2700" spans="3:20">
      <c r="C2700" s="152" t="s">
        <v>2821</v>
      </c>
      <c r="F2700" s="152" t="s">
        <v>373</v>
      </c>
      <c r="G2700" s="152" t="s">
        <v>374</v>
      </c>
      <c r="I2700" s="513">
        <v>-4597762.5</v>
      </c>
      <c r="J2700" s="513">
        <v>-3226.5</v>
      </c>
      <c r="K2700" s="513">
        <v>1425</v>
      </c>
      <c r="L2700" s="518" t="s">
        <v>3637</v>
      </c>
      <c r="M2700" s="152" t="s">
        <v>1540</v>
      </c>
      <c r="N2700" s="152" t="s">
        <v>1407</v>
      </c>
      <c r="O2700" s="152" t="s">
        <v>5036</v>
      </c>
      <c r="P2700" s="152" t="s">
        <v>1832</v>
      </c>
      <c r="Q2700" s="152" t="s">
        <v>5037</v>
      </c>
      <c r="R2700" s="152" t="s">
        <v>5037</v>
      </c>
      <c r="S2700" s="152" t="s">
        <v>5038</v>
      </c>
      <c r="T2700" s="152" t="s">
        <v>786</v>
      </c>
    </row>
    <row r="2701" spans="3:20">
      <c r="C2701" s="152" t="s">
        <v>2821</v>
      </c>
      <c r="F2701" s="152" t="s">
        <v>373</v>
      </c>
      <c r="G2701" s="152" t="s">
        <v>374</v>
      </c>
      <c r="I2701" s="513">
        <v>-1496250</v>
      </c>
      <c r="J2701" s="513">
        <v>-1050</v>
      </c>
      <c r="K2701" s="513">
        <v>1425</v>
      </c>
      <c r="L2701" s="518" t="s">
        <v>3637</v>
      </c>
      <c r="M2701" s="152" t="s">
        <v>1540</v>
      </c>
      <c r="N2701" s="152" t="s">
        <v>1407</v>
      </c>
      <c r="O2701" s="152" t="s">
        <v>5039</v>
      </c>
      <c r="P2701" s="152" t="s">
        <v>1832</v>
      </c>
      <c r="Q2701" s="152" t="s">
        <v>5040</v>
      </c>
      <c r="R2701" s="152" t="s">
        <v>5040</v>
      </c>
      <c r="S2701" s="152" t="s">
        <v>5041</v>
      </c>
      <c r="T2701" s="152" t="s">
        <v>786</v>
      </c>
    </row>
    <row r="2702" spans="3:20">
      <c r="C2702" s="152" t="s">
        <v>2821</v>
      </c>
      <c r="F2702" s="152" t="s">
        <v>373</v>
      </c>
      <c r="G2702" s="152" t="s">
        <v>374</v>
      </c>
      <c r="I2702" s="513">
        <v>-712500</v>
      </c>
      <c r="J2702" s="513">
        <v>-500</v>
      </c>
      <c r="K2702" s="513">
        <v>1425</v>
      </c>
      <c r="L2702" s="518" t="s">
        <v>3637</v>
      </c>
      <c r="M2702" s="152" t="s">
        <v>1540</v>
      </c>
      <c r="N2702" s="152" t="s">
        <v>1407</v>
      </c>
      <c r="O2702" s="152" t="s">
        <v>5042</v>
      </c>
      <c r="P2702" s="152" t="s">
        <v>1832</v>
      </c>
      <c r="Q2702" s="152" t="s">
        <v>5043</v>
      </c>
      <c r="R2702" s="152" t="s">
        <v>5043</v>
      </c>
      <c r="S2702" s="152" t="s">
        <v>5044</v>
      </c>
      <c r="T2702" s="152" t="s">
        <v>786</v>
      </c>
    </row>
    <row r="2703" spans="3:20">
      <c r="C2703" s="152" t="s">
        <v>2821</v>
      </c>
      <c r="F2703" s="152" t="s">
        <v>373</v>
      </c>
      <c r="G2703" s="152" t="s">
        <v>374</v>
      </c>
      <c r="I2703" s="513">
        <v>-4275000</v>
      </c>
      <c r="J2703" s="513">
        <v>-3000</v>
      </c>
      <c r="K2703" s="513">
        <v>1425</v>
      </c>
      <c r="L2703" s="518" t="s">
        <v>3637</v>
      </c>
      <c r="M2703" s="152" t="s">
        <v>1540</v>
      </c>
      <c r="N2703" s="152" t="s">
        <v>1407</v>
      </c>
      <c r="O2703" s="152" t="s">
        <v>5045</v>
      </c>
      <c r="P2703" s="152" t="s">
        <v>1832</v>
      </c>
      <c r="Q2703" s="152" t="s">
        <v>5046</v>
      </c>
      <c r="R2703" s="152" t="s">
        <v>5046</v>
      </c>
      <c r="S2703" s="152" t="s">
        <v>5047</v>
      </c>
      <c r="T2703" s="152" t="s">
        <v>786</v>
      </c>
    </row>
    <row r="2704" spans="3:20">
      <c r="C2704" s="152" t="s">
        <v>2821</v>
      </c>
      <c r="F2704" s="152" t="s">
        <v>373</v>
      </c>
      <c r="G2704" s="152" t="s">
        <v>374</v>
      </c>
      <c r="I2704" s="513">
        <v>-1425000</v>
      </c>
      <c r="J2704" s="513">
        <v>-1000</v>
      </c>
      <c r="K2704" s="513">
        <v>1425</v>
      </c>
      <c r="L2704" s="518" t="s">
        <v>3552</v>
      </c>
      <c r="M2704" s="152" t="s">
        <v>1540</v>
      </c>
      <c r="N2704" s="152" t="s">
        <v>1407</v>
      </c>
      <c r="O2704" s="152" t="s">
        <v>5048</v>
      </c>
      <c r="P2704" s="152" t="s">
        <v>1832</v>
      </c>
      <c r="Q2704" s="152" t="s">
        <v>5049</v>
      </c>
      <c r="R2704" s="152" t="s">
        <v>5049</v>
      </c>
      <c r="S2704" s="152" t="s">
        <v>5050</v>
      </c>
      <c r="T2704" s="152" t="s">
        <v>786</v>
      </c>
    </row>
    <row r="2705" spans="3:20">
      <c r="C2705" s="152" t="s">
        <v>2821</v>
      </c>
      <c r="F2705" s="152" t="s">
        <v>373</v>
      </c>
      <c r="G2705" s="152" t="s">
        <v>374</v>
      </c>
      <c r="I2705" s="513">
        <v>761553</v>
      </c>
      <c r="J2705" s="513">
        <v>538.20000000000005</v>
      </c>
      <c r="K2705" s="513">
        <v>1415</v>
      </c>
      <c r="L2705" s="518" t="s">
        <v>3511</v>
      </c>
      <c r="N2705" s="152" t="s">
        <v>1407</v>
      </c>
      <c r="P2705" s="152" t="s">
        <v>5064</v>
      </c>
      <c r="Q2705" s="152" t="s">
        <v>5065</v>
      </c>
      <c r="R2705" s="152" t="s">
        <v>5065</v>
      </c>
      <c r="S2705" s="152" t="s">
        <v>5066</v>
      </c>
      <c r="T2705" s="152" t="s">
        <v>786</v>
      </c>
    </row>
    <row r="2706" spans="3:20">
      <c r="C2706" s="152" t="s">
        <v>2821</v>
      </c>
      <c r="F2706" s="152" t="s">
        <v>373</v>
      </c>
      <c r="G2706" s="152" t="s">
        <v>374</v>
      </c>
      <c r="I2706" s="513">
        <v>571164.75</v>
      </c>
      <c r="J2706" s="513">
        <v>403.65</v>
      </c>
      <c r="K2706" s="513">
        <v>1415</v>
      </c>
      <c r="L2706" s="518" t="s">
        <v>3511</v>
      </c>
      <c r="N2706" s="152" t="s">
        <v>1407</v>
      </c>
      <c r="P2706" s="152" t="s">
        <v>5064</v>
      </c>
      <c r="Q2706" s="152" t="s">
        <v>5067</v>
      </c>
      <c r="R2706" s="152" t="s">
        <v>5067</v>
      </c>
      <c r="S2706" s="152" t="s">
        <v>5066</v>
      </c>
      <c r="T2706" s="152" t="s">
        <v>786</v>
      </c>
    </row>
    <row r="2707" spans="3:20">
      <c r="C2707" s="152" t="s">
        <v>2821</v>
      </c>
      <c r="F2707" s="152" t="s">
        <v>373</v>
      </c>
      <c r="G2707" s="152" t="s">
        <v>374</v>
      </c>
      <c r="I2707" s="513">
        <v>571164.75</v>
      </c>
      <c r="J2707" s="513">
        <v>403.65</v>
      </c>
      <c r="K2707" s="513">
        <v>1415</v>
      </c>
      <c r="L2707" s="518" t="s">
        <v>3511</v>
      </c>
      <c r="N2707" s="152" t="s">
        <v>1407</v>
      </c>
      <c r="P2707" s="152" t="s">
        <v>5064</v>
      </c>
      <c r="Q2707" s="152" t="s">
        <v>5068</v>
      </c>
      <c r="R2707" s="152" t="s">
        <v>5068</v>
      </c>
      <c r="S2707" s="152" t="s">
        <v>5066</v>
      </c>
      <c r="T2707" s="152" t="s">
        <v>786</v>
      </c>
    </row>
    <row r="2708" spans="3:20">
      <c r="C2708" s="152" t="s">
        <v>2821</v>
      </c>
      <c r="F2708" s="152" t="s">
        <v>373</v>
      </c>
      <c r="G2708" s="152" t="s">
        <v>374</v>
      </c>
      <c r="I2708" s="513">
        <v>-311300</v>
      </c>
      <c r="J2708" s="513">
        <v>-220</v>
      </c>
      <c r="K2708" s="513">
        <v>1415</v>
      </c>
      <c r="L2708" s="518" t="s">
        <v>3511</v>
      </c>
      <c r="M2708" s="152" t="s">
        <v>1566</v>
      </c>
      <c r="N2708" s="152" t="s">
        <v>1407</v>
      </c>
      <c r="O2708" s="152" t="s">
        <v>5093</v>
      </c>
      <c r="P2708" s="152" t="s">
        <v>4279</v>
      </c>
      <c r="Q2708" s="152" t="s">
        <v>5094</v>
      </c>
      <c r="R2708" s="152" t="s">
        <v>5094</v>
      </c>
      <c r="S2708" s="152" t="s">
        <v>5095</v>
      </c>
      <c r="T2708" s="152" t="s">
        <v>786</v>
      </c>
    </row>
    <row r="2709" spans="3:20">
      <c r="C2709" s="152" t="s">
        <v>2821</v>
      </c>
      <c r="F2709" s="152" t="s">
        <v>373</v>
      </c>
      <c r="G2709" s="152" t="s">
        <v>374</v>
      </c>
      <c r="I2709" s="513">
        <v>-551850</v>
      </c>
      <c r="J2709" s="513">
        <v>-390</v>
      </c>
      <c r="K2709" s="513">
        <v>1415</v>
      </c>
      <c r="L2709" s="518" t="s">
        <v>3511</v>
      </c>
      <c r="M2709" s="152" t="s">
        <v>1566</v>
      </c>
      <c r="N2709" s="152" t="s">
        <v>1407</v>
      </c>
      <c r="O2709" s="152" t="s">
        <v>5096</v>
      </c>
      <c r="P2709" s="152" t="s">
        <v>4279</v>
      </c>
      <c r="Q2709" s="152" t="s">
        <v>5097</v>
      </c>
      <c r="R2709" s="152" t="s">
        <v>5097</v>
      </c>
      <c r="S2709" s="152" t="s">
        <v>5098</v>
      </c>
      <c r="T2709" s="152" t="s">
        <v>786</v>
      </c>
    </row>
    <row r="2710" spans="3:20">
      <c r="C2710" s="152" t="s">
        <v>2821</v>
      </c>
      <c r="F2710" s="152" t="s">
        <v>373</v>
      </c>
      <c r="G2710" s="152" t="s">
        <v>374</v>
      </c>
      <c r="I2710" s="513">
        <v>-528445.9</v>
      </c>
      <c r="J2710" s="513">
        <v>-373.46</v>
      </c>
      <c r="K2710" s="513">
        <v>1415</v>
      </c>
      <c r="L2710" s="518" t="s">
        <v>3511</v>
      </c>
      <c r="M2710" s="152" t="s">
        <v>1566</v>
      </c>
      <c r="N2710" s="152" t="s">
        <v>1407</v>
      </c>
      <c r="O2710" s="152" t="s">
        <v>5099</v>
      </c>
      <c r="P2710" s="152" t="s">
        <v>4279</v>
      </c>
      <c r="Q2710" s="152" t="s">
        <v>5100</v>
      </c>
      <c r="R2710" s="152" t="s">
        <v>5100</v>
      </c>
      <c r="S2710" s="152" t="s">
        <v>5101</v>
      </c>
      <c r="T2710" s="152" t="s">
        <v>786</v>
      </c>
    </row>
    <row r="2711" spans="3:20">
      <c r="C2711" s="152" t="s">
        <v>2821</v>
      </c>
      <c r="F2711" s="152" t="s">
        <v>373</v>
      </c>
      <c r="G2711" s="152" t="s">
        <v>374</v>
      </c>
      <c r="I2711" s="513">
        <v>-358009.15</v>
      </c>
      <c r="J2711" s="513">
        <v>-253.01</v>
      </c>
      <c r="K2711" s="513">
        <v>1415</v>
      </c>
      <c r="L2711" s="518" t="s">
        <v>3511</v>
      </c>
      <c r="M2711" s="152" t="s">
        <v>1566</v>
      </c>
      <c r="N2711" s="152" t="s">
        <v>1407</v>
      </c>
      <c r="O2711" s="152" t="s">
        <v>5102</v>
      </c>
      <c r="P2711" s="152" t="s">
        <v>4279</v>
      </c>
      <c r="Q2711" s="152" t="s">
        <v>5103</v>
      </c>
      <c r="R2711" s="152" t="s">
        <v>5103</v>
      </c>
      <c r="S2711" s="152" t="s">
        <v>5104</v>
      </c>
      <c r="T2711" s="152" t="s">
        <v>786</v>
      </c>
    </row>
    <row r="2712" spans="3:20">
      <c r="C2712" s="152" t="s">
        <v>2821</v>
      </c>
      <c r="F2712" s="152" t="s">
        <v>373</v>
      </c>
      <c r="G2712" s="152" t="s">
        <v>374</v>
      </c>
      <c r="I2712" s="513">
        <v>-521271.85</v>
      </c>
      <c r="J2712" s="513">
        <v>-368.39</v>
      </c>
      <c r="K2712" s="513">
        <v>1415</v>
      </c>
      <c r="L2712" s="518" t="s">
        <v>3511</v>
      </c>
      <c r="M2712" s="152" t="s">
        <v>1566</v>
      </c>
      <c r="N2712" s="152" t="s">
        <v>1407</v>
      </c>
      <c r="O2712" s="152" t="s">
        <v>5105</v>
      </c>
      <c r="P2712" s="152" t="s">
        <v>4279</v>
      </c>
      <c r="Q2712" s="152" t="s">
        <v>5106</v>
      </c>
      <c r="R2712" s="152" t="s">
        <v>5106</v>
      </c>
      <c r="S2712" s="152" t="s">
        <v>5107</v>
      </c>
      <c r="T2712" s="152" t="s">
        <v>786</v>
      </c>
    </row>
    <row r="2713" spans="3:20">
      <c r="C2713" s="152" t="s">
        <v>2821</v>
      </c>
      <c r="F2713" s="152" t="s">
        <v>373</v>
      </c>
      <c r="G2713" s="152" t="s">
        <v>374</v>
      </c>
      <c r="I2713" s="513">
        <v>-534643.6</v>
      </c>
      <c r="J2713" s="513">
        <v>-377.84</v>
      </c>
      <c r="K2713" s="513">
        <v>1415</v>
      </c>
      <c r="L2713" s="518" t="s">
        <v>3511</v>
      </c>
      <c r="M2713" s="152" t="s">
        <v>1566</v>
      </c>
      <c r="N2713" s="152" t="s">
        <v>1407</v>
      </c>
      <c r="O2713" s="152" t="s">
        <v>5108</v>
      </c>
      <c r="P2713" s="152" t="s">
        <v>4279</v>
      </c>
      <c r="Q2713" s="152" t="s">
        <v>5109</v>
      </c>
      <c r="R2713" s="152" t="s">
        <v>5109</v>
      </c>
      <c r="S2713" s="152" t="s">
        <v>5110</v>
      </c>
      <c r="T2713" s="152" t="s">
        <v>786</v>
      </c>
    </row>
    <row r="2714" spans="3:20">
      <c r="C2714" s="152" t="s">
        <v>2821</v>
      </c>
      <c r="F2714" s="152" t="s">
        <v>373</v>
      </c>
      <c r="G2714" s="152" t="s">
        <v>374</v>
      </c>
      <c r="I2714" s="513">
        <v>-118973.2</v>
      </c>
      <c r="J2714" s="513">
        <v>-84.08</v>
      </c>
      <c r="K2714" s="513">
        <v>1415</v>
      </c>
      <c r="L2714" s="518" t="s">
        <v>3511</v>
      </c>
      <c r="M2714" s="152" t="s">
        <v>1566</v>
      </c>
      <c r="N2714" s="152" t="s">
        <v>1407</v>
      </c>
      <c r="O2714" s="152" t="s">
        <v>5111</v>
      </c>
      <c r="P2714" s="152" t="s">
        <v>4279</v>
      </c>
      <c r="Q2714" s="152" t="s">
        <v>5112</v>
      </c>
      <c r="R2714" s="152" t="s">
        <v>5112</v>
      </c>
      <c r="S2714" s="152" t="s">
        <v>5113</v>
      </c>
      <c r="T2714" s="152" t="s">
        <v>786</v>
      </c>
    </row>
    <row r="2715" spans="3:20">
      <c r="C2715" s="152" t="s">
        <v>2821</v>
      </c>
      <c r="F2715" s="152" t="s">
        <v>373</v>
      </c>
      <c r="G2715" s="152" t="s">
        <v>374</v>
      </c>
      <c r="I2715" s="513">
        <v>-2971500</v>
      </c>
      <c r="J2715" s="513">
        <v>-2100</v>
      </c>
      <c r="K2715" s="513">
        <v>1415</v>
      </c>
      <c r="L2715" s="518" t="s">
        <v>3511</v>
      </c>
      <c r="M2715" s="152" t="s">
        <v>1566</v>
      </c>
      <c r="N2715" s="152" t="s">
        <v>1407</v>
      </c>
      <c r="O2715" s="152" t="s">
        <v>5114</v>
      </c>
      <c r="P2715" s="152" t="s">
        <v>4279</v>
      </c>
      <c r="Q2715" s="152" t="s">
        <v>5115</v>
      </c>
      <c r="R2715" s="152" t="s">
        <v>5115</v>
      </c>
      <c r="S2715" s="152" t="s">
        <v>5116</v>
      </c>
      <c r="T2715" s="152" t="s">
        <v>786</v>
      </c>
    </row>
    <row r="2716" spans="3:20">
      <c r="C2716" s="152" t="s">
        <v>2821</v>
      </c>
      <c r="F2716" s="152" t="s">
        <v>373</v>
      </c>
      <c r="G2716" s="152" t="s">
        <v>374</v>
      </c>
      <c r="I2716" s="513">
        <v>-122326.75</v>
      </c>
      <c r="J2716" s="513">
        <v>-86.45</v>
      </c>
      <c r="K2716" s="513">
        <v>1415</v>
      </c>
      <c r="L2716" s="518" t="s">
        <v>3511</v>
      </c>
      <c r="M2716" s="152" t="s">
        <v>1566</v>
      </c>
      <c r="N2716" s="152" t="s">
        <v>1407</v>
      </c>
      <c r="O2716" s="152" t="s">
        <v>5117</v>
      </c>
      <c r="P2716" s="152" t="s">
        <v>4279</v>
      </c>
      <c r="Q2716" s="152" t="s">
        <v>5118</v>
      </c>
      <c r="R2716" s="152" t="s">
        <v>5118</v>
      </c>
      <c r="S2716" s="152" t="s">
        <v>5119</v>
      </c>
      <c r="T2716" s="152" t="s">
        <v>786</v>
      </c>
    </row>
    <row r="2717" spans="3:20">
      <c r="C2717" s="152" t="s">
        <v>2821</v>
      </c>
      <c r="F2717" s="152" t="s">
        <v>373</v>
      </c>
      <c r="G2717" s="152" t="s">
        <v>374</v>
      </c>
      <c r="I2717" s="513">
        <v>-114176.35</v>
      </c>
      <c r="J2717" s="513">
        <v>-80.69</v>
      </c>
      <c r="K2717" s="513">
        <v>1415</v>
      </c>
      <c r="L2717" s="518" t="s">
        <v>3511</v>
      </c>
      <c r="M2717" s="152" t="s">
        <v>1566</v>
      </c>
      <c r="N2717" s="152" t="s">
        <v>1407</v>
      </c>
      <c r="O2717" s="152" t="s">
        <v>5120</v>
      </c>
      <c r="P2717" s="152" t="s">
        <v>4279</v>
      </c>
      <c r="Q2717" s="152" t="s">
        <v>5121</v>
      </c>
      <c r="R2717" s="152" t="s">
        <v>5121</v>
      </c>
      <c r="S2717" s="152" t="s">
        <v>5122</v>
      </c>
      <c r="T2717" s="152" t="s">
        <v>786</v>
      </c>
    </row>
    <row r="2718" spans="3:20">
      <c r="C2718" s="152" t="s">
        <v>2821</v>
      </c>
      <c r="F2718" s="152" t="s">
        <v>373</v>
      </c>
      <c r="G2718" s="152" t="s">
        <v>374</v>
      </c>
      <c r="I2718" s="513">
        <v>-121718.3</v>
      </c>
      <c r="J2718" s="513">
        <v>-86.02</v>
      </c>
      <c r="K2718" s="513">
        <v>1415</v>
      </c>
      <c r="L2718" s="518" t="s">
        <v>3511</v>
      </c>
      <c r="M2718" s="152" t="s">
        <v>1566</v>
      </c>
      <c r="N2718" s="152" t="s">
        <v>1407</v>
      </c>
      <c r="O2718" s="152" t="s">
        <v>5123</v>
      </c>
      <c r="P2718" s="152" t="s">
        <v>4279</v>
      </c>
      <c r="Q2718" s="152" t="s">
        <v>5124</v>
      </c>
      <c r="R2718" s="152" t="s">
        <v>5124</v>
      </c>
      <c r="S2718" s="152" t="s">
        <v>5125</v>
      </c>
      <c r="T2718" s="152" t="s">
        <v>786</v>
      </c>
    </row>
    <row r="2719" spans="3:20">
      <c r="C2719" s="152" t="s">
        <v>2821</v>
      </c>
      <c r="F2719" s="152" t="s">
        <v>373</v>
      </c>
      <c r="G2719" s="152" t="s">
        <v>374</v>
      </c>
      <c r="I2719" s="513">
        <v>-533525.75</v>
      </c>
      <c r="J2719" s="513">
        <v>-377.05</v>
      </c>
      <c r="K2719" s="513">
        <v>1415</v>
      </c>
      <c r="L2719" s="518" t="s">
        <v>3511</v>
      </c>
      <c r="M2719" s="152" t="s">
        <v>1566</v>
      </c>
      <c r="N2719" s="152" t="s">
        <v>1407</v>
      </c>
      <c r="O2719" s="152" t="s">
        <v>5126</v>
      </c>
      <c r="P2719" s="152" t="s">
        <v>4279</v>
      </c>
      <c r="Q2719" s="152" t="s">
        <v>5127</v>
      </c>
      <c r="R2719" s="152" t="s">
        <v>5127</v>
      </c>
      <c r="S2719" s="152" t="s">
        <v>5128</v>
      </c>
      <c r="T2719" s="152" t="s">
        <v>786</v>
      </c>
    </row>
    <row r="2720" spans="3:20">
      <c r="C2720" s="152" t="s">
        <v>2821</v>
      </c>
      <c r="F2720" s="152" t="s">
        <v>373</v>
      </c>
      <c r="G2720" s="152" t="s">
        <v>374</v>
      </c>
      <c r="I2720" s="513">
        <v>-533030.5</v>
      </c>
      <c r="J2720" s="513">
        <v>-376.7</v>
      </c>
      <c r="K2720" s="513">
        <v>1415</v>
      </c>
      <c r="L2720" s="518" t="s">
        <v>3511</v>
      </c>
      <c r="M2720" s="152" t="s">
        <v>1566</v>
      </c>
      <c r="N2720" s="152" t="s">
        <v>1407</v>
      </c>
      <c r="O2720" s="152" t="s">
        <v>5129</v>
      </c>
      <c r="P2720" s="152" t="s">
        <v>4279</v>
      </c>
      <c r="Q2720" s="152" t="s">
        <v>5130</v>
      </c>
      <c r="R2720" s="152" t="s">
        <v>5130</v>
      </c>
      <c r="S2720" s="152" t="s">
        <v>5131</v>
      </c>
      <c r="T2720" s="152" t="s">
        <v>786</v>
      </c>
    </row>
    <row r="2721" spans="3:20">
      <c r="C2721" s="152" t="s">
        <v>2821</v>
      </c>
      <c r="F2721" s="152" t="s">
        <v>373</v>
      </c>
      <c r="G2721" s="152" t="s">
        <v>374</v>
      </c>
      <c r="I2721" s="513">
        <v>-512300.75</v>
      </c>
      <c r="J2721" s="513">
        <v>-362.05</v>
      </c>
      <c r="K2721" s="513">
        <v>1415</v>
      </c>
      <c r="L2721" s="518" t="s">
        <v>3511</v>
      </c>
      <c r="M2721" s="152" t="s">
        <v>1566</v>
      </c>
      <c r="N2721" s="152" t="s">
        <v>1407</v>
      </c>
      <c r="O2721" s="152" t="s">
        <v>5132</v>
      </c>
      <c r="P2721" s="152" t="s">
        <v>4279</v>
      </c>
      <c r="Q2721" s="152" t="s">
        <v>5133</v>
      </c>
      <c r="R2721" s="152" t="s">
        <v>5133</v>
      </c>
      <c r="S2721" s="152" t="s">
        <v>5134</v>
      </c>
      <c r="T2721" s="152" t="s">
        <v>786</v>
      </c>
    </row>
    <row r="2722" spans="3:20">
      <c r="C2722" s="152" t="s">
        <v>2821</v>
      </c>
      <c r="F2722" s="152" t="s">
        <v>373</v>
      </c>
      <c r="G2722" s="152" t="s">
        <v>374</v>
      </c>
      <c r="I2722" s="513">
        <v>-551850</v>
      </c>
      <c r="J2722" s="513">
        <v>-390</v>
      </c>
      <c r="K2722" s="513">
        <v>1415</v>
      </c>
      <c r="L2722" s="518" t="s">
        <v>3511</v>
      </c>
      <c r="M2722" s="152" t="s">
        <v>1566</v>
      </c>
      <c r="N2722" s="152" t="s">
        <v>1407</v>
      </c>
      <c r="O2722" s="152" t="s">
        <v>5135</v>
      </c>
      <c r="P2722" s="152" t="s">
        <v>4279</v>
      </c>
      <c r="Q2722" s="152" t="s">
        <v>5136</v>
      </c>
      <c r="R2722" s="152" t="s">
        <v>5136</v>
      </c>
      <c r="S2722" s="152" t="s">
        <v>5137</v>
      </c>
      <c r="T2722" s="152" t="s">
        <v>786</v>
      </c>
    </row>
    <row r="2723" spans="3:20">
      <c r="C2723" s="152" t="s">
        <v>2821</v>
      </c>
      <c r="F2723" s="152" t="s">
        <v>373</v>
      </c>
      <c r="G2723" s="152" t="s">
        <v>374</v>
      </c>
      <c r="I2723" s="513">
        <v>-551850</v>
      </c>
      <c r="J2723" s="513">
        <v>-390</v>
      </c>
      <c r="K2723" s="513">
        <v>1415</v>
      </c>
      <c r="L2723" s="518" t="s">
        <v>3511</v>
      </c>
      <c r="M2723" s="152" t="s">
        <v>1566</v>
      </c>
      <c r="N2723" s="152" t="s">
        <v>1407</v>
      </c>
      <c r="O2723" s="152" t="s">
        <v>5138</v>
      </c>
      <c r="P2723" s="152" t="s">
        <v>4279</v>
      </c>
      <c r="Q2723" s="152" t="s">
        <v>5139</v>
      </c>
      <c r="R2723" s="152" t="s">
        <v>5139</v>
      </c>
      <c r="S2723" s="152" t="s">
        <v>5140</v>
      </c>
      <c r="T2723" s="152" t="s">
        <v>786</v>
      </c>
    </row>
    <row r="2724" spans="3:20">
      <c r="C2724" s="152" t="s">
        <v>2821</v>
      </c>
      <c r="F2724" s="152" t="s">
        <v>373</v>
      </c>
      <c r="G2724" s="152" t="s">
        <v>374</v>
      </c>
      <c r="I2724" s="513">
        <v>-551850</v>
      </c>
      <c r="J2724" s="513">
        <v>-390</v>
      </c>
      <c r="K2724" s="513">
        <v>1415</v>
      </c>
      <c r="L2724" s="518" t="s">
        <v>3511</v>
      </c>
      <c r="M2724" s="152" t="s">
        <v>1566</v>
      </c>
      <c r="N2724" s="152" t="s">
        <v>1407</v>
      </c>
      <c r="O2724" s="152" t="s">
        <v>5141</v>
      </c>
      <c r="P2724" s="152" t="s">
        <v>4279</v>
      </c>
      <c r="Q2724" s="152" t="s">
        <v>5142</v>
      </c>
      <c r="R2724" s="152" t="s">
        <v>5142</v>
      </c>
      <c r="S2724" s="152" t="s">
        <v>5143</v>
      </c>
      <c r="T2724" s="152" t="s">
        <v>786</v>
      </c>
    </row>
    <row r="2725" spans="3:20">
      <c r="C2725" s="152" t="s">
        <v>2821</v>
      </c>
      <c r="F2725" s="152" t="s">
        <v>373</v>
      </c>
      <c r="G2725" s="152" t="s">
        <v>374</v>
      </c>
      <c r="I2725" s="513">
        <v>-551850</v>
      </c>
      <c r="J2725" s="513">
        <v>-390</v>
      </c>
      <c r="K2725" s="513">
        <v>1415</v>
      </c>
      <c r="L2725" s="518" t="s">
        <v>3511</v>
      </c>
      <c r="M2725" s="152" t="s">
        <v>1566</v>
      </c>
      <c r="N2725" s="152" t="s">
        <v>1407</v>
      </c>
      <c r="O2725" s="152" t="s">
        <v>5144</v>
      </c>
      <c r="P2725" s="152" t="s">
        <v>4279</v>
      </c>
      <c r="Q2725" s="152" t="s">
        <v>5145</v>
      </c>
      <c r="R2725" s="152" t="s">
        <v>5145</v>
      </c>
      <c r="S2725" s="152" t="s">
        <v>5146</v>
      </c>
      <c r="T2725" s="152" t="s">
        <v>786</v>
      </c>
    </row>
    <row r="2726" spans="3:20">
      <c r="C2726" s="152" t="s">
        <v>2821</v>
      </c>
      <c r="F2726" s="152" t="s">
        <v>373</v>
      </c>
      <c r="G2726" s="152" t="s">
        <v>374</v>
      </c>
      <c r="I2726" s="513">
        <v>-551850</v>
      </c>
      <c r="J2726" s="513">
        <v>-390</v>
      </c>
      <c r="K2726" s="513">
        <v>1415</v>
      </c>
      <c r="L2726" s="518" t="s">
        <v>3511</v>
      </c>
      <c r="M2726" s="152" t="s">
        <v>1566</v>
      </c>
      <c r="N2726" s="152" t="s">
        <v>1407</v>
      </c>
      <c r="O2726" s="152" t="s">
        <v>5147</v>
      </c>
      <c r="P2726" s="152" t="s">
        <v>4279</v>
      </c>
      <c r="Q2726" s="152" t="s">
        <v>5148</v>
      </c>
      <c r="R2726" s="152" t="s">
        <v>5148</v>
      </c>
      <c r="S2726" s="152" t="s">
        <v>5149</v>
      </c>
      <c r="T2726" s="152" t="s">
        <v>786</v>
      </c>
    </row>
    <row r="2727" spans="3:20">
      <c r="C2727" s="152" t="s">
        <v>2821</v>
      </c>
      <c r="F2727" s="152" t="s">
        <v>373</v>
      </c>
      <c r="G2727" s="152" t="s">
        <v>374</v>
      </c>
      <c r="I2727" s="513">
        <v>-551850</v>
      </c>
      <c r="J2727" s="513">
        <v>-390</v>
      </c>
      <c r="K2727" s="513">
        <v>1415</v>
      </c>
      <c r="L2727" s="518" t="s">
        <v>3511</v>
      </c>
      <c r="M2727" s="152" t="s">
        <v>1566</v>
      </c>
      <c r="N2727" s="152" t="s">
        <v>1407</v>
      </c>
      <c r="O2727" s="152" t="s">
        <v>5150</v>
      </c>
      <c r="P2727" s="152" t="s">
        <v>4279</v>
      </c>
      <c r="Q2727" s="152" t="s">
        <v>5151</v>
      </c>
      <c r="R2727" s="152" t="s">
        <v>5151</v>
      </c>
      <c r="S2727" s="152" t="s">
        <v>5152</v>
      </c>
      <c r="T2727" s="152" t="s">
        <v>786</v>
      </c>
    </row>
    <row r="2728" spans="3:20">
      <c r="C2728" s="152" t="s">
        <v>2821</v>
      </c>
      <c r="F2728" s="152" t="s">
        <v>373</v>
      </c>
      <c r="G2728" s="152" t="s">
        <v>374</v>
      </c>
      <c r="I2728" s="513">
        <v>-551850</v>
      </c>
      <c r="J2728" s="513">
        <v>-390</v>
      </c>
      <c r="K2728" s="513">
        <v>1415</v>
      </c>
      <c r="L2728" s="518" t="s">
        <v>3511</v>
      </c>
      <c r="M2728" s="152" t="s">
        <v>1566</v>
      </c>
      <c r="N2728" s="152" t="s">
        <v>1407</v>
      </c>
      <c r="O2728" s="152" t="s">
        <v>5153</v>
      </c>
      <c r="P2728" s="152" t="s">
        <v>4279</v>
      </c>
      <c r="Q2728" s="152" t="s">
        <v>5154</v>
      </c>
      <c r="R2728" s="152" t="s">
        <v>5154</v>
      </c>
      <c r="S2728" s="152" t="s">
        <v>5155</v>
      </c>
      <c r="T2728" s="152" t="s">
        <v>786</v>
      </c>
    </row>
    <row r="2729" spans="3:20">
      <c r="C2729" s="152" t="s">
        <v>2821</v>
      </c>
      <c r="F2729" s="152" t="s">
        <v>373</v>
      </c>
      <c r="G2729" s="152" t="s">
        <v>374</v>
      </c>
      <c r="I2729" s="513">
        <v>-551850</v>
      </c>
      <c r="J2729" s="513">
        <v>-390</v>
      </c>
      <c r="K2729" s="513">
        <v>1415</v>
      </c>
      <c r="L2729" s="518" t="s">
        <v>3511</v>
      </c>
      <c r="M2729" s="152" t="s">
        <v>1566</v>
      </c>
      <c r="N2729" s="152" t="s">
        <v>1407</v>
      </c>
      <c r="O2729" s="152" t="s">
        <v>5156</v>
      </c>
      <c r="P2729" s="152" t="s">
        <v>4279</v>
      </c>
      <c r="Q2729" s="152" t="s">
        <v>5157</v>
      </c>
      <c r="R2729" s="152" t="s">
        <v>5157</v>
      </c>
      <c r="S2729" s="152" t="s">
        <v>5158</v>
      </c>
      <c r="T2729" s="152" t="s">
        <v>786</v>
      </c>
    </row>
    <row r="2730" spans="3:20">
      <c r="C2730" s="152" t="s">
        <v>2821</v>
      </c>
      <c r="F2730" s="152" t="s">
        <v>373</v>
      </c>
      <c r="G2730" s="152" t="s">
        <v>374</v>
      </c>
      <c r="I2730" s="513">
        <v>-551850</v>
      </c>
      <c r="J2730" s="513">
        <v>-390</v>
      </c>
      <c r="K2730" s="513">
        <v>1415</v>
      </c>
      <c r="L2730" s="518" t="s">
        <v>3511</v>
      </c>
      <c r="M2730" s="152" t="s">
        <v>1566</v>
      </c>
      <c r="N2730" s="152" t="s">
        <v>1407</v>
      </c>
      <c r="O2730" s="152" t="s">
        <v>5159</v>
      </c>
      <c r="P2730" s="152" t="s">
        <v>4279</v>
      </c>
      <c r="Q2730" s="152" t="s">
        <v>5160</v>
      </c>
      <c r="R2730" s="152" t="s">
        <v>5160</v>
      </c>
      <c r="S2730" s="152" t="s">
        <v>5161</v>
      </c>
      <c r="T2730" s="152" t="s">
        <v>786</v>
      </c>
    </row>
    <row r="2731" spans="3:20">
      <c r="C2731" s="152" t="s">
        <v>2821</v>
      </c>
      <c r="F2731" s="152" t="s">
        <v>373</v>
      </c>
      <c r="G2731" s="152" t="s">
        <v>374</v>
      </c>
      <c r="I2731" s="513">
        <v>-547950</v>
      </c>
      <c r="J2731" s="513">
        <v>-390</v>
      </c>
      <c r="K2731" s="513">
        <v>1405</v>
      </c>
      <c r="L2731" s="518" t="s">
        <v>3493</v>
      </c>
      <c r="M2731" s="152" t="s">
        <v>1566</v>
      </c>
      <c r="N2731" s="152" t="s">
        <v>1407</v>
      </c>
      <c r="O2731" s="152" t="s">
        <v>5162</v>
      </c>
      <c r="P2731" s="152" t="s">
        <v>4279</v>
      </c>
      <c r="Q2731" s="152" t="s">
        <v>5163</v>
      </c>
      <c r="R2731" s="152" t="s">
        <v>5163</v>
      </c>
      <c r="S2731" s="152" t="s">
        <v>5164</v>
      </c>
      <c r="T2731" s="152" t="s">
        <v>786</v>
      </c>
    </row>
    <row r="2732" spans="3:20">
      <c r="C2732" s="152" t="s">
        <v>2821</v>
      </c>
      <c r="F2732" s="152" t="s">
        <v>373</v>
      </c>
      <c r="G2732" s="152" t="s">
        <v>374</v>
      </c>
      <c r="I2732" s="513">
        <v>-547950</v>
      </c>
      <c r="J2732" s="513">
        <v>-390</v>
      </c>
      <c r="K2732" s="513">
        <v>1405</v>
      </c>
      <c r="L2732" s="518" t="s">
        <v>3493</v>
      </c>
      <c r="M2732" s="152" t="s">
        <v>1566</v>
      </c>
      <c r="N2732" s="152" t="s">
        <v>1407</v>
      </c>
      <c r="O2732" s="152" t="s">
        <v>5165</v>
      </c>
      <c r="P2732" s="152" t="s">
        <v>4279</v>
      </c>
      <c r="Q2732" s="152" t="s">
        <v>5166</v>
      </c>
      <c r="R2732" s="152" t="s">
        <v>5166</v>
      </c>
      <c r="S2732" s="152" t="s">
        <v>5167</v>
      </c>
      <c r="T2732" s="152" t="s">
        <v>786</v>
      </c>
    </row>
    <row r="2733" spans="3:20">
      <c r="C2733" s="152" t="s">
        <v>2821</v>
      </c>
      <c r="F2733" s="152" t="s">
        <v>373</v>
      </c>
      <c r="G2733" s="152" t="s">
        <v>374</v>
      </c>
      <c r="I2733" s="513">
        <v>-547950</v>
      </c>
      <c r="J2733" s="513">
        <v>-390</v>
      </c>
      <c r="K2733" s="513">
        <v>1405</v>
      </c>
      <c r="L2733" s="518" t="s">
        <v>3493</v>
      </c>
      <c r="M2733" s="152" t="s">
        <v>1566</v>
      </c>
      <c r="N2733" s="152" t="s">
        <v>1407</v>
      </c>
      <c r="O2733" s="152" t="s">
        <v>5168</v>
      </c>
      <c r="P2733" s="152" t="s">
        <v>4279</v>
      </c>
      <c r="Q2733" s="152" t="s">
        <v>5169</v>
      </c>
      <c r="R2733" s="152" t="s">
        <v>5169</v>
      </c>
      <c r="S2733" s="152" t="s">
        <v>5170</v>
      </c>
      <c r="T2733" s="152" t="s">
        <v>786</v>
      </c>
    </row>
    <row r="2734" spans="3:20">
      <c r="C2734" s="152" t="s">
        <v>2821</v>
      </c>
      <c r="F2734" s="152" t="s">
        <v>373</v>
      </c>
      <c r="G2734" s="152" t="s">
        <v>374</v>
      </c>
      <c r="I2734" s="513">
        <v>-547950</v>
      </c>
      <c r="J2734" s="513">
        <v>-390</v>
      </c>
      <c r="K2734" s="513">
        <v>1405</v>
      </c>
      <c r="L2734" s="518" t="s">
        <v>3493</v>
      </c>
      <c r="M2734" s="152" t="s">
        <v>1566</v>
      </c>
      <c r="N2734" s="152" t="s">
        <v>1407</v>
      </c>
      <c r="O2734" s="152" t="s">
        <v>5171</v>
      </c>
      <c r="P2734" s="152" t="s">
        <v>4279</v>
      </c>
      <c r="Q2734" s="152" t="s">
        <v>5172</v>
      </c>
      <c r="R2734" s="152" t="s">
        <v>5172</v>
      </c>
      <c r="S2734" s="152" t="s">
        <v>5173</v>
      </c>
      <c r="T2734" s="152" t="s">
        <v>786</v>
      </c>
    </row>
    <row r="2735" spans="3:20">
      <c r="C2735" s="152" t="s">
        <v>2821</v>
      </c>
      <c r="F2735" s="152" t="s">
        <v>373</v>
      </c>
      <c r="G2735" s="152" t="s">
        <v>374</v>
      </c>
      <c r="I2735" s="513">
        <v>-547950</v>
      </c>
      <c r="J2735" s="513">
        <v>-390</v>
      </c>
      <c r="K2735" s="513">
        <v>1405</v>
      </c>
      <c r="L2735" s="518" t="s">
        <v>3493</v>
      </c>
      <c r="M2735" s="152" t="s">
        <v>1566</v>
      </c>
      <c r="N2735" s="152" t="s">
        <v>1407</v>
      </c>
      <c r="O2735" s="152" t="s">
        <v>5174</v>
      </c>
      <c r="P2735" s="152" t="s">
        <v>4279</v>
      </c>
      <c r="Q2735" s="152" t="s">
        <v>5175</v>
      </c>
      <c r="R2735" s="152" t="s">
        <v>5175</v>
      </c>
      <c r="S2735" s="152" t="s">
        <v>5176</v>
      </c>
      <c r="T2735" s="152" t="s">
        <v>786</v>
      </c>
    </row>
    <row r="2736" spans="3:20">
      <c r="C2736" s="152" t="s">
        <v>2821</v>
      </c>
      <c r="F2736" s="152" t="s">
        <v>373</v>
      </c>
      <c r="G2736" s="152" t="s">
        <v>374</v>
      </c>
      <c r="I2736" s="513">
        <v>-547950</v>
      </c>
      <c r="J2736" s="513">
        <v>-390</v>
      </c>
      <c r="K2736" s="513">
        <v>1405</v>
      </c>
      <c r="L2736" s="518" t="s">
        <v>3493</v>
      </c>
      <c r="M2736" s="152" t="s">
        <v>1566</v>
      </c>
      <c r="N2736" s="152" t="s">
        <v>1407</v>
      </c>
      <c r="O2736" s="152" t="s">
        <v>5177</v>
      </c>
      <c r="P2736" s="152" t="s">
        <v>4279</v>
      </c>
      <c r="Q2736" s="152" t="s">
        <v>5178</v>
      </c>
      <c r="R2736" s="152" t="s">
        <v>5178</v>
      </c>
      <c r="S2736" s="152" t="s">
        <v>5179</v>
      </c>
      <c r="T2736" s="152" t="s">
        <v>786</v>
      </c>
    </row>
    <row r="2737" spans="3:20">
      <c r="C2737" s="152" t="s">
        <v>2821</v>
      </c>
      <c r="F2737" s="152" t="s">
        <v>373</v>
      </c>
      <c r="G2737" s="152" t="s">
        <v>374</v>
      </c>
      <c r="I2737" s="513">
        <v>-547950</v>
      </c>
      <c r="J2737" s="513">
        <v>-390</v>
      </c>
      <c r="K2737" s="513">
        <v>1405</v>
      </c>
      <c r="L2737" s="518" t="s">
        <v>3493</v>
      </c>
      <c r="M2737" s="152" t="s">
        <v>1566</v>
      </c>
      <c r="N2737" s="152" t="s">
        <v>1407</v>
      </c>
      <c r="O2737" s="152" t="s">
        <v>5180</v>
      </c>
      <c r="P2737" s="152" t="s">
        <v>4279</v>
      </c>
      <c r="Q2737" s="152" t="s">
        <v>5181</v>
      </c>
      <c r="R2737" s="152" t="s">
        <v>5181</v>
      </c>
      <c r="S2737" s="152" t="s">
        <v>5182</v>
      </c>
      <c r="T2737" s="152" t="s">
        <v>786</v>
      </c>
    </row>
    <row r="2738" spans="3:20">
      <c r="C2738" s="152" t="s">
        <v>2821</v>
      </c>
      <c r="F2738" s="152" t="s">
        <v>373</v>
      </c>
      <c r="G2738" s="152" t="s">
        <v>374</v>
      </c>
      <c r="I2738" s="513">
        <v>-547950</v>
      </c>
      <c r="J2738" s="513">
        <v>-390</v>
      </c>
      <c r="K2738" s="513">
        <v>1405</v>
      </c>
      <c r="L2738" s="518" t="s">
        <v>3493</v>
      </c>
      <c r="M2738" s="152" t="s">
        <v>1566</v>
      </c>
      <c r="N2738" s="152" t="s">
        <v>1407</v>
      </c>
      <c r="O2738" s="152" t="s">
        <v>5183</v>
      </c>
      <c r="P2738" s="152" t="s">
        <v>4279</v>
      </c>
      <c r="Q2738" s="152" t="s">
        <v>5184</v>
      </c>
      <c r="R2738" s="152" t="s">
        <v>5184</v>
      </c>
      <c r="S2738" s="152" t="s">
        <v>5185</v>
      </c>
      <c r="T2738" s="152" t="s">
        <v>786</v>
      </c>
    </row>
    <row r="2739" spans="3:20">
      <c r="C2739" s="152" t="s">
        <v>2821</v>
      </c>
      <c r="F2739" s="152" t="s">
        <v>373</v>
      </c>
      <c r="G2739" s="152" t="s">
        <v>374</v>
      </c>
      <c r="I2739" s="513">
        <v>-547950</v>
      </c>
      <c r="J2739" s="513">
        <v>-390</v>
      </c>
      <c r="K2739" s="513">
        <v>1405</v>
      </c>
      <c r="L2739" s="518" t="s">
        <v>3493</v>
      </c>
      <c r="M2739" s="152" t="s">
        <v>1566</v>
      </c>
      <c r="N2739" s="152" t="s">
        <v>1407</v>
      </c>
      <c r="O2739" s="152" t="s">
        <v>5186</v>
      </c>
      <c r="P2739" s="152" t="s">
        <v>4279</v>
      </c>
      <c r="Q2739" s="152" t="s">
        <v>5187</v>
      </c>
      <c r="R2739" s="152" t="s">
        <v>5187</v>
      </c>
      <c r="S2739" s="152" t="s">
        <v>5188</v>
      </c>
      <c r="T2739" s="152" t="s">
        <v>786</v>
      </c>
    </row>
    <row r="2740" spans="3:20">
      <c r="C2740" s="152" t="s">
        <v>2821</v>
      </c>
      <c r="F2740" s="152" t="s">
        <v>373</v>
      </c>
      <c r="G2740" s="152" t="s">
        <v>374</v>
      </c>
      <c r="I2740" s="513">
        <v>-547950</v>
      </c>
      <c r="J2740" s="513">
        <v>-390</v>
      </c>
      <c r="K2740" s="513">
        <v>1405</v>
      </c>
      <c r="L2740" s="518" t="s">
        <v>3493</v>
      </c>
      <c r="M2740" s="152" t="s">
        <v>1566</v>
      </c>
      <c r="N2740" s="152" t="s">
        <v>1407</v>
      </c>
      <c r="O2740" s="152" t="s">
        <v>5189</v>
      </c>
      <c r="P2740" s="152" t="s">
        <v>4279</v>
      </c>
      <c r="Q2740" s="152" t="s">
        <v>5190</v>
      </c>
      <c r="R2740" s="152" t="s">
        <v>5190</v>
      </c>
      <c r="S2740" s="152" t="s">
        <v>5191</v>
      </c>
      <c r="T2740" s="152" t="s">
        <v>786</v>
      </c>
    </row>
    <row r="2741" spans="3:20">
      <c r="C2741" s="152" t="s">
        <v>2821</v>
      </c>
      <c r="F2741" s="152" t="s">
        <v>373</v>
      </c>
      <c r="G2741" s="152" t="s">
        <v>374</v>
      </c>
      <c r="I2741" s="513">
        <v>-547950</v>
      </c>
      <c r="J2741" s="513">
        <v>-390</v>
      </c>
      <c r="K2741" s="513">
        <v>1405</v>
      </c>
      <c r="L2741" s="518" t="s">
        <v>3493</v>
      </c>
      <c r="M2741" s="152" t="s">
        <v>1566</v>
      </c>
      <c r="N2741" s="152" t="s">
        <v>1407</v>
      </c>
      <c r="O2741" s="152" t="s">
        <v>5192</v>
      </c>
      <c r="P2741" s="152" t="s">
        <v>4279</v>
      </c>
      <c r="Q2741" s="152" t="s">
        <v>5193</v>
      </c>
      <c r="R2741" s="152" t="s">
        <v>5193</v>
      </c>
      <c r="S2741" s="152" t="s">
        <v>5194</v>
      </c>
      <c r="T2741" s="152" t="s">
        <v>786</v>
      </c>
    </row>
    <row r="2742" spans="3:20">
      <c r="C2742" s="152" t="s">
        <v>2821</v>
      </c>
      <c r="F2742" s="152" t="s">
        <v>373</v>
      </c>
      <c r="G2742" s="152" t="s">
        <v>374</v>
      </c>
      <c r="I2742" s="513">
        <v>-547950</v>
      </c>
      <c r="J2742" s="513">
        <v>-390</v>
      </c>
      <c r="K2742" s="513">
        <v>1405</v>
      </c>
      <c r="L2742" s="518" t="s">
        <v>3493</v>
      </c>
      <c r="M2742" s="152" t="s">
        <v>1566</v>
      </c>
      <c r="N2742" s="152" t="s">
        <v>1407</v>
      </c>
      <c r="O2742" s="152" t="s">
        <v>5195</v>
      </c>
      <c r="P2742" s="152" t="s">
        <v>4279</v>
      </c>
      <c r="Q2742" s="152" t="s">
        <v>5196</v>
      </c>
      <c r="R2742" s="152" t="s">
        <v>5196</v>
      </c>
      <c r="S2742" s="152" t="s">
        <v>5197</v>
      </c>
      <c r="T2742" s="152" t="s">
        <v>786</v>
      </c>
    </row>
    <row r="2743" spans="3:20">
      <c r="C2743" s="152" t="s">
        <v>2821</v>
      </c>
      <c r="F2743" s="152" t="s">
        <v>373</v>
      </c>
      <c r="G2743" s="152" t="s">
        <v>374</v>
      </c>
      <c r="I2743" s="513">
        <v>-547950</v>
      </c>
      <c r="J2743" s="513">
        <v>-390</v>
      </c>
      <c r="K2743" s="513">
        <v>1405</v>
      </c>
      <c r="L2743" s="518" t="s">
        <v>3493</v>
      </c>
      <c r="M2743" s="152" t="s">
        <v>1566</v>
      </c>
      <c r="N2743" s="152" t="s">
        <v>1407</v>
      </c>
      <c r="O2743" s="152" t="s">
        <v>5198</v>
      </c>
      <c r="P2743" s="152" t="s">
        <v>4279</v>
      </c>
      <c r="Q2743" s="152" t="s">
        <v>5199</v>
      </c>
      <c r="R2743" s="152" t="s">
        <v>5199</v>
      </c>
      <c r="S2743" s="152" t="s">
        <v>5200</v>
      </c>
      <c r="T2743" s="152" t="s">
        <v>786</v>
      </c>
    </row>
    <row r="2744" spans="3:20">
      <c r="C2744" s="152" t="s">
        <v>2821</v>
      </c>
      <c r="F2744" s="152" t="s">
        <v>373</v>
      </c>
      <c r="G2744" s="152" t="s">
        <v>374</v>
      </c>
      <c r="I2744" s="513">
        <v>-2613300</v>
      </c>
      <c r="J2744" s="513">
        <v>-1860</v>
      </c>
      <c r="K2744" s="513">
        <v>1405</v>
      </c>
      <c r="L2744" s="518" t="s">
        <v>3493</v>
      </c>
      <c r="M2744" s="152" t="s">
        <v>1566</v>
      </c>
      <c r="N2744" s="152" t="s">
        <v>1407</v>
      </c>
      <c r="O2744" s="152" t="s">
        <v>5201</v>
      </c>
      <c r="P2744" s="152" t="s">
        <v>4279</v>
      </c>
      <c r="Q2744" s="152" t="s">
        <v>5202</v>
      </c>
      <c r="R2744" s="152" t="s">
        <v>5202</v>
      </c>
      <c r="S2744" s="152" t="s">
        <v>5203</v>
      </c>
      <c r="T2744" s="152" t="s">
        <v>786</v>
      </c>
    </row>
    <row r="2745" spans="3:20">
      <c r="C2745" s="152" t="s">
        <v>2821</v>
      </c>
      <c r="F2745" s="152" t="s">
        <v>373</v>
      </c>
      <c r="G2745" s="152" t="s">
        <v>374</v>
      </c>
      <c r="I2745" s="513">
        <v>-2613300</v>
      </c>
      <c r="J2745" s="513">
        <v>-1860</v>
      </c>
      <c r="K2745" s="513">
        <v>1405</v>
      </c>
      <c r="L2745" s="518" t="s">
        <v>3493</v>
      </c>
      <c r="M2745" s="152" t="s">
        <v>1566</v>
      </c>
      <c r="N2745" s="152" t="s">
        <v>1407</v>
      </c>
      <c r="O2745" s="152" t="s">
        <v>5204</v>
      </c>
      <c r="P2745" s="152" t="s">
        <v>4279</v>
      </c>
      <c r="Q2745" s="152" t="s">
        <v>5205</v>
      </c>
      <c r="R2745" s="152" t="s">
        <v>5205</v>
      </c>
      <c r="S2745" s="152" t="s">
        <v>5206</v>
      </c>
      <c r="T2745" s="152" t="s">
        <v>786</v>
      </c>
    </row>
    <row r="2746" spans="3:20">
      <c r="C2746" s="152" t="s">
        <v>2821</v>
      </c>
      <c r="F2746" s="152" t="s">
        <v>373</v>
      </c>
      <c r="G2746" s="152" t="s">
        <v>374</v>
      </c>
      <c r="I2746" s="513">
        <v>-547950</v>
      </c>
      <c r="J2746" s="513">
        <v>-390</v>
      </c>
      <c r="K2746" s="513">
        <v>1405</v>
      </c>
      <c r="L2746" s="518" t="s">
        <v>3493</v>
      </c>
      <c r="M2746" s="152" t="s">
        <v>1566</v>
      </c>
      <c r="N2746" s="152" t="s">
        <v>1407</v>
      </c>
      <c r="O2746" s="152" t="s">
        <v>5207</v>
      </c>
      <c r="P2746" s="152" t="s">
        <v>4279</v>
      </c>
      <c r="Q2746" s="152" t="s">
        <v>5208</v>
      </c>
      <c r="R2746" s="152" t="s">
        <v>5208</v>
      </c>
      <c r="S2746" s="152" t="s">
        <v>5209</v>
      </c>
      <c r="T2746" s="152" t="s">
        <v>786</v>
      </c>
    </row>
    <row r="2747" spans="3:20">
      <c r="C2747" s="152" t="s">
        <v>2821</v>
      </c>
      <c r="F2747" s="152" t="s">
        <v>373</v>
      </c>
      <c r="G2747" s="152" t="s">
        <v>374</v>
      </c>
      <c r="I2747" s="513">
        <v>-547950</v>
      </c>
      <c r="J2747" s="513">
        <v>-390</v>
      </c>
      <c r="K2747" s="513">
        <v>1405</v>
      </c>
      <c r="L2747" s="518" t="s">
        <v>3493</v>
      </c>
      <c r="M2747" s="152" t="s">
        <v>1566</v>
      </c>
      <c r="N2747" s="152" t="s">
        <v>1407</v>
      </c>
      <c r="O2747" s="152" t="s">
        <v>5210</v>
      </c>
      <c r="P2747" s="152" t="s">
        <v>4279</v>
      </c>
      <c r="Q2747" s="152" t="s">
        <v>5211</v>
      </c>
      <c r="R2747" s="152" t="s">
        <v>5211</v>
      </c>
      <c r="S2747" s="152" t="s">
        <v>5212</v>
      </c>
      <c r="T2747" s="152" t="s">
        <v>786</v>
      </c>
    </row>
    <row r="2748" spans="3:20">
      <c r="C2748" s="152" t="s">
        <v>2821</v>
      </c>
      <c r="F2748" s="152" t="s">
        <v>373</v>
      </c>
      <c r="G2748" s="152" t="s">
        <v>374</v>
      </c>
      <c r="I2748" s="513">
        <v>-547950</v>
      </c>
      <c r="J2748" s="513">
        <v>-390</v>
      </c>
      <c r="K2748" s="513">
        <v>1405</v>
      </c>
      <c r="L2748" s="518" t="s">
        <v>3493</v>
      </c>
      <c r="M2748" s="152" t="s">
        <v>1566</v>
      </c>
      <c r="N2748" s="152" t="s">
        <v>1407</v>
      </c>
      <c r="O2748" s="152" t="s">
        <v>5213</v>
      </c>
      <c r="P2748" s="152" t="s">
        <v>4279</v>
      </c>
      <c r="Q2748" s="152" t="s">
        <v>5214</v>
      </c>
      <c r="R2748" s="152" t="s">
        <v>5214</v>
      </c>
      <c r="S2748" s="152" t="s">
        <v>5215</v>
      </c>
      <c r="T2748" s="152" t="s">
        <v>786</v>
      </c>
    </row>
    <row r="2749" spans="3:20">
      <c r="C2749" s="152" t="s">
        <v>2821</v>
      </c>
      <c r="F2749" s="152" t="s">
        <v>373</v>
      </c>
      <c r="G2749" s="152" t="s">
        <v>374</v>
      </c>
      <c r="I2749" s="513">
        <v>-547950</v>
      </c>
      <c r="J2749" s="513">
        <v>-390</v>
      </c>
      <c r="K2749" s="513">
        <v>1405</v>
      </c>
      <c r="L2749" s="518" t="s">
        <v>3493</v>
      </c>
      <c r="M2749" s="152" t="s">
        <v>1566</v>
      </c>
      <c r="N2749" s="152" t="s">
        <v>1407</v>
      </c>
      <c r="O2749" s="152" t="s">
        <v>5216</v>
      </c>
      <c r="P2749" s="152" t="s">
        <v>4279</v>
      </c>
      <c r="Q2749" s="152" t="s">
        <v>5217</v>
      </c>
      <c r="R2749" s="152" t="s">
        <v>5217</v>
      </c>
      <c r="S2749" s="152" t="s">
        <v>5218</v>
      </c>
      <c r="T2749" s="152" t="s">
        <v>786</v>
      </c>
    </row>
    <row r="2750" spans="3:20">
      <c r="C2750" s="152" t="s">
        <v>2821</v>
      </c>
      <c r="F2750" s="152" t="s">
        <v>373</v>
      </c>
      <c r="G2750" s="152" t="s">
        <v>374</v>
      </c>
      <c r="I2750" s="513">
        <v>-547950</v>
      </c>
      <c r="J2750" s="513">
        <v>-390</v>
      </c>
      <c r="K2750" s="513">
        <v>1405</v>
      </c>
      <c r="L2750" s="518" t="s">
        <v>3493</v>
      </c>
      <c r="M2750" s="152" t="s">
        <v>1566</v>
      </c>
      <c r="N2750" s="152" t="s">
        <v>1407</v>
      </c>
      <c r="O2750" s="152" t="s">
        <v>5219</v>
      </c>
      <c r="P2750" s="152" t="s">
        <v>4279</v>
      </c>
      <c r="Q2750" s="152" t="s">
        <v>5220</v>
      </c>
      <c r="R2750" s="152" t="s">
        <v>5220</v>
      </c>
      <c r="S2750" s="152" t="s">
        <v>5221</v>
      </c>
      <c r="T2750" s="152" t="s">
        <v>786</v>
      </c>
    </row>
    <row r="2751" spans="3:20">
      <c r="C2751" s="152" t="s">
        <v>2821</v>
      </c>
      <c r="F2751" s="152" t="s">
        <v>373</v>
      </c>
      <c r="G2751" s="152" t="s">
        <v>374</v>
      </c>
      <c r="I2751" s="513">
        <v>-547950</v>
      </c>
      <c r="J2751" s="513">
        <v>-390</v>
      </c>
      <c r="K2751" s="513">
        <v>1405</v>
      </c>
      <c r="L2751" s="518" t="s">
        <v>3493</v>
      </c>
      <c r="M2751" s="152" t="s">
        <v>1566</v>
      </c>
      <c r="N2751" s="152" t="s">
        <v>1407</v>
      </c>
      <c r="O2751" s="152" t="s">
        <v>5222</v>
      </c>
      <c r="P2751" s="152" t="s">
        <v>4279</v>
      </c>
      <c r="Q2751" s="152" t="s">
        <v>5223</v>
      </c>
      <c r="R2751" s="152" t="s">
        <v>5223</v>
      </c>
      <c r="S2751" s="152" t="s">
        <v>5224</v>
      </c>
      <c r="T2751" s="152" t="s">
        <v>786</v>
      </c>
    </row>
    <row r="2752" spans="3:20">
      <c r="C2752" s="152" t="s">
        <v>2821</v>
      </c>
      <c r="F2752" s="152" t="s">
        <v>373</v>
      </c>
      <c r="G2752" s="152" t="s">
        <v>374</v>
      </c>
      <c r="I2752" s="513">
        <v>-1095900</v>
      </c>
      <c r="J2752" s="513">
        <v>-780</v>
      </c>
      <c r="K2752" s="513">
        <v>1405</v>
      </c>
      <c r="L2752" s="518" t="s">
        <v>3493</v>
      </c>
      <c r="M2752" s="152" t="s">
        <v>1566</v>
      </c>
      <c r="N2752" s="152" t="s">
        <v>1407</v>
      </c>
      <c r="O2752" s="152" t="s">
        <v>5225</v>
      </c>
      <c r="P2752" s="152" t="s">
        <v>4279</v>
      </c>
      <c r="Q2752" s="152" t="s">
        <v>5226</v>
      </c>
      <c r="R2752" s="152" t="s">
        <v>5226</v>
      </c>
      <c r="S2752" s="152" t="s">
        <v>5227</v>
      </c>
      <c r="T2752" s="152" t="s">
        <v>786</v>
      </c>
    </row>
    <row r="2753" spans="3:20">
      <c r="C2753" s="152" t="s">
        <v>2821</v>
      </c>
      <c r="F2753" s="152" t="s">
        <v>373</v>
      </c>
      <c r="G2753" s="152" t="s">
        <v>374</v>
      </c>
      <c r="I2753" s="513">
        <v>-1095900</v>
      </c>
      <c r="J2753" s="513">
        <v>-780</v>
      </c>
      <c r="K2753" s="513">
        <v>1405</v>
      </c>
      <c r="L2753" s="518" t="s">
        <v>3493</v>
      </c>
      <c r="M2753" s="152" t="s">
        <v>1566</v>
      </c>
      <c r="N2753" s="152" t="s">
        <v>1407</v>
      </c>
      <c r="O2753" s="152" t="s">
        <v>5228</v>
      </c>
      <c r="P2753" s="152" t="s">
        <v>4279</v>
      </c>
      <c r="Q2753" s="152" t="s">
        <v>5229</v>
      </c>
      <c r="R2753" s="152" t="s">
        <v>5229</v>
      </c>
      <c r="S2753" s="152" t="s">
        <v>5230</v>
      </c>
      <c r="T2753" s="152" t="s">
        <v>786</v>
      </c>
    </row>
    <row r="2754" spans="3:20">
      <c r="C2754" s="152" t="s">
        <v>2821</v>
      </c>
      <c r="F2754" s="152" t="s">
        <v>373</v>
      </c>
      <c r="G2754" s="152" t="s">
        <v>374</v>
      </c>
      <c r="I2754" s="513">
        <v>-547950</v>
      </c>
      <c r="J2754" s="513">
        <v>-390</v>
      </c>
      <c r="K2754" s="513">
        <v>1405</v>
      </c>
      <c r="L2754" s="518" t="s">
        <v>3493</v>
      </c>
      <c r="M2754" s="152" t="s">
        <v>1566</v>
      </c>
      <c r="N2754" s="152" t="s">
        <v>1407</v>
      </c>
      <c r="O2754" s="152" t="s">
        <v>5231</v>
      </c>
      <c r="P2754" s="152" t="s">
        <v>4279</v>
      </c>
      <c r="Q2754" s="152" t="s">
        <v>5232</v>
      </c>
      <c r="R2754" s="152" t="s">
        <v>5232</v>
      </c>
      <c r="S2754" s="152" t="s">
        <v>5233</v>
      </c>
      <c r="T2754" s="152" t="s">
        <v>786</v>
      </c>
    </row>
    <row r="2755" spans="3:20">
      <c r="C2755" s="152" t="s">
        <v>2821</v>
      </c>
      <c r="F2755" s="152" t="s">
        <v>373</v>
      </c>
      <c r="G2755" s="152" t="s">
        <v>374</v>
      </c>
      <c r="I2755" s="513">
        <v>-674400</v>
      </c>
      <c r="J2755" s="513">
        <v>-480</v>
      </c>
      <c r="K2755" s="513">
        <v>1405</v>
      </c>
      <c r="L2755" s="518" t="s">
        <v>3493</v>
      </c>
      <c r="M2755" s="152" t="s">
        <v>1566</v>
      </c>
      <c r="N2755" s="152" t="s">
        <v>1407</v>
      </c>
      <c r="O2755" s="152" t="s">
        <v>5234</v>
      </c>
      <c r="P2755" s="152" t="s">
        <v>4279</v>
      </c>
      <c r="Q2755" s="152" t="s">
        <v>5235</v>
      </c>
      <c r="R2755" s="152" t="s">
        <v>5235</v>
      </c>
      <c r="S2755" s="152" t="s">
        <v>5236</v>
      </c>
      <c r="T2755" s="152" t="s">
        <v>786</v>
      </c>
    </row>
    <row r="2756" spans="3:20">
      <c r="C2756" s="152" t="s">
        <v>2821</v>
      </c>
      <c r="F2756" s="152" t="s">
        <v>373</v>
      </c>
      <c r="G2756" s="152" t="s">
        <v>374</v>
      </c>
      <c r="I2756" s="513">
        <v>-547950</v>
      </c>
      <c r="J2756" s="513">
        <v>-390</v>
      </c>
      <c r="K2756" s="513">
        <v>1405</v>
      </c>
      <c r="L2756" s="518" t="s">
        <v>3493</v>
      </c>
      <c r="M2756" s="152" t="s">
        <v>1566</v>
      </c>
      <c r="N2756" s="152" t="s">
        <v>1407</v>
      </c>
      <c r="O2756" s="152" t="s">
        <v>5237</v>
      </c>
      <c r="P2756" s="152" t="s">
        <v>4279</v>
      </c>
      <c r="Q2756" s="152" t="s">
        <v>5238</v>
      </c>
      <c r="R2756" s="152" t="s">
        <v>5238</v>
      </c>
      <c r="S2756" s="152" t="s">
        <v>5239</v>
      </c>
      <c r="T2756" s="152" t="s">
        <v>786</v>
      </c>
    </row>
    <row r="2757" spans="3:20">
      <c r="C2757" s="152" t="s">
        <v>2821</v>
      </c>
      <c r="F2757" s="152" t="s">
        <v>373</v>
      </c>
      <c r="G2757" s="152" t="s">
        <v>374</v>
      </c>
      <c r="I2757" s="513">
        <v>-547950</v>
      </c>
      <c r="J2757" s="513">
        <v>-390</v>
      </c>
      <c r="K2757" s="513">
        <v>1405</v>
      </c>
      <c r="L2757" s="518" t="s">
        <v>3493</v>
      </c>
      <c r="M2757" s="152" t="s">
        <v>1566</v>
      </c>
      <c r="N2757" s="152" t="s">
        <v>1407</v>
      </c>
      <c r="O2757" s="152" t="s">
        <v>5240</v>
      </c>
      <c r="P2757" s="152" t="s">
        <v>4279</v>
      </c>
      <c r="Q2757" s="152" t="s">
        <v>5241</v>
      </c>
      <c r="R2757" s="152" t="s">
        <v>5241</v>
      </c>
      <c r="S2757" s="152" t="s">
        <v>5242</v>
      </c>
      <c r="T2757" s="152" t="s">
        <v>786</v>
      </c>
    </row>
    <row r="2758" spans="3:20">
      <c r="C2758" s="152" t="s">
        <v>2821</v>
      </c>
      <c r="F2758" s="152" t="s">
        <v>373</v>
      </c>
      <c r="G2758" s="152" t="s">
        <v>374</v>
      </c>
      <c r="I2758" s="513">
        <v>-547950</v>
      </c>
      <c r="J2758" s="513">
        <v>-390</v>
      </c>
      <c r="K2758" s="513">
        <v>1405</v>
      </c>
      <c r="L2758" s="518" t="s">
        <v>3493</v>
      </c>
      <c r="M2758" s="152" t="s">
        <v>1566</v>
      </c>
      <c r="N2758" s="152" t="s">
        <v>1407</v>
      </c>
      <c r="O2758" s="152" t="s">
        <v>5243</v>
      </c>
      <c r="P2758" s="152" t="s">
        <v>4279</v>
      </c>
      <c r="Q2758" s="152" t="s">
        <v>5244</v>
      </c>
      <c r="R2758" s="152" t="s">
        <v>5244</v>
      </c>
      <c r="S2758" s="152" t="s">
        <v>5245</v>
      </c>
      <c r="T2758" s="152" t="s">
        <v>786</v>
      </c>
    </row>
    <row r="2759" spans="3:20">
      <c r="C2759" s="152" t="s">
        <v>2821</v>
      </c>
      <c r="F2759" s="152" t="s">
        <v>373</v>
      </c>
      <c r="G2759" s="152" t="s">
        <v>374</v>
      </c>
      <c r="I2759" s="513">
        <v>-547950</v>
      </c>
      <c r="J2759" s="513">
        <v>-390</v>
      </c>
      <c r="K2759" s="513">
        <v>1405</v>
      </c>
      <c r="L2759" s="518" t="s">
        <v>3493</v>
      </c>
      <c r="M2759" s="152" t="s">
        <v>1566</v>
      </c>
      <c r="N2759" s="152" t="s">
        <v>1407</v>
      </c>
      <c r="O2759" s="152" t="s">
        <v>5246</v>
      </c>
      <c r="P2759" s="152" t="s">
        <v>4279</v>
      </c>
      <c r="Q2759" s="152" t="s">
        <v>5247</v>
      </c>
      <c r="R2759" s="152" t="s">
        <v>5247</v>
      </c>
      <c r="S2759" s="152" t="s">
        <v>5248</v>
      </c>
      <c r="T2759" s="152" t="s">
        <v>786</v>
      </c>
    </row>
    <row r="2760" spans="3:20">
      <c r="C2760" s="152" t="s">
        <v>2821</v>
      </c>
      <c r="F2760" s="152" t="s">
        <v>373</v>
      </c>
      <c r="G2760" s="152" t="s">
        <v>374</v>
      </c>
      <c r="I2760" s="513">
        <v>-547950</v>
      </c>
      <c r="J2760" s="513">
        <v>-390</v>
      </c>
      <c r="K2760" s="513">
        <v>1405</v>
      </c>
      <c r="L2760" s="518" t="s">
        <v>3493</v>
      </c>
      <c r="M2760" s="152" t="s">
        <v>1566</v>
      </c>
      <c r="N2760" s="152" t="s">
        <v>1407</v>
      </c>
      <c r="O2760" s="152" t="s">
        <v>5249</v>
      </c>
      <c r="P2760" s="152" t="s">
        <v>4279</v>
      </c>
      <c r="Q2760" s="152" t="s">
        <v>5250</v>
      </c>
      <c r="R2760" s="152" t="s">
        <v>5250</v>
      </c>
      <c r="S2760" s="152" t="s">
        <v>5251</v>
      </c>
      <c r="T2760" s="152" t="s">
        <v>786</v>
      </c>
    </row>
    <row r="2761" spans="3:20">
      <c r="C2761" s="152" t="s">
        <v>2821</v>
      </c>
      <c r="F2761" s="152" t="s">
        <v>373</v>
      </c>
      <c r="G2761" s="152" t="s">
        <v>374</v>
      </c>
      <c r="I2761" s="513">
        <v>-547950</v>
      </c>
      <c r="J2761" s="513">
        <v>-390</v>
      </c>
      <c r="K2761" s="513">
        <v>1405</v>
      </c>
      <c r="L2761" s="518" t="s">
        <v>3493</v>
      </c>
      <c r="M2761" s="152" t="s">
        <v>1566</v>
      </c>
      <c r="N2761" s="152" t="s">
        <v>1407</v>
      </c>
      <c r="O2761" s="152" t="s">
        <v>5252</v>
      </c>
      <c r="P2761" s="152" t="s">
        <v>4279</v>
      </c>
      <c r="Q2761" s="152" t="s">
        <v>5253</v>
      </c>
      <c r="R2761" s="152" t="s">
        <v>5253</v>
      </c>
      <c r="S2761" s="152" t="s">
        <v>5254</v>
      </c>
      <c r="T2761" s="152" t="s">
        <v>786</v>
      </c>
    </row>
    <row r="2762" spans="3:20">
      <c r="C2762" s="152" t="s">
        <v>2821</v>
      </c>
      <c r="F2762" s="152" t="s">
        <v>373</v>
      </c>
      <c r="G2762" s="152" t="s">
        <v>374</v>
      </c>
      <c r="I2762" s="513">
        <v>-547950</v>
      </c>
      <c r="J2762" s="513">
        <v>-390</v>
      </c>
      <c r="K2762" s="513">
        <v>1405</v>
      </c>
      <c r="L2762" s="518" t="s">
        <v>3493</v>
      </c>
      <c r="M2762" s="152" t="s">
        <v>1566</v>
      </c>
      <c r="N2762" s="152" t="s">
        <v>1407</v>
      </c>
      <c r="O2762" s="152" t="s">
        <v>5255</v>
      </c>
      <c r="P2762" s="152" t="s">
        <v>4279</v>
      </c>
      <c r="Q2762" s="152" t="s">
        <v>5256</v>
      </c>
      <c r="R2762" s="152" t="s">
        <v>5256</v>
      </c>
      <c r="S2762" s="152" t="s">
        <v>5257</v>
      </c>
      <c r="T2762" s="152" t="s">
        <v>786</v>
      </c>
    </row>
    <row r="2763" spans="3:20">
      <c r="C2763" s="152" t="s">
        <v>2821</v>
      </c>
      <c r="F2763" s="152" t="s">
        <v>373</v>
      </c>
      <c r="G2763" s="152" t="s">
        <v>374</v>
      </c>
      <c r="I2763" s="513">
        <v>-547950</v>
      </c>
      <c r="J2763" s="513">
        <v>-390</v>
      </c>
      <c r="K2763" s="513">
        <v>1405</v>
      </c>
      <c r="L2763" s="518" t="s">
        <v>3493</v>
      </c>
      <c r="M2763" s="152" t="s">
        <v>1566</v>
      </c>
      <c r="N2763" s="152" t="s">
        <v>1407</v>
      </c>
      <c r="O2763" s="152" t="s">
        <v>5258</v>
      </c>
      <c r="P2763" s="152" t="s">
        <v>4279</v>
      </c>
      <c r="Q2763" s="152" t="s">
        <v>5259</v>
      </c>
      <c r="R2763" s="152" t="s">
        <v>5259</v>
      </c>
      <c r="S2763" s="152" t="s">
        <v>5260</v>
      </c>
      <c r="T2763" s="152" t="s">
        <v>786</v>
      </c>
    </row>
    <row r="2764" spans="3:20">
      <c r="C2764" s="152" t="s">
        <v>2821</v>
      </c>
      <c r="F2764" s="152" t="s">
        <v>373</v>
      </c>
      <c r="G2764" s="152" t="s">
        <v>374</v>
      </c>
      <c r="I2764" s="513">
        <v>-547950</v>
      </c>
      <c r="J2764" s="513">
        <v>-390</v>
      </c>
      <c r="K2764" s="513">
        <v>1405</v>
      </c>
      <c r="L2764" s="518" t="s">
        <v>3493</v>
      </c>
      <c r="M2764" s="152" t="s">
        <v>1566</v>
      </c>
      <c r="N2764" s="152" t="s">
        <v>1407</v>
      </c>
      <c r="O2764" s="152" t="s">
        <v>5261</v>
      </c>
      <c r="P2764" s="152" t="s">
        <v>4279</v>
      </c>
      <c r="Q2764" s="152" t="s">
        <v>5262</v>
      </c>
      <c r="R2764" s="152" t="s">
        <v>5262</v>
      </c>
      <c r="S2764" s="152" t="s">
        <v>5263</v>
      </c>
      <c r="T2764" s="152" t="s">
        <v>786</v>
      </c>
    </row>
    <row r="2765" spans="3:20">
      <c r="C2765" s="152" t="s">
        <v>2821</v>
      </c>
      <c r="F2765" s="152" t="s">
        <v>373</v>
      </c>
      <c r="G2765" s="152" t="s">
        <v>374</v>
      </c>
      <c r="I2765" s="513">
        <v>-547950</v>
      </c>
      <c r="J2765" s="513">
        <v>-390</v>
      </c>
      <c r="K2765" s="513">
        <v>1405</v>
      </c>
      <c r="L2765" s="518" t="s">
        <v>3493</v>
      </c>
      <c r="M2765" s="152" t="s">
        <v>1566</v>
      </c>
      <c r="N2765" s="152" t="s">
        <v>1407</v>
      </c>
      <c r="O2765" s="152" t="s">
        <v>5264</v>
      </c>
      <c r="P2765" s="152" t="s">
        <v>4279</v>
      </c>
      <c r="Q2765" s="152" t="s">
        <v>5265</v>
      </c>
      <c r="R2765" s="152" t="s">
        <v>5265</v>
      </c>
      <c r="S2765" s="152" t="s">
        <v>5266</v>
      </c>
      <c r="T2765" s="152" t="s">
        <v>786</v>
      </c>
    </row>
    <row r="2766" spans="3:20">
      <c r="C2766" s="152" t="s">
        <v>2821</v>
      </c>
      <c r="F2766" s="152" t="s">
        <v>373</v>
      </c>
      <c r="G2766" s="152" t="s">
        <v>374</v>
      </c>
      <c r="I2766" s="513">
        <v>-547950</v>
      </c>
      <c r="J2766" s="513">
        <v>-390</v>
      </c>
      <c r="K2766" s="513">
        <v>1405</v>
      </c>
      <c r="L2766" s="518" t="s">
        <v>3493</v>
      </c>
      <c r="M2766" s="152" t="s">
        <v>1566</v>
      </c>
      <c r="N2766" s="152" t="s">
        <v>1407</v>
      </c>
      <c r="O2766" s="152" t="s">
        <v>5267</v>
      </c>
      <c r="P2766" s="152" t="s">
        <v>4279</v>
      </c>
      <c r="Q2766" s="152" t="s">
        <v>5268</v>
      </c>
      <c r="R2766" s="152" t="s">
        <v>5268</v>
      </c>
      <c r="S2766" s="152" t="s">
        <v>5269</v>
      </c>
      <c r="T2766" s="152" t="s">
        <v>786</v>
      </c>
    </row>
    <row r="2767" spans="3:20">
      <c r="C2767" s="152" t="s">
        <v>2821</v>
      </c>
      <c r="F2767" s="152" t="s">
        <v>373</v>
      </c>
      <c r="G2767" s="152" t="s">
        <v>374</v>
      </c>
      <c r="I2767" s="513">
        <v>-547950</v>
      </c>
      <c r="J2767" s="513">
        <v>-390</v>
      </c>
      <c r="K2767" s="513">
        <v>1405</v>
      </c>
      <c r="L2767" s="518" t="s">
        <v>3493</v>
      </c>
      <c r="M2767" s="152" t="s">
        <v>1566</v>
      </c>
      <c r="N2767" s="152" t="s">
        <v>1407</v>
      </c>
      <c r="O2767" s="152" t="s">
        <v>5270</v>
      </c>
      <c r="P2767" s="152" t="s">
        <v>4279</v>
      </c>
      <c r="Q2767" s="152" t="s">
        <v>5271</v>
      </c>
      <c r="R2767" s="152" t="s">
        <v>5271</v>
      </c>
      <c r="S2767" s="152" t="s">
        <v>5272</v>
      </c>
      <c r="T2767" s="152" t="s">
        <v>786</v>
      </c>
    </row>
    <row r="2768" spans="3:20">
      <c r="C2768" s="152" t="s">
        <v>2821</v>
      </c>
      <c r="F2768" s="152" t="s">
        <v>373</v>
      </c>
      <c r="G2768" s="152" t="s">
        <v>374</v>
      </c>
      <c r="I2768" s="513">
        <v>-365300</v>
      </c>
      <c r="J2768" s="513">
        <v>-260</v>
      </c>
      <c r="K2768" s="513">
        <v>1405</v>
      </c>
      <c r="L2768" s="518" t="s">
        <v>3493</v>
      </c>
      <c r="M2768" s="152" t="s">
        <v>1566</v>
      </c>
      <c r="N2768" s="152" t="s">
        <v>1407</v>
      </c>
      <c r="O2768" s="152" t="s">
        <v>5273</v>
      </c>
      <c r="P2768" s="152" t="s">
        <v>4279</v>
      </c>
      <c r="Q2768" s="152" t="s">
        <v>5274</v>
      </c>
      <c r="R2768" s="152" t="s">
        <v>5274</v>
      </c>
      <c r="S2768" s="152" t="s">
        <v>5275</v>
      </c>
      <c r="T2768" s="152" t="s">
        <v>786</v>
      </c>
    </row>
    <row r="2769" spans="3:20">
      <c r="C2769" s="152" t="s">
        <v>2821</v>
      </c>
      <c r="F2769" s="152" t="s">
        <v>373</v>
      </c>
      <c r="G2769" s="152" t="s">
        <v>374</v>
      </c>
      <c r="I2769" s="513">
        <v>-365300</v>
      </c>
      <c r="J2769" s="513">
        <v>-260</v>
      </c>
      <c r="K2769" s="513">
        <v>1405</v>
      </c>
      <c r="L2769" s="518" t="s">
        <v>3493</v>
      </c>
      <c r="M2769" s="152" t="s">
        <v>1566</v>
      </c>
      <c r="N2769" s="152" t="s">
        <v>1407</v>
      </c>
      <c r="O2769" s="152" t="s">
        <v>5276</v>
      </c>
      <c r="P2769" s="152" t="s">
        <v>4279</v>
      </c>
      <c r="Q2769" s="152" t="s">
        <v>5277</v>
      </c>
      <c r="R2769" s="152" t="s">
        <v>5277</v>
      </c>
      <c r="S2769" s="152" t="s">
        <v>5278</v>
      </c>
      <c r="T2769" s="152" t="s">
        <v>786</v>
      </c>
    </row>
    <row r="2770" spans="3:20">
      <c r="C2770" s="152" t="s">
        <v>2821</v>
      </c>
      <c r="F2770" s="152" t="s">
        <v>373</v>
      </c>
      <c r="G2770" s="152" t="s">
        <v>374</v>
      </c>
      <c r="I2770" s="513">
        <v>-365300</v>
      </c>
      <c r="J2770" s="513">
        <v>-260</v>
      </c>
      <c r="K2770" s="513">
        <v>1405</v>
      </c>
      <c r="L2770" s="518" t="s">
        <v>3493</v>
      </c>
      <c r="M2770" s="152" t="s">
        <v>1566</v>
      </c>
      <c r="N2770" s="152" t="s">
        <v>1407</v>
      </c>
      <c r="O2770" s="152" t="s">
        <v>5279</v>
      </c>
      <c r="P2770" s="152" t="s">
        <v>4279</v>
      </c>
      <c r="Q2770" s="152" t="s">
        <v>5280</v>
      </c>
      <c r="R2770" s="152" t="s">
        <v>5280</v>
      </c>
      <c r="S2770" s="152" t="s">
        <v>5281</v>
      </c>
      <c r="T2770" s="152" t="s">
        <v>786</v>
      </c>
    </row>
    <row r="2771" spans="3:20">
      <c r="C2771" s="152" t="s">
        <v>2821</v>
      </c>
      <c r="F2771" s="152" t="s">
        <v>373</v>
      </c>
      <c r="G2771" s="152" t="s">
        <v>374</v>
      </c>
      <c r="I2771" s="513">
        <v>-365300</v>
      </c>
      <c r="J2771" s="513">
        <v>-260</v>
      </c>
      <c r="K2771" s="513">
        <v>1405</v>
      </c>
      <c r="L2771" s="518" t="s">
        <v>3493</v>
      </c>
      <c r="M2771" s="152" t="s">
        <v>1566</v>
      </c>
      <c r="N2771" s="152" t="s">
        <v>1407</v>
      </c>
      <c r="O2771" s="152" t="s">
        <v>5282</v>
      </c>
      <c r="P2771" s="152" t="s">
        <v>4279</v>
      </c>
      <c r="Q2771" s="152" t="s">
        <v>5283</v>
      </c>
      <c r="R2771" s="152" t="s">
        <v>5283</v>
      </c>
      <c r="S2771" s="152" t="s">
        <v>5284</v>
      </c>
      <c r="T2771" s="152" t="s">
        <v>786</v>
      </c>
    </row>
    <row r="2772" spans="3:20">
      <c r="C2772" s="152" t="s">
        <v>2821</v>
      </c>
      <c r="F2772" s="152" t="s">
        <v>373</v>
      </c>
      <c r="G2772" s="152" t="s">
        <v>374</v>
      </c>
      <c r="I2772" s="513">
        <v>-547950</v>
      </c>
      <c r="J2772" s="513">
        <v>-390</v>
      </c>
      <c r="K2772" s="513">
        <v>1405</v>
      </c>
      <c r="L2772" s="518" t="s">
        <v>3493</v>
      </c>
      <c r="M2772" s="152" t="s">
        <v>1566</v>
      </c>
      <c r="N2772" s="152" t="s">
        <v>1407</v>
      </c>
      <c r="O2772" s="152" t="s">
        <v>5285</v>
      </c>
      <c r="P2772" s="152" t="s">
        <v>4279</v>
      </c>
      <c r="Q2772" s="152" t="s">
        <v>5286</v>
      </c>
      <c r="R2772" s="152" t="s">
        <v>5286</v>
      </c>
      <c r="S2772" s="152" t="s">
        <v>5287</v>
      </c>
      <c r="T2772" s="152" t="s">
        <v>786</v>
      </c>
    </row>
    <row r="2773" spans="3:20">
      <c r="C2773" s="152" t="s">
        <v>2821</v>
      </c>
      <c r="F2773" s="152" t="s">
        <v>373</v>
      </c>
      <c r="G2773" s="152" t="s">
        <v>374</v>
      </c>
      <c r="I2773" s="513">
        <v>-547950</v>
      </c>
      <c r="J2773" s="513">
        <v>-390</v>
      </c>
      <c r="K2773" s="513">
        <v>1405</v>
      </c>
      <c r="L2773" s="518" t="s">
        <v>3493</v>
      </c>
      <c r="M2773" s="152" t="s">
        <v>1566</v>
      </c>
      <c r="N2773" s="152" t="s">
        <v>1407</v>
      </c>
      <c r="O2773" s="152" t="s">
        <v>5288</v>
      </c>
      <c r="P2773" s="152" t="s">
        <v>4279</v>
      </c>
      <c r="Q2773" s="152" t="s">
        <v>5289</v>
      </c>
      <c r="R2773" s="152" t="s">
        <v>5289</v>
      </c>
      <c r="S2773" s="152" t="s">
        <v>5290</v>
      </c>
      <c r="T2773" s="152" t="s">
        <v>786</v>
      </c>
    </row>
    <row r="2774" spans="3:20">
      <c r="C2774" s="152" t="s">
        <v>2821</v>
      </c>
      <c r="F2774" s="152" t="s">
        <v>373</v>
      </c>
      <c r="G2774" s="152" t="s">
        <v>374</v>
      </c>
      <c r="I2774" s="513">
        <v>-547950</v>
      </c>
      <c r="J2774" s="513">
        <v>-390</v>
      </c>
      <c r="K2774" s="513">
        <v>1405</v>
      </c>
      <c r="L2774" s="518" t="s">
        <v>3493</v>
      </c>
      <c r="M2774" s="152" t="s">
        <v>1566</v>
      </c>
      <c r="N2774" s="152" t="s">
        <v>1407</v>
      </c>
      <c r="O2774" s="152" t="s">
        <v>5291</v>
      </c>
      <c r="P2774" s="152" t="s">
        <v>4279</v>
      </c>
      <c r="Q2774" s="152" t="s">
        <v>5292</v>
      </c>
      <c r="R2774" s="152" t="s">
        <v>5292</v>
      </c>
      <c r="S2774" s="152" t="s">
        <v>5293</v>
      </c>
      <c r="T2774" s="152" t="s">
        <v>786</v>
      </c>
    </row>
    <row r="2775" spans="3:20">
      <c r="C2775" s="152" t="s">
        <v>2821</v>
      </c>
      <c r="F2775" s="152" t="s">
        <v>373</v>
      </c>
      <c r="G2775" s="152" t="s">
        <v>374</v>
      </c>
      <c r="I2775" s="513">
        <v>-547950</v>
      </c>
      <c r="J2775" s="513">
        <v>-390</v>
      </c>
      <c r="K2775" s="513">
        <v>1405</v>
      </c>
      <c r="L2775" s="518" t="s">
        <v>3493</v>
      </c>
      <c r="M2775" s="152" t="s">
        <v>1566</v>
      </c>
      <c r="N2775" s="152" t="s">
        <v>1407</v>
      </c>
      <c r="O2775" s="152" t="s">
        <v>5294</v>
      </c>
      <c r="P2775" s="152" t="s">
        <v>4279</v>
      </c>
      <c r="Q2775" s="152" t="s">
        <v>5295</v>
      </c>
      <c r="R2775" s="152" t="s">
        <v>5295</v>
      </c>
      <c r="S2775" s="152" t="s">
        <v>5296</v>
      </c>
      <c r="T2775" s="152" t="s">
        <v>786</v>
      </c>
    </row>
    <row r="2776" spans="3:20">
      <c r="C2776" s="152" t="s">
        <v>2821</v>
      </c>
      <c r="F2776" s="152" t="s">
        <v>373</v>
      </c>
      <c r="G2776" s="152" t="s">
        <v>374</v>
      </c>
      <c r="I2776" s="513">
        <v>-547950</v>
      </c>
      <c r="J2776" s="513">
        <v>-390</v>
      </c>
      <c r="K2776" s="513">
        <v>1405</v>
      </c>
      <c r="L2776" s="518" t="s">
        <v>3493</v>
      </c>
      <c r="M2776" s="152" t="s">
        <v>1566</v>
      </c>
      <c r="N2776" s="152" t="s">
        <v>1407</v>
      </c>
      <c r="O2776" s="152" t="s">
        <v>5297</v>
      </c>
      <c r="P2776" s="152" t="s">
        <v>4279</v>
      </c>
      <c r="Q2776" s="152" t="s">
        <v>5298</v>
      </c>
      <c r="R2776" s="152" t="s">
        <v>5298</v>
      </c>
      <c r="S2776" s="152" t="s">
        <v>5299</v>
      </c>
      <c r="T2776" s="152" t="s">
        <v>786</v>
      </c>
    </row>
    <row r="2777" spans="3:20">
      <c r="C2777" s="152" t="s">
        <v>2821</v>
      </c>
      <c r="F2777" s="152" t="s">
        <v>373</v>
      </c>
      <c r="G2777" s="152" t="s">
        <v>374</v>
      </c>
      <c r="I2777" s="513">
        <v>-547950</v>
      </c>
      <c r="J2777" s="513">
        <v>-390</v>
      </c>
      <c r="K2777" s="513">
        <v>1405</v>
      </c>
      <c r="L2777" s="518" t="s">
        <v>3493</v>
      </c>
      <c r="M2777" s="152" t="s">
        <v>1566</v>
      </c>
      <c r="N2777" s="152" t="s">
        <v>1407</v>
      </c>
      <c r="O2777" s="152" t="s">
        <v>5300</v>
      </c>
      <c r="P2777" s="152" t="s">
        <v>4279</v>
      </c>
      <c r="Q2777" s="152" t="s">
        <v>5301</v>
      </c>
      <c r="R2777" s="152" t="s">
        <v>5301</v>
      </c>
      <c r="S2777" s="152" t="s">
        <v>5302</v>
      </c>
      <c r="T2777" s="152" t="s">
        <v>786</v>
      </c>
    </row>
    <row r="2778" spans="3:20">
      <c r="C2778" s="152" t="s">
        <v>2821</v>
      </c>
      <c r="F2778" s="152" t="s">
        <v>373</v>
      </c>
      <c r="G2778" s="152" t="s">
        <v>374</v>
      </c>
      <c r="I2778" s="513">
        <v>-456625</v>
      </c>
      <c r="J2778" s="513">
        <v>-325</v>
      </c>
      <c r="K2778" s="513">
        <v>1405</v>
      </c>
      <c r="L2778" s="518" t="s">
        <v>3493</v>
      </c>
      <c r="M2778" s="152" t="s">
        <v>1566</v>
      </c>
      <c r="N2778" s="152" t="s">
        <v>1407</v>
      </c>
      <c r="O2778" s="152" t="s">
        <v>5303</v>
      </c>
      <c r="P2778" s="152" t="s">
        <v>4279</v>
      </c>
      <c r="Q2778" s="152" t="s">
        <v>5304</v>
      </c>
      <c r="R2778" s="152" t="s">
        <v>5304</v>
      </c>
      <c r="S2778" s="152" t="s">
        <v>5305</v>
      </c>
      <c r="T2778" s="152" t="s">
        <v>786</v>
      </c>
    </row>
    <row r="2779" spans="3:20">
      <c r="C2779" s="152" t="s">
        <v>2821</v>
      </c>
      <c r="F2779" s="152" t="s">
        <v>373</v>
      </c>
      <c r="G2779" s="152" t="s">
        <v>374</v>
      </c>
      <c r="I2779" s="513">
        <v>-456625</v>
      </c>
      <c r="J2779" s="513">
        <v>-325</v>
      </c>
      <c r="K2779" s="513">
        <v>1405</v>
      </c>
      <c r="L2779" s="518" t="s">
        <v>3493</v>
      </c>
      <c r="M2779" s="152" t="s">
        <v>1566</v>
      </c>
      <c r="N2779" s="152" t="s">
        <v>1407</v>
      </c>
      <c r="O2779" s="152" t="s">
        <v>5306</v>
      </c>
      <c r="P2779" s="152" t="s">
        <v>4279</v>
      </c>
      <c r="Q2779" s="152" t="s">
        <v>5307</v>
      </c>
      <c r="R2779" s="152" t="s">
        <v>5307</v>
      </c>
      <c r="S2779" s="152" t="s">
        <v>5308</v>
      </c>
      <c r="T2779" s="152" t="s">
        <v>786</v>
      </c>
    </row>
    <row r="2780" spans="3:20">
      <c r="C2780" s="152" t="s">
        <v>2821</v>
      </c>
      <c r="F2780" s="152" t="s">
        <v>373</v>
      </c>
      <c r="G2780" s="152" t="s">
        <v>374</v>
      </c>
      <c r="I2780" s="513">
        <v>-456625</v>
      </c>
      <c r="J2780" s="513">
        <v>-325</v>
      </c>
      <c r="K2780" s="513">
        <v>1405</v>
      </c>
      <c r="L2780" s="518" t="s">
        <v>3493</v>
      </c>
      <c r="M2780" s="152" t="s">
        <v>1566</v>
      </c>
      <c r="N2780" s="152" t="s">
        <v>1407</v>
      </c>
      <c r="O2780" s="152" t="s">
        <v>5309</v>
      </c>
      <c r="P2780" s="152" t="s">
        <v>4279</v>
      </c>
      <c r="Q2780" s="152" t="s">
        <v>5310</v>
      </c>
      <c r="R2780" s="152" t="s">
        <v>5310</v>
      </c>
      <c r="S2780" s="152" t="s">
        <v>5311</v>
      </c>
      <c r="T2780" s="152" t="s">
        <v>786</v>
      </c>
    </row>
    <row r="2781" spans="3:20">
      <c r="C2781" s="152" t="s">
        <v>2821</v>
      </c>
      <c r="F2781" s="152" t="s">
        <v>373</v>
      </c>
      <c r="G2781" s="152" t="s">
        <v>374</v>
      </c>
      <c r="I2781" s="513">
        <v>-730600</v>
      </c>
      <c r="J2781" s="513">
        <v>-520</v>
      </c>
      <c r="K2781" s="513">
        <v>1405</v>
      </c>
      <c r="L2781" s="518" t="s">
        <v>3493</v>
      </c>
      <c r="M2781" s="152" t="s">
        <v>1566</v>
      </c>
      <c r="N2781" s="152" t="s">
        <v>1407</v>
      </c>
      <c r="O2781" s="152" t="s">
        <v>5312</v>
      </c>
      <c r="P2781" s="152" t="s">
        <v>4279</v>
      </c>
      <c r="Q2781" s="152" t="s">
        <v>5313</v>
      </c>
      <c r="R2781" s="152" t="s">
        <v>5313</v>
      </c>
      <c r="S2781" s="152" t="s">
        <v>5314</v>
      </c>
      <c r="T2781" s="152" t="s">
        <v>786</v>
      </c>
    </row>
    <row r="2782" spans="3:20">
      <c r="C2782" s="152" t="s">
        <v>2821</v>
      </c>
      <c r="F2782" s="152" t="s">
        <v>373</v>
      </c>
      <c r="G2782" s="152" t="s">
        <v>374</v>
      </c>
      <c r="I2782" s="513">
        <v>-730600</v>
      </c>
      <c r="J2782" s="513">
        <v>-520</v>
      </c>
      <c r="K2782" s="513">
        <v>1405</v>
      </c>
      <c r="L2782" s="518" t="s">
        <v>3493</v>
      </c>
      <c r="M2782" s="152" t="s">
        <v>1566</v>
      </c>
      <c r="N2782" s="152" t="s">
        <v>1407</v>
      </c>
      <c r="O2782" s="152" t="s">
        <v>5315</v>
      </c>
      <c r="P2782" s="152" t="s">
        <v>4279</v>
      </c>
      <c r="Q2782" s="152" t="s">
        <v>5316</v>
      </c>
      <c r="R2782" s="152" t="s">
        <v>5316</v>
      </c>
      <c r="S2782" s="152" t="s">
        <v>5317</v>
      </c>
      <c r="T2782" s="152" t="s">
        <v>786</v>
      </c>
    </row>
    <row r="2783" spans="3:20">
      <c r="C2783" s="152" t="s">
        <v>2821</v>
      </c>
      <c r="F2783" s="152" t="s">
        <v>373</v>
      </c>
      <c r="G2783" s="152" t="s">
        <v>374</v>
      </c>
      <c r="I2783" s="513">
        <v>-730600</v>
      </c>
      <c r="J2783" s="513">
        <v>-520</v>
      </c>
      <c r="K2783" s="513">
        <v>1405</v>
      </c>
      <c r="L2783" s="518" t="s">
        <v>3493</v>
      </c>
      <c r="M2783" s="152" t="s">
        <v>1566</v>
      </c>
      <c r="N2783" s="152" t="s">
        <v>1407</v>
      </c>
      <c r="O2783" s="152" t="s">
        <v>5318</v>
      </c>
      <c r="P2783" s="152" t="s">
        <v>4279</v>
      </c>
      <c r="Q2783" s="152" t="s">
        <v>5319</v>
      </c>
      <c r="R2783" s="152" t="s">
        <v>5319</v>
      </c>
      <c r="S2783" s="152" t="s">
        <v>5320</v>
      </c>
      <c r="T2783" s="152" t="s">
        <v>786</v>
      </c>
    </row>
    <row r="2784" spans="3:20">
      <c r="C2784" s="152" t="s">
        <v>2821</v>
      </c>
      <c r="F2784" s="152" t="s">
        <v>373</v>
      </c>
      <c r="G2784" s="152" t="s">
        <v>374</v>
      </c>
      <c r="I2784" s="513">
        <v>-730600</v>
      </c>
      <c r="J2784" s="513">
        <v>-520</v>
      </c>
      <c r="K2784" s="513">
        <v>1405</v>
      </c>
      <c r="L2784" s="518" t="s">
        <v>3493</v>
      </c>
      <c r="M2784" s="152" t="s">
        <v>1566</v>
      </c>
      <c r="N2784" s="152" t="s">
        <v>1407</v>
      </c>
      <c r="O2784" s="152" t="s">
        <v>5321</v>
      </c>
      <c r="P2784" s="152" t="s">
        <v>4279</v>
      </c>
      <c r="Q2784" s="152" t="s">
        <v>5322</v>
      </c>
      <c r="R2784" s="152" t="s">
        <v>5322</v>
      </c>
      <c r="S2784" s="152" t="s">
        <v>5323</v>
      </c>
      <c r="T2784" s="152" t="s">
        <v>786</v>
      </c>
    </row>
    <row r="2785" spans="3:20">
      <c r="C2785" s="152" t="s">
        <v>2821</v>
      </c>
      <c r="F2785" s="152" t="s">
        <v>373</v>
      </c>
      <c r="G2785" s="152" t="s">
        <v>374</v>
      </c>
      <c r="I2785" s="513">
        <v>311300</v>
      </c>
      <c r="J2785" s="513">
        <v>220</v>
      </c>
      <c r="K2785" s="513">
        <v>1415</v>
      </c>
      <c r="L2785" s="518" t="s">
        <v>3511</v>
      </c>
      <c r="M2785" s="152" t="s">
        <v>1566</v>
      </c>
      <c r="N2785" s="152" t="s">
        <v>1407</v>
      </c>
      <c r="O2785" s="152" t="s">
        <v>5324</v>
      </c>
      <c r="P2785" s="152" t="s">
        <v>4279</v>
      </c>
      <c r="Q2785" s="152" t="s">
        <v>5325</v>
      </c>
      <c r="R2785" s="152" t="s">
        <v>5325</v>
      </c>
      <c r="S2785" s="152" t="s">
        <v>5326</v>
      </c>
      <c r="T2785" s="152" t="s">
        <v>786</v>
      </c>
    </row>
    <row r="2786" spans="3:20">
      <c r="C2786" s="152" t="s">
        <v>2821</v>
      </c>
      <c r="F2786" s="152" t="s">
        <v>373</v>
      </c>
      <c r="G2786" s="152" t="s">
        <v>374</v>
      </c>
      <c r="I2786" s="513">
        <v>80810.649999999994</v>
      </c>
      <c r="J2786" s="513">
        <v>57.11</v>
      </c>
      <c r="K2786" s="513">
        <v>1415</v>
      </c>
      <c r="L2786" s="518" t="s">
        <v>3511</v>
      </c>
      <c r="M2786" s="152" t="s">
        <v>1566</v>
      </c>
      <c r="N2786" s="152" t="s">
        <v>1407</v>
      </c>
      <c r="O2786" s="152" t="s">
        <v>5327</v>
      </c>
      <c r="P2786" s="152" t="s">
        <v>4279</v>
      </c>
      <c r="Q2786" s="152" t="s">
        <v>5328</v>
      </c>
      <c r="R2786" s="152" t="s">
        <v>5328</v>
      </c>
      <c r="S2786" s="152" t="s">
        <v>5329</v>
      </c>
      <c r="T2786" s="152" t="s">
        <v>786</v>
      </c>
    </row>
    <row r="2787" spans="3:20">
      <c r="C2787" s="152" t="s">
        <v>2821</v>
      </c>
      <c r="F2787" s="152" t="s">
        <v>373</v>
      </c>
      <c r="G2787" s="152" t="s">
        <v>374</v>
      </c>
      <c r="I2787" s="513">
        <v>48718.45</v>
      </c>
      <c r="J2787" s="513">
        <v>34.43</v>
      </c>
      <c r="K2787" s="513">
        <v>1415</v>
      </c>
      <c r="L2787" s="518" t="s">
        <v>3511</v>
      </c>
      <c r="M2787" s="152" t="s">
        <v>1566</v>
      </c>
      <c r="N2787" s="152" t="s">
        <v>1407</v>
      </c>
      <c r="O2787" s="152" t="s">
        <v>5330</v>
      </c>
      <c r="P2787" s="152" t="s">
        <v>4279</v>
      </c>
      <c r="Q2787" s="152" t="s">
        <v>5331</v>
      </c>
      <c r="R2787" s="152" t="s">
        <v>5331</v>
      </c>
      <c r="S2787" s="152" t="s">
        <v>5332</v>
      </c>
      <c r="T2787" s="152" t="s">
        <v>786</v>
      </c>
    </row>
    <row r="2788" spans="3:20">
      <c r="C2788" s="152" t="s">
        <v>2821</v>
      </c>
      <c r="F2788" s="152" t="s">
        <v>373</v>
      </c>
      <c r="G2788" s="152" t="s">
        <v>374</v>
      </c>
      <c r="I2788" s="513">
        <v>154150.1</v>
      </c>
      <c r="J2788" s="513">
        <v>108.94</v>
      </c>
      <c r="K2788" s="513">
        <v>1415</v>
      </c>
      <c r="L2788" s="518" t="s">
        <v>3511</v>
      </c>
      <c r="M2788" s="152" t="s">
        <v>1566</v>
      </c>
      <c r="N2788" s="152" t="s">
        <v>1407</v>
      </c>
      <c r="O2788" s="152" t="s">
        <v>5333</v>
      </c>
      <c r="P2788" s="152" t="s">
        <v>4279</v>
      </c>
      <c r="Q2788" s="152" t="s">
        <v>5334</v>
      </c>
      <c r="R2788" s="152" t="s">
        <v>5334</v>
      </c>
      <c r="S2788" s="152" t="s">
        <v>5335</v>
      </c>
      <c r="T2788" s="152" t="s">
        <v>786</v>
      </c>
    </row>
    <row r="2789" spans="3:20">
      <c r="C2789" s="152" t="s">
        <v>2821</v>
      </c>
      <c r="F2789" s="152" t="s">
        <v>373</v>
      </c>
      <c r="G2789" s="152" t="s">
        <v>374</v>
      </c>
      <c r="I2789" s="513">
        <v>169361.35</v>
      </c>
      <c r="J2789" s="513">
        <v>119.69</v>
      </c>
      <c r="K2789" s="513">
        <v>1415</v>
      </c>
      <c r="L2789" s="518" t="s">
        <v>3511</v>
      </c>
      <c r="M2789" s="152" t="s">
        <v>1566</v>
      </c>
      <c r="N2789" s="152" t="s">
        <v>1407</v>
      </c>
      <c r="O2789" s="152" t="s">
        <v>5336</v>
      </c>
      <c r="P2789" s="152" t="s">
        <v>4279</v>
      </c>
      <c r="Q2789" s="152" t="s">
        <v>5337</v>
      </c>
      <c r="R2789" s="152" t="s">
        <v>5337</v>
      </c>
      <c r="S2789" s="152" t="s">
        <v>5338</v>
      </c>
      <c r="T2789" s="152" t="s">
        <v>786</v>
      </c>
    </row>
    <row r="2790" spans="3:20">
      <c r="C2790" s="152" t="s">
        <v>2821</v>
      </c>
      <c r="F2790" s="152" t="s">
        <v>373</v>
      </c>
      <c r="G2790" s="152" t="s">
        <v>374</v>
      </c>
      <c r="I2790" s="513">
        <v>51237.15</v>
      </c>
      <c r="J2790" s="513">
        <v>36.21</v>
      </c>
      <c r="K2790" s="513">
        <v>1415</v>
      </c>
      <c r="L2790" s="518" t="s">
        <v>3511</v>
      </c>
      <c r="M2790" s="152" t="s">
        <v>1566</v>
      </c>
      <c r="N2790" s="152" t="s">
        <v>1407</v>
      </c>
      <c r="O2790" s="152" t="s">
        <v>5339</v>
      </c>
      <c r="P2790" s="152" t="s">
        <v>4279</v>
      </c>
      <c r="Q2790" s="152" t="s">
        <v>5340</v>
      </c>
      <c r="R2790" s="152" t="s">
        <v>5340</v>
      </c>
      <c r="S2790" s="152" t="s">
        <v>5341</v>
      </c>
      <c r="T2790" s="152" t="s">
        <v>786</v>
      </c>
    </row>
    <row r="2791" spans="3:20">
      <c r="C2791" s="152" t="s">
        <v>2821</v>
      </c>
      <c r="F2791" s="152" t="s">
        <v>373</v>
      </c>
      <c r="G2791" s="152" t="s">
        <v>374</v>
      </c>
      <c r="I2791" s="513">
        <v>21295.75</v>
      </c>
      <c r="J2791" s="513">
        <v>15.05</v>
      </c>
      <c r="K2791" s="513">
        <v>1415</v>
      </c>
      <c r="L2791" s="518" t="s">
        <v>3511</v>
      </c>
      <c r="M2791" s="152" t="s">
        <v>1566</v>
      </c>
      <c r="N2791" s="152" t="s">
        <v>1407</v>
      </c>
      <c r="O2791" s="152" t="s">
        <v>5342</v>
      </c>
      <c r="P2791" s="152" t="s">
        <v>4279</v>
      </c>
      <c r="Q2791" s="152" t="s">
        <v>5343</v>
      </c>
      <c r="R2791" s="152" t="s">
        <v>5343</v>
      </c>
      <c r="S2791" s="152" t="s">
        <v>5344</v>
      </c>
      <c r="T2791" s="152" t="s">
        <v>786</v>
      </c>
    </row>
    <row r="2792" spans="3:20">
      <c r="C2792" s="152" t="s">
        <v>2821</v>
      </c>
      <c r="F2792" s="152" t="s">
        <v>373</v>
      </c>
      <c r="G2792" s="152" t="s">
        <v>374</v>
      </c>
      <c r="I2792" s="513">
        <v>37554.1</v>
      </c>
      <c r="J2792" s="513">
        <v>26.54</v>
      </c>
      <c r="K2792" s="513">
        <v>1415</v>
      </c>
      <c r="L2792" s="518" t="s">
        <v>3511</v>
      </c>
      <c r="M2792" s="152" t="s">
        <v>1566</v>
      </c>
      <c r="N2792" s="152" t="s">
        <v>1407</v>
      </c>
      <c r="O2792" s="152" t="s">
        <v>5345</v>
      </c>
      <c r="P2792" s="152" t="s">
        <v>4279</v>
      </c>
      <c r="Q2792" s="152" t="s">
        <v>5346</v>
      </c>
      <c r="R2792" s="152" t="s">
        <v>5346</v>
      </c>
      <c r="S2792" s="152" t="s">
        <v>5347</v>
      </c>
      <c r="T2792" s="152" t="s">
        <v>786</v>
      </c>
    </row>
    <row r="2793" spans="3:20">
      <c r="C2793" s="152" t="s">
        <v>2821</v>
      </c>
      <c r="F2793" s="152" t="s">
        <v>373</v>
      </c>
      <c r="G2793" s="152" t="s">
        <v>374</v>
      </c>
      <c r="I2793" s="513">
        <v>71514.100000000006</v>
      </c>
      <c r="J2793" s="513">
        <v>50.54</v>
      </c>
      <c r="K2793" s="513">
        <v>1415</v>
      </c>
      <c r="L2793" s="518" t="s">
        <v>3511</v>
      </c>
      <c r="M2793" s="152" t="s">
        <v>1566</v>
      </c>
      <c r="N2793" s="152" t="s">
        <v>1407</v>
      </c>
      <c r="O2793" s="152" t="s">
        <v>5348</v>
      </c>
      <c r="P2793" s="152" t="s">
        <v>4279</v>
      </c>
      <c r="Q2793" s="152" t="s">
        <v>5349</v>
      </c>
      <c r="R2793" s="152" t="s">
        <v>5349</v>
      </c>
      <c r="S2793" s="152" t="s">
        <v>5350</v>
      </c>
      <c r="T2793" s="152" t="s">
        <v>786</v>
      </c>
    </row>
    <row r="2794" spans="3:20">
      <c r="C2794" s="152" t="s">
        <v>2821</v>
      </c>
      <c r="F2794" s="152" t="s">
        <v>373</v>
      </c>
      <c r="G2794" s="152" t="s">
        <v>374</v>
      </c>
      <c r="I2794" s="513">
        <v>49793.85</v>
      </c>
      <c r="J2794" s="513">
        <v>35.19</v>
      </c>
      <c r="K2794" s="513">
        <v>1415</v>
      </c>
      <c r="L2794" s="518" t="s">
        <v>3511</v>
      </c>
      <c r="M2794" s="152" t="s">
        <v>1566</v>
      </c>
      <c r="N2794" s="152" t="s">
        <v>1407</v>
      </c>
      <c r="O2794" s="152" t="s">
        <v>5351</v>
      </c>
      <c r="P2794" s="152" t="s">
        <v>4279</v>
      </c>
      <c r="Q2794" s="152" t="s">
        <v>5352</v>
      </c>
      <c r="R2794" s="152" t="s">
        <v>5352</v>
      </c>
      <c r="S2794" s="152" t="s">
        <v>5353</v>
      </c>
      <c r="T2794" s="152" t="s">
        <v>786</v>
      </c>
    </row>
    <row r="2795" spans="3:20">
      <c r="C2795" s="152" t="s">
        <v>2821</v>
      </c>
      <c r="F2795" s="152" t="s">
        <v>373</v>
      </c>
      <c r="G2795" s="152" t="s">
        <v>374</v>
      </c>
      <c r="I2795" s="513">
        <v>13598.15</v>
      </c>
      <c r="J2795" s="513">
        <v>9.61</v>
      </c>
      <c r="K2795" s="513">
        <v>1415</v>
      </c>
      <c r="L2795" s="518" t="s">
        <v>3511</v>
      </c>
      <c r="M2795" s="152" t="s">
        <v>1566</v>
      </c>
      <c r="N2795" s="152" t="s">
        <v>1407</v>
      </c>
      <c r="O2795" s="152" t="s">
        <v>5354</v>
      </c>
      <c r="P2795" s="152" t="s">
        <v>4279</v>
      </c>
      <c r="Q2795" s="152" t="s">
        <v>5355</v>
      </c>
      <c r="R2795" s="152" t="s">
        <v>5355</v>
      </c>
      <c r="S2795" s="152" t="s">
        <v>5356</v>
      </c>
      <c r="T2795" s="152" t="s">
        <v>786</v>
      </c>
    </row>
    <row r="2796" spans="3:20">
      <c r="C2796" s="152" t="s">
        <v>2821</v>
      </c>
      <c r="F2796" s="152" t="s">
        <v>373</v>
      </c>
      <c r="G2796" s="152" t="s">
        <v>374</v>
      </c>
      <c r="I2796" s="513">
        <v>7343.85</v>
      </c>
      <c r="J2796" s="513">
        <v>5.19</v>
      </c>
      <c r="K2796" s="513">
        <v>1415</v>
      </c>
      <c r="L2796" s="518" t="s">
        <v>3511</v>
      </c>
      <c r="M2796" s="152" t="s">
        <v>1566</v>
      </c>
      <c r="N2796" s="152" t="s">
        <v>1407</v>
      </c>
      <c r="O2796" s="152" t="s">
        <v>5357</v>
      </c>
      <c r="P2796" s="152" t="s">
        <v>4279</v>
      </c>
      <c r="Q2796" s="152" t="s">
        <v>5358</v>
      </c>
      <c r="R2796" s="152" t="s">
        <v>5358</v>
      </c>
      <c r="S2796" s="152" t="s">
        <v>5359</v>
      </c>
      <c r="T2796" s="152" t="s">
        <v>786</v>
      </c>
    </row>
    <row r="2797" spans="3:20">
      <c r="C2797" s="152" t="s">
        <v>2821</v>
      </c>
      <c r="F2797" s="152" t="s">
        <v>373</v>
      </c>
      <c r="G2797" s="152" t="s">
        <v>374</v>
      </c>
      <c r="I2797" s="513">
        <v>52779.5</v>
      </c>
      <c r="J2797" s="513">
        <v>37.299999999999997</v>
      </c>
      <c r="K2797" s="513">
        <v>1415</v>
      </c>
      <c r="L2797" s="518" t="s">
        <v>3511</v>
      </c>
      <c r="M2797" s="152" t="s">
        <v>1566</v>
      </c>
      <c r="N2797" s="152" t="s">
        <v>1407</v>
      </c>
      <c r="O2797" s="152" t="s">
        <v>5360</v>
      </c>
      <c r="P2797" s="152" t="s">
        <v>4279</v>
      </c>
      <c r="Q2797" s="152" t="s">
        <v>5361</v>
      </c>
      <c r="R2797" s="152" t="s">
        <v>5361</v>
      </c>
      <c r="S2797" s="152" t="s">
        <v>5362</v>
      </c>
      <c r="T2797" s="152" t="s">
        <v>786</v>
      </c>
    </row>
    <row r="2798" spans="3:20">
      <c r="C2798" s="152" t="s">
        <v>2821</v>
      </c>
      <c r="F2798" s="152" t="s">
        <v>373</v>
      </c>
      <c r="G2798" s="152" t="s">
        <v>374</v>
      </c>
      <c r="I2798" s="513">
        <v>114558.39999999999</v>
      </c>
      <c r="J2798" s="513">
        <v>80.959999999999994</v>
      </c>
      <c r="K2798" s="513">
        <v>1415</v>
      </c>
      <c r="L2798" s="518" t="s">
        <v>3511</v>
      </c>
      <c r="M2798" s="152" t="s">
        <v>1566</v>
      </c>
      <c r="N2798" s="152" t="s">
        <v>1407</v>
      </c>
      <c r="O2798" s="152" t="s">
        <v>5363</v>
      </c>
      <c r="P2798" s="152" t="s">
        <v>4279</v>
      </c>
      <c r="Q2798" s="152" t="s">
        <v>5364</v>
      </c>
      <c r="R2798" s="152" t="s">
        <v>5364</v>
      </c>
      <c r="S2798" s="152" t="s">
        <v>5365</v>
      </c>
      <c r="T2798" s="152" t="s">
        <v>786</v>
      </c>
    </row>
    <row r="2799" spans="3:20">
      <c r="C2799" s="152" t="s">
        <v>2821</v>
      </c>
      <c r="F2799" s="152" t="s">
        <v>373</v>
      </c>
      <c r="G2799" s="152" t="s">
        <v>374</v>
      </c>
      <c r="I2799" s="513">
        <v>25087.95</v>
      </c>
      <c r="J2799" s="513">
        <v>17.73</v>
      </c>
      <c r="K2799" s="513">
        <v>1415</v>
      </c>
      <c r="L2799" s="518" t="s">
        <v>3511</v>
      </c>
      <c r="M2799" s="152" t="s">
        <v>1566</v>
      </c>
      <c r="N2799" s="152" t="s">
        <v>1407</v>
      </c>
      <c r="O2799" s="152" t="s">
        <v>5366</v>
      </c>
      <c r="P2799" s="152" t="s">
        <v>4279</v>
      </c>
      <c r="Q2799" s="152" t="s">
        <v>5367</v>
      </c>
      <c r="R2799" s="152" t="s">
        <v>5367</v>
      </c>
      <c r="S2799" s="152" t="s">
        <v>5368</v>
      </c>
      <c r="T2799" s="152" t="s">
        <v>786</v>
      </c>
    </row>
    <row r="2800" spans="3:20">
      <c r="C2800" s="152" t="s">
        <v>2821</v>
      </c>
      <c r="F2800" s="152" t="s">
        <v>373</v>
      </c>
      <c r="G2800" s="152" t="s">
        <v>374</v>
      </c>
      <c r="I2800" s="513">
        <v>399779.95</v>
      </c>
      <c r="J2800" s="513">
        <v>282.52999999999997</v>
      </c>
      <c r="K2800" s="513">
        <v>1415</v>
      </c>
      <c r="L2800" s="518" t="s">
        <v>3511</v>
      </c>
      <c r="M2800" s="152" t="s">
        <v>1566</v>
      </c>
      <c r="N2800" s="152" t="s">
        <v>1407</v>
      </c>
      <c r="O2800" s="152" t="s">
        <v>5369</v>
      </c>
      <c r="P2800" s="152" t="s">
        <v>4279</v>
      </c>
      <c r="Q2800" s="152" t="s">
        <v>5370</v>
      </c>
      <c r="R2800" s="152" t="s">
        <v>5370</v>
      </c>
      <c r="S2800" s="152" t="s">
        <v>5371</v>
      </c>
      <c r="T2800" s="152" t="s">
        <v>786</v>
      </c>
    </row>
    <row r="2801" spans="3:20">
      <c r="C2801" s="152" t="s">
        <v>2821</v>
      </c>
      <c r="F2801" s="152" t="s">
        <v>373</v>
      </c>
      <c r="G2801" s="152" t="s">
        <v>374</v>
      </c>
      <c r="I2801" s="513">
        <v>24790.799999999999</v>
      </c>
      <c r="J2801" s="513">
        <v>17.52</v>
      </c>
      <c r="K2801" s="513">
        <v>1415</v>
      </c>
      <c r="L2801" s="518" t="s">
        <v>3511</v>
      </c>
      <c r="M2801" s="152" t="s">
        <v>1566</v>
      </c>
      <c r="N2801" s="152" t="s">
        <v>1407</v>
      </c>
      <c r="O2801" s="152" t="s">
        <v>5372</v>
      </c>
      <c r="P2801" s="152" t="s">
        <v>4279</v>
      </c>
      <c r="Q2801" s="152" t="s">
        <v>5373</v>
      </c>
      <c r="R2801" s="152" t="s">
        <v>5373</v>
      </c>
      <c r="S2801" s="152" t="s">
        <v>5374</v>
      </c>
      <c r="T2801" s="152" t="s">
        <v>786</v>
      </c>
    </row>
    <row r="2802" spans="3:20">
      <c r="C2802" s="152" t="s">
        <v>2821</v>
      </c>
      <c r="F2802" s="152" t="s">
        <v>373</v>
      </c>
      <c r="G2802" s="152" t="s">
        <v>374</v>
      </c>
      <c r="I2802" s="513">
        <v>40440.699999999997</v>
      </c>
      <c r="J2802" s="513">
        <v>28.58</v>
      </c>
      <c r="K2802" s="513">
        <v>1415</v>
      </c>
      <c r="L2802" s="518" t="s">
        <v>3511</v>
      </c>
      <c r="M2802" s="152" t="s">
        <v>1566</v>
      </c>
      <c r="N2802" s="152" t="s">
        <v>1407</v>
      </c>
      <c r="O2802" s="152" t="s">
        <v>5375</v>
      </c>
      <c r="P2802" s="152" t="s">
        <v>4279</v>
      </c>
      <c r="Q2802" s="152" t="s">
        <v>5376</v>
      </c>
      <c r="R2802" s="152" t="s">
        <v>5376</v>
      </c>
      <c r="S2802" s="152" t="s">
        <v>5377</v>
      </c>
      <c r="T2802" s="152" t="s">
        <v>786</v>
      </c>
    </row>
    <row r="2803" spans="3:20">
      <c r="C2803" s="152" t="s">
        <v>2821</v>
      </c>
      <c r="F2803" s="152" t="s">
        <v>373</v>
      </c>
      <c r="G2803" s="152" t="s">
        <v>374</v>
      </c>
      <c r="I2803" s="513">
        <v>44133.85</v>
      </c>
      <c r="J2803" s="513">
        <v>31.19</v>
      </c>
      <c r="K2803" s="513">
        <v>1415</v>
      </c>
      <c r="L2803" s="518" t="s">
        <v>3511</v>
      </c>
      <c r="M2803" s="152" t="s">
        <v>1566</v>
      </c>
      <c r="N2803" s="152" t="s">
        <v>1407</v>
      </c>
      <c r="O2803" s="152" t="s">
        <v>5378</v>
      </c>
      <c r="P2803" s="152" t="s">
        <v>4279</v>
      </c>
      <c r="Q2803" s="152" t="s">
        <v>5379</v>
      </c>
      <c r="R2803" s="152" t="s">
        <v>5379</v>
      </c>
      <c r="S2803" s="152" t="s">
        <v>5380</v>
      </c>
      <c r="T2803" s="152" t="s">
        <v>786</v>
      </c>
    </row>
    <row r="2804" spans="3:20">
      <c r="C2804" s="152" t="s">
        <v>2821</v>
      </c>
      <c r="F2804" s="152" t="s">
        <v>373</v>
      </c>
      <c r="G2804" s="152" t="s">
        <v>374</v>
      </c>
      <c r="I2804" s="513">
        <v>38403.1</v>
      </c>
      <c r="J2804" s="513">
        <v>27.14</v>
      </c>
      <c r="K2804" s="513">
        <v>1415</v>
      </c>
      <c r="L2804" s="518" t="s">
        <v>3511</v>
      </c>
      <c r="M2804" s="152" t="s">
        <v>1566</v>
      </c>
      <c r="N2804" s="152" t="s">
        <v>1407</v>
      </c>
      <c r="O2804" s="152" t="s">
        <v>5381</v>
      </c>
      <c r="P2804" s="152" t="s">
        <v>4279</v>
      </c>
      <c r="Q2804" s="152" t="s">
        <v>5382</v>
      </c>
      <c r="R2804" s="152" t="s">
        <v>5382</v>
      </c>
      <c r="S2804" s="152" t="s">
        <v>5383</v>
      </c>
      <c r="T2804" s="152" t="s">
        <v>786</v>
      </c>
    </row>
    <row r="2805" spans="3:20">
      <c r="C2805" s="152" t="s">
        <v>2821</v>
      </c>
      <c r="F2805" s="152" t="s">
        <v>373</v>
      </c>
      <c r="G2805" s="152" t="s">
        <v>374</v>
      </c>
      <c r="I2805" s="513">
        <v>23531.45</v>
      </c>
      <c r="J2805" s="513">
        <v>16.63</v>
      </c>
      <c r="K2805" s="513">
        <v>1415</v>
      </c>
      <c r="L2805" s="518" t="s">
        <v>3511</v>
      </c>
      <c r="M2805" s="152" t="s">
        <v>1566</v>
      </c>
      <c r="N2805" s="152" t="s">
        <v>1407</v>
      </c>
      <c r="O2805" s="152" t="s">
        <v>5384</v>
      </c>
      <c r="P2805" s="152" t="s">
        <v>4279</v>
      </c>
      <c r="Q2805" s="152" t="s">
        <v>5385</v>
      </c>
      <c r="R2805" s="152" t="s">
        <v>5385</v>
      </c>
      <c r="S2805" s="152" t="s">
        <v>5386</v>
      </c>
      <c r="T2805" s="152" t="s">
        <v>786</v>
      </c>
    </row>
    <row r="2806" spans="3:20">
      <c r="C2806" s="152" t="s">
        <v>2821</v>
      </c>
      <c r="F2806" s="152" t="s">
        <v>373</v>
      </c>
      <c r="G2806" s="152" t="s">
        <v>374</v>
      </c>
      <c r="I2806" s="513">
        <v>25724.7</v>
      </c>
      <c r="J2806" s="513">
        <v>18.18</v>
      </c>
      <c r="K2806" s="513">
        <v>1415</v>
      </c>
      <c r="L2806" s="518" t="s">
        <v>3511</v>
      </c>
      <c r="M2806" s="152" t="s">
        <v>1566</v>
      </c>
      <c r="N2806" s="152" t="s">
        <v>1407</v>
      </c>
      <c r="O2806" s="152" t="s">
        <v>5387</v>
      </c>
      <c r="P2806" s="152" t="s">
        <v>4279</v>
      </c>
      <c r="Q2806" s="152" t="s">
        <v>5388</v>
      </c>
      <c r="R2806" s="152" t="s">
        <v>5388</v>
      </c>
      <c r="S2806" s="152" t="s">
        <v>5389</v>
      </c>
      <c r="T2806" s="152" t="s">
        <v>786</v>
      </c>
    </row>
    <row r="2807" spans="3:20">
      <c r="C2807" s="152" t="s">
        <v>2821</v>
      </c>
      <c r="F2807" s="152" t="s">
        <v>373</v>
      </c>
      <c r="G2807" s="152" t="s">
        <v>374</v>
      </c>
      <c r="I2807" s="513">
        <v>5900.55</v>
      </c>
      <c r="J2807" s="513">
        <v>4.17</v>
      </c>
      <c r="K2807" s="513">
        <v>1415</v>
      </c>
      <c r="L2807" s="518" t="s">
        <v>3511</v>
      </c>
      <c r="M2807" s="152" t="s">
        <v>1566</v>
      </c>
      <c r="N2807" s="152" t="s">
        <v>1407</v>
      </c>
      <c r="O2807" s="152" t="s">
        <v>5390</v>
      </c>
      <c r="P2807" s="152" t="s">
        <v>4279</v>
      </c>
      <c r="Q2807" s="152" t="s">
        <v>5391</v>
      </c>
      <c r="R2807" s="152" t="s">
        <v>5391</v>
      </c>
      <c r="S2807" s="152" t="s">
        <v>5392</v>
      </c>
      <c r="T2807" s="152" t="s">
        <v>786</v>
      </c>
    </row>
    <row r="2808" spans="3:20">
      <c r="C2808" s="152" t="s">
        <v>2821</v>
      </c>
      <c r="F2808" s="152" t="s">
        <v>373</v>
      </c>
      <c r="G2808" s="152" t="s">
        <v>374</v>
      </c>
      <c r="I2808" s="513">
        <v>24380.45</v>
      </c>
      <c r="J2808" s="513">
        <v>17.23</v>
      </c>
      <c r="K2808" s="513">
        <v>1415</v>
      </c>
      <c r="L2808" s="518" t="s">
        <v>3511</v>
      </c>
      <c r="M2808" s="152" t="s">
        <v>1566</v>
      </c>
      <c r="N2808" s="152" t="s">
        <v>1407</v>
      </c>
      <c r="O2808" s="152" t="s">
        <v>5393</v>
      </c>
      <c r="P2808" s="152" t="s">
        <v>4279</v>
      </c>
      <c r="Q2808" s="152" t="s">
        <v>5394</v>
      </c>
      <c r="R2808" s="152" t="s">
        <v>5394</v>
      </c>
      <c r="S2808" s="152" t="s">
        <v>5395</v>
      </c>
      <c r="T2808" s="152" t="s">
        <v>786</v>
      </c>
    </row>
    <row r="2809" spans="3:20">
      <c r="C2809" s="152" t="s">
        <v>2821</v>
      </c>
      <c r="F2809" s="152" t="s">
        <v>373</v>
      </c>
      <c r="G2809" s="152" t="s">
        <v>374</v>
      </c>
      <c r="I2809" s="513">
        <v>25201.15</v>
      </c>
      <c r="J2809" s="513">
        <v>17.809999999999999</v>
      </c>
      <c r="K2809" s="513">
        <v>1415</v>
      </c>
      <c r="L2809" s="518" t="s">
        <v>3511</v>
      </c>
      <c r="M2809" s="152" t="s">
        <v>1566</v>
      </c>
      <c r="N2809" s="152" t="s">
        <v>1407</v>
      </c>
      <c r="O2809" s="152" t="s">
        <v>5396</v>
      </c>
      <c r="P2809" s="152" t="s">
        <v>4279</v>
      </c>
      <c r="Q2809" s="152" t="s">
        <v>5397</v>
      </c>
      <c r="R2809" s="152" t="s">
        <v>5397</v>
      </c>
      <c r="S2809" s="152" t="s">
        <v>5398</v>
      </c>
      <c r="T2809" s="152" t="s">
        <v>786</v>
      </c>
    </row>
    <row r="2810" spans="3:20">
      <c r="C2810" s="152" t="s">
        <v>2821</v>
      </c>
      <c r="F2810" s="152" t="s">
        <v>373</v>
      </c>
      <c r="G2810" s="152" t="s">
        <v>374</v>
      </c>
      <c r="I2810" s="513">
        <v>-1496250</v>
      </c>
      <c r="J2810" s="513">
        <v>-1050</v>
      </c>
      <c r="K2810" s="513">
        <v>1425</v>
      </c>
      <c r="L2810" s="518" t="s">
        <v>3504</v>
      </c>
      <c r="M2810" s="152" t="s">
        <v>1540</v>
      </c>
      <c r="N2810" s="152" t="s">
        <v>1407</v>
      </c>
      <c r="O2810" s="152" t="s">
        <v>5399</v>
      </c>
      <c r="P2810" s="152" t="s">
        <v>5400</v>
      </c>
      <c r="Q2810" s="152" t="s">
        <v>5401</v>
      </c>
      <c r="R2810" s="152" t="s">
        <v>5401</v>
      </c>
      <c r="S2810" s="152" t="s">
        <v>5402</v>
      </c>
      <c r="T2810" s="152" t="s">
        <v>786</v>
      </c>
    </row>
    <row r="2811" spans="3:20">
      <c r="C2811" s="152" t="s">
        <v>2821</v>
      </c>
      <c r="F2811" s="152" t="s">
        <v>373</v>
      </c>
      <c r="G2811" s="152" t="s">
        <v>374</v>
      </c>
      <c r="I2811" s="513">
        <v>-1425000</v>
      </c>
      <c r="J2811" s="513">
        <v>-1000</v>
      </c>
      <c r="K2811" s="513">
        <v>1425</v>
      </c>
      <c r="L2811" s="518" t="s">
        <v>3504</v>
      </c>
      <c r="M2811" s="152" t="s">
        <v>1540</v>
      </c>
      <c r="N2811" s="152" t="s">
        <v>1407</v>
      </c>
      <c r="O2811" s="152" t="s">
        <v>5403</v>
      </c>
      <c r="P2811" s="152" t="s">
        <v>5400</v>
      </c>
      <c r="Q2811" s="152" t="s">
        <v>5404</v>
      </c>
      <c r="R2811" s="152" t="s">
        <v>5404</v>
      </c>
      <c r="S2811" s="152" t="s">
        <v>5405</v>
      </c>
      <c r="T2811" s="152" t="s">
        <v>786</v>
      </c>
    </row>
    <row r="2812" spans="3:20">
      <c r="C2812" s="152" t="s">
        <v>2821</v>
      </c>
      <c r="F2812" s="152" t="s">
        <v>373</v>
      </c>
      <c r="G2812" s="152" t="s">
        <v>374</v>
      </c>
      <c r="I2812" s="513">
        <v>-1339500</v>
      </c>
      <c r="J2812" s="513">
        <v>-940</v>
      </c>
      <c r="K2812" s="513">
        <v>1425</v>
      </c>
      <c r="L2812" s="518" t="s">
        <v>3504</v>
      </c>
      <c r="M2812" s="152" t="s">
        <v>1540</v>
      </c>
      <c r="N2812" s="152" t="s">
        <v>1407</v>
      </c>
      <c r="O2812" s="152" t="s">
        <v>5406</v>
      </c>
      <c r="P2812" s="152" t="s">
        <v>5400</v>
      </c>
      <c r="Q2812" s="152" t="s">
        <v>5407</v>
      </c>
      <c r="R2812" s="152" t="s">
        <v>5407</v>
      </c>
      <c r="S2812" s="152" t="s">
        <v>5408</v>
      </c>
      <c r="T2812" s="152" t="s">
        <v>786</v>
      </c>
    </row>
    <row r="2813" spans="3:20">
      <c r="C2813" s="152" t="s">
        <v>2821</v>
      </c>
      <c r="F2813" s="152" t="s">
        <v>373</v>
      </c>
      <c r="G2813" s="152" t="s">
        <v>374</v>
      </c>
      <c r="I2813" s="513">
        <v>-441750</v>
      </c>
      <c r="J2813" s="513">
        <v>-310</v>
      </c>
      <c r="K2813" s="513">
        <v>1425</v>
      </c>
      <c r="L2813" s="518" t="s">
        <v>3504</v>
      </c>
      <c r="M2813" s="152" t="s">
        <v>1540</v>
      </c>
      <c r="N2813" s="152" t="s">
        <v>1407</v>
      </c>
      <c r="O2813" s="152" t="s">
        <v>5409</v>
      </c>
      <c r="P2813" s="152" t="s">
        <v>5400</v>
      </c>
      <c r="Q2813" s="152" t="s">
        <v>5410</v>
      </c>
      <c r="R2813" s="152" t="s">
        <v>5410</v>
      </c>
      <c r="S2813" s="152" t="s">
        <v>5411</v>
      </c>
      <c r="T2813" s="152" t="s">
        <v>786</v>
      </c>
    </row>
    <row r="2814" spans="3:20">
      <c r="C2814" s="152" t="s">
        <v>2821</v>
      </c>
      <c r="F2814" s="152" t="s">
        <v>373</v>
      </c>
      <c r="G2814" s="152" t="s">
        <v>374</v>
      </c>
      <c r="I2814" s="513">
        <v>-1282500</v>
      </c>
      <c r="J2814" s="513">
        <v>-900</v>
      </c>
      <c r="K2814" s="513">
        <v>1425</v>
      </c>
      <c r="L2814" s="518" t="s">
        <v>3504</v>
      </c>
      <c r="M2814" s="152" t="s">
        <v>1540</v>
      </c>
      <c r="N2814" s="152" t="s">
        <v>1407</v>
      </c>
      <c r="O2814" s="152" t="s">
        <v>5412</v>
      </c>
      <c r="P2814" s="152" t="s">
        <v>5400</v>
      </c>
      <c r="Q2814" s="152" t="s">
        <v>5413</v>
      </c>
      <c r="R2814" s="152" t="s">
        <v>5413</v>
      </c>
      <c r="S2814" s="152" t="s">
        <v>5414</v>
      </c>
      <c r="T2814" s="152" t="s">
        <v>786</v>
      </c>
    </row>
    <row r="2815" spans="3:20">
      <c r="C2815" s="152" t="s">
        <v>2821</v>
      </c>
      <c r="F2815" s="152" t="s">
        <v>373</v>
      </c>
      <c r="G2815" s="152" t="s">
        <v>374</v>
      </c>
      <c r="I2815" s="513">
        <v>-4039875</v>
      </c>
      <c r="J2815" s="513">
        <v>-2835</v>
      </c>
      <c r="K2815" s="513">
        <v>1425</v>
      </c>
      <c r="L2815" s="518" t="s">
        <v>3504</v>
      </c>
      <c r="M2815" s="152" t="s">
        <v>1540</v>
      </c>
      <c r="N2815" s="152" t="s">
        <v>1407</v>
      </c>
      <c r="O2815" s="152" t="s">
        <v>5415</v>
      </c>
      <c r="P2815" s="152" t="s">
        <v>5400</v>
      </c>
      <c r="Q2815" s="152" t="s">
        <v>5416</v>
      </c>
      <c r="R2815" s="152" t="s">
        <v>5416</v>
      </c>
      <c r="S2815" s="152" t="s">
        <v>5417</v>
      </c>
      <c r="T2815" s="152" t="s">
        <v>786</v>
      </c>
    </row>
    <row r="2816" spans="3:20">
      <c r="C2816" s="152" t="s">
        <v>2821</v>
      </c>
      <c r="F2816" s="152" t="s">
        <v>373</v>
      </c>
      <c r="G2816" s="152" t="s">
        <v>374</v>
      </c>
      <c r="I2816" s="513">
        <v>-712500</v>
      </c>
      <c r="J2816" s="513">
        <v>-500</v>
      </c>
      <c r="K2816" s="513">
        <v>1425</v>
      </c>
      <c r="L2816" s="518" t="s">
        <v>3504</v>
      </c>
      <c r="M2816" s="152" t="s">
        <v>1540</v>
      </c>
      <c r="N2816" s="152" t="s">
        <v>1407</v>
      </c>
      <c r="O2816" s="152" t="s">
        <v>5418</v>
      </c>
      <c r="P2816" s="152" t="s">
        <v>5400</v>
      </c>
      <c r="Q2816" s="152" t="s">
        <v>5419</v>
      </c>
      <c r="R2816" s="152" t="s">
        <v>5419</v>
      </c>
      <c r="S2816" s="152" t="s">
        <v>5420</v>
      </c>
      <c r="T2816" s="152" t="s">
        <v>786</v>
      </c>
    </row>
    <row r="2817" spans="3:20">
      <c r="C2817" s="152" t="s">
        <v>2821</v>
      </c>
      <c r="F2817" s="152" t="s">
        <v>373</v>
      </c>
      <c r="G2817" s="152" t="s">
        <v>374</v>
      </c>
      <c r="I2817" s="513">
        <v>-712500</v>
      </c>
      <c r="J2817" s="513">
        <v>-500</v>
      </c>
      <c r="K2817" s="513">
        <v>1425</v>
      </c>
      <c r="L2817" s="518" t="s">
        <v>3504</v>
      </c>
      <c r="M2817" s="152" t="s">
        <v>1540</v>
      </c>
      <c r="N2817" s="152" t="s">
        <v>1407</v>
      </c>
      <c r="O2817" s="152" t="s">
        <v>5421</v>
      </c>
      <c r="P2817" s="152" t="s">
        <v>5400</v>
      </c>
      <c r="Q2817" s="152" t="s">
        <v>5422</v>
      </c>
      <c r="R2817" s="152" t="s">
        <v>5422</v>
      </c>
      <c r="S2817" s="152" t="s">
        <v>5423</v>
      </c>
      <c r="T2817" s="152" t="s">
        <v>786</v>
      </c>
    </row>
    <row r="2818" spans="3:20">
      <c r="C2818" s="152" t="s">
        <v>2821</v>
      </c>
      <c r="F2818" s="152" t="s">
        <v>373</v>
      </c>
      <c r="G2818" s="152" t="s">
        <v>374</v>
      </c>
      <c r="I2818" s="513">
        <v>-997500</v>
      </c>
      <c r="J2818" s="513">
        <v>-700</v>
      </c>
      <c r="K2818" s="513">
        <v>1425</v>
      </c>
      <c r="L2818" s="518" t="s">
        <v>3504</v>
      </c>
      <c r="M2818" s="152" t="s">
        <v>1540</v>
      </c>
      <c r="N2818" s="152" t="s">
        <v>1407</v>
      </c>
      <c r="O2818" s="152" t="s">
        <v>5424</v>
      </c>
      <c r="P2818" s="152" t="s">
        <v>5400</v>
      </c>
      <c r="Q2818" s="152" t="s">
        <v>5425</v>
      </c>
      <c r="R2818" s="152" t="s">
        <v>5425</v>
      </c>
      <c r="S2818" s="152" t="s">
        <v>5426</v>
      </c>
      <c r="T2818" s="152" t="s">
        <v>786</v>
      </c>
    </row>
    <row r="2819" spans="3:20">
      <c r="C2819" s="152" t="s">
        <v>2821</v>
      </c>
      <c r="F2819" s="152" t="s">
        <v>373</v>
      </c>
      <c r="G2819" s="152" t="s">
        <v>374</v>
      </c>
      <c r="I2819" s="513">
        <v>-2137500</v>
      </c>
      <c r="J2819" s="513">
        <v>-1500</v>
      </c>
      <c r="K2819" s="513">
        <v>1425</v>
      </c>
      <c r="L2819" s="518" t="s">
        <v>3504</v>
      </c>
      <c r="M2819" s="152" t="s">
        <v>1540</v>
      </c>
      <c r="N2819" s="152" t="s">
        <v>1407</v>
      </c>
      <c r="O2819" s="152" t="s">
        <v>5427</v>
      </c>
      <c r="P2819" s="152" t="s">
        <v>5400</v>
      </c>
      <c r="Q2819" s="152" t="s">
        <v>5428</v>
      </c>
      <c r="R2819" s="152" t="s">
        <v>5428</v>
      </c>
      <c r="S2819" s="152" t="s">
        <v>5429</v>
      </c>
      <c r="T2819" s="152" t="s">
        <v>786</v>
      </c>
    </row>
    <row r="2820" spans="3:20">
      <c r="C2820" s="152" t="s">
        <v>2821</v>
      </c>
      <c r="F2820" s="152" t="s">
        <v>373</v>
      </c>
      <c r="G2820" s="152" t="s">
        <v>374</v>
      </c>
      <c r="I2820" s="513">
        <v>-1567500</v>
      </c>
      <c r="J2820" s="513">
        <v>-1100</v>
      </c>
      <c r="K2820" s="513">
        <v>1425</v>
      </c>
      <c r="L2820" s="518" t="s">
        <v>3504</v>
      </c>
      <c r="M2820" s="152" t="s">
        <v>1540</v>
      </c>
      <c r="N2820" s="152" t="s">
        <v>1407</v>
      </c>
      <c r="O2820" s="152" t="s">
        <v>5430</v>
      </c>
      <c r="P2820" s="152" t="s">
        <v>5400</v>
      </c>
      <c r="Q2820" s="152" t="s">
        <v>5431</v>
      </c>
      <c r="R2820" s="152" t="s">
        <v>5431</v>
      </c>
      <c r="S2820" s="152" t="s">
        <v>5432</v>
      </c>
      <c r="T2820" s="152" t="s">
        <v>786</v>
      </c>
    </row>
    <row r="2821" spans="3:20">
      <c r="C2821" s="152" t="s">
        <v>2821</v>
      </c>
      <c r="F2821" s="152" t="s">
        <v>373</v>
      </c>
      <c r="G2821" s="152" t="s">
        <v>374</v>
      </c>
      <c r="I2821" s="513">
        <v>-1137599.9993</v>
      </c>
      <c r="J2821" s="513">
        <v>-798.31578898245596</v>
      </c>
      <c r="K2821" s="513">
        <v>1425</v>
      </c>
      <c r="L2821" s="518" t="s">
        <v>3504</v>
      </c>
      <c r="M2821" s="152" t="s">
        <v>1540</v>
      </c>
      <c r="N2821" s="152" t="s">
        <v>1407</v>
      </c>
      <c r="O2821" s="152" t="s">
        <v>5433</v>
      </c>
      <c r="P2821" s="152" t="s">
        <v>5400</v>
      </c>
      <c r="Q2821" s="152" t="s">
        <v>5434</v>
      </c>
      <c r="R2821" s="152" t="s">
        <v>5434</v>
      </c>
      <c r="S2821" s="152" t="s">
        <v>5435</v>
      </c>
      <c r="T2821" s="152" t="s">
        <v>786</v>
      </c>
    </row>
    <row r="2822" spans="3:20">
      <c r="C2822" s="152" t="s">
        <v>2821</v>
      </c>
      <c r="F2822" s="152" t="s">
        <v>373</v>
      </c>
      <c r="G2822" s="152" t="s">
        <v>374</v>
      </c>
      <c r="I2822" s="513">
        <v>-3473437.4994000001</v>
      </c>
      <c r="J2822" s="513">
        <v>-2454.7261479858698</v>
      </c>
      <c r="K2822" s="513">
        <v>1415</v>
      </c>
      <c r="L2822" s="518" t="s">
        <v>3511</v>
      </c>
      <c r="M2822" s="152" t="s">
        <v>1540</v>
      </c>
      <c r="N2822" s="152" t="s">
        <v>1407</v>
      </c>
      <c r="O2822" s="152" t="s">
        <v>5436</v>
      </c>
      <c r="P2822" s="152" t="s">
        <v>5400</v>
      </c>
      <c r="Q2822" s="152" t="s">
        <v>5437</v>
      </c>
      <c r="R2822" s="152" t="s">
        <v>5437</v>
      </c>
      <c r="S2822" s="152" t="s">
        <v>5438</v>
      </c>
      <c r="T2822" s="152" t="s">
        <v>786</v>
      </c>
    </row>
    <row r="2823" spans="3:20">
      <c r="C2823" s="152" t="s">
        <v>2821</v>
      </c>
      <c r="F2823" s="152" t="s">
        <v>373</v>
      </c>
      <c r="G2823" s="152" t="s">
        <v>374</v>
      </c>
      <c r="I2823" s="513">
        <v>-849000</v>
      </c>
      <c r="J2823" s="513">
        <v>-600</v>
      </c>
      <c r="K2823" s="513">
        <v>1415</v>
      </c>
      <c r="L2823" s="518" t="s">
        <v>3511</v>
      </c>
      <c r="M2823" s="152" t="s">
        <v>1540</v>
      </c>
      <c r="N2823" s="152" t="s">
        <v>1407</v>
      </c>
      <c r="O2823" s="152" t="s">
        <v>5439</v>
      </c>
      <c r="P2823" s="152" t="s">
        <v>5400</v>
      </c>
      <c r="Q2823" s="152" t="s">
        <v>5440</v>
      </c>
      <c r="R2823" s="152" t="s">
        <v>5440</v>
      </c>
      <c r="S2823" s="152" t="s">
        <v>5441</v>
      </c>
      <c r="T2823" s="152" t="s">
        <v>786</v>
      </c>
    </row>
    <row r="2824" spans="3:20">
      <c r="C2824" s="152" t="s">
        <v>2821</v>
      </c>
      <c r="F2824" s="152" t="s">
        <v>373</v>
      </c>
      <c r="G2824" s="152" t="s">
        <v>374</v>
      </c>
      <c r="I2824" s="513">
        <v>-1273500</v>
      </c>
      <c r="J2824" s="513">
        <v>-900</v>
      </c>
      <c r="K2824" s="513">
        <v>1415</v>
      </c>
      <c r="L2824" s="518" t="s">
        <v>3511</v>
      </c>
      <c r="M2824" s="152" t="s">
        <v>1540</v>
      </c>
      <c r="N2824" s="152" t="s">
        <v>1407</v>
      </c>
      <c r="O2824" s="152" t="s">
        <v>5442</v>
      </c>
      <c r="P2824" s="152" t="s">
        <v>5400</v>
      </c>
      <c r="Q2824" s="152" t="s">
        <v>5443</v>
      </c>
      <c r="R2824" s="152" t="s">
        <v>5443</v>
      </c>
      <c r="S2824" s="152" t="s">
        <v>5444</v>
      </c>
      <c r="T2824" s="152" t="s">
        <v>786</v>
      </c>
    </row>
    <row r="2825" spans="3:20">
      <c r="C2825" s="152" t="s">
        <v>2821</v>
      </c>
      <c r="F2825" s="152" t="s">
        <v>373</v>
      </c>
      <c r="G2825" s="152" t="s">
        <v>374</v>
      </c>
      <c r="I2825" s="513">
        <v>-1556500</v>
      </c>
      <c r="J2825" s="513">
        <v>-1100</v>
      </c>
      <c r="K2825" s="513">
        <v>1415</v>
      </c>
      <c r="L2825" s="518" t="s">
        <v>3511</v>
      </c>
      <c r="M2825" s="152" t="s">
        <v>1540</v>
      </c>
      <c r="N2825" s="152" t="s">
        <v>1407</v>
      </c>
      <c r="O2825" s="152" t="s">
        <v>5445</v>
      </c>
      <c r="P2825" s="152" t="s">
        <v>5400</v>
      </c>
      <c r="Q2825" s="152" t="s">
        <v>5446</v>
      </c>
      <c r="R2825" s="152" t="s">
        <v>5446</v>
      </c>
      <c r="S2825" s="152" t="s">
        <v>5447</v>
      </c>
      <c r="T2825" s="152" t="s">
        <v>786</v>
      </c>
    </row>
    <row r="2826" spans="3:20">
      <c r="C2826" s="152" t="s">
        <v>2821</v>
      </c>
      <c r="F2826" s="152" t="s">
        <v>373</v>
      </c>
      <c r="G2826" s="152" t="s">
        <v>374</v>
      </c>
      <c r="I2826" s="513">
        <v>-2547000</v>
      </c>
      <c r="J2826" s="513">
        <v>-1800</v>
      </c>
      <c r="K2826" s="513">
        <v>1415</v>
      </c>
      <c r="L2826" s="518" t="s">
        <v>3511</v>
      </c>
      <c r="M2826" s="152" t="s">
        <v>1540</v>
      </c>
      <c r="N2826" s="152" t="s">
        <v>1407</v>
      </c>
      <c r="O2826" s="152" t="s">
        <v>5448</v>
      </c>
      <c r="P2826" s="152" t="s">
        <v>5400</v>
      </c>
      <c r="Q2826" s="152" t="s">
        <v>5449</v>
      </c>
      <c r="R2826" s="152" t="s">
        <v>5449</v>
      </c>
      <c r="S2826" s="152" t="s">
        <v>5450</v>
      </c>
      <c r="T2826" s="152" t="s">
        <v>786</v>
      </c>
    </row>
    <row r="2827" spans="3:20">
      <c r="C2827" s="152" t="s">
        <v>2821</v>
      </c>
      <c r="F2827" s="152" t="s">
        <v>373</v>
      </c>
      <c r="G2827" s="152" t="s">
        <v>374</v>
      </c>
      <c r="I2827" s="513">
        <v>-1415000</v>
      </c>
      <c r="J2827" s="513">
        <v>-1000</v>
      </c>
      <c r="K2827" s="513">
        <v>1415</v>
      </c>
      <c r="L2827" s="518" t="s">
        <v>3511</v>
      </c>
      <c r="M2827" s="152" t="s">
        <v>1540</v>
      </c>
      <c r="N2827" s="152" t="s">
        <v>1407</v>
      </c>
      <c r="O2827" s="152" t="s">
        <v>5451</v>
      </c>
      <c r="P2827" s="152" t="s">
        <v>5400</v>
      </c>
      <c r="Q2827" s="152" t="s">
        <v>5452</v>
      </c>
      <c r="R2827" s="152" t="s">
        <v>5452</v>
      </c>
      <c r="S2827" s="152" t="s">
        <v>5453</v>
      </c>
      <c r="T2827" s="152" t="s">
        <v>786</v>
      </c>
    </row>
    <row r="2828" spans="3:20">
      <c r="C2828" s="152" t="s">
        <v>2821</v>
      </c>
      <c r="F2828" s="152" t="s">
        <v>373</v>
      </c>
      <c r="G2828" s="152" t="s">
        <v>374</v>
      </c>
      <c r="I2828" s="513">
        <v>-3334499.9992999998</v>
      </c>
      <c r="J2828" s="513">
        <v>-2356.5371019787999</v>
      </c>
      <c r="K2828" s="513">
        <v>1415</v>
      </c>
      <c r="L2828" s="518" t="s">
        <v>3487</v>
      </c>
      <c r="M2828" s="152" t="s">
        <v>1540</v>
      </c>
      <c r="N2828" s="152" t="s">
        <v>1407</v>
      </c>
      <c r="O2828" s="152" t="s">
        <v>5454</v>
      </c>
      <c r="P2828" s="152" t="s">
        <v>5400</v>
      </c>
      <c r="Q2828" s="152" t="s">
        <v>5455</v>
      </c>
      <c r="R2828" s="152" t="s">
        <v>5455</v>
      </c>
      <c r="S2828" s="152" t="s">
        <v>5456</v>
      </c>
      <c r="T2828" s="152" t="s">
        <v>786</v>
      </c>
    </row>
    <row r="2829" spans="3:20">
      <c r="C2829" s="152" t="s">
        <v>2821</v>
      </c>
      <c r="F2829" s="152" t="s">
        <v>373</v>
      </c>
      <c r="G2829" s="152" t="s">
        <v>374</v>
      </c>
      <c r="I2829" s="513">
        <v>-4560000</v>
      </c>
      <c r="J2829" s="513">
        <v>-3222.6148409893999</v>
      </c>
      <c r="K2829" s="513">
        <v>1415</v>
      </c>
      <c r="L2829" s="518" t="s">
        <v>3487</v>
      </c>
      <c r="M2829" s="152" t="s">
        <v>1540</v>
      </c>
      <c r="N2829" s="152" t="s">
        <v>1407</v>
      </c>
      <c r="O2829" s="152" t="s">
        <v>5457</v>
      </c>
      <c r="P2829" s="152" t="s">
        <v>5400</v>
      </c>
      <c r="Q2829" s="152" t="s">
        <v>5458</v>
      </c>
      <c r="R2829" s="152" t="s">
        <v>5458</v>
      </c>
      <c r="S2829" s="152" t="s">
        <v>5459</v>
      </c>
      <c r="T2829" s="152" t="s">
        <v>786</v>
      </c>
    </row>
    <row r="2830" spans="3:20">
      <c r="C2830" s="152" t="s">
        <v>2821</v>
      </c>
      <c r="F2830" s="152" t="s">
        <v>373</v>
      </c>
      <c r="G2830" s="152" t="s">
        <v>374</v>
      </c>
      <c r="I2830" s="513">
        <v>-3102000</v>
      </c>
      <c r="J2830" s="513">
        <v>-2200</v>
      </c>
      <c r="K2830" s="513">
        <v>1410</v>
      </c>
      <c r="L2830" s="518" t="s">
        <v>3498</v>
      </c>
      <c r="M2830" s="152" t="s">
        <v>1540</v>
      </c>
      <c r="N2830" s="152" t="s">
        <v>1407</v>
      </c>
      <c r="O2830" s="152" t="s">
        <v>5460</v>
      </c>
      <c r="P2830" s="152" t="s">
        <v>5400</v>
      </c>
      <c r="Q2830" s="152" t="s">
        <v>5461</v>
      </c>
      <c r="R2830" s="152" t="s">
        <v>5461</v>
      </c>
      <c r="S2830" s="152" t="s">
        <v>5462</v>
      </c>
      <c r="T2830" s="152" t="s">
        <v>786</v>
      </c>
    </row>
    <row r="2831" spans="3:20">
      <c r="C2831" s="152" t="s">
        <v>2821</v>
      </c>
      <c r="F2831" s="152" t="s">
        <v>373</v>
      </c>
      <c r="G2831" s="152" t="s">
        <v>374</v>
      </c>
      <c r="I2831" s="513">
        <v>-1269000</v>
      </c>
      <c r="J2831" s="513">
        <v>-900</v>
      </c>
      <c r="K2831" s="513">
        <v>1410</v>
      </c>
      <c r="L2831" s="518" t="s">
        <v>3498</v>
      </c>
      <c r="M2831" s="152" t="s">
        <v>1540</v>
      </c>
      <c r="N2831" s="152" t="s">
        <v>1407</v>
      </c>
      <c r="O2831" s="152" t="s">
        <v>5463</v>
      </c>
      <c r="P2831" s="152" t="s">
        <v>5400</v>
      </c>
      <c r="Q2831" s="152" t="s">
        <v>5464</v>
      </c>
      <c r="R2831" s="152" t="s">
        <v>5464</v>
      </c>
      <c r="S2831" s="152" t="s">
        <v>5465</v>
      </c>
      <c r="T2831" s="152" t="s">
        <v>786</v>
      </c>
    </row>
    <row r="2832" spans="3:20">
      <c r="C2832" s="152" t="s">
        <v>2821</v>
      </c>
      <c r="F2832" s="152" t="s">
        <v>373</v>
      </c>
      <c r="G2832" s="152" t="s">
        <v>374</v>
      </c>
      <c r="I2832" s="513">
        <v>-1198500</v>
      </c>
      <c r="J2832" s="513">
        <v>-850</v>
      </c>
      <c r="K2832" s="513">
        <v>1410</v>
      </c>
      <c r="L2832" s="518" t="s">
        <v>3498</v>
      </c>
      <c r="M2832" s="152" t="s">
        <v>1540</v>
      </c>
      <c r="N2832" s="152" t="s">
        <v>1407</v>
      </c>
      <c r="O2832" s="152" t="s">
        <v>5466</v>
      </c>
      <c r="P2832" s="152" t="s">
        <v>5400</v>
      </c>
      <c r="Q2832" s="152" t="s">
        <v>5467</v>
      </c>
      <c r="R2832" s="152" t="s">
        <v>5467</v>
      </c>
      <c r="S2832" s="152" t="s">
        <v>5468</v>
      </c>
      <c r="T2832" s="152" t="s">
        <v>786</v>
      </c>
    </row>
    <row r="2833" spans="3:20">
      <c r="C2833" s="152" t="s">
        <v>2821</v>
      </c>
      <c r="F2833" s="152" t="s">
        <v>373</v>
      </c>
      <c r="G2833" s="152" t="s">
        <v>374</v>
      </c>
      <c r="I2833" s="513">
        <v>-2820000</v>
      </c>
      <c r="J2833" s="513">
        <v>-2000</v>
      </c>
      <c r="K2833" s="513">
        <v>1410</v>
      </c>
      <c r="L2833" s="518" t="s">
        <v>3498</v>
      </c>
      <c r="M2833" s="152" t="s">
        <v>1540</v>
      </c>
      <c r="N2833" s="152" t="s">
        <v>1407</v>
      </c>
      <c r="O2833" s="152" t="s">
        <v>5469</v>
      </c>
      <c r="P2833" s="152" t="s">
        <v>5400</v>
      </c>
      <c r="Q2833" s="152" t="s">
        <v>5470</v>
      </c>
      <c r="R2833" s="152" t="s">
        <v>5470</v>
      </c>
      <c r="S2833" s="152" t="s">
        <v>5471</v>
      </c>
      <c r="T2833" s="152" t="s">
        <v>786</v>
      </c>
    </row>
    <row r="2834" spans="3:20">
      <c r="C2834" s="152" t="s">
        <v>2821</v>
      </c>
      <c r="F2834" s="152" t="s">
        <v>373</v>
      </c>
      <c r="G2834" s="152" t="s">
        <v>374</v>
      </c>
      <c r="I2834" s="513">
        <v>-2463975</v>
      </c>
      <c r="J2834" s="513">
        <v>-1747.5</v>
      </c>
      <c r="K2834" s="513">
        <v>1410</v>
      </c>
      <c r="L2834" s="518" t="s">
        <v>3498</v>
      </c>
      <c r="M2834" s="152" t="s">
        <v>1540</v>
      </c>
      <c r="N2834" s="152" t="s">
        <v>1407</v>
      </c>
      <c r="O2834" s="152" t="s">
        <v>5472</v>
      </c>
      <c r="P2834" s="152" t="s">
        <v>5400</v>
      </c>
      <c r="Q2834" s="152" t="s">
        <v>5473</v>
      </c>
      <c r="R2834" s="152" t="s">
        <v>5473</v>
      </c>
      <c r="S2834" s="152" t="s">
        <v>5474</v>
      </c>
      <c r="T2834" s="152" t="s">
        <v>786</v>
      </c>
    </row>
    <row r="2835" spans="3:20">
      <c r="C2835" s="152" t="s">
        <v>2821</v>
      </c>
      <c r="F2835" s="152" t="s">
        <v>373</v>
      </c>
      <c r="G2835" s="152" t="s">
        <v>374</v>
      </c>
      <c r="I2835" s="513">
        <v>-4230000</v>
      </c>
      <c r="J2835" s="513">
        <v>-3000</v>
      </c>
      <c r="K2835" s="513">
        <v>1410</v>
      </c>
      <c r="L2835" s="518" t="s">
        <v>3498</v>
      </c>
      <c r="M2835" s="152" t="s">
        <v>1540</v>
      </c>
      <c r="N2835" s="152" t="s">
        <v>1407</v>
      </c>
      <c r="O2835" s="152" t="s">
        <v>5475</v>
      </c>
      <c r="P2835" s="152" t="s">
        <v>5400</v>
      </c>
      <c r="Q2835" s="152" t="s">
        <v>5476</v>
      </c>
      <c r="R2835" s="152" t="s">
        <v>5476</v>
      </c>
      <c r="S2835" s="152" t="s">
        <v>5477</v>
      </c>
      <c r="T2835" s="152" t="s">
        <v>786</v>
      </c>
    </row>
    <row r="2836" spans="3:20">
      <c r="C2836" s="152" t="s">
        <v>2821</v>
      </c>
      <c r="F2836" s="152" t="s">
        <v>373</v>
      </c>
      <c r="G2836" s="152" t="s">
        <v>374</v>
      </c>
      <c r="I2836" s="513">
        <v>-6087675</v>
      </c>
      <c r="J2836" s="513">
        <v>-4317.5</v>
      </c>
      <c r="K2836" s="513">
        <v>1410</v>
      </c>
      <c r="L2836" s="518" t="s">
        <v>3498</v>
      </c>
      <c r="M2836" s="152" t="s">
        <v>1540</v>
      </c>
      <c r="N2836" s="152" t="s">
        <v>1407</v>
      </c>
      <c r="O2836" s="152" t="s">
        <v>5478</v>
      </c>
      <c r="P2836" s="152" t="s">
        <v>5400</v>
      </c>
      <c r="Q2836" s="152" t="s">
        <v>5479</v>
      </c>
      <c r="R2836" s="152" t="s">
        <v>5479</v>
      </c>
      <c r="S2836" s="152" t="s">
        <v>5480</v>
      </c>
      <c r="T2836" s="152" t="s">
        <v>786</v>
      </c>
    </row>
    <row r="2837" spans="3:20">
      <c r="C2837" s="152" t="s">
        <v>2821</v>
      </c>
      <c r="F2837" s="152" t="s">
        <v>373</v>
      </c>
      <c r="G2837" s="152" t="s">
        <v>374</v>
      </c>
      <c r="I2837" s="513">
        <v>-2115000</v>
      </c>
      <c r="J2837" s="513">
        <v>-1500</v>
      </c>
      <c r="K2837" s="513">
        <v>1410</v>
      </c>
      <c r="L2837" s="518" t="s">
        <v>3498</v>
      </c>
      <c r="M2837" s="152" t="s">
        <v>1540</v>
      </c>
      <c r="N2837" s="152" t="s">
        <v>1407</v>
      </c>
      <c r="O2837" s="152" t="s">
        <v>5481</v>
      </c>
      <c r="P2837" s="152" t="s">
        <v>5400</v>
      </c>
      <c r="Q2837" s="152" t="s">
        <v>5482</v>
      </c>
      <c r="R2837" s="152" t="s">
        <v>5482</v>
      </c>
      <c r="S2837" s="152" t="s">
        <v>5483</v>
      </c>
      <c r="T2837" s="152" t="s">
        <v>786</v>
      </c>
    </row>
    <row r="2838" spans="3:20">
      <c r="C2838" s="152" t="s">
        <v>2821</v>
      </c>
      <c r="F2838" s="152" t="s">
        <v>373</v>
      </c>
      <c r="G2838" s="152" t="s">
        <v>374</v>
      </c>
      <c r="I2838" s="513">
        <v>-3789375</v>
      </c>
      <c r="J2838" s="513">
        <v>-2687.5</v>
      </c>
      <c r="K2838" s="513">
        <v>1410</v>
      </c>
      <c r="L2838" s="518" t="s">
        <v>3498</v>
      </c>
      <c r="M2838" s="152" t="s">
        <v>1540</v>
      </c>
      <c r="N2838" s="152" t="s">
        <v>1407</v>
      </c>
      <c r="O2838" s="152" t="s">
        <v>5484</v>
      </c>
      <c r="P2838" s="152" t="s">
        <v>5400</v>
      </c>
      <c r="Q2838" s="152" t="s">
        <v>5485</v>
      </c>
      <c r="R2838" s="152" t="s">
        <v>5485</v>
      </c>
      <c r="S2838" s="152" t="s">
        <v>5486</v>
      </c>
      <c r="T2838" s="152" t="s">
        <v>786</v>
      </c>
    </row>
    <row r="2839" spans="3:20">
      <c r="C2839" s="152" t="s">
        <v>2821</v>
      </c>
      <c r="F2839" s="152" t="s">
        <v>373</v>
      </c>
      <c r="G2839" s="152" t="s">
        <v>374</v>
      </c>
      <c r="I2839" s="513">
        <v>-5358000</v>
      </c>
      <c r="J2839" s="513">
        <v>-3800</v>
      </c>
      <c r="K2839" s="513">
        <v>1410</v>
      </c>
      <c r="L2839" s="518" t="s">
        <v>3498</v>
      </c>
      <c r="M2839" s="152" t="s">
        <v>1540</v>
      </c>
      <c r="N2839" s="152" t="s">
        <v>1407</v>
      </c>
      <c r="O2839" s="152" t="s">
        <v>5487</v>
      </c>
      <c r="P2839" s="152" t="s">
        <v>5400</v>
      </c>
      <c r="Q2839" s="152" t="s">
        <v>5488</v>
      </c>
      <c r="R2839" s="152" t="s">
        <v>5488</v>
      </c>
      <c r="S2839" s="152" t="s">
        <v>5489</v>
      </c>
      <c r="T2839" s="152" t="s">
        <v>786</v>
      </c>
    </row>
    <row r="2840" spans="3:20">
      <c r="C2840" s="152" t="s">
        <v>2821</v>
      </c>
      <c r="F2840" s="152" t="s">
        <v>373</v>
      </c>
      <c r="G2840" s="152" t="s">
        <v>374</v>
      </c>
      <c r="I2840" s="513">
        <v>-4371000</v>
      </c>
      <c r="J2840" s="513">
        <v>-3100</v>
      </c>
      <c r="K2840" s="513">
        <v>1410</v>
      </c>
      <c r="L2840" s="518" t="s">
        <v>3498</v>
      </c>
      <c r="M2840" s="152" t="s">
        <v>1540</v>
      </c>
      <c r="N2840" s="152" t="s">
        <v>1407</v>
      </c>
      <c r="O2840" s="152" t="s">
        <v>5490</v>
      </c>
      <c r="P2840" s="152" t="s">
        <v>5400</v>
      </c>
      <c r="Q2840" s="152" t="s">
        <v>5491</v>
      </c>
      <c r="R2840" s="152" t="s">
        <v>5491</v>
      </c>
      <c r="S2840" s="152" t="s">
        <v>5492</v>
      </c>
      <c r="T2840" s="152" t="s">
        <v>786</v>
      </c>
    </row>
    <row r="2841" spans="3:20">
      <c r="C2841" s="152" t="s">
        <v>2821</v>
      </c>
      <c r="F2841" s="152" t="s">
        <v>373</v>
      </c>
      <c r="G2841" s="152" t="s">
        <v>374</v>
      </c>
      <c r="I2841" s="513">
        <v>-3948000</v>
      </c>
      <c r="J2841" s="513">
        <v>-2800</v>
      </c>
      <c r="K2841" s="513">
        <v>1410</v>
      </c>
      <c r="L2841" s="518" t="s">
        <v>3498</v>
      </c>
      <c r="M2841" s="152" t="s">
        <v>1540</v>
      </c>
      <c r="N2841" s="152" t="s">
        <v>1407</v>
      </c>
      <c r="O2841" s="152" t="s">
        <v>5493</v>
      </c>
      <c r="P2841" s="152" t="s">
        <v>5400</v>
      </c>
      <c r="Q2841" s="152" t="s">
        <v>5494</v>
      </c>
      <c r="R2841" s="152" t="s">
        <v>5494</v>
      </c>
      <c r="S2841" s="152" t="s">
        <v>5495</v>
      </c>
      <c r="T2841" s="152" t="s">
        <v>786</v>
      </c>
    </row>
    <row r="2842" spans="3:20">
      <c r="C2842" s="152" t="s">
        <v>2821</v>
      </c>
      <c r="F2842" s="152" t="s">
        <v>373</v>
      </c>
      <c r="G2842" s="152" t="s">
        <v>374</v>
      </c>
      <c r="I2842" s="513">
        <v>-1410000</v>
      </c>
      <c r="J2842" s="513">
        <v>-1000</v>
      </c>
      <c r="K2842" s="513">
        <v>1410</v>
      </c>
      <c r="L2842" s="518" t="s">
        <v>3498</v>
      </c>
      <c r="M2842" s="152" t="s">
        <v>1540</v>
      </c>
      <c r="N2842" s="152" t="s">
        <v>1407</v>
      </c>
      <c r="O2842" s="152" t="s">
        <v>5496</v>
      </c>
      <c r="P2842" s="152" t="s">
        <v>5400</v>
      </c>
      <c r="Q2842" s="152" t="s">
        <v>5497</v>
      </c>
      <c r="R2842" s="152" t="s">
        <v>5497</v>
      </c>
      <c r="S2842" s="152" t="s">
        <v>5498</v>
      </c>
      <c r="T2842" s="152" t="s">
        <v>786</v>
      </c>
    </row>
    <row r="2843" spans="3:20">
      <c r="C2843" s="152" t="s">
        <v>2821</v>
      </c>
      <c r="F2843" s="152" t="s">
        <v>373</v>
      </c>
      <c r="G2843" s="152" t="s">
        <v>374</v>
      </c>
      <c r="I2843" s="513">
        <v>-2749500</v>
      </c>
      <c r="J2843" s="513">
        <v>-1950</v>
      </c>
      <c r="K2843" s="513">
        <v>1410</v>
      </c>
      <c r="L2843" s="518" t="s">
        <v>3498</v>
      </c>
      <c r="M2843" s="152" t="s">
        <v>1540</v>
      </c>
      <c r="N2843" s="152" t="s">
        <v>1407</v>
      </c>
      <c r="O2843" s="152" t="s">
        <v>5499</v>
      </c>
      <c r="P2843" s="152" t="s">
        <v>5400</v>
      </c>
      <c r="Q2843" s="152" t="s">
        <v>5500</v>
      </c>
      <c r="R2843" s="152" t="s">
        <v>5500</v>
      </c>
      <c r="S2843" s="152" t="s">
        <v>5501</v>
      </c>
      <c r="T2843" s="152" t="s">
        <v>786</v>
      </c>
    </row>
    <row r="2844" spans="3:20">
      <c r="C2844" s="152" t="s">
        <v>2821</v>
      </c>
      <c r="F2844" s="152" t="s">
        <v>373</v>
      </c>
      <c r="G2844" s="152" t="s">
        <v>374</v>
      </c>
      <c r="I2844" s="513">
        <v>-3281775</v>
      </c>
      <c r="J2844" s="513">
        <v>-2327.5</v>
      </c>
      <c r="K2844" s="513">
        <v>1410</v>
      </c>
      <c r="L2844" s="518" t="s">
        <v>3498</v>
      </c>
      <c r="M2844" s="152" t="s">
        <v>1540</v>
      </c>
      <c r="N2844" s="152" t="s">
        <v>1407</v>
      </c>
      <c r="O2844" s="152" t="s">
        <v>5502</v>
      </c>
      <c r="P2844" s="152" t="s">
        <v>5400</v>
      </c>
      <c r="Q2844" s="152" t="s">
        <v>5503</v>
      </c>
      <c r="R2844" s="152" t="s">
        <v>5503</v>
      </c>
      <c r="S2844" s="152" t="s">
        <v>5504</v>
      </c>
      <c r="T2844" s="152" t="s">
        <v>786</v>
      </c>
    </row>
    <row r="2845" spans="3:20">
      <c r="C2845" s="152" t="s">
        <v>2821</v>
      </c>
      <c r="F2845" s="152" t="s">
        <v>373</v>
      </c>
      <c r="G2845" s="152" t="s">
        <v>374</v>
      </c>
      <c r="I2845" s="513">
        <v>-1057500</v>
      </c>
      <c r="J2845" s="513">
        <v>-750</v>
      </c>
      <c r="K2845" s="513">
        <v>1410</v>
      </c>
      <c r="L2845" s="518" t="s">
        <v>3498</v>
      </c>
      <c r="M2845" s="152" t="s">
        <v>1540</v>
      </c>
      <c r="N2845" s="152" t="s">
        <v>1407</v>
      </c>
      <c r="O2845" s="152" t="s">
        <v>5505</v>
      </c>
      <c r="P2845" s="152" t="s">
        <v>5400</v>
      </c>
      <c r="Q2845" s="152" t="s">
        <v>5506</v>
      </c>
      <c r="R2845" s="152" t="s">
        <v>5506</v>
      </c>
      <c r="S2845" s="152" t="s">
        <v>5507</v>
      </c>
      <c r="T2845" s="152" t="s">
        <v>786</v>
      </c>
    </row>
    <row r="2846" spans="3:20">
      <c r="C2846" s="152" t="s">
        <v>2821</v>
      </c>
      <c r="F2846" s="152" t="s">
        <v>373</v>
      </c>
      <c r="G2846" s="152" t="s">
        <v>374</v>
      </c>
      <c r="I2846" s="513">
        <v>-1551000</v>
      </c>
      <c r="J2846" s="513">
        <v>-1100</v>
      </c>
      <c r="K2846" s="513">
        <v>1410</v>
      </c>
      <c r="L2846" s="518" t="s">
        <v>3498</v>
      </c>
      <c r="M2846" s="152" t="s">
        <v>1540</v>
      </c>
      <c r="N2846" s="152" t="s">
        <v>1407</v>
      </c>
      <c r="O2846" s="152" t="s">
        <v>5508</v>
      </c>
      <c r="P2846" s="152" t="s">
        <v>5400</v>
      </c>
      <c r="Q2846" s="152" t="s">
        <v>5509</v>
      </c>
      <c r="R2846" s="152" t="s">
        <v>5509</v>
      </c>
      <c r="S2846" s="152" t="s">
        <v>5510</v>
      </c>
      <c r="T2846" s="152" t="s">
        <v>786</v>
      </c>
    </row>
    <row r="2847" spans="3:20">
      <c r="C2847" s="152" t="s">
        <v>2821</v>
      </c>
      <c r="F2847" s="152" t="s">
        <v>373</v>
      </c>
      <c r="G2847" s="152" t="s">
        <v>374</v>
      </c>
      <c r="I2847" s="513">
        <v>-846000</v>
      </c>
      <c r="J2847" s="513">
        <v>-600</v>
      </c>
      <c r="K2847" s="513">
        <v>1410</v>
      </c>
      <c r="L2847" s="518" t="s">
        <v>3498</v>
      </c>
      <c r="M2847" s="152" t="s">
        <v>1540</v>
      </c>
      <c r="N2847" s="152" t="s">
        <v>1407</v>
      </c>
      <c r="O2847" s="152" t="s">
        <v>5511</v>
      </c>
      <c r="P2847" s="152" t="s">
        <v>5400</v>
      </c>
      <c r="Q2847" s="152" t="s">
        <v>5512</v>
      </c>
      <c r="R2847" s="152" t="s">
        <v>5512</v>
      </c>
      <c r="S2847" s="152" t="s">
        <v>5513</v>
      </c>
      <c r="T2847" s="152" t="s">
        <v>786</v>
      </c>
    </row>
    <row r="2848" spans="3:20">
      <c r="C2848" s="152" t="s">
        <v>2821</v>
      </c>
      <c r="F2848" s="152" t="s">
        <v>373</v>
      </c>
      <c r="G2848" s="152" t="s">
        <v>374</v>
      </c>
      <c r="I2848" s="513">
        <v>-1410000</v>
      </c>
      <c r="J2848" s="513">
        <v>-1000</v>
      </c>
      <c r="K2848" s="513">
        <v>1410</v>
      </c>
      <c r="L2848" s="518" t="s">
        <v>3498</v>
      </c>
      <c r="M2848" s="152" t="s">
        <v>1540</v>
      </c>
      <c r="N2848" s="152" t="s">
        <v>1407</v>
      </c>
      <c r="O2848" s="152" t="s">
        <v>5514</v>
      </c>
      <c r="P2848" s="152" t="s">
        <v>5400</v>
      </c>
      <c r="Q2848" s="152" t="s">
        <v>5515</v>
      </c>
      <c r="R2848" s="152" t="s">
        <v>5515</v>
      </c>
      <c r="S2848" s="152" t="s">
        <v>5516</v>
      </c>
      <c r="T2848" s="152" t="s">
        <v>786</v>
      </c>
    </row>
    <row r="2849" spans="3:20">
      <c r="C2849" s="152" t="s">
        <v>2821</v>
      </c>
      <c r="F2849" s="152" t="s">
        <v>373</v>
      </c>
      <c r="G2849" s="152" t="s">
        <v>374</v>
      </c>
      <c r="I2849" s="513">
        <v>-3676500.0005999999</v>
      </c>
      <c r="J2849" s="513">
        <v>-2598.2332159717298</v>
      </c>
      <c r="K2849" s="513">
        <v>1415</v>
      </c>
      <c r="L2849" s="518" t="s">
        <v>3511</v>
      </c>
      <c r="M2849" s="152" t="s">
        <v>1540</v>
      </c>
      <c r="N2849" s="152" t="s">
        <v>1407</v>
      </c>
      <c r="O2849" s="152" t="s">
        <v>5517</v>
      </c>
      <c r="P2849" s="152" t="s">
        <v>5400</v>
      </c>
      <c r="Q2849" s="152" t="s">
        <v>5518</v>
      </c>
      <c r="R2849" s="152" t="s">
        <v>5518</v>
      </c>
      <c r="S2849" s="152" t="s">
        <v>5519</v>
      </c>
      <c r="T2849" s="152" t="s">
        <v>786</v>
      </c>
    </row>
    <row r="2850" spans="3:20">
      <c r="C2850" s="152" t="s">
        <v>2821</v>
      </c>
      <c r="F2850" s="152" t="s">
        <v>373</v>
      </c>
      <c r="G2850" s="152" t="s">
        <v>374</v>
      </c>
      <c r="I2850" s="513">
        <v>-489599.99979999999</v>
      </c>
      <c r="J2850" s="513">
        <v>-346.00706699646599</v>
      </c>
      <c r="K2850" s="513">
        <v>1415</v>
      </c>
      <c r="L2850" s="518" t="s">
        <v>3511</v>
      </c>
      <c r="M2850" s="152" t="s">
        <v>1540</v>
      </c>
      <c r="N2850" s="152" t="s">
        <v>1407</v>
      </c>
      <c r="O2850" s="152" t="s">
        <v>5520</v>
      </c>
      <c r="P2850" s="152" t="s">
        <v>5400</v>
      </c>
      <c r="Q2850" s="152" t="s">
        <v>5521</v>
      </c>
      <c r="R2850" s="152" t="s">
        <v>5521</v>
      </c>
      <c r="S2850" s="152" t="s">
        <v>5522</v>
      </c>
      <c r="T2850" s="152" t="s">
        <v>786</v>
      </c>
    </row>
    <row r="2851" spans="3:20">
      <c r="C2851" s="152" t="s">
        <v>2821</v>
      </c>
      <c r="F2851" s="152" t="s">
        <v>373</v>
      </c>
      <c r="G2851" s="152" t="s">
        <v>374</v>
      </c>
      <c r="I2851" s="513">
        <v>-5346599.9999000002</v>
      </c>
      <c r="J2851" s="513">
        <v>-3778.5159009894001</v>
      </c>
      <c r="K2851" s="513">
        <v>1415</v>
      </c>
      <c r="L2851" s="518" t="s">
        <v>3511</v>
      </c>
      <c r="M2851" s="152" t="s">
        <v>1540</v>
      </c>
      <c r="N2851" s="152" t="s">
        <v>1407</v>
      </c>
      <c r="O2851" s="152" t="s">
        <v>5523</v>
      </c>
      <c r="P2851" s="152" t="s">
        <v>5400</v>
      </c>
      <c r="Q2851" s="152" t="s">
        <v>5524</v>
      </c>
      <c r="R2851" s="152" t="s">
        <v>5524</v>
      </c>
      <c r="S2851" s="152" t="s">
        <v>5525</v>
      </c>
      <c r="T2851" s="152" t="s">
        <v>786</v>
      </c>
    </row>
    <row r="2852" spans="3:20">
      <c r="C2852" s="152" t="s">
        <v>2821</v>
      </c>
      <c r="F2852" s="152" t="s">
        <v>373</v>
      </c>
      <c r="G2852" s="152" t="s">
        <v>374</v>
      </c>
      <c r="I2852" s="513">
        <v>-5471999.9996999996</v>
      </c>
      <c r="J2852" s="513">
        <v>-3867.1378089752602</v>
      </c>
      <c r="K2852" s="513">
        <v>1415</v>
      </c>
      <c r="L2852" s="518" t="s">
        <v>3511</v>
      </c>
      <c r="M2852" s="152" t="s">
        <v>1540</v>
      </c>
      <c r="N2852" s="152" t="s">
        <v>1407</v>
      </c>
      <c r="O2852" s="152" t="s">
        <v>5526</v>
      </c>
      <c r="P2852" s="152" t="s">
        <v>5400</v>
      </c>
      <c r="Q2852" s="152" t="s">
        <v>5527</v>
      </c>
      <c r="R2852" s="152" t="s">
        <v>5527</v>
      </c>
      <c r="S2852" s="152" t="s">
        <v>5528</v>
      </c>
      <c r="T2852" s="152" t="s">
        <v>786</v>
      </c>
    </row>
    <row r="2853" spans="3:20">
      <c r="C2853" s="152" t="s">
        <v>2821</v>
      </c>
      <c r="F2853" s="152" t="s">
        <v>373</v>
      </c>
      <c r="G2853" s="152" t="s">
        <v>374</v>
      </c>
      <c r="I2853" s="513">
        <v>-1857599.9994000001</v>
      </c>
      <c r="J2853" s="513">
        <v>-1312.7915190106</v>
      </c>
      <c r="K2853" s="513">
        <v>1415</v>
      </c>
      <c r="L2853" s="518" t="s">
        <v>3511</v>
      </c>
      <c r="M2853" s="152" t="s">
        <v>1540</v>
      </c>
      <c r="N2853" s="152" t="s">
        <v>1407</v>
      </c>
      <c r="O2853" s="152" t="s">
        <v>5529</v>
      </c>
      <c r="P2853" s="152" t="s">
        <v>5400</v>
      </c>
      <c r="Q2853" s="152" t="s">
        <v>5530</v>
      </c>
      <c r="R2853" s="152" t="s">
        <v>5530</v>
      </c>
      <c r="S2853" s="152" t="s">
        <v>5531</v>
      </c>
      <c r="T2853" s="152" t="s">
        <v>786</v>
      </c>
    </row>
    <row r="2854" spans="3:20">
      <c r="C2854" s="152" t="s">
        <v>2821</v>
      </c>
      <c r="F2854" s="152" t="s">
        <v>373</v>
      </c>
      <c r="G2854" s="152" t="s">
        <v>374</v>
      </c>
      <c r="I2854" s="513">
        <v>-11728462.500399999</v>
      </c>
      <c r="J2854" s="513">
        <v>-8288.6660780212005</v>
      </c>
      <c r="K2854" s="513">
        <v>1415</v>
      </c>
      <c r="L2854" s="518" t="s">
        <v>3511</v>
      </c>
      <c r="M2854" s="152" t="s">
        <v>1540</v>
      </c>
      <c r="N2854" s="152" t="s">
        <v>1407</v>
      </c>
      <c r="O2854" s="152" t="s">
        <v>5532</v>
      </c>
      <c r="P2854" s="152" t="s">
        <v>5400</v>
      </c>
      <c r="Q2854" s="152" t="s">
        <v>5533</v>
      </c>
      <c r="R2854" s="152" t="s">
        <v>5533</v>
      </c>
      <c r="S2854" s="152" t="s">
        <v>5534</v>
      </c>
      <c r="T2854" s="152" t="s">
        <v>786</v>
      </c>
    </row>
    <row r="2855" spans="3:20">
      <c r="C2855" s="152" t="s">
        <v>2821</v>
      </c>
      <c r="F2855" s="152" t="s">
        <v>373</v>
      </c>
      <c r="G2855" s="152" t="s">
        <v>374</v>
      </c>
      <c r="I2855" s="513">
        <v>-359999.99979999999</v>
      </c>
      <c r="J2855" s="513">
        <v>-254.416960989399</v>
      </c>
      <c r="K2855" s="513">
        <v>1415</v>
      </c>
      <c r="L2855" s="518" t="s">
        <v>3511</v>
      </c>
      <c r="M2855" s="152" t="s">
        <v>1540</v>
      </c>
      <c r="N2855" s="152" t="s">
        <v>1407</v>
      </c>
      <c r="O2855" s="152" t="s">
        <v>5535</v>
      </c>
      <c r="P2855" s="152" t="s">
        <v>5400</v>
      </c>
      <c r="Q2855" s="152" t="s">
        <v>5536</v>
      </c>
      <c r="R2855" s="152" t="s">
        <v>5536</v>
      </c>
      <c r="S2855" s="152" t="s">
        <v>5537</v>
      </c>
      <c r="T2855" s="152" t="s">
        <v>786</v>
      </c>
    </row>
    <row r="2856" spans="3:20">
      <c r="C2856" s="152" t="s">
        <v>2821</v>
      </c>
      <c r="F2856" s="152" t="s">
        <v>373</v>
      </c>
      <c r="G2856" s="152" t="s">
        <v>374</v>
      </c>
      <c r="I2856" s="513">
        <v>-2640524.9994999999</v>
      </c>
      <c r="J2856" s="513">
        <v>-1866.0954060070701</v>
      </c>
      <c r="K2856" s="513">
        <v>1415</v>
      </c>
      <c r="L2856" s="518" t="s">
        <v>3511</v>
      </c>
      <c r="M2856" s="152" t="s">
        <v>1540</v>
      </c>
      <c r="N2856" s="152" t="s">
        <v>1407</v>
      </c>
      <c r="O2856" s="152" t="s">
        <v>5538</v>
      </c>
      <c r="P2856" s="152" t="s">
        <v>5400</v>
      </c>
      <c r="Q2856" s="152" t="s">
        <v>5539</v>
      </c>
      <c r="R2856" s="152" t="s">
        <v>5539</v>
      </c>
      <c r="S2856" s="152" t="s">
        <v>5540</v>
      </c>
      <c r="T2856" s="152" t="s">
        <v>786</v>
      </c>
    </row>
    <row r="2857" spans="3:20">
      <c r="C2857" s="152" t="s">
        <v>2821</v>
      </c>
      <c r="F2857" s="152" t="s">
        <v>373</v>
      </c>
      <c r="G2857" s="152" t="s">
        <v>374</v>
      </c>
      <c r="I2857" s="513">
        <v>-5763412.5001999997</v>
      </c>
      <c r="J2857" s="513">
        <v>-4073.0830390105998</v>
      </c>
      <c r="K2857" s="513">
        <v>1415</v>
      </c>
      <c r="L2857" s="518" t="s">
        <v>3511</v>
      </c>
      <c r="M2857" s="152" t="s">
        <v>1540</v>
      </c>
      <c r="N2857" s="152" t="s">
        <v>1407</v>
      </c>
      <c r="O2857" s="152" t="s">
        <v>5541</v>
      </c>
      <c r="P2857" s="152" t="s">
        <v>5400</v>
      </c>
      <c r="Q2857" s="152" t="s">
        <v>5542</v>
      </c>
      <c r="R2857" s="152" t="s">
        <v>5542</v>
      </c>
      <c r="S2857" s="152" t="s">
        <v>5543</v>
      </c>
      <c r="T2857" s="152" t="s">
        <v>786</v>
      </c>
    </row>
    <row r="2858" spans="3:20">
      <c r="C2858" s="152" t="s">
        <v>2821</v>
      </c>
      <c r="F2858" s="152" t="s">
        <v>373</v>
      </c>
      <c r="G2858" s="152" t="s">
        <v>374</v>
      </c>
      <c r="I2858" s="513">
        <v>-6288524.9998000003</v>
      </c>
      <c r="J2858" s="513">
        <v>-4444.1872790105999</v>
      </c>
      <c r="K2858" s="513">
        <v>1415</v>
      </c>
      <c r="L2858" s="518" t="s">
        <v>3511</v>
      </c>
      <c r="M2858" s="152" t="s">
        <v>1540</v>
      </c>
      <c r="N2858" s="152" t="s">
        <v>1407</v>
      </c>
      <c r="O2858" s="152" t="s">
        <v>5544</v>
      </c>
      <c r="P2858" s="152" t="s">
        <v>5400</v>
      </c>
      <c r="Q2858" s="152" t="s">
        <v>5545</v>
      </c>
      <c r="R2858" s="152" t="s">
        <v>5545</v>
      </c>
      <c r="S2858" s="152" t="s">
        <v>5546</v>
      </c>
      <c r="T2858" s="152" t="s">
        <v>786</v>
      </c>
    </row>
    <row r="2859" spans="3:20">
      <c r="C2859" s="152" t="s">
        <v>2821</v>
      </c>
      <c r="F2859" s="152" t="s">
        <v>373</v>
      </c>
      <c r="G2859" s="152" t="s">
        <v>374</v>
      </c>
      <c r="I2859" s="513">
        <v>-9755280.0003999993</v>
      </c>
      <c r="J2859" s="513">
        <v>-6894.1908130035299</v>
      </c>
      <c r="K2859" s="513">
        <v>1415</v>
      </c>
      <c r="L2859" s="518" t="s">
        <v>3511</v>
      </c>
      <c r="M2859" s="152" t="s">
        <v>1540</v>
      </c>
      <c r="N2859" s="152" t="s">
        <v>1407</v>
      </c>
      <c r="O2859" s="152" t="s">
        <v>5547</v>
      </c>
      <c r="P2859" s="152" t="s">
        <v>5400</v>
      </c>
      <c r="Q2859" s="152" t="s">
        <v>5548</v>
      </c>
      <c r="R2859" s="152" t="s">
        <v>5548</v>
      </c>
      <c r="S2859" s="152" t="s">
        <v>5549</v>
      </c>
      <c r="T2859" s="152" t="s">
        <v>786</v>
      </c>
    </row>
    <row r="2860" spans="3:20">
      <c r="C2860" s="152" t="s">
        <v>2821</v>
      </c>
      <c r="F2860" s="152" t="s">
        <v>373</v>
      </c>
      <c r="G2860" s="152" t="s">
        <v>374</v>
      </c>
      <c r="I2860" s="513">
        <v>-8596039.9995000008</v>
      </c>
      <c r="J2860" s="513">
        <v>-6074.93992897527</v>
      </c>
      <c r="K2860" s="513">
        <v>1415</v>
      </c>
      <c r="L2860" s="518" t="s">
        <v>3511</v>
      </c>
      <c r="M2860" s="152" t="s">
        <v>1540</v>
      </c>
      <c r="N2860" s="152" t="s">
        <v>1407</v>
      </c>
      <c r="O2860" s="152" t="s">
        <v>5550</v>
      </c>
      <c r="P2860" s="152" t="s">
        <v>5400</v>
      </c>
      <c r="Q2860" s="152" t="s">
        <v>5551</v>
      </c>
      <c r="R2860" s="152" t="s">
        <v>5551</v>
      </c>
      <c r="S2860" s="152" t="s">
        <v>5552</v>
      </c>
      <c r="T2860" s="152" t="s">
        <v>786</v>
      </c>
    </row>
    <row r="2861" spans="3:20">
      <c r="C2861" s="152" t="s">
        <v>2821</v>
      </c>
      <c r="F2861" s="152" t="s">
        <v>373</v>
      </c>
      <c r="G2861" s="152" t="s">
        <v>374</v>
      </c>
      <c r="I2861" s="513">
        <v>-1226880.0007</v>
      </c>
      <c r="J2861" s="513">
        <v>-867.05300402826902</v>
      </c>
      <c r="K2861" s="513">
        <v>1415</v>
      </c>
      <c r="L2861" s="518" t="s">
        <v>3511</v>
      </c>
      <c r="M2861" s="152" t="s">
        <v>1540</v>
      </c>
      <c r="N2861" s="152" t="s">
        <v>1407</v>
      </c>
      <c r="O2861" s="152" t="s">
        <v>5553</v>
      </c>
      <c r="P2861" s="152" t="s">
        <v>5400</v>
      </c>
      <c r="Q2861" s="152" t="s">
        <v>5554</v>
      </c>
      <c r="R2861" s="152" t="s">
        <v>5554</v>
      </c>
      <c r="S2861" s="152" t="s">
        <v>5555</v>
      </c>
      <c r="T2861" s="152" t="s">
        <v>786</v>
      </c>
    </row>
    <row r="2862" spans="3:20">
      <c r="C2862" s="152" t="s">
        <v>2821</v>
      </c>
      <c r="F2862" s="152" t="s">
        <v>373</v>
      </c>
      <c r="G2862" s="152" t="s">
        <v>374</v>
      </c>
      <c r="I2862" s="513">
        <v>-783359.99939999997</v>
      </c>
      <c r="J2862" s="513">
        <v>-553.61130699646606</v>
      </c>
      <c r="K2862" s="513">
        <v>1415</v>
      </c>
      <c r="L2862" s="518" t="s">
        <v>3511</v>
      </c>
      <c r="M2862" s="152" t="s">
        <v>1540</v>
      </c>
      <c r="N2862" s="152" t="s">
        <v>1407</v>
      </c>
      <c r="O2862" s="152" t="s">
        <v>5556</v>
      </c>
      <c r="P2862" s="152" t="s">
        <v>5400</v>
      </c>
      <c r="Q2862" s="152" t="s">
        <v>5557</v>
      </c>
      <c r="R2862" s="152" t="s">
        <v>5557</v>
      </c>
      <c r="S2862" s="152" t="s">
        <v>5558</v>
      </c>
      <c r="T2862" s="152" t="s">
        <v>786</v>
      </c>
    </row>
    <row r="2863" spans="3:20">
      <c r="C2863" s="152" t="s">
        <v>2821</v>
      </c>
      <c r="F2863" s="152" t="s">
        <v>373</v>
      </c>
      <c r="G2863" s="152" t="s">
        <v>374</v>
      </c>
      <c r="I2863" s="513">
        <v>-463680.0001</v>
      </c>
      <c r="J2863" s="513">
        <v>-327.68904600706702</v>
      </c>
      <c r="K2863" s="513">
        <v>1415</v>
      </c>
      <c r="L2863" s="518" t="s">
        <v>3511</v>
      </c>
      <c r="M2863" s="152" t="s">
        <v>1540</v>
      </c>
      <c r="N2863" s="152" t="s">
        <v>1407</v>
      </c>
      <c r="O2863" s="152" t="s">
        <v>5559</v>
      </c>
      <c r="P2863" s="152" t="s">
        <v>5400</v>
      </c>
      <c r="Q2863" s="152" t="s">
        <v>5560</v>
      </c>
      <c r="R2863" s="152" t="s">
        <v>5560</v>
      </c>
      <c r="S2863" s="152" t="s">
        <v>5561</v>
      </c>
      <c r="T2863" s="152" t="s">
        <v>786</v>
      </c>
    </row>
    <row r="2864" spans="3:20">
      <c r="C2864" s="152" t="s">
        <v>2821</v>
      </c>
      <c r="F2864" s="152" t="s">
        <v>373</v>
      </c>
      <c r="G2864" s="152" t="s">
        <v>374</v>
      </c>
      <c r="I2864" s="513">
        <v>-2951279.9994999999</v>
      </c>
      <c r="J2864" s="513">
        <v>-2085.7102469964698</v>
      </c>
      <c r="K2864" s="513">
        <v>1415</v>
      </c>
      <c r="L2864" s="518" t="s">
        <v>3511</v>
      </c>
      <c r="M2864" s="152" t="s">
        <v>1540</v>
      </c>
      <c r="N2864" s="152" t="s">
        <v>1407</v>
      </c>
      <c r="O2864" s="152" t="s">
        <v>5562</v>
      </c>
      <c r="P2864" s="152" t="s">
        <v>5400</v>
      </c>
      <c r="Q2864" s="152" t="s">
        <v>5563</v>
      </c>
      <c r="R2864" s="152" t="s">
        <v>5563</v>
      </c>
      <c r="S2864" s="152" t="s">
        <v>5564</v>
      </c>
      <c r="T2864" s="152" t="s">
        <v>786</v>
      </c>
    </row>
    <row r="2865" spans="3:20">
      <c r="C2865" s="152" t="s">
        <v>2821</v>
      </c>
      <c r="F2865" s="152" t="s">
        <v>373</v>
      </c>
      <c r="G2865" s="152" t="s">
        <v>374</v>
      </c>
      <c r="I2865" s="513">
        <v>-2868479.9996000002</v>
      </c>
      <c r="J2865" s="513">
        <v>-2027.19434600707</v>
      </c>
      <c r="K2865" s="513">
        <v>1415</v>
      </c>
      <c r="L2865" s="518" t="s">
        <v>3511</v>
      </c>
      <c r="M2865" s="152" t="s">
        <v>1540</v>
      </c>
      <c r="N2865" s="152" t="s">
        <v>1407</v>
      </c>
      <c r="O2865" s="152" t="s">
        <v>5565</v>
      </c>
      <c r="P2865" s="152" t="s">
        <v>5400</v>
      </c>
      <c r="Q2865" s="152" t="s">
        <v>5566</v>
      </c>
      <c r="R2865" s="152" t="s">
        <v>5566</v>
      </c>
      <c r="S2865" s="152" t="s">
        <v>5567</v>
      </c>
      <c r="T2865" s="152" t="s">
        <v>786</v>
      </c>
    </row>
    <row r="2866" spans="3:20">
      <c r="C2866" s="152" t="s">
        <v>2821</v>
      </c>
      <c r="F2866" s="152" t="s">
        <v>373</v>
      </c>
      <c r="G2866" s="152" t="s">
        <v>374</v>
      </c>
      <c r="I2866" s="513">
        <v>-4119119.9996000002</v>
      </c>
      <c r="J2866" s="513">
        <v>-2911.0388689752699</v>
      </c>
      <c r="K2866" s="513">
        <v>1415</v>
      </c>
      <c r="L2866" s="518" t="s">
        <v>3511</v>
      </c>
      <c r="M2866" s="152" t="s">
        <v>1540</v>
      </c>
      <c r="N2866" s="152" t="s">
        <v>1407</v>
      </c>
      <c r="O2866" s="152" t="s">
        <v>5568</v>
      </c>
      <c r="P2866" s="152" t="s">
        <v>5400</v>
      </c>
      <c r="Q2866" s="152" t="s">
        <v>5569</v>
      </c>
      <c r="R2866" s="152" t="s">
        <v>5569</v>
      </c>
      <c r="S2866" s="152" t="s">
        <v>5570</v>
      </c>
      <c r="T2866" s="152" t="s">
        <v>786</v>
      </c>
    </row>
    <row r="2867" spans="3:20">
      <c r="C2867" s="152" t="s">
        <v>2821</v>
      </c>
      <c r="F2867" s="152" t="s">
        <v>373</v>
      </c>
      <c r="G2867" s="152" t="s">
        <v>374</v>
      </c>
      <c r="I2867" s="513">
        <v>-1885487.5</v>
      </c>
      <c r="J2867" s="513">
        <v>-1332.5</v>
      </c>
      <c r="K2867" s="513">
        <v>1415</v>
      </c>
      <c r="L2867" s="518" t="s">
        <v>3511</v>
      </c>
      <c r="M2867" s="152" t="s">
        <v>1540</v>
      </c>
      <c r="N2867" s="152" t="s">
        <v>1407</v>
      </c>
      <c r="O2867" s="152" t="s">
        <v>5571</v>
      </c>
      <c r="P2867" s="152" t="s">
        <v>5400</v>
      </c>
      <c r="Q2867" s="152" t="s">
        <v>5572</v>
      </c>
      <c r="R2867" s="152" t="s">
        <v>5572</v>
      </c>
      <c r="S2867" s="152" t="s">
        <v>5573</v>
      </c>
      <c r="T2867" s="152" t="s">
        <v>786</v>
      </c>
    </row>
    <row r="2868" spans="3:20">
      <c r="C2868" s="152" t="s">
        <v>2821</v>
      </c>
      <c r="F2868" s="152" t="s">
        <v>373</v>
      </c>
      <c r="G2868" s="152" t="s">
        <v>374</v>
      </c>
      <c r="I2868" s="513">
        <v>-2936125</v>
      </c>
      <c r="J2868" s="513">
        <v>-2075</v>
      </c>
      <c r="K2868" s="513">
        <v>1415</v>
      </c>
      <c r="L2868" s="518" t="s">
        <v>3511</v>
      </c>
      <c r="M2868" s="152" t="s">
        <v>1540</v>
      </c>
      <c r="N2868" s="152" t="s">
        <v>1407</v>
      </c>
      <c r="O2868" s="152" t="s">
        <v>5574</v>
      </c>
      <c r="P2868" s="152" t="s">
        <v>5400</v>
      </c>
      <c r="Q2868" s="152" t="s">
        <v>5575</v>
      </c>
      <c r="R2868" s="152" t="s">
        <v>5575</v>
      </c>
      <c r="S2868" s="152" t="s">
        <v>5576</v>
      </c>
      <c r="T2868" s="152" t="s">
        <v>786</v>
      </c>
    </row>
    <row r="2869" spans="3:20">
      <c r="C2869" s="152" t="s">
        <v>2821</v>
      </c>
      <c r="F2869" s="152" t="s">
        <v>373</v>
      </c>
      <c r="G2869" s="152" t="s">
        <v>374</v>
      </c>
      <c r="I2869" s="513">
        <v>-2313525</v>
      </c>
      <c r="J2869" s="513">
        <v>-1635</v>
      </c>
      <c r="K2869" s="513">
        <v>1415</v>
      </c>
      <c r="L2869" s="518" t="s">
        <v>3511</v>
      </c>
      <c r="M2869" s="152" t="s">
        <v>1540</v>
      </c>
      <c r="N2869" s="152" t="s">
        <v>1407</v>
      </c>
      <c r="O2869" s="152" t="s">
        <v>5577</v>
      </c>
      <c r="P2869" s="152" t="s">
        <v>5400</v>
      </c>
      <c r="Q2869" s="152" t="s">
        <v>5578</v>
      </c>
      <c r="R2869" s="152" t="s">
        <v>5578</v>
      </c>
      <c r="S2869" s="152" t="s">
        <v>5579</v>
      </c>
      <c r="T2869" s="152" t="s">
        <v>786</v>
      </c>
    </row>
    <row r="2870" spans="3:20">
      <c r="C2870" s="152" t="s">
        <v>2821</v>
      </c>
      <c r="F2870" s="152" t="s">
        <v>373</v>
      </c>
      <c r="G2870" s="152" t="s">
        <v>374</v>
      </c>
      <c r="I2870" s="513">
        <v>-2936125</v>
      </c>
      <c r="J2870" s="513">
        <v>-2075</v>
      </c>
      <c r="K2870" s="513">
        <v>1415</v>
      </c>
      <c r="L2870" s="518" t="s">
        <v>3511</v>
      </c>
      <c r="M2870" s="152" t="s">
        <v>1540</v>
      </c>
      <c r="N2870" s="152" t="s">
        <v>1407</v>
      </c>
      <c r="O2870" s="152" t="s">
        <v>5580</v>
      </c>
      <c r="P2870" s="152" t="s">
        <v>5400</v>
      </c>
      <c r="Q2870" s="152" t="s">
        <v>5581</v>
      </c>
      <c r="R2870" s="152" t="s">
        <v>5581</v>
      </c>
      <c r="S2870" s="152" t="s">
        <v>5582</v>
      </c>
      <c r="T2870" s="152" t="s">
        <v>786</v>
      </c>
    </row>
    <row r="2871" spans="3:20">
      <c r="C2871" s="152" t="s">
        <v>2821</v>
      </c>
      <c r="F2871" s="152" t="s">
        <v>373</v>
      </c>
      <c r="G2871" s="152" t="s">
        <v>374</v>
      </c>
      <c r="I2871" s="513">
        <v>-3396000</v>
      </c>
      <c r="J2871" s="513">
        <v>-2400</v>
      </c>
      <c r="K2871" s="513">
        <v>1415</v>
      </c>
      <c r="L2871" s="518" t="s">
        <v>3511</v>
      </c>
      <c r="M2871" s="152" t="s">
        <v>1540</v>
      </c>
      <c r="N2871" s="152" t="s">
        <v>1407</v>
      </c>
      <c r="O2871" s="152" t="s">
        <v>5583</v>
      </c>
      <c r="P2871" s="152" t="s">
        <v>5400</v>
      </c>
      <c r="Q2871" s="152" t="s">
        <v>5584</v>
      </c>
      <c r="R2871" s="152" t="s">
        <v>5584</v>
      </c>
      <c r="S2871" s="152" t="s">
        <v>5585</v>
      </c>
      <c r="T2871" s="152" t="s">
        <v>786</v>
      </c>
    </row>
    <row r="2872" spans="3:20">
      <c r="C2872" s="152" t="s">
        <v>2821</v>
      </c>
      <c r="F2872" s="152" t="s">
        <v>373</v>
      </c>
      <c r="G2872" s="152" t="s">
        <v>374</v>
      </c>
      <c r="I2872" s="513">
        <v>-3385387.5</v>
      </c>
      <c r="J2872" s="513">
        <v>-2392.5</v>
      </c>
      <c r="K2872" s="513">
        <v>1415</v>
      </c>
      <c r="L2872" s="518" t="s">
        <v>3511</v>
      </c>
      <c r="M2872" s="152" t="s">
        <v>1540</v>
      </c>
      <c r="N2872" s="152" t="s">
        <v>1407</v>
      </c>
      <c r="O2872" s="152" t="s">
        <v>5586</v>
      </c>
      <c r="P2872" s="152" t="s">
        <v>5400</v>
      </c>
      <c r="Q2872" s="152" t="s">
        <v>5587</v>
      </c>
      <c r="R2872" s="152" t="s">
        <v>5587</v>
      </c>
      <c r="S2872" s="152" t="s">
        <v>5588</v>
      </c>
      <c r="T2872" s="152" t="s">
        <v>786</v>
      </c>
    </row>
    <row r="2873" spans="3:20">
      <c r="C2873" s="152" t="s">
        <v>2821</v>
      </c>
      <c r="F2873" s="152" t="s">
        <v>373</v>
      </c>
      <c r="G2873" s="152" t="s">
        <v>374</v>
      </c>
      <c r="I2873" s="513">
        <v>-3891250</v>
      </c>
      <c r="J2873" s="513">
        <v>-2750</v>
      </c>
      <c r="K2873" s="513">
        <v>1415</v>
      </c>
      <c r="L2873" s="518" t="s">
        <v>3511</v>
      </c>
      <c r="M2873" s="152" t="s">
        <v>1540</v>
      </c>
      <c r="N2873" s="152" t="s">
        <v>1407</v>
      </c>
      <c r="O2873" s="152" t="s">
        <v>5589</v>
      </c>
      <c r="P2873" s="152" t="s">
        <v>5400</v>
      </c>
      <c r="Q2873" s="152" t="s">
        <v>5590</v>
      </c>
      <c r="R2873" s="152" t="s">
        <v>5590</v>
      </c>
      <c r="S2873" s="152" t="s">
        <v>5591</v>
      </c>
      <c r="T2873" s="152" t="s">
        <v>786</v>
      </c>
    </row>
    <row r="2874" spans="3:20">
      <c r="C2874" s="152" t="s">
        <v>2821</v>
      </c>
      <c r="F2874" s="152" t="s">
        <v>373</v>
      </c>
      <c r="G2874" s="152" t="s">
        <v>374</v>
      </c>
      <c r="I2874" s="513">
        <v>-4846375</v>
      </c>
      <c r="J2874" s="513">
        <v>-3425</v>
      </c>
      <c r="K2874" s="513">
        <v>1415</v>
      </c>
      <c r="L2874" s="518" t="s">
        <v>3511</v>
      </c>
      <c r="M2874" s="152" t="s">
        <v>1540</v>
      </c>
      <c r="N2874" s="152" t="s">
        <v>1407</v>
      </c>
      <c r="O2874" s="152" t="s">
        <v>5592</v>
      </c>
      <c r="P2874" s="152" t="s">
        <v>5400</v>
      </c>
      <c r="Q2874" s="152" t="s">
        <v>5593</v>
      </c>
      <c r="R2874" s="152" t="s">
        <v>5593</v>
      </c>
      <c r="S2874" s="152" t="s">
        <v>5594</v>
      </c>
      <c r="T2874" s="152" t="s">
        <v>786</v>
      </c>
    </row>
    <row r="2875" spans="3:20">
      <c r="C2875" s="152" t="s">
        <v>2821</v>
      </c>
      <c r="F2875" s="152" t="s">
        <v>373</v>
      </c>
      <c r="G2875" s="152" t="s">
        <v>374</v>
      </c>
      <c r="I2875" s="513">
        <v>-2162879.9992999998</v>
      </c>
      <c r="J2875" s="513">
        <v>-1528.5371019787999</v>
      </c>
      <c r="K2875" s="513">
        <v>1415</v>
      </c>
      <c r="L2875" s="518" t="s">
        <v>3511</v>
      </c>
      <c r="M2875" s="152" t="s">
        <v>1540</v>
      </c>
      <c r="N2875" s="152" t="s">
        <v>1407</v>
      </c>
      <c r="O2875" s="152" t="s">
        <v>5595</v>
      </c>
      <c r="P2875" s="152" t="s">
        <v>5400</v>
      </c>
      <c r="Q2875" s="152" t="s">
        <v>5596</v>
      </c>
      <c r="R2875" s="152" t="s">
        <v>5596</v>
      </c>
      <c r="S2875" s="152" t="s">
        <v>5597</v>
      </c>
      <c r="T2875" s="152" t="s">
        <v>786</v>
      </c>
    </row>
    <row r="2876" spans="3:20">
      <c r="C2876" s="152" t="s">
        <v>2821</v>
      </c>
      <c r="F2876" s="152" t="s">
        <v>373</v>
      </c>
      <c r="G2876" s="152" t="s">
        <v>374</v>
      </c>
      <c r="I2876" s="513">
        <v>-1897199.9998000001</v>
      </c>
      <c r="J2876" s="513">
        <v>-1340.77738501767</v>
      </c>
      <c r="K2876" s="513">
        <v>1415</v>
      </c>
      <c r="L2876" s="518" t="s">
        <v>3511</v>
      </c>
      <c r="M2876" s="152" t="s">
        <v>1540</v>
      </c>
      <c r="N2876" s="152" t="s">
        <v>1407</v>
      </c>
      <c r="O2876" s="152" t="s">
        <v>5598</v>
      </c>
      <c r="P2876" s="152" t="s">
        <v>5400</v>
      </c>
      <c r="Q2876" s="152" t="s">
        <v>5599</v>
      </c>
      <c r="R2876" s="152" t="s">
        <v>5599</v>
      </c>
      <c r="S2876" s="152" t="s">
        <v>5600</v>
      </c>
      <c r="T2876" s="152" t="s">
        <v>786</v>
      </c>
    </row>
    <row r="2877" spans="3:20">
      <c r="C2877" s="152" t="s">
        <v>2821</v>
      </c>
      <c r="F2877" s="152" t="s">
        <v>373</v>
      </c>
      <c r="G2877" s="152" t="s">
        <v>374</v>
      </c>
      <c r="I2877" s="513">
        <v>-3039840.0003</v>
      </c>
      <c r="J2877" s="513">
        <v>-2148.29682</v>
      </c>
      <c r="K2877" s="513">
        <v>1415</v>
      </c>
      <c r="L2877" s="518" t="s">
        <v>3511</v>
      </c>
      <c r="M2877" s="152" t="s">
        <v>1540</v>
      </c>
      <c r="N2877" s="152" t="s">
        <v>1407</v>
      </c>
      <c r="O2877" s="152" t="s">
        <v>5601</v>
      </c>
      <c r="P2877" s="152" t="s">
        <v>5400</v>
      </c>
      <c r="Q2877" s="152" t="s">
        <v>5602</v>
      </c>
      <c r="R2877" s="152" t="s">
        <v>5602</v>
      </c>
      <c r="S2877" s="152" t="s">
        <v>5603</v>
      </c>
      <c r="T2877" s="152" t="s">
        <v>786</v>
      </c>
    </row>
    <row r="2878" spans="3:20">
      <c r="C2878" s="152" t="s">
        <v>2821</v>
      </c>
      <c r="F2878" s="152" t="s">
        <v>373</v>
      </c>
      <c r="G2878" s="152" t="s">
        <v>374</v>
      </c>
      <c r="I2878" s="513">
        <v>-1409324.9996</v>
      </c>
      <c r="J2878" s="513">
        <v>-995.98939901060101</v>
      </c>
      <c r="K2878" s="513">
        <v>1415</v>
      </c>
      <c r="L2878" s="518" t="s">
        <v>3511</v>
      </c>
      <c r="M2878" s="152" t="s">
        <v>1540</v>
      </c>
      <c r="N2878" s="152" t="s">
        <v>1407</v>
      </c>
      <c r="O2878" s="152" t="s">
        <v>5604</v>
      </c>
      <c r="P2878" s="152" t="s">
        <v>5400</v>
      </c>
      <c r="Q2878" s="152" t="s">
        <v>5605</v>
      </c>
      <c r="R2878" s="152" t="s">
        <v>5605</v>
      </c>
      <c r="S2878" s="152" t="s">
        <v>5606</v>
      </c>
      <c r="T2878" s="152" t="s">
        <v>786</v>
      </c>
    </row>
    <row r="2879" spans="3:20">
      <c r="C2879" s="152" t="s">
        <v>2821</v>
      </c>
      <c r="F2879" s="152" t="s">
        <v>373</v>
      </c>
      <c r="G2879" s="152" t="s">
        <v>374</v>
      </c>
      <c r="I2879" s="513">
        <v>-3724987.5</v>
      </c>
      <c r="J2879" s="513">
        <v>-2632.5</v>
      </c>
      <c r="K2879" s="513">
        <v>1415</v>
      </c>
      <c r="L2879" s="518" t="s">
        <v>3511</v>
      </c>
      <c r="M2879" s="152" t="s">
        <v>1540</v>
      </c>
      <c r="N2879" s="152" t="s">
        <v>1407</v>
      </c>
      <c r="O2879" s="152" t="s">
        <v>5607</v>
      </c>
      <c r="P2879" s="152" t="s">
        <v>5400</v>
      </c>
      <c r="Q2879" s="152" t="s">
        <v>5608</v>
      </c>
      <c r="R2879" s="152" t="s">
        <v>5608</v>
      </c>
      <c r="S2879" s="152" t="s">
        <v>5609</v>
      </c>
      <c r="T2879" s="152" t="s">
        <v>786</v>
      </c>
    </row>
    <row r="2880" spans="3:20">
      <c r="C2880" s="152" t="s">
        <v>2821</v>
      </c>
      <c r="F2880" s="152" t="s">
        <v>373</v>
      </c>
      <c r="G2880" s="152" t="s">
        <v>374</v>
      </c>
      <c r="I2880" s="513">
        <v>-2557612.5</v>
      </c>
      <c r="J2880" s="513">
        <v>-1807.5</v>
      </c>
      <c r="K2880" s="513">
        <v>1415</v>
      </c>
      <c r="L2880" s="518" t="s">
        <v>3511</v>
      </c>
      <c r="M2880" s="152" t="s">
        <v>1540</v>
      </c>
      <c r="N2880" s="152" t="s">
        <v>1407</v>
      </c>
      <c r="O2880" s="152" t="s">
        <v>5610</v>
      </c>
      <c r="P2880" s="152" t="s">
        <v>5400</v>
      </c>
      <c r="Q2880" s="152" t="s">
        <v>5611</v>
      </c>
      <c r="R2880" s="152" t="s">
        <v>5611</v>
      </c>
      <c r="S2880" s="152" t="s">
        <v>5612</v>
      </c>
      <c r="T2880" s="152" t="s">
        <v>786</v>
      </c>
    </row>
    <row r="2881" spans="3:20">
      <c r="C2881" s="152" t="s">
        <v>2821</v>
      </c>
      <c r="F2881" s="152" t="s">
        <v>373</v>
      </c>
      <c r="G2881" s="152" t="s">
        <v>374</v>
      </c>
      <c r="I2881" s="513">
        <v>-8913792.5</v>
      </c>
      <c r="J2881" s="513">
        <v>-6299.5</v>
      </c>
      <c r="K2881" s="513">
        <v>1415</v>
      </c>
      <c r="L2881" s="518" t="s">
        <v>3511</v>
      </c>
      <c r="M2881" s="152" t="s">
        <v>1540</v>
      </c>
      <c r="N2881" s="152" t="s">
        <v>1407</v>
      </c>
      <c r="O2881" s="152" t="s">
        <v>5613</v>
      </c>
      <c r="P2881" s="152" t="s">
        <v>5400</v>
      </c>
      <c r="Q2881" s="152" t="s">
        <v>5614</v>
      </c>
      <c r="R2881" s="152" t="s">
        <v>5614</v>
      </c>
      <c r="S2881" s="152" t="s">
        <v>5615</v>
      </c>
      <c r="T2881" s="152" t="s">
        <v>786</v>
      </c>
    </row>
    <row r="2882" spans="3:20">
      <c r="C2882" s="152" t="s">
        <v>2821</v>
      </c>
      <c r="F2882" s="152" t="s">
        <v>373</v>
      </c>
      <c r="G2882" s="152" t="s">
        <v>374</v>
      </c>
      <c r="I2882" s="513">
        <v>-4654799.9994000001</v>
      </c>
      <c r="J2882" s="513">
        <v>-3289.6113069964699</v>
      </c>
      <c r="K2882" s="513">
        <v>1415</v>
      </c>
      <c r="L2882" s="518" t="s">
        <v>3511</v>
      </c>
      <c r="M2882" s="152" t="s">
        <v>1540</v>
      </c>
      <c r="N2882" s="152" t="s">
        <v>1407</v>
      </c>
      <c r="O2882" s="152" t="s">
        <v>5616</v>
      </c>
      <c r="P2882" s="152" t="s">
        <v>5400</v>
      </c>
      <c r="Q2882" s="152" t="s">
        <v>5617</v>
      </c>
      <c r="R2882" s="152" t="s">
        <v>5617</v>
      </c>
      <c r="S2882" s="152" t="s">
        <v>5618</v>
      </c>
      <c r="T2882" s="152" t="s">
        <v>786</v>
      </c>
    </row>
    <row r="2883" spans="3:20">
      <c r="C2883" s="152" t="s">
        <v>2821</v>
      </c>
      <c r="F2883" s="152" t="s">
        <v>373</v>
      </c>
      <c r="G2883" s="152" t="s">
        <v>374</v>
      </c>
      <c r="I2883" s="513">
        <v>-2805839.9999000002</v>
      </c>
      <c r="J2883" s="513">
        <v>-1982.92579498233</v>
      </c>
      <c r="K2883" s="513">
        <v>1415</v>
      </c>
      <c r="L2883" s="518" t="s">
        <v>3511</v>
      </c>
      <c r="M2883" s="152" t="s">
        <v>1540</v>
      </c>
      <c r="N2883" s="152" t="s">
        <v>1407</v>
      </c>
      <c r="O2883" s="152" t="s">
        <v>5619</v>
      </c>
      <c r="P2883" s="152" t="s">
        <v>5400</v>
      </c>
      <c r="Q2883" s="152" t="s">
        <v>5620</v>
      </c>
      <c r="R2883" s="152" t="s">
        <v>5620</v>
      </c>
      <c r="S2883" s="152" t="s">
        <v>5621</v>
      </c>
      <c r="T2883" s="152" t="s">
        <v>786</v>
      </c>
    </row>
    <row r="2884" spans="3:20">
      <c r="C2884" s="152" t="s">
        <v>2821</v>
      </c>
      <c r="F2884" s="152" t="s">
        <v>373</v>
      </c>
      <c r="G2884" s="152" t="s">
        <v>374</v>
      </c>
      <c r="I2884" s="513">
        <v>-2817937.5</v>
      </c>
      <c r="J2884" s="513">
        <v>-1991.4752650176699</v>
      </c>
      <c r="K2884" s="513">
        <v>1415</v>
      </c>
      <c r="L2884" s="518" t="s">
        <v>3511</v>
      </c>
      <c r="M2884" s="152" t="s">
        <v>1540</v>
      </c>
      <c r="N2884" s="152" t="s">
        <v>1407</v>
      </c>
      <c r="O2884" s="152" t="s">
        <v>5625</v>
      </c>
      <c r="P2884" s="152" t="s">
        <v>5400</v>
      </c>
      <c r="Q2884" s="152" t="s">
        <v>5626</v>
      </c>
      <c r="R2884" s="152" t="s">
        <v>5626</v>
      </c>
      <c r="S2884" s="152" t="s">
        <v>5627</v>
      </c>
      <c r="T2884" s="152" t="s">
        <v>786</v>
      </c>
    </row>
    <row r="2885" spans="3:20">
      <c r="C2885" s="152" t="s">
        <v>2821</v>
      </c>
      <c r="F2885" s="152" t="s">
        <v>373</v>
      </c>
      <c r="G2885" s="152" t="s">
        <v>374</v>
      </c>
      <c r="I2885" s="513">
        <v>-3665812.5</v>
      </c>
      <c r="J2885" s="513">
        <v>-2590.6802120141301</v>
      </c>
      <c r="K2885" s="513">
        <v>1415</v>
      </c>
      <c r="L2885" s="518" t="s">
        <v>3511</v>
      </c>
      <c r="M2885" s="152" t="s">
        <v>1540</v>
      </c>
      <c r="N2885" s="152" t="s">
        <v>1407</v>
      </c>
      <c r="O2885" s="152" t="s">
        <v>5628</v>
      </c>
      <c r="P2885" s="152" t="s">
        <v>5400</v>
      </c>
      <c r="Q2885" s="152" t="s">
        <v>5629</v>
      </c>
      <c r="R2885" s="152" t="s">
        <v>5629</v>
      </c>
      <c r="S2885" s="152" t="s">
        <v>5630</v>
      </c>
      <c r="T2885" s="152" t="s">
        <v>786</v>
      </c>
    </row>
    <row r="2886" spans="3:20">
      <c r="C2886" s="152" t="s">
        <v>2821</v>
      </c>
      <c r="F2886" s="152" t="s">
        <v>373</v>
      </c>
      <c r="G2886" s="152" t="s">
        <v>374</v>
      </c>
      <c r="I2886" s="513">
        <v>-3893812.4999000002</v>
      </c>
      <c r="J2886" s="513">
        <v>-2751.8109539929301</v>
      </c>
      <c r="K2886" s="513">
        <v>1415</v>
      </c>
      <c r="L2886" s="518" t="s">
        <v>3511</v>
      </c>
      <c r="M2886" s="152" t="s">
        <v>1540</v>
      </c>
      <c r="N2886" s="152" t="s">
        <v>1407</v>
      </c>
      <c r="O2886" s="152" t="s">
        <v>5631</v>
      </c>
      <c r="P2886" s="152" t="s">
        <v>5400</v>
      </c>
      <c r="Q2886" s="152" t="s">
        <v>5632</v>
      </c>
      <c r="R2886" s="152" t="s">
        <v>5632</v>
      </c>
      <c r="S2886" s="152" t="s">
        <v>5633</v>
      </c>
      <c r="T2886" s="152" t="s">
        <v>786</v>
      </c>
    </row>
    <row r="2887" spans="3:20">
      <c r="C2887" s="152" t="s">
        <v>2821</v>
      </c>
      <c r="F2887" s="152" t="s">
        <v>373</v>
      </c>
      <c r="G2887" s="152" t="s">
        <v>374</v>
      </c>
      <c r="I2887" s="513">
        <v>-3352312.5003999998</v>
      </c>
      <c r="J2887" s="513">
        <v>-2369.1254419788002</v>
      </c>
      <c r="K2887" s="513">
        <v>1415</v>
      </c>
      <c r="L2887" s="518" t="s">
        <v>3511</v>
      </c>
      <c r="M2887" s="152" t="s">
        <v>1540</v>
      </c>
      <c r="N2887" s="152" t="s">
        <v>1407</v>
      </c>
      <c r="O2887" s="152" t="s">
        <v>5634</v>
      </c>
      <c r="P2887" s="152" t="s">
        <v>5400</v>
      </c>
      <c r="Q2887" s="152" t="s">
        <v>5635</v>
      </c>
      <c r="R2887" s="152" t="s">
        <v>5635</v>
      </c>
      <c r="S2887" s="152" t="s">
        <v>5636</v>
      </c>
      <c r="T2887" s="152" t="s">
        <v>786</v>
      </c>
    </row>
    <row r="2888" spans="3:20">
      <c r="C2888" s="152" t="s">
        <v>2821</v>
      </c>
      <c r="F2888" s="152" t="s">
        <v>373</v>
      </c>
      <c r="G2888" s="152" t="s">
        <v>374</v>
      </c>
      <c r="I2888" s="513">
        <v>-3209812.5000999998</v>
      </c>
      <c r="J2888" s="513">
        <v>-2268.4187279858702</v>
      </c>
      <c r="K2888" s="513">
        <v>1415</v>
      </c>
      <c r="L2888" s="518" t="s">
        <v>3511</v>
      </c>
      <c r="M2888" s="152" t="s">
        <v>1540</v>
      </c>
      <c r="N2888" s="152" t="s">
        <v>1407</v>
      </c>
      <c r="O2888" s="152" t="s">
        <v>5637</v>
      </c>
      <c r="P2888" s="152" t="s">
        <v>5400</v>
      </c>
      <c r="Q2888" s="152" t="s">
        <v>5638</v>
      </c>
      <c r="R2888" s="152" t="s">
        <v>5638</v>
      </c>
      <c r="S2888" s="152" t="s">
        <v>5639</v>
      </c>
      <c r="T2888" s="152" t="s">
        <v>786</v>
      </c>
    </row>
    <row r="2889" spans="3:20">
      <c r="C2889" s="152" t="s">
        <v>2821</v>
      </c>
      <c r="F2889" s="152" t="s">
        <v>373</v>
      </c>
      <c r="G2889" s="152" t="s">
        <v>374</v>
      </c>
      <c r="I2889" s="513">
        <v>-2732437.5003999998</v>
      </c>
      <c r="J2889" s="513">
        <v>-1931.0512370317999</v>
      </c>
      <c r="K2889" s="513">
        <v>1415</v>
      </c>
      <c r="L2889" s="518" t="s">
        <v>3511</v>
      </c>
      <c r="M2889" s="152" t="s">
        <v>1540</v>
      </c>
      <c r="N2889" s="152" t="s">
        <v>1407</v>
      </c>
      <c r="O2889" s="152" t="s">
        <v>5640</v>
      </c>
      <c r="P2889" s="152" t="s">
        <v>5400</v>
      </c>
      <c r="Q2889" s="152" t="s">
        <v>5641</v>
      </c>
      <c r="R2889" s="152" t="s">
        <v>5641</v>
      </c>
      <c r="S2889" s="152" t="s">
        <v>5642</v>
      </c>
      <c r="T2889" s="152" t="s">
        <v>786</v>
      </c>
    </row>
    <row r="2890" spans="3:20">
      <c r="C2890" s="152" t="s">
        <v>2821</v>
      </c>
      <c r="F2890" s="152" t="s">
        <v>373</v>
      </c>
      <c r="G2890" s="152" t="s">
        <v>374</v>
      </c>
      <c r="I2890" s="513">
        <v>-840749.99959999998</v>
      </c>
      <c r="J2890" s="513">
        <v>-594.16961102473499</v>
      </c>
      <c r="K2890" s="513">
        <v>1415</v>
      </c>
      <c r="L2890" s="518" t="s">
        <v>3511</v>
      </c>
      <c r="M2890" s="152" t="s">
        <v>1540</v>
      </c>
      <c r="N2890" s="152" t="s">
        <v>1407</v>
      </c>
      <c r="O2890" s="152" t="s">
        <v>5643</v>
      </c>
      <c r="P2890" s="152" t="s">
        <v>5400</v>
      </c>
      <c r="Q2890" s="152" t="s">
        <v>5644</v>
      </c>
      <c r="R2890" s="152" t="s">
        <v>5644</v>
      </c>
      <c r="S2890" s="152" t="s">
        <v>5645</v>
      </c>
      <c r="T2890" s="152" t="s">
        <v>786</v>
      </c>
    </row>
    <row r="2891" spans="3:20">
      <c r="C2891" s="152" t="s">
        <v>2821</v>
      </c>
      <c r="F2891" s="152" t="s">
        <v>373</v>
      </c>
      <c r="G2891" s="152" t="s">
        <v>374</v>
      </c>
      <c r="I2891" s="513">
        <v>-3590999.9996000002</v>
      </c>
      <c r="J2891" s="513">
        <v>-2537.8091869964701</v>
      </c>
      <c r="K2891" s="513">
        <v>1415</v>
      </c>
      <c r="L2891" s="518" t="s">
        <v>3511</v>
      </c>
      <c r="M2891" s="152" t="s">
        <v>1540</v>
      </c>
      <c r="N2891" s="152" t="s">
        <v>1407</v>
      </c>
      <c r="O2891" s="152" t="s">
        <v>5646</v>
      </c>
      <c r="P2891" s="152" t="s">
        <v>5400</v>
      </c>
      <c r="Q2891" s="152" t="s">
        <v>5647</v>
      </c>
      <c r="R2891" s="152" t="s">
        <v>5647</v>
      </c>
      <c r="S2891" s="152" t="s">
        <v>5648</v>
      </c>
      <c r="T2891" s="152" t="s">
        <v>786</v>
      </c>
    </row>
    <row r="2892" spans="3:20">
      <c r="C2892" s="152" t="s">
        <v>2821</v>
      </c>
      <c r="F2892" s="152" t="s">
        <v>373</v>
      </c>
      <c r="G2892" s="152" t="s">
        <v>374</v>
      </c>
      <c r="I2892" s="513">
        <v>-2611312.5</v>
      </c>
      <c r="J2892" s="513">
        <v>-1845.4505300353401</v>
      </c>
      <c r="K2892" s="513">
        <v>1415</v>
      </c>
      <c r="L2892" s="518" t="s">
        <v>3511</v>
      </c>
      <c r="M2892" s="152" t="s">
        <v>1540</v>
      </c>
      <c r="N2892" s="152" t="s">
        <v>1407</v>
      </c>
      <c r="O2892" s="152" t="s">
        <v>5649</v>
      </c>
      <c r="P2892" s="152" t="s">
        <v>5400</v>
      </c>
      <c r="Q2892" s="152" t="s">
        <v>5650</v>
      </c>
      <c r="R2892" s="152" t="s">
        <v>5650</v>
      </c>
      <c r="S2892" s="152" t="s">
        <v>5651</v>
      </c>
      <c r="T2892" s="152" t="s">
        <v>786</v>
      </c>
    </row>
    <row r="2893" spans="3:20">
      <c r="C2893" s="152" t="s">
        <v>2821</v>
      </c>
      <c r="F2893" s="152" t="s">
        <v>373</v>
      </c>
      <c r="G2893" s="152" t="s">
        <v>374</v>
      </c>
      <c r="I2893" s="513">
        <v>-5635875</v>
      </c>
      <c r="J2893" s="513">
        <v>-3982.9505300353399</v>
      </c>
      <c r="K2893" s="513">
        <v>1415</v>
      </c>
      <c r="L2893" s="518" t="s">
        <v>3511</v>
      </c>
      <c r="M2893" s="152" t="s">
        <v>1540</v>
      </c>
      <c r="N2893" s="152" t="s">
        <v>1407</v>
      </c>
      <c r="O2893" s="152" t="s">
        <v>5652</v>
      </c>
      <c r="P2893" s="152" t="s">
        <v>5400</v>
      </c>
      <c r="Q2893" s="152" t="s">
        <v>5653</v>
      </c>
      <c r="R2893" s="152" t="s">
        <v>5653</v>
      </c>
      <c r="S2893" s="152" t="s">
        <v>5654</v>
      </c>
      <c r="T2893" s="152" t="s">
        <v>786</v>
      </c>
    </row>
    <row r="2894" spans="3:20">
      <c r="C2894" s="152" t="s">
        <v>2821</v>
      </c>
      <c r="F2894" s="152" t="s">
        <v>373</v>
      </c>
      <c r="G2894" s="152" t="s">
        <v>374</v>
      </c>
      <c r="I2894" s="513">
        <v>-2682562.5000999998</v>
      </c>
      <c r="J2894" s="513">
        <v>-1895.8038869964701</v>
      </c>
      <c r="K2894" s="513">
        <v>1415</v>
      </c>
      <c r="L2894" s="518" t="s">
        <v>3511</v>
      </c>
      <c r="M2894" s="152" t="s">
        <v>1540</v>
      </c>
      <c r="N2894" s="152" t="s">
        <v>1407</v>
      </c>
      <c r="O2894" s="152" t="s">
        <v>5655</v>
      </c>
      <c r="P2894" s="152" t="s">
        <v>5400</v>
      </c>
      <c r="Q2894" s="152" t="s">
        <v>5656</v>
      </c>
      <c r="R2894" s="152" t="s">
        <v>5656</v>
      </c>
      <c r="S2894" s="152" t="s">
        <v>5657</v>
      </c>
      <c r="T2894" s="152" t="s">
        <v>786</v>
      </c>
    </row>
    <row r="2895" spans="3:20">
      <c r="C2895" s="152" t="s">
        <v>2821</v>
      </c>
      <c r="F2895" s="152" t="s">
        <v>373</v>
      </c>
      <c r="G2895" s="152" t="s">
        <v>374</v>
      </c>
      <c r="I2895" s="513">
        <v>-2451000</v>
      </c>
      <c r="J2895" s="513">
        <v>-1732.1554770318</v>
      </c>
      <c r="K2895" s="513">
        <v>1415</v>
      </c>
      <c r="L2895" s="518" t="s">
        <v>3511</v>
      </c>
      <c r="M2895" s="152" t="s">
        <v>1540</v>
      </c>
      <c r="N2895" s="152" t="s">
        <v>1407</v>
      </c>
      <c r="O2895" s="152" t="s">
        <v>5658</v>
      </c>
      <c r="P2895" s="152" t="s">
        <v>5400</v>
      </c>
      <c r="Q2895" s="152" t="s">
        <v>5659</v>
      </c>
      <c r="R2895" s="152" t="s">
        <v>5659</v>
      </c>
      <c r="S2895" s="152" t="s">
        <v>5660</v>
      </c>
      <c r="T2895" s="152" t="s">
        <v>786</v>
      </c>
    </row>
    <row r="2896" spans="3:20">
      <c r="C2896" s="152" t="s">
        <v>2821</v>
      </c>
      <c r="F2896" s="152" t="s">
        <v>373</v>
      </c>
      <c r="G2896" s="152" t="s">
        <v>374</v>
      </c>
      <c r="I2896" s="513">
        <v>-4167175</v>
      </c>
      <c r="J2896" s="513">
        <v>-2945</v>
      </c>
      <c r="K2896" s="513">
        <v>1415</v>
      </c>
      <c r="L2896" s="518" t="s">
        <v>3567</v>
      </c>
      <c r="M2896" s="152" t="s">
        <v>1540</v>
      </c>
      <c r="N2896" s="152" t="s">
        <v>1407</v>
      </c>
      <c r="O2896" s="152" t="s">
        <v>5664</v>
      </c>
      <c r="P2896" s="152" t="s">
        <v>5400</v>
      </c>
      <c r="Q2896" s="152" t="s">
        <v>5665</v>
      </c>
      <c r="R2896" s="152" t="s">
        <v>5665</v>
      </c>
      <c r="S2896" s="152" t="s">
        <v>5666</v>
      </c>
      <c r="T2896" s="152" t="s">
        <v>786</v>
      </c>
    </row>
    <row r="2897" spans="3:20">
      <c r="C2897" s="152" t="s">
        <v>2821</v>
      </c>
      <c r="F2897" s="152" t="s">
        <v>373</v>
      </c>
      <c r="G2897" s="152" t="s">
        <v>374</v>
      </c>
      <c r="I2897" s="513">
        <v>1137599.9993</v>
      </c>
      <c r="J2897" s="513">
        <v>798.31578898245596</v>
      </c>
      <c r="K2897" s="513">
        <v>1425</v>
      </c>
      <c r="L2897" s="518" t="s">
        <v>3504</v>
      </c>
      <c r="M2897" s="152" t="s">
        <v>1540</v>
      </c>
      <c r="N2897" s="152" t="s">
        <v>1407</v>
      </c>
      <c r="O2897" s="152" t="s">
        <v>5667</v>
      </c>
      <c r="P2897" s="152" t="s">
        <v>5400</v>
      </c>
      <c r="Q2897" s="152" t="s">
        <v>5668</v>
      </c>
      <c r="R2897" s="152" t="s">
        <v>5668</v>
      </c>
      <c r="S2897" s="152" t="s">
        <v>5669</v>
      </c>
      <c r="T2897" s="152" t="s">
        <v>786</v>
      </c>
    </row>
    <row r="2898" spans="3:20">
      <c r="C2898" s="152" t="s">
        <v>2821</v>
      </c>
      <c r="F2898" s="152" t="s">
        <v>373</v>
      </c>
      <c r="G2898" s="152" t="s">
        <v>374</v>
      </c>
      <c r="I2898" s="513">
        <v>-2692800</v>
      </c>
      <c r="J2898" s="513">
        <v>-1870</v>
      </c>
      <c r="K2898" s="513">
        <v>1440</v>
      </c>
      <c r="L2898" s="518" t="s">
        <v>3511</v>
      </c>
      <c r="M2898" s="152" t="s">
        <v>1540</v>
      </c>
      <c r="N2898" s="152" t="s">
        <v>1407</v>
      </c>
      <c r="O2898" s="152" t="s">
        <v>5670</v>
      </c>
      <c r="P2898" s="152" t="s">
        <v>5400</v>
      </c>
      <c r="Q2898" s="152" t="s">
        <v>5671</v>
      </c>
      <c r="R2898" s="152" t="s">
        <v>5671</v>
      </c>
      <c r="S2898" s="152" t="s">
        <v>5672</v>
      </c>
      <c r="T2898" s="152" t="s">
        <v>786</v>
      </c>
    </row>
    <row r="2899" spans="3:20">
      <c r="C2899" s="152" t="s">
        <v>2821</v>
      </c>
      <c r="F2899" s="152" t="s">
        <v>373</v>
      </c>
      <c r="G2899" s="152" t="s">
        <v>374</v>
      </c>
      <c r="I2899" s="513">
        <v>-2119600</v>
      </c>
      <c r="J2899" s="513">
        <v>-1514</v>
      </c>
      <c r="K2899" s="513">
        <v>1400</v>
      </c>
      <c r="L2899" s="518" t="s">
        <v>3659</v>
      </c>
      <c r="M2899" s="152" t="s">
        <v>1540</v>
      </c>
      <c r="N2899" s="152" t="s">
        <v>1407</v>
      </c>
      <c r="O2899" s="152" t="s">
        <v>5673</v>
      </c>
      <c r="P2899" s="152" t="s">
        <v>5400</v>
      </c>
      <c r="Q2899" s="152" t="s">
        <v>5674</v>
      </c>
      <c r="R2899" s="152" t="s">
        <v>5674</v>
      </c>
      <c r="S2899" s="152" t="s">
        <v>5675</v>
      </c>
      <c r="T2899" s="152" t="s">
        <v>786</v>
      </c>
    </row>
    <row r="2900" spans="3:20">
      <c r="C2900" s="152" t="s">
        <v>2821</v>
      </c>
      <c r="F2900" s="152" t="s">
        <v>373</v>
      </c>
      <c r="G2900" s="152" t="s">
        <v>374</v>
      </c>
      <c r="I2900" s="513">
        <v>-1680000</v>
      </c>
      <c r="J2900" s="513">
        <v>-1200</v>
      </c>
      <c r="K2900" s="513">
        <v>1400</v>
      </c>
      <c r="L2900" s="518" t="s">
        <v>3659</v>
      </c>
      <c r="M2900" s="152" t="s">
        <v>1540</v>
      </c>
      <c r="N2900" s="152" t="s">
        <v>1407</v>
      </c>
      <c r="O2900" s="152" t="s">
        <v>5676</v>
      </c>
      <c r="P2900" s="152" t="s">
        <v>5400</v>
      </c>
      <c r="Q2900" s="152" t="s">
        <v>5677</v>
      </c>
      <c r="R2900" s="152" t="s">
        <v>5677</v>
      </c>
      <c r="S2900" s="152" t="s">
        <v>5678</v>
      </c>
      <c r="T2900" s="152" t="s">
        <v>786</v>
      </c>
    </row>
    <row r="2901" spans="3:20">
      <c r="C2901" s="152" t="s">
        <v>2821</v>
      </c>
      <c r="F2901" s="152" t="s">
        <v>373</v>
      </c>
      <c r="G2901" s="152" t="s">
        <v>374</v>
      </c>
      <c r="I2901" s="513">
        <v>-1400000</v>
      </c>
      <c r="J2901" s="513">
        <v>-1000</v>
      </c>
      <c r="K2901" s="513">
        <v>1400</v>
      </c>
      <c r="L2901" s="518" t="s">
        <v>3659</v>
      </c>
      <c r="M2901" s="152" t="s">
        <v>1540</v>
      </c>
      <c r="N2901" s="152" t="s">
        <v>1407</v>
      </c>
      <c r="O2901" s="152" t="s">
        <v>5679</v>
      </c>
      <c r="P2901" s="152" t="s">
        <v>5400</v>
      </c>
      <c r="Q2901" s="152" t="s">
        <v>5680</v>
      </c>
      <c r="R2901" s="152" t="s">
        <v>5680</v>
      </c>
      <c r="S2901" s="152" t="s">
        <v>5681</v>
      </c>
      <c r="T2901" s="152" t="s">
        <v>786</v>
      </c>
    </row>
    <row r="2902" spans="3:20">
      <c r="C2902" s="152" t="s">
        <v>2821</v>
      </c>
      <c r="F2902" s="152" t="s">
        <v>373</v>
      </c>
      <c r="G2902" s="152" t="s">
        <v>374</v>
      </c>
      <c r="I2902" s="513">
        <v>-2100000</v>
      </c>
      <c r="J2902" s="513">
        <v>-1500</v>
      </c>
      <c r="K2902" s="513">
        <v>1400</v>
      </c>
      <c r="L2902" s="518" t="s">
        <v>3659</v>
      </c>
      <c r="M2902" s="152" t="s">
        <v>1540</v>
      </c>
      <c r="N2902" s="152" t="s">
        <v>1407</v>
      </c>
      <c r="O2902" s="152" t="s">
        <v>5682</v>
      </c>
      <c r="P2902" s="152" t="s">
        <v>5400</v>
      </c>
      <c r="Q2902" s="152" t="s">
        <v>5683</v>
      </c>
      <c r="R2902" s="152" t="s">
        <v>5683</v>
      </c>
      <c r="S2902" s="152" t="s">
        <v>5684</v>
      </c>
      <c r="T2902" s="152" t="s">
        <v>786</v>
      </c>
    </row>
    <row r="2903" spans="3:20">
      <c r="C2903" s="152" t="s">
        <v>2821</v>
      </c>
      <c r="F2903" s="152" t="s">
        <v>373</v>
      </c>
      <c r="G2903" s="152" t="s">
        <v>374</v>
      </c>
      <c r="I2903" s="513">
        <v>-840000</v>
      </c>
      <c r="J2903" s="513">
        <v>-600</v>
      </c>
      <c r="K2903" s="513">
        <v>1400</v>
      </c>
      <c r="L2903" s="518" t="s">
        <v>3659</v>
      </c>
      <c r="M2903" s="152" t="s">
        <v>1540</v>
      </c>
      <c r="N2903" s="152" t="s">
        <v>1407</v>
      </c>
      <c r="O2903" s="152" t="s">
        <v>5685</v>
      </c>
      <c r="P2903" s="152" t="s">
        <v>5400</v>
      </c>
      <c r="Q2903" s="152" t="s">
        <v>5686</v>
      </c>
      <c r="R2903" s="152" t="s">
        <v>5686</v>
      </c>
      <c r="S2903" s="152" t="s">
        <v>5687</v>
      </c>
      <c r="T2903" s="152" t="s">
        <v>786</v>
      </c>
    </row>
    <row r="2904" spans="3:20">
      <c r="C2904" s="152" t="s">
        <v>2821</v>
      </c>
      <c r="F2904" s="152" t="s">
        <v>373</v>
      </c>
      <c r="G2904" s="152" t="s">
        <v>374</v>
      </c>
      <c r="I2904" s="513">
        <v>-840000</v>
      </c>
      <c r="J2904" s="513">
        <v>-600</v>
      </c>
      <c r="K2904" s="513">
        <v>1400</v>
      </c>
      <c r="L2904" s="518" t="s">
        <v>3659</v>
      </c>
      <c r="M2904" s="152" t="s">
        <v>1540</v>
      </c>
      <c r="N2904" s="152" t="s">
        <v>1407</v>
      </c>
      <c r="O2904" s="152" t="s">
        <v>5688</v>
      </c>
      <c r="P2904" s="152" t="s">
        <v>5400</v>
      </c>
      <c r="Q2904" s="152" t="s">
        <v>5689</v>
      </c>
      <c r="R2904" s="152" t="s">
        <v>5689</v>
      </c>
      <c r="S2904" s="152" t="s">
        <v>5690</v>
      </c>
      <c r="T2904" s="152" t="s">
        <v>786</v>
      </c>
    </row>
    <row r="2905" spans="3:20">
      <c r="C2905" s="152" t="s">
        <v>2821</v>
      </c>
      <c r="F2905" s="152" t="s">
        <v>373</v>
      </c>
      <c r="G2905" s="152" t="s">
        <v>374</v>
      </c>
      <c r="I2905" s="513">
        <v>-840000</v>
      </c>
      <c r="J2905" s="513">
        <v>-600</v>
      </c>
      <c r="K2905" s="513">
        <v>1400</v>
      </c>
      <c r="L2905" s="518" t="s">
        <v>3659</v>
      </c>
      <c r="M2905" s="152" t="s">
        <v>1540</v>
      </c>
      <c r="N2905" s="152" t="s">
        <v>1407</v>
      </c>
      <c r="O2905" s="152" t="s">
        <v>5691</v>
      </c>
      <c r="P2905" s="152" t="s">
        <v>5400</v>
      </c>
      <c r="Q2905" s="152" t="s">
        <v>5692</v>
      </c>
      <c r="R2905" s="152" t="s">
        <v>5692</v>
      </c>
      <c r="S2905" s="152" t="s">
        <v>5693</v>
      </c>
      <c r="T2905" s="152" t="s">
        <v>786</v>
      </c>
    </row>
    <row r="2906" spans="3:20">
      <c r="C2906" s="152" t="s">
        <v>2821</v>
      </c>
      <c r="F2906" s="152" t="s">
        <v>373</v>
      </c>
      <c r="G2906" s="152" t="s">
        <v>374</v>
      </c>
      <c r="I2906" s="513">
        <v>-840000</v>
      </c>
      <c r="J2906" s="513">
        <v>-600</v>
      </c>
      <c r="K2906" s="513">
        <v>1400</v>
      </c>
      <c r="L2906" s="518" t="s">
        <v>3659</v>
      </c>
      <c r="M2906" s="152" t="s">
        <v>1540</v>
      </c>
      <c r="N2906" s="152" t="s">
        <v>1407</v>
      </c>
      <c r="O2906" s="152" t="s">
        <v>5694</v>
      </c>
      <c r="P2906" s="152" t="s">
        <v>5400</v>
      </c>
      <c r="Q2906" s="152" t="s">
        <v>5695</v>
      </c>
      <c r="R2906" s="152" t="s">
        <v>5695</v>
      </c>
      <c r="S2906" s="152" t="s">
        <v>5696</v>
      </c>
      <c r="T2906" s="152" t="s">
        <v>786</v>
      </c>
    </row>
    <row r="2907" spans="3:20">
      <c r="C2907" s="152" t="s">
        <v>2821</v>
      </c>
      <c r="F2907" s="152" t="s">
        <v>373</v>
      </c>
      <c r="G2907" s="152" t="s">
        <v>374</v>
      </c>
      <c r="I2907" s="513">
        <v>-854000</v>
      </c>
      <c r="J2907" s="513">
        <v>-610</v>
      </c>
      <c r="K2907" s="513">
        <v>1400</v>
      </c>
      <c r="L2907" s="518" t="s">
        <v>3659</v>
      </c>
      <c r="M2907" s="152" t="s">
        <v>1540</v>
      </c>
      <c r="N2907" s="152" t="s">
        <v>1407</v>
      </c>
      <c r="O2907" s="152" t="s">
        <v>5697</v>
      </c>
      <c r="P2907" s="152" t="s">
        <v>5400</v>
      </c>
      <c r="Q2907" s="152" t="s">
        <v>5698</v>
      </c>
      <c r="R2907" s="152" t="s">
        <v>5698</v>
      </c>
      <c r="S2907" s="152" t="s">
        <v>5699</v>
      </c>
      <c r="T2907" s="152" t="s">
        <v>786</v>
      </c>
    </row>
    <row r="2908" spans="3:20">
      <c r="C2908" s="152" t="s">
        <v>2821</v>
      </c>
      <c r="F2908" s="152" t="s">
        <v>373</v>
      </c>
      <c r="G2908" s="152" t="s">
        <v>374</v>
      </c>
      <c r="I2908" s="513">
        <v>-1610000</v>
      </c>
      <c r="J2908" s="513">
        <v>-1150</v>
      </c>
      <c r="K2908" s="513">
        <v>1400</v>
      </c>
      <c r="L2908" s="518" t="s">
        <v>3659</v>
      </c>
      <c r="M2908" s="152" t="s">
        <v>1540</v>
      </c>
      <c r="N2908" s="152" t="s">
        <v>1407</v>
      </c>
      <c r="O2908" s="152" t="s">
        <v>5700</v>
      </c>
      <c r="P2908" s="152" t="s">
        <v>5400</v>
      </c>
      <c r="Q2908" s="152" t="s">
        <v>5701</v>
      </c>
      <c r="R2908" s="152" t="s">
        <v>5701</v>
      </c>
      <c r="S2908" s="152" t="s">
        <v>5702</v>
      </c>
      <c r="T2908" s="152" t="s">
        <v>786</v>
      </c>
    </row>
    <row r="2909" spans="3:20">
      <c r="C2909" s="152" t="s">
        <v>2821</v>
      </c>
      <c r="F2909" s="152" t="s">
        <v>373</v>
      </c>
      <c r="G2909" s="152" t="s">
        <v>374</v>
      </c>
      <c r="I2909" s="513">
        <v>-849000</v>
      </c>
      <c r="J2909" s="513">
        <v>-600</v>
      </c>
      <c r="K2909" s="513">
        <v>1415</v>
      </c>
      <c r="L2909" s="518" t="s">
        <v>3632</v>
      </c>
      <c r="M2909" s="152" t="s">
        <v>1540</v>
      </c>
      <c r="N2909" s="152" t="s">
        <v>1407</v>
      </c>
      <c r="O2909" s="152" t="s">
        <v>5703</v>
      </c>
      <c r="P2909" s="152" t="s">
        <v>5400</v>
      </c>
      <c r="Q2909" s="152" t="s">
        <v>5704</v>
      </c>
      <c r="R2909" s="152" t="s">
        <v>5704</v>
      </c>
      <c r="S2909" s="152" t="s">
        <v>5705</v>
      </c>
      <c r="T2909" s="152" t="s">
        <v>786</v>
      </c>
    </row>
    <row r="2910" spans="3:20">
      <c r="C2910" s="152" t="s">
        <v>2821</v>
      </c>
      <c r="F2910" s="152" t="s">
        <v>373</v>
      </c>
      <c r="G2910" s="152" t="s">
        <v>374</v>
      </c>
      <c r="I2910" s="513">
        <v>-849000</v>
      </c>
      <c r="J2910" s="513">
        <v>-600</v>
      </c>
      <c r="K2910" s="513">
        <v>1415</v>
      </c>
      <c r="L2910" s="518" t="s">
        <v>3632</v>
      </c>
      <c r="M2910" s="152" t="s">
        <v>1540</v>
      </c>
      <c r="N2910" s="152" t="s">
        <v>1407</v>
      </c>
      <c r="O2910" s="152" t="s">
        <v>5706</v>
      </c>
      <c r="P2910" s="152" t="s">
        <v>5400</v>
      </c>
      <c r="Q2910" s="152" t="s">
        <v>5707</v>
      </c>
      <c r="R2910" s="152" t="s">
        <v>5707</v>
      </c>
      <c r="S2910" s="152" t="s">
        <v>5708</v>
      </c>
      <c r="T2910" s="152" t="s">
        <v>786</v>
      </c>
    </row>
    <row r="2911" spans="3:20">
      <c r="C2911" s="152" t="s">
        <v>2821</v>
      </c>
      <c r="F2911" s="152" t="s">
        <v>373</v>
      </c>
      <c r="G2911" s="152" t="s">
        <v>374</v>
      </c>
      <c r="I2911" s="513">
        <v>-1886195</v>
      </c>
      <c r="J2911" s="513">
        <v>-1333</v>
      </c>
      <c r="K2911" s="513">
        <v>1415</v>
      </c>
      <c r="L2911" s="518" t="s">
        <v>3632</v>
      </c>
      <c r="M2911" s="152" t="s">
        <v>1540</v>
      </c>
      <c r="N2911" s="152" t="s">
        <v>1407</v>
      </c>
      <c r="O2911" s="152" t="s">
        <v>5709</v>
      </c>
      <c r="P2911" s="152" t="s">
        <v>5400</v>
      </c>
      <c r="Q2911" s="152" t="s">
        <v>5710</v>
      </c>
      <c r="R2911" s="152" t="s">
        <v>5710</v>
      </c>
      <c r="S2911" s="152" t="s">
        <v>5711</v>
      </c>
      <c r="T2911" s="152" t="s">
        <v>786</v>
      </c>
    </row>
    <row r="2912" spans="3:20">
      <c r="C2912" s="152" t="s">
        <v>2821</v>
      </c>
      <c r="F2912" s="152" t="s">
        <v>373</v>
      </c>
      <c r="G2912" s="152" t="s">
        <v>374</v>
      </c>
      <c r="I2912" s="513">
        <v>-1886195</v>
      </c>
      <c r="J2912" s="513">
        <v>-1333</v>
      </c>
      <c r="K2912" s="513">
        <v>1415</v>
      </c>
      <c r="L2912" s="518" t="s">
        <v>3632</v>
      </c>
      <c r="M2912" s="152" t="s">
        <v>1540</v>
      </c>
      <c r="N2912" s="152" t="s">
        <v>1407</v>
      </c>
      <c r="O2912" s="152" t="s">
        <v>5712</v>
      </c>
      <c r="P2912" s="152" t="s">
        <v>5400</v>
      </c>
      <c r="Q2912" s="152" t="s">
        <v>5713</v>
      </c>
      <c r="R2912" s="152" t="s">
        <v>5713</v>
      </c>
      <c r="S2912" s="152" t="s">
        <v>5714</v>
      </c>
      <c r="T2912" s="152" t="s">
        <v>786</v>
      </c>
    </row>
    <row r="2913" spans="3:20">
      <c r="C2913" s="152" t="s">
        <v>2821</v>
      </c>
      <c r="F2913" s="152" t="s">
        <v>373</v>
      </c>
      <c r="G2913" s="152" t="s">
        <v>374</v>
      </c>
      <c r="I2913" s="513">
        <v>-1886195</v>
      </c>
      <c r="J2913" s="513">
        <v>-1333</v>
      </c>
      <c r="K2913" s="513">
        <v>1415</v>
      </c>
      <c r="L2913" s="518" t="s">
        <v>3632</v>
      </c>
      <c r="M2913" s="152" t="s">
        <v>1540</v>
      </c>
      <c r="N2913" s="152" t="s">
        <v>1407</v>
      </c>
      <c r="O2913" s="152" t="s">
        <v>5715</v>
      </c>
      <c r="P2913" s="152" t="s">
        <v>5400</v>
      </c>
      <c r="Q2913" s="152" t="s">
        <v>5716</v>
      </c>
      <c r="R2913" s="152" t="s">
        <v>5716</v>
      </c>
      <c r="S2913" s="152" t="s">
        <v>5717</v>
      </c>
      <c r="T2913" s="152" t="s">
        <v>786</v>
      </c>
    </row>
    <row r="2914" spans="3:20">
      <c r="C2914" s="152" t="s">
        <v>2821</v>
      </c>
      <c r="F2914" s="152" t="s">
        <v>373</v>
      </c>
      <c r="G2914" s="152" t="s">
        <v>374</v>
      </c>
      <c r="I2914" s="513">
        <v>-424500</v>
      </c>
      <c r="J2914" s="513">
        <v>-300</v>
      </c>
      <c r="K2914" s="513">
        <v>1415</v>
      </c>
      <c r="L2914" s="518" t="s">
        <v>3632</v>
      </c>
      <c r="M2914" s="152" t="s">
        <v>1540</v>
      </c>
      <c r="N2914" s="152" t="s">
        <v>1407</v>
      </c>
      <c r="O2914" s="152" t="s">
        <v>5718</v>
      </c>
      <c r="P2914" s="152" t="s">
        <v>5400</v>
      </c>
      <c r="Q2914" s="152" t="s">
        <v>5719</v>
      </c>
      <c r="R2914" s="152" t="s">
        <v>5719</v>
      </c>
      <c r="S2914" s="152" t="s">
        <v>5720</v>
      </c>
      <c r="T2914" s="152" t="s">
        <v>786</v>
      </c>
    </row>
    <row r="2915" spans="3:20">
      <c r="C2915" s="152" t="s">
        <v>2821</v>
      </c>
      <c r="F2915" s="152" t="s">
        <v>373</v>
      </c>
      <c r="G2915" s="152" t="s">
        <v>374</v>
      </c>
      <c r="I2915" s="513">
        <v>-424500</v>
      </c>
      <c r="J2915" s="513">
        <v>-300</v>
      </c>
      <c r="K2915" s="513">
        <v>1415</v>
      </c>
      <c r="L2915" s="518" t="s">
        <v>3632</v>
      </c>
      <c r="M2915" s="152" t="s">
        <v>1540</v>
      </c>
      <c r="N2915" s="152" t="s">
        <v>1407</v>
      </c>
      <c r="O2915" s="152" t="s">
        <v>5721</v>
      </c>
      <c r="P2915" s="152" t="s">
        <v>5400</v>
      </c>
      <c r="Q2915" s="152" t="s">
        <v>5722</v>
      </c>
      <c r="R2915" s="152" t="s">
        <v>5722</v>
      </c>
      <c r="S2915" s="152" t="s">
        <v>5723</v>
      </c>
      <c r="T2915" s="152" t="s">
        <v>786</v>
      </c>
    </row>
    <row r="2916" spans="3:20">
      <c r="C2916" s="152" t="s">
        <v>2821</v>
      </c>
      <c r="F2916" s="152" t="s">
        <v>373</v>
      </c>
      <c r="G2916" s="152" t="s">
        <v>374</v>
      </c>
      <c r="I2916" s="513">
        <v>-843000</v>
      </c>
      <c r="J2916" s="513">
        <v>-600</v>
      </c>
      <c r="K2916" s="513">
        <v>1405</v>
      </c>
      <c r="L2916" s="518" t="s">
        <v>3493</v>
      </c>
      <c r="M2916" s="152" t="s">
        <v>1540</v>
      </c>
      <c r="N2916" s="152" t="s">
        <v>1407</v>
      </c>
      <c r="O2916" s="152" t="s">
        <v>5724</v>
      </c>
      <c r="P2916" s="152" t="s">
        <v>5400</v>
      </c>
      <c r="Q2916" s="152" t="s">
        <v>5725</v>
      </c>
      <c r="R2916" s="152" t="s">
        <v>5725</v>
      </c>
      <c r="S2916" s="152" t="s">
        <v>5726</v>
      </c>
      <c r="T2916" s="152" t="s">
        <v>786</v>
      </c>
    </row>
    <row r="2917" spans="3:20">
      <c r="C2917" s="152" t="s">
        <v>2821</v>
      </c>
      <c r="F2917" s="152" t="s">
        <v>373</v>
      </c>
      <c r="G2917" s="152" t="s">
        <v>374</v>
      </c>
      <c r="I2917" s="513">
        <v>-843000</v>
      </c>
      <c r="J2917" s="513">
        <v>-600</v>
      </c>
      <c r="K2917" s="513">
        <v>1405</v>
      </c>
      <c r="L2917" s="518" t="s">
        <v>3493</v>
      </c>
      <c r="M2917" s="152" t="s">
        <v>1540</v>
      </c>
      <c r="N2917" s="152" t="s">
        <v>1407</v>
      </c>
      <c r="O2917" s="152" t="s">
        <v>5727</v>
      </c>
      <c r="P2917" s="152" t="s">
        <v>5400</v>
      </c>
      <c r="Q2917" s="152" t="s">
        <v>5728</v>
      </c>
      <c r="R2917" s="152" t="s">
        <v>5728</v>
      </c>
      <c r="S2917" s="152" t="s">
        <v>5729</v>
      </c>
      <c r="T2917" s="152" t="s">
        <v>786</v>
      </c>
    </row>
    <row r="2918" spans="3:20">
      <c r="C2918" s="152" t="s">
        <v>2821</v>
      </c>
      <c r="F2918" s="152" t="s">
        <v>373</v>
      </c>
      <c r="G2918" s="152" t="s">
        <v>374</v>
      </c>
      <c r="I2918" s="513">
        <v>-702500</v>
      </c>
      <c r="J2918" s="513">
        <v>-500</v>
      </c>
      <c r="K2918" s="513">
        <v>1405</v>
      </c>
      <c r="L2918" s="518" t="s">
        <v>3493</v>
      </c>
      <c r="M2918" s="152" t="s">
        <v>1540</v>
      </c>
      <c r="N2918" s="152" t="s">
        <v>1407</v>
      </c>
      <c r="O2918" s="152" t="s">
        <v>5730</v>
      </c>
      <c r="P2918" s="152" t="s">
        <v>5400</v>
      </c>
      <c r="Q2918" s="152" t="s">
        <v>5731</v>
      </c>
      <c r="R2918" s="152" t="s">
        <v>5731</v>
      </c>
      <c r="S2918" s="152" t="s">
        <v>5732</v>
      </c>
      <c r="T2918" s="152" t="s">
        <v>786</v>
      </c>
    </row>
    <row r="2919" spans="3:20">
      <c r="C2919" s="152" t="s">
        <v>2821</v>
      </c>
      <c r="F2919" s="152" t="s">
        <v>373</v>
      </c>
      <c r="G2919" s="152" t="s">
        <v>374</v>
      </c>
      <c r="I2919" s="513">
        <v>-843000</v>
      </c>
      <c r="J2919" s="513">
        <v>-600</v>
      </c>
      <c r="K2919" s="513">
        <v>1405</v>
      </c>
      <c r="L2919" s="518" t="s">
        <v>3493</v>
      </c>
      <c r="M2919" s="152" t="s">
        <v>1540</v>
      </c>
      <c r="N2919" s="152" t="s">
        <v>1407</v>
      </c>
      <c r="O2919" s="152" t="s">
        <v>5733</v>
      </c>
      <c r="P2919" s="152" t="s">
        <v>5400</v>
      </c>
      <c r="Q2919" s="152" t="s">
        <v>5734</v>
      </c>
      <c r="R2919" s="152" t="s">
        <v>5734</v>
      </c>
      <c r="S2919" s="152" t="s">
        <v>5735</v>
      </c>
      <c r="T2919" s="152" t="s">
        <v>786</v>
      </c>
    </row>
    <row r="2920" spans="3:20">
      <c r="C2920" s="152" t="s">
        <v>2821</v>
      </c>
      <c r="F2920" s="152" t="s">
        <v>373</v>
      </c>
      <c r="G2920" s="152" t="s">
        <v>374</v>
      </c>
      <c r="I2920" s="513">
        <v>-843000</v>
      </c>
      <c r="J2920" s="513">
        <v>-600</v>
      </c>
      <c r="K2920" s="513">
        <v>1405</v>
      </c>
      <c r="L2920" s="518" t="s">
        <v>3493</v>
      </c>
      <c r="M2920" s="152" t="s">
        <v>1540</v>
      </c>
      <c r="N2920" s="152" t="s">
        <v>1407</v>
      </c>
      <c r="O2920" s="152" t="s">
        <v>5736</v>
      </c>
      <c r="P2920" s="152" t="s">
        <v>5400</v>
      </c>
      <c r="Q2920" s="152" t="s">
        <v>5737</v>
      </c>
      <c r="R2920" s="152" t="s">
        <v>5737</v>
      </c>
      <c r="S2920" s="152" t="s">
        <v>5738</v>
      </c>
      <c r="T2920" s="152" t="s">
        <v>786</v>
      </c>
    </row>
    <row r="2921" spans="3:20">
      <c r="C2921" s="152" t="s">
        <v>2821</v>
      </c>
      <c r="F2921" s="152" t="s">
        <v>373</v>
      </c>
      <c r="G2921" s="152" t="s">
        <v>374</v>
      </c>
      <c r="I2921" s="513">
        <v>-3793500</v>
      </c>
      <c r="J2921" s="513">
        <v>-2700</v>
      </c>
      <c r="K2921" s="513">
        <v>1405</v>
      </c>
      <c r="L2921" s="518" t="s">
        <v>3493</v>
      </c>
      <c r="M2921" s="152" t="s">
        <v>1540</v>
      </c>
      <c r="N2921" s="152" t="s">
        <v>1407</v>
      </c>
      <c r="O2921" s="152" t="s">
        <v>5739</v>
      </c>
      <c r="P2921" s="152" t="s">
        <v>5400</v>
      </c>
      <c r="Q2921" s="152" t="s">
        <v>5740</v>
      </c>
      <c r="R2921" s="152" t="s">
        <v>5740</v>
      </c>
      <c r="S2921" s="152" t="s">
        <v>5741</v>
      </c>
      <c r="T2921" s="152" t="s">
        <v>786</v>
      </c>
    </row>
    <row r="2922" spans="3:20">
      <c r="C2922" s="152" t="s">
        <v>2821</v>
      </c>
      <c r="F2922" s="152" t="s">
        <v>373</v>
      </c>
      <c r="G2922" s="152" t="s">
        <v>374</v>
      </c>
      <c r="I2922" s="513">
        <v>-2810000</v>
      </c>
      <c r="J2922" s="513">
        <v>-2000</v>
      </c>
      <c r="K2922" s="513">
        <v>1405</v>
      </c>
      <c r="L2922" s="518" t="s">
        <v>3493</v>
      </c>
      <c r="M2922" s="152" t="s">
        <v>1540</v>
      </c>
      <c r="N2922" s="152" t="s">
        <v>1407</v>
      </c>
      <c r="O2922" s="152" t="s">
        <v>5742</v>
      </c>
      <c r="P2922" s="152" t="s">
        <v>5400</v>
      </c>
      <c r="Q2922" s="152" t="s">
        <v>5743</v>
      </c>
      <c r="R2922" s="152" t="s">
        <v>5743</v>
      </c>
      <c r="S2922" s="152" t="s">
        <v>5744</v>
      </c>
      <c r="T2922" s="152" t="s">
        <v>786</v>
      </c>
    </row>
    <row r="2923" spans="3:20">
      <c r="C2923" s="152" t="s">
        <v>2821</v>
      </c>
      <c r="F2923" s="152" t="s">
        <v>373</v>
      </c>
      <c r="G2923" s="152" t="s">
        <v>374</v>
      </c>
      <c r="I2923" s="513">
        <v>-2529000</v>
      </c>
      <c r="J2923" s="513">
        <v>-1800</v>
      </c>
      <c r="K2923" s="513">
        <v>1405</v>
      </c>
      <c r="L2923" s="518" t="s">
        <v>3493</v>
      </c>
      <c r="M2923" s="152" t="s">
        <v>1540</v>
      </c>
      <c r="N2923" s="152" t="s">
        <v>1407</v>
      </c>
      <c r="O2923" s="152" t="s">
        <v>5745</v>
      </c>
      <c r="P2923" s="152" t="s">
        <v>5400</v>
      </c>
      <c r="Q2923" s="152" t="s">
        <v>5746</v>
      </c>
      <c r="R2923" s="152" t="s">
        <v>5746</v>
      </c>
      <c r="S2923" s="152" t="s">
        <v>5747</v>
      </c>
      <c r="T2923" s="152" t="s">
        <v>786</v>
      </c>
    </row>
    <row r="2924" spans="3:20">
      <c r="C2924" s="152" t="s">
        <v>2821</v>
      </c>
      <c r="F2924" s="152" t="s">
        <v>373</v>
      </c>
      <c r="G2924" s="152" t="s">
        <v>374</v>
      </c>
      <c r="I2924" s="513">
        <v>-491750</v>
      </c>
      <c r="J2924" s="513">
        <v>-350</v>
      </c>
      <c r="K2924" s="513">
        <v>1405</v>
      </c>
      <c r="L2924" s="518" t="s">
        <v>3493</v>
      </c>
      <c r="M2924" s="152" t="s">
        <v>1540</v>
      </c>
      <c r="N2924" s="152" t="s">
        <v>1407</v>
      </c>
      <c r="O2924" s="152" t="s">
        <v>5748</v>
      </c>
      <c r="P2924" s="152" t="s">
        <v>5400</v>
      </c>
      <c r="Q2924" s="152" t="s">
        <v>5749</v>
      </c>
      <c r="R2924" s="152" t="s">
        <v>5749</v>
      </c>
      <c r="S2924" s="152" t="s">
        <v>5750</v>
      </c>
      <c r="T2924" s="152" t="s">
        <v>786</v>
      </c>
    </row>
    <row r="2925" spans="3:20">
      <c r="C2925" s="152" t="s">
        <v>2821</v>
      </c>
      <c r="F2925" s="152" t="s">
        <v>373</v>
      </c>
      <c r="G2925" s="152" t="s">
        <v>374</v>
      </c>
      <c r="I2925" s="513">
        <v>-1124000</v>
      </c>
      <c r="J2925" s="513">
        <v>-800</v>
      </c>
      <c r="K2925" s="513">
        <v>1405</v>
      </c>
      <c r="L2925" s="518" t="s">
        <v>3493</v>
      </c>
      <c r="M2925" s="152" t="s">
        <v>1540</v>
      </c>
      <c r="N2925" s="152" t="s">
        <v>1407</v>
      </c>
      <c r="O2925" s="152" t="s">
        <v>5751</v>
      </c>
      <c r="P2925" s="152" t="s">
        <v>5400</v>
      </c>
      <c r="Q2925" s="152" t="s">
        <v>5752</v>
      </c>
      <c r="R2925" s="152" t="s">
        <v>5752</v>
      </c>
      <c r="S2925" s="152" t="s">
        <v>5753</v>
      </c>
      <c r="T2925" s="152" t="s">
        <v>786</v>
      </c>
    </row>
    <row r="2926" spans="3:20">
      <c r="C2926" s="152" t="s">
        <v>2821</v>
      </c>
      <c r="F2926" s="152" t="s">
        <v>373</v>
      </c>
      <c r="G2926" s="152" t="s">
        <v>374</v>
      </c>
      <c r="I2926" s="513">
        <v>-1405000</v>
      </c>
      <c r="J2926" s="513">
        <v>-1000</v>
      </c>
      <c r="K2926" s="513">
        <v>1405</v>
      </c>
      <c r="L2926" s="518" t="s">
        <v>3493</v>
      </c>
      <c r="M2926" s="152" t="s">
        <v>1540</v>
      </c>
      <c r="N2926" s="152" t="s">
        <v>1407</v>
      </c>
      <c r="O2926" s="152" t="s">
        <v>5754</v>
      </c>
      <c r="P2926" s="152" t="s">
        <v>5400</v>
      </c>
      <c r="Q2926" s="152" t="s">
        <v>5755</v>
      </c>
      <c r="R2926" s="152" t="s">
        <v>5755</v>
      </c>
      <c r="S2926" s="152" t="s">
        <v>5756</v>
      </c>
      <c r="T2926" s="152" t="s">
        <v>786</v>
      </c>
    </row>
    <row r="2927" spans="3:20">
      <c r="C2927" s="152" t="s">
        <v>2821</v>
      </c>
      <c r="F2927" s="152" t="s">
        <v>373</v>
      </c>
      <c r="G2927" s="152" t="s">
        <v>374</v>
      </c>
      <c r="I2927" s="513">
        <v>-6294400</v>
      </c>
      <c r="J2927" s="513">
        <v>-4480</v>
      </c>
      <c r="K2927" s="513">
        <v>1405</v>
      </c>
      <c r="L2927" s="518" t="s">
        <v>3493</v>
      </c>
      <c r="M2927" s="152" t="s">
        <v>1540</v>
      </c>
      <c r="N2927" s="152" t="s">
        <v>1407</v>
      </c>
      <c r="O2927" s="152" t="s">
        <v>5757</v>
      </c>
      <c r="P2927" s="152" t="s">
        <v>5400</v>
      </c>
      <c r="Q2927" s="152" t="s">
        <v>5758</v>
      </c>
      <c r="R2927" s="152" t="s">
        <v>5758</v>
      </c>
      <c r="S2927" s="152" t="s">
        <v>5759</v>
      </c>
      <c r="T2927" s="152" t="s">
        <v>786</v>
      </c>
    </row>
    <row r="2928" spans="3:20">
      <c r="C2928" s="152" t="s">
        <v>2821</v>
      </c>
      <c r="F2928" s="152" t="s">
        <v>373</v>
      </c>
      <c r="G2928" s="152" t="s">
        <v>374</v>
      </c>
      <c r="I2928" s="513">
        <v>-843000</v>
      </c>
      <c r="J2928" s="513">
        <v>-600</v>
      </c>
      <c r="K2928" s="513">
        <v>1405</v>
      </c>
      <c r="L2928" s="518" t="s">
        <v>3493</v>
      </c>
      <c r="M2928" s="152" t="s">
        <v>1540</v>
      </c>
      <c r="N2928" s="152" t="s">
        <v>1407</v>
      </c>
      <c r="O2928" s="152" t="s">
        <v>5760</v>
      </c>
      <c r="P2928" s="152" t="s">
        <v>5400</v>
      </c>
      <c r="Q2928" s="152" t="s">
        <v>5761</v>
      </c>
      <c r="R2928" s="152" t="s">
        <v>5761</v>
      </c>
      <c r="S2928" s="152" t="s">
        <v>5762</v>
      </c>
      <c r="T2928" s="152" t="s">
        <v>786</v>
      </c>
    </row>
    <row r="2929" spans="3:20">
      <c r="C2929" s="152" t="s">
        <v>2821</v>
      </c>
      <c r="F2929" s="152" t="s">
        <v>360</v>
      </c>
      <c r="G2929" s="152" t="s">
        <v>361</v>
      </c>
      <c r="I2929" s="513">
        <v>517812.75</v>
      </c>
      <c r="J2929" s="513">
        <v>368.55</v>
      </c>
      <c r="K2929" s="513">
        <v>1405</v>
      </c>
      <c r="L2929" s="518" t="s">
        <v>3493</v>
      </c>
      <c r="M2929" s="152" t="s">
        <v>780</v>
      </c>
      <c r="N2929" s="152" t="s">
        <v>1407</v>
      </c>
      <c r="O2929" s="152" t="s">
        <v>3669</v>
      </c>
      <c r="P2929" s="152" t="s">
        <v>3489</v>
      </c>
      <c r="Q2929" s="152" t="s">
        <v>3670</v>
      </c>
      <c r="R2929" s="152" t="s">
        <v>3671</v>
      </c>
      <c r="S2929" s="152" t="s">
        <v>3672</v>
      </c>
      <c r="T2929" s="152" t="s">
        <v>786</v>
      </c>
    </row>
    <row r="2930" spans="3:20">
      <c r="C2930" s="152" t="s">
        <v>2821</v>
      </c>
      <c r="F2930" s="152" t="s">
        <v>360</v>
      </c>
      <c r="G2930" s="152" t="s">
        <v>361</v>
      </c>
      <c r="I2930" s="513">
        <v>2655.45</v>
      </c>
      <c r="J2930" s="513">
        <v>1.89</v>
      </c>
      <c r="K2930" s="513">
        <v>1405</v>
      </c>
      <c r="L2930" s="518" t="s">
        <v>3493</v>
      </c>
      <c r="M2930" s="152" t="s">
        <v>780</v>
      </c>
      <c r="N2930" s="152" t="s">
        <v>1407</v>
      </c>
      <c r="O2930" s="152" t="s">
        <v>3669</v>
      </c>
      <c r="P2930" s="152" t="s">
        <v>3489</v>
      </c>
      <c r="Q2930" s="152" t="s">
        <v>3670</v>
      </c>
      <c r="R2930" s="152" t="s">
        <v>1515</v>
      </c>
      <c r="S2930" s="152" t="s">
        <v>3672</v>
      </c>
      <c r="T2930" s="152" t="s">
        <v>786</v>
      </c>
    </row>
    <row r="2931" spans="3:20">
      <c r="C2931" s="152" t="s">
        <v>2821</v>
      </c>
      <c r="F2931" s="152" t="s">
        <v>362</v>
      </c>
      <c r="G2931" s="152" t="s">
        <v>363</v>
      </c>
      <c r="I2931" s="513">
        <v>400982.7</v>
      </c>
      <c r="J2931" s="513">
        <v>283.38</v>
      </c>
      <c r="K2931" s="513">
        <v>1415</v>
      </c>
      <c r="L2931" s="518" t="s">
        <v>3632</v>
      </c>
      <c r="M2931" s="152" t="s">
        <v>780</v>
      </c>
      <c r="N2931" s="152" t="s">
        <v>1407</v>
      </c>
      <c r="O2931" s="152" t="s">
        <v>3673</v>
      </c>
      <c r="P2931" s="152" t="s">
        <v>3489</v>
      </c>
      <c r="Q2931" s="152" t="s">
        <v>3674</v>
      </c>
      <c r="R2931" s="152" t="s">
        <v>3775</v>
      </c>
      <c r="S2931" s="152" t="s">
        <v>3676</v>
      </c>
      <c r="T2931" s="152" t="s">
        <v>786</v>
      </c>
    </row>
    <row r="2932" spans="3:20">
      <c r="C2932" s="152" t="s">
        <v>2821</v>
      </c>
      <c r="F2932" s="152" t="s">
        <v>362</v>
      </c>
      <c r="G2932" s="152" t="s">
        <v>363</v>
      </c>
      <c r="I2932" s="513">
        <v>27267.05</v>
      </c>
      <c r="J2932" s="513">
        <v>19.27</v>
      </c>
      <c r="K2932" s="513">
        <v>1415</v>
      </c>
      <c r="L2932" s="518" t="s">
        <v>3632</v>
      </c>
      <c r="M2932" s="152" t="s">
        <v>780</v>
      </c>
      <c r="N2932" s="152" t="s">
        <v>1407</v>
      </c>
      <c r="O2932" s="152" t="s">
        <v>3633</v>
      </c>
      <c r="P2932" s="152" t="s">
        <v>3489</v>
      </c>
      <c r="Q2932" s="152" t="s">
        <v>3634</v>
      </c>
      <c r="R2932" s="152" t="s">
        <v>3961</v>
      </c>
      <c r="S2932" s="152" t="s">
        <v>3636</v>
      </c>
      <c r="T2932" s="152" t="s">
        <v>786</v>
      </c>
    </row>
    <row r="2933" spans="3:20">
      <c r="C2933" s="152" t="s">
        <v>2821</v>
      </c>
      <c r="F2933" s="152" t="s">
        <v>362</v>
      </c>
      <c r="G2933" s="152" t="s">
        <v>363</v>
      </c>
      <c r="I2933" s="513">
        <v>129456.7</v>
      </c>
      <c r="J2933" s="513">
        <v>92.14</v>
      </c>
      <c r="K2933" s="513">
        <v>1405</v>
      </c>
      <c r="L2933" s="518" t="s">
        <v>3493</v>
      </c>
      <c r="M2933" s="152" t="s">
        <v>780</v>
      </c>
      <c r="N2933" s="152" t="s">
        <v>1407</v>
      </c>
      <c r="O2933" s="152" t="s">
        <v>3669</v>
      </c>
      <c r="P2933" s="152" t="s">
        <v>3489</v>
      </c>
      <c r="Q2933" s="152" t="s">
        <v>3670</v>
      </c>
      <c r="R2933" s="152" t="s">
        <v>4028</v>
      </c>
      <c r="S2933" s="152" t="s">
        <v>3672</v>
      </c>
      <c r="T2933" s="152" t="s">
        <v>786</v>
      </c>
    </row>
    <row r="2934" spans="3:20">
      <c r="C2934" s="152" t="s">
        <v>2821</v>
      </c>
      <c r="F2934" s="152" t="s">
        <v>362</v>
      </c>
      <c r="G2934" s="152" t="s">
        <v>363</v>
      </c>
      <c r="I2934" s="513">
        <v>720000</v>
      </c>
      <c r="J2934" s="513">
        <v>512.45551601423495</v>
      </c>
      <c r="K2934" s="513">
        <v>1405</v>
      </c>
      <c r="L2934" s="518" t="s">
        <v>3493</v>
      </c>
      <c r="M2934" s="152" t="s">
        <v>780</v>
      </c>
      <c r="N2934" s="152" t="s">
        <v>1407</v>
      </c>
      <c r="O2934" s="152" t="s">
        <v>4197</v>
      </c>
      <c r="P2934" s="152" t="s">
        <v>3489</v>
      </c>
      <c r="Q2934" s="152" t="s">
        <v>4198</v>
      </c>
      <c r="R2934" s="152" t="s">
        <v>4202</v>
      </c>
      <c r="S2934" s="152" t="s">
        <v>4200</v>
      </c>
      <c r="T2934" s="152" t="s">
        <v>786</v>
      </c>
    </row>
    <row r="2935" spans="3:20">
      <c r="C2935" s="152" t="s">
        <v>2821</v>
      </c>
      <c r="F2935" s="152" t="s">
        <v>364</v>
      </c>
      <c r="G2935" s="152" t="s">
        <v>365</v>
      </c>
      <c r="I2935" s="513">
        <v>-1881000</v>
      </c>
      <c r="J2935" s="513">
        <v>-1320</v>
      </c>
      <c r="K2935" s="513">
        <v>1425</v>
      </c>
      <c r="L2935" s="518" t="s">
        <v>3487</v>
      </c>
      <c r="M2935" s="152" t="s">
        <v>780</v>
      </c>
      <c r="N2935" s="152" t="s">
        <v>1407</v>
      </c>
      <c r="O2935" s="152" t="s">
        <v>3488</v>
      </c>
      <c r="P2935" s="152" t="s">
        <v>3489</v>
      </c>
      <c r="Q2935" s="152" t="s">
        <v>3490</v>
      </c>
      <c r="R2935" s="152" t="s">
        <v>3491</v>
      </c>
      <c r="S2935" s="152" t="s">
        <v>3492</v>
      </c>
      <c r="T2935" s="152" t="s">
        <v>786</v>
      </c>
    </row>
    <row r="2936" spans="3:20">
      <c r="C2936" s="152" t="s">
        <v>2821</v>
      </c>
      <c r="F2936" s="152" t="s">
        <v>364</v>
      </c>
      <c r="G2936" s="152" t="s">
        <v>365</v>
      </c>
      <c r="I2936" s="513">
        <v>-4768550</v>
      </c>
      <c r="J2936" s="513">
        <v>-3370</v>
      </c>
      <c r="K2936" s="513">
        <v>1415</v>
      </c>
      <c r="L2936" s="518" t="s">
        <v>3493</v>
      </c>
      <c r="M2936" s="152" t="s">
        <v>780</v>
      </c>
      <c r="N2936" s="152" t="s">
        <v>1407</v>
      </c>
      <c r="O2936" s="152" t="s">
        <v>3494</v>
      </c>
      <c r="P2936" s="152" t="s">
        <v>3489</v>
      </c>
      <c r="Q2936" s="152" t="s">
        <v>3495</v>
      </c>
      <c r="R2936" s="152" t="s">
        <v>3496</v>
      </c>
      <c r="S2936" s="152" t="s">
        <v>3497</v>
      </c>
      <c r="T2936" s="152" t="s">
        <v>786</v>
      </c>
    </row>
    <row r="2937" spans="3:20">
      <c r="C2937" s="152" t="s">
        <v>2821</v>
      </c>
      <c r="F2937" s="152" t="s">
        <v>364</v>
      </c>
      <c r="G2937" s="152" t="s">
        <v>365</v>
      </c>
      <c r="I2937" s="513">
        <v>-2030400</v>
      </c>
      <c r="J2937" s="513">
        <v>-1410</v>
      </c>
      <c r="K2937" s="513">
        <v>1440</v>
      </c>
      <c r="L2937" s="518" t="s">
        <v>3546</v>
      </c>
      <c r="M2937" s="152" t="s">
        <v>780</v>
      </c>
      <c r="N2937" s="152" t="s">
        <v>1407</v>
      </c>
      <c r="O2937" s="152" t="s">
        <v>3547</v>
      </c>
      <c r="P2937" s="152" t="s">
        <v>2865</v>
      </c>
      <c r="Q2937" s="152" t="s">
        <v>3548</v>
      </c>
      <c r="R2937" s="152" t="s">
        <v>3549</v>
      </c>
      <c r="S2937" s="152" t="s">
        <v>3550</v>
      </c>
      <c r="T2937" s="152" t="s">
        <v>786</v>
      </c>
    </row>
    <row r="2938" spans="3:20">
      <c r="C2938" s="152" t="s">
        <v>2821</v>
      </c>
      <c r="F2938" s="152" t="s">
        <v>364</v>
      </c>
      <c r="G2938" s="152" t="s">
        <v>365</v>
      </c>
      <c r="I2938" s="513">
        <v>-2572125</v>
      </c>
      <c r="J2938" s="513">
        <v>-1805</v>
      </c>
      <c r="K2938" s="513">
        <v>1425</v>
      </c>
      <c r="L2938" s="518" t="s">
        <v>3487</v>
      </c>
      <c r="M2938" s="152" t="s">
        <v>780</v>
      </c>
      <c r="N2938" s="152" t="s">
        <v>1407</v>
      </c>
      <c r="O2938" s="152" t="s">
        <v>3488</v>
      </c>
      <c r="P2938" s="152" t="s">
        <v>3489</v>
      </c>
      <c r="Q2938" s="152" t="s">
        <v>3490</v>
      </c>
      <c r="R2938" s="152" t="s">
        <v>3551</v>
      </c>
      <c r="S2938" s="152" t="s">
        <v>3492</v>
      </c>
      <c r="T2938" s="152" t="s">
        <v>786</v>
      </c>
    </row>
    <row r="2939" spans="3:20">
      <c r="C2939" s="152" t="s">
        <v>2821</v>
      </c>
      <c r="F2939" s="152" t="s">
        <v>364</v>
      </c>
      <c r="G2939" s="152" t="s">
        <v>365</v>
      </c>
      <c r="I2939" s="513">
        <v>-2599200</v>
      </c>
      <c r="J2939" s="513">
        <v>-1805</v>
      </c>
      <c r="K2939" s="513">
        <v>1440</v>
      </c>
      <c r="L2939" s="518" t="s">
        <v>3552</v>
      </c>
      <c r="M2939" s="152" t="s">
        <v>780</v>
      </c>
      <c r="N2939" s="152" t="s">
        <v>1407</v>
      </c>
      <c r="O2939" s="152" t="s">
        <v>3553</v>
      </c>
      <c r="P2939" s="152" t="s">
        <v>3489</v>
      </c>
      <c r="Q2939" s="152" t="s">
        <v>3554</v>
      </c>
      <c r="R2939" s="152" t="s">
        <v>3555</v>
      </c>
      <c r="S2939" s="152" t="s">
        <v>3556</v>
      </c>
      <c r="T2939" s="152" t="s">
        <v>786</v>
      </c>
    </row>
    <row r="2940" spans="3:20">
      <c r="C2940" s="152" t="s">
        <v>2821</v>
      </c>
      <c r="F2940" s="152" t="s">
        <v>364</v>
      </c>
      <c r="G2940" s="152" t="s">
        <v>365</v>
      </c>
      <c r="I2940" s="513">
        <v>-2545050</v>
      </c>
      <c r="J2940" s="513">
        <v>-1805</v>
      </c>
      <c r="K2940" s="513">
        <v>1410</v>
      </c>
      <c r="L2940" s="518" t="s">
        <v>3557</v>
      </c>
      <c r="M2940" s="152" t="s">
        <v>780</v>
      </c>
      <c r="N2940" s="152" t="s">
        <v>1407</v>
      </c>
      <c r="O2940" s="152" t="s">
        <v>3558</v>
      </c>
      <c r="P2940" s="152" t="s">
        <v>3489</v>
      </c>
      <c r="Q2940" s="152" t="s">
        <v>3559</v>
      </c>
      <c r="R2940" s="152" t="s">
        <v>3560</v>
      </c>
      <c r="S2940" s="152" t="s">
        <v>3561</v>
      </c>
      <c r="T2940" s="152" t="s">
        <v>786</v>
      </c>
    </row>
    <row r="2941" spans="3:20">
      <c r="C2941" s="152" t="s">
        <v>2821</v>
      </c>
      <c r="F2941" s="152" t="s">
        <v>364</v>
      </c>
      <c r="G2941" s="152" t="s">
        <v>365</v>
      </c>
      <c r="I2941" s="513">
        <v>-2822925</v>
      </c>
      <c r="J2941" s="513">
        <v>-1995</v>
      </c>
      <c r="K2941" s="513">
        <v>1415</v>
      </c>
      <c r="L2941" s="518" t="s">
        <v>3511</v>
      </c>
      <c r="M2941" s="152" t="s">
        <v>780</v>
      </c>
      <c r="N2941" s="152" t="s">
        <v>1407</v>
      </c>
      <c r="O2941" s="152" t="s">
        <v>3562</v>
      </c>
      <c r="P2941" s="152" t="s">
        <v>3489</v>
      </c>
      <c r="Q2941" s="152" t="s">
        <v>3563</v>
      </c>
      <c r="R2941" s="152" t="s">
        <v>3564</v>
      </c>
      <c r="S2941" s="152" t="s">
        <v>3565</v>
      </c>
      <c r="T2941" s="152" t="s">
        <v>786</v>
      </c>
    </row>
    <row r="2942" spans="3:20">
      <c r="C2942" s="152" t="s">
        <v>2821</v>
      </c>
      <c r="F2942" s="152" t="s">
        <v>364</v>
      </c>
      <c r="G2942" s="152" t="s">
        <v>365</v>
      </c>
      <c r="I2942" s="513">
        <v>-9559800</v>
      </c>
      <c r="J2942" s="513">
        <v>-6780</v>
      </c>
      <c r="K2942" s="513">
        <v>1410</v>
      </c>
      <c r="L2942" s="518" t="s">
        <v>3567</v>
      </c>
      <c r="M2942" s="152" t="s">
        <v>780</v>
      </c>
      <c r="N2942" s="152" t="s">
        <v>1407</v>
      </c>
      <c r="O2942" s="152" t="s">
        <v>3568</v>
      </c>
      <c r="P2942" s="152" t="s">
        <v>3489</v>
      </c>
      <c r="Q2942" s="152" t="s">
        <v>3569</v>
      </c>
      <c r="R2942" s="152" t="s">
        <v>3570</v>
      </c>
      <c r="S2942" s="152" t="s">
        <v>3571</v>
      </c>
      <c r="T2942" s="152" t="s">
        <v>786</v>
      </c>
    </row>
    <row r="2943" spans="3:20">
      <c r="C2943" s="152" t="s">
        <v>2821</v>
      </c>
      <c r="F2943" s="152" t="s">
        <v>364</v>
      </c>
      <c r="G2943" s="152" t="s">
        <v>365</v>
      </c>
      <c r="I2943" s="513">
        <v>-10828800</v>
      </c>
      <c r="J2943" s="513">
        <v>-7680</v>
      </c>
      <c r="K2943" s="513">
        <v>1410</v>
      </c>
      <c r="L2943" s="518" t="s">
        <v>3567</v>
      </c>
      <c r="M2943" s="152" t="s">
        <v>780</v>
      </c>
      <c r="N2943" s="152" t="s">
        <v>1407</v>
      </c>
      <c r="O2943" s="152" t="s">
        <v>3568</v>
      </c>
      <c r="P2943" s="152" t="s">
        <v>3489</v>
      </c>
      <c r="Q2943" s="152" t="s">
        <v>3569</v>
      </c>
      <c r="R2943" s="152" t="s">
        <v>3575</v>
      </c>
      <c r="S2943" s="152" t="s">
        <v>3571</v>
      </c>
      <c r="T2943" s="152" t="s">
        <v>786</v>
      </c>
    </row>
    <row r="2944" spans="3:20">
      <c r="C2944" s="152" t="s">
        <v>2821</v>
      </c>
      <c r="F2944" s="152" t="s">
        <v>364</v>
      </c>
      <c r="G2944" s="152" t="s">
        <v>365</v>
      </c>
      <c r="I2944" s="513">
        <v>-4751700</v>
      </c>
      <c r="J2944" s="513">
        <v>-3370</v>
      </c>
      <c r="K2944" s="513">
        <v>1410</v>
      </c>
      <c r="L2944" s="518" t="s">
        <v>3567</v>
      </c>
      <c r="M2944" s="152" t="s">
        <v>780</v>
      </c>
      <c r="N2944" s="152" t="s">
        <v>1407</v>
      </c>
      <c r="O2944" s="152" t="s">
        <v>3568</v>
      </c>
      <c r="P2944" s="152" t="s">
        <v>3489</v>
      </c>
      <c r="Q2944" s="152" t="s">
        <v>3569</v>
      </c>
      <c r="R2944" s="152" t="s">
        <v>3576</v>
      </c>
      <c r="S2944" s="152" t="s">
        <v>3571</v>
      </c>
      <c r="T2944" s="152" t="s">
        <v>786</v>
      </c>
    </row>
    <row r="2945" spans="3:20">
      <c r="C2945" s="152" t="s">
        <v>2821</v>
      </c>
      <c r="F2945" s="152" t="s">
        <v>364</v>
      </c>
      <c r="G2945" s="152" t="s">
        <v>365</v>
      </c>
      <c r="I2945" s="513">
        <v>-14752500</v>
      </c>
      <c r="J2945" s="513">
        <v>-10500</v>
      </c>
      <c r="K2945" s="513">
        <v>1405</v>
      </c>
      <c r="L2945" s="518" t="s">
        <v>3493</v>
      </c>
      <c r="M2945" s="152" t="s">
        <v>780</v>
      </c>
      <c r="N2945" s="152" t="s">
        <v>1407</v>
      </c>
      <c r="O2945" s="152" t="s">
        <v>3494</v>
      </c>
      <c r="P2945" s="152" t="s">
        <v>3489</v>
      </c>
      <c r="Q2945" s="152" t="s">
        <v>3495</v>
      </c>
      <c r="R2945" s="152" t="s">
        <v>3577</v>
      </c>
      <c r="S2945" s="152" t="s">
        <v>3497</v>
      </c>
      <c r="T2945" s="152" t="s">
        <v>786</v>
      </c>
    </row>
    <row r="2946" spans="3:20">
      <c r="C2946" s="152" t="s">
        <v>2821</v>
      </c>
      <c r="F2946" s="152" t="s">
        <v>364</v>
      </c>
      <c r="G2946" s="152" t="s">
        <v>365</v>
      </c>
      <c r="I2946" s="513">
        <v>-4839300</v>
      </c>
      <c r="J2946" s="513">
        <v>-3420</v>
      </c>
      <c r="K2946" s="513">
        <v>1415</v>
      </c>
      <c r="L2946" s="518" t="s">
        <v>3511</v>
      </c>
      <c r="M2946" s="152" t="s">
        <v>780</v>
      </c>
      <c r="N2946" s="152" t="s">
        <v>1407</v>
      </c>
      <c r="O2946" s="152" t="s">
        <v>3562</v>
      </c>
      <c r="P2946" s="152" t="s">
        <v>3489</v>
      </c>
      <c r="Q2946" s="152" t="s">
        <v>3563</v>
      </c>
      <c r="R2946" s="152" t="s">
        <v>3619</v>
      </c>
      <c r="S2946" s="152" t="s">
        <v>3565</v>
      </c>
      <c r="T2946" s="152" t="s">
        <v>786</v>
      </c>
    </row>
    <row r="2947" spans="3:20">
      <c r="C2947" s="152" t="s">
        <v>2821</v>
      </c>
      <c r="F2947" s="152" t="s">
        <v>364</v>
      </c>
      <c r="G2947" s="152" t="s">
        <v>365</v>
      </c>
      <c r="I2947" s="513">
        <v>-8596000</v>
      </c>
      <c r="J2947" s="513">
        <v>-6140</v>
      </c>
      <c r="K2947" s="513">
        <v>1400</v>
      </c>
      <c r="L2947" s="518" t="s">
        <v>3493</v>
      </c>
      <c r="M2947" s="152" t="s">
        <v>780</v>
      </c>
      <c r="N2947" s="152" t="s">
        <v>1407</v>
      </c>
      <c r="O2947" s="152" t="s">
        <v>3494</v>
      </c>
      <c r="P2947" s="152" t="s">
        <v>3489</v>
      </c>
      <c r="Q2947" s="152" t="s">
        <v>3495</v>
      </c>
      <c r="R2947" s="152" t="s">
        <v>3631</v>
      </c>
      <c r="S2947" s="152" t="s">
        <v>3497</v>
      </c>
      <c r="T2947" s="152" t="s">
        <v>786</v>
      </c>
    </row>
    <row r="2948" spans="3:20">
      <c r="C2948" s="152" t="s">
        <v>2821</v>
      </c>
      <c r="F2948" s="152" t="s">
        <v>364</v>
      </c>
      <c r="G2948" s="152" t="s">
        <v>365</v>
      </c>
      <c r="I2948" s="513">
        <v>-2880000</v>
      </c>
      <c r="J2948" s="513">
        <v>-2000</v>
      </c>
      <c r="K2948" s="513">
        <v>1440</v>
      </c>
      <c r="L2948" s="518" t="s">
        <v>3546</v>
      </c>
      <c r="M2948" s="152" t="s">
        <v>780</v>
      </c>
      <c r="N2948" s="152" t="s">
        <v>1407</v>
      </c>
      <c r="O2948" s="152" t="s">
        <v>3547</v>
      </c>
      <c r="P2948" s="152" t="s">
        <v>2865</v>
      </c>
      <c r="Q2948" s="152" t="s">
        <v>3548</v>
      </c>
      <c r="R2948" s="152" t="s">
        <v>4142</v>
      </c>
      <c r="S2948" s="152" t="s">
        <v>3550</v>
      </c>
      <c r="T2948" s="152" t="s">
        <v>786</v>
      </c>
    </row>
    <row r="2949" spans="3:20">
      <c r="C2949" s="152" t="s">
        <v>2821</v>
      </c>
      <c r="F2949" s="152" t="s">
        <v>364</v>
      </c>
      <c r="G2949" s="152" t="s">
        <v>365</v>
      </c>
      <c r="I2949" s="513">
        <v>-7866000</v>
      </c>
      <c r="J2949" s="513">
        <v>-5520</v>
      </c>
      <c r="K2949" s="513">
        <v>1425</v>
      </c>
      <c r="L2949" s="518" t="s">
        <v>3487</v>
      </c>
      <c r="M2949" s="152" t="s">
        <v>780</v>
      </c>
      <c r="N2949" s="152" t="s">
        <v>1407</v>
      </c>
      <c r="O2949" s="152" t="s">
        <v>3488</v>
      </c>
      <c r="P2949" s="152" t="s">
        <v>3489</v>
      </c>
      <c r="Q2949" s="152" t="s">
        <v>3490</v>
      </c>
      <c r="R2949" s="152" t="s">
        <v>4143</v>
      </c>
      <c r="S2949" s="152" t="s">
        <v>3492</v>
      </c>
      <c r="T2949" s="152" t="s">
        <v>786</v>
      </c>
    </row>
    <row r="2950" spans="3:20">
      <c r="C2950" s="152" t="s">
        <v>2821</v>
      </c>
      <c r="F2950" s="152" t="s">
        <v>3143</v>
      </c>
      <c r="G2950" s="152" t="s">
        <v>3144</v>
      </c>
      <c r="I2950" s="513">
        <v>-142500</v>
      </c>
      <c r="J2950" s="513">
        <v>-100</v>
      </c>
      <c r="K2950" s="513">
        <v>1425</v>
      </c>
      <c r="L2950" s="518" t="s">
        <v>3637</v>
      </c>
      <c r="M2950" s="152" t="s">
        <v>1566</v>
      </c>
      <c r="N2950" s="152" t="s">
        <v>1407</v>
      </c>
      <c r="O2950" s="152" t="s">
        <v>4260</v>
      </c>
      <c r="P2950" s="152" t="s">
        <v>1881</v>
      </c>
      <c r="Q2950" s="152" t="s">
        <v>4261</v>
      </c>
      <c r="R2950" s="152" t="s">
        <v>4258</v>
      </c>
      <c r="S2950" s="152" t="s">
        <v>4262</v>
      </c>
      <c r="T2950" s="152" t="s">
        <v>786</v>
      </c>
    </row>
    <row r="2951" spans="3:20">
      <c r="C2951" s="152" t="s">
        <v>2821</v>
      </c>
      <c r="F2951" s="152" t="s">
        <v>3143</v>
      </c>
      <c r="G2951" s="152" t="s">
        <v>3144</v>
      </c>
      <c r="I2951" s="513">
        <v>-498750</v>
      </c>
      <c r="J2951" s="513">
        <v>-350</v>
      </c>
      <c r="K2951" s="513">
        <v>1425</v>
      </c>
      <c r="L2951" s="518" t="s">
        <v>3637</v>
      </c>
      <c r="M2951" s="152" t="s">
        <v>1566</v>
      </c>
      <c r="N2951" s="152" t="s">
        <v>1407</v>
      </c>
      <c r="O2951" s="152" t="s">
        <v>4266</v>
      </c>
      <c r="P2951" s="152" t="s">
        <v>1881</v>
      </c>
      <c r="Q2951" s="152" t="s">
        <v>4267</v>
      </c>
      <c r="R2951" s="152" t="s">
        <v>4258</v>
      </c>
      <c r="S2951" s="152" t="s">
        <v>4268</v>
      </c>
      <c r="T2951" s="152" t="s">
        <v>786</v>
      </c>
    </row>
    <row r="2952" spans="3:20">
      <c r="C2952" s="152" t="s">
        <v>2821</v>
      </c>
      <c r="F2952" s="152" t="s">
        <v>3143</v>
      </c>
      <c r="G2952" s="152" t="s">
        <v>3144</v>
      </c>
      <c r="I2952" s="513">
        <v>-498750</v>
      </c>
      <c r="J2952" s="513">
        <v>-350</v>
      </c>
      <c r="K2952" s="513">
        <v>1425</v>
      </c>
      <c r="L2952" s="518" t="s">
        <v>3637</v>
      </c>
      <c r="M2952" s="152" t="s">
        <v>1566</v>
      </c>
      <c r="N2952" s="152" t="s">
        <v>1407</v>
      </c>
      <c r="O2952" s="152" t="s">
        <v>4272</v>
      </c>
      <c r="P2952" s="152" t="s">
        <v>1881</v>
      </c>
      <c r="Q2952" s="152" t="s">
        <v>4273</v>
      </c>
      <c r="R2952" s="152" t="s">
        <v>4258</v>
      </c>
      <c r="S2952" s="152" t="s">
        <v>4274</v>
      </c>
      <c r="T2952" s="152" t="s">
        <v>786</v>
      </c>
    </row>
    <row r="2953" spans="3:20">
      <c r="C2953" s="152" t="s">
        <v>2821</v>
      </c>
      <c r="F2953" s="152" t="s">
        <v>3143</v>
      </c>
      <c r="G2953" s="152" t="s">
        <v>3144</v>
      </c>
      <c r="I2953" s="513">
        <v>-28100</v>
      </c>
      <c r="J2953" s="513">
        <v>-20</v>
      </c>
      <c r="K2953" s="513">
        <v>1405</v>
      </c>
      <c r="L2953" s="518" t="s">
        <v>3493</v>
      </c>
      <c r="M2953" s="152" t="s">
        <v>1566</v>
      </c>
      <c r="N2953" s="152" t="s">
        <v>1407</v>
      </c>
      <c r="O2953" s="152" t="s">
        <v>4321</v>
      </c>
      <c r="P2953" s="152" t="s">
        <v>4279</v>
      </c>
      <c r="Q2953" s="152" t="s">
        <v>4322</v>
      </c>
      <c r="R2953" s="152" t="s">
        <v>4323</v>
      </c>
      <c r="S2953" s="152" t="s">
        <v>4324</v>
      </c>
      <c r="T2953" s="152" t="s">
        <v>786</v>
      </c>
    </row>
    <row r="2954" spans="3:20">
      <c r="C2954" s="152" t="s">
        <v>2821</v>
      </c>
      <c r="F2954" s="152" t="s">
        <v>3143</v>
      </c>
      <c r="G2954" s="152" t="s">
        <v>3144</v>
      </c>
      <c r="I2954" s="513">
        <v>-70250</v>
      </c>
      <c r="J2954" s="513">
        <v>-50</v>
      </c>
      <c r="K2954" s="513">
        <v>1405</v>
      </c>
      <c r="L2954" s="518" t="s">
        <v>3493</v>
      </c>
      <c r="M2954" s="152" t="s">
        <v>1566</v>
      </c>
      <c r="N2954" s="152" t="s">
        <v>1407</v>
      </c>
      <c r="O2954" s="152" t="s">
        <v>4337</v>
      </c>
      <c r="P2954" s="152" t="s">
        <v>4279</v>
      </c>
      <c r="Q2954" s="152" t="s">
        <v>4338</v>
      </c>
      <c r="R2954" s="152" t="s">
        <v>4323</v>
      </c>
      <c r="S2954" s="152" t="s">
        <v>4339</v>
      </c>
      <c r="T2954" s="152" t="s">
        <v>786</v>
      </c>
    </row>
    <row r="2955" spans="3:20">
      <c r="C2955" s="152" t="s">
        <v>2821</v>
      </c>
      <c r="F2955" s="152" t="s">
        <v>3143</v>
      </c>
      <c r="G2955" s="152" t="s">
        <v>3144</v>
      </c>
      <c r="I2955" s="513">
        <v>-504000</v>
      </c>
      <c r="J2955" s="513">
        <v>-350</v>
      </c>
      <c r="K2955" s="513">
        <v>1440</v>
      </c>
      <c r="L2955" s="518" t="s">
        <v>3517</v>
      </c>
      <c r="M2955" s="152" t="s">
        <v>1566</v>
      </c>
      <c r="N2955" s="152" t="s">
        <v>1407</v>
      </c>
      <c r="O2955" s="152" t="s">
        <v>4357</v>
      </c>
      <c r="P2955" s="152" t="s">
        <v>1881</v>
      </c>
      <c r="Q2955" s="152" t="s">
        <v>4358</v>
      </c>
      <c r="R2955" s="152" t="s">
        <v>4355</v>
      </c>
      <c r="S2955" s="152" t="s">
        <v>4359</v>
      </c>
      <c r="T2955" s="152" t="s">
        <v>786</v>
      </c>
    </row>
    <row r="2956" spans="3:20">
      <c r="C2956" s="152" t="s">
        <v>2821</v>
      </c>
      <c r="F2956" s="152" t="s">
        <v>3143</v>
      </c>
      <c r="G2956" s="152" t="s">
        <v>3144</v>
      </c>
      <c r="I2956" s="513">
        <v>-504000</v>
      </c>
      <c r="J2956" s="513">
        <v>-350</v>
      </c>
      <c r="K2956" s="513">
        <v>1440</v>
      </c>
      <c r="L2956" s="518" t="s">
        <v>3517</v>
      </c>
      <c r="M2956" s="152" t="s">
        <v>1566</v>
      </c>
      <c r="N2956" s="152" t="s">
        <v>1407</v>
      </c>
      <c r="O2956" s="152" t="s">
        <v>4381</v>
      </c>
      <c r="P2956" s="152" t="s">
        <v>1881</v>
      </c>
      <c r="Q2956" s="152" t="s">
        <v>4382</v>
      </c>
      <c r="R2956" s="152" t="s">
        <v>4383</v>
      </c>
      <c r="S2956" s="152" t="s">
        <v>4384</v>
      </c>
      <c r="T2956" s="152" t="s">
        <v>786</v>
      </c>
    </row>
    <row r="2957" spans="3:20">
      <c r="C2957" s="152" t="s">
        <v>2821</v>
      </c>
      <c r="F2957" s="152" t="s">
        <v>3143</v>
      </c>
      <c r="G2957" s="152" t="s">
        <v>3144</v>
      </c>
      <c r="I2957" s="513">
        <v>-144000</v>
      </c>
      <c r="J2957" s="513">
        <v>-100</v>
      </c>
      <c r="K2957" s="513">
        <v>1440</v>
      </c>
      <c r="L2957" s="518" t="s">
        <v>3517</v>
      </c>
      <c r="M2957" s="152" t="s">
        <v>1566</v>
      </c>
      <c r="N2957" s="152" t="s">
        <v>1407</v>
      </c>
      <c r="O2957" s="152" t="s">
        <v>4388</v>
      </c>
      <c r="P2957" s="152" t="s">
        <v>1881</v>
      </c>
      <c r="Q2957" s="152" t="s">
        <v>4389</v>
      </c>
      <c r="R2957" s="152" t="s">
        <v>4383</v>
      </c>
      <c r="S2957" s="152" t="s">
        <v>4390</v>
      </c>
      <c r="T2957" s="152" t="s">
        <v>786</v>
      </c>
    </row>
    <row r="2958" spans="3:20">
      <c r="C2958" s="152" t="s">
        <v>2821</v>
      </c>
      <c r="F2958" s="152" t="s">
        <v>3143</v>
      </c>
      <c r="G2958" s="152" t="s">
        <v>3144</v>
      </c>
      <c r="I2958" s="513">
        <v>-498750</v>
      </c>
      <c r="J2958" s="513">
        <v>-350</v>
      </c>
      <c r="K2958" s="513">
        <v>1425</v>
      </c>
      <c r="L2958" s="518" t="s">
        <v>3637</v>
      </c>
      <c r="M2958" s="152" t="s">
        <v>1566</v>
      </c>
      <c r="N2958" s="152" t="s">
        <v>1407</v>
      </c>
      <c r="O2958" s="152" t="s">
        <v>4596</v>
      </c>
      <c r="P2958" s="152" t="s">
        <v>1881</v>
      </c>
      <c r="Q2958" s="152" t="s">
        <v>4597</v>
      </c>
      <c r="R2958" s="152" t="s">
        <v>4598</v>
      </c>
      <c r="S2958" s="152" t="s">
        <v>4599</v>
      </c>
      <c r="T2958" s="152" t="s">
        <v>786</v>
      </c>
    </row>
    <row r="2959" spans="3:20">
      <c r="C2959" s="152" t="s">
        <v>2821</v>
      </c>
      <c r="F2959" s="152" t="s">
        <v>3143</v>
      </c>
      <c r="G2959" s="152" t="s">
        <v>3144</v>
      </c>
      <c r="I2959" s="513">
        <v>-498750</v>
      </c>
      <c r="J2959" s="513">
        <v>-350</v>
      </c>
      <c r="K2959" s="513">
        <v>1425</v>
      </c>
      <c r="L2959" s="518" t="s">
        <v>3637</v>
      </c>
      <c r="M2959" s="152" t="s">
        <v>1566</v>
      </c>
      <c r="N2959" s="152" t="s">
        <v>1407</v>
      </c>
      <c r="O2959" s="152" t="s">
        <v>4603</v>
      </c>
      <c r="P2959" s="152" t="s">
        <v>1881</v>
      </c>
      <c r="Q2959" s="152" t="s">
        <v>4604</v>
      </c>
      <c r="R2959" s="152" t="s">
        <v>4598</v>
      </c>
      <c r="S2959" s="152" t="s">
        <v>4605</v>
      </c>
      <c r="T2959" s="152" t="s">
        <v>786</v>
      </c>
    </row>
    <row r="2960" spans="3:20">
      <c r="C2960" s="152" t="s">
        <v>2821</v>
      </c>
      <c r="F2960" s="152" t="s">
        <v>3143</v>
      </c>
      <c r="G2960" s="152" t="s">
        <v>3144</v>
      </c>
      <c r="I2960" s="513">
        <v>-498750</v>
      </c>
      <c r="J2960" s="513">
        <v>-350</v>
      </c>
      <c r="K2960" s="513">
        <v>1425</v>
      </c>
      <c r="L2960" s="518" t="s">
        <v>3637</v>
      </c>
      <c r="M2960" s="152" t="s">
        <v>1566</v>
      </c>
      <c r="N2960" s="152" t="s">
        <v>1407</v>
      </c>
      <c r="O2960" s="152" t="s">
        <v>4606</v>
      </c>
      <c r="P2960" s="152" t="s">
        <v>1881</v>
      </c>
      <c r="Q2960" s="152" t="s">
        <v>4607</v>
      </c>
      <c r="R2960" s="152" t="s">
        <v>4598</v>
      </c>
      <c r="S2960" s="152" t="s">
        <v>4608</v>
      </c>
      <c r="T2960" s="152" t="s">
        <v>786</v>
      </c>
    </row>
    <row r="2961" spans="3:20">
      <c r="C2961" s="152" t="s">
        <v>2821</v>
      </c>
      <c r="F2961" s="152" t="s">
        <v>3143</v>
      </c>
      <c r="G2961" s="152" t="s">
        <v>3144</v>
      </c>
      <c r="I2961" s="513">
        <v>-504000</v>
      </c>
      <c r="J2961" s="513">
        <v>-350</v>
      </c>
      <c r="K2961" s="513">
        <v>1440</v>
      </c>
      <c r="L2961" s="518" t="s">
        <v>3517</v>
      </c>
      <c r="M2961" s="152" t="s">
        <v>1566</v>
      </c>
      <c r="N2961" s="152" t="s">
        <v>1407</v>
      </c>
      <c r="O2961" s="152" t="s">
        <v>4976</v>
      </c>
      <c r="P2961" s="152" t="s">
        <v>1881</v>
      </c>
      <c r="Q2961" s="152" t="s">
        <v>4977</v>
      </c>
      <c r="R2961" s="152" t="s">
        <v>4977</v>
      </c>
      <c r="S2961" s="152" t="s">
        <v>4978</v>
      </c>
      <c r="T2961" s="152" t="s">
        <v>786</v>
      </c>
    </row>
    <row r="2962" spans="3:20">
      <c r="C2962" s="152" t="s">
        <v>2821</v>
      </c>
      <c r="F2962" s="152" t="s">
        <v>4309</v>
      </c>
      <c r="G2962" s="152" t="s">
        <v>4310</v>
      </c>
      <c r="I2962" s="513">
        <v>-493500</v>
      </c>
      <c r="J2962" s="513">
        <v>-350</v>
      </c>
      <c r="K2962" s="513">
        <v>1410</v>
      </c>
      <c r="L2962" s="518" t="s">
        <v>3498</v>
      </c>
      <c r="M2962" s="152" t="s">
        <v>1566</v>
      </c>
      <c r="N2962" s="152" t="s">
        <v>1407</v>
      </c>
      <c r="O2962" s="152" t="s">
        <v>4306</v>
      </c>
      <c r="P2962" s="152" t="s">
        <v>4279</v>
      </c>
      <c r="Q2962" s="152" t="s">
        <v>4307</v>
      </c>
      <c r="R2962" s="152" t="s">
        <v>4304</v>
      </c>
      <c r="S2962" s="152" t="s">
        <v>4308</v>
      </c>
      <c r="T2962" s="152" t="s">
        <v>786</v>
      </c>
    </row>
    <row r="2963" spans="3:20">
      <c r="C2963" s="152" t="s">
        <v>2821</v>
      </c>
      <c r="F2963" s="152" t="s">
        <v>4309</v>
      </c>
      <c r="G2963" s="152" t="s">
        <v>4310</v>
      </c>
      <c r="I2963" s="513">
        <v>-700000</v>
      </c>
      <c r="J2963" s="513">
        <v>-500</v>
      </c>
      <c r="K2963" s="513">
        <v>1400</v>
      </c>
      <c r="L2963" s="518" t="s">
        <v>3659</v>
      </c>
      <c r="M2963" s="152" t="s">
        <v>1566</v>
      </c>
      <c r="N2963" s="152" t="s">
        <v>1407</v>
      </c>
      <c r="O2963" s="152" t="s">
        <v>4360</v>
      </c>
      <c r="P2963" s="152" t="s">
        <v>4279</v>
      </c>
      <c r="Q2963" s="152" t="s">
        <v>4361</v>
      </c>
      <c r="R2963" s="152" t="s">
        <v>4362</v>
      </c>
      <c r="S2963" s="152" t="s">
        <v>4363</v>
      </c>
      <c r="T2963" s="152" t="s">
        <v>786</v>
      </c>
    </row>
    <row r="2964" spans="3:20">
      <c r="C2964" s="152" t="s">
        <v>2821</v>
      </c>
      <c r="F2964" s="152" t="s">
        <v>4309</v>
      </c>
      <c r="G2964" s="152" t="s">
        <v>4310</v>
      </c>
      <c r="I2964" s="513">
        <v>-700000</v>
      </c>
      <c r="J2964" s="513">
        <v>-500</v>
      </c>
      <c r="K2964" s="513">
        <v>1400</v>
      </c>
      <c r="L2964" s="518" t="s">
        <v>3659</v>
      </c>
      <c r="M2964" s="152" t="s">
        <v>1566</v>
      </c>
      <c r="N2964" s="152" t="s">
        <v>1407</v>
      </c>
      <c r="O2964" s="152" t="s">
        <v>4509</v>
      </c>
      <c r="P2964" s="152" t="s">
        <v>4279</v>
      </c>
      <c r="Q2964" s="152" t="s">
        <v>4510</v>
      </c>
      <c r="R2964" s="152" t="s">
        <v>4511</v>
      </c>
      <c r="S2964" s="152" t="s">
        <v>4512</v>
      </c>
      <c r="T2964" s="152" t="s">
        <v>786</v>
      </c>
    </row>
    <row r="2965" spans="3:20">
      <c r="C2965" s="152" t="s">
        <v>2821</v>
      </c>
      <c r="F2965" s="152" t="s">
        <v>4309</v>
      </c>
      <c r="G2965" s="152" t="s">
        <v>4310</v>
      </c>
      <c r="I2965" s="513">
        <v>-493500</v>
      </c>
      <c r="J2965" s="513">
        <v>-350</v>
      </c>
      <c r="K2965" s="513">
        <v>1410</v>
      </c>
      <c r="L2965" s="518" t="s">
        <v>3498</v>
      </c>
      <c r="M2965" s="152" t="s">
        <v>1566</v>
      </c>
      <c r="N2965" s="152" t="s">
        <v>1407</v>
      </c>
      <c r="O2965" s="152" t="s">
        <v>4550</v>
      </c>
      <c r="P2965" s="152" t="s">
        <v>4279</v>
      </c>
      <c r="Q2965" s="152" t="s">
        <v>4551</v>
      </c>
      <c r="R2965" s="152" t="s">
        <v>4548</v>
      </c>
      <c r="S2965" s="152" t="s">
        <v>4552</v>
      </c>
      <c r="T2965" s="152" t="s">
        <v>786</v>
      </c>
    </row>
    <row r="2966" spans="3:20">
      <c r="C2966" s="152" t="s">
        <v>2821</v>
      </c>
      <c r="F2966" s="152" t="s">
        <v>4309</v>
      </c>
      <c r="G2966" s="152" t="s">
        <v>4310</v>
      </c>
      <c r="I2966" s="513">
        <v>-353750</v>
      </c>
      <c r="J2966" s="513">
        <v>-250</v>
      </c>
      <c r="K2966" s="513">
        <v>1415</v>
      </c>
      <c r="L2966" s="518" t="s">
        <v>3632</v>
      </c>
      <c r="M2966" s="152" t="s">
        <v>1566</v>
      </c>
      <c r="N2966" s="152" t="s">
        <v>1407</v>
      </c>
      <c r="O2966" s="152" t="s">
        <v>4650</v>
      </c>
      <c r="P2966" s="152" t="s">
        <v>4279</v>
      </c>
      <c r="Q2966" s="152" t="s">
        <v>4651</v>
      </c>
      <c r="R2966" s="152" t="s">
        <v>4652</v>
      </c>
      <c r="S2966" s="152" t="s">
        <v>4653</v>
      </c>
      <c r="T2966" s="152" t="s">
        <v>786</v>
      </c>
    </row>
    <row r="2967" spans="3:20">
      <c r="C2967" s="152" t="s">
        <v>2821</v>
      </c>
      <c r="F2967" s="152" t="s">
        <v>4309</v>
      </c>
      <c r="G2967" s="152" t="s">
        <v>4310</v>
      </c>
      <c r="I2967" s="513">
        <v>-353750</v>
      </c>
      <c r="J2967" s="513">
        <v>-250</v>
      </c>
      <c r="K2967" s="513">
        <v>1415</v>
      </c>
      <c r="L2967" s="518" t="s">
        <v>3632</v>
      </c>
      <c r="M2967" s="152" t="s">
        <v>1566</v>
      </c>
      <c r="N2967" s="152" t="s">
        <v>1407</v>
      </c>
      <c r="O2967" s="152" t="s">
        <v>4654</v>
      </c>
      <c r="P2967" s="152" t="s">
        <v>4279</v>
      </c>
      <c r="Q2967" s="152" t="s">
        <v>4655</v>
      </c>
      <c r="R2967" s="152" t="s">
        <v>4652</v>
      </c>
      <c r="S2967" s="152" t="s">
        <v>4656</v>
      </c>
      <c r="T2967" s="152" t="s">
        <v>786</v>
      </c>
    </row>
    <row r="2968" spans="3:20">
      <c r="C2968" s="152" t="s">
        <v>2821</v>
      </c>
      <c r="F2968" s="152" t="s">
        <v>4309</v>
      </c>
      <c r="G2968" s="152" t="s">
        <v>4310</v>
      </c>
      <c r="I2968" s="513">
        <v>-498750</v>
      </c>
      <c r="J2968" s="513">
        <v>-350</v>
      </c>
      <c r="K2968" s="513">
        <v>1425</v>
      </c>
      <c r="L2968" s="518" t="s">
        <v>3504</v>
      </c>
      <c r="M2968" s="152" t="s">
        <v>1566</v>
      </c>
      <c r="N2968" s="152" t="s">
        <v>1407</v>
      </c>
      <c r="O2968" s="152" t="s">
        <v>4715</v>
      </c>
      <c r="P2968" s="152" t="s">
        <v>4279</v>
      </c>
      <c r="Q2968" s="152" t="s">
        <v>4716</v>
      </c>
      <c r="R2968" s="152" t="s">
        <v>4707</v>
      </c>
      <c r="S2968" s="152" t="s">
        <v>4717</v>
      </c>
      <c r="T2968" s="152" t="s">
        <v>786</v>
      </c>
    </row>
    <row r="2969" spans="3:20">
      <c r="C2969" s="152" t="s">
        <v>2821</v>
      </c>
      <c r="F2969" s="152" t="s">
        <v>289</v>
      </c>
      <c r="G2969" s="152" t="s">
        <v>290</v>
      </c>
      <c r="I2969" s="513">
        <v>-44745000</v>
      </c>
      <c r="J2969" s="513">
        <v>-31400</v>
      </c>
      <c r="K2969" s="513">
        <v>1425</v>
      </c>
      <c r="L2969" s="518" t="s">
        <v>3487</v>
      </c>
      <c r="M2969" s="152" t="s">
        <v>780</v>
      </c>
      <c r="N2969" s="152" t="s">
        <v>781</v>
      </c>
      <c r="O2969" s="152" t="s">
        <v>3488</v>
      </c>
      <c r="P2969" s="152" t="s">
        <v>3489</v>
      </c>
      <c r="Q2969" s="152" t="s">
        <v>3490</v>
      </c>
      <c r="R2969" s="152" t="s">
        <v>4865</v>
      </c>
      <c r="S2969" s="152" t="s">
        <v>3492</v>
      </c>
      <c r="T2969" s="152" t="s">
        <v>786</v>
      </c>
    </row>
    <row r="2970" spans="3:20">
      <c r="C2970" s="152" t="s">
        <v>2821</v>
      </c>
      <c r="F2970" s="152" t="s">
        <v>289</v>
      </c>
      <c r="G2970" s="152" t="s">
        <v>290</v>
      </c>
      <c r="I2970" s="513">
        <v>-28275562.5</v>
      </c>
      <c r="J2970" s="513">
        <v>-19842.5</v>
      </c>
      <c r="K2970" s="513">
        <v>1425</v>
      </c>
      <c r="L2970" s="518" t="s">
        <v>3487</v>
      </c>
      <c r="M2970" s="152" t="s">
        <v>780</v>
      </c>
      <c r="N2970" s="152" t="s">
        <v>781</v>
      </c>
      <c r="O2970" s="152" t="s">
        <v>3488</v>
      </c>
      <c r="P2970" s="152" t="s">
        <v>3489</v>
      </c>
      <c r="Q2970" s="152" t="s">
        <v>3490</v>
      </c>
      <c r="R2970" s="152" t="s">
        <v>4866</v>
      </c>
      <c r="S2970" s="152" t="s">
        <v>3492</v>
      </c>
      <c r="T2970" s="152" t="s">
        <v>786</v>
      </c>
    </row>
    <row r="2971" spans="3:20">
      <c r="C2971" s="152" t="s">
        <v>2821</v>
      </c>
      <c r="F2971" s="152" t="s">
        <v>289</v>
      </c>
      <c r="G2971" s="152" t="s">
        <v>290</v>
      </c>
      <c r="I2971" s="513">
        <v>-28275562.5</v>
      </c>
      <c r="J2971" s="513">
        <v>-19842.5</v>
      </c>
      <c r="K2971" s="513">
        <v>1425</v>
      </c>
      <c r="L2971" s="518" t="s">
        <v>3487</v>
      </c>
      <c r="M2971" s="152" t="s">
        <v>780</v>
      </c>
      <c r="N2971" s="152" t="s">
        <v>781</v>
      </c>
      <c r="O2971" s="152" t="s">
        <v>3488</v>
      </c>
      <c r="P2971" s="152" t="s">
        <v>3489</v>
      </c>
      <c r="Q2971" s="152" t="s">
        <v>3490</v>
      </c>
      <c r="R2971" s="152" t="s">
        <v>4867</v>
      </c>
      <c r="S2971" s="152" t="s">
        <v>3492</v>
      </c>
      <c r="T2971" s="152" t="s">
        <v>786</v>
      </c>
    </row>
    <row r="2972" spans="3:20">
      <c r="C2972" s="152" t="s">
        <v>2821</v>
      </c>
      <c r="F2972" s="152" t="s">
        <v>289</v>
      </c>
      <c r="G2972" s="152" t="s">
        <v>290</v>
      </c>
      <c r="I2972" s="513">
        <v>-5354475</v>
      </c>
      <c r="J2972" s="513">
        <v>-3797.5</v>
      </c>
      <c r="K2972" s="513">
        <v>1410</v>
      </c>
      <c r="L2972" s="518" t="s">
        <v>3567</v>
      </c>
      <c r="M2972" s="152" t="s">
        <v>780</v>
      </c>
      <c r="N2972" s="152" t="s">
        <v>781</v>
      </c>
      <c r="O2972" s="152" t="s">
        <v>3568</v>
      </c>
      <c r="P2972" s="152" t="s">
        <v>3489</v>
      </c>
      <c r="Q2972" s="152" t="s">
        <v>3569</v>
      </c>
      <c r="R2972" s="152" t="s">
        <v>4868</v>
      </c>
      <c r="S2972" s="152" t="s">
        <v>3571</v>
      </c>
      <c r="T2972" s="152" t="s">
        <v>786</v>
      </c>
    </row>
    <row r="2973" spans="3:20">
      <c r="C2973" s="152" t="s">
        <v>2821</v>
      </c>
      <c r="F2973" s="152" t="s">
        <v>289</v>
      </c>
      <c r="G2973" s="152" t="s">
        <v>290</v>
      </c>
      <c r="I2973" s="513">
        <v>-5354475</v>
      </c>
      <c r="J2973" s="513">
        <v>-3797.5</v>
      </c>
      <c r="K2973" s="513">
        <v>1410</v>
      </c>
      <c r="L2973" s="518" t="s">
        <v>3567</v>
      </c>
      <c r="M2973" s="152" t="s">
        <v>780</v>
      </c>
      <c r="N2973" s="152" t="s">
        <v>781</v>
      </c>
      <c r="O2973" s="152" t="s">
        <v>3568</v>
      </c>
      <c r="P2973" s="152" t="s">
        <v>3489</v>
      </c>
      <c r="Q2973" s="152" t="s">
        <v>3569</v>
      </c>
      <c r="R2973" s="152" t="s">
        <v>4869</v>
      </c>
      <c r="S2973" s="152" t="s">
        <v>3571</v>
      </c>
      <c r="T2973" s="152" t="s">
        <v>786</v>
      </c>
    </row>
    <row r="2974" spans="3:20">
      <c r="C2974" s="152" t="s">
        <v>2821</v>
      </c>
      <c r="F2974" s="152" t="s">
        <v>289</v>
      </c>
      <c r="G2974" s="152" t="s">
        <v>290</v>
      </c>
      <c r="I2974" s="513">
        <v>-5411437.5</v>
      </c>
      <c r="J2974" s="513">
        <v>-3797.5</v>
      </c>
      <c r="K2974" s="513">
        <v>1425</v>
      </c>
      <c r="L2974" s="518" t="s">
        <v>3487</v>
      </c>
      <c r="M2974" s="152" t="s">
        <v>780</v>
      </c>
      <c r="N2974" s="152" t="s">
        <v>781</v>
      </c>
      <c r="O2974" s="152" t="s">
        <v>3488</v>
      </c>
      <c r="P2974" s="152" t="s">
        <v>3489</v>
      </c>
      <c r="Q2974" s="152" t="s">
        <v>3490</v>
      </c>
      <c r="R2974" s="152" t="s">
        <v>4870</v>
      </c>
      <c r="S2974" s="152" t="s">
        <v>3492</v>
      </c>
      <c r="T2974" s="152" t="s">
        <v>786</v>
      </c>
    </row>
    <row r="2975" spans="3:20">
      <c r="C2975" s="152" t="s">
        <v>2821</v>
      </c>
      <c r="F2975" s="152" t="s">
        <v>289</v>
      </c>
      <c r="G2975" s="152" t="s">
        <v>290</v>
      </c>
      <c r="I2975" s="513">
        <v>-5620300</v>
      </c>
      <c r="J2975" s="513">
        <v>-3797.5</v>
      </c>
      <c r="K2975" s="513">
        <v>1480</v>
      </c>
      <c r="L2975" s="518" t="s">
        <v>3546</v>
      </c>
      <c r="M2975" s="152" t="s">
        <v>780</v>
      </c>
      <c r="N2975" s="152" t="s">
        <v>781</v>
      </c>
      <c r="O2975" s="152" t="s">
        <v>3547</v>
      </c>
      <c r="P2975" s="152" t="s">
        <v>2865</v>
      </c>
      <c r="Q2975" s="152" t="s">
        <v>3548</v>
      </c>
      <c r="R2975" s="152" t="s">
        <v>4871</v>
      </c>
      <c r="S2975" s="152" t="s">
        <v>3550</v>
      </c>
      <c r="T2975" s="152" t="s">
        <v>786</v>
      </c>
    </row>
    <row r="2976" spans="3:20">
      <c r="C2976" s="152" t="s">
        <v>2821</v>
      </c>
      <c r="F2976" s="152" t="s">
        <v>289</v>
      </c>
      <c r="G2976" s="152" t="s">
        <v>290</v>
      </c>
      <c r="I2976" s="513">
        <v>-5354475</v>
      </c>
      <c r="J2976" s="513">
        <v>-3797.5</v>
      </c>
      <c r="K2976" s="513">
        <v>1410</v>
      </c>
      <c r="L2976" s="518" t="s">
        <v>3567</v>
      </c>
      <c r="M2976" s="152" t="s">
        <v>780</v>
      </c>
      <c r="N2976" s="152" t="s">
        <v>781</v>
      </c>
      <c r="O2976" s="152" t="s">
        <v>3568</v>
      </c>
      <c r="P2976" s="152" t="s">
        <v>3489</v>
      </c>
      <c r="Q2976" s="152" t="s">
        <v>3569</v>
      </c>
      <c r="R2976" s="152" t="s">
        <v>4872</v>
      </c>
      <c r="S2976" s="152" t="s">
        <v>3571</v>
      </c>
      <c r="T2976" s="152" t="s">
        <v>786</v>
      </c>
    </row>
    <row r="2977" spans="3:20">
      <c r="C2977" s="152" t="s">
        <v>2821</v>
      </c>
      <c r="F2977" s="152" t="s">
        <v>289</v>
      </c>
      <c r="G2977" s="152" t="s">
        <v>290</v>
      </c>
      <c r="I2977" s="513">
        <v>-20947500</v>
      </c>
      <c r="J2977" s="513">
        <v>-14700</v>
      </c>
      <c r="K2977" s="513">
        <v>1425</v>
      </c>
      <c r="L2977" s="518" t="s">
        <v>3487</v>
      </c>
      <c r="M2977" s="152" t="s">
        <v>780</v>
      </c>
      <c r="N2977" s="152" t="s">
        <v>781</v>
      </c>
      <c r="O2977" s="152" t="s">
        <v>3488</v>
      </c>
      <c r="P2977" s="152" t="s">
        <v>3489</v>
      </c>
      <c r="Q2977" s="152" t="s">
        <v>3490</v>
      </c>
      <c r="R2977" s="152" t="s">
        <v>4873</v>
      </c>
      <c r="S2977" s="152" t="s">
        <v>3492</v>
      </c>
      <c r="T2977" s="152" t="s">
        <v>786</v>
      </c>
    </row>
    <row r="2978" spans="3:20">
      <c r="C2978" s="152" t="s">
        <v>2821</v>
      </c>
      <c r="F2978" s="152" t="s">
        <v>289</v>
      </c>
      <c r="G2978" s="152" t="s">
        <v>290</v>
      </c>
      <c r="I2978" s="513">
        <v>-12408187.5</v>
      </c>
      <c r="J2978" s="513">
        <v>-8707.5</v>
      </c>
      <c r="K2978" s="513">
        <v>1425</v>
      </c>
      <c r="L2978" s="518" t="s">
        <v>3487</v>
      </c>
      <c r="M2978" s="152" t="s">
        <v>780</v>
      </c>
      <c r="N2978" s="152" t="s">
        <v>781</v>
      </c>
      <c r="O2978" s="152" t="s">
        <v>3488</v>
      </c>
      <c r="P2978" s="152" t="s">
        <v>3489</v>
      </c>
      <c r="Q2978" s="152" t="s">
        <v>3490</v>
      </c>
      <c r="R2978" s="152" t="s">
        <v>4874</v>
      </c>
      <c r="S2978" s="152" t="s">
        <v>3492</v>
      </c>
      <c r="T2978" s="152" t="s">
        <v>786</v>
      </c>
    </row>
    <row r="2979" spans="3:20">
      <c r="C2979" s="152" t="s">
        <v>2821</v>
      </c>
      <c r="F2979" s="152" t="s">
        <v>289</v>
      </c>
      <c r="G2979" s="152" t="s">
        <v>290</v>
      </c>
      <c r="I2979" s="513">
        <v>-8272125</v>
      </c>
      <c r="J2979" s="513">
        <v>-5805</v>
      </c>
      <c r="K2979" s="513">
        <v>1425</v>
      </c>
      <c r="L2979" s="518" t="s">
        <v>3487</v>
      </c>
      <c r="M2979" s="152" t="s">
        <v>780</v>
      </c>
      <c r="N2979" s="152" t="s">
        <v>781</v>
      </c>
      <c r="O2979" s="152" t="s">
        <v>3488</v>
      </c>
      <c r="P2979" s="152" t="s">
        <v>3489</v>
      </c>
      <c r="Q2979" s="152" t="s">
        <v>3490</v>
      </c>
      <c r="R2979" s="152" t="s">
        <v>4875</v>
      </c>
      <c r="S2979" s="152" t="s">
        <v>3492</v>
      </c>
      <c r="T2979" s="152" t="s">
        <v>786</v>
      </c>
    </row>
    <row r="2980" spans="3:20">
      <c r="C2980" s="152" t="s">
        <v>2821</v>
      </c>
      <c r="F2980" s="152" t="s">
        <v>289</v>
      </c>
      <c r="G2980" s="152" t="s">
        <v>290</v>
      </c>
      <c r="I2980" s="513">
        <v>-4695300</v>
      </c>
      <c r="J2980" s="513">
        <v>-3172.5</v>
      </c>
      <c r="K2980" s="513">
        <v>1480</v>
      </c>
      <c r="L2980" s="518" t="s">
        <v>3546</v>
      </c>
      <c r="M2980" s="152" t="s">
        <v>780</v>
      </c>
      <c r="N2980" s="152" t="s">
        <v>781</v>
      </c>
      <c r="O2980" s="152" t="s">
        <v>3547</v>
      </c>
      <c r="P2980" s="152" t="s">
        <v>2865</v>
      </c>
      <c r="Q2980" s="152" t="s">
        <v>3548</v>
      </c>
      <c r="R2980" s="152" t="s">
        <v>4876</v>
      </c>
      <c r="S2980" s="152" t="s">
        <v>3550</v>
      </c>
      <c r="T2980" s="152" t="s">
        <v>786</v>
      </c>
    </row>
    <row r="2981" spans="3:20">
      <c r="C2981" s="152" t="s">
        <v>2821</v>
      </c>
      <c r="F2981" s="152" t="s">
        <v>289</v>
      </c>
      <c r="G2981" s="152" t="s">
        <v>290</v>
      </c>
      <c r="I2981" s="513">
        <v>-8946450</v>
      </c>
      <c r="J2981" s="513">
        <v>-6345</v>
      </c>
      <c r="K2981" s="513">
        <v>1410</v>
      </c>
      <c r="L2981" s="518" t="s">
        <v>3567</v>
      </c>
      <c r="M2981" s="152" t="s">
        <v>780</v>
      </c>
      <c r="N2981" s="152" t="s">
        <v>781</v>
      </c>
      <c r="O2981" s="152" t="s">
        <v>3568</v>
      </c>
      <c r="P2981" s="152" t="s">
        <v>3489</v>
      </c>
      <c r="Q2981" s="152" t="s">
        <v>3569</v>
      </c>
      <c r="R2981" s="152" t="s">
        <v>4877</v>
      </c>
      <c r="S2981" s="152" t="s">
        <v>3571</v>
      </c>
      <c r="T2981" s="152" t="s">
        <v>786</v>
      </c>
    </row>
    <row r="2982" spans="3:20">
      <c r="C2982" s="152" t="s">
        <v>2821</v>
      </c>
      <c r="F2982" s="152" t="s">
        <v>289</v>
      </c>
      <c r="G2982" s="152" t="s">
        <v>290</v>
      </c>
      <c r="I2982" s="513">
        <v>-4520100</v>
      </c>
      <c r="J2982" s="513">
        <v>-3172</v>
      </c>
      <c r="K2982" s="513">
        <v>1425</v>
      </c>
      <c r="L2982" s="518" t="s">
        <v>3511</v>
      </c>
      <c r="M2982" s="152" t="s">
        <v>780</v>
      </c>
      <c r="N2982" s="152" t="s">
        <v>781</v>
      </c>
      <c r="O2982" s="152" t="s">
        <v>3562</v>
      </c>
      <c r="P2982" s="152" t="s">
        <v>3489</v>
      </c>
      <c r="Q2982" s="152" t="s">
        <v>3563</v>
      </c>
      <c r="R2982" s="152" t="s">
        <v>4878</v>
      </c>
      <c r="S2982" s="152" t="s">
        <v>3565</v>
      </c>
      <c r="T2982" s="152" t="s">
        <v>786</v>
      </c>
    </row>
    <row r="2983" spans="3:20">
      <c r="C2983" s="152" t="s">
        <v>2821</v>
      </c>
      <c r="F2983" s="152" t="s">
        <v>289</v>
      </c>
      <c r="G2983" s="152" t="s">
        <v>290</v>
      </c>
      <c r="I2983" s="513">
        <v>-3788640</v>
      </c>
      <c r="J2983" s="513">
        <v>-2631</v>
      </c>
      <c r="K2983" s="513">
        <v>1440</v>
      </c>
      <c r="L2983" s="518" t="s">
        <v>3546</v>
      </c>
      <c r="M2983" s="152" t="s">
        <v>780</v>
      </c>
      <c r="N2983" s="152" t="s">
        <v>781</v>
      </c>
      <c r="O2983" s="152" t="s">
        <v>3547</v>
      </c>
      <c r="P2983" s="152" t="s">
        <v>2865</v>
      </c>
      <c r="Q2983" s="152" t="s">
        <v>3548</v>
      </c>
      <c r="R2983" s="152" t="s">
        <v>4879</v>
      </c>
      <c r="S2983" s="152" t="s">
        <v>3550</v>
      </c>
      <c r="T2983" s="152" t="s">
        <v>786</v>
      </c>
    </row>
    <row r="2984" spans="3:20">
      <c r="C2984" s="152" t="s">
        <v>2821</v>
      </c>
      <c r="F2984" s="152" t="s">
        <v>289</v>
      </c>
      <c r="G2984" s="152" t="s">
        <v>290</v>
      </c>
      <c r="I2984" s="513">
        <v>-3788640</v>
      </c>
      <c r="J2984" s="513">
        <v>-2631</v>
      </c>
      <c r="K2984" s="513">
        <v>1440</v>
      </c>
      <c r="L2984" s="518" t="s">
        <v>3546</v>
      </c>
      <c r="M2984" s="152" t="s">
        <v>780</v>
      </c>
      <c r="N2984" s="152" t="s">
        <v>781</v>
      </c>
      <c r="O2984" s="152" t="s">
        <v>3547</v>
      </c>
      <c r="P2984" s="152" t="s">
        <v>2865</v>
      </c>
      <c r="Q2984" s="152" t="s">
        <v>3548</v>
      </c>
      <c r="R2984" s="152" t="s">
        <v>4880</v>
      </c>
      <c r="S2984" s="152" t="s">
        <v>3550</v>
      </c>
      <c r="T2984" s="152" t="s">
        <v>786</v>
      </c>
    </row>
    <row r="2985" spans="3:20">
      <c r="C2985" s="152" t="s">
        <v>2821</v>
      </c>
      <c r="F2985" s="152" t="s">
        <v>289</v>
      </c>
      <c r="G2985" s="152" t="s">
        <v>290</v>
      </c>
      <c r="I2985" s="513">
        <v>-8122500</v>
      </c>
      <c r="J2985" s="513">
        <v>-5700</v>
      </c>
      <c r="K2985" s="513">
        <v>1425</v>
      </c>
      <c r="L2985" s="518" t="s">
        <v>3487</v>
      </c>
      <c r="M2985" s="152" t="s">
        <v>780</v>
      </c>
      <c r="N2985" s="152" t="s">
        <v>781</v>
      </c>
      <c r="O2985" s="152" t="s">
        <v>3488</v>
      </c>
      <c r="P2985" s="152" t="s">
        <v>3489</v>
      </c>
      <c r="Q2985" s="152" t="s">
        <v>3490</v>
      </c>
      <c r="R2985" s="152" t="s">
        <v>4881</v>
      </c>
      <c r="S2985" s="152" t="s">
        <v>3492</v>
      </c>
      <c r="T2985" s="152" t="s">
        <v>786</v>
      </c>
    </row>
    <row r="2986" spans="3:20">
      <c r="C2986" s="152" t="s">
        <v>2821</v>
      </c>
      <c r="F2986" s="152" t="s">
        <v>289</v>
      </c>
      <c r="G2986" s="152" t="s">
        <v>290</v>
      </c>
      <c r="I2986" s="513">
        <v>-5880000</v>
      </c>
      <c r="J2986" s="513">
        <v>-4200</v>
      </c>
      <c r="K2986" s="513">
        <v>1400</v>
      </c>
      <c r="L2986" s="518" t="s">
        <v>3557</v>
      </c>
      <c r="M2986" s="152" t="s">
        <v>780</v>
      </c>
      <c r="N2986" s="152" t="s">
        <v>781</v>
      </c>
      <c r="O2986" s="152" t="s">
        <v>3558</v>
      </c>
      <c r="P2986" s="152" t="s">
        <v>3489</v>
      </c>
      <c r="Q2986" s="152" t="s">
        <v>3559</v>
      </c>
      <c r="R2986" s="152" t="s">
        <v>4882</v>
      </c>
      <c r="S2986" s="152" t="s">
        <v>3561</v>
      </c>
      <c r="T2986" s="152" t="s">
        <v>786</v>
      </c>
    </row>
    <row r="2987" spans="3:20">
      <c r="C2987" s="152" t="s">
        <v>2821</v>
      </c>
      <c r="F2987" s="152" t="s">
        <v>289</v>
      </c>
      <c r="G2987" s="152" t="s">
        <v>290</v>
      </c>
      <c r="I2987" s="513">
        <v>-8122500</v>
      </c>
      <c r="J2987" s="513">
        <v>-5700</v>
      </c>
      <c r="K2987" s="513">
        <v>1425</v>
      </c>
      <c r="L2987" s="518" t="s">
        <v>3487</v>
      </c>
      <c r="M2987" s="152" t="s">
        <v>780</v>
      </c>
      <c r="N2987" s="152" t="s">
        <v>781</v>
      </c>
      <c r="O2987" s="152" t="s">
        <v>3488</v>
      </c>
      <c r="P2987" s="152" t="s">
        <v>3489</v>
      </c>
      <c r="Q2987" s="152" t="s">
        <v>3490</v>
      </c>
      <c r="R2987" s="152" t="s">
        <v>4883</v>
      </c>
      <c r="S2987" s="152" t="s">
        <v>3492</v>
      </c>
      <c r="T2987" s="152" t="s">
        <v>786</v>
      </c>
    </row>
    <row r="2988" spans="3:20">
      <c r="C2988" s="152" t="s">
        <v>2821</v>
      </c>
      <c r="F2988" s="152" t="s">
        <v>289</v>
      </c>
      <c r="G2988" s="152" t="s">
        <v>290</v>
      </c>
      <c r="I2988" s="513">
        <v>-5880000</v>
      </c>
      <c r="J2988" s="513">
        <v>-4200</v>
      </c>
      <c r="K2988" s="513">
        <v>1400</v>
      </c>
      <c r="L2988" s="518" t="s">
        <v>3557</v>
      </c>
      <c r="M2988" s="152" t="s">
        <v>780</v>
      </c>
      <c r="N2988" s="152" t="s">
        <v>781</v>
      </c>
      <c r="O2988" s="152" t="s">
        <v>3558</v>
      </c>
      <c r="P2988" s="152" t="s">
        <v>3489</v>
      </c>
      <c r="Q2988" s="152" t="s">
        <v>3559</v>
      </c>
      <c r="R2988" s="152" t="s">
        <v>4884</v>
      </c>
      <c r="S2988" s="152" t="s">
        <v>3561</v>
      </c>
      <c r="T2988" s="152" t="s">
        <v>786</v>
      </c>
    </row>
    <row r="2989" spans="3:20">
      <c r="C2989" s="152" t="s">
        <v>2821</v>
      </c>
      <c r="F2989" s="152" t="s">
        <v>289</v>
      </c>
      <c r="G2989" s="152" t="s">
        <v>290</v>
      </c>
      <c r="I2989" s="513">
        <v>-12521335</v>
      </c>
      <c r="J2989" s="513">
        <v>-8849</v>
      </c>
      <c r="K2989" s="513">
        <v>1415</v>
      </c>
      <c r="L2989" s="518" t="s">
        <v>3511</v>
      </c>
      <c r="M2989" s="152" t="s">
        <v>780</v>
      </c>
      <c r="N2989" s="152" t="s">
        <v>781</v>
      </c>
      <c r="O2989" s="152" t="s">
        <v>3562</v>
      </c>
      <c r="P2989" s="152" t="s">
        <v>3489</v>
      </c>
      <c r="Q2989" s="152" t="s">
        <v>3563</v>
      </c>
      <c r="R2989" s="152" t="s">
        <v>4885</v>
      </c>
      <c r="S2989" s="152" t="s">
        <v>3565</v>
      </c>
      <c r="T2989" s="152" t="s">
        <v>786</v>
      </c>
    </row>
    <row r="2990" spans="3:20">
      <c r="C2990" s="152" t="s">
        <v>2821</v>
      </c>
      <c r="F2990" s="152" t="s">
        <v>289</v>
      </c>
      <c r="G2990" s="152" t="s">
        <v>290</v>
      </c>
      <c r="I2990" s="513">
        <v>-5252400</v>
      </c>
      <c r="J2990" s="513">
        <v>-3647.5</v>
      </c>
      <c r="K2990" s="513">
        <v>1440</v>
      </c>
      <c r="L2990" s="518" t="s">
        <v>3487</v>
      </c>
      <c r="M2990" s="152" t="s">
        <v>780</v>
      </c>
      <c r="N2990" s="152" t="s">
        <v>1272</v>
      </c>
      <c r="O2990" s="152" t="s">
        <v>3488</v>
      </c>
      <c r="P2990" s="152" t="s">
        <v>3489</v>
      </c>
      <c r="Q2990" s="152" t="s">
        <v>3490</v>
      </c>
      <c r="R2990" s="152" t="s">
        <v>4910</v>
      </c>
      <c r="S2990" s="152" t="s">
        <v>3492</v>
      </c>
      <c r="T2990" s="152" t="s">
        <v>786</v>
      </c>
    </row>
    <row r="2991" spans="3:20">
      <c r="C2991" s="152" t="s">
        <v>2821</v>
      </c>
      <c r="F2991" s="152" t="s">
        <v>289</v>
      </c>
      <c r="G2991" s="152" t="s">
        <v>290</v>
      </c>
      <c r="I2991" s="513">
        <v>5124737.5</v>
      </c>
      <c r="J2991" s="513">
        <v>3647.5</v>
      </c>
      <c r="K2991" s="513">
        <v>1405</v>
      </c>
      <c r="L2991" s="518" t="s">
        <v>3493</v>
      </c>
      <c r="M2991" s="152" t="s">
        <v>780</v>
      </c>
      <c r="N2991" s="152" t="s">
        <v>1272</v>
      </c>
      <c r="O2991" s="152" t="s">
        <v>4124</v>
      </c>
      <c r="P2991" s="152" t="s">
        <v>3489</v>
      </c>
      <c r="Q2991" s="152" t="s">
        <v>4125</v>
      </c>
      <c r="R2991" s="152" t="s">
        <v>4911</v>
      </c>
      <c r="S2991" s="152" t="s">
        <v>4127</v>
      </c>
      <c r="T2991" s="152" t="s">
        <v>786</v>
      </c>
    </row>
    <row r="2992" spans="3:20">
      <c r="C2992" s="152" t="s">
        <v>2821</v>
      </c>
      <c r="F2992" s="152" t="s">
        <v>289</v>
      </c>
      <c r="G2992" s="152" t="s">
        <v>290</v>
      </c>
      <c r="I2992" s="513">
        <v>15911625</v>
      </c>
      <c r="J2992" s="513">
        <v>11325</v>
      </c>
      <c r="K2992" s="513">
        <v>1405</v>
      </c>
      <c r="L2992" s="518" t="s">
        <v>3493</v>
      </c>
      <c r="M2992" s="152" t="s">
        <v>780</v>
      </c>
      <c r="N2992" s="152" t="s">
        <v>1272</v>
      </c>
      <c r="O2992" s="152" t="s">
        <v>4124</v>
      </c>
      <c r="P2992" s="152" t="s">
        <v>3489</v>
      </c>
      <c r="Q2992" s="152" t="s">
        <v>4125</v>
      </c>
      <c r="R2992" s="152" t="s">
        <v>4912</v>
      </c>
      <c r="S2992" s="152" t="s">
        <v>4127</v>
      </c>
      <c r="T2992" s="152" t="s">
        <v>786</v>
      </c>
    </row>
    <row r="2993" spans="3:20">
      <c r="C2993" s="152" t="s">
        <v>2821</v>
      </c>
      <c r="F2993" s="152" t="s">
        <v>289</v>
      </c>
      <c r="G2993" s="152" t="s">
        <v>290</v>
      </c>
      <c r="I2993" s="513">
        <v>5124737.5</v>
      </c>
      <c r="J2993" s="513">
        <v>3647.5</v>
      </c>
      <c r="K2993" s="513">
        <v>1405</v>
      </c>
      <c r="L2993" s="518" t="s">
        <v>3493</v>
      </c>
      <c r="M2993" s="152" t="s">
        <v>780</v>
      </c>
      <c r="N2993" s="152" t="s">
        <v>1272</v>
      </c>
      <c r="O2993" s="152" t="s">
        <v>4124</v>
      </c>
      <c r="P2993" s="152" t="s">
        <v>3489</v>
      </c>
      <c r="Q2993" s="152" t="s">
        <v>4125</v>
      </c>
      <c r="R2993" s="152" t="s">
        <v>4913</v>
      </c>
      <c r="S2993" s="152" t="s">
        <v>4127</v>
      </c>
      <c r="T2993" s="152" t="s">
        <v>786</v>
      </c>
    </row>
    <row r="2994" spans="3:20">
      <c r="C2994" s="152" t="s">
        <v>2821</v>
      </c>
      <c r="F2994" s="152" t="s">
        <v>289</v>
      </c>
      <c r="G2994" s="152" t="s">
        <v>290</v>
      </c>
      <c r="I2994" s="513">
        <v>5124737.5</v>
      </c>
      <c r="J2994" s="513">
        <v>3647.5</v>
      </c>
      <c r="K2994" s="513">
        <v>1405</v>
      </c>
      <c r="L2994" s="518" t="s">
        <v>3493</v>
      </c>
      <c r="M2994" s="152" t="s">
        <v>780</v>
      </c>
      <c r="N2994" s="152" t="s">
        <v>1272</v>
      </c>
      <c r="O2994" s="152" t="s">
        <v>4124</v>
      </c>
      <c r="P2994" s="152" t="s">
        <v>3489</v>
      </c>
      <c r="Q2994" s="152" t="s">
        <v>4125</v>
      </c>
      <c r="R2994" s="152" t="s">
        <v>4914</v>
      </c>
      <c r="S2994" s="152" t="s">
        <v>4127</v>
      </c>
      <c r="T2994" s="152" t="s">
        <v>786</v>
      </c>
    </row>
    <row r="2995" spans="3:20">
      <c r="C2995" s="152" t="s">
        <v>2821</v>
      </c>
      <c r="F2995" s="152" t="s">
        <v>289</v>
      </c>
      <c r="G2995" s="152" t="s">
        <v>290</v>
      </c>
      <c r="I2995" s="513">
        <v>5124737.5</v>
      </c>
      <c r="J2995" s="513">
        <v>3647.5</v>
      </c>
      <c r="K2995" s="513">
        <v>1405</v>
      </c>
      <c r="L2995" s="518" t="s">
        <v>3493</v>
      </c>
      <c r="M2995" s="152" t="s">
        <v>780</v>
      </c>
      <c r="N2995" s="152" t="s">
        <v>1272</v>
      </c>
      <c r="O2995" s="152" t="s">
        <v>4124</v>
      </c>
      <c r="P2995" s="152" t="s">
        <v>3489</v>
      </c>
      <c r="Q2995" s="152" t="s">
        <v>4125</v>
      </c>
      <c r="R2995" s="152" t="s">
        <v>4915</v>
      </c>
      <c r="S2995" s="152" t="s">
        <v>4127</v>
      </c>
      <c r="T2995" s="152" t="s">
        <v>786</v>
      </c>
    </row>
    <row r="2996" spans="3:20">
      <c r="C2996" s="152" t="s">
        <v>2821</v>
      </c>
      <c r="F2996" s="152" t="s">
        <v>289</v>
      </c>
      <c r="G2996" s="152" t="s">
        <v>290</v>
      </c>
      <c r="I2996" s="513">
        <v>-5197687.5</v>
      </c>
      <c r="J2996" s="513">
        <v>-3647.5</v>
      </c>
      <c r="K2996" s="513">
        <v>1425</v>
      </c>
      <c r="L2996" s="518" t="s">
        <v>3487</v>
      </c>
      <c r="M2996" s="152" t="s">
        <v>780</v>
      </c>
      <c r="N2996" s="152" t="s">
        <v>1272</v>
      </c>
      <c r="O2996" s="152" t="s">
        <v>3488</v>
      </c>
      <c r="P2996" s="152" t="s">
        <v>3489</v>
      </c>
      <c r="Q2996" s="152" t="s">
        <v>3490</v>
      </c>
      <c r="R2996" s="152" t="s">
        <v>4916</v>
      </c>
      <c r="S2996" s="152" t="s">
        <v>3492</v>
      </c>
      <c r="T2996" s="152" t="s">
        <v>786</v>
      </c>
    </row>
    <row r="2997" spans="3:20">
      <c r="C2997" s="152" t="s">
        <v>2821</v>
      </c>
      <c r="F2997" s="152" t="s">
        <v>289</v>
      </c>
      <c r="G2997" s="152" t="s">
        <v>290</v>
      </c>
      <c r="I2997" s="513">
        <v>-11639550</v>
      </c>
      <c r="J2997" s="513">
        <v>-8255</v>
      </c>
      <c r="K2997" s="513">
        <v>1410</v>
      </c>
      <c r="L2997" s="518" t="s">
        <v>3567</v>
      </c>
      <c r="M2997" s="152" t="s">
        <v>780</v>
      </c>
      <c r="N2997" s="152" t="s">
        <v>1272</v>
      </c>
      <c r="O2997" s="152" t="s">
        <v>3568</v>
      </c>
      <c r="P2997" s="152" t="s">
        <v>3489</v>
      </c>
      <c r="Q2997" s="152" t="s">
        <v>3569</v>
      </c>
      <c r="R2997" s="152" t="s">
        <v>4917</v>
      </c>
      <c r="S2997" s="152" t="s">
        <v>3571</v>
      </c>
      <c r="T2997" s="152" t="s">
        <v>786</v>
      </c>
    </row>
    <row r="2998" spans="3:20">
      <c r="C2998" s="152" t="s">
        <v>2821</v>
      </c>
      <c r="F2998" s="152" t="s">
        <v>289</v>
      </c>
      <c r="G2998" s="152" t="s">
        <v>290</v>
      </c>
      <c r="I2998" s="513">
        <v>-15666000</v>
      </c>
      <c r="J2998" s="513">
        <v>-11190</v>
      </c>
      <c r="K2998" s="513">
        <v>1400</v>
      </c>
      <c r="L2998" s="518" t="s">
        <v>3557</v>
      </c>
      <c r="M2998" s="152" t="s">
        <v>780</v>
      </c>
      <c r="N2998" s="152" t="s">
        <v>1272</v>
      </c>
      <c r="O2998" s="152" t="s">
        <v>3558</v>
      </c>
      <c r="P2998" s="152" t="s">
        <v>3489</v>
      </c>
      <c r="Q2998" s="152" t="s">
        <v>3559</v>
      </c>
      <c r="R2998" s="152" t="s">
        <v>4918</v>
      </c>
      <c r="S2998" s="152" t="s">
        <v>3561</v>
      </c>
      <c r="T2998" s="152" t="s">
        <v>786</v>
      </c>
    </row>
    <row r="2999" spans="3:20">
      <c r="C2999" s="152" t="s">
        <v>2821</v>
      </c>
      <c r="F2999" s="152" t="s">
        <v>289</v>
      </c>
      <c r="G2999" s="152" t="s">
        <v>290</v>
      </c>
      <c r="I2999" s="513">
        <v>-21510375</v>
      </c>
      <c r="J2999" s="513">
        <v>-15095</v>
      </c>
      <c r="K2999" s="513">
        <v>1425</v>
      </c>
      <c r="L2999" s="518" t="s">
        <v>3511</v>
      </c>
      <c r="M2999" s="152" t="s">
        <v>780</v>
      </c>
      <c r="N2999" s="152" t="s">
        <v>1407</v>
      </c>
      <c r="O2999" s="152" t="s">
        <v>3562</v>
      </c>
      <c r="P2999" s="152" t="s">
        <v>3489</v>
      </c>
      <c r="Q2999" s="152" t="s">
        <v>3563</v>
      </c>
      <c r="R2999" s="152" t="s">
        <v>3588</v>
      </c>
      <c r="S2999" s="152" t="s">
        <v>3565</v>
      </c>
      <c r="T2999" s="152" t="s">
        <v>786</v>
      </c>
    </row>
    <row r="3000" spans="3:20">
      <c r="C3000" s="152" t="s">
        <v>2821</v>
      </c>
      <c r="F3000" s="152" t="s">
        <v>289</v>
      </c>
      <c r="G3000" s="152" t="s">
        <v>290</v>
      </c>
      <c r="I3000" s="513">
        <v>-2072267.5</v>
      </c>
      <c r="J3000" s="513">
        <v>-1464.5</v>
      </c>
      <c r="K3000" s="513">
        <v>1415</v>
      </c>
      <c r="L3000" s="518" t="s">
        <v>3511</v>
      </c>
      <c r="M3000" s="152" t="s">
        <v>780</v>
      </c>
      <c r="N3000" s="152" t="s">
        <v>1407</v>
      </c>
      <c r="O3000" s="152" t="s">
        <v>3562</v>
      </c>
      <c r="P3000" s="152" t="s">
        <v>3489</v>
      </c>
      <c r="Q3000" s="152" t="s">
        <v>3563</v>
      </c>
      <c r="R3000" s="152" t="s">
        <v>3621</v>
      </c>
      <c r="S3000" s="152" t="s">
        <v>3565</v>
      </c>
      <c r="T3000" s="152" t="s">
        <v>786</v>
      </c>
    </row>
    <row r="3001" spans="3:20">
      <c r="C3001" s="152" t="s">
        <v>2821</v>
      </c>
      <c r="F3001" s="152" t="s">
        <v>289</v>
      </c>
      <c r="G3001" s="152" t="s">
        <v>290</v>
      </c>
      <c r="I3001" s="513">
        <v>-12076800</v>
      </c>
      <c r="J3001" s="513">
        <v>-8160</v>
      </c>
      <c r="K3001" s="513">
        <v>1480</v>
      </c>
      <c r="L3001" s="518" t="s">
        <v>3546</v>
      </c>
      <c r="M3001" s="152" t="s">
        <v>780</v>
      </c>
      <c r="N3001" s="152" t="s">
        <v>1407</v>
      </c>
      <c r="O3001" s="152" t="s">
        <v>3547</v>
      </c>
      <c r="P3001" s="152" t="s">
        <v>2865</v>
      </c>
      <c r="Q3001" s="152" t="s">
        <v>3548</v>
      </c>
      <c r="R3001" s="152" t="s">
        <v>3623</v>
      </c>
      <c r="S3001" s="152" t="s">
        <v>3550</v>
      </c>
      <c r="T3001" s="152" t="s">
        <v>786</v>
      </c>
    </row>
    <row r="3002" spans="3:20">
      <c r="C3002" s="152" t="s">
        <v>2821</v>
      </c>
      <c r="F3002" s="152" t="s">
        <v>289</v>
      </c>
      <c r="G3002" s="152" t="s">
        <v>290</v>
      </c>
      <c r="I3002" s="513">
        <v>-18847800</v>
      </c>
      <c r="J3002" s="513">
        <v>-13320</v>
      </c>
      <c r="K3002" s="513">
        <v>1415</v>
      </c>
      <c r="L3002" s="518" t="s">
        <v>3511</v>
      </c>
      <c r="M3002" s="152" t="s">
        <v>780</v>
      </c>
      <c r="N3002" s="152" t="s">
        <v>1407</v>
      </c>
      <c r="O3002" s="152" t="s">
        <v>3562</v>
      </c>
      <c r="P3002" s="152" t="s">
        <v>3489</v>
      </c>
      <c r="Q3002" s="152" t="s">
        <v>3563</v>
      </c>
      <c r="R3002" s="152" t="s">
        <v>3624</v>
      </c>
      <c r="S3002" s="152" t="s">
        <v>3565</v>
      </c>
      <c r="T3002" s="152" t="s">
        <v>786</v>
      </c>
    </row>
    <row r="3003" spans="3:20">
      <c r="C3003" s="152" t="s">
        <v>2821</v>
      </c>
      <c r="F3003" s="152" t="s">
        <v>289</v>
      </c>
      <c r="G3003" s="152" t="s">
        <v>290</v>
      </c>
      <c r="I3003" s="513">
        <v>-1673000</v>
      </c>
      <c r="J3003" s="513">
        <v>-1195</v>
      </c>
      <c r="K3003" s="513">
        <v>1400</v>
      </c>
      <c r="L3003" s="518" t="s">
        <v>3557</v>
      </c>
      <c r="M3003" s="152" t="s">
        <v>780</v>
      </c>
      <c r="N3003" s="152" t="s">
        <v>1407</v>
      </c>
      <c r="O3003" s="152" t="s">
        <v>3558</v>
      </c>
      <c r="P3003" s="152" t="s">
        <v>3489</v>
      </c>
      <c r="Q3003" s="152" t="s">
        <v>3559</v>
      </c>
      <c r="R3003" s="152" t="s">
        <v>3626</v>
      </c>
      <c r="S3003" s="152" t="s">
        <v>3561</v>
      </c>
      <c r="T3003" s="152" t="s">
        <v>786</v>
      </c>
    </row>
    <row r="3004" spans="3:20">
      <c r="C3004" s="152" t="s">
        <v>2821</v>
      </c>
      <c r="F3004" s="152" t="s">
        <v>289</v>
      </c>
      <c r="G3004" s="152" t="s">
        <v>290</v>
      </c>
      <c r="I3004" s="513">
        <v>-4081950</v>
      </c>
      <c r="J3004" s="513">
        <v>-2895</v>
      </c>
      <c r="K3004" s="513">
        <v>1410</v>
      </c>
      <c r="L3004" s="518" t="s">
        <v>3567</v>
      </c>
      <c r="M3004" s="152" t="s">
        <v>780</v>
      </c>
      <c r="N3004" s="152" t="s">
        <v>1407</v>
      </c>
      <c r="O3004" s="152" t="s">
        <v>3568</v>
      </c>
      <c r="P3004" s="152" t="s">
        <v>3489</v>
      </c>
      <c r="Q3004" s="152" t="s">
        <v>3569</v>
      </c>
      <c r="R3004" s="152" t="s">
        <v>3627</v>
      </c>
      <c r="S3004" s="152" t="s">
        <v>3571</v>
      </c>
      <c r="T3004" s="152" t="s">
        <v>786</v>
      </c>
    </row>
    <row r="3005" spans="3:20">
      <c r="C3005" s="152" t="s">
        <v>2821</v>
      </c>
      <c r="F3005" s="152" t="s">
        <v>289</v>
      </c>
      <c r="G3005" s="152" t="s">
        <v>290</v>
      </c>
      <c r="I3005" s="513">
        <v>-4081950</v>
      </c>
      <c r="J3005" s="513">
        <v>-2895</v>
      </c>
      <c r="K3005" s="513">
        <v>1410</v>
      </c>
      <c r="L3005" s="518" t="s">
        <v>3567</v>
      </c>
      <c r="M3005" s="152" t="s">
        <v>780</v>
      </c>
      <c r="N3005" s="152" t="s">
        <v>1407</v>
      </c>
      <c r="O3005" s="152" t="s">
        <v>3568</v>
      </c>
      <c r="P3005" s="152" t="s">
        <v>3489</v>
      </c>
      <c r="Q3005" s="152" t="s">
        <v>3569</v>
      </c>
      <c r="R3005" s="152" t="s">
        <v>3628</v>
      </c>
      <c r="S3005" s="152" t="s">
        <v>3571</v>
      </c>
      <c r="T3005" s="152" t="s">
        <v>786</v>
      </c>
    </row>
    <row r="3006" spans="3:20">
      <c r="C3006" s="152" t="s">
        <v>2821</v>
      </c>
      <c r="F3006" s="152" t="s">
        <v>289</v>
      </c>
      <c r="G3006" s="152" t="s">
        <v>290</v>
      </c>
      <c r="I3006" s="513">
        <v>-4081950</v>
      </c>
      <c r="J3006" s="513">
        <v>-2895</v>
      </c>
      <c r="K3006" s="513">
        <v>1410</v>
      </c>
      <c r="L3006" s="518" t="s">
        <v>3567</v>
      </c>
      <c r="M3006" s="152" t="s">
        <v>780</v>
      </c>
      <c r="N3006" s="152" t="s">
        <v>1407</v>
      </c>
      <c r="O3006" s="152" t="s">
        <v>3568</v>
      </c>
      <c r="P3006" s="152" t="s">
        <v>3489</v>
      </c>
      <c r="Q3006" s="152" t="s">
        <v>3569</v>
      </c>
      <c r="R3006" s="152" t="s">
        <v>3629</v>
      </c>
      <c r="S3006" s="152" t="s">
        <v>3571</v>
      </c>
      <c r="T3006" s="152" t="s">
        <v>786</v>
      </c>
    </row>
    <row r="3007" spans="3:20">
      <c r="C3007" s="152" t="s">
        <v>2821</v>
      </c>
      <c r="F3007" s="152" t="s">
        <v>289</v>
      </c>
      <c r="G3007" s="152" t="s">
        <v>290</v>
      </c>
      <c r="I3007" s="513">
        <v>-7392000</v>
      </c>
      <c r="J3007" s="513">
        <v>-5280</v>
      </c>
      <c r="K3007" s="513">
        <v>1400</v>
      </c>
      <c r="L3007" s="518" t="s">
        <v>3493</v>
      </c>
      <c r="M3007" s="152" t="s">
        <v>780</v>
      </c>
      <c r="N3007" s="152" t="s">
        <v>1407</v>
      </c>
      <c r="O3007" s="152" t="s">
        <v>3494</v>
      </c>
      <c r="P3007" s="152" t="s">
        <v>3489</v>
      </c>
      <c r="Q3007" s="152" t="s">
        <v>3495</v>
      </c>
      <c r="R3007" s="152" t="s">
        <v>3630</v>
      </c>
      <c r="S3007" s="152" t="s">
        <v>3497</v>
      </c>
      <c r="T3007" s="152" t="s">
        <v>786</v>
      </c>
    </row>
    <row r="3008" spans="3:20">
      <c r="C3008" s="152" t="s">
        <v>2821</v>
      </c>
      <c r="F3008" s="152" t="s">
        <v>289</v>
      </c>
      <c r="G3008" s="152" t="s">
        <v>290</v>
      </c>
      <c r="I3008" s="513">
        <v>-17236800</v>
      </c>
      <c r="J3008" s="513">
        <v>-11970</v>
      </c>
      <c r="K3008" s="513">
        <v>1440</v>
      </c>
      <c r="L3008" s="518" t="s">
        <v>3546</v>
      </c>
      <c r="M3008" s="152" t="s">
        <v>780</v>
      </c>
      <c r="N3008" s="152" t="s">
        <v>1407</v>
      </c>
      <c r="O3008" s="152" t="s">
        <v>3547</v>
      </c>
      <c r="P3008" s="152" t="s">
        <v>2865</v>
      </c>
      <c r="Q3008" s="152" t="s">
        <v>3548</v>
      </c>
      <c r="R3008" s="152" t="s">
        <v>4153</v>
      </c>
      <c r="S3008" s="152" t="s">
        <v>3550</v>
      </c>
      <c r="T3008" s="152" t="s">
        <v>786</v>
      </c>
    </row>
    <row r="3009" spans="3:20">
      <c r="C3009" s="152" t="s">
        <v>2821</v>
      </c>
      <c r="F3009" s="152" t="s">
        <v>289</v>
      </c>
      <c r="G3009" s="152" t="s">
        <v>290</v>
      </c>
      <c r="I3009" s="513">
        <v>-4935000</v>
      </c>
      <c r="J3009" s="513">
        <v>-3500</v>
      </c>
      <c r="K3009" s="513">
        <v>1410</v>
      </c>
      <c r="L3009" s="518" t="s">
        <v>3567</v>
      </c>
      <c r="M3009" s="152" t="s">
        <v>780</v>
      </c>
      <c r="N3009" s="152" t="s">
        <v>1407</v>
      </c>
      <c r="O3009" s="152" t="s">
        <v>3568</v>
      </c>
      <c r="P3009" s="152" t="s">
        <v>3489</v>
      </c>
      <c r="Q3009" s="152" t="s">
        <v>3569</v>
      </c>
      <c r="R3009" s="152" t="s">
        <v>4158</v>
      </c>
      <c r="S3009" s="152" t="s">
        <v>3571</v>
      </c>
      <c r="T3009" s="152" t="s">
        <v>786</v>
      </c>
    </row>
    <row r="3010" spans="3:20">
      <c r="C3010" s="152" t="s">
        <v>2821</v>
      </c>
      <c r="F3010" s="152" t="s">
        <v>289</v>
      </c>
      <c r="G3010" s="152" t="s">
        <v>290</v>
      </c>
      <c r="I3010" s="513">
        <v>-1536500</v>
      </c>
      <c r="J3010" s="513">
        <v>-1097.5</v>
      </c>
      <c r="K3010" s="513">
        <v>1400</v>
      </c>
      <c r="L3010" s="518" t="s">
        <v>3493</v>
      </c>
      <c r="M3010" s="152" t="s">
        <v>780</v>
      </c>
      <c r="N3010" s="152" t="s">
        <v>1407</v>
      </c>
      <c r="O3010" s="152" t="s">
        <v>3494</v>
      </c>
      <c r="P3010" s="152" t="s">
        <v>3489</v>
      </c>
      <c r="Q3010" s="152" t="s">
        <v>3495</v>
      </c>
      <c r="R3010" s="152" t="s">
        <v>4159</v>
      </c>
      <c r="S3010" s="152" t="s">
        <v>3497</v>
      </c>
      <c r="T3010" s="152" t="s">
        <v>786</v>
      </c>
    </row>
    <row r="3011" spans="3:20">
      <c r="C3011" s="152" t="s">
        <v>2821</v>
      </c>
      <c r="F3011" s="152" t="s">
        <v>289</v>
      </c>
      <c r="G3011" s="152" t="s">
        <v>290</v>
      </c>
      <c r="I3011" s="513">
        <v>-1260000</v>
      </c>
      <c r="J3011" s="513">
        <v>-900</v>
      </c>
      <c r="K3011" s="513">
        <v>1400</v>
      </c>
      <c r="L3011" s="518" t="s">
        <v>3493</v>
      </c>
      <c r="M3011" s="152" t="s">
        <v>780</v>
      </c>
      <c r="N3011" s="152" t="s">
        <v>1407</v>
      </c>
      <c r="O3011" s="152" t="s">
        <v>3494</v>
      </c>
      <c r="P3011" s="152" t="s">
        <v>3489</v>
      </c>
      <c r="Q3011" s="152" t="s">
        <v>3495</v>
      </c>
      <c r="R3011" s="152" t="s">
        <v>4160</v>
      </c>
      <c r="S3011" s="152" t="s">
        <v>3497</v>
      </c>
      <c r="T3011" s="152" t="s">
        <v>786</v>
      </c>
    </row>
    <row r="3012" spans="3:20">
      <c r="C3012" s="152" t="s">
        <v>2821</v>
      </c>
      <c r="F3012" s="152" t="s">
        <v>289</v>
      </c>
      <c r="G3012" s="152" t="s">
        <v>290</v>
      </c>
      <c r="I3012" s="513">
        <v>-12608925</v>
      </c>
      <c r="J3012" s="513">
        <v>-8942.5</v>
      </c>
      <c r="K3012" s="513">
        <v>1410</v>
      </c>
      <c r="L3012" s="518" t="s">
        <v>3567</v>
      </c>
      <c r="M3012" s="152" t="s">
        <v>780</v>
      </c>
      <c r="N3012" s="152" t="s">
        <v>1407</v>
      </c>
      <c r="O3012" s="152" t="s">
        <v>3568</v>
      </c>
      <c r="P3012" s="152" t="s">
        <v>3489</v>
      </c>
      <c r="Q3012" s="152" t="s">
        <v>3569</v>
      </c>
      <c r="R3012" s="152" t="s">
        <v>4161</v>
      </c>
      <c r="S3012" s="152" t="s">
        <v>3571</v>
      </c>
      <c r="T3012" s="152" t="s">
        <v>786</v>
      </c>
    </row>
    <row r="3013" spans="3:20">
      <c r="C3013" s="152" t="s">
        <v>2821</v>
      </c>
      <c r="F3013" s="152" t="s">
        <v>289</v>
      </c>
      <c r="G3013" s="152" t="s">
        <v>290</v>
      </c>
      <c r="I3013" s="513">
        <v>-13234900</v>
      </c>
      <c r="J3013" s="513">
        <v>-8942.5</v>
      </c>
      <c r="K3013" s="513">
        <v>1480</v>
      </c>
      <c r="L3013" s="518" t="s">
        <v>3546</v>
      </c>
      <c r="M3013" s="152" t="s">
        <v>780</v>
      </c>
      <c r="N3013" s="152" t="s">
        <v>1407</v>
      </c>
      <c r="O3013" s="152" t="s">
        <v>3547</v>
      </c>
      <c r="P3013" s="152" t="s">
        <v>2865</v>
      </c>
      <c r="Q3013" s="152" t="s">
        <v>3548</v>
      </c>
      <c r="R3013" s="152" t="s">
        <v>4162</v>
      </c>
      <c r="S3013" s="152" t="s">
        <v>3550</v>
      </c>
      <c r="T3013" s="152" t="s">
        <v>786</v>
      </c>
    </row>
    <row r="3014" spans="3:20">
      <c r="C3014" s="152" t="s">
        <v>2821</v>
      </c>
      <c r="F3014" s="152" t="s">
        <v>289</v>
      </c>
      <c r="G3014" s="152" t="s">
        <v>290</v>
      </c>
      <c r="I3014" s="513">
        <v>-6982500</v>
      </c>
      <c r="J3014" s="513">
        <v>-4900</v>
      </c>
      <c r="K3014" s="513">
        <v>1425</v>
      </c>
      <c r="L3014" s="518" t="s">
        <v>3487</v>
      </c>
      <c r="M3014" s="152" t="s">
        <v>780</v>
      </c>
      <c r="N3014" s="152" t="s">
        <v>1407</v>
      </c>
      <c r="O3014" s="152" t="s">
        <v>3488</v>
      </c>
      <c r="P3014" s="152" t="s">
        <v>3489</v>
      </c>
      <c r="Q3014" s="152" t="s">
        <v>3490</v>
      </c>
      <c r="R3014" s="152" t="s">
        <v>4165</v>
      </c>
      <c r="S3014" s="152" t="s">
        <v>3492</v>
      </c>
      <c r="T3014" s="152" t="s">
        <v>786</v>
      </c>
    </row>
    <row r="3015" spans="3:20">
      <c r="C3015" s="152" t="s">
        <v>2821</v>
      </c>
      <c r="F3015" s="152" t="s">
        <v>289</v>
      </c>
      <c r="G3015" s="152" t="s">
        <v>290</v>
      </c>
      <c r="I3015" s="513">
        <v>-9422000</v>
      </c>
      <c r="J3015" s="513">
        <v>-6730</v>
      </c>
      <c r="K3015" s="513">
        <v>1400</v>
      </c>
      <c r="L3015" s="518" t="s">
        <v>3557</v>
      </c>
      <c r="M3015" s="152" t="s">
        <v>780</v>
      </c>
      <c r="N3015" s="152" t="s">
        <v>1407</v>
      </c>
      <c r="O3015" s="152" t="s">
        <v>3558</v>
      </c>
      <c r="P3015" s="152" t="s">
        <v>3489</v>
      </c>
      <c r="Q3015" s="152" t="s">
        <v>3559</v>
      </c>
      <c r="R3015" s="152" t="s">
        <v>4166</v>
      </c>
      <c r="S3015" s="152" t="s">
        <v>3561</v>
      </c>
      <c r="T3015" s="152" t="s">
        <v>786</v>
      </c>
    </row>
    <row r="3016" spans="3:20">
      <c r="C3016" s="152" t="s">
        <v>2821</v>
      </c>
      <c r="F3016" s="152" t="s">
        <v>289</v>
      </c>
      <c r="G3016" s="152" t="s">
        <v>290</v>
      </c>
      <c r="I3016" s="513">
        <v>-427500</v>
      </c>
      <c r="J3016" s="513">
        <v>-300</v>
      </c>
      <c r="K3016" s="513">
        <v>1425</v>
      </c>
      <c r="L3016" s="518" t="s">
        <v>3487</v>
      </c>
      <c r="M3016" s="152" t="s">
        <v>780</v>
      </c>
      <c r="N3016" s="152" t="s">
        <v>1407</v>
      </c>
      <c r="O3016" s="152" t="s">
        <v>3488</v>
      </c>
      <c r="P3016" s="152" t="s">
        <v>3489</v>
      </c>
      <c r="Q3016" s="152" t="s">
        <v>3490</v>
      </c>
      <c r="R3016" s="152" t="s">
        <v>4179</v>
      </c>
      <c r="S3016" s="152" t="s">
        <v>3492</v>
      </c>
      <c r="T3016" s="152" t="s">
        <v>786</v>
      </c>
    </row>
    <row r="3017" spans="3:20">
      <c r="C3017" s="152" t="s">
        <v>2821</v>
      </c>
      <c r="F3017" s="152" t="s">
        <v>289</v>
      </c>
      <c r="G3017" s="152" t="s">
        <v>290</v>
      </c>
      <c r="I3017" s="513">
        <v>-5245200</v>
      </c>
      <c r="J3017" s="513">
        <v>-3720</v>
      </c>
      <c r="K3017" s="513">
        <v>1410</v>
      </c>
      <c r="L3017" s="518" t="s">
        <v>3567</v>
      </c>
      <c r="M3017" s="152" t="s">
        <v>780</v>
      </c>
      <c r="N3017" s="152" t="s">
        <v>1407</v>
      </c>
      <c r="O3017" s="152" t="s">
        <v>3568</v>
      </c>
      <c r="P3017" s="152" t="s">
        <v>3489</v>
      </c>
      <c r="Q3017" s="152" t="s">
        <v>3569</v>
      </c>
      <c r="R3017" s="152" t="s">
        <v>4192</v>
      </c>
      <c r="S3017" s="152" t="s">
        <v>3571</v>
      </c>
      <c r="T3017" s="152" t="s">
        <v>786</v>
      </c>
    </row>
    <row r="3018" spans="3:20">
      <c r="C3018" s="152" t="s">
        <v>2821</v>
      </c>
      <c r="F3018" s="152" t="s">
        <v>289</v>
      </c>
      <c r="G3018" s="152" t="s">
        <v>290</v>
      </c>
      <c r="I3018" s="513">
        <v>311300</v>
      </c>
      <c r="J3018" s="513">
        <v>220</v>
      </c>
      <c r="K3018" s="513">
        <v>1415</v>
      </c>
      <c r="L3018" s="518" t="s">
        <v>3511</v>
      </c>
      <c r="M3018" s="152" t="s">
        <v>1566</v>
      </c>
      <c r="N3018" s="152" t="s">
        <v>1407</v>
      </c>
      <c r="O3018" s="152" t="s">
        <v>5093</v>
      </c>
      <c r="P3018" s="152" t="s">
        <v>4279</v>
      </c>
      <c r="Q3018" s="152" t="s">
        <v>5094</v>
      </c>
      <c r="R3018" s="152" t="s">
        <v>5094</v>
      </c>
      <c r="S3018" s="152" t="s">
        <v>5095</v>
      </c>
      <c r="T3018" s="152" t="s">
        <v>786</v>
      </c>
    </row>
    <row r="3019" spans="3:20">
      <c r="C3019" s="152" t="s">
        <v>2821</v>
      </c>
      <c r="F3019" s="152" t="s">
        <v>289</v>
      </c>
      <c r="G3019" s="152" t="s">
        <v>290</v>
      </c>
      <c r="I3019" s="513">
        <v>551850</v>
      </c>
      <c r="J3019" s="513">
        <v>390</v>
      </c>
      <c r="K3019" s="513">
        <v>1415</v>
      </c>
      <c r="L3019" s="518" t="s">
        <v>3511</v>
      </c>
      <c r="M3019" s="152" t="s">
        <v>1566</v>
      </c>
      <c r="N3019" s="152" t="s">
        <v>1407</v>
      </c>
      <c r="O3019" s="152" t="s">
        <v>5096</v>
      </c>
      <c r="P3019" s="152" t="s">
        <v>4279</v>
      </c>
      <c r="Q3019" s="152" t="s">
        <v>5097</v>
      </c>
      <c r="R3019" s="152" t="s">
        <v>5097</v>
      </c>
      <c r="S3019" s="152" t="s">
        <v>5098</v>
      </c>
      <c r="T3019" s="152" t="s">
        <v>786</v>
      </c>
    </row>
    <row r="3020" spans="3:20">
      <c r="C3020" s="152" t="s">
        <v>2821</v>
      </c>
      <c r="F3020" s="152" t="s">
        <v>289</v>
      </c>
      <c r="G3020" s="152" t="s">
        <v>290</v>
      </c>
      <c r="I3020" s="513">
        <v>528445.9</v>
      </c>
      <c r="J3020" s="513">
        <v>373.46</v>
      </c>
      <c r="K3020" s="513">
        <v>1415</v>
      </c>
      <c r="L3020" s="518" t="s">
        <v>3511</v>
      </c>
      <c r="M3020" s="152" t="s">
        <v>1566</v>
      </c>
      <c r="N3020" s="152" t="s">
        <v>1407</v>
      </c>
      <c r="O3020" s="152" t="s">
        <v>5099</v>
      </c>
      <c r="P3020" s="152" t="s">
        <v>4279</v>
      </c>
      <c r="Q3020" s="152" t="s">
        <v>5100</v>
      </c>
      <c r="R3020" s="152" t="s">
        <v>5100</v>
      </c>
      <c r="S3020" s="152" t="s">
        <v>5101</v>
      </c>
      <c r="T3020" s="152" t="s">
        <v>786</v>
      </c>
    </row>
    <row r="3021" spans="3:20">
      <c r="C3021" s="152" t="s">
        <v>2821</v>
      </c>
      <c r="F3021" s="152" t="s">
        <v>289</v>
      </c>
      <c r="G3021" s="152" t="s">
        <v>290</v>
      </c>
      <c r="I3021" s="513">
        <v>358009.15</v>
      </c>
      <c r="J3021" s="513">
        <v>253.01</v>
      </c>
      <c r="K3021" s="513">
        <v>1415</v>
      </c>
      <c r="L3021" s="518" t="s">
        <v>3511</v>
      </c>
      <c r="M3021" s="152" t="s">
        <v>1566</v>
      </c>
      <c r="N3021" s="152" t="s">
        <v>1407</v>
      </c>
      <c r="O3021" s="152" t="s">
        <v>5102</v>
      </c>
      <c r="P3021" s="152" t="s">
        <v>4279</v>
      </c>
      <c r="Q3021" s="152" t="s">
        <v>5103</v>
      </c>
      <c r="R3021" s="152" t="s">
        <v>5103</v>
      </c>
      <c r="S3021" s="152" t="s">
        <v>5104</v>
      </c>
      <c r="T3021" s="152" t="s">
        <v>786</v>
      </c>
    </row>
    <row r="3022" spans="3:20">
      <c r="C3022" s="152" t="s">
        <v>2821</v>
      </c>
      <c r="F3022" s="152" t="s">
        <v>289</v>
      </c>
      <c r="G3022" s="152" t="s">
        <v>290</v>
      </c>
      <c r="I3022" s="513">
        <v>521271.85</v>
      </c>
      <c r="J3022" s="513">
        <v>368.39</v>
      </c>
      <c r="K3022" s="513">
        <v>1415</v>
      </c>
      <c r="L3022" s="518" t="s">
        <v>3511</v>
      </c>
      <c r="M3022" s="152" t="s">
        <v>1566</v>
      </c>
      <c r="N3022" s="152" t="s">
        <v>1407</v>
      </c>
      <c r="O3022" s="152" t="s">
        <v>5105</v>
      </c>
      <c r="P3022" s="152" t="s">
        <v>4279</v>
      </c>
      <c r="Q3022" s="152" t="s">
        <v>5106</v>
      </c>
      <c r="R3022" s="152" t="s">
        <v>5106</v>
      </c>
      <c r="S3022" s="152" t="s">
        <v>5107</v>
      </c>
      <c r="T3022" s="152" t="s">
        <v>786</v>
      </c>
    </row>
    <row r="3023" spans="3:20">
      <c r="C3023" s="152" t="s">
        <v>2821</v>
      </c>
      <c r="F3023" s="152" t="s">
        <v>289</v>
      </c>
      <c r="G3023" s="152" t="s">
        <v>290</v>
      </c>
      <c r="I3023" s="513">
        <v>534643.6</v>
      </c>
      <c r="J3023" s="513">
        <v>377.84</v>
      </c>
      <c r="K3023" s="513">
        <v>1415</v>
      </c>
      <c r="L3023" s="518" t="s">
        <v>3511</v>
      </c>
      <c r="M3023" s="152" t="s">
        <v>1566</v>
      </c>
      <c r="N3023" s="152" t="s">
        <v>1407</v>
      </c>
      <c r="O3023" s="152" t="s">
        <v>5108</v>
      </c>
      <c r="P3023" s="152" t="s">
        <v>4279</v>
      </c>
      <c r="Q3023" s="152" t="s">
        <v>5109</v>
      </c>
      <c r="R3023" s="152" t="s">
        <v>5109</v>
      </c>
      <c r="S3023" s="152" t="s">
        <v>5110</v>
      </c>
      <c r="T3023" s="152" t="s">
        <v>786</v>
      </c>
    </row>
    <row r="3024" spans="3:20">
      <c r="C3024" s="152" t="s">
        <v>2821</v>
      </c>
      <c r="F3024" s="152" t="s">
        <v>289</v>
      </c>
      <c r="G3024" s="152" t="s">
        <v>290</v>
      </c>
      <c r="I3024" s="513">
        <v>118973.2</v>
      </c>
      <c r="J3024" s="513">
        <v>84.08</v>
      </c>
      <c r="K3024" s="513">
        <v>1415</v>
      </c>
      <c r="L3024" s="518" t="s">
        <v>3511</v>
      </c>
      <c r="M3024" s="152" t="s">
        <v>1566</v>
      </c>
      <c r="N3024" s="152" t="s">
        <v>1407</v>
      </c>
      <c r="O3024" s="152" t="s">
        <v>5111</v>
      </c>
      <c r="P3024" s="152" t="s">
        <v>4279</v>
      </c>
      <c r="Q3024" s="152" t="s">
        <v>5112</v>
      </c>
      <c r="R3024" s="152" t="s">
        <v>5112</v>
      </c>
      <c r="S3024" s="152" t="s">
        <v>5113</v>
      </c>
      <c r="T3024" s="152" t="s">
        <v>786</v>
      </c>
    </row>
    <row r="3025" spans="3:20">
      <c r="C3025" s="152" t="s">
        <v>2821</v>
      </c>
      <c r="F3025" s="152" t="s">
        <v>289</v>
      </c>
      <c r="G3025" s="152" t="s">
        <v>290</v>
      </c>
      <c r="I3025" s="513">
        <v>2971500</v>
      </c>
      <c r="J3025" s="513">
        <v>2100</v>
      </c>
      <c r="K3025" s="513">
        <v>1415</v>
      </c>
      <c r="L3025" s="518" t="s">
        <v>3511</v>
      </c>
      <c r="M3025" s="152" t="s">
        <v>1566</v>
      </c>
      <c r="N3025" s="152" t="s">
        <v>1407</v>
      </c>
      <c r="O3025" s="152" t="s">
        <v>5114</v>
      </c>
      <c r="P3025" s="152" t="s">
        <v>4279</v>
      </c>
      <c r="Q3025" s="152" t="s">
        <v>5115</v>
      </c>
      <c r="R3025" s="152" t="s">
        <v>5115</v>
      </c>
      <c r="S3025" s="152" t="s">
        <v>5116</v>
      </c>
      <c r="T3025" s="152" t="s">
        <v>786</v>
      </c>
    </row>
    <row r="3026" spans="3:20">
      <c r="C3026" s="152" t="s">
        <v>2821</v>
      </c>
      <c r="F3026" s="152" t="s">
        <v>289</v>
      </c>
      <c r="G3026" s="152" t="s">
        <v>290</v>
      </c>
      <c r="I3026" s="513">
        <v>122326.75</v>
      </c>
      <c r="J3026" s="513">
        <v>86.45</v>
      </c>
      <c r="K3026" s="513">
        <v>1415</v>
      </c>
      <c r="L3026" s="518" t="s">
        <v>3511</v>
      </c>
      <c r="M3026" s="152" t="s">
        <v>1566</v>
      </c>
      <c r="N3026" s="152" t="s">
        <v>1407</v>
      </c>
      <c r="O3026" s="152" t="s">
        <v>5117</v>
      </c>
      <c r="P3026" s="152" t="s">
        <v>4279</v>
      </c>
      <c r="Q3026" s="152" t="s">
        <v>5118</v>
      </c>
      <c r="R3026" s="152" t="s">
        <v>5118</v>
      </c>
      <c r="S3026" s="152" t="s">
        <v>5119</v>
      </c>
      <c r="T3026" s="152" t="s">
        <v>786</v>
      </c>
    </row>
    <row r="3027" spans="3:20">
      <c r="C3027" s="152" t="s">
        <v>2821</v>
      </c>
      <c r="F3027" s="152" t="s">
        <v>289</v>
      </c>
      <c r="G3027" s="152" t="s">
        <v>290</v>
      </c>
      <c r="I3027" s="513">
        <v>114176.35</v>
      </c>
      <c r="J3027" s="513">
        <v>80.69</v>
      </c>
      <c r="K3027" s="513">
        <v>1415</v>
      </c>
      <c r="L3027" s="518" t="s">
        <v>3511</v>
      </c>
      <c r="M3027" s="152" t="s">
        <v>1566</v>
      </c>
      <c r="N3027" s="152" t="s">
        <v>1407</v>
      </c>
      <c r="O3027" s="152" t="s">
        <v>5120</v>
      </c>
      <c r="P3027" s="152" t="s">
        <v>4279</v>
      </c>
      <c r="Q3027" s="152" t="s">
        <v>5121</v>
      </c>
      <c r="R3027" s="152" t="s">
        <v>5121</v>
      </c>
      <c r="S3027" s="152" t="s">
        <v>5122</v>
      </c>
      <c r="T3027" s="152" t="s">
        <v>786</v>
      </c>
    </row>
    <row r="3028" spans="3:20">
      <c r="C3028" s="152" t="s">
        <v>2821</v>
      </c>
      <c r="F3028" s="152" t="s">
        <v>289</v>
      </c>
      <c r="G3028" s="152" t="s">
        <v>290</v>
      </c>
      <c r="I3028" s="513">
        <v>121718.3</v>
      </c>
      <c r="J3028" s="513">
        <v>86.02</v>
      </c>
      <c r="K3028" s="513">
        <v>1415</v>
      </c>
      <c r="L3028" s="518" t="s">
        <v>3511</v>
      </c>
      <c r="M3028" s="152" t="s">
        <v>1566</v>
      </c>
      <c r="N3028" s="152" t="s">
        <v>1407</v>
      </c>
      <c r="O3028" s="152" t="s">
        <v>5123</v>
      </c>
      <c r="P3028" s="152" t="s">
        <v>4279</v>
      </c>
      <c r="Q3028" s="152" t="s">
        <v>5124</v>
      </c>
      <c r="R3028" s="152" t="s">
        <v>5124</v>
      </c>
      <c r="S3028" s="152" t="s">
        <v>5125</v>
      </c>
      <c r="T3028" s="152" t="s">
        <v>786</v>
      </c>
    </row>
    <row r="3029" spans="3:20">
      <c r="C3029" s="152" t="s">
        <v>2821</v>
      </c>
      <c r="F3029" s="152" t="s">
        <v>289</v>
      </c>
      <c r="G3029" s="152" t="s">
        <v>290</v>
      </c>
      <c r="I3029" s="513">
        <v>533525.75</v>
      </c>
      <c r="J3029" s="513">
        <v>377.05</v>
      </c>
      <c r="K3029" s="513">
        <v>1415</v>
      </c>
      <c r="L3029" s="518" t="s">
        <v>3511</v>
      </c>
      <c r="M3029" s="152" t="s">
        <v>1566</v>
      </c>
      <c r="N3029" s="152" t="s">
        <v>1407</v>
      </c>
      <c r="O3029" s="152" t="s">
        <v>5126</v>
      </c>
      <c r="P3029" s="152" t="s">
        <v>4279</v>
      </c>
      <c r="Q3029" s="152" t="s">
        <v>5127</v>
      </c>
      <c r="R3029" s="152" t="s">
        <v>5127</v>
      </c>
      <c r="S3029" s="152" t="s">
        <v>5128</v>
      </c>
      <c r="T3029" s="152" t="s">
        <v>786</v>
      </c>
    </row>
    <row r="3030" spans="3:20">
      <c r="C3030" s="152" t="s">
        <v>2821</v>
      </c>
      <c r="F3030" s="152" t="s">
        <v>289</v>
      </c>
      <c r="G3030" s="152" t="s">
        <v>290</v>
      </c>
      <c r="I3030" s="513">
        <v>533030.5</v>
      </c>
      <c r="J3030" s="513">
        <v>376.7</v>
      </c>
      <c r="K3030" s="513">
        <v>1415</v>
      </c>
      <c r="L3030" s="518" t="s">
        <v>3511</v>
      </c>
      <c r="M3030" s="152" t="s">
        <v>1566</v>
      </c>
      <c r="N3030" s="152" t="s">
        <v>1407</v>
      </c>
      <c r="O3030" s="152" t="s">
        <v>5129</v>
      </c>
      <c r="P3030" s="152" t="s">
        <v>4279</v>
      </c>
      <c r="Q3030" s="152" t="s">
        <v>5130</v>
      </c>
      <c r="R3030" s="152" t="s">
        <v>5130</v>
      </c>
      <c r="S3030" s="152" t="s">
        <v>5131</v>
      </c>
      <c r="T3030" s="152" t="s">
        <v>786</v>
      </c>
    </row>
    <row r="3031" spans="3:20">
      <c r="C3031" s="152" t="s">
        <v>2821</v>
      </c>
      <c r="F3031" s="152" t="s">
        <v>289</v>
      </c>
      <c r="G3031" s="152" t="s">
        <v>290</v>
      </c>
      <c r="I3031" s="513">
        <v>512300.75</v>
      </c>
      <c r="J3031" s="513">
        <v>362.05</v>
      </c>
      <c r="K3031" s="513">
        <v>1415</v>
      </c>
      <c r="L3031" s="518" t="s">
        <v>3511</v>
      </c>
      <c r="M3031" s="152" t="s">
        <v>1566</v>
      </c>
      <c r="N3031" s="152" t="s">
        <v>1407</v>
      </c>
      <c r="O3031" s="152" t="s">
        <v>5132</v>
      </c>
      <c r="P3031" s="152" t="s">
        <v>4279</v>
      </c>
      <c r="Q3031" s="152" t="s">
        <v>5133</v>
      </c>
      <c r="R3031" s="152" t="s">
        <v>5133</v>
      </c>
      <c r="S3031" s="152" t="s">
        <v>5134</v>
      </c>
      <c r="T3031" s="152" t="s">
        <v>786</v>
      </c>
    </row>
    <row r="3032" spans="3:20">
      <c r="C3032" s="152" t="s">
        <v>2821</v>
      </c>
      <c r="F3032" s="152" t="s">
        <v>289</v>
      </c>
      <c r="G3032" s="152" t="s">
        <v>290</v>
      </c>
      <c r="I3032" s="513">
        <v>551850</v>
      </c>
      <c r="J3032" s="513">
        <v>390</v>
      </c>
      <c r="K3032" s="513">
        <v>1415</v>
      </c>
      <c r="L3032" s="518" t="s">
        <v>3511</v>
      </c>
      <c r="M3032" s="152" t="s">
        <v>1566</v>
      </c>
      <c r="N3032" s="152" t="s">
        <v>1407</v>
      </c>
      <c r="O3032" s="152" t="s">
        <v>5135</v>
      </c>
      <c r="P3032" s="152" t="s">
        <v>4279</v>
      </c>
      <c r="Q3032" s="152" t="s">
        <v>5136</v>
      </c>
      <c r="R3032" s="152" t="s">
        <v>5136</v>
      </c>
      <c r="S3032" s="152" t="s">
        <v>5137</v>
      </c>
      <c r="T3032" s="152" t="s">
        <v>786</v>
      </c>
    </row>
    <row r="3033" spans="3:20">
      <c r="C3033" s="152" t="s">
        <v>2821</v>
      </c>
      <c r="F3033" s="152" t="s">
        <v>289</v>
      </c>
      <c r="G3033" s="152" t="s">
        <v>290</v>
      </c>
      <c r="I3033" s="513">
        <v>551850</v>
      </c>
      <c r="J3033" s="513">
        <v>390</v>
      </c>
      <c r="K3033" s="513">
        <v>1415</v>
      </c>
      <c r="L3033" s="518" t="s">
        <v>3511</v>
      </c>
      <c r="M3033" s="152" t="s">
        <v>1566</v>
      </c>
      <c r="N3033" s="152" t="s">
        <v>1407</v>
      </c>
      <c r="O3033" s="152" t="s">
        <v>5138</v>
      </c>
      <c r="P3033" s="152" t="s">
        <v>4279</v>
      </c>
      <c r="Q3033" s="152" t="s">
        <v>5139</v>
      </c>
      <c r="R3033" s="152" t="s">
        <v>5139</v>
      </c>
      <c r="S3033" s="152" t="s">
        <v>5140</v>
      </c>
      <c r="T3033" s="152" t="s">
        <v>786</v>
      </c>
    </row>
    <row r="3034" spans="3:20">
      <c r="C3034" s="152" t="s">
        <v>2821</v>
      </c>
      <c r="F3034" s="152" t="s">
        <v>289</v>
      </c>
      <c r="G3034" s="152" t="s">
        <v>290</v>
      </c>
      <c r="I3034" s="513">
        <v>551850</v>
      </c>
      <c r="J3034" s="513">
        <v>390</v>
      </c>
      <c r="K3034" s="513">
        <v>1415</v>
      </c>
      <c r="L3034" s="518" t="s">
        <v>3511</v>
      </c>
      <c r="M3034" s="152" t="s">
        <v>1566</v>
      </c>
      <c r="N3034" s="152" t="s">
        <v>1407</v>
      </c>
      <c r="O3034" s="152" t="s">
        <v>5141</v>
      </c>
      <c r="P3034" s="152" t="s">
        <v>4279</v>
      </c>
      <c r="Q3034" s="152" t="s">
        <v>5142</v>
      </c>
      <c r="R3034" s="152" t="s">
        <v>5142</v>
      </c>
      <c r="S3034" s="152" t="s">
        <v>5143</v>
      </c>
      <c r="T3034" s="152" t="s">
        <v>786</v>
      </c>
    </row>
    <row r="3035" spans="3:20">
      <c r="C3035" s="152" t="s">
        <v>2821</v>
      </c>
      <c r="F3035" s="152" t="s">
        <v>289</v>
      </c>
      <c r="G3035" s="152" t="s">
        <v>290</v>
      </c>
      <c r="I3035" s="513">
        <v>551850</v>
      </c>
      <c r="J3035" s="513">
        <v>390</v>
      </c>
      <c r="K3035" s="513">
        <v>1415</v>
      </c>
      <c r="L3035" s="518" t="s">
        <v>3511</v>
      </c>
      <c r="M3035" s="152" t="s">
        <v>1566</v>
      </c>
      <c r="N3035" s="152" t="s">
        <v>1407</v>
      </c>
      <c r="O3035" s="152" t="s">
        <v>5144</v>
      </c>
      <c r="P3035" s="152" t="s">
        <v>4279</v>
      </c>
      <c r="Q3035" s="152" t="s">
        <v>5145</v>
      </c>
      <c r="R3035" s="152" t="s">
        <v>5145</v>
      </c>
      <c r="S3035" s="152" t="s">
        <v>5146</v>
      </c>
      <c r="T3035" s="152" t="s">
        <v>786</v>
      </c>
    </row>
    <row r="3036" spans="3:20">
      <c r="C3036" s="152" t="s">
        <v>2821</v>
      </c>
      <c r="F3036" s="152" t="s">
        <v>289</v>
      </c>
      <c r="G3036" s="152" t="s">
        <v>290</v>
      </c>
      <c r="I3036" s="513">
        <v>551850</v>
      </c>
      <c r="J3036" s="513">
        <v>390</v>
      </c>
      <c r="K3036" s="513">
        <v>1415</v>
      </c>
      <c r="L3036" s="518" t="s">
        <v>3511</v>
      </c>
      <c r="M3036" s="152" t="s">
        <v>1566</v>
      </c>
      <c r="N3036" s="152" t="s">
        <v>1407</v>
      </c>
      <c r="O3036" s="152" t="s">
        <v>5147</v>
      </c>
      <c r="P3036" s="152" t="s">
        <v>4279</v>
      </c>
      <c r="Q3036" s="152" t="s">
        <v>5148</v>
      </c>
      <c r="R3036" s="152" t="s">
        <v>5148</v>
      </c>
      <c r="S3036" s="152" t="s">
        <v>5149</v>
      </c>
      <c r="T3036" s="152" t="s">
        <v>786</v>
      </c>
    </row>
    <row r="3037" spans="3:20">
      <c r="C3037" s="152" t="s">
        <v>2821</v>
      </c>
      <c r="F3037" s="152" t="s">
        <v>289</v>
      </c>
      <c r="G3037" s="152" t="s">
        <v>290</v>
      </c>
      <c r="I3037" s="513">
        <v>551850</v>
      </c>
      <c r="J3037" s="513">
        <v>390</v>
      </c>
      <c r="K3037" s="513">
        <v>1415</v>
      </c>
      <c r="L3037" s="518" t="s">
        <v>3511</v>
      </c>
      <c r="M3037" s="152" t="s">
        <v>1566</v>
      </c>
      <c r="N3037" s="152" t="s">
        <v>1407</v>
      </c>
      <c r="O3037" s="152" t="s">
        <v>5150</v>
      </c>
      <c r="P3037" s="152" t="s">
        <v>4279</v>
      </c>
      <c r="Q3037" s="152" t="s">
        <v>5151</v>
      </c>
      <c r="R3037" s="152" t="s">
        <v>5151</v>
      </c>
      <c r="S3037" s="152" t="s">
        <v>5152</v>
      </c>
      <c r="T3037" s="152" t="s">
        <v>786</v>
      </c>
    </row>
    <row r="3038" spans="3:20">
      <c r="C3038" s="152" t="s">
        <v>2821</v>
      </c>
      <c r="F3038" s="152" t="s">
        <v>289</v>
      </c>
      <c r="G3038" s="152" t="s">
        <v>290</v>
      </c>
      <c r="I3038" s="513">
        <v>551850</v>
      </c>
      <c r="J3038" s="513">
        <v>390</v>
      </c>
      <c r="K3038" s="513">
        <v>1415</v>
      </c>
      <c r="L3038" s="518" t="s">
        <v>3511</v>
      </c>
      <c r="M3038" s="152" t="s">
        <v>1566</v>
      </c>
      <c r="N3038" s="152" t="s">
        <v>1407</v>
      </c>
      <c r="O3038" s="152" t="s">
        <v>5153</v>
      </c>
      <c r="P3038" s="152" t="s">
        <v>4279</v>
      </c>
      <c r="Q3038" s="152" t="s">
        <v>5154</v>
      </c>
      <c r="R3038" s="152" t="s">
        <v>5154</v>
      </c>
      <c r="S3038" s="152" t="s">
        <v>5155</v>
      </c>
      <c r="T3038" s="152" t="s">
        <v>786</v>
      </c>
    </row>
    <row r="3039" spans="3:20">
      <c r="C3039" s="152" t="s">
        <v>2821</v>
      </c>
      <c r="F3039" s="152" t="s">
        <v>289</v>
      </c>
      <c r="G3039" s="152" t="s">
        <v>290</v>
      </c>
      <c r="I3039" s="513">
        <v>551850</v>
      </c>
      <c r="J3039" s="513">
        <v>390</v>
      </c>
      <c r="K3039" s="513">
        <v>1415</v>
      </c>
      <c r="L3039" s="518" t="s">
        <v>3511</v>
      </c>
      <c r="M3039" s="152" t="s">
        <v>1566</v>
      </c>
      <c r="N3039" s="152" t="s">
        <v>1407</v>
      </c>
      <c r="O3039" s="152" t="s">
        <v>5156</v>
      </c>
      <c r="P3039" s="152" t="s">
        <v>4279</v>
      </c>
      <c r="Q3039" s="152" t="s">
        <v>5157</v>
      </c>
      <c r="R3039" s="152" t="s">
        <v>5157</v>
      </c>
      <c r="S3039" s="152" t="s">
        <v>5158</v>
      </c>
      <c r="T3039" s="152" t="s">
        <v>786</v>
      </c>
    </row>
    <row r="3040" spans="3:20">
      <c r="C3040" s="152" t="s">
        <v>2821</v>
      </c>
      <c r="F3040" s="152" t="s">
        <v>289</v>
      </c>
      <c r="G3040" s="152" t="s">
        <v>290</v>
      </c>
      <c r="I3040" s="513">
        <v>551850</v>
      </c>
      <c r="J3040" s="513">
        <v>390</v>
      </c>
      <c r="K3040" s="513">
        <v>1415</v>
      </c>
      <c r="L3040" s="518" t="s">
        <v>3511</v>
      </c>
      <c r="M3040" s="152" t="s">
        <v>1566</v>
      </c>
      <c r="N3040" s="152" t="s">
        <v>1407</v>
      </c>
      <c r="O3040" s="152" t="s">
        <v>5159</v>
      </c>
      <c r="P3040" s="152" t="s">
        <v>4279</v>
      </c>
      <c r="Q3040" s="152" t="s">
        <v>5160</v>
      </c>
      <c r="R3040" s="152" t="s">
        <v>5160</v>
      </c>
      <c r="S3040" s="152" t="s">
        <v>5161</v>
      </c>
      <c r="T3040" s="152" t="s">
        <v>786</v>
      </c>
    </row>
    <row r="3041" spans="3:20">
      <c r="C3041" s="152" t="s">
        <v>2821</v>
      </c>
      <c r="F3041" s="152" t="s">
        <v>289</v>
      </c>
      <c r="G3041" s="152" t="s">
        <v>290</v>
      </c>
      <c r="I3041" s="513">
        <v>547950</v>
      </c>
      <c r="J3041" s="513">
        <v>390</v>
      </c>
      <c r="K3041" s="513">
        <v>1405</v>
      </c>
      <c r="L3041" s="518" t="s">
        <v>3493</v>
      </c>
      <c r="M3041" s="152" t="s">
        <v>1566</v>
      </c>
      <c r="N3041" s="152" t="s">
        <v>1407</v>
      </c>
      <c r="O3041" s="152" t="s">
        <v>5162</v>
      </c>
      <c r="P3041" s="152" t="s">
        <v>4279</v>
      </c>
      <c r="Q3041" s="152" t="s">
        <v>5163</v>
      </c>
      <c r="R3041" s="152" t="s">
        <v>5163</v>
      </c>
      <c r="S3041" s="152" t="s">
        <v>5164</v>
      </c>
      <c r="T3041" s="152" t="s">
        <v>786</v>
      </c>
    </row>
    <row r="3042" spans="3:20">
      <c r="C3042" s="152" t="s">
        <v>2821</v>
      </c>
      <c r="F3042" s="152" t="s">
        <v>289</v>
      </c>
      <c r="G3042" s="152" t="s">
        <v>290</v>
      </c>
      <c r="I3042" s="513">
        <v>547950</v>
      </c>
      <c r="J3042" s="513">
        <v>390</v>
      </c>
      <c r="K3042" s="513">
        <v>1405</v>
      </c>
      <c r="L3042" s="518" t="s">
        <v>3493</v>
      </c>
      <c r="M3042" s="152" t="s">
        <v>1566</v>
      </c>
      <c r="N3042" s="152" t="s">
        <v>1407</v>
      </c>
      <c r="O3042" s="152" t="s">
        <v>5165</v>
      </c>
      <c r="P3042" s="152" t="s">
        <v>4279</v>
      </c>
      <c r="Q3042" s="152" t="s">
        <v>5166</v>
      </c>
      <c r="R3042" s="152" t="s">
        <v>5166</v>
      </c>
      <c r="S3042" s="152" t="s">
        <v>5167</v>
      </c>
      <c r="T3042" s="152" t="s">
        <v>786</v>
      </c>
    </row>
    <row r="3043" spans="3:20">
      <c r="C3043" s="152" t="s">
        <v>2821</v>
      </c>
      <c r="F3043" s="152" t="s">
        <v>289</v>
      </c>
      <c r="G3043" s="152" t="s">
        <v>290</v>
      </c>
      <c r="I3043" s="513">
        <v>547950</v>
      </c>
      <c r="J3043" s="513">
        <v>390</v>
      </c>
      <c r="K3043" s="513">
        <v>1405</v>
      </c>
      <c r="L3043" s="518" t="s">
        <v>3493</v>
      </c>
      <c r="M3043" s="152" t="s">
        <v>1566</v>
      </c>
      <c r="N3043" s="152" t="s">
        <v>1407</v>
      </c>
      <c r="O3043" s="152" t="s">
        <v>5168</v>
      </c>
      <c r="P3043" s="152" t="s">
        <v>4279</v>
      </c>
      <c r="Q3043" s="152" t="s">
        <v>5169</v>
      </c>
      <c r="R3043" s="152" t="s">
        <v>5169</v>
      </c>
      <c r="S3043" s="152" t="s">
        <v>5170</v>
      </c>
      <c r="T3043" s="152" t="s">
        <v>786</v>
      </c>
    </row>
    <row r="3044" spans="3:20">
      <c r="C3044" s="152" t="s">
        <v>2821</v>
      </c>
      <c r="F3044" s="152" t="s">
        <v>289</v>
      </c>
      <c r="G3044" s="152" t="s">
        <v>290</v>
      </c>
      <c r="I3044" s="513">
        <v>547950</v>
      </c>
      <c r="J3044" s="513">
        <v>390</v>
      </c>
      <c r="K3044" s="513">
        <v>1405</v>
      </c>
      <c r="L3044" s="518" t="s">
        <v>3493</v>
      </c>
      <c r="M3044" s="152" t="s">
        <v>1566</v>
      </c>
      <c r="N3044" s="152" t="s">
        <v>1407</v>
      </c>
      <c r="O3044" s="152" t="s">
        <v>5171</v>
      </c>
      <c r="P3044" s="152" t="s">
        <v>4279</v>
      </c>
      <c r="Q3044" s="152" t="s">
        <v>5172</v>
      </c>
      <c r="R3044" s="152" t="s">
        <v>5172</v>
      </c>
      <c r="S3044" s="152" t="s">
        <v>5173</v>
      </c>
      <c r="T3044" s="152" t="s">
        <v>786</v>
      </c>
    </row>
    <row r="3045" spans="3:20">
      <c r="C3045" s="152" t="s">
        <v>2821</v>
      </c>
      <c r="F3045" s="152" t="s">
        <v>289</v>
      </c>
      <c r="G3045" s="152" t="s">
        <v>290</v>
      </c>
      <c r="I3045" s="513">
        <v>547950</v>
      </c>
      <c r="J3045" s="513">
        <v>390</v>
      </c>
      <c r="K3045" s="513">
        <v>1405</v>
      </c>
      <c r="L3045" s="518" t="s">
        <v>3493</v>
      </c>
      <c r="M3045" s="152" t="s">
        <v>1566</v>
      </c>
      <c r="N3045" s="152" t="s">
        <v>1407</v>
      </c>
      <c r="O3045" s="152" t="s">
        <v>5174</v>
      </c>
      <c r="P3045" s="152" t="s">
        <v>4279</v>
      </c>
      <c r="Q3045" s="152" t="s">
        <v>5175</v>
      </c>
      <c r="R3045" s="152" t="s">
        <v>5175</v>
      </c>
      <c r="S3045" s="152" t="s">
        <v>5176</v>
      </c>
      <c r="T3045" s="152" t="s">
        <v>786</v>
      </c>
    </row>
    <row r="3046" spans="3:20">
      <c r="C3046" s="152" t="s">
        <v>2821</v>
      </c>
      <c r="F3046" s="152" t="s">
        <v>289</v>
      </c>
      <c r="G3046" s="152" t="s">
        <v>290</v>
      </c>
      <c r="I3046" s="513">
        <v>547950</v>
      </c>
      <c r="J3046" s="513">
        <v>390</v>
      </c>
      <c r="K3046" s="513">
        <v>1405</v>
      </c>
      <c r="L3046" s="518" t="s">
        <v>3493</v>
      </c>
      <c r="M3046" s="152" t="s">
        <v>1566</v>
      </c>
      <c r="N3046" s="152" t="s">
        <v>1407</v>
      </c>
      <c r="O3046" s="152" t="s">
        <v>5177</v>
      </c>
      <c r="P3046" s="152" t="s">
        <v>4279</v>
      </c>
      <c r="Q3046" s="152" t="s">
        <v>5178</v>
      </c>
      <c r="R3046" s="152" t="s">
        <v>5178</v>
      </c>
      <c r="S3046" s="152" t="s">
        <v>5179</v>
      </c>
      <c r="T3046" s="152" t="s">
        <v>786</v>
      </c>
    </row>
    <row r="3047" spans="3:20">
      <c r="C3047" s="152" t="s">
        <v>2821</v>
      </c>
      <c r="F3047" s="152" t="s">
        <v>289</v>
      </c>
      <c r="G3047" s="152" t="s">
        <v>290</v>
      </c>
      <c r="I3047" s="513">
        <v>547950</v>
      </c>
      <c r="J3047" s="513">
        <v>390</v>
      </c>
      <c r="K3047" s="513">
        <v>1405</v>
      </c>
      <c r="L3047" s="518" t="s">
        <v>3493</v>
      </c>
      <c r="M3047" s="152" t="s">
        <v>1566</v>
      </c>
      <c r="N3047" s="152" t="s">
        <v>1407</v>
      </c>
      <c r="O3047" s="152" t="s">
        <v>5180</v>
      </c>
      <c r="P3047" s="152" t="s">
        <v>4279</v>
      </c>
      <c r="Q3047" s="152" t="s">
        <v>5181</v>
      </c>
      <c r="R3047" s="152" t="s">
        <v>5181</v>
      </c>
      <c r="S3047" s="152" t="s">
        <v>5182</v>
      </c>
      <c r="T3047" s="152" t="s">
        <v>786</v>
      </c>
    </row>
    <row r="3048" spans="3:20">
      <c r="C3048" s="152" t="s">
        <v>2821</v>
      </c>
      <c r="F3048" s="152" t="s">
        <v>289</v>
      </c>
      <c r="G3048" s="152" t="s">
        <v>290</v>
      </c>
      <c r="I3048" s="513">
        <v>547950</v>
      </c>
      <c r="J3048" s="513">
        <v>390</v>
      </c>
      <c r="K3048" s="513">
        <v>1405</v>
      </c>
      <c r="L3048" s="518" t="s">
        <v>3493</v>
      </c>
      <c r="M3048" s="152" t="s">
        <v>1566</v>
      </c>
      <c r="N3048" s="152" t="s">
        <v>1407</v>
      </c>
      <c r="O3048" s="152" t="s">
        <v>5183</v>
      </c>
      <c r="P3048" s="152" t="s">
        <v>4279</v>
      </c>
      <c r="Q3048" s="152" t="s">
        <v>5184</v>
      </c>
      <c r="R3048" s="152" t="s">
        <v>5184</v>
      </c>
      <c r="S3048" s="152" t="s">
        <v>5185</v>
      </c>
      <c r="T3048" s="152" t="s">
        <v>786</v>
      </c>
    </row>
    <row r="3049" spans="3:20">
      <c r="C3049" s="152" t="s">
        <v>2821</v>
      </c>
      <c r="F3049" s="152" t="s">
        <v>289</v>
      </c>
      <c r="G3049" s="152" t="s">
        <v>290</v>
      </c>
      <c r="I3049" s="513">
        <v>547950</v>
      </c>
      <c r="J3049" s="513">
        <v>390</v>
      </c>
      <c r="K3049" s="513">
        <v>1405</v>
      </c>
      <c r="L3049" s="518" t="s">
        <v>3493</v>
      </c>
      <c r="M3049" s="152" t="s">
        <v>1566</v>
      </c>
      <c r="N3049" s="152" t="s">
        <v>1407</v>
      </c>
      <c r="O3049" s="152" t="s">
        <v>5186</v>
      </c>
      <c r="P3049" s="152" t="s">
        <v>4279</v>
      </c>
      <c r="Q3049" s="152" t="s">
        <v>5187</v>
      </c>
      <c r="R3049" s="152" t="s">
        <v>5187</v>
      </c>
      <c r="S3049" s="152" t="s">
        <v>5188</v>
      </c>
      <c r="T3049" s="152" t="s">
        <v>786</v>
      </c>
    </row>
    <row r="3050" spans="3:20">
      <c r="C3050" s="152" t="s">
        <v>2821</v>
      </c>
      <c r="F3050" s="152" t="s">
        <v>289</v>
      </c>
      <c r="G3050" s="152" t="s">
        <v>290</v>
      </c>
      <c r="I3050" s="513">
        <v>547950</v>
      </c>
      <c r="J3050" s="513">
        <v>390</v>
      </c>
      <c r="K3050" s="513">
        <v>1405</v>
      </c>
      <c r="L3050" s="518" t="s">
        <v>3493</v>
      </c>
      <c r="M3050" s="152" t="s">
        <v>1566</v>
      </c>
      <c r="N3050" s="152" t="s">
        <v>1407</v>
      </c>
      <c r="O3050" s="152" t="s">
        <v>5189</v>
      </c>
      <c r="P3050" s="152" t="s">
        <v>4279</v>
      </c>
      <c r="Q3050" s="152" t="s">
        <v>5190</v>
      </c>
      <c r="R3050" s="152" t="s">
        <v>5190</v>
      </c>
      <c r="S3050" s="152" t="s">
        <v>5191</v>
      </c>
      <c r="T3050" s="152" t="s">
        <v>786</v>
      </c>
    </row>
    <row r="3051" spans="3:20">
      <c r="C3051" s="152" t="s">
        <v>2821</v>
      </c>
      <c r="F3051" s="152" t="s">
        <v>289</v>
      </c>
      <c r="G3051" s="152" t="s">
        <v>290</v>
      </c>
      <c r="I3051" s="513">
        <v>547950</v>
      </c>
      <c r="J3051" s="513">
        <v>390</v>
      </c>
      <c r="K3051" s="513">
        <v>1405</v>
      </c>
      <c r="L3051" s="518" t="s">
        <v>3493</v>
      </c>
      <c r="M3051" s="152" t="s">
        <v>1566</v>
      </c>
      <c r="N3051" s="152" t="s">
        <v>1407</v>
      </c>
      <c r="O3051" s="152" t="s">
        <v>5192</v>
      </c>
      <c r="P3051" s="152" t="s">
        <v>4279</v>
      </c>
      <c r="Q3051" s="152" t="s">
        <v>5193</v>
      </c>
      <c r="R3051" s="152" t="s">
        <v>5193</v>
      </c>
      <c r="S3051" s="152" t="s">
        <v>5194</v>
      </c>
      <c r="T3051" s="152" t="s">
        <v>786</v>
      </c>
    </row>
    <row r="3052" spans="3:20">
      <c r="C3052" s="152" t="s">
        <v>2821</v>
      </c>
      <c r="F3052" s="152" t="s">
        <v>289</v>
      </c>
      <c r="G3052" s="152" t="s">
        <v>290</v>
      </c>
      <c r="I3052" s="513">
        <v>547950</v>
      </c>
      <c r="J3052" s="513">
        <v>390</v>
      </c>
      <c r="K3052" s="513">
        <v>1405</v>
      </c>
      <c r="L3052" s="518" t="s">
        <v>3493</v>
      </c>
      <c r="M3052" s="152" t="s">
        <v>1566</v>
      </c>
      <c r="N3052" s="152" t="s">
        <v>1407</v>
      </c>
      <c r="O3052" s="152" t="s">
        <v>5195</v>
      </c>
      <c r="P3052" s="152" t="s">
        <v>4279</v>
      </c>
      <c r="Q3052" s="152" t="s">
        <v>5196</v>
      </c>
      <c r="R3052" s="152" t="s">
        <v>5196</v>
      </c>
      <c r="S3052" s="152" t="s">
        <v>5197</v>
      </c>
      <c r="T3052" s="152" t="s">
        <v>786</v>
      </c>
    </row>
    <row r="3053" spans="3:20">
      <c r="C3053" s="152" t="s">
        <v>2821</v>
      </c>
      <c r="F3053" s="152" t="s">
        <v>289</v>
      </c>
      <c r="G3053" s="152" t="s">
        <v>290</v>
      </c>
      <c r="I3053" s="513">
        <v>547950</v>
      </c>
      <c r="J3053" s="513">
        <v>390</v>
      </c>
      <c r="K3053" s="513">
        <v>1405</v>
      </c>
      <c r="L3053" s="518" t="s">
        <v>3493</v>
      </c>
      <c r="M3053" s="152" t="s">
        <v>1566</v>
      </c>
      <c r="N3053" s="152" t="s">
        <v>1407</v>
      </c>
      <c r="O3053" s="152" t="s">
        <v>5198</v>
      </c>
      <c r="P3053" s="152" t="s">
        <v>4279</v>
      </c>
      <c r="Q3053" s="152" t="s">
        <v>5199</v>
      </c>
      <c r="R3053" s="152" t="s">
        <v>5199</v>
      </c>
      <c r="S3053" s="152" t="s">
        <v>5200</v>
      </c>
      <c r="T3053" s="152" t="s">
        <v>786</v>
      </c>
    </row>
    <row r="3054" spans="3:20">
      <c r="C3054" s="152" t="s">
        <v>2821</v>
      </c>
      <c r="F3054" s="152" t="s">
        <v>289</v>
      </c>
      <c r="G3054" s="152" t="s">
        <v>290</v>
      </c>
      <c r="I3054" s="513">
        <v>2613300</v>
      </c>
      <c r="J3054" s="513">
        <v>1860</v>
      </c>
      <c r="K3054" s="513">
        <v>1405</v>
      </c>
      <c r="L3054" s="518" t="s">
        <v>3493</v>
      </c>
      <c r="M3054" s="152" t="s">
        <v>1566</v>
      </c>
      <c r="N3054" s="152" t="s">
        <v>1407</v>
      </c>
      <c r="O3054" s="152" t="s">
        <v>5201</v>
      </c>
      <c r="P3054" s="152" t="s">
        <v>4279</v>
      </c>
      <c r="Q3054" s="152" t="s">
        <v>5202</v>
      </c>
      <c r="R3054" s="152" t="s">
        <v>5202</v>
      </c>
      <c r="S3054" s="152" t="s">
        <v>5203</v>
      </c>
      <c r="T3054" s="152" t="s">
        <v>786</v>
      </c>
    </row>
    <row r="3055" spans="3:20">
      <c r="C3055" s="152" t="s">
        <v>2821</v>
      </c>
      <c r="F3055" s="152" t="s">
        <v>289</v>
      </c>
      <c r="G3055" s="152" t="s">
        <v>290</v>
      </c>
      <c r="I3055" s="513">
        <v>2613300</v>
      </c>
      <c r="J3055" s="513">
        <v>1860</v>
      </c>
      <c r="K3055" s="513">
        <v>1405</v>
      </c>
      <c r="L3055" s="518" t="s">
        <v>3493</v>
      </c>
      <c r="M3055" s="152" t="s">
        <v>1566</v>
      </c>
      <c r="N3055" s="152" t="s">
        <v>1407</v>
      </c>
      <c r="O3055" s="152" t="s">
        <v>5204</v>
      </c>
      <c r="P3055" s="152" t="s">
        <v>4279</v>
      </c>
      <c r="Q3055" s="152" t="s">
        <v>5205</v>
      </c>
      <c r="R3055" s="152" t="s">
        <v>5205</v>
      </c>
      <c r="S3055" s="152" t="s">
        <v>5206</v>
      </c>
      <c r="T3055" s="152" t="s">
        <v>786</v>
      </c>
    </row>
    <row r="3056" spans="3:20">
      <c r="C3056" s="152" t="s">
        <v>2821</v>
      </c>
      <c r="F3056" s="152" t="s">
        <v>289</v>
      </c>
      <c r="G3056" s="152" t="s">
        <v>290</v>
      </c>
      <c r="I3056" s="513">
        <v>547950</v>
      </c>
      <c r="J3056" s="513">
        <v>390</v>
      </c>
      <c r="K3056" s="513">
        <v>1405</v>
      </c>
      <c r="L3056" s="518" t="s">
        <v>3493</v>
      </c>
      <c r="M3056" s="152" t="s">
        <v>1566</v>
      </c>
      <c r="N3056" s="152" t="s">
        <v>1407</v>
      </c>
      <c r="O3056" s="152" t="s">
        <v>5207</v>
      </c>
      <c r="P3056" s="152" t="s">
        <v>4279</v>
      </c>
      <c r="Q3056" s="152" t="s">
        <v>5208</v>
      </c>
      <c r="R3056" s="152" t="s">
        <v>5208</v>
      </c>
      <c r="S3056" s="152" t="s">
        <v>5209</v>
      </c>
      <c r="T3056" s="152" t="s">
        <v>786</v>
      </c>
    </row>
    <row r="3057" spans="3:20">
      <c r="C3057" s="152" t="s">
        <v>2821</v>
      </c>
      <c r="F3057" s="152" t="s">
        <v>289</v>
      </c>
      <c r="G3057" s="152" t="s">
        <v>290</v>
      </c>
      <c r="I3057" s="513">
        <v>547950</v>
      </c>
      <c r="J3057" s="513">
        <v>390</v>
      </c>
      <c r="K3057" s="513">
        <v>1405</v>
      </c>
      <c r="L3057" s="518" t="s">
        <v>3493</v>
      </c>
      <c r="M3057" s="152" t="s">
        <v>1566</v>
      </c>
      <c r="N3057" s="152" t="s">
        <v>1407</v>
      </c>
      <c r="O3057" s="152" t="s">
        <v>5210</v>
      </c>
      <c r="P3057" s="152" t="s">
        <v>4279</v>
      </c>
      <c r="Q3057" s="152" t="s">
        <v>5211</v>
      </c>
      <c r="R3057" s="152" t="s">
        <v>5211</v>
      </c>
      <c r="S3057" s="152" t="s">
        <v>5212</v>
      </c>
      <c r="T3057" s="152" t="s">
        <v>786</v>
      </c>
    </row>
    <row r="3058" spans="3:20">
      <c r="C3058" s="152" t="s">
        <v>2821</v>
      </c>
      <c r="F3058" s="152" t="s">
        <v>289</v>
      </c>
      <c r="G3058" s="152" t="s">
        <v>290</v>
      </c>
      <c r="I3058" s="513">
        <v>547950</v>
      </c>
      <c r="J3058" s="513">
        <v>390</v>
      </c>
      <c r="K3058" s="513">
        <v>1405</v>
      </c>
      <c r="L3058" s="518" t="s">
        <v>3493</v>
      </c>
      <c r="M3058" s="152" t="s">
        <v>1566</v>
      </c>
      <c r="N3058" s="152" t="s">
        <v>1407</v>
      </c>
      <c r="O3058" s="152" t="s">
        <v>5213</v>
      </c>
      <c r="P3058" s="152" t="s">
        <v>4279</v>
      </c>
      <c r="Q3058" s="152" t="s">
        <v>5214</v>
      </c>
      <c r="R3058" s="152" t="s">
        <v>5214</v>
      </c>
      <c r="S3058" s="152" t="s">
        <v>5215</v>
      </c>
      <c r="T3058" s="152" t="s">
        <v>786</v>
      </c>
    </row>
    <row r="3059" spans="3:20">
      <c r="C3059" s="152" t="s">
        <v>2821</v>
      </c>
      <c r="F3059" s="152" t="s">
        <v>289</v>
      </c>
      <c r="G3059" s="152" t="s">
        <v>290</v>
      </c>
      <c r="I3059" s="513">
        <v>547950</v>
      </c>
      <c r="J3059" s="513">
        <v>390</v>
      </c>
      <c r="K3059" s="513">
        <v>1405</v>
      </c>
      <c r="L3059" s="518" t="s">
        <v>3493</v>
      </c>
      <c r="M3059" s="152" t="s">
        <v>1566</v>
      </c>
      <c r="N3059" s="152" t="s">
        <v>1407</v>
      </c>
      <c r="O3059" s="152" t="s">
        <v>5216</v>
      </c>
      <c r="P3059" s="152" t="s">
        <v>4279</v>
      </c>
      <c r="Q3059" s="152" t="s">
        <v>5217</v>
      </c>
      <c r="R3059" s="152" t="s">
        <v>5217</v>
      </c>
      <c r="S3059" s="152" t="s">
        <v>5218</v>
      </c>
      <c r="T3059" s="152" t="s">
        <v>786</v>
      </c>
    </row>
    <row r="3060" spans="3:20">
      <c r="C3060" s="152" t="s">
        <v>2821</v>
      </c>
      <c r="F3060" s="152" t="s">
        <v>289</v>
      </c>
      <c r="G3060" s="152" t="s">
        <v>290</v>
      </c>
      <c r="I3060" s="513">
        <v>547950</v>
      </c>
      <c r="J3060" s="513">
        <v>390</v>
      </c>
      <c r="K3060" s="513">
        <v>1405</v>
      </c>
      <c r="L3060" s="518" t="s">
        <v>3493</v>
      </c>
      <c r="M3060" s="152" t="s">
        <v>1566</v>
      </c>
      <c r="N3060" s="152" t="s">
        <v>1407</v>
      </c>
      <c r="O3060" s="152" t="s">
        <v>5219</v>
      </c>
      <c r="P3060" s="152" t="s">
        <v>4279</v>
      </c>
      <c r="Q3060" s="152" t="s">
        <v>5220</v>
      </c>
      <c r="R3060" s="152" t="s">
        <v>5220</v>
      </c>
      <c r="S3060" s="152" t="s">
        <v>5221</v>
      </c>
      <c r="T3060" s="152" t="s">
        <v>786</v>
      </c>
    </row>
    <row r="3061" spans="3:20">
      <c r="C3061" s="152" t="s">
        <v>2821</v>
      </c>
      <c r="F3061" s="152" t="s">
        <v>289</v>
      </c>
      <c r="G3061" s="152" t="s">
        <v>290</v>
      </c>
      <c r="I3061" s="513">
        <v>547950</v>
      </c>
      <c r="J3061" s="513">
        <v>390</v>
      </c>
      <c r="K3061" s="513">
        <v>1405</v>
      </c>
      <c r="L3061" s="518" t="s">
        <v>3493</v>
      </c>
      <c r="M3061" s="152" t="s">
        <v>1566</v>
      </c>
      <c r="N3061" s="152" t="s">
        <v>1407</v>
      </c>
      <c r="O3061" s="152" t="s">
        <v>5222</v>
      </c>
      <c r="P3061" s="152" t="s">
        <v>4279</v>
      </c>
      <c r="Q3061" s="152" t="s">
        <v>5223</v>
      </c>
      <c r="R3061" s="152" t="s">
        <v>5223</v>
      </c>
      <c r="S3061" s="152" t="s">
        <v>5224</v>
      </c>
      <c r="T3061" s="152" t="s">
        <v>786</v>
      </c>
    </row>
    <row r="3062" spans="3:20">
      <c r="C3062" s="152" t="s">
        <v>2821</v>
      </c>
      <c r="F3062" s="152" t="s">
        <v>289</v>
      </c>
      <c r="G3062" s="152" t="s">
        <v>290</v>
      </c>
      <c r="I3062" s="513">
        <v>1095900</v>
      </c>
      <c r="J3062" s="513">
        <v>780</v>
      </c>
      <c r="K3062" s="513">
        <v>1405</v>
      </c>
      <c r="L3062" s="518" t="s">
        <v>3493</v>
      </c>
      <c r="M3062" s="152" t="s">
        <v>1566</v>
      </c>
      <c r="N3062" s="152" t="s">
        <v>1407</v>
      </c>
      <c r="O3062" s="152" t="s">
        <v>5225</v>
      </c>
      <c r="P3062" s="152" t="s">
        <v>4279</v>
      </c>
      <c r="Q3062" s="152" t="s">
        <v>5226</v>
      </c>
      <c r="R3062" s="152" t="s">
        <v>5226</v>
      </c>
      <c r="S3062" s="152" t="s">
        <v>5227</v>
      </c>
      <c r="T3062" s="152" t="s">
        <v>786</v>
      </c>
    </row>
    <row r="3063" spans="3:20">
      <c r="C3063" s="152" t="s">
        <v>2821</v>
      </c>
      <c r="F3063" s="152" t="s">
        <v>289</v>
      </c>
      <c r="G3063" s="152" t="s">
        <v>290</v>
      </c>
      <c r="I3063" s="513">
        <v>1095900</v>
      </c>
      <c r="J3063" s="513">
        <v>780</v>
      </c>
      <c r="K3063" s="513">
        <v>1405</v>
      </c>
      <c r="L3063" s="518" t="s">
        <v>3493</v>
      </c>
      <c r="M3063" s="152" t="s">
        <v>1566</v>
      </c>
      <c r="N3063" s="152" t="s">
        <v>1407</v>
      </c>
      <c r="O3063" s="152" t="s">
        <v>5228</v>
      </c>
      <c r="P3063" s="152" t="s">
        <v>4279</v>
      </c>
      <c r="Q3063" s="152" t="s">
        <v>5229</v>
      </c>
      <c r="R3063" s="152" t="s">
        <v>5229</v>
      </c>
      <c r="S3063" s="152" t="s">
        <v>5230</v>
      </c>
      <c r="T3063" s="152" t="s">
        <v>786</v>
      </c>
    </row>
    <row r="3064" spans="3:20">
      <c r="C3064" s="152" t="s">
        <v>2821</v>
      </c>
      <c r="F3064" s="152" t="s">
        <v>289</v>
      </c>
      <c r="G3064" s="152" t="s">
        <v>290</v>
      </c>
      <c r="I3064" s="513">
        <v>547950</v>
      </c>
      <c r="J3064" s="513">
        <v>390</v>
      </c>
      <c r="K3064" s="513">
        <v>1405</v>
      </c>
      <c r="L3064" s="518" t="s">
        <v>3493</v>
      </c>
      <c r="M3064" s="152" t="s">
        <v>1566</v>
      </c>
      <c r="N3064" s="152" t="s">
        <v>1407</v>
      </c>
      <c r="O3064" s="152" t="s">
        <v>5231</v>
      </c>
      <c r="P3064" s="152" t="s">
        <v>4279</v>
      </c>
      <c r="Q3064" s="152" t="s">
        <v>5232</v>
      </c>
      <c r="R3064" s="152" t="s">
        <v>5232</v>
      </c>
      <c r="S3064" s="152" t="s">
        <v>5233</v>
      </c>
      <c r="T3064" s="152" t="s">
        <v>786</v>
      </c>
    </row>
    <row r="3065" spans="3:20">
      <c r="C3065" s="152" t="s">
        <v>2821</v>
      </c>
      <c r="F3065" s="152" t="s">
        <v>289</v>
      </c>
      <c r="G3065" s="152" t="s">
        <v>290</v>
      </c>
      <c r="I3065" s="513">
        <v>674400</v>
      </c>
      <c r="J3065" s="513">
        <v>480</v>
      </c>
      <c r="K3065" s="513">
        <v>1405</v>
      </c>
      <c r="L3065" s="518" t="s">
        <v>3493</v>
      </c>
      <c r="M3065" s="152" t="s">
        <v>1566</v>
      </c>
      <c r="N3065" s="152" t="s">
        <v>1407</v>
      </c>
      <c r="O3065" s="152" t="s">
        <v>5234</v>
      </c>
      <c r="P3065" s="152" t="s">
        <v>4279</v>
      </c>
      <c r="Q3065" s="152" t="s">
        <v>5235</v>
      </c>
      <c r="R3065" s="152" t="s">
        <v>5235</v>
      </c>
      <c r="S3065" s="152" t="s">
        <v>5236</v>
      </c>
      <c r="T3065" s="152" t="s">
        <v>786</v>
      </c>
    </row>
    <row r="3066" spans="3:20">
      <c r="C3066" s="152" t="s">
        <v>2821</v>
      </c>
      <c r="F3066" s="152" t="s">
        <v>289</v>
      </c>
      <c r="G3066" s="152" t="s">
        <v>290</v>
      </c>
      <c r="I3066" s="513">
        <v>547950</v>
      </c>
      <c r="J3066" s="513">
        <v>390</v>
      </c>
      <c r="K3066" s="513">
        <v>1405</v>
      </c>
      <c r="L3066" s="518" t="s">
        <v>3493</v>
      </c>
      <c r="M3066" s="152" t="s">
        <v>1566</v>
      </c>
      <c r="N3066" s="152" t="s">
        <v>1407</v>
      </c>
      <c r="O3066" s="152" t="s">
        <v>5237</v>
      </c>
      <c r="P3066" s="152" t="s">
        <v>4279</v>
      </c>
      <c r="Q3066" s="152" t="s">
        <v>5238</v>
      </c>
      <c r="R3066" s="152" t="s">
        <v>5238</v>
      </c>
      <c r="S3066" s="152" t="s">
        <v>5239</v>
      </c>
      <c r="T3066" s="152" t="s">
        <v>786</v>
      </c>
    </row>
    <row r="3067" spans="3:20">
      <c r="C3067" s="152" t="s">
        <v>2821</v>
      </c>
      <c r="F3067" s="152" t="s">
        <v>289</v>
      </c>
      <c r="G3067" s="152" t="s">
        <v>290</v>
      </c>
      <c r="I3067" s="513">
        <v>547950</v>
      </c>
      <c r="J3067" s="513">
        <v>390</v>
      </c>
      <c r="K3067" s="513">
        <v>1405</v>
      </c>
      <c r="L3067" s="518" t="s">
        <v>3493</v>
      </c>
      <c r="M3067" s="152" t="s">
        <v>1566</v>
      </c>
      <c r="N3067" s="152" t="s">
        <v>1407</v>
      </c>
      <c r="O3067" s="152" t="s">
        <v>5240</v>
      </c>
      <c r="P3067" s="152" t="s">
        <v>4279</v>
      </c>
      <c r="Q3067" s="152" t="s">
        <v>5241</v>
      </c>
      <c r="R3067" s="152" t="s">
        <v>5241</v>
      </c>
      <c r="S3067" s="152" t="s">
        <v>5242</v>
      </c>
      <c r="T3067" s="152" t="s">
        <v>786</v>
      </c>
    </row>
    <row r="3068" spans="3:20">
      <c r="C3068" s="152" t="s">
        <v>2821</v>
      </c>
      <c r="F3068" s="152" t="s">
        <v>289</v>
      </c>
      <c r="G3068" s="152" t="s">
        <v>290</v>
      </c>
      <c r="I3068" s="513">
        <v>547950</v>
      </c>
      <c r="J3068" s="513">
        <v>390</v>
      </c>
      <c r="K3068" s="513">
        <v>1405</v>
      </c>
      <c r="L3068" s="518" t="s">
        <v>3493</v>
      </c>
      <c r="M3068" s="152" t="s">
        <v>1566</v>
      </c>
      <c r="N3068" s="152" t="s">
        <v>1407</v>
      </c>
      <c r="O3068" s="152" t="s">
        <v>5243</v>
      </c>
      <c r="P3068" s="152" t="s">
        <v>4279</v>
      </c>
      <c r="Q3068" s="152" t="s">
        <v>5244</v>
      </c>
      <c r="R3068" s="152" t="s">
        <v>5244</v>
      </c>
      <c r="S3068" s="152" t="s">
        <v>5245</v>
      </c>
      <c r="T3068" s="152" t="s">
        <v>786</v>
      </c>
    </row>
    <row r="3069" spans="3:20">
      <c r="C3069" s="152" t="s">
        <v>2821</v>
      </c>
      <c r="F3069" s="152" t="s">
        <v>289</v>
      </c>
      <c r="G3069" s="152" t="s">
        <v>290</v>
      </c>
      <c r="I3069" s="513">
        <v>547950</v>
      </c>
      <c r="J3069" s="513">
        <v>390</v>
      </c>
      <c r="K3069" s="513">
        <v>1405</v>
      </c>
      <c r="L3069" s="518" t="s">
        <v>3493</v>
      </c>
      <c r="M3069" s="152" t="s">
        <v>1566</v>
      </c>
      <c r="N3069" s="152" t="s">
        <v>1407</v>
      </c>
      <c r="O3069" s="152" t="s">
        <v>5246</v>
      </c>
      <c r="P3069" s="152" t="s">
        <v>4279</v>
      </c>
      <c r="Q3069" s="152" t="s">
        <v>5247</v>
      </c>
      <c r="R3069" s="152" t="s">
        <v>5247</v>
      </c>
      <c r="S3069" s="152" t="s">
        <v>5248</v>
      </c>
      <c r="T3069" s="152" t="s">
        <v>786</v>
      </c>
    </row>
    <row r="3070" spans="3:20">
      <c r="C3070" s="152" t="s">
        <v>2821</v>
      </c>
      <c r="F3070" s="152" t="s">
        <v>289</v>
      </c>
      <c r="G3070" s="152" t="s">
        <v>290</v>
      </c>
      <c r="I3070" s="513">
        <v>547950</v>
      </c>
      <c r="J3070" s="513">
        <v>390</v>
      </c>
      <c r="K3070" s="513">
        <v>1405</v>
      </c>
      <c r="L3070" s="518" t="s">
        <v>3493</v>
      </c>
      <c r="M3070" s="152" t="s">
        <v>1566</v>
      </c>
      <c r="N3070" s="152" t="s">
        <v>1407</v>
      </c>
      <c r="O3070" s="152" t="s">
        <v>5249</v>
      </c>
      <c r="P3070" s="152" t="s">
        <v>4279</v>
      </c>
      <c r="Q3070" s="152" t="s">
        <v>5250</v>
      </c>
      <c r="R3070" s="152" t="s">
        <v>5250</v>
      </c>
      <c r="S3070" s="152" t="s">
        <v>5251</v>
      </c>
      <c r="T3070" s="152" t="s">
        <v>786</v>
      </c>
    </row>
    <row r="3071" spans="3:20">
      <c r="C3071" s="152" t="s">
        <v>2821</v>
      </c>
      <c r="F3071" s="152" t="s">
        <v>289</v>
      </c>
      <c r="G3071" s="152" t="s">
        <v>290</v>
      </c>
      <c r="I3071" s="513">
        <v>547950</v>
      </c>
      <c r="J3071" s="513">
        <v>390</v>
      </c>
      <c r="K3071" s="513">
        <v>1405</v>
      </c>
      <c r="L3071" s="518" t="s">
        <v>3493</v>
      </c>
      <c r="M3071" s="152" t="s">
        <v>1566</v>
      </c>
      <c r="N3071" s="152" t="s">
        <v>1407</v>
      </c>
      <c r="O3071" s="152" t="s">
        <v>5252</v>
      </c>
      <c r="P3071" s="152" t="s">
        <v>4279</v>
      </c>
      <c r="Q3071" s="152" t="s">
        <v>5253</v>
      </c>
      <c r="R3071" s="152" t="s">
        <v>5253</v>
      </c>
      <c r="S3071" s="152" t="s">
        <v>5254</v>
      </c>
      <c r="T3071" s="152" t="s">
        <v>786</v>
      </c>
    </row>
    <row r="3072" spans="3:20">
      <c r="C3072" s="152" t="s">
        <v>2821</v>
      </c>
      <c r="F3072" s="152" t="s">
        <v>289</v>
      </c>
      <c r="G3072" s="152" t="s">
        <v>290</v>
      </c>
      <c r="I3072" s="513">
        <v>547950</v>
      </c>
      <c r="J3072" s="513">
        <v>390</v>
      </c>
      <c r="K3072" s="513">
        <v>1405</v>
      </c>
      <c r="L3072" s="518" t="s">
        <v>3493</v>
      </c>
      <c r="M3072" s="152" t="s">
        <v>1566</v>
      </c>
      <c r="N3072" s="152" t="s">
        <v>1407</v>
      </c>
      <c r="O3072" s="152" t="s">
        <v>5255</v>
      </c>
      <c r="P3072" s="152" t="s">
        <v>4279</v>
      </c>
      <c r="Q3072" s="152" t="s">
        <v>5256</v>
      </c>
      <c r="R3072" s="152" t="s">
        <v>5256</v>
      </c>
      <c r="S3072" s="152" t="s">
        <v>5257</v>
      </c>
      <c r="T3072" s="152" t="s">
        <v>786</v>
      </c>
    </row>
    <row r="3073" spans="3:20">
      <c r="C3073" s="152" t="s">
        <v>2821</v>
      </c>
      <c r="F3073" s="152" t="s">
        <v>289</v>
      </c>
      <c r="G3073" s="152" t="s">
        <v>290</v>
      </c>
      <c r="I3073" s="513">
        <v>547950</v>
      </c>
      <c r="J3073" s="513">
        <v>390</v>
      </c>
      <c r="K3073" s="513">
        <v>1405</v>
      </c>
      <c r="L3073" s="518" t="s">
        <v>3493</v>
      </c>
      <c r="M3073" s="152" t="s">
        <v>1566</v>
      </c>
      <c r="N3073" s="152" t="s">
        <v>1407</v>
      </c>
      <c r="O3073" s="152" t="s">
        <v>5258</v>
      </c>
      <c r="P3073" s="152" t="s">
        <v>4279</v>
      </c>
      <c r="Q3073" s="152" t="s">
        <v>5259</v>
      </c>
      <c r="R3073" s="152" t="s">
        <v>5259</v>
      </c>
      <c r="S3073" s="152" t="s">
        <v>5260</v>
      </c>
      <c r="T3073" s="152" t="s">
        <v>786</v>
      </c>
    </row>
    <row r="3074" spans="3:20">
      <c r="C3074" s="152" t="s">
        <v>2821</v>
      </c>
      <c r="F3074" s="152" t="s">
        <v>289</v>
      </c>
      <c r="G3074" s="152" t="s">
        <v>290</v>
      </c>
      <c r="I3074" s="513">
        <v>547950</v>
      </c>
      <c r="J3074" s="513">
        <v>390</v>
      </c>
      <c r="K3074" s="513">
        <v>1405</v>
      </c>
      <c r="L3074" s="518" t="s">
        <v>3493</v>
      </c>
      <c r="M3074" s="152" t="s">
        <v>1566</v>
      </c>
      <c r="N3074" s="152" t="s">
        <v>1407</v>
      </c>
      <c r="O3074" s="152" t="s">
        <v>5261</v>
      </c>
      <c r="P3074" s="152" t="s">
        <v>4279</v>
      </c>
      <c r="Q3074" s="152" t="s">
        <v>5262</v>
      </c>
      <c r="R3074" s="152" t="s">
        <v>5262</v>
      </c>
      <c r="S3074" s="152" t="s">
        <v>5263</v>
      </c>
      <c r="T3074" s="152" t="s">
        <v>786</v>
      </c>
    </row>
    <row r="3075" spans="3:20">
      <c r="C3075" s="152" t="s">
        <v>2821</v>
      </c>
      <c r="F3075" s="152" t="s">
        <v>289</v>
      </c>
      <c r="G3075" s="152" t="s">
        <v>290</v>
      </c>
      <c r="I3075" s="513">
        <v>547950</v>
      </c>
      <c r="J3075" s="513">
        <v>390</v>
      </c>
      <c r="K3075" s="513">
        <v>1405</v>
      </c>
      <c r="L3075" s="518" t="s">
        <v>3493</v>
      </c>
      <c r="M3075" s="152" t="s">
        <v>1566</v>
      </c>
      <c r="N3075" s="152" t="s">
        <v>1407</v>
      </c>
      <c r="O3075" s="152" t="s">
        <v>5264</v>
      </c>
      <c r="P3075" s="152" t="s">
        <v>4279</v>
      </c>
      <c r="Q3075" s="152" t="s">
        <v>5265</v>
      </c>
      <c r="R3075" s="152" t="s">
        <v>5265</v>
      </c>
      <c r="S3075" s="152" t="s">
        <v>5266</v>
      </c>
      <c r="T3075" s="152" t="s">
        <v>786</v>
      </c>
    </row>
    <row r="3076" spans="3:20">
      <c r="C3076" s="152" t="s">
        <v>2821</v>
      </c>
      <c r="F3076" s="152" t="s">
        <v>289</v>
      </c>
      <c r="G3076" s="152" t="s">
        <v>290</v>
      </c>
      <c r="I3076" s="513">
        <v>547950</v>
      </c>
      <c r="J3076" s="513">
        <v>390</v>
      </c>
      <c r="K3076" s="513">
        <v>1405</v>
      </c>
      <c r="L3076" s="518" t="s">
        <v>3493</v>
      </c>
      <c r="M3076" s="152" t="s">
        <v>1566</v>
      </c>
      <c r="N3076" s="152" t="s">
        <v>1407</v>
      </c>
      <c r="O3076" s="152" t="s">
        <v>5267</v>
      </c>
      <c r="P3076" s="152" t="s">
        <v>4279</v>
      </c>
      <c r="Q3076" s="152" t="s">
        <v>5268</v>
      </c>
      <c r="R3076" s="152" t="s">
        <v>5268</v>
      </c>
      <c r="S3076" s="152" t="s">
        <v>5269</v>
      </c>
      <c r="T3076" s="152" t="s">
        <v>786</v>
      </c>
    </row>
    <row r="3077" spans="3:20">
      <c r="C3077" s="152" t="s">
        <v>2821</v>
      </c>
      <c r="F3077" s="152" t="s">
        <v>289</v>
      </c>
      <c r="G3077" s="152" t="s">
        <v>290</v>
      </c>
      <c r="I3077" s="513">
        <v>547950</v>
      </c>
      <c r="J3077" s="513">
        <v>390</v>
      </c>
      <c r="K3077" s="513">
        <v>1405</v>
      </c>
      <c r="L3077" s="518" t="s">
        <v>3493</v>
      </c>
      <c r="M3077" s="152" t="s">
        <v>1566</v>
      </c>
      <c r="N3077" s="152" t="s">
        <v>1407</v>
      </c>
      <c r="O3077" s="152" t="s">
        <v>5270</v>
      </c>
      <c r="P3077" s="152" t="s">
        <v>4279</v>
      </c>
      <c r="Q3077" s="152" t="s">
        <v>5271</v>
      </c>
      <c r="R3077" s="152" t="s">
        <v>5271</v>
      </c>
      <c r="S3077" s="152" t="s">
        <v>5272</v>
      </c>
      <c r="T3077" s="152" t="s">
        <v>786</v>
      </c>
    </row>
    <row r="3078" spans="3:20">
      <c r="C3078" s="152" t="s">
        <v>2821</v>
      </c>
      <c r="F3078" s="152" t="s">
        <v>289</v>
      </c>
      <c r="G3078" s="152" t="s">
        <v>290</v>
      </c>
      <c r="I3078" s="513">
        <v>365300</v>
      </c>
      <c r="J3078" s="513">
        <v>260</v>
      </c>
      <c r="K3078" s="513">
        <v>1405</v>
      </c>
      <c r="L3078" s="518" t="s">
        <v>3493</v>
      </c>
      <c r="M3078" s="152" t="s">
        <v>1566</v>
      </c>
      <c r="N3078" s="152" t="s">
        <v>1407</v>
      </c>
      <c r="O3078" s="152" t="s">
        <v>5273</v>
      </c>
      <c r="P3078" s="152" t="s">
        <v>4279</v>
      </c>
      <c r="Q3078" s="152" t="s">
        <v>5274</v>
      </c>
      <c r="R3078" s="152" t="s">
        <v>5274</v>
      </c>
      <c r="S3078" s="152" t="s">
        <v>5275</v>
      </c>
      <c r="T3078" s="152" t="s">
        <v>786</v>
      </c>
    </row>
    <row r="3079" spans="3:20">
      <c r="C3079" s="152" t="s">
        <v>2821</v>
      </c>
      <c r="F3079" s="152" t="s">
        <v>289</v>
      </c>
      <c r="G3079" s="152" t="s">
        <v>290</v>
      </c>
      <c r="I3079" s="513">
        <v>365300</v>
      </c>
      <c r="J3079" s="513">
        <v>260</v>
      </c>
      <c r="K3079" s="513">
        <v>1405</v>
      </c>
      <c r="L3079" s="518" t="s">
        <v>3493</v>
      </c>
      <c r="M3079" s="152" t="s">
        <v>1566</v>
      </c>
      <c r="N3079" s="152" t="s">
        <v>1407</v>
      </c>
      <c r="O3079" s="152" t="s">
        <v>5276</v>
      </c>
      <c r="P3079" s="152" t="s">
        <v>4279</v>
      </c>
      <c r="Q3079" s="152" t="s">
        <v>5277</v>
      </c>
      <c r="R3079" s="152" t="s">
        <v>5277</v>
      </c>
      <c r="S3079" s="152" t="s">
        <v>5278</v>
      </c>
      <c r="T3079" s="152" t="s">
        <v>786</v>
      </c>
    </row>
    <row r="3080" spans="3:20">
      <c r="C3080" s="152" t="s">
        <v>2821</v>
      </c>
      <c r="F3080" s="152" t="s">
        <v>289</v>
      </c>
      <c r="G3080" s="152" t="s">
        <v>290</v>
      </c>
      <c r="I3080" s="513">
        <v>365300</v>
      </c>
      <c r="J3080" s="513">
        <v>260</v>
      </c>
      <c r="K3080" s="513">
        <v>1405</v>
      </c>
      <c r="L3080" s="518" t="s">
        <v>3493</v>
      </c>
      <c r="M3080" s="152" t="s">
        <v>1566</v>
      </c>
      <c r="N3080" s="152" t="s">
        <v>1407</v>
      </c>
      <c r="O3080" s="152" t="s">
        <v>5279</v>
      </c>
      <c r="P3080" s="152" t="s">
        <v>4279</v>
      </c>
      <c r="Q3080" s="152" t="s">
        <v>5280</v>
      </c>
      <c r="R3080" s="152" t="s">
        <v>5280</v>
      </c>
      <c r="S3080" s="152" t="s">
        <v>5281</v>
      </c>
      <c r="T3080" s="152" t="s">
        <v>786</v>
      </c>
    </row>
    <row r="3081" spans="3:20">
      <c r="C3081" s="152" t="s">
        <v>2821</v>
      </c>
      <c r="F3081" s="152" t="s">
        <v>289</v>
      </c>
      <c r="G3081" s="152" t="s">
        <v>290</v>
      </c>
      <c r="I3081" s="513">
        <v>365300</v>
      </c>
      <c r="J3081" s="513">
        <v>260</v>
      </c>
      <c r="K3081" s="513">
        <v>1405</v>
      </c>
      <c r="L3081" s="518" t="s">
        <v>3493</v>
      </c>
      <c r="M3081" s="152" t="s">
        <v>1566</v>
      </c>
      <c r="N3081" s="152" t="s">
        <v>1407</v>
      </c>
      <c r="O3081" s="152" t="s">
        <v>5282</v>
      </c>
      <c r="P3081" s="152" t="s">
        <v>4279</v>
      </c>
      <c r="Q3081" s="152" t="s">
        <v>5283</v>
      </c>
      <c r="R3081" s="152" t="s">
        <v>5283</v>
      </c>
      <c r="S3081" s="152" t="s">
        <v>5284</v>
      </c>
      <c r="T3081" s="152" t="s">
        <v>786</v>
      </c>
    </row>
    <row r="3082" spans="3:20">
      <c r="C3082" s="152" t="s">
        <v>2821</v>
      </c>
      <c r="F3082" s="152" t="s">
        <v>289</v>
      </c>
      <c r="G3082" s="152" t="s">
        <v>290</v>
      </c>
      <c r="I3082" s="513">
        <v>547950</v>
      </c>
      <c r="J3082" s="513">
        <v>390</v>
      </c>
      <c r="K3082" s="513">
        <v>1405</v>
      </c>
      <c r="L3082" s="518" t="s">
        <v>3493</v>
      </c>
      <c r="M3082" s="152" t="s">
        <v>1566</v>
      </c>
      <c r="N3082" s="152" t="s">
        <v>1407</v>
      </c>
      <c r="O3082" s="152" t="s">
        <v>5285</v>
      </c>
      <c r="P3082" s="152" t="s">
        <v>4279</v>
      </c>
      <c r="Q3082" s="152" t="s">
        <v>5286</v>
      </c>
      <c r="R3082" s="152" t="s">
        <v>5286</v>
      </c>
      <c r="S3082" s="152" t="s">
        <v>5287</v>
      </c>
      <c r="T3082" s="152" t="s">
        <v>786</v>
      </c>
    </row>
    <row r="3083" spans="3:20">
      <c r="C3083" s="152" t="s">
        <v>2821</v>
      </c>
      <c r="F3083" s="152" t="s">
        <v>289</v>
      </c>
      <c r="G3083" s="152" t="s">
        <v>290</v>
      </c>
      <c r="I3083" s="513">
        <v>547950</v>
      </c>
      <c r="J3083" s="513">
        <v>390</v>
      </c>
      <c r="K3083" s="513">
        <v>1405</v>
      </c>
      <c r="L3083" s="518" t="s">
        <v>3493</v>
      </c>
      <c r="M3083" s="152" t="s">
        <v>1566</v>
      </c>
      <c r="N3083" s="152" t="s">
        <v>1407</v>
      </c>
      <c r="O3083" s="152" t="s">
        <v>5288</v>
      </c>
      <c r="P3083" s="152" t="s">
        <v>4279</v>
      </c>
      <c r="Q3083" s="152" t="s">
        <v>5289</v>
      </c>
      <c r="R3083" s="152" t="s">
        <v>5289</v>
      </c>
      <c r="S3083" s="152" t="s">
        <v>5290</v>
      </c>
      <c r="T3083" s="152" t="s">
        <v>786</v>
      </c>
    </row>
    <row r="3084" spans="3:20">
      <c r="C3084" s="152" t="s">
        <v>2821</v>
      </c>
      <c r="F3084" s="152" t="s">
        <v>289</v>
      </c>
      <c r="G3084" s="152" t="s">
        <v>290</v>
      </c>
      <c r="I3084" s="513">
        <v>547950</v>
      </c>
      <c r="J3084" s="513">
        <v>390</v>
      </c>
      <c r="K3084" s="513">
        <v>1405</v>
      </c>
      <c r="L3084" s="518" t="s">
        <v>3493</v>
      </c>
      <c r="M3084" s="152" t="s">
        <v>1566</v>
      </c>
      <c r="N3084" s="152" t="s">
        <v>1407</v>
      </c>
      <c r="O3084" s="152" t="s">
        <v>5291</v>
      </c>
      <c r="P3084" s="152" t="s">
        <v>4279</v>
      </c>
      <c r="Q3084" s="152" t="s">
        <v>5292</v>
      </c>
      <c r="R3084" s="152" t="s">
        <v>5292</v>
      </c>
      <c r="S3084" s="152" t="s">
        <v>5293</v>
      </c>
      <c r="T3084" s="152" t="s">
        <v>786</v>
      </c>
    </row>
    <row r="3085" spans="3:20">
      <c r="C3085" s="152" t="s">
        <v>2821</v>
      </c>
      <c r="F3085" s="152" t="s">
        <v>289</v>
      </c>
      <c r="G3085" s="152" t="s">
        <v>290</v>
      </c>
      <c r="I3085" s="513">
        <v>547950</v>
      </c>
      <c r="J3085" s="513">
        <v>390</v>
      </c>
      <c r="K3085" s="513">
        <v>1405</v>
      </c>
      <c r="L3085" s="518" t="s">
        <v>3493</v>
      </c>
      <c r="M3085" s="152" t="s">
        <v>1566</v>
      </c>
      <c r="N3085" s="152" t="s">
        <v>1407</v>
      </c>
      <c r="O3085" s="152" t="s">
        <v>5294</v>
      </c>
      <c r="P3085" s="152" t="s">
        <v>4279</v>
      </c>
      <c r="Q3085" s="152" t="s">
        <v>5295</v>
      </c>
      <c r="R3085" s="152" t="s">
        <v>5295</v>
      </c>
      <c r="S3085" s="152" t="s">
        <v>5296</v>
      </c>
      <c r="T3085" s="152" t="s">
        <v>786</v>
      </c>
    </row>
    <row r="3086" spans="3:20">
      <c r="C3086" s="152" t="s">
        <v>2821</v>
      </c>
      <c r="F3086" s="152" t="s">
        <v>289</v>
      </c>
      <c r="G3086" s="152" t="s">
        <v>290</v>
      </c>
      <c r="I3086" s="513">
        <v>547950</v>
      </c>
      <c r="J3086" s="513">
        <v>390</v>
      </c>
      <c r="K3086" s="513">
        <v>1405</v>
      </c>
      <c r="L3086" s="518" t="s">
        <v>3493</v>
      </c>
      <c r="M3086" s="152" t="s">
        <v>1566</v>
      </c>
      <c r="N3086" s="152" t="s">
        <v>1407</v>
      </c>
      <c r="O3086" s="152" t="s">
        <v>5297</v>
      </c>
      <c r="P3086" s="152" t="s">
        <v>4279</v>
      </c>
      <c r="Q3086" s="152" t="s">
        <v>5298</v>
      </c>
      <c r="R3086" s="152" t="s">
        <v>5298</v>
      </c>
      <c r="S3086" s="152" t="s">
        <v>5299</v>
      </c>
      <c r="T3086" s="152" t="s">
        <v>786</v>
      </c>
    </row>
    <row r="3087" spans="3:20">
      <c r="C3087" s="152" t="s">
        <v>2821</v>
      </c>
      <c r="F3087" s="152" t="s">
        <v>289</v>
      </c>
      <c r="G3087" s="152" t="s">
        <v>290</v>
      </c>
      <c r="I3087" s="513">
        <v>547950</v>
      </c>
      <c r="J3087" s="513">
        <v>390</v>
      </c>
      <c r="K3087" s="513">
        <v>1405</v>
      </c>
      <c r="L3087" s="518" t="s">
        <v>3493</v>
      </c>
      <c r="M3087" s="152" t="s">
        <v>1566</v>
      </c>
      <c r="N3087" s="152" t="s">
        <v>1407</v>
      </c>
      <c r="O3087" s="152" t="s">
        <v>5300</v>
      </c>
      <c r="P3087" s="152" t="s">
        <v>4279</v>
      </c>
      <c r="Q3087" s="152" t="s">
        <v>5301</v>
      </c>
      <c r="R3087" s="152" t="s">
        <v>5301</v>
      </c>
      <c r="S3087" s="152" t="s">
        <v>5302</v>
      </c>
      <c r="T3087" s="152" t="s">
        <v>786</v>
      </c>
    </row>
    <row r="3088" spans="3:20">
      <c r="C3088" s="152" t="s">
        <v>2821</v>
      </c>
      <c r="F3088" s="152" t="s">
        <v>289</v>
      </c>
      <c r="G3088" s="152" t="s">
        <v>290</v>
      </c>
      <c r="I3088" s="513">
        <v>456625</v>
      </c>
      <c r="J3088" s="513">
        <v>325</v>
      </c>
      <c r="K3088" s="513">
        <v>1405</v>
      </c>
      <c r="L3088" s="518" t="s">
        <v>3493</v>
      </c>
      <c r="M3088" s="152" t="s">
        <v>1566</v>
      </c>
      <c r="N3088" s="152" t="s">
        <v>1407</v>
      </c>
      <c r="O3088" s="152" t="s">
        <v>5303</v>
      </c>
      <c r="P3088" s="152" t="s">
        <v>4279</v>
      </c>
      <c r="Q3088" s="152" t="s">
        <v>5304</v>
      </c>
      <c r="R3088" s="152" t="s">
        <v>5304</v>
      </c>
      <c r="S3088" s="152" t="s">
        <v>5305</v>
      </c>
      <c r="T3088" s="152" t="s">
        <v>786</v>
      </c>
    </row>
    <row r="3089" spans="3:20">
      <c r="C3089" s="152" t="s">
        <v>2821</v>
      </c>
      <c r="F3089" s="152" t="s">
        <v>289</v>
      </c>
      <c r="G3089" s="152" t="s">
        <v>290</v>
      </c>
      <c r="I3089" s="513">
        <v>456625</v>
      </c>
      <c r="J3089" s="513">
        <v>325</v>
      </c>
      <c r="K3089" s="513">
        <v>1405</v>
      </c>
      <c r="L3089" s="518" t="s">
        <v>3493</v>
      </c>
      <c r="M3089" s="152" t="s">
        <v>1566</v>
      </c>
      <c r="N3089" s="152" t="s">
        <v>1407</v>
      </c>
      <c r="O3089" s="152" t="s">
        <v>5306</v>
      </c>
      <c r="P3089" s="152" t="s">
        <v>4279</v>
      </c>
      <c r="Q3089" s="152" t="s">
        <v>5307</v>
      </c>
      <c r="R3089" s="152" t="s">
        <v>5307</v>
      </c>
      <c r="S3089" s="152" t="s">
        <v>5308</v>
      </c>
      <c r="T3089" s="152" t="s">
        <v>786</v>
      </c>
    </row>
    <row r="3090" spans="3:20">
      <c r="C3090" s="152" t="s">
        <v>2821</v>
      </c>
      <c r="F3090" s="152" t="s">
        <v>289</v>
      </c>
      <c r="G3090" s="152" t="s">
        <v>290</v>
      </c>
      <c r="I3090" s="513">
        <v>456625</v>
      </c>
      <c r="J3090" s="513">
        <v>325</v>
      </c>
      <c r="K3090" s="513">
        <v>1405</v>
      </c>
      <c r="L3090" s="518" t="s">
        <v>3493</v>
      </c>
      <c r="M3090" s="152" t="s">
        <v>1566</v>
      </c>
      <c r="N3090" s="152" t="s">
        <v>1407</v>
      </c>
      <c r="O3090" s="152" t="s">
        <v>5309</v>
      </c>
      <c r="P3090" s="152" t="s">
        <v>4279</v>
      </c>
      <c r="Q3090" s="152" t="s">
        <v>5310</v>
      </c>
      <c r="R3090" s="152" t="s">
        <v>5310</v>
      </c>
      <c r="S3090" s="152" t="s">
        <v>5311</v>
      </c>
      <c r="T3090" s="152" t="s">
        <v>786</v>
      </c>
    </row>
    <row r="3091" spans="3:20">
      <c r="C3091" s="152" t="s">
        <v>2821</v>
      </c>
      <c r="F3091" s="152" t="s">
        <v>289</v>
      </c>
      <c r="G3091" s="152" t="s">
        <v>290</v>
      </c>
      <c r="I3091" s="513">
        <v>730600</v>
      </c>
      <c r="J3091" s="513">
        <v>520</v>
      </c>
      <c r="K3091" s="513">
        <v>1405</v>
      </c>
      <c r="L3091" s="518" t="s">
        <v>3493</v>
      </c>
      <c r="M3091" s="152" t="s">
        <v>1566</v>
      </c>
      <c r="N3091" s="152" t="s">
        <v>1407</v>
      </c>
      <c r="O3091" s="152" t="s">
        <v>5312</v>
      </c>
      <c r="P3091" s="152" t="s">
        <v>4279</v>
      </c>
      <c r="Q3091" s="152" t="s">
        <v>5313</v>
      </c>
      <c r="R3091" s="152" t="s">
        <v>5313</v>
      </c>
      <c r="S3091" s="152" t="s">
        <v>5314</v>
      </c>
      <c r="T3091" s="152" t="s">
        <v>786</v>
      </c>
    </row>
    <row r="3092" spans="3:20">
      <c r="C3092" s="152" t="s">
        <v>2821</v>
      </c>
      <c r="F3092" s="152" t="s">
        <v>289</v>
      </c>
      <c r="G3092" s="152" t="s">
        <v>290</v>
      </c>
      <c r="I3092" s="513">
        <v>730600</v>
      </c>
      <c r="J3092" s="513">
        <v>520</v>
      </c>
      <c r="K3092" s="513">
        <v>1405</v>
      </c>
      <c r="L3092" s="518" t="s">
        <v>3493</v>
      </c>
      <c r="M3092" s="152" t="s">
        <v>1566</v>
      </c>
      <c r="N3092" s="152" t="s">
        <v>1407</v>
      </c>
      <c r="O3092" s="152" t="s">
        <v>5315</v>
      </c>
      <c r="P3092" s="152" t="s">
        <v>4279</v>
      </c>
      <c r="Q3092" s="152" t="s">
        <v>5316</v>
      </c>
      <c r="R3092" s="152" t="s">
        <v>5316</v>
      </c>
      <c r="S3092" s="152" t="s">
        <v>5317</v>
      </c>
      <c r="T3092" s="152" t="s">
        <v>786</v>
      </c>
    </row>
    <row r="3093" spans="3:20">
      <c r="C3093" s="152" t="s">
        <v>2821</v>
      </c>
      <c r="F3093" s="152" t="s">
        <v>289</v>
      </c>
      <c r="G3093" s="152" t="s">
        <v>290</v>
      </c>
      <c r="I3093" s="513">
        <v>730600</v>
      </c>
      <c r="J3093" s="513">
        <v>520</v>
      </c>
      <c r="K3093" s="513">
        <v>1405</v>
      </c>
      <c r="L3093" s="518" t="s">
        <v>3493</v>
      </c>
      <c r="M3093" s="152" t="s">
        <v>1566</v>
      </c>
      <c r="N3093" s="152" t="s">
        <v>1407</v>
      </c>
      <c r="O3093" s="152" t="s">
        <v>5318</v>
      </c>
      <c r="P3093" s="152" t="s">
        <v>4279</v>
      </c>
      <c r="Q3093" s="152" t="s">
        <v>5319</v>
      </c>
      <c r="R3093" s="152" t="s">
        <v>5319</v>
      </c>
      <c r="S3093" s="152" t="s">
        <v>5320</v>
      </c>
      <c r="T3093" s="152" t="s">
        <v>786</v>
      </c>
    </row>
    <row r="3094" spans="3:20">
      <c r="C3094" s="152" t="s">
        <v>2821</v>
      </c>
      <c r="F3094" s="152" t="s">
        <v>289</v>
      </c>
      <c r="G3094" s="152" t="s">
        <v>290</v>
      </c>
      <c r="I3094" s="513">
        <v>730600</v>
      </c>
      <c r="J3094" s="513">
        <v>520</v>
      </c>
      <c r="K3094" s="513">
        <v>1405</v>
      </c>
      <c r="L3094" s="518" t="s">
        <v>3493</v>
      </c>
      <c r="M3094" s="152" t="s">
        <v>1566</v>
      </c>
      <c r="N3094" s="152" t="s">
        <v>1407</v>
      </c>
      <c r="O3094" s="152" t="s">
        <v>5321</v>
      </c>
      <c r="P3094" s="152" t="s">
        <v>4279</v>
      </c>
      <c r="Q3094" s="152" t="s">
        <v>5322</v>
      </c>
      <c r="R3094" s="152" t="s">
        <v>5322</v>
      </c>
      <c r="S3094" s="152" t="s">
        <v>5323</v>
      </c>
      <c r="T3094" s="152" t="s">
        <v>786</v>
      </c>
    </row>
    <row r="3095" spans="3:20">
      <c r="C3095" s="152" t="s">
        <v>2821</v>
      </c>
      <c r="F3095" s="152" t="s">
        <v>289</v>
      </c>
      <c r="G3095" s="152" t="s">
        <v>290</v>
      </c>
      <c r="I3095" s="513">
        <v>-311300</v>
      </c>
      <c r="J3095" s="513">
        <v>-220</v>
      </c>
      <c r="K3095" s="513">
        <v>1415</v>
      </c>
      <c r="L3095" s="518" t="s">
        <v>3511</v>
      </c>
      <c r="M3095" s="152" t="s">
        <v>1566</v>
      </c>
      <c r="N3095" s="152" t="s">
        <v>1407</v>
      </c>
      <c r="O3095" s="152" t="s">
        <v>5324</v>
      </c>
      <c r="P3095" s="152" t="s">
        <v>4279</v>
      </c>
      <c r="Q3095" s="152" t="s">
        <v>5325</v>
      </c>
      <c r="R3095" s="152" t="s">
        <v>5325</v>
      </c>
      <c r="S3095" s="152" t="s">
        <v>5326</v>
      </c>
      <c r="T3095" s="152" t="s">
        <v>786</v>
      </c>
    </row>
    <row r="3096" spans="3:20">
      <c r="C3096" s="152" t="s">
        <v>2821</v>
      </c>
      <c r="F3096" s="152" t="s">
        <v>295</v>
      </c>
      <c r="G3096" s="152" t="s">
        <v>296</v>
      </c>
      <c r="I3096" s="513">
        <v>-4229400</v>
      </c>
      <c r="J3096" s="513">
        <v>-2968</v>
      </c>
      <c r="K3096" s="513">
        <v>1425</v>
      </c>
      <c r="L3096" s="518" t="s">
        <v>3637</v>
      </c>
      <c r="M3096" s="152" t="s">
        <v>1566</v>
      </c>
      <c r="N3096" s="152" t="s">
        <v>1407</v>
      </c>
      <c r="O3096" s="152" t="s">
        <v>4256</v>
      </c>
      <c r="P3096" s="152" t="s">
        <v>1881</v>
      </c>
      <c r="Q3096" s="152" t="s">
        <v>4257</v>
      </c>
      <c r="R3096" s="152" t="s">
        <v>4258</v>
      </c>
      <c r="S3096" s="152" t="s">
        <v>4259</v>
      </c>
      <c r="T3096" s="152" t="s">
        <v>786</v>
      </c>
    </row>
    <row r="3097" spans="3:20">
      <c r="C3097" s="152" t="s">
        <v>2821</v>
      </c>
      <c r="F3097" s="152" t="s">
        <v>295</v>
      </c>
      <c r="G3097" s="152" t="s">
        <v>296</v>
      </c>
      <c r="I3097" s="513">
        <v>-4229400</v>
      </c>
      <c r="J3097" s="513">
        <v>-2968</v>
      </c>
      <c r="K3097" s="513">
        <v>1425</v>
      </c>
      <c r="L3097" s="518" t="s">
        <v>3637</v>
      </c>
      <c r="M3097" s="152" t="s">
        <v>1566</v>
      </c>
      <c r="N3097" s="152" t="s">
        <v>1407</v>
      </c>
      <c r="O3097" s="152" t="s">
        <v>4260</v>
      </c>
      <c r="P3097" s="152" t="s">
        <v>1881</v>
      </c>
      <c r="Q3097" s="152" t="s">
        <v>4261</v>
      </c>
      <c r="R3097" s="152" t="s">
        <v>4258</v>
      </c>
      <c r="S3097" s="152" t="s">
        <v>4262</v>
      </c>
      <c r="T3097" s="152" t="s">
        <v>786</v>
      </c>
    </row>
    <row r="3098" spans="3:20">
      <c r="C3098" s="152" t="s">
        <v>2821</v>
      </c>
      <c r="F3098" s="152" t="s">
        <v>295</v>
      </c>
      <c r="G3098" s="152" t="s">
        <v>296</v>
      </c>
      <c r="I3098" s="513">
        <v>-4078350</v>
      </c>
      <c r="J3098" s="513">
        <v>-2862</v>
      </c>
      <c r="K3098" s="513">
        <v>1425</v>
      </c>
      <c r="L3098" s="518" t="s">
        <v>3637</v>
      </c>
      <c r="M3098" s="152" t="s">
        <v>1566</v>
      </c>
      <c r="N3098" s="152" t="s">
        <v>1407</v>
      </c>
      <c r="O3098" s="152" t="s">
        <v>4263</v>
      </c>
      <c r="P3098" s="152" t="s">
        <v>1881</v>
      </c>
      <c r="Q3098" s="152" t="s">
        <v>4264</v>
      </c>
      <c r="R3098" s="152" t="s">
        <v>4258</v>
      </c>
      <c r="S3098" s="152" t="s">
        <v>4265</v>
      </c>
      <c r="T3098" s="152" t="s">
        <v>786</v>
      </c>
    </row>
    <row r="3099" spans="3:20">
      <c r="C3099" s="152" t="s">
        <v>2821</v>
      </c>
      <c r="F3099" s="152" t="s">
        <v>295</v>
      </c>
      <c r="G3099" s="152" t="s">
        <v>296</v>
      </c>
      <c r="I3099" s="513">
        <v>-3889537.5</v>
      </c>
      <c r="J3099" s="513">
        <v>-2729.5</v>
      </c>
      <c r="K3099" s="513">
        <v>1425</v>
      </c>
      <c r="L3099" s="518" t="s">
        <v>3637</v>
      </c>
      <c r="M3099" s="152" t="s">
        <v>1566</v>
      </c>
      <c r="N3099" s="152" t="s">
        <v>1407</v>
      </c>
      <c r="O3099" s="152" t="s">
        <v>4266</v>
      </c>
      <c r="P3099" s="152" t="s">
        <v>1881</v>
      </c>
      <c r="Q3099" s="152" t="s">
        <v>4267</v>
      </c>
      <c r="R3099" s="152" t="s">
        <v>4258</v>
      </c>
      <c r="S3099" s="152" t="s">
        <v>4268</v>
      </c>
      <c r="T3099" s="152" t="s">
        <v>786</v>
      </c>
    </row>
    <row r="3100" spans="3:20">
      <c r="C3100" s="152" t="s">
        <v>2821</v>
      </c>
      <c r="F3100" s="152" t="s">
        <v>295</v>
      </c>
      <c r="G3100" s="152" t="s">
        <v>296</v>
      </c>
      <c r="I3100" s="513">
        <v>-1925887.5</v>
      </c>
      <c r="J3100" s="513">
        <v>-1351.5</v>
      </c>
      <c r="K3100" s="513">
        <v>1425</v>
      </c>
      <c r="L3100" s="518" t="s">
        <v>3637</v>
      </c>
      <c r="M3100" s="152" t="s">
        <v>1566</v>
      </c>
      <c r="N3100" s="152" t="s">
        <v>1407</v>
      </c>
      <c r="O3100" s="152" t="s">
        <v>4269</v>
      </c>
      <c r="P3100" s="152" t="s">
        <v>1881</v>
      </c>
      <c r="Q3100" s="152" t="s">
        <v>4270</v>
      </c>
      <c r="R3100" s="152" t="s">
        <v>4258</v>
      </c>
      <c r="S3100" s="152" t="s">
        <v>4271</v>
      </c>
      <c r="T3100" s="152" t="s">
        <v>786</v>
      </c>
    </row>
    <row r="3101" spans="3:20">
      <c r="C3101" s="152" t="s">
        <v>2821</v>
      </c>
      <c r="F3101" s="152" t="s">
        <v>295</v>
      </c>
      <c r="G3101" s="152" t="s">
        <v>296</v>
      </c>
      <c r="I3101" s="513">
        <v>-8572087.5</v>
      </c>
      <c r="J3101" s="513">
        <v>-6015.5</v>
      </c>
      <c r="K3101" s="513">
        <v>1425</v>
      </c>
      <c r="L3101" s="518" t="s">
        <v>3637</v>
      </c>
      <c r="M3101" s="152" t="s">
        <v>1566</v>
      </c>
      <c r="N3101" s="152" t="s">
        <v>1407</v>
      </c>
      <c r="O3101" s="152" t="s">
        <v>4272</v>
      </c>
      <c r="P3101" s="152" t="s">
        <v>1881</v>
      </c>
      <c r="Q3101" s="152" t="s">
        <v>4273</v>
      </c>
      <c r="R3101" s="152" t="s">
        <v>4258</v>
      </c>
      <c r="S3101" s="152" t="s">
        <v>4274</v>
      </c>
      <c r="T3101" s="152" t="s">
        <v>786</v>
      </c>
    </row>
    <row r="3102" spans="3:20">
      <c r="C3102" s="152" t="s">
        <v>2821</v>
      </c>
      <c r="F3102" s="152" t="s">
        <v>295</v>
      </c>
      <c r="G3102" s="152" t="s">
        <v>296</v>
      </c>
      <c r="I3102" s="513">
        <v>-3776250</v>
      </c>
      <c r="J3102" s="513">
        <v>-2650</v>
      </c>
      <c r="K3102" s="513">
        <v>1425</v>
      </c>
      <c r="L3102" s="518" t="s">
        <v>3637</v>
      </c>
      <c r="M3102" s="152" t="s">
        <v>1566</v>
      </c>
      <c r="N3102" s="152" t="s">
        <v>1407</v>
      </c>
      <c r="O3102" s="152" t="s">
        <v>4275</v>
      </c>
      <c r="P3102" s="152" t="s">
        <v>1881</v>
      </c>
      <c r="Q3102" s="152" t="s">
        <v>4276</v>
      </c>
      <c r="R3102" s="152" t="s">
        <v>4258</v>
      </c>
      <c r="S3102" s="152" t="s">
        <v>4277</v>
      </c>
      <c r="T3102" s="152" t="s">
        <v>786</v>
      </c>
    </row>
    <row r="3103" spans="3:20">
      <c r="C3103" s="152" t="s">
        <v>2821</v>
      </c>
      <c r="F3103" s="152" t="s">
        <v>295</v>
      </c>
      <c r="G3103" s="152" t="s">
        <v>296</v>
      </c>
      <c r="I3103" s="513">
        <v>-5005000</v>
      </c>
      <c r="J3103" s="513">
        <v>-3575</v>
      </c>
      <c r="K3103" s="513">
        <v>1400</v>
      </c>
      <c r="L3103" s="518" t="s">
        <v>3659</v>
      </c>
      <c r="M3103" s="152" t="s">
        <v>1566</v>
      </c>
      <c r="N3103" s="152" t="s">
        <v>1407</v>
      </c>
      <c r="O3103" s="152" t="s">
        <v>4278</v>
      </c>
      <c r="P3103" s="152" t="s">
        <v>4279</v>
      </c>
      <c r="Q3103" s="152" t="s">
        <v>4280</v>
      </c>
      <c r="R3103" s="152" t="s">
        <v>4281</v>
      </c>
      <c r="S3103" s="152" t="s">
        <v>4282</v>
      </c>
      <c r="T3103" s="152" t="s">
        <v>786</v>
      </c>
    </row>
    <row r="3104" spans="3:20">
      <c r="C3104" s="152" t="s">
        <v>2821</v>
      </c>
      <c r="F3104" s="152" t="s">
        <v>295</v>
      </c>
      <c r="G3104" s="152" t="s">
        <v>296</v>
      </c>
      <c r="I3104" s="513">
        <v>-4620000</v>
      </c>
      <c r="J3104" s="513">
        <v>-3300</v>
      </c>
      <c r="K3104" s="513">
        <v>1400</v>
      </c>
      <c r="L3104" s="518" t="s">
        <v>3659</v>
      </c>
      <c r="M3104" s="152" t="s">
        <v>1566</v>
      </c>
      <c r="N3104" s="152" t="s">
        <v>1407</v>
      </c>
      <c r="O3104" s="152" t="s">
        <v>4283</v>
      </c>
      <c r="P3104" s="152" t="s">
        <v>4279</v>
      </c>
      <c r="Q3104" s="152" t="s">
        <v>4284</v>
      </c>
      <c r="R3104" s="152" t="s">
        <v>4281</v>
      </c>
      <c r="S3104" s="152" t="s">
        <v>4285</v>
      </c>
      <c r="T3104" s="152" t="s">
        <v>786</v>
      </c>
    </row>
    <row r="3105" spans="3:20">
      <c r="C3105" s="152" t="s">
        <v>2821</v>
      </c>
      <c r="F3105" s="152" t="s">
        <v>295</v>
      </c>
      <c r="G3105" s="152" t="s">
        <v>296</v>
      </c>
      <c r="I3105" s="513">
        <v>-5274500</v>
      </c>
      <c r="J3105" s="513">
        <v>-3767.5</v>
      </c>
      <c r="K3105" s="513">
        <v>1400</v>
      </c>
      <c r="L3105" s="518" t="s">
        <v>3659</v>
      </c>
      <c r="M3105" s="152" t="s">
        <v>1566</v>
      </c>
      <c r="N3105" s="152" t="s">
        <v>1407</v>
      </c>
      <c r="O3105" s="152" t="s">
        <v>4286</v>
      </c>
      <c r="P3105" s="152" t="s">
        <v>4279</v>
      </c>
      <c r="Q3105" s="152" t="s">
        <v>4287</v>
      </c>
      <c r="R3105" s="152" t="s">
        <v>4281</v>
      </c>
      <c r="S3105" s="152" t="s">
        <v>4288</v>
      </c>
      <c r="T3105" s="152" t="s">
        <v>786</v>
      </c>
    </row>
    <row r="3106" spans="3:20">
      <c r="C3106" s="152" t="s">
        <v>2821</v>
      </c>
      <c r="F3106" s="152" t="s">
        <v>295</v>
      </c>
      <c r="G3106" s="152" t="s">
        <v>296</v>
      </c>
      <c r="I3106" s="513">
        <v>-6297912.5</v>
      </c>
      <c r="J3106" s="513">
        <v>-4482.5</v>
      </c>
      <c r="K3106" s="513">
        <v>1405</v>
      </c>
      <c r="L3106" s="518" t="s">
        <v>3493</v>
      </c>
      <c r="M3106" s="152" t="s">
        <v>1566</v>
      </c>
      <c r="N3106" s="152" t="s">
        <v>1407</v>
      </c>
      <c r="O3106" s="152" t="s">
        <v>4289</v>
      </c>
      <c r="P3106" s="152" t="s">
        <v>4279</v>
      </c>
      <c r="Q3106" s="152" t="s">
        <v>4290</v>
      </c>
      <c r="R3106" s="152" t="s">
        <v>4291</v>
      </c>
      <c r="S3106" s="152" t="s">
        <v>4292</v>
      </c>
      <c r="T3106" s="152" t="s">
        <v>786</v>
      </c>
    </row>
    <row r="3107" spans="3:20">
      <c r="C3107" s="152" t="s">
        <v>2821</v>
      </c>
      <c r="F3107" s="152" t="s">
        <v>295</v>
      </c>
      <c r="G3107" s="152" t="s">
        <v>296</v>
      </c>
      <c r="I3107" s="513">
        <v>-4559225</v>
      </c>
      <c r="J3107" s="513">
        <v>-3245</v>
      </c>
      <c r="K3107" s="513">
        <v>1405</v>
      </c>
      <c r="L3107" s="518" t="s">
        <v>3493</v>
      </c>
      <c r="M3107" s="152" t="s">
        <v>1566</v>
      </c>
      <c r="N3107" s="152" t="s">
        <v>1407</v>
      </c>
      <c r="O3107" s="152" t="s">
        <v>4293</v>
      </c>
      <c r="P3107" s="152" t="s">
        <v>4279</v>
      </c>
      <c r="Q3107" s="152" t="s">
        <v>4294</v>
      </c>
      <c r="R3107" s="152" t="s">
        <v>4291</v>
      </c>
      <c r="S3107" s="152" t="s">
        <v>4295</v>
      </c>
      <c r="T3107" s="152" t="s">
        <v>786</v>
      </c>
    </row>
    <row r="3108" spans="3:20">
      <c r="C3108" s="152" t="s">
        <v>2821</v>
      </c>
      <c r="F3108" s="152" t="s">
        <v>295</v>
      </c>
      <c r="G3108" s="152" t="s">
        <v>296</v>
      </c>
      <c r="I3108" s="513">
        <v>-6182000</v>
      </c>
      <c r="J3108" s="513">
        <v>-4400</v>
      </c>
      <c r="K3108" s="513">
        <v>1405</v>
      </c>
      <c r="L3108" s="518" t="s">
        <v>3493</v>
      </c>
      <c r="M3108" s="152" t="s">
        <v>1566</v>
      </c>
      <c r="N3108" s="152" t="s">
        <v>1407</v>
      </c>
      <c r="O3108" s="152" t="s">
        <v>4296</v>
      </c>
      <c r="P3108" s="152" t="s">
        <v>4279</v>
      </c>
      <c r="Q3108" s="152" t="s">
        <v>4297</v>
      </c>
      <c r="R3108" s="152" t="s">
        <v>4291</v>
      </c>
      <c r="S3108" s="152" t="s">
        <v>4298</v>
      </c>
      <c r="T3108" s="152" t="s">
        <v>786</v>
      </c>
    </row>
    <row r="3109" spans="3:20">
      <c r="C3109" s="152" t="s">
        <v>2821</v>
      </c>
      <c r="F3109" s="152" t="s">
        <v>295</v>
      </c>
      <c r="G3109" s="152" t="s">
        <v>296</v>
      </c>
      <c r="I3109" s="513">
        <v>-5409250</v>
      </c>
      <c r="J3109" s="513">
        <v>-3850</v>
      </c>
      <c r="K3109" s="513">
        <v>1405</v>
      </c>
      <c r="L3109" s="518" t="s">
        <v>3493</v>
      </c>
      <c r="M3109" s="152" t="s">
        <v>1566</v>
      </c>
      <c r="N3109" s="152" t="s">
        <v>1407</v>
      </c>
      <c r="O3109" s="152" t="s">
        <v>4299</v>
      </c>
      <c r="P3109" s="152" t="s">
        <v>4279</v>
      </c>
      <c r="Q3109" s="152" t="s">
        <v>4300</v>
      </c>
      <c r="R3109" s="152" t="s">
        <v>4291</v>
      </c>
      <c r="S3109" s="152" t="s">
        <v>4301</v>
      </c>
      <c r="T3109" s="152" t="s">
        <v>786</v>
      </c>
    </row>
    <row r="3110" spans="3:20">
      <c r="C3110" s="152" t="s">
        <v>2821</v>
      </c>
      <c r="F3110" s="152" t="s">
        <v>295</v>
      </c>
      <c r="G3110" s="152" t="s">
        <v>296</v>
      </c>
      <c r="I3110" s="513">
        <v>-4110150</v>
      </c>
      <c r="J3110" s="513">
        <v>-2915</v>
      </c>
      <c r="K3110" s="513">
        <v>1410</v>
      </c>
      <c r="L3110" s="518" t="s">
        <v>3498</v>
      </c>
      <c r="M3110" s="152" t="s">
        <v>1566</v>
      </c>
      <c r="N3110" s="152" t="s">
        <v>1407</v>
      </c>
      <c r="O3110" s="152" t="s">
        <v>4302</v>
      </c>
      <c r="P3110" s="152" t="s">
        <v>4279</v>
      </c>
      <c r="Q3110" s="152" t="s">
        <v>4303</v>
      </c>
      <c r="R3110" s="152" t="s">
        <v>4304</v>
      </c>
      <c r="S3110" s="152" t="s">
        <v>4305</v>
      </c>
      <c r="T3110" s="152" t="s">
        <v>786</v>
      </c>
    </row>
    <row r="3111" spans="3:20">
      <c r="C3111" s="152" t="s">
        <v>2821</v>
      </c>
      <c r="F3111" s="152" t="s">
        <v>295</v>
      </c>
      <c r="G3111" s="152" t="s">
        <v>296</v>
      </c>
      <c r="I3111" s="513">
        <v>-4304025</v>
      </c>
      <c r="J3111" s="513">
        <v>-3052.5</v>
      </c>
      <c r="K3111" s="513">
        <v>1410</v>
      </c>
      <c r="L3111" s="518" t="s">
        <v>3498</v>
      </c>
      <c r="M3111" s="152" t="s">
        <v>1566</v>
      </c>
      <c r="N3111" s="152" t="s">
        <v>1407</v>
      </c>
      <c r="O3111" s="152" t="s">
        <v>4306</v>
      </c>
      <c r="P3111" s="152" t="s">
        <v>4279</v>
      </c>
      <c r="Q3111" s="152" t="s">
        <v>4307</v>
      </c>
      <c r="R3111" s="152" t="s">
        <v>4304</v>
      </c>
      <c r="S3111" s="152" t="s">
        <v>4308</v>
      </c>
      <c r="T3111" s="152" t="s">
        <v>786</v>
      </c>
    </row>
    <row r="3112" spans="3:20">
      <c r="C3112" s="152" t="s">
        <v>2821</v>
      </c>
      <c r="F3112" s="152" t="s">
        <v>295</v>
      </c>
      <c r="G3112" s="152" t="s">
        <v>296</v>
      </c>
      <c r="I3112" s="513">
        <v>-3063225</v>
      </c>
      <c r="J3112" s="513">
        <v>-2172.5</v>
      </c>
      <c r="K3112" s="513">
        <v>1410</v>
      </c>
      <c r="L3112" s="518" t="s">
        <v>3498</v>
      </c>
      <c r="M3112" s="152" t="s">
        <v>1566</v>
      </c>
      <c r="N3112" s="152" t="s">
        <v>1407</v>
      </c>
      <c r="O3112" s="152" t="s">
        <v>4311</v>
      </c>
      <c r="P3112" s="152" t="s">
        <v>4279</v>
      </c>
      <c r="Q3112" s="152" t="s">
        <v>4312</v>
      </c>
      <c r="R3112" s="152" t="s">
        <v>4304</v>
      </c>
      <c r="S3112" s="152" t="s">
        <v>4313</v>
      </c>
      <c r="T3112" s="152" t="s">
        <v>786</v>
      </c>
    </row>
    <row r="3113" spans="3:20">
      <c r="C3113" s="152" t="s">
        <v>2821</v>
      </c>
      <c r="F3113" s="152" t="s">
        <v>295</v>
      </c>
      <c r="G3113" s="152" t="s">
        <v>296</v>
      </c>
      <c r="I3113" s="513">
        <v>-3761175</v>
      </c>
      <c r="J3113" s="513">
        <v>-2667.5</v>
      </c>
      <c r="K3113" s="513">
        <v>1410</v>
      </c>
      <c r="L3113" s="518" t="s">
        <v>3498</v>
      </c>
      <c r="M3113" s="152" t="s">
        <v>1566</v>
      </c>
      <c r="N3113" s="152" t="s">
        <v>1407</v>
      </c>
      <c r="O3113" s="152" t="s">
        <v>4314</v>
      </c>
      <c r="P3113" s="152" t="s">
        <v>4279</v>
      </c>
      <c r="Q3113" s="152" t="s">
        <v>4315</v>
      </c>
      <c r="R3113" s="152" t="s">
        <v>4304</v>
      </c>
      <c r="S3113" s="152" t="s">
        <v>4316</v>
      </c>
      <c r="T3113" s="152" t="s">
        <v>786</v>
      </c>
    </row>
    <row r="3114" spans="3:20">
      <c r="C3114" s="152" t="s">
        <v>2821</v>
      </c>
      <c r="F3114" s="152" t="s">
        <v>295</v>
      </c>
      <c r="G3114" s="152" t="s">
        <v>296</v>
      </c>
      <c r="I3114" s="513">
        <v>-5061512.5</v>
      </c>
      <c r="J3114" s="513">
        <v>-3602.5</v>
      </c>
      <c r="K3114" s="513">
        <v>1405</v>
      </c>
      <c r="L3114" s="518" t="s">
        <v>3493</v>
      </c>
      <c r="M3114" s="152" t="s">
        <v>1566</v>
      </c>
      <c r="N3114" s="152" t="s">
        <v>1407</v>
      </c>
      <c r="O3114" s="152" t="s">
        <v>4321</v>
      </c>
      <c r="P3114" s="152" t="s">
        <v>4279</v>
      </c>
      <c r="Q3114" s="152" t="s">
        <v>4322</v>
      </c>
      <c r="R3114" s="152" t="s">
        <v>4323</v>
      </c>
      <c r="S3114" s="152" t="s">
        <v>4324</v>
      </c>
      <c r="T3114" s="152" t="s">
        <v>786</v>
      </c>
    </row>
    <row r="3115" spans="3:20">
      <c r="C3115" s="152" t="s">
        <v>2821</v>
      </c>
      <c r="F3115" s="152" t="s">
        <v>295</v>
      </c>
      <c r="G3115" s="152" t="s">
        <v>296</v>
      </c>
      <c r="I3115" s="513">
        <v>-4443312.5</v>
      </c>
      <c r="J3115" s="513">
        <v>-3162.5</v>
      </c>
      <c r="K3115" s="513">
        <v>1405</v>
      </c>
      <c r="L3115" s="518" t="s">
        <v>3493</v>
      </c>
      <c r="M3115" s="152" t="s">
        <v>1566</v>
      </c>
      <c r="N3115" s="152" t="s">
        <v>1407</v>
      </c>
      <c r="O3115" s="152" t="s">
        <v>4325</v>
      </c>
      <c r="P3115" s="152" t="s">
        <v>4279</v>
      </c>
      <c r="Q3115" s="152" t="s">
        <v>4326</v>
      </c>
      <c r="R3115" s="152" t="s">
        <v>4323</v>
      </c>
      <c r="S3115" s="152" t="s">
        <v>4327</v>
      </c>
      <c r="T3115" s="152" t="s">
        <v>786</v>
      </c>
    </row>
    <row r="3116" spans="3:20">
      <c r="C3116" s="152" t="s">
        <v>2821</v>
      </c>
      <c r="F3116" s="152" t="s">
        <v>295</v>
      </c>
      <c r="G3116" s="152" t="s">
        <v>296</v>
      </c>
      <c r="I3116" s="513">
        <v>-5022875</v>
      </c>
      <c r="J3116" s="513">
        <v>-3575</v>
      </c>
      <c r="K3116" s="513">
        <v>1405</v>
      </c>
      <c r="L3116" s="518" t="s">
        <v>3493</v>
      </c>
      <c r="M3116" s="152" t="s">
        <v>1566</v>
      </c>
      <c r="N3116" s="152" t="s">
        <v>1407</v>
      </c>
      <c r="O3116" s="152" t="s">
        <v>4328</v>
      </c>
      <c r="P3116" s="152" t="s">
        <v>4279</v>
      </c>
      <c r="Q3116" s="152" t="s">
        <v>4329</v>
      </c>
      <c r="R3116" s="152" t="s">
        <v>4323</v>
      </c>
      <c r="S3116" s="152" t="s">
        <v>4330</v>
      </c>
      <c r="T3116" s="152" t="s">
        <v>786</v>
      </c>
    </row>
    <row r="3117" spans="3:20">
      <c r="C3117" s="152" t="s">
        <v>2821</v>
      </c>
      <c r="F3117" s="152" t="s">
        <v>295</v>
      </c>
      <c r="G3117" s="152" t="s">
        <v>296</v>
      </c>
      <c r="I3117" s="513">
        <v>-3438737.5</v>
      </c>
      <c r="J3117" s="513">
        <v>-2447.5</v>
      </c>
      <c r="K3117" s="513">
        <v>1405</v>
      </c>
      <c r="L3117" s="518" t="s">
        <v>3493</v>
      </c>
      <c r="M3117" s="152" t="s">
        <v>1566</v>
      </c>
      <c r="N3117" s="152" t="s">
        <v>1407</v>
      </c>
      <c r="O3117" s="152" t="s">
        <v>4331</v>
      </c>
      <c r="P3117" s="152" t="s">
        <v>4279</v>
      </c>
      <c r="Q3117" s="152" t="s">
        <v>4332</v>
      </c>
      <c r="R3117" s="152" t="s">
        <v>4323</v>
      </c>
      <c r="S3117" s="152" t="s">
        <v>4333</v>
      </c>
      <c r="T3117" s="152" t="s">
        <v>786</v>
      </c>
    </row>
    <row r="3118" spans="3:20">
      <c r="C3118" s="152" t="s">
        <v>2821</v>
      </c>
      <c r="F3118" s="152" t="s">
        <v>295</v>
      </c>
      <c r="G3118" s="152" t="s">
        <v>296</v>
      </c>
      <c r="I3118" s="513">
        <v>-4906962.5</v>
      </c>
      <c r="J3118" s="513">
        <v>-3492.5</v>
      </c>
      <c r="K3118" s="513">
        <v>1405</v>
      </c>
      <c r="L3118" s="518" t="s">
        <v>3493</v>
      </c>
      <c r="M3118" s="152" t="s">
        <v>1566</v>
      </c>
      <c r="N3118" s="152" t="s">
        <v>1407</v>
      </c>
      <c r="O3118" s="152" t="s">
        <v>4334</v>
      </c>
      <c r="P3118" s="152" t="s">
        <v>4279</v>
      </c>
      <c r="Q3118" s="152" t="s">
        <v>4335</v>
      </c>
      <c r="R3118" s="152" t="s">
        <v>4323</v>
      </c>
      <c r="S3118" s="152" t="s">
        <v>4336</v>
      </c>
      <c r="T3118" s="152" t="s">
        <v>786</v>
      </c>
    </row>
    <row r="3119" spans="3:20">
      <c r="C3119" s="152" t="s">
        <v>2821</v>
      </c>
      <c r="F3119" s="152" t="s">
        <v>295</v>
      </c>
      <c r="G3119" s="152" t="s">
        <v>296</v>
      </c>
      <c r="I3119" s="513">
        <v>-2936450</v>
      </c>
      <c r="J3119" s="513">
        <v>-2090</v>
      </c>
      <c r="K3119" s="513">
        <v>1405</v>
      </c>
      <c r="L3119" s="518" t="s">
        <v>3493</v>
      </c>
      <c r="M3119" s="152" t="s">
        <v>1566</v>
      </c>
      <c r="N3119" s="152" t="s">
        <v>1407</v>
      </c>
      <c r="O3119" s="152" t="s">
        <v>4337</v>
      </c>
      <c r="P3119" s="152" t="s">
        <v>4279</v>
      </c>
      <c r="Q3119" s="152" t="s">
        <v>4338</v>
      </c>
      <c r="R3119" s="152" t="s">
        <v>4323</v>
      </c>
      <c r="S3119" s="152" t="s">
        <v>4339</v>
      </c>
      <c r="T3119" s="152" t="s">
        <v>786</v>
      </c>
    </row>
    <row r="3120" spans="3:20">
      <c r="C3120" s="152" t="s">
        <v>2821</v>
      </c>
      <c r="F3120" s="152" t="s">
        <v>295</v>
      </c>
      <c r="G3120" s="152" t="s">
        <v>296</v>
      </c>
      <c r="I3120" s="513">
        <v>-2334750</v>
      </c>
      <c r="J3120" s="513">
        <v>-1650</v>
      </c>
      <c r="K3120" s="513">
        <v>1415</v>
      </c>
      <c r="L3120" s="518" t="s">
        <v>3632</v>
      </c>
      <c r="M3120" s="152" t="s">
        <v>1566</v>
      </c>
      <c r="N3120" s="152" t="s">
        <v>1407</v>
      </c>
      <c r="O3120" s="152" t="s">
        <v>4340</v>
      </c>
      <c r="P3120" s="152" t="s">
        <v>4279</v>
      </c>
      <c r="Q3120" s="152" t="s">
        <v>4341</v>
      </c>
      <c r="R3120" s="152" t="s">
        <v>4342</v>
      </c>
      <c r="S3120" s="152" t="s">
        <v>4343</v>
      </c>
      <c r="T3120" s="152" t="s">
        <v>786</v>
      </c>
    </row>
    <row r="3121" spans="3:20">
      <c r="C3121" s="152" t="s">
        <v>2821</v>
      </c>
      <c r="F3121" s="152" t="s">
        <v>295</v>
      </c>
      <c r="G3121" s="152" t="s">
        <v>296</v>
      </c>
      <c r="I3121" s="513">
        <v>-1167375</v>
      </c>
      <c r="J3121" s="513">
        <v>-825</v>
      </c>
      <c r="K3121" s="513">
        <v>1415</v>
      </c>
      <c r="L3121" s="518" t="s">
        <v>3632</v>
      </c>
      <c r="M3121" s="152" t="s">
        <v>1566</v>
      </c>
      <c r="N3121" s="152" t="s">
        <v>1407</v>
      </c>
      <c r="O3121" s="152" t="s">
        <v>4344</v>
      </c>
      <c r="P3121" s="152" t="s">
        <v>4279</v>
      </c>
      <c r="Q3121" s="152" t="s">
        <v>4345</v>
      </c>
      <c r="R3121" s="152" t="s">
        <v>4342</v>
      </c>
      <c r="S3121" s="152" t="s">
        <v>4346</v>
      </c>
      <c r="T3121" s="152" t="s">
        <v>786</v>
      </c>
    </row>
    <row r="3122" spans="3:20">
      <c r="C3122" s="152" t="s">
        <v>2821</v>
      </c>
      <c r="F3122" s="152" t="s">
        <v>295</v>
      </c>
      <c r="G3122" s="152" t="s">
        <v>296</v>
      </c>
      <c r="I3122" s="513">
        <v>-1011725</v>
      </c>
      <c r="J3122" s="513">
        <v>-715</v>
      </c>
      <c r="K3122" s="513">
        <v>1415</v>
      </c>
      <c r="L3122" s="518" t="s">
        <v>3632</v>
      </c>
      <c r="M3122" s="152" t="s">
        <v>1566</v>
      </c>
      <c r="N3122" s="152" t="s">
        <v>1407</v>
      </c>
      <c r="O3122" s="152" t="s">
        <v>4347</v>
      </c>
      <c r="P3122" s="152" t="s">
        <v>4279</v>
      </c>
      <c r="Q3122" s="152" t="s">
        <v>4348</v>
      </c>
      <c r="R3122" s="152" t="s">
        <v>4342</v>
      </c>
      <c r="S3122" s="152" t="s">
        <v>4349</v>
      </c>
      <c r="T3122" s="152" t="s">
        <v>786</v>
      </c>
    </row>
    <row r="3123" spans="3:20">
      <c r="C3123" s="152" t="s">
        <v>2821</v>
      </c>
      <c r="F3123" s="152" t="s">
        <v>295</v>
      </c>
      <c r="G3123" s="152" t="s">
        <v>296</v>
      </c>
      <c r="I3123" s="513">
        <v>-739337.5</v>
      </c>
      <c r="J3123" s="513">
        <v>-522.5</v>
      </c>
      <c r="K3123" s="513">
        <v>1415</v>
      </c>
      <c r="L3123" s="518" t="s">
        <v>3632</v>
      </c>
      <c r="M3123" s="152" t="s">
        <v>1566</v>
      </c>
      <c r="N3123" s="152" t="s">
        <v>1407</v>
      </c>
      <c r="O3123" s="152" t="s">
        <v>4350</v>
      </c>
      <c r="P3123" s="152" t="s">
        <v>4279</v>
      </c>
      <c r="Q3123" s="152" t="s">
        <v>4351</v>
      </c>
      <c r="R3123" s="152" t="s">
        <v>4342</v>
      </c>
      <c r="S3123" s="152" t="s">
        <v>4352</v>
      </c>
      <c r="T3123" s="152" t="s">
        <v>786</v>
      </c>
    </row>
    <row r="3124" spans="3:20">
      <c r="C3124" s="152" t="s">
        <v>2821</v>
      </c>
      <c r="F3124" s="152" t="s">
        <v>295</v>
      </c>
      <c r="G3124" s="152" t="s">
        <v>296</v>
      </c>
      <c r="I3124" s="513">
        <v>-5876640</v>
      </c>
      <c r="J3124" s="513">
        <v>-4081</v>
      </c>
      <c r="K3124" s="513">
        <v>1440</v>
      </c>
      <c r="L3124" s="518" t="s">
        <v>3517</v>
      </c>
      <c r="M3124" s="152" t="s">
        <v>1566</v>
      </c>
      <c r="N3124" s="152" t="s">
        <v>1407</v>
      </c>
      <c r="O3124" s="152" t="s">
        <v>4353</v>
      </c>
      <c r="P3124" s="152" t="s">
        <v>1881</v>
      </c>
      <c r="Q3124" s="152" t="s">
        <v>4354</v>
      </c>
      <c r="R3124" s="152" t="s">
        <v>4355</v>
      </c>
      <c r="S3124" s="152" t="s">
        <v>4356</v>
      </c>
      <c r="T3124" s="152" t="s">
        <v>786</v>
      </c>
    </row>
    <row r="3125" spans="3:20">
      <c r="C3125" s="152" t="s">
        <v>2821</v>
      </c>
      <c r="F3125" s="152" t="s">
        <v>295</v>
      </c>
      <c r="G3125" s="152" t="s">
        <v>296</v>
      </c>
      <c r="I3125" s="513">
        <v>-6220080</v>
      </c>
      <c r="J3125" s="513">
        <v>-4319.5</v>
      </c>
      <c r="K3125" s="513">
        <v>1440</v>
      </c>
      <c r="L3125" s="518" t="s">
        <v>3517</v>
      </c>
      <c r="M3125" s="152" t="s">
        <v>1566</v>
      </c>
      <c r="N3125" s="152" t="s">
        <v>1407</v>
      </c>
      <c r="O3125" s="152" t="s">
        <v>4357</v>
      </c>
      <c r="P3125" s="152" t="s">
        <v>1881</v>
      </c>
      <c r="Q3125" s="152" t="s">
        <v>4358</v>
      </c>
      <c r="R3125" s="152" t="s">
        <v>4355</v>
      </c>
      <c r="S3125" s="152" t="s">
        <v>4359</v>
      </c>
      <c r="T3125" s="152" t="s">
        <v>786</v>
      </c>
    </row>
    <row r="3126" spans="3:20">
      <c r="C3126" s="152" t="s">
        <v>2821</v>
      </c>
      <c r="F3126" s="152" t="s">
        <v>295</v>
      </c>
      <c r="G3126" s="152" t="s">
        <v>296</v>
      </c>
      <c r="I3126" s="513">
        <v>-5428500</v>
      </c>
      <c r="J3126" s="513">
        <v>-3877.5</v>
      </c>
      <c r="K3126" s="513">
        <v>1400</v>
      </c>
      <c r="L3126" s="518" t="s">
        <v>3659</v>
      </c>
      <c r="M3126" s="152" t="s">
        <v>1566</v>
      </c>
      <c r="N3126" s="152" t="s">
        <v>1407</v>
      </c>
      <c r="O3126" s="152" t="s">
        <v>4360</v>
      </c>
      <c r="P3126" s="152" t="s">
        <v>4279</v>
      </c>
      <c r="Q3126" s="152" t="s">
        <v>4361</v>
      </c>
      <c r="R3126" s="152" t="s">
        <v>4362</v>
      </c>
      <c r="S3126" s="152" t="s">
        <v>4363</v>
      </c>
      <c r="T3126" s="152" t="s">
        <v>786</v>
      </c>
    </row>
    <row r="3127" spans="3:20">
      <c r="C3127" s="152" t="s">
        <v>2821</v>
      </c>
      <c r="F3127" s="152" t="s">
        <v>295</v>
      </c>
      <c r="G3127" s="152" t="s">
        <v>296</v>
      </c>
      <c r="I3127" s="513">
        <v>-4312000</v>
      </c>
      <c r="J3127" s="513">
        <v>-3080</v>
      </c>
      <c r="K3127" s="513">
        <v>1400</v>
      </c>
      <c r="L3127" s="518" t="s">
        <v>3659</v>
      </c>
      <c r="M3127" s="152" t="s">
        <v>1566</v>
      </c>
      <c r="N3127" s="152" t="s">
        <v>1407</v>
      </c>
      <c r="O3127" s="152" t="s">
        <v>4364</v>
      </c>
      <c r="P3127" s="152" t="s">
        <v>4279</v>
      </c>
      <c r="Q3127" s="152" t="s">
        <v>4365</v>
      </c>
      <c r="R3127" s="152" t="s">
        <v>4362</v>
      </c>
      <c r="S3127" s="152" t="s">
        <v>4366</v>
      </c>
      <c r="T3127" s="152" t="s">
        <v>786</v>
      </c>
    </row>
    <row r="3128" spans="3:20">
      <c r="C3128" s="152" t="s">
        <v>2821</v>
      </c>
      <c r="F3128" s="152" t="s">
        <v>295</v>
      </c>
      <c r="G3128" s="152" t="s">
        <v>296</v>
      </c>
      <c r="I3128" s="513">
        <v>-3063225</v>
      </c>
      <c r="J3128" s="513">
        <v>-2172.5</v>
      </c>
      <c r="K3128" s="513">
        <v>1410</v>
      </c>
      <c r="L3128" s="518" t="s">
        <v>3498</v>
      </c>
      <c r="M3128" s="152" t="s">
        <v>1566</v>
      </c>
      <c r="N3128" s="152" t="s">
        <v>1407</v>
      </c>
      <c r="O3128" s="152" t="s">
        <v>4367</v>
      </c>
      <c r="P3128" s="152" t="s">
        <v>4279</v>
      </c>
      <c r="Q3128" s="152" t="s">
        <v>4368</v>
      </c>
      <c r="R3128" s="152" t="s">
        <v>4369</v>
      </c>
      <c r="S3128" s="152" t="s">
        <v>4370</v>
      </c>
      <c r="T3128" s="152" t="s">
        <v>786</v>
      </c>
    </row>
    <row r="3129" spans="3:20">
      <c r="C3129" s="152" t="s">
        <v>2821</v>
      </c>
      <c r="F3129" s="152" t="s">
        <v>295</v>
      </c>
      <c r="G3129" s="152" t="s">
        <v>296</v>
      </c>
      <c r="I3129" s="513">
        <v>-3993825</v>
      </c>
      <c r="J3129" s="513">
        <v>-2832.5</v>
      </c>
      <c r="K3129" s="513">
        <v>1410</v>
      </c>
      <c r="L3129" s="518" t="s">
        <v>3498</v>
      </c>
      <c r="M3129" s="152" t="s">
        <v>1566</v>
      </c>
      <c r="N3129" s="152" t="s">
        <v>1407</v>
      </c>
      <c r="O3129" s="152" t="s">
        <v>4371</v>
      </c>
      <c r="P3129" s="152" t="s">
        <v>4279</v>
      </c>
      <c r="Q3129" s="152" t="s">
        <v>4372</v>
      </c>
      <c r="R3129" s="152" t="s">
        <v>4369</v>
      </c>
      <c r="S3129" s="152" t="s">
        <v>4373</v>
      </c>
      <c r="T3129" s="152" t="s">
        <v>786</v>
      </c>
    </row>
    <row r="3130" spans="3:20">
      <c r="C3130" s="152" t="s">
        <v>2821</v>
      </c>
      <c r="F3130" s="152" t="s">
        <v>295</v>
      </c>
      <c r="G3130" s="152" t="s">
        <v>296</v>
      </c>
      <c r="I3130" s="513">
        <v>-4148925</v>
      </c>
      <c r="J3130" s="513">
        <v>-2942.5</v>
      </c>
      <c r="K3130" s="513">
        <v>1410</v>
      </c>
      <c r="L3130" s="518" t="s">
        <v>3498</v>
      </c>
      <c r="M3130" s="152" t="s">
        <v>1566</v>
      </c>
      <c r="N3130" s="152" t="s">
        <v>1407</v>
      </c>
      <c r="O3130" s="152" t="s">
        <v>4374</v>
      </c>
      <c r="P3130" s="152" t="s">
        <v>4279</v>
      </c>
      <c r="Q3130" s="152" t="s">
        <v>4375</v>
      </c>
      <c r="R3130" s="152" t="s">
        <v>4369</v>
      </c>
      <c r="S3130" s="152" t="s">
        <v>4376</v>
      </c>
      <c r="T3130" s="152" t="s">
        <v>786</v>
      </c>
    </row>
    <row r="3131" spans="3:20">
      <c r="C3131" s="152" t="s">
        <v>2821</v>
      </c>
      <c r="F3131" s="152" t="s">
        <v>295</v>
      </c>
      <c r="G3131" s="152" t="s">
        <v>296</v>
      </c>
      <c r="I3131" s="513">
        <v>-305280</v>
      </c>
      <c r="J3131" s="513">
        <v>-212</v>
      </c>
      <c r="K3131" s="513">
        <v>1440</v>
      </c>
      <c r="L3131" s="518" t="s">
        <v>3517</v>
      </c>
      <c r="M3131" s="152" t="s">
        <v>1566</v>
      </c>
      <c r="N3131" s="152" t="s">
        <v>1407</v>
      </c>
      <c r="O3131" s="152" t="s">
        <v>4381</v>
      </c>
      <c r="P3131" s="152" t="s">
        <v>1881</v>
      </c>
      <c r="Q3131" s="152" t="s">
        <v>4382</v>
      </c>
      <c r="R3131" s="152" t="s">
        <v>4383</v>
      </c>
      <c r="S3131" s="152" t="s">
        <v>4384</v>
      </c>
      <c r="T3131" s="152" t="s">
        <v>786</v>
      </c>
    </row>
    <row r="3132" spans="3:20">
      <c r="C3132" s="152" t="s">
        <v>2821</v>
      </c>
      <c r="F3132" s="152" t="s">
        <v>295</v>
      </c>
      <c r="G3132" s="152" t="s">
        <v>296</v>
      </c>
      <c r="I3132" s="513">
        <v>-572400</v>
      </c>
      <c r="J3132" s="513">
        <v>-397.5</v>
      </c>
      <c r="K3132" s="513">
        <v>1440</v>
      </c>
      <c r="L3132" s="518" t="s">
        <v>3517</v>
      </c>
      <c r="M3132" s="152" t="s">
        <v>1566</v>
      </c>
      <c r="N3132" s="152" t="s">
        <v>1407</v>
      </c>
      <c r="O3132" s="152" t="s">
        <v>4385</v>
      </c>
      <c r="P3132" s="152" t="s">
        <v>1881</v>
      </c>
      <c r="Q3132" s="152" t="s">
        <v>4386</v>
      </c>
      <c r="R3132" s="152" t="s">
        <v>4383</v>
      </c>
      <c r="S3132" s="152" t="s">
        <v>4387</v>
      </c>
      <c r="T3132" s="152" t="s">
        <v>786</v>
      </c>
    </row>
    <row r="3133" spans="3:20">
      <c r="C3133" s="152" t="s">
        <v>2821</v>
      </c>
      <c r="F3133" s="152" t="s">
        <v>295</v>
      </c>
      <c r="G3133" s="152" t="s">
        <v>296</v>
      </c>
      <c r="I3133" s="513">
        <v>-610560</v>
      </c>
      <c r="J3133" s="513">
        <v>-424</v>
      </c>
      <c r="K3133" s="513">
        <v>1440</v>
      </c>
      <c r="L3133" s="518" t="s">
        <v>3517</v>
      </c>
      <c r="M3133" s="152" t="s">
        <v>1566</v>
      </c>
      <c r="N3133" s="152" t="s">
        <v>1407</v>
      </c>
      <c r="O3133" s="152" t="s">
        <v>4388</v>
      </c>
      <c r="P3133" s="152" t="s">
        <v>1881</v>
      </c>
      <c r="Q3133" s="152" t="s">
        <v>4389</v>
      </c>
      <c r="R3133" s="152" t="s">
        <v>4383</v>
      </c>
      <c r="S3133" s="152" t="s">
        <v>4390</v>
      </c>
      <c r="T3133" s="152" t="s">
        <v>786</v>
      </c>
    </row>
    <row r="3134" spans="3:20">
      <c r="C3134" s="152" t="s">
        <v>2821</v>
      </c>
      <c r="F3134" s="152" t="s">
        <v>295</v>
      </c>
      <c r="G3134" s="152" t="s">
        <v>296</v>
      </c>
      <c r="I3134" s="513">
        <v>-1783650</v>
      </c>
      <c r="J3134" s="513">
        <v>-1265</v>
      </c>
      <c r="K3134" s="513">
        <v>1410</v>
      </c>
      <c r="L3134" s="518" t="s">
        <v>3498</v>
      </c>
      <c r="M3134" s="152" t="s">
        <v>1566</v>
      </c>
      <c r="N3134" s="152" t="s">
        <v>1407</v>
      </c>
      <c r="O3134" s="152" t="s">
        <v>4391</v>
      </c>
      <c r="P3134" s="152" t="s">
        <v>4279</v>
      </c>
      <c r="Q3134" s="152" t="s">
        <v>4392</v>
      </c>
      <c r="R3134" s="152" t="s">
        <v>4393</v>
      </c>
      <c r="S3134" s="152" t="s">
        <v>4394</v>
      </c>
      <c r="T3134" s="152" t="s">
        <v>786</v>
      </c>
    </row>
    <row r="3135" spans="3:20">
      <c r="C3135" s="152" t="s">
        <v>2821</v>
      </c>
      <c r="F3135" s="152" t="s">
        <v>295</v>
      </c>
      <c r="G3135" s="152" t="s">
        <v>296</v>
      </c>
      <c r="I3135" s="513">
        <v>-1938750</v>
      </c>
      <c r="J3135" s="513">
        <v>-1375</v>
      </c>
      <c r="K3135" s="513">
        <v>1410</v>
      </c>
      <c r="L3135" s="518" t="s">
        <v>3498</v>
      </c>
      <c r="M3135" s="152" t="s">
        <v>1566</v>
      </c>
      <c r="N3135" s="152" t="s">
        <v>1407</v>
      </c>
      <c r="O3135" s="152" t="s">
        <v>4395</v>
      </c>
      <c r="P3135" s="152" t="s">
        <v>4279</v>
      </c>
      <c r="Q3135" s="152" t="s">
        <v>4396</v>
      </c>
      <c r="R3135" s="152" t="s">
        <v>4393</v>
      </c>
      <c r="S3135" s="152" t="s">
        <v>4397</v>
      </c>
      <c r="T3135" s="152" t="s">
        <v>786</v>
      </c>
    </row>
    <row r="3136" spans="3:20">
      <c r="C3136" s="152" t="s">
        <v>2821</v>
      </c>
      <c r="F3136" s="152" t="s">
        <v>295</v>
      </c>
      <c r="G3136" s="152" t="s">
        <v>296</v>
      </c>
      <c r="I3136" s="513">
        <v>-2055075</v>
      </c>
      <c r="J3136" s="513">
        <v>-1457.5</v>
      </c>
      <c r="K3136" s="513">
        <v>1410</v>
      </c>
      <c r="L3136" s="518" t="s">
        <v>3498</v>
      </c>
      <c r="M3136" s="152" t="s">
        <v>1566</v>
      </c>
      <c r="N3136" s="152" t="s">
        <v>1407</v>
      </c>
      <c r="O3136" s="152" t="s">
        <v>4398</v>
      </c>
      <c r="P3136" s="152" t="s">
        <v>4279</v>
      </c>
      <c r="Q3136" s="152" t="s">
        <v>4399</v>
      </c>
      <c r="R3136" s="152" t="s">
        <v>4393</v>
      </c>
      <c r="S3136" s="152" t="s">
        <v>4400</v>
      </c>
      <c r="T3136" s="152" t="s">
        <v>786</v>
      </c>
    </row>
    <row r="3137" spans="3:20">
      <c r="C3137" s="152" t="s">
        <v>2821</v>
      </c>
      <c r="F3137" s="152" t="s">
        <v>295</v>
      </c>
      <c r="G3137" s="152" t="s">
        <v>296</v>
      </c>
      <c r="I3137" s="513">
        <v>-1938750</v>
      </c>
      <c r="J3137" s="513">
        <v>-1375</v>
      </c>
      <c r="K3137" s="513">
        <v>1410</v>
      </c>
      <c r="L3137" s="518" t="s">
        <v>3498</v>
      </c>
      <c r="M3137" s="152" t="s">
        <v>1566</v>
      </c>
      <c r="N3137" s="152" t="s">
        <v>1407</v>
      </c>
      <c r="O3137" s="152" t="s">
        <v>4401</v>
      </c>
      <c r="P3137" s="152" t="s">
        <v>4279</v>
      </c>
      <c r="Q3137" s="152" t="s">
        <v>4402</v>
      </c>
      <c r="R3137" s="152" t="s">
        <v>4393</v>
      </c>
      <c r="S3137" s="152" t="s">
        <v>4403</v>
      </c>
      <c r="T3137" s="152" t="s">
        <v>786</v>
      </c>
    </row>
    <row r="3138" spans="3:20">
      <c r="C3138" s="152" t="s">
        <v>2821</v>
      </c>
      <c r="F3138" s="152" t="s">
        <v>295</v>
      </c>
      <c r="G3138" s="152" t="s">
        <v>296</v>
      </c>
      <c r="I3138" s="513">
        <v>-811387.5</v>
      </c>
      <c r="J3138" s="513">
        <v>-577.5</v>
      </c>
      <c r="K3138" s="513">
        <v>1405</v>
      </c>
      <c r="L3138" s="518" t="s">
        <v>3493</v>
      </c>
      <c r="M3138" s="152" t="s">
        <v>1566</v>
      </c>
      <c r="N3138" s="152" t="s">
        <v>1407</v>
      </c>
      <c r="O3138" s="152" t="s">
        <v>4417</v>
      </c>
      <c r="P3138" s="152" t="s">
        <v>4279</v>
      </c>
      <c r="Q3138" s="152" t="s">
        <v>4418</v>
      </c>
      <c r="R3138" s="152" t="s">
        <v>4419</v>
      </c>
      <c r="S3138" s="152" t="s">
        <v>4420</v>
      </c>
      <c r="T3138" s="152" t="s">
        <v>786</v>
      </c>
    </row>
    <row r="3139" spans="3:20">
      <c r="C3139" s="152" t="s">
        <v>2821</v>
      </c>
      <c r="F3139" s="152" t="s">
        <v>295</v>
      </c>
      <c r="G3139" s="152" t="s">
        <v>296</v>
      </c>
      <c r="I3139" s="513">
        <v>-463650</v>
      </c>
      <c r="J3139" s="513">
        <v>-330</v>
      </c>
      <c r="K3139" s="513">
        <v>1405</v>
      </c>
      <c r="L3139" s="518" t="s">
        <v>3493</v>
      </c>
      <c r="M3139" s="152" t="s">
        <v>1566</v>
      </c>
      <c r="N3139" s="152" t="s">
        <v>1407</v>
      </c>
      <c r="O3139" s="152" t="s">
        <v>4421</v>
      </c>
      <c r="P3139" s="152" t="s">
        <v>4279</v>
      </c>
      <c r="Q3139" s="152" t="s">
        <v>4422</v>
      </c>
      <c r="R3139" s="152" t="s">
        <v>4419</v>
      </c>
      <c r="S3139" s="152" t="s">
        <v>4423</v>
      </c>
      <c r="T3139" s="152" t="s">
        <v>786</v>
      </c>
    </row>
    <row r="3140" spans="3:20">
      <c r="C3140" s="152" t="s">
        <v>2821</v>
      </c>
      <c r="F3140" s="152" t="s">
        <v>295</v>
      </c>
      <c r="G3140" s="152" t="s">
        <v>296</v>
      </c>
      <c r="I3140" s="513">
        <v>-965937.5</v>
      </c>
      <c r="J3140" s="513">
        <v>-687.5</v>
      </c>
      <c r="K3140" s="513">
        <v>1405</v>
      </c>
      <c r="L3140" s="518" t="s">
        <v>3493</v>
      </c>
      <c r="M3140" s="152" t="s">
        <v>1566</v>
      </c>
      <c r="N3140" s="152" t="s">
        <v>1407</v>
      </c>
      <c r="O3140" s="152" t="s">
        <v>4424</v>
      </c>
      <c r="P3140" s="152" t="s">
        <v>4279</v>
      </c>
      <c r="Q3140" s="152" t="s">
        <v>4425</v>
      </c>
      <c r="R3140" s="152" t="s">
        <v>4419</v>
      </c>
      <c r="S3140" s="152" t="s">
        <v>4426</v>
      </c>
      <c r="T3140" s="152" t="s">
        <v>786</v>
      </c>
    </row>
    <row r="3141" spans="3:20">
      <c r="C3141" s="152" t="s">
        <v>2821</v>
      </c>
      <c r="F3141" s="152" t="s">
        <v>295</v>
      </c>
      <c r="G3141" s="152" t="s">
        <v>296</v>
      </c>
      <c r="I3141" s="513">
        <v>-3319920</v>
      </c>
      <c r="J3141" s="513">
        <v>-2305.5</v>
      </c>
      <c r="K3141" s="513">
        <v>1440</v>
      </c>
      <c r="L3141" s="518" t="s">
        <v>3517</v>
      </c>
      <c r="M3141" s="152" t="s">
        <v>1566</v>
      </c>
      <c r="N3141" s="152" t="s">
        <v>1407</v>
      </c>
      <c r="O3141" s="152" t="s">
        <v>4427</v>
      </c>
      <c r="P3141" s="152" t="s">
        <v>1881</v>
      </c>
      <c r="Q3141" s="152" t="s">
        <v>4428</v>
      </c>
      <c r="R3141" s="152" t="s">
        <v>4429</v>
      </c>
      <c r="S3141" s="152" t="s">
        <v>4430</v>
      </c>
      <c r="T3141" s="152" t="s">
        <v>786</v>
      </c>
    </row>
    <row r="3142" spans="3:20">
      <c r="C3142" s="152" t="s">
        <v>2821</v>
      </c>
      <c r="F3142" s="152" t="s">
        <v>295</v>
      </c>
      <c r="G3142" s="152" t="s">
        <v>296</v>
      </c>
      <c r="I3142" s="513">
        <v>-1908000</v>
      </c>
      <c r="J3142" s="513">
        <v>-1325</v>
      </c>
      <c r="K3142" s="513">
        <v>1440</v>
      </c>
      <c r="L3142" s="518" t="s">
        <v>3517</v>
      </c>
      <c r="M3142" s="152" t="s">
        <v>1566</v>
      </c>
      <c r="N3142" s="152" t="s">
        <v>1407</v>
      </c>
      <c r="O3142" s="152" t="s">
        <v>4431</v>
      </c>
      <c r="P3142" s="152" t="s">
        <v>1881</v>
      </c>
      <c r="Q3142" s="152" t="s">
        <v>4432</v>
      </c>
      <c r="R3142" s="152" t="s">
        <v>4429</v>
      </c>
      <c r="S3142" s="152" t="s">
        <v>4433</v>
      </c>
      <c r="T3142" s="152" t="s">
        <v>786</v>
      </c>
    </row>
    <row r="3143" spans="3:20">
      <c r="C3143" s="152" t="s">
        <v>2821</v>
      </c>
      <c r="F3143" s="152" t="s">
        <v>295</v>
      </c>
      <c r="G3143" s="152" t="s">
        <v>296</v>
      </c>
      <c r="I3143" s="513">
        <v>-1831680</v>
      </c>
      <c r="J3143" s="513">
        <v>-1272</v>
      </c>
      <c r="K3143" s="513">
        <v>1440</v>
      </c>
      <c r="L3143" s="518" t="s">
        <v>3517</v>
      </c>
      <c r="M3143" s="152" t="s">
        <v>1566</v>
      </c>
      <c r="N3143" s="152" t="s">
        <v>1407</v>
      </c>
      <c r="O3143" s="152" t="s">
        <v>4434</v>
      </c>
      <c r="P3143" s="152" t="s">
        <v>1881</v>
      </c>
      <c r="Q3143" s="152" t="s">
        <v>4435</v>
      </c>
      <c r="R3143" s="152" t="s">
        <v>4429</v>
      </c>
      <c r="S3143" s="152" t="s">
        <v>4436</v>
      </c>
      <c r="T3143" s="152" t="s">
        <v>786</v>
      </c>
    </row>
    <row r="3144" spans="3:20">
      <c r="C3144" s="152" t="s">
        <v>2821</v>
      </c>
      <c r="F3144" s="152" t="s">
        <v>295</v>
      </c>
      <c r="G3144" s="152" t="s">
        <v>296</v>
      </c>
      <c r="I3144" s="513">
        <v>-2022480</v>
      </c>
      <c r="J3144" s="513">
        <v>-1404.5</v>
      </c>
      <c r="K3144" s="513">
        <v>1440</v>
      </c>
      <c r="L3144" s="518" t="s">
        <v>3517</v>
      </c>
      <c r="M3144" s="152" t="s">
        <v>1566</v>
      </c>
      <c r="N3144" s="152" t="s">
        <v>1407</v>
      </c>
      <c r="O3144" s="152" t="s">
        <v>4437</v>
      </c>
      <c r="P3144" s="152" t="s">
        <v>1881</v>
      </c>
      <c r="Q3144" s="152" t="s">
        <v>4438</v>
      </c>
      <c r="R3144" s="152" t="s">
        <v>4429</v>
      </c>
      <c r="S3144" s="152" t="s">
        <v>4439</v>
      </c>
      <c r="T3144" s="152" t="s">
        <v>786</v>
      </c>
    </row>
    <row r="3145" spans="3:20">
      <c r="C3145" s="152" t="s">
        <v>2821</v>
      </c>
      <c r="F3145" s="152" t="s">
        <v>295</v>
      </c>
      <c r="G3145" s="152" t="s">
        <v>296</v>
      </c>
      <c r="I3145" s="513">
        <v>-1815962.5</v>
      </c>
      <c r="J3145" s="513">
        <v>-1292.5</v>
      </c>
      <c r="K3145" s="513">
        <v>1405</v>
      </c>
      <c r="L3145" s="518" t="s">
        <v>3493</v>
      </c>
      <c r="M3145" s="152" t="s">
        <v>1566</v>
      </c>
      <c r="N3145" s="152" t="s">
        <v>1407</v>
      </c>
      <c r="O3145" s="152" t="s">
        <v>4440</v>
      </c>
      <c r="P3145" s="152" t="s">
        <v>4279</v>
      </c>
      <c r="Q3145" s="152" t="s">
        <v>4441</v>
      </c>
      <c r="R3145" s="152" t="s">
        <v>4442</v>
      </c>
      <c r="S3145" s="152" t="s">
        <v>4443</v>
      </c>
      <c r="T3145" s="152" t="s">
        <v>786</v>
      </c>
    </row>
    <row r="3146" spans="3:20">
      <c r="C3146" s="152" t="s">
        <v>2821</v>
      </c>
      <c r="F3146" s="152" t="s">
        <v>295</v>
      </c>
      <c r="G3146" s="152" t="s">
        <v>296</v>
      </c>
      <c r="I3146" s="513">
        <v>-154550</v>
      </c>
      <c r="J3146" s="513">
        <v>-110</v>
      </c>
      <c r="K3146" s="513">
        <v>1405</v>
      </c>
      <c r="L3146" s="518" t="s">
        <v>3493</v>
      </c>
      <c r="M3146" s="152" t="s">
        <v>1566</v>
      </c>
      <c r="N3146" s="152" t="s">
        <v>1407</v>
      </c>
      <c r="O3146" s="152" t="s">
        <v>4444</v>
      </c>
      <c r="P3146" s="152" t="s">
        <v>4279</v>
      </c>
      <c r="Q3146" s="152" t="s">
        <v>4445</v>
      </c>
      <c r="R3146" s="152" t="s">
        <v>4442</v>
      </c>
      <c r="S3146" s="152" t="s">
        <v>4446</v>
      </c>
      <c r="T3146" s="152" t="s">
        <v>786</v>
      </c>
    </row>
    <row r="3147" spans="3:20">
      <c r="C3147" s="152" t="s">
        <v>2821</v>
      </c>
      <c r="F3147" s="152" t="s">
        <v>295</v>
      </c>
      <c r="G3147" s="152" t="s">
        <v>296</v>
      </c>
      <c r="I3147" s="513">
        <v>-1004575</v>
      </c>
      <c r="J3147" s="513">
        <v>-715</v>
      </c>
      <c r="K3147" s="513">
        <v>1405</v>
      </c>
      <c r="L3147" s="518" t="s">
        <v>3493</v>
      </c>
      <c r="M3147" s="152" t="s">
        <v>1566</v>
      </c>
      <c r="N3147" s="152" t="s">
        <v>1407</v>
      </c>
      <c r="O3147" s="152" t="s">
        <v>4447</v>
      </c>
      <c r="P3147" s="152" t="s">
        <v>4279</v>
      </c>
      <c r="Q3147" s="152" t="s">
        <v>4448</v>
      </c>
      <c r="R3147" s="152" t="s">
        <v>4442</v>
      </c>
      <c r="S3147" s="152" t="s">
        <v>4449</v>
      </c>
      <c r="T3147" s="152" t="s">
        <v>786</v>
      </c>
    </row>
    <row r="3148" spans="3:20">
      <c r="C3148" s="152" t="s">
        <v>2821</v>
      </c>
      <c r="F3148" s="152" t="s">
        <v>295</v>
      </c>
      <c r="G3148" s="152" t="s">
        <v>296</v>
      </c>
      <c r="I3148" s="513">
        <v>-2936450</v>
      </c>
      <c r="J3148" s="513">
        <v>-2090</v>
      </c>
      <c r="K3148" s="513">
        <v>1405</v>
      </c>
      <c r="L3148" s="518" t="s">
        <v>3493</v>
      </c>
      <c r="M3148" s="152" t="s">
        <v>1566</v>
      </c>
      <c r="N3148" s="152" t="s">
        <v>1407</v>
      </c>
      <c r="O3148" s="152" t="s">
        <v>4450</v>
      </c>
      <c r="P3148" s="152" t="s">
        <v>4279</v>
      </c>
      <c r="Q3148" s="152" t="s">
        <v>4451</v>
      </c>
      <c r="R3148" s="152" t="s">
        <v>4442</v>
      </c>
      <c r="S3148" s="152" t="s">
        <v>4452</v>
      </c>
      <c r="T3148" s="152" t="s">
        <v>786</v>
      </c>
    </row>
    <row r="3149" spans="3:20">
      <c r="C3149" s="152" t="s">
        <v>2821</v>
      </c>
      <c r="F3149" s="152" t="s">
        <v>295</v>
      </c>
      <c r="G3149" s="152" t="s">
        <v>296</v>
      </c>
      <c r="I3149" s="513">
        <v>-1945625</v>
      </c>
      <c r="J3149" s="513">
        <v>-1375</v>
      </c>
      <c r="K3149" s="513">
        <v>1415</v>
      </c>
      <c r="L3149" s="518" t="s">
        <v>3511</v>
      </c>
      <c r="M3149" s="152" t="s">
        <v>1566</v>
      </c>
      <c r="N3149" s="152" t="s">
        <v>1407</v>
      </c>
      <c r="O3149" s="152" t="s">
        <v>4453</v>
      </c>
      <c r="P3149" s="152" t="s">
        <v>4279</v>
      </c>
      <c r="Q3149" s="152" t="s">
        <v>4454</v>
      </c>
      <c r="R3149" s="152" t="s">
        <v>4455</v>
      </c>
      <c r="S3149" s="152" t="s">
        <v>4456</v>
      </c>
      <c r="T3149" s="152" t="s">
        <v>786</v>
      </c>
    </row>
    <row r="3150" spans="3:20">
      <c r="C3150" s="152" t="s">
        <v>2821</v>
      </c>
      <c r="F3150" s="152" t="s">
        <v>295</v>
      </c>
      <c r="G3150" s="152" t="s">
        <v>296</v>
      </c>
      <c r="I3150" s="513">
        <v>-1323025</v>
      </c>
      <c r="J3150" s="513">
        <v>-935</v>
      </c>
      <c r="K3150" s="513">
        <v>1415</v>
      </c>
      <c r="L3150" s="518" t="s">
        <v>3511</v>
      </c>
      <c r="M3150" s="152" t="s">
        <v>1566</v>
      </c>
      <c r="N3150" s="152" t="s">
        <v>1407</v>
      </c>
      <c r="O3150" s="152" t="s">
        <v>4457</v>
      </c>
      <c r="P3150" s="152" t="s">
        <v>4279</v>
      </c>
      <c r="Q3150" s="152" t="s">
        <v>4458</v>
      </c>
      <c r="R3150" s="152" t="s">
        <v>4455</v>
      </c>
      <c r="S3150" s="152" t="s">
        <v>4459</v>
      </c>
      <c r="T3150" s="152" t="s">
        <v>786</v>
      </c>
    </row>
    <row r="3151" spans="3:20">
      <c r="C3151" s="152" t="s">
        <v>2821</v>
      </c>
      <c r="F3151" s="152" t="s">
        <v>295</v>
      </c>
      <c r="G3151" s="152" t="s">
        <v>296</v>
      </c>
      <c r="I3151" s="513">
        <v>-894987.5</v>
      </c>
      <c r="J3151" s="513">
        <v>-632.5</v>
      </c>
      <c r="K3151" s="513">
        <v>1415</v>
      </c>
      <c r="L3151" s="518" t="s">
        <v>3511</v>
      </c>
      <c r="M3151" s="152" t="s">
        <v>1566</v>
      </c>
      <c r="N3151" s="152" t="s">
        <v>1407</v>
      </c>
      <c r="O3151" s="152" t="s">
        <v>4460</v>
      </c>
      <c r="P3151" s="152" t="s">
        <v>4279</v>
      </c>
      <c r="Q3151" s="152" t="s">
        <v>4461</v>
      </c>
      <c r="R3151" s="152" t="s">
        <v>4455</v>
      </c>
      <c r="S3151" s="152" t="s">
        <v>4462</v>
      </c>
      <c r="T3151" s="152" t="s">
        <v>786</v>
      </c>
    </row>
    <row r="3152" spans="3:20">
      <c r="C3152" s="152" t="s">
        <v>2821</v>
      </c>
      <c r="F3152" s="152" t="s">
        <v>295</v>
      </c>
      <c r="G3152" s="152" t="s">
        <v>296</v>
      </c>
      <c r="I3152" s="513">
        <v>-1945625</v>
      </c>
      <c r="J3152" s="513">
        <v>-1375</v>
      </c>
      <c r="K3152" s="513">
        <v>1415</v>
      </c>
      <c r="L3152" s="518" t="s">
        <v>3511</v>
      </c>
      <c r="M3152" s="152" t="s">
        <v>1566</v>
      </c>
      <c r="N3152" s="152" t="s">
        <v>1407</v>
      </c>
      <c r="O3152" s="152" t="s">
        <v>4463</v>
      </c>
      <c r="P3152" s="152" t="s">
        <v>4279</v>
      </c>
      <c r="Q3152" s="152" t="s">
        <v>4464</v>
      </c>
      <c r="R3152" s="152" t="s">
        <v>4455</v>
      </c>
      <c r="S3152" s="152" t="s">
        <v>4465</v>
      </c>
      <c r="T3152" s="152" t="s">
        <v>786</v>
      </c>
    </row>
    <row r="3153" spans="3:20">
      <c r="C3153" s="152" t="s">
        <v>2821</v>
      </c>
      <c r="F3153" s="152" t="s">
        <v>295</v>
      </c>
      <c r="G3153" s="152" t="s">
        <v>296</v>
      </c>
      <c r="I3153" s="513">
        <v>-3891250</v>
      </c>
      <c r="J3153" s="513">
        <v>-2750</v>
      </c>
      <c r="K3153" s="513">
        <v>1415</v>
      </c>
      <c r="L3153" s="518" t="s">
        <v>3511</v>
      </c>
      <c r="M3153" s="152" t="s">
        <v>1566</v>
      </c>
      <c r="N3153" s="152" t="s">
        <v>1407</v>
      </c>
      <c r="O3153" s="152" t="s">
        <v>4470</v>
      </c>
      <c r="P3153" s="152" t="s">
        <v>4279</v>
      </c>
      <c r="Q3153" s="152" t="s">
        <v>4471</v>
      </c>
      <c r="R3153" s="152" t="s">
        <v>4472</v>
      </c>
      <c r="S3153" s="152" t="s">
        <v>4473</v>
      </c>
      <c r="T3153" s="152" t="s">
        <v>786</v>
      </c>
    </row>
    <row r="3154" spans="3:20">
      <c r="C3154" s="152" t="s">
        <v>2821</v>
      </c>
      <c r="F3154" s="152" t="s">
        <v>295</v>
      </c>
      <c r="G3154" s="152" t="s">
        <v>296</v>
      </c>
      <c r="I3154" s="513">
        <v>-3385387.5</v>
      </c>
      <c r="J3154" s="513">
        <v>-2392.5</v>
      </c>
      <c r="K3154" s="513">
        <v>1415</v>
      </c>
      <c r="L3154" s="518" t="s">
        <v>3511</v>
      </c>
      <c r="M3154" s="152" t="s">
        <v>1566</v>
      </c>
      <c r="N3154" s="152" t="s">
        <v>1407</v>
      </c>
      <c r="O3154" s="152" t="s">
        <v>4474</v>
      </c>
      <c r="P3154" s="152" t="s">
        <v>4279</v>
      </c>
      <c r="Q3154" s="152" t="s">
        <v>4475</v>
      </c>
      <c r="R3154" s="152" t="s">
        <v>4472</v>
      </c>
      <c r="S3154" s="152" t="s">
        <v>4476</v>
      </c>
      <c r="T3154" s="152" t="s">
        <v>786</v>
      </c>
    </row>
    <row r="3155" spans="3:20">
      <c r="C3155" s="152" t="s">
        <v>2821</v>
      </c>
      <c r="F3155" s="152" t="s">
        <v>295</v>
      </c>
      <c r="G3155" s="152" t="s">
        <v>296</v>
      </c>
      <c r="I3155" s="513">
        <v>-4669500</v>
      </c>
      <c r="J3155" s="513">
        <v>-3300</v>
      </c>
      <c r="K3155" s="513">
        <v>1415</v>
      </c>
      <c r="L3155" s="518" t="s">
        <v>3511</v>
      </c>
      <c r="M3155" s="152" t="s">
        <v>1566</v>
      </c>
      <c r="N3155" s="152" t="s">
        <v>1407</v>
      </c>
      <c r="O3155" s="152" t="s">
        <v>4477</v>
      </c>
      <c r="P3155" s="152" t="s">
        <v>4279</v>
      </c>
      <c r="Q3155" s="152" t="s">
        <v>4478</v>
      </c>
      <c r="R3155" s="152" t="s">
        <v>4472</v>
      </c>
      <c r="S3155" s="152" t="s">
        <v>4479</v>
      </c>
      <c r="T3155" s="152" t="s">
        <v>786</v>
      </c>
    </row>
    <row r="3156" spans="3:20">
      <c r="C3156" s="152" t="s">
        <v>2821</v>
      </c>
      <c r="F3156" s="152" t="s">
        <v>295</v>
      </c>
      <c r="G3156" s="152" t="s">
        <v>296</v>
      </c>
      <c r="I3156" s="513">
        <v>-4669500</v>
      </c>
      <c r="J3156" s="513">
        <v>-3300</v>
      </c>
      <c r="K3156" s="513">
        <v>1415</v>
      </c>
      <c r="L3156" s="518" t="s">
        <v>3511</v>
      </c>
      <c r="M3156" s="152" t="s">
        <v>1566</v>
      </c>
      <c r="N3156" s="152" t="s">
        <v>1407</v>
      </c>
      <c r="O3156" s="152" t="s">
        <v>4480</v>
      </c>
      <c r="P3156" s="152" t="s">
        <v>4279</v>
      </c>
      <c r="Q3156" s="152" t="s">
        <v>4481</v>
      </c>
      <c r="R3156" s="152" t="s">
        <v>4472</v>
      </c>
      <c r="S3156" s="152" t="s">
        <v>4482</v>
      </c>
      <c r="T3156" s="152" t="s">
        <v>786</v>
      </c>
    </row>
    <row r="3157" spans="3:20">
      <c r="C3157" s="152" t="s">
        <v>2821</v>
      </c>
      <c r="F3157" s="152" t="s">
        <v>295</v>
      </c>
      <c r="G3157" s="152" t="s">
        <v>296</v>
      </c>
      <c r="I3157" s="513">
        <v>-5533200</v>
      </c>
      <c r="J3157" s="513">
        <v>-3842.5</v>
      </c>
      <c r="K3157" s="513">
        <v>1440</v>
      </c>
      <c r="L3157" s="518" t="s">
        <v>3517</v>
      </c>
      <c r="M3157" s="152" t="s">
        <v>1566</v>
      </c>
      <c r="N3157" s="152" t="s">
        <v>1407</v>
      </c>
      <c r="O3157" s="152" t="s">
        <v>4483</v>
      </c>
      <c r="P3157" s="152" t="s">
        <v>1881</v>
      </c>
      <c r="Q3157" s="152" t="s">
        <v>4484</v>
      </c>
      <c r="R3157" s="152" t="s">
        <v>4485</v>
      </c>
      <c r="S3157" s="152" t="s">
        <v>4486</v>
      </c>
      <c r="T3157" s="152" t="s">
        <v>786</v>
      </c>
    </row>
    <row r="3158" spans="3:20">
      <c r="C3158" s="152" t="s">
        <v>2821</v>
      </c>
      <c r="F3158" s="152" t="s">
        <v>295</v>
      </c>
      <c r="G3158" s="152" t="s">
        <v>296</v>
      </c>
      <c r="I3158" s="513">
        <v>-5113440</v>
      </c>
      <c r="J3158" s="513">
        <v>-3551</v>
      </c>
      <c r="K3158" s="513">
        <v>1440</v>
      </c>
      <c r="L3158" s="518" t="s">
        <v>3517</v>
      </c>
      <c r="M3158" s="152" t="s">
        <v>1566</v>
      </c>
      <c r="N3158" s="152" t="s">
        <v>1407</v>
      </c>
      <c r="O3158" s="152" t="s">
        <v>4487</v>
      </c>
      <c r="P3158" s="152" t="s">
        <v>1881</v>
      </c>
      <c r="Q3158" s="152" t="s">
        <v>4488</v>
      </c>
      <c r="R3158" s="152" t="s">
        <v>4485</v>
      </c>
      <c r="S3158" s="152" t="s">
        <v>4489</v>
      </c>
      <c r="T3158" s="152" t="s">
        <v>786</v>
      </c>
    </row>
    <row r="3159" spans="3:20">
      <c r="C3159" s="152" t="s">
        <v>2821</v>
      </c>
      <c r="F3159" s="152" t="s">
        <v>295</v>
      </c>
      <c r="G3159" s="152" t="s">
        <v>296</v>
      </c>
      <c r="I3159" s="513">
        <v>-3739680</v>
      </c>
      <c r="J3159" s="513">
        <v>-2597</v>
      </c>
      <c r="K3159" s="513">
        <v>1440</v>
      </c>
      <c r="L3159" s="518" t="s">
        <v>3517</v>
      </c>
      <c r="M3159" s="152" t="s">
        <v>1566</v>
      </c>
      <c r="N3159" s="152" t="s">
        <v>1407</v>
      </c>
      <c r="O3159" s="152" t="s">
        <v>4490</v>
      </c>
      <c r="P3159" s="152" t="s">
        <v>1881</v>
      </c>
      <c r="Q3159" s="152" t="s">
        <v>4491</v>
      </c>
      <c r="R3159" s="152" t="s">
        <v>4485</v>
      </c>
      <c r="S3159" s="152" t="s">
        <v>4492</v>
      </c>
      <c r="T3159" s="152" t="s">
        <v>786</v>
      </c>
    </row>
    <row r="3160" spans="3:20">
      <c r="C3160" s="152" t="s">
        <v>2821</v>
      </c>
      <c r="F3160" s="152" t="s">
        <v>295</v>
      </c>
      <c r="G3160" s="152" t="s">
        <v>296</v>
      </c>
      <c r="I3160" s="513">
        <v>-2060640</v>
      </c>
      <c r="J3160" s="513">
        <v>-1431</v>
      </c>
      <c r="K3160" s="513">
        <v>1440</v>
      </c>
      <c r="L3160" s="518" t="s">
        <v>3517</v>
      </c>
      <c r="M3160" s="152" t="s">
        <v>1566</v>
      </c>
      <c r="N3160" s="152" t="s">
        <v>1407</v>
      </c>
      <c r="O3160" s="152" t="s">
        <v>4493</v>
      </c>
      <c r="P3160" s="152" t="s">
        <v>1881</v>
      </c>
      <c r="Q3160" s="152" t="s">
        <v>4494</v>
      </c>
      <c r="R3160" s="152" t="s">
        <v>4485</v>
      </c>
      <c r="S3160" s="152" t="s">
        <v>4495</v>
      </c>
      <c r="T3160" s="152" t="s">
        <v>786</v>
      </c>
    </row>
    <row r="3161" spans="3:20">
      <c r="C3161" s="152" t="s">
        <v>2821</v>
      </c>
      <c r="F3161" s="152" t="s">
        <v>295</v>
      </c>
      <c r="G3161" s="152" t="s">
        <v>296</v>
      </c>
      <c r="I3161" s="513">
        <v>-2163700</v>
      </c>
      <c r="J3161" s="513">
        <v>-1540</v>
      </c>
      <c r="K3161" s="513">
        <v>1405</v>
      </c>
      <c r="L3161" s="518" t="s">
        <v>3493</v>
      </c>
      <c r="M3161" s="152" t="s">
        <v>1566</v>
      </c>
      <c r="N3161" s="152" t="s">
        <v>1407</v>
      </c>
      <c r="O3161" s="152" t="s">
        <v>4496</v>
      </c>
      <c r="P3161" s="152" t="s">
        <v>4279</v>
      </c>
      <c r="Q3161" s="152" t="s">
        <v>4497</v>
      </c>
      <c r="R3161" s="152" t="s">
        <v>4498</v>
      </c>
      <c r="S3161" s="152" t="s">
        <v>4499</v>
      </c>
      <c r="T3161" s="152" t="s">
        <v>786</v>
      </c>
    </row>
    <row r="3162" spans="3:20">
      <c r="C3162" s="152" t="s">
        <v>2821</v>
      </c>
      <c r="F3162" s="152" t="s">
        <v>295</v>
      </c>
      <c r="G3162" s="152" t="s">
        <v>296</v>
      </c>
      <c r="I3162" s="513">
        <v>-3245550</v>
      </c>
      <c r="J3162" s="513">
        <v>-2310</v>
      </c>
      <c r="K3162" s="513">
        <v>1405</v>
      </c>
      <c r="L3162" s="518" t="s">
        <v>3493</v>
      </c>
      <c r="M3162" s="152" t="s">
        <v>1566</v>
      </c>
      <c r="N3162" s="152" t="s">
        <v>1407</v>
      </c>
      <c r="O3162" s="152" t="s">
        <v>4500</v>
      </c>
      <c r="P3162" s="152" t="s">
        <v>4279</v>
      </c>
      <c r="Q3162" s="152" t="s">
        <v>4501</v>
      </c>
      <c r="R3162" s="152" t="s">
        <v>4498</v>
      </c>
      <c r="S3162" s="152" t="s">
        <v>4502</v>
      </c>
      <c r="T3162" s="152" t="s">
        <v>786</v>
      </c>
    </row>
    <row r="3163" spans="3:20">
      <c r="C3163" s="152" t="s">
        <v>2821</v>
      </c>
      <c r="F3163" s="152" t="s">
        <v>295</v>
      </c>
      <c r="G3163" s="152" t="s">
        <v>296</v>
      </c>
      <c r="I3163" s="513">
        <v>-2859175</v>
      </c>
      <c r="J3163" s="513">
        <v>-2035</v>
      </c>
      <c r="K3163" s="513">
        <v>1405</v>
      </c>
      <c r="L3163" s="518" t="s">
        <v>3493</v>
      </c>
      <c r="M3163" s="152" t="s">
        <v>1566</v>
      </c>
      <c r="N3163" s="152" t="s">
        <v>1407</v>
      </c>
      <c r="O3163" s="152" t="s">
        <v>4503</v>
      </c>
      <c r="P3163" s="152" t="s">
        <v>4279</v>
      </c>
      <c r="Q3163" s="152" t="s">
        <v>4504</v>
      </c>
      <c r="R3163" s="152" t="s">
        <v>4498</v>
      </c>
      <c r="S3163" s="152" t="s">
        <v>4505</v>
      </c>
      <c r="T3163" s="152" t="s">
        <v>786</v>
      </c>
    </row>
    <row r="3164" spans="3:20">
      <c r="C3164" s="152" t="s">
        <v>2821</v>
      </c>
      <c r="F3164" s="152" t="s">
        <v>295</v>
      </c>
      <c r="G3164" s="152" t="s">
        <v>296</v>
      </c>
      <c r="I3164" s="513">
        <v>-4443312.5</v>
      </c>
      <c r="J3164" s="513">
        <v>-3162.5</v>
      </c>
      <c r="K3164" s="513">
        <v>1405</v>
      </c>
      <c r="L3164" s="518" t="s">
        <v>3493</v>
      </c>
      <c r="M3164" s="152" t="s">
        <v>1566</v>
      </c>
      <c r="N3164" s="152" t="s">
        <v>1407</v>
      </c>
      <c r="O3164" s="152" t="s">
        <v>4506</v>
      </c>
      <c r="P3164" s="152" t="s">
        <v>4279</v>
      </c>
      <c r="Q3164" s="152" t="s">
        <v>4507</v>
      </c>
      <c r="R3164" s="152" t="s">
        <v>4498</v>
      </c>
      <c r="S3164" s="152" t="s">
        <v>4508</v>
      </c>
      <c r="T3164" s="152" t="s">
        <v>786</v>
      </c>
    </row>
    <row r="3165" spans="3:20">
      <c r="C3165" s="152" t="s">
        <v>2821</v>
      </c>
      <c r="F3165" s="152" t="s">
        <v>295</v>
      </c>
      <c r="G3165" s="152" t="s">
        <v>296</v>
      </c>
      <c r="I3165" s="513">
        <v>-2310000</v>
      </c>
      <c r="J3165" s="513">
        <v>-1650</v>
      </c>
      <c r="K3165" s="513">
        <v>1400</v>
      </c>
      <c r="L3165" s="518" t="s">
        <v>3659</v>
      </c>
      <c r="M3165" s="152" t="s">
        <v>1566</v>
      </c>
      <c r="N3165" s="152" t="s">
        <v>1407</v>
      </c>
      <c r="O3165" s="152" t="s">
        <v>4509</v>
      </c>
      <c r="P3165" s="152" t="s">
        <v>4279</v>
      </c>
      <c r="Q3165" s="152" t="s">
        <v>4510</v>
      </c>
      <c r="R3165" s="152" t="s">
        <v>4511</v>
      </c>
      <c r="S3165" s="152" t="s">
        <v>4512</v>
      </c>
      <c r="T3165" s="152" t="s">
        <v>786</v>
      </c>
    </row>
    <row r="3166" spans="3:20">
      <c r="C3166" s="152" t="s">
        <v>2821</v>
      </c>
      <c r="F3166" s="152" t="s">
        <v>295</v>
      </c>
      <c r="G3166" s="152" t="s">
        <v>296</v>
      </c>
      <c r="I3166" s="513">
        <v>-2541000</v>
      </c>
      <c r="J3166" s="513">
        <v>-1815</v>
      </c>
      <c r="K3166" s="513">
        <v>1400</v>
      </c>
      <c r="L3166" s="518" t="s">
        <v>3659</v>
      </c>
      <c r="M3166" s="152" t="s">
        <v>1566</v>
      </c>
      <c r="N3166" s="152" t="s">
        <v>1407</v>
      </c>
      <c r="O3166" s="152" t="s">
        <v>4513</v>
      </c>
      <c r="P3166" s="152" t="s">
        <v>4279</v>
      </c>
      <c r="Q3166" s="152" t="s">
        <v>4514</v>
      </c>
      <c r="R3166" s="152" t="s">
        <v>4511</v>
      </c>
      <c r="S3166" s="152" t="s">
        <v>4515</v>
      </c>
      <c r="T3166" s="152" t="s">
        <v>786</v>
      </c>
    </row>
    <row r="3167" spans="3:20">
      <c r="C3167" s="152" t="s">
        <v>2821</v>
      </c>
      <c r="F3167" s="152" t="s">
        <v>295</v>
      </c>
      <c r="G3167" s="152" t="s">
        <v>296</v>
      </c>
      <c r="I3167" s="513">
        <v>-2062362.5</v>
      </c>
      <c r="J3167" s="513">
        <v>-1457.5</v>
      </c>
      <c r="K3167" s="513">
        <v>1415</v>
      </c>
      <c r="L3167" s="518" t="s">
        <v>3632</v>
      </c>
      <c r="M3167" s="152" t="s">
        <v>1566</v>
      </c>
      <c r="N3167" s="152" t="s">
        <v>1407</v>
      </c>
      <c r="O3167" s="152" t="s">
        <v>4516</v>
      </c>
      <c r="P3167" s="152" t="s">
        <v>4279</v>
      </c>
      <c r="Q3167" s="152" t="s">
        <v>4517</v>
      </c>
      <c r="R3167" s="152" t="s">
        <v>4518</v>
      </c>
      <c r="S3167" s="152" t="s">
        <v>4519</v>
      </c>
      <c r="T3167" s="152" t="s">
        <v>786</v>
      </c>
    </row>
    <row r="3168" spans="3:20">
      <c r="C3168" s="152" t="s">
        <v>2821</v>
      </c>
      <c r="F3168" s="152" t="s">
        <v>295</v>
      </c>
      <c r="G3168" s="152" t="s">
        <v>296</v>
      </c>
      <c r="I3168" s="513">
        <v>-2723875</v>
      </c>
      <c r="J3168" s="513">
        <v>-1925</v>
      </c>
      <c r="K3168" s="513">
        <v>1415</v>
      </c>
      <c r="L3168" s="518" t="s">
        <v>3632</v>
      </c>
      <c r="M3168" s="152" t="s">
        <v>1566</v>
      </c>
      <c r="N3168" s="152" t="s">
        <v>1407</v>
      </c>
      <c r="O3168" s="152" t="s">
        <v>4520</v>
      </c>
      <c r="P3168" s="152" t="s">
        <v>4279</v>
      </c>
      <c r="Q3168" s="152" t="s">
        <v>4521</v>
      </c>
      <c r="R3168" s="152" t="s">
        <v>4518</v>
      </c>
      <c r="S3168" s="152" t="s">
        <v>4522</v>
      </c>
      <c r="T3168" s="152" t="s">
        <v>786</v>
      </c>
    </row>
    <row r="3169" spans="3:20">
      <c r="C3169" s="152" t="s">
        <v>2821</v>
      </c>
      <c r="F3169" s="152" t="s">
        <v>295</v>
      </c>
      <c r="G3169" s="152" t="s">
        <v>296</v>
      </c>
      <c r="I3169" s="513">
        <v>-2646050</v>
      </c>
      <c r="J3169" s="513">
        <v>-1870</v>
      </c>
      <c r="K3169" s="513">
        <v>1415</v>
      </c>
      <c r="L3169" s="518" t="s">
        <v>3632</v>
      </c>
      <c r="M3169" s="152" t="s">
        <v>1566</v>
      </c>
      <c r="N3169" s="152" t="s">
        <v>1407</v>
      </c>
      <c r="O3169" s="152" t="s">
        <v>4523</v>
      </c>
      <c r="P3169" s="152" t="s">
        <v>4279</v>
      </c>
      <c r="Q3169" s="152" t="s">
        <v>4524</v>
      </c>
      <c r="R3169" s="152" t="s">
        <v>4518</v>
      </c>
      <c r="S3169" s="152" t="s">
        <v>4525</v>
      </c>
      <c r="T3169" s="152" t="s">
        <v>786</v>
      </c>
    </row>
    <row r="3170" spans="3:20">
      <c r="C3170" s="152" t="s">
        <v>2821</v>
      </c>
      <c r="F3170" s="152" t="s">
        <v>295</v>
      </c>
      <c r="G3170" s="152" t="s">
        <v>296</v>
      </c>
      <c r="I3170" s="513">
        <v>-2607137.5</v>
      </c>
      <c r="J3170" s="513">
        <v>-1842.5</v>
      </c>
      <c r="K3170" s="513">
        <v>1415</v>
      </c>
      <c r="L3170" s="518" t="s">
        <v>3632</v>
      </c>
      <c r="M3170" s="152" t="s">
        <v>1566</v>
      </c>
      <c r="N3170" s="152" t="s">
        <v>1407</v>
      </c>
      <c r="O3170" s="152" t="s">
        <v>4526</v>
      </c>
      <c r="P3170" s="152" t="s">
        <v>4279</v>
      </c>
      <c r="Q3170" s="152" t="s">
        <v>4527</v>
      </c>
      <c r="R3170" s="152" t="s">
        <v>4518</v>
      </c>
      <c r="S3170" s="152" t="s">
        <v>4528</v>
      </c>
      <c r="T3170" s="152" t="s">
        <v>786</v>
      </c>
    </row>
    <row r="3171" spans="3:20">
      <c r="C3171" s="152" t="s">
        <v>2821</v>
      </c>
      <c r="F3171" s="152" t="s">
        <v>295</v>
      </c>
      <c r="G3171" s="152" t="s">
        <v>296</v>
      </c>
      <c r="I3171" s="513">
        <v>-1279575</v>
      </c>
      <c r="J3171" s="513">
        <v>-907.5</v>
      </c>
      <c r="K3171" s="513">
        <v>1410</v>
      </c>
      <c r="L3171" s="518" t="s">
        <v>3498</v>
      </c>
      <c r="M3171" s="152" t="s">
        <v>1566</v>
      </c>
      <c r="N3171" s="152" t="s">
        <v>1407</v>
      </c>
      <c r="O3171" s="152" t="s">
        <v>4529</v>
      </c>
      <c r="P3171" s="152" t="s">
        <v>4279</v>
      </c>
      <c r="Q3171" s="152" t="s">
        <v>4530</v>
      </c>
      <c r="R3171" s="152" t="s">
        <v>4531</v>
      </c>
      <c r="S3171" s="152" t="s">
        <v>4532</v>
      </c>
      <c r="T3171" s="152" t="s">
        <v>786</v>
      </c>
    </row>
    <row r="3172" spans="3:20">
      <c r="C3172" s="152" t="s">
        <v>2821</v>
      </c>
      <c r="F3172" s="152" t="s">
        <v>295</v>
      </c>
      <c r="G3172" s="152" t="s">
        <v>296</v>
      </c>
      <c r="I3172" s="513">
        <v>-1706100</v>
      </c>
      <c r="J3172" s="513">
        <v>-1210</v>
      </c>
      <c r="K3172" s="513">
        <v>1410</v>
      </c>
      <c r="L3172" s="518" t="s">
        <v>3498</v>
      </c>
      <c r="M3172" s="152" t="s">
        <v>1566</v>
      </c>
      <c r="N3172" s="152" t="s">
        <v>1407</v>
      </c>
      <c r="O3172" s="152" t="s">
        <v>4533</v>
      </c>
      <c r="P3172" s="152" t="s">
        <v>4279</v>
      </c>
      <c r="Q3172" s="152" t="s">
        <v>4534</v>
      </c>
      <c r="R3172" s="152" t="s">
        <v>4531</v>
      </c>
      <c r="S3172" s="152" t="s">
        <v>4535</v>
      </c>
      <c r="T3172" s="152" t="s">
        <v>786</v>
      </c>
    </row>
    <row r="3173" spans="3:20">
      <c r="C3173" s="152" t="s">
        <v>2821</v>
      </c>
      <c r="F3173" s="152" t="s">
        <v>295</v>
      </c>
      <c r="G3173" s="152" t="s">
        <v>296</v>
      </c>
      <c r="I3173" s="513">
        <v>-3063225</v>
      </c>
      <c r="J3173" s="513">
        <v>-2172.5</v>
      </c>
      <c r="K3173" s="513">
        <v>1410</v>
      </c>
      <c r="L3173" s="518" t="s">
        <v>3498</v>
      </c>
      <c r="M3173" s="152" t="s">
        <v>1566</v>
      </c>
      <c r="N3173" s="152" t="s">
        <v>1407</v>
      </c>
      <c r="O3173" s="152" t="s">
        <v>4536</v>
      </c>
      <c r="P3173" s="152" t="s">
        <v>4279</v>
      </c>
      <c r="Q3173" s="152" t="s">
        <v>4537</v>
      </c>
      <c r="R3173" s="152" t="s">
        <v>4531</v>
      </c>
      <c r="S3173" s="152" t="s">
        <v>4538</v>
      </c>
      <c r="T3173" s="152" t="s">
        <v>786</v>
      </c>
    </row>
    <row r="3174" spans="3:20">
      <c r="C3174" s="152" t="s">
        <v>2821</v>
      </c>
      <c r="F3174" s="152" t="s">
        <v>295</v>
      </c>
      <c r="G3174" s="152" t="s">
        <v>296</v>
      </c>
      <c r="I3174" s="513">
        <v>-2520375</v>
      </c>
      <c r="J3174" s="513">
        <v>-1787.5</v>
      </c>
      <c r="K3174" s="513">
        <v>1410</v>
      </c>
      <c r="L3174" s="518" t="s">
        <v>3498</v>
      </c>
      <c r="M3174" s="152" t="s">
        <v>1566</v>
      </c>
      <c r="N3174" s="152" t="s">
        <v>1407</v>
      </c>
      <c r="O3174" s="152" t="s">
        <v>4546</v>
      </c>
      <c r="P3174" s="152" t="s">
        <v>4279</v>
      </c>
      <c r="Q3174" s="152" t="s">
        <v>4547</v>
      </c>
      <c r="R3174" s="152" t="s">
        <v>4548</v>
      </c>
      <c r="S3174" s="152" t="s">
        <v>4549</v>
      </c>
      <c r="T3174" s="152" t="s">
        <v>786</v>
      </c>
    </row>
    <row r="3175" spans="3:20">
      <c r="C3175" s="152" t="s">
        <v>2821</v>
      </c>
      <c r="F3175" s="152" t="s">
        <v>295</v>
      </c>
      <c r="G3175" s="152" t="s">
        <v>296</v>
      </c>
      <c r="I3175" s="513">
        <v>-2442825</v>
      </c>
      <c r="J3175" s="513">
        <v>-1732.5</v>
      </c>
      <c r="K3175" s="513">
        <v>1410</v>
      </c>
      <c r="L3175" s="518" t="s">
        <v>3498</v>
      </c>
      <c r="M3175" s="152" t="s">
        <v>1566</v>
      </c>
      <c r="N3175" s="152" t="s">
        <v>1407</v>
      </c>
      <c r="O3175" s="152" t="s">
        <v>4550</v>
      </c>
      <c r="P3175" s="152" t="s">
        <v>4279</v>
      </c>
      <c r="Q3175" s="152" t="s">
        <v>4551</v>
      </c>
      <c r="R3175" s="152" t="s">
        <v>4548</v>
      </c>
      <c r="S3175" s="152" t="s">
        <v>4552</v>
      </c>
      <c r="T3175" s="152" t="s">
        <v>786</v>
      </c>
    </row>
    <row r="3176" spans="3:20">
      <c r="C3176" s="152" t="s">
        <v>2821</v>
      </c>
      <c r="F3176" s="152" t="s">
        <v>295</v>
      </c>
      <c r="G3176" s="152" t="s">
        <v>296</v>
      </c>
      <c r="I3176" s="513">
        <v>-2248950</v>
      </c>
      <c r="J3176" s="513">
        <v>-1595</v>
      </c>
      <c r="K3176" s="513">
        <v>1410</v>
      </c>
      <c r="L3176" s="518" t="s">
        <v>3498</v>
      </c>
      <c r="M3176" s="152" t="s">
        <v>1566</v>
      </c>
      <c r="N3176" s="152" t="s">
        <v>1407</v>
      </c>
      <c r="O3176" s="152" t="s">
        <v>4553</v>
      </c>
      <c r="P3176" s="152" t="s">
        <v>4279</v>
      </c>
      <c r="Q3176" s="152" t="s">
        <v>4554</v>
      </c>
      <c r="R3176" s="152" t="s">
        <v>4548</v>
      </c>
      <c r="S3176" s="152" t="s">
        <v>4555</v>
      </c>
      <c r="T3176" s="152" t="s">
        <v>786</v>
      </c>
    </row>
    <row r="3177" spans="3:20">
      <c r="C3177" s="152" t="s">
        <v>2821</v>
      </c>
      <c r="F3177" s="152" t="s">
        <v>295</v>
      </c>
      <c r="G3177" s="152" t="s">
        <v>296</v>
      </c>
      <c r="I3177" s="513">
        <v>-2248950</v>
      </c>
      <c r="J3177" s="513">
        <v>-1595</v>
      </c>
      <c r="K3177" s="513">
        <v>1410</v>
      </c>
      <c r="L3177" s="518" t="s">
        <v>3498</v>
      </c>
      <c r="M3177" s="152" t="s">
        <v>1566</v>
      </c>
      <c r="N3177" s="152" t="s">
        <v>1407</v>
      </c>
      <c r="O3177" s="152" t="s">
        <v>4556</v>
      </c>
      <c r="P3177" s="152" t="s">
        <v>4279</v>
      </c>
      <c r="Q3177" s="152" t="s">
        <v>4557</v>
      </c>
      <c r="R3177" s="152" t="s">
        <v>4548</v>
      </c>
      <c r="S3177" s="152" t="s">
        <v>4558</v>
      </c>
      <c r="T3177" s="152" t="s">
        <v>786</v>
      </c>
    </row>
    <row r="3178" spans="3:20">
      <c r="C3178" s="152" t="s">
        <v>2821</v>
      </c>
      <c r="F3178" s="152" t="s">
        <v>295</v>
      </c>
      <c r="G3178" s="152" t="s">
        <v>296</v>
      </c>
      <c r="I3178" s="513">
        <v>-3041500</v>
      </c>
      <c r="J3178" s="513">
        <v>-2172.5</v>
      </c>
      <c r="K3178" s="513">
        <v>1400</v>
      </c>
      <c r="L3178" s="518" t="s">
        <v>3659</v>
      </c>
      <c r="M3178" s="152" t="s">
        <v>1566</v>
      </c>
      <c r="N3178" s="152" t="s">
        <v>1407</v>
      </c>
      <c r="O3178" s="152" t="s">
        <v>4559</v>
      </c>
      <c r="P3178" s="152" t="s">
        <v>4279</v>
      </c>
      <c r="Q3178" s="152" t="s">
        <v>4560</v>
      </c>
      <c r="R3178" s="152" t="s">
        <v>4561</v>
      </c>
      <c r="S3178" s="152" t="s">
        <v>4562</v>
      </c>
      <c r="T3178" s="152" t="s">
        <v>786</v>
      </c>
    </row>
    <row r="3179" spans="3:20">
      <c r="C3179" s="152" t="s">
        <v>2821</v>
      </c>
      <c r="F3179" s="152" t="s">
        <v>295</v>
      </c>
      <c r="G3179" s="152" t="s">
        <v>296</v>
      </c>
      <c r="I3179" s="513">
        <v>-4235000</v>
      </c>
      <c r="J3179" s="513">
        <v>-3025</v>
      </c>
      <c r="K3179" s="513">
        <v>1400</v>
      </c>
      <c r="L3179" s="518" t="s">
        <v>3659</v>
      </c>
      <c r="M3179" s="152" t="s">
        <v>1566</v>
      </c>
      <c r="N3179" s="152" t="s">
        <v>1407</v>
      </c>
      <c r="O3179" s="152" t="s">
        <v>4563</v>
      </c>
      <c r="P3179" s="152" t="s">
        <v>4279</v>
      </c>
      <c r="Q3179" s="152" t="s">
        <v>4564</v>
      </c>
      <c r="R3179" s="152" t="s">
        <v>4561</v>
      </c>
      <c r="S3179" s="152" t="s">
        <v>4565</v>
      </c>
      <c r="T3179" s="152" t="s">
        <v>786</v>
      </c>
    </row>
    <row r="3180" spans="3:20">
      <c r="C3180" s="152" t="s">
        <v>2821</v>
      </c>
      <c r="F3180" s="152" t="s">
        <v>295</v>
      </c>
      <c r="G3180" s="152" t="s">
        <v>296</v>
      </c>
      <c r="I3180" s="513">
        <v>-3811500</v>
      </c>
      <c r="J3180" s="513">
        <v>-2722.5</v>
      </c>
      <c r="K3180" s="513">
        <v>1400</v>
      </c>
      <c r="L3180" s="518" t="s">
        <v>3659</v>
      </c>
      <c r="M3180" s="152" t="s">
        <v>1566</v>
      </c>
      <c r="N3180" s="152" t="s">
        <v>1407</v>
      </c>
      <c r="O3180" s="152" t="s">
        <v>4566</v>
      </c>
      <c r="P3180" s="152" t="s">
        <v>4279</v>
      </c>
      <c r="Q3180" s="152" t="s">
        <v>4567</v>
      </c>
      <c r="R3180" s="152" t="s">
        <v>4561</v>
      </c>
      <c r="S3180" s="152" t="s">
        <v>4568</v>
      </c>
      <c r="T3180" s="152" t="s">
        <v>786</v>
      </c>
    </row>
    <row r="3181" spans="3:20">
      <c r="C3181" s="152" t="s">
        <v>2821</v>
      </c>
      <c r="F3181" s="152" t="s">
        <v>295</v>
      </c>
      <c r="G3181" s="152" t="s">
        <v>296</v>
      </c>
      <c r="I3181" s="513">
        <v>-2618000</v>
      </c>
      <c r="J3181" s="513">
        <v>-1870</v>
      </c>
      <c r="K3181" s="513">
        <v>1400</v>
      </c>
      <c r="L3181" s="518" t="s">
        <v>3659</v>
      </c>
      <c r="M3181" s="152" t="s">
        <v>1566</v>
      </c>
      <c r="N3181" s="152" t="s">
        <v>1407</v>
      </c>
      <c r="O3181" s="152" t="s">
        <v>4569</v>
      </c>
      <c r="P3181" s="152" t="s">
        <v>4279</v>
      </c>
      <c r="Q3181" s="152" t="s">
        <v>4570</v>
      </c>
      <c r="R3181" s="152" t="s">
        <v>4561</v>
      </c>
      <c r="S3181" s="152" t="s">
        <v>4571</v>
      </c>
      <c r="T3181" s="152" t="s">
        <v>786</v>
      </c>
    </row>
    <row r="3182" spans="3:20">
      <c r="C3182" s="152" t="s">
        <v>2821</v>
      </c>
      <c r="F3182" s="152" t="s">
        <v>295</v>
      </c>
      <c r="G3182" s="152" t="s">
        <v>296</v>
      </c>
      <c r="I3182" s="513">
        <v>-9124500</v>
      </c>
      <c r="J3182" s="513">
        <v>-6517.5</v>
      </c>
      <c r="K3182" s="513">
        <v>1400</v>
      </c>
      <c r="L3182" s="518" t="s">
        <v>3659</v>
      </c>
      <c r="M3182" s="152" t="s">
        <v>1566</v>
      </c>
      <c r="N3182" s="152" t="s">
        <v>1407</v>
      </c>
      <c r="O3182" s="152" t="s">
        <v>4572</v>
      </c>
      <c r="P3182" s="152" t="s">
        <v>4279</v>
      </c>
      <c r="Q3182" s="152" t="s">
        <v>4573</v>
      </c>
      <c r="R3182" s="152" t="s">
        <v>4561</v>
      </c>
      <c r="S3182" s="152" t="s">
        <v>4574</v>
      </c>
      <c r="T3182" s="152" t="s">
        <v>786</v>
      </c>
    </row>
    <row r="3183" spans="3:20">
      <c r="C3183" s="152" t="s">
        <v>2821</v>
      </c>
      <c r="F3183" s="152" t="s">
        <v>295</v>
      </c>
      <c r="G3183" s="152" t="s">
        <v>296</v>
      </c>
      <c r="I3183" s="513">
        <v>-6160000</v>
      </c>
      <c r="J3183" s="513">
        <v>-4400</v>
      </c>
      <c r="K3183" s="513">
        <v>1400</v>
      </c>
      <c r="L3183" s="518" t="s">
        <v>3659</v>
      </c>
      <c r="M3183" s="152" t="s">
        <v>1566</v>
      </c>
      <c r="N3183" s="152" t="s">
        <v>1407</v>
      </c>
      <c r="O3183" s="152" t="s">
        <v>4575</v>
      </c>
      <c r="P3183" s="152" t="s">
        <v>4279</v>
      </c>
      <c r="Q3183" s="152" t="s">
        <v>4576</v>
      </c>
      <c r="R3183" s="152" t="s">
        <v>4561</v>
      </c>
      <c r="S3183" s="152" t="s">
        <v>4577</v>
      </c>
      <c r="T3183" s="152" t="s">
        <v>786</v>
      </c>
    </row>
    <row r="3184" spans="3:20">
      <c r="C3184" s="152" t="s">
        <v>2821</v>
      </c>
      <c r="F3184" s="152" t="s">
        <v>295</v>
      </c>
      <c r="G3184" s="152" t="s">
        <v>296</v>
      </c>
      <c r="I3184" s="513">
        <v>-5120500</v>
      </c>
      <c r="J3184" s="513">
        <v>-3657.5</v>
      </c>
      <c r="K3184" s="513">
        <v>1400</v>
      </c>
      <c r="L3184" s="518" t="s">
        <v>3659</v>
      </c>
      <c r="M3184" s="152" t="s">
        <v>1566</v>
      </c>
      <c r="N3184" s="152" t="s">
        <v>1407</v>
      </c>
      <c r="O3184" s="152" t="s">
        <v>4578</v>
      </c>
      <c r="P3184" s="152" t="s">
        <v>4279</v>
      </c>
      <c r="Q3184" s="152" t="s">
        <v>4579</v>
      </c>
      <c r="R3184" s="152" t="s">
        <v>4561</v>
      </c>
      <c r="S3184" s="152" t="s">
        <v>4580</v>
      </c>
      <c r="T3184" s="152" t="s">
        <v>786</v>
      </c>
    </row>
    <row r="3185" spans="3:20">
      <c r="C3185" s="152" t="s">
        <v>2821</v>
      </c>
      <c r="F3185" s="152" t="s">
        <v>295</v>
      </c>
      <c r="G3185" s="152" t="s">
        <v>296</v>
      </c>
      <c r="I3185" s="513">
        <v>-3426500</v>
      </c>
      <c r="J3185" s="513">
        <v>-2447.5</v>
      </c>
      <c r="K3185" s="513">
        <v>1400</v>
      </c>
      <c r="L3185" s="518" t="s">
        <v>3659</v>
      </c>
      <c r="M3185" s="152" t="s">
        <v>1566</v>
      </c>
      <c r="N3185" s="152" t="s">
        <v>1407</v>
      </c>
      <c r="O3185" s="152" t="s">
        <v>4581</v>
      </c>
      <c r="P3185" s="152" t="s">
        <v>4279</v>
      </c>
      <c r="Q3185" s="152" t="s">
        <v>4582</v>
      </c>
      <c r="R3185" s="152" t="s">
        <v>4561</v>
      </c>
      <c r="S3185" s="152" t="s">
        <v>4583</v>
      </c>
      <c r="T3185" s="152" t="s">
        <v>786</v>
      </c>
    </row>
    <row r="3186" spans="3:20">
      <c r="C3186" s="152" t="s">
        <v>2821</v>
      </c>
      <c r="F3186" s="152" t="s">
        <v>295</v>
      </c>
      <c r="G3186" s="152" t="s">
        <v>296</v>
      </c>
      <c r="I3186" s="513">
        <v>-2964500</v>
      </c>
      <c r="J3186" s="513">
        <v>-2117.5</v>
      </c>
      <c r="K3186" s="513">
        <v>1400</v>
      </c>
      <c r="L3186" s="518" t="s">
        <v>3659</v>
      </c>
      <c r="M3186" s="152" t="s">
        <v>1566</v>
      </c>
      <c r="N3186" s="152" t="s">
        <v>1407</v>
      </c>
      <c r="O3186" s="152" t="s">
        <v>4584</v>
      </c>
      <c r="P3186" s="152" t="s">
        <v>4279</v>
      </c>
      <c r="Q3186" s="152" t="s">
        <v>4585</v>
      </c>
      <c r="R3186" s="152" t="s">
        <v>4561</v>
      </c>
      <c r="S3186" s="152" t="s">
        <v>4586</v>
      </c>
      <c r="T3186" s="152" t="s">
        <v>786</v>
      </c>
    </row>
    <row r="3187" spans="3:20">
      <c r="C3187" s="152" t="s">
        <v>2821</v>
      </c>
      <c r="F3187" s="152" t="s">
        <v>295</v>
      </c>
      <c r="G3187" s="152" t="s">
        <v>296</v>
      </c>
      <c r="I3187" s="513">
        <v>-3118500</v>
      </c>
      <c r="J3187" s="513">
        <v>-2227.5</v>
      </c>
      <c r="K3187" s="513">
        <v>1400</v>
      </c>
      <c r="L3187" s="518" t="s">
        <v>3659</v>
      </c>
      <c r="M3187" s="152" t="s">
        <v>1566</v>
      </c>
      <c r="N3187" s="152" t="s">
        <v>1407</v>
      </c>
      <c r="O3187" s="152" t="s">
        <v>4587</v>
      </c>
      <c r="P3187" s="152" t="s">
        <v>4279</v>
      </c>
      <c r="Q3187" s="152" t="s">
        <v>4588</v>
      </c>
      <c r="R3187" s="152" t="s">
        <v>4561</v>
      </c>
      <c r="S3187" s="152" t="s">
        <v>4589</v>
      </c>
      <c r="T3187" s="152" t="s">
        <v>786</v>
      </c>
    </row>
    <row r="3188" spans="3:20">
      <c r="C3188" s="152" t="s">
        <v>2821</v>
      </c>
      <c r="F3188" s="152" t="s">
        <v>295</v>
      </c>
      <c r="G3188" s="152" t="s">
        <v>296</v>
      </c>
      <c r="I3188" s="513">
        <v>-4966500</v>
      </c>
      <c r="J3188" s="513">
        <v>-3547.5</v>
      </c>
      <c r="K3188" s="513">
        <v>1400</v>
      </c>
      <c r="L3188" s="518" t="s">
        <v>3659</v>
      </c>
      <c r="M3188" s="152" t="s">
        <v>1566</v>
      </c>
      <c r="N3188" s="152" t="s">
        <v>1407</v>
      </c>
      <c r="O3188" s="152" t="s">
        <v>4590</v>
      </c>
      <c r="P3188" s="152" t="s">
        <v>4279</v>
      </c>
      <c r="Q3188" s="152" t="s">
        <v>4591</v>
      </c>
      <c r="R3188" s="152" t="s">
        <v>4561</v>
      </c>
      <c r="S3188" s="152" t="s">
        <v>4592</v>
      </c>
      <c r="T3188" s="152" t="s">
        <v>786</v>
      </c>
    </row>
    <row r="3189" spans="3:20">
      <c r="C3189" s="152" t="s">
        <v>2821</v>
      </c>
      <c r="F3189" s="152" t="s">
        <v>295</v>
      </c>
      <c r="G3189" s="152" t="s">
        <v>296</v>
      </c>
      <c r="I3189" s="513">
        <v>-8008000</v>
      </c>
      <c r="J3189" s="513">
        <v>-5720</v>
      </c>
      <c r="K3189" s="513">
        <v>1400</v>
      </c>
      <c r="L3189" s="518" t="s">
        <v>3659</v>
      </c>
      <c r="M3189" s="152" t="s">
        <v>1566</v>
      </c>
      <c r="N3189" s="152" t="s">
        <v>1407</v>
      </c>
      <c r="O3189" s="152" t="s">
        <v>4593</v>
      </c>
      <c r="P3189" s="152" t="s">
        <v>4279</v>
      </c>
      <c r="Q3189" s="152" t="s">
        <v>4594</v>
      </c>
      <c r="R3189" s="152" t="s">
        <v>4561</v>
      </c>
      <c r="S3189" s="152" t="s">
        <v>4595</v>
      </c>
      <c r="T3189" s="152" t="s">
        <v>786</v>
      </c>
    </row>
    <row r="3190" spans="3:20">
      <c r="C3190" s="152" t="s">
        <v>2821</v>
      </c>
      <c r="F3190" s="152" t="s">
        <v>295</v>
      </c>
      <c r="G3190" s="152" t="s">
        <v>296</v>
      </c>
      <c r="I3190" s="513">
        <v>-2265750</v>
      </c>
      <c r="J3190" s="513">
        <v>-1590</v>
      </c>
      <c r="K3190" s="513">
        <v>1425</v>
      </c>
      <c r="L3190" s="518" t="s">
        <v>3637</v>
      </c>
      <c r="M3190" s="152" t="s">
        <v>1566</v>
      </c>
      <c r="N3190" s="152" t="s">
        <v>1407</v>
      </c>
      <c r="O3190" s="152" t="s">
        <v>4596</v>
      </c>
      <c r="P3190" s="152" t="s">
        <v>1881</v>
      </c>
      <c r="Q3190" s="152" t="s">
        <v>4597</v>
      </c>
      <c r="R3190" s="152" t="s">
        <v>4598</v>
      </c>
      <c r="S3190" s="152" t="s">
        <v>4599</v>
      </c>
      <c r="T3190" s="152" t="s">
        <v>786</v>
      </c>
    </row>
    <row r="3191" spans="3:20">
      <c r="C3191" s="152" t="s">
        <v>2821</v>
      </c>
      <c r="F3191" s="152" t="s">
        <v>295</v>
      </c>
      <c r="G3191" s="152" t="s">
        <v>296</v>
      </c>
      <c r="I3191" s="513">
        <v>-1737075</v>
      </c>
      <c r="J3191" s="513">
        <v>-1219</v>
      </c>
      <c r="K3191" s="513">
        <v>1425</v>
      </c>
      <c r="L3191" s="518" t="s">
        <v>3637</v>
      </c>
      <c r="M3191" s="152" t="s">
        <v>1566</v>
      </c>
      <c r="N3191" s="152" t="s">
        <v>1407</v>
      </c>
      <c r="O3191" s="152" t="s">
        <v>4600</v>
      </c>
      <c r="P3191" s="152" t="s">
        <v>1881</v>
      </c>
      <c r="Q3191" s="152" t="s">
        <v>4601</v>
      </c>
      <c r="R3191" s="152" t="s">
        <v>4598</v>
      </c>
      <c r="S3191" s="152" t="s">
        <v>4602</v>
      </c>
      <c r="T3191" s="152" t="s">
        <v>786</v>
      </c>
    </row>
    <row r="3192" spans="3:20">
      <c r="C3192" s="152" t="s">
        <v>2821</v>
      </c>
      <c r="F3192" s="152" t="s">
        <v>295</v>
      </c>
      <c r="G3192" s="152" t="s">
        <v>296</v>
      </c>
      <c r="I3192" s="513">
        <v>-3058762.5</v>
      </c>
      <c r="J3192" s="513">
        <v>-2146.5</v>
      </c>
      <c r="K3192" s="513">
        <v>1425</v>
      </c>
      <c r="L3192" s="518" t="s">
        <v>3637</v>
      </c>
      <c r="M3192" s="152" t="s">
        <v>1566</v>
      </c>
      <c r="N3192" s="152" t="s">
        <v>1407</v>
      </c>
      <c r="O3192" s="152" t="s">
        <v>4603</v>
      </c>
      <c r="P3192" s="152" t="s">
        <v>1881</v>
      </c>
      <c r="Q3192" s="152" t="s">
        <v>4604</v>
      </c>
      <c r="R3192" s="152" t="s">
        <v>4598</v>
      </c>
      <c r="S3192" s="152" t="s">
        <v>4605</v>
      </c>
      <c r="T3192" s="152" t="s">
        <v>786</v>
      </c>
    </row>
    <row r="3193" spans="3:20">
      <c r="C3193" s="152" t="s">
        <v>2821</v>
      </c>
      <c r="F3193" s="152" t="s">
        <v>295</v>
      </c>
      <c r="G3193" s="152" t="s">
        <v>296</v>
      </c>
      <c r="I3193" s="513">
        <v>-3549675</v>
      </c>
      <c r="J3193" s="513">
        <v>-2491</v>
      </c>
      <c r="K3193" s="513">
        <v>1425</v>
      </c>
      <c r="L3193" s="518" t="s">
        <v>3637</v>
      </c>
      <c r="M3193" s="152" t="s">
        <v>1566</v>
      </c>
      <c r="N3193" s="152" t="s">
        <v>1407</v>
      </c>
      <c r="O3193" s="152" t="s">
        <v>4606</v>
      </c>
      <c r="P3193" s="152" t="s">
        <v>1881</v>
      </c>
      <c r="Q3193" s="152" t="s">
        <v>4607</v>
      </c>
      <c r="R3193" s="152" t="s">
        <v>4598</v>
      </c>
      <c r="S3193" s="152" t="s">
        <v>4608</v>
      </c>
      <c r="T3193" s="152" t="s">
        <v>786</v>
      </c>
    </row>
    <row r="3194" spans="3:20">
      <c r="C3194" s="152" t="s">
        <v>2821</v>
      </c>
      <c r="F3194" s="152" t="s">
        <v>295</v>
      </c>
      <c r="G3194" s="152" t="s">
        <v>296</v>
      </c>
      <c r="I3194" s="513">
        <v>-1206287.5</v>
      </c>
      <c r="J3194" s="513">
        <v>-852.5</v>
      </c>
      <c r="K3194" s="513">
        <v>1415</v>
      </c>
      <c r="L3194" s="518" t="s">
        <v>3511</v>
      </c>
      <c r="M3194" s="152" t="s">
        <v>1566</v>
      </c>
      <c r="N3194" s="152" t="s">
        <v>1407</v>
      </c>
      <c r="O3194" s="152" t="s">
        <v>4609</v>
      </c>
      <c r="P3194" s="152" t="s">
        <v>4279</v>
      </c>
      <c r="Q3194" s="152" t="s">
        <v>4610</v>
      </c>
      <c r="R3194" s="152" t="s">
        <v>4611</v>
      </c>
      <c r="S3194" s="152" t="s">
        <v>4612</v>
      </c>
      <c r="T3194" s="152" t="s">
        <v>786</v>
      </c>
    </row>
    <row r="3195" spans="3:20">
      <c r="C3195" s="152" t="s">
        <v>2821</v>
      </c>
      <c r="F3195" s="152" t="s">
        <v>295</v>
      </c>
      <c r="G3195" s="152" t="s">
        <v>296</v>
      </c>
      <c r="I3195" s="513">
        <v>-2373662.5</v>
      </c>
      <c r="J3195" s="513">
        <v>-1677.5</v>
      </c>
      <c r="K3195" s="513">
        <v>1415</v>
      </c>
      <c r="L3195" s="518" t="s">
        <v>3511</v>
      </c>
      <c r="M3195" s="152" t="s">
        <v>1566</v>
      </c>
      <c r="N3195" s="152" t="s">
        <v>1407</v>
      </c>
      <c r="O3195" s="152" t="s">
        <v>4613</v>
      </c>
      <c r="P3195" s="152" t="s">
        <v>4279</v>
      </c>
      <c r="Q3195" s="152" t="s">
        <v>4614</v>
      </c>
      <c r="R3195" s="152" t="s">
        <v>4611</v>
      </c>
      <c r="S3195" s="152" t="s">
        <v>4615</v>
      </c>
      <c r="T3195" s="152" t="s">
        <v>786</v>
      </c>
    </row>
    <row r="3196" spans="3:20">
      <c r="C3196" s="152" t="s">
        <v>2821</v>
      </c>
      <c r="F3196" s="152" t="s">
        <v>295</v>
      </c>
      <c r="G3196" s="152" t="s">
        <v>296</v>
      </c>
      <c r="I3196" s="513">
        <v>-4786237.5</v>
      </c>
      <c r="J3196" s="513">
        <v>-3382.5</v>
      </c>
      <c r="K3196" s="513">
        <v>1415</v>
      </c>
      <c r="L3196" s="518" t="s">
        <v>3511</v>
      </c>
      <c r="M3196" s="152" t="s">
        <v>1566</v>
      </c>
      <c r="N3196" s="152" t="s">
        <v>1407</v>
      </c>
      <c r="O3196" s="152" t="s">
        <v>4616</v>
      </c>
      <c r="P3196" s="152" t="s">
        <v>4279</v>
      </c>
      <c r="Q3196" s="152" t="s">
        <v>4617</v>
      </c>
      <c r="R3196" s="152" t="s">
        <v>4611</v>
      </c>
      <c r="S3196" s="152" t="s">
        <v>4618</v>
      </c>
      <c r="T3196" s="152" t="s">
        <v>786</v>
      </c>
    </row>
    <row r="3197" spans="3:20">
      <c r="C3197" s="152" t="s">
        <v>2821</v>
      </c>
      <c r="F3197" s="152" t="s">
        <v>295</v>
      </c>
      <c r="G3197" s="152" t="s">
        <v>296</v>
      </c>
      <c r="I3197" s="513">
        <v>-3761175</v>
      </c>
      <c r="J3197" s="513">
        <v>-2667.5</v>
      </c>
      <c r="K3197" s="513">
        <v>1410</v>
      </c>
      <c r="L3197" s="518" t="s">
        <v>3498</v>
      </c>
      <c r="M3197" s="152" t="s">
        <v>1566</v>
      </c>
      <c r="N3197" s="152" t="s">
        <v>1407</v>
      </c>
      <c r="O3197" s="152" t="s">
        <v>4619</v>
      </c>
      <c r="P3197" s="152" t="s">
        <v>4279</v>
      </c>
      <c r="Q3197" s="152" t="s">
        <v>4620</v>
      </c>
      <c r="R3197" s="152" t="s">
        <v>4621</v>
      </c>
      <c r="S3197" s="152" t="s">
        <v>4622</v>
      </c>
      <c r="T3197" s="152" t="s">
        <v>786</v>
      </c>
    </row>
    <row r="3198" spans="3:20">
      <c r="C3198" s="152" t="s">
        <v>2821</v>
      </c>
      <c r="F3198" s="152" t="s">
        <v>295</v>
      </c>
      <c r="G3198" s="152" t="s">
        <v>296</v>
      </c>
      <c r="I3198" s="513">
        <v>-2171400</v>
      </c>
      <c r="J3198" s="513">
        <v>-1540</v>
      </c>
      <c r="K3198" s="513">
        <v>1410</v>
      </c>
      <c r="L3198" s="518" t="s">
        <v>3498</v>
      </c>
      <c r="M3198" s="152" t="s">
        <v>1566</v>
      </c>
      <c r="N3198" s="152" t="s">
        <v>1407</v>
      </c>
      <c r="O3198" s="152" t="s">
        <v>4623</v>
      </c>
      <c r="P3198" s="152" t="s">
        <v>4279</v>
      </c>
      <c r="Q3198" s="152" t="s">
        <v>4624</v>
      </c>
      <c r="R3198" s="152" t="s">
        <v>4621</v>
      </c>
      <c r="S3198" s="152" t="s">
        <v>4625</v>
      </c>
      <c r="T3198" s="152" t="s">
        <v>786</v>
      </c>
    </row>
    <row r="3199" spans="3:20">
      <c r="C3199" s="152" t="s">
        <v>2821</v>
      </c>
      <c r="F3199" s="152" t="s">
        <v>295</v>
      </c>
      <c r="G3199" s="152" t="s">
        <v>296</v>
      </c>
      <c r="I3199" s="513">
        <v>-1744875</v>
      </c>
      <c r="J3199" s="513">
        <v>-1237.5</v>
      </c>
      <c r="K3199" s="513">
        <v>1410</v>
      </c>
      <c r="L3199" s="518" t="s">
        <v>3498</v>
      </c>
      <c r="M3199" s="152" t="s">
        <v>1566</v>
      </c>
      <c r="N3199" s="152" t="s">
        <v>1407</v>
      </c>
      <c r="O3199" s="152" t="s">
        <v>4626</v>
      </c>
      <c r="P3199" s="152" t="s">
        <v>4279</v>
      </c>
      <c r="Q3199" s="152" t="s">
        <v>4627</v>
      </c>
      <c r="R3199" s="152" t="s">
        <v>4621</v>
      </c>
      <c r="S3199" s="152" t="s">
        <v>4628</v>
      </c>
      <c r="T3199" s="152" t="s">
        <v>786</v>
      </c>
    </row>
    <row r="3200" spans="3:20">
      <c r="C3200" s="152" t="s">
        <v>2821</v>
      </c>
      <c r="F3200" s="152" t="s">
        <v>295</v>
      </c>
      <c r="G3200" s="152" t="s">
        <v>296</v>
      </c>
      <c r="I3200" s="513">
        <v>-1977525</v>
      </c>
      <c r="J3200" s="513">
        <v>-1402.5</v>
      </c>
      <c r="K3200" s="513">
        <v>1410</v>
      </c>
      <c r="L3200" s="518" t="s">
        <v>3498</v>
      </c>
      <c r="M3200" s="152" t="s">
        <v>1566</v>
      </c>
      <c r="N3200" s="152" t="s">
        <v>1407</v>
      </c>
      <c r="O3200" s="152" t="s">
        <v>4629</v>
      </c>
      <c r="P3200" s="152" t="s">
        <v>4279</v>
      </c>
      <c r="Q3200" s="152" t="s">
        <v>4630</v>
      </c>
      <c r="R3200" s="152" t="s">
        <v>4621</v>
      </c>
      <c r="S3200" s="152" t="s">
        <v>4631</v>
      </c>
      <c r="T3200" s="152" t="s">
        <v>786</v>
      </c>
    </row>
    <row r="3201" spans="3:20">
      <c r="C3201" s="152" t="s">
        <v>2821</v>
      </c>
      <c r="F3201" s="152" t="s">
        <v>295</v>
      </c>
      <c r="G3201" s="152" t="s">
        <v>296</v>
      </c>
      <c r="I3201" s="513">
        <v>-1046925</v>
      </c>
      <c r="J3201" s="513">
        <v>-742.5</v>
      </c>
      <c r="K3201" s="513">
        <v>1410</v>
      </c>
      <c r="L3201" s="518" t="s">
        <v>3498</v>
      </c>
      <c r="M3201" s="152" t="s">
        <v>1566</v>
      </c>
      <c r="N3201" s="152" t="s">
        <v>1407</v>
      </c>
      <c r="O3201" s="152" t="s">
        <v>4632</v>
      </c>
      <c r="P3201" s="152" t="s">
        <v>4279</v>
      </c>
      <c r="Q3201" s="152" t="s">
        <v>4633</v>
      </c>
      <c r="R3201" s="152" t="s">
        <v>4634</v>
      </c>
      <c r="S3201" s="152" t="s">
        <v>4635</v>
      </c>
      <c r="T3201" s="152" t="s">
        <v>786</v>
      </c>
    </row>
    <row r="3202" spans="3:20">
      <c r="C3202" s="152" t="s">
        <v>2821</v>
      </c>
      <c r="F3202" s="152" t="s">
        <v>295</v>
      </c>
      <c r="G3202" s="152" t="s">
        <v>296</v>
      </c>
      <c r="I3202" s="513">
        <v>-1279575</v>
      </c>
      <c r="J3202" s="513">
        <v>-907.5</v>
      </c>
      <c r="K3202" s="513">
        <v>1410</v>
      </c>
      <c r="L3202" s="518" t="s">
        <v>3498</v>
      </c>
      <c r="M3202" s="152" t="s">
        <v>1566</v>
      </c>
      <c r="N3202" s="152" t="s">
        <v>1407</v>
      </c>
      <c r="O3202" s="152" t="s">
        <v>4636</v>
      </c>
      <c r="P3202" s="152" t="s">
        <v>4279</v>
      </c>
      <c r="Q3202" s="152" t="s">
        <v>4637</v>
      </c>
      <c r="R3202" s="152" t="s">
        <v>4634</v>
      </c>
      <c r="S3202" s="152" t="s">
        <v>4638</v>
      </c>
      <c r="T3202" s="152" t="s">
        <v>786</v>
      </c>
    </row>
    <row r="3203" spans="3:20">
      <c r="C3203" s="152" t="s">
        <v>2821</v>
      </c>
      <c r="F3203" s="152" t="s">
        <v>295</v>
      </c>
      <c r="G3203" s="152" t="s">
        <v>296</v>
      </c>
      <c r="I3203" s="513">
        <v>-2334750</v>
      </c>
      <c r="J3203" s="513">
        <v>-1650</v>
      </c>
      <c r="K3203" s="513">
        <v>1415</v>
      </c>
      <c r="L3203" s="518" t="s">
        <v>3632</v>
      </c>
      <c r="M3203" s="152" t="s">
        <v>1566</v>
      </c>
      <c r="N3203" s="152" t="s">
        <v>1407</v>
      </c>
      <c r="O3203" s="152" t="s">
        <v>4639</v>
      </c>
      <c r="P3203" s="152" t="s">
        <v>4279</v>
      </c>
      <c r="Q3203" s="152" t="s">
        <v>4640</v>
      </c>
      <c r="R3203" s="152" t="s">
        <v>4641</v>
      </c>
      <c r="S3203" s="152" t="s">
        <v>4642</v>
      </c>
      <c r="T3203" s="152" t="s">
        <v>786</v>
      </c>
    </row>
    <row r="3204" spans="3:20">
      <c r="C3204" s="152" t="s">
        <v>2821</v>
      </c>
      <c r="F3204" s="152" t="s">
        <v>295</v>
      </c>
      <c r="G3204" s="152" t="s">
        <v>296</v>
      </c>
      <c r="I3204" s="513">
        <v>-1945625</v>
      </c>
      <c r="J3204" s="513">
        <v>-1375</v>
      </c>
      <c r="K3204" s="513">
        <v>1415</v>
      </c>
      <c r="L3204" s="518" t="s">
        <v>3632</v>
      </c>
      <c r="M3204" s="152" t="s">
        <v>1566</v>
      </c>
      <c r="N3204" s="152" t="s">
        <v>1407</v>
      </c>
      <c r="O3204" s="152" t="s">
        <v>4643</v>
      </c>
      <c r="P3204" s="152" t="s">
        <v>4279</v>
      </c>
      <c r="Q3204" s="152" t="s">
        <v>4644</v>
      </c>
      <c r="R3204" s="152" t="s">
        <v>4641</v>
      </c>
      <c r="S3204" s="152" t="s">
        <v>4645</v>
      </c>
      <c r="T3204" s="152" t="s">
        <v>786</v>
      </c>
    </row>
    <row r="3205" spans="3:20">
      <c r="C3205" s="152" t="s">
        <v>2821</v>
      </c>
      <c r="F3205" s="152" t="s">
        <v>295</v>
      </c>
      <c r="G3205" s="152" t="s">
        <v>296</v>
      </c>
      <c r="I3205" s="513">
        <v>-2862000</v>
      </c>
      <c r="J3205" s="513">
        <v>-1987.5</v>
      </c>
      <c r="K3205" s="513">
        <v>1440</v>
      </c>
      <c r="L3205" s="518" t="s">
        <v>3517</v>
      </c>
      <c r="M3205" s="152" t="s">
        <v>1566</v>
      </c>
      <c r="N3205" s="152" t="s">
        <v>1407</v>
      </c>
      <c r="O3205" s="152" t="s">
        <v>4646</v>
      </c>
      <c r="P3205" s="152" t="s">
        <v>1881</v>
      </c>
      <c r="Q3205" s="152" t="s">
        <v>4647</v>
      </c>
      <c r="R3205" s="152" t="s">
        <v>4648</v>
      </c>
      <c r="S3205" s="152" t="s">
        <v>4649</v>
      </c>
      <c r="T3205" s="152" t="s">
        <v>786</v>
      </c>
    </row>
    <row r="3206" spans="3:20">
      <c r="C3206" s="152" t="s">
        <v>2821</v>
      </c>
      <c r="F3206" s="152" t="s">
        <v>295</v>
      </c>
      <c r="G3206" s="152" t="s">
        <v>296</v>
      </c>
      <c r="I3206" s="513">
        <v>-2684962.5</v>
      </c>
      <c r="J3206" s="513">
        <v>-1897.5</v>
      </c>
      <c r="K3206" s="513">
        <v>1415</v>
      </c>
      <c r="L3206" s="518" t="s">
        <v>3632</v>
      </c>
      <c r="M3206" s="152" t="s">
        <v>1566</v>
      </c>
      <c r="N3206" s="152" t="s">
        <v>1407</v>
      </c>
      <c r="O3206" s="152" t="s">
        <v>4650</v>
      </c>
      <c r="P3206" s="152" t="s">
        <v>4279</v>
      </c>
      <c r="Q3206" s="152" t="s">
        <v>4651</v>
      </c>
      <c r="R3206" s="152" t="s">
        <v>4652</v>
      </c>
      <c r="S3206" s="152" t="s">
        <v>4653</v>
      </c>
      <c r="T3206" s="152" t="s">
        <v>786</v>
      </c>
    </row>
    <row r="3207" spans="3:20">
      <c r="C3207" s="152" t="s">
        <v>2821</v>
      </c>
      <c r="F3207" s="152" t="s">
        <v>295</v>
      </c>
      <c r="G3207" s="152" t="s">
        <v>296</v>
      </c>
      <c r="I3207" s="513">
        <v>-1323025</v>
      </c>
      <c r="J3207" s="513">
        <v>-935</v>
      </c>
      <c r="K3207" s="513">
        <v>1415</v>
      </c>
      <c r="L3207" s="518" t="s">
        <v>3632</v>
      </c>
      <c r="M3207" s="152" t="s">
        <v>1566</v>
      </c>
      <c r="N3207" s="152" t="s">
        <v>1407</v>
      </c>
      <c r="O3207" s="152" t="s">
        <v>4654</v>
      </c>
      <c r="P3207" s="152" t="s">
        <v>4279</v>
      </c>
      <c r="Q3207" s="152" t="s">
        <v>4655</v>
      </c>
      <c r="R3207" s="152" t="s">
        <v>4652</v>
      </c>
      <c r="S3207" s="152" t="s">
        <v>4656</v>
      </c>
      <c r="T3207" s="152" t="s">
        <v>786</v>
      </c>
    </row>
    <row r="3208" spans="3:20">
      <c r="C3208" s="152" t="s">
        <v>2821</v>
      </c>
      <c r="F3208" s="152" t="s">
        <v>295</v>
      </c>
      <c r="G3208" s="152" t="s">
        <v>296</v>
      </c>
      <c r="I3208" s="513">
        <v>-10125500</v>
      </c>
      <c r="J3208" s="513">
        <v>-7232.5</v>
      </c>
      <c r="K3208" s="513">
        <v>1400</v>
      </c>
      <c r="L3208" s="518" t="s">
        <v>3659</v>
      </c>
      <c r="M3208" s="152" t="s">
        <v>1566</v>
      </c>
      <c r="N3208" s="152" t="s">
        <v>1407</v>
      </c>
      <c r="O3208" s="152" t="s">
        <v>4661</v>
      </c>
      <c r="P3208" s="152" t="s">
        <v>4279</v>
      </c>
      <c r="Q3208" s="152" t="s">
        <v>4662</v>
      </c>
      <c r="R3208" s="152" t="s">
        <v>4663</v>
      </c>
      <c r="S3208" s="152" t="s">
        <v>4664</v>
      </c>
      <c r="T3208" s="152" t="s">
        <v>786</v>
      </c>
    </row>
    <row r="3209" spans="3:20">
      <c r="C3209" s="152" t="s">
        <v>2821</v>
      </c>
      <c r="F3209" s="152" t="s">
        <v>295</v>
      </c>
      <c r="G3209" s="152" t="s">
        <v>296</v>
      </c>
      <c r="I3209" s="513">
        <v>-10241000</v>
      </c>
      <c r="J3209" s="513">
        <v>-7315</v>
      </c>
      <c r="K3209" s="513">
        <v>1400</v>
      </c>
      <c r="L3209" s="518" t="s">
        <v>3659</v>
      </c>
      <c r="M3209" s="152" t="s">
        <v>1566</v>
      </c>
      <c r="N3209" s="152" t="s">
        <v>1407</v>
      </c>
      <c r="O3209" s="152" t="s">
        <v>4665</v>
      </c>
      <c r="P3209" s="152" t="s">
        <v>4279</v>
      </c>
      <c r="Q3209" s="152" t="s">
        <v>4666</v>
      </c>
      <c r="R3209" s="152" t="s">
        <v>4663</v>
      </c>
      <c r="S3209" s="152" t="s">
        <v>4667</v>
      </c>
      <c r="T3209" s="152" t="s">
        <v>786</v>
      </c>
    </row>
    <row r="3210" spans="3:20">
      <c r="C3210" s="152" t="s">
        <v>2821</v>
      </c>
      <c r="F3210" s="152" t="s">
        <v>295</v>
      </c>
      <c r="G3210" s="152" t="s">
        <v>296</v>
      </c>
      <c r="I3210" s="513">
        <v>-3891250</v>
      </c>
      <c r="J3210" s="513">
        <v>-2750</v>
      </c>
      <c r="K3210" s="513">
        <v>1415</v>
      </c>
      <c r="L3210" s="518" t="s">
        <v>3511</v>
      </c>
      <c r="M3210" s="152" t="s">
        <v>1566</v>
      </c>
      <c r="N3210" s="152" t="s">
        <v>1407</v>
      </c>
      <c r="O3210" s="152" t="s">
        <v>4668</v>
      </c>
      <c r="P3210" s="152" t="s">
        <v>4279</v>
      </c>
      <c r="Q3210" s="152" t="s">
        <v>4669</v>
      </c>
      <c r="R3210" s="152" t="s">
        <v>4670</v>
      </c>
      <c r="S3210" s="152" t="s">
        <v>4671</v>
      </c>
      <c r="T3210" s="152" t="s">
        <v>786</v>
      </c>
    </row>
    <row r="3211" spans="3:20">
      <c r="C3211" s="152" t="s">
        <v>2821</v>
      </c>
      <c r="F3211" s="152" t="s">
        <v>295</v>
      </c>
      <c r="G3211" s="152" t="s">
        <v>296</v>
      </c>
      <c r="I3211" s="513">
        <v>-1081850</v>
      </c>
      <c r="J3211" s="513">
        <v>-770</v>
      </c>
      <c r="K3211" s="513">
        <v>1405</v>
      </c>
      <c r="L3211" s="518" t="s">
        <v>3493</v>
      </c>
      <c r="M3211" s="152" t="s">
        <v>1566</v>
      </c>
      <c r="N3211" s="152" t="s">
        <v>1407</v>
      </c>
      <c r="O3211" s="152" t="s">
        <v>4672</v>
      </c>
      <c r="P3211" s="152" t="s">
        <v>4279</v>
      </c>
      <c r="Q3211" s="152" t="s">
        <v>4673</v>
      </c>
      <c r="R3211" s="152" t="s">
        <v>4674</v>
      </c>
      <c r="S3211" s="152" t="s">
        <v>4675</v>
      </c>
      <c r="T3211" s="152" t="s">
        <v>786</v>
      </c>
    </row>
    <row r="3212" spans="3:20">
      <c r="C3212" s="152" t="s">
        <v>2821</v>
      </c>
      <c r="F3212" s="152" t="s">
        <v>295</v>
      </c>
      <c r="G3212" s="152" t="s">
        <v>296</v>
      </c>
      <c r="I3212" s="513">
        <v>-2627350</v>
      </c>
      <c r="J3212" s="513">
        <v>-1870</v>
      </c>
      <c r="K3212" s="513">
        <v>1405</v>
      </c>
      <c r="L3212" s="518" t="s">
        <v>3493</v>
      </c>
      <c r="M3212" s="152" t="s">
        <v>1566</v>
      </c>
      <c r="N3212" s="152" t="s">
        <v>1407</v>
      </c>
      <c r="O3212" s="152" t="s">
        <v>4676</v>
      </c>
      <c r="P3212" s="152" t="s">
        <v>4279</v>
      </c>
      <c r="Q3212" s="152" t="s">
        <v>4677</v>
      </c>
      <c r="R3212" s="152" t="s">
        <v>4674</v>
      </c>
      <c r="S3212" s="152" t="s">
        <v>4678</v>
      </c>
      <c r="T3212" s="152" t="s">
        <v>786</v>
      </c>
    </row>
    <row r="3213" spans="3:20">
      <c r="C3213" s="152" t="s">
        <v>2821</v>
      </c>
      <c r="F3213" s="152" t="s">
        <v>295</v>
      </c>
      <c r="G3213" s="152" t="s">
        <v>296</v>
      </c>
      <c r="I3213" s="513">
        <v>-3593287.5</v>
      </c>
      <c r="J3213" s="513">
        <v>-2557.5</v>
      </c>
      <c r="K3213" s="513">
        <v>1405</v>
      </c>
      <c r="L3213" s="518" t="s">
        <v>3493</v>
      </c>
      <c r="M3213" s="152" t="s">
        <v>1566</v>
      </c>
      <c r="N3213" s="152" t="s">
        <v>1407</v>
      </c>
      <c r="O3213" s="152" t="s">
        <v>4679</v>
      </c>
      <c r="P3213" s="152" t="s">
        <v>4279</v>
      </c>
      <c r="Q3213" s="152" t="s">
        <v>4680</v>
      </c>
      <c r="R3213" s="152" t="s">
        <v>4681</v>
      </c>
      <c r="S3213" s="152" t="s">
        <v>4682</v>
      </c>
      <c r="T3213" s="152" t="s">
        <v>786</v>
      </c>
    </row>
    <row r="3214" spans="3:20">
      <c r="C3214" s="152" t="s">
        <v>2821</v>
      </c>
      <c r="F3214" s="152" t="s">
        <v>295</v>
      </c>
      <c r="G3214" s="152" t="s">
        <v>296</v>
      </c>
      <c r="I3214" s="513">
        <v>-2468812.5</v>
      </c>
      <c r="J3214" s="513">
        <v>-1732.5</v>
      </c>
      <c r="K3214" s="513">
        <v>1425</v>
      </c>
      <c r="L3214" s="518" t="s">
        <v>3504</v>
      </c>
      <c r="M3214" s="152" t="s">
        <v>1566</v>
      </c>
      <c r="N3214" s="152" t="s">
        <v>1407</v>
      </c>
      <c r="O3214" s="152" t="s">
        <v>4683</v>
      </c>
      <c r="P3214" s="152" t="s">
        <v>4279</v>
      </c>
      <c r="Q3214" s="152" t="s">
        <v>4684</v>
      </c>
      <c r="R3214" s="152" t="s">
        <v>4685</v>
      </c>
      <c r="S3214" s="152" t="s">
        <v>4686</v>
      </c>
      <c r="T3214" s="152" t="s">
        <v>786</v>
      </c>
    </row>
    <row r="3215" spans="3:20">
      <c r="C3215" s="152" t="s">
        <v>2821</v>
      </c>
      <c r="F3215" s="152" t="s">
        <v>295</v>
      </c>
      <c r="G3215" s="152" t="s">
        <v>296</v>
      </c>
      <c r="I3215" s="513">
        <v>-1371562.5</v>
      </c>
      <c r="J3215" s="513">
        <v>-962.5</v>
      </c>
      <c r="K3215" s="513">
        <v>1425</v>
      </c>
      <c r="L3215" s="518" t="s">
        <v>3504</v>
      </c>
      <c r="M3215" s="152" t="s">
        <v>1566</v>
      </c>
      <c r="N3215" s="152" t="s">
        <v>1407</v>
      </c>
      <c r="O3215" s="152" t="s">
        <v>4687</v>
      </c>
      <c r="P3215" s="152" t="s">
        <v>4279</v>
      </c>
      <c r="Q3215" s="152" t="s">
        <v>4688</v>
      </c>
      <c r="R3215" s="152" t="s">
        <v>4685</v>
      </c>
      <c r="S3215" s="152" t="s">
        <v>4689</v>
      </c>
      <c r="T3215" s="152" t="s">
        <v>786</v>
      </c>
    </row>
    <row r="3216" spans="3:20">
      <c r="C3216" s="152" t="s">
        <v>2821</v>
      </c>
      <c r="F3216" s="152" t="s">
        <v>295</v>
      </c>
      <c r="G3216" s="152" t="s">
        <v>296</v>
      </c>
      <c r="I3216" s="513">
        <v>-1998562.5</v>
      </c>
      <c r="J3216" s="513">
        <v>-1402.5</v>
      </c>
      <c r="K3216" s="513">
        <v>1425</v>
      </c>
      <c r="L3216" s="518" t="s">
        <v>3504</v>
      </c>
      <c r="M3216" s="152" t="s">
        <v>1566</v>
      </c>
      <c r="N3216" s="152" t="s">
        <v>1407</v>
      </c>
      <c r="O3216" s="152" t="s">
        <v>4690</v>
      </c>
      <c r="P3216" s="152" t="s">
        <v>4279</v>
      </c>
      <c r="Q3216" s="152" t="s">
        <v>4691</v>
      </c>
      <c r="R3216" s="152" t="s">
        <v>4685</v>
      </c>
      <c r="S3216" s="152" t="s">
        <v>4692</v>
      </c>
      <c r="T3216" s="152" t="s">
        <v>786</v>
      </c>
    </row>
    <row r="3217" spans="3:20">
      <c r="C3217" s="152" t="s">
        <v>2821</v>
      </c>
      <c r="F3217" s="152" t="s">
        <v>295</v>
      </c>
      <c r="G3217" s="152" t="s">
        <v>296</v>
      </c>
      <c r="I3217" s="513">
        <v>-1998562.5</v>
      </c>
      <c r="J3217" s="513">
        <v>-1402.5</v>
      </c>
      <c r="K3217" s="513">
        <v>1425</v>
      </c>
      <c r="L3217" s="518" t="s">
        <v>3504</v>
      </c>
      <c r="M3217" s="152" t="s">
        <v>1566</v>
      </c>
      <c r="N3217" s="152" t="s">
        <v>1407</v>
      </c>
      <c r="O3217" s="152" t="s">
        <v>4693</v>
      </c>
      <c r="P3217" s="152" t="s">
        <v>4279</v>
      </c>
      <c r="Q3217" s="152" t="s">
        <v>4694</v>
      </c>
      <c r="R3217" s="152" t="s">
        <v>4685</v>
      </c>
      <c r="S3217" s="152" t="s">
        <v>4695</v>
      </c>
      <c r="T3217" s="152" t="s">
        <v>786</v>
      </c>
    </row>
    <row r="3218" spans="3:20">
      <c r="C3218" s="152" t="s">
        <v>2821</v>
      </c>
      <c r="F3218" s="152" t="s">
        <v>295</v>
      </c>
      <c r="G3218" s="152" t="s">
        <v>296</v>
      </c>
      <c r="I3218" s="513">
        <v>-2782312.5</v>
      </c>
      <c r="J3218" s="513">
        <v>-1952.5</v>
      </c>
      <c r="K3218" s="513">
        <v>1425</v>
      </c>
      <c r="L3218" s="518" t="s">
        <v>3504</v>
      </c>
      <c r="M3218" s="152" t="s">
        <v>1566</v>
      </c>
      <c r="N3218" s="152" t="s">
        <v>1407</v>
      </c>
      <c r="O3218" s="152" t="s">
        <v>4696</v>
      </c>
      <c r="P3218" s="152" t="s">
        <v>4279</v>
      </c>
      <c r="Q3218" s="152" t="s">
        <v>4697</v>
      </c>
      <c r="R3218" s="152" t="s">
        <v>4685</v>
      </c>
      <c r="S3218" s="152" t="s">
        <v>4698</v>
      </c>
      <c r="T3218" s="152" t="s">
        <v>786</v>
      </c>
    </row>
    <row r="3219" spans="3:20">
      <c r="C3219" s="152" t="s">
        <v>2821</v>
      </c>
      <c r="F3219" s="152" t="s">
        <v>295</v>
      </c>
      <c r="G3219" s="152" t="s">
        <v>296</v>
      </c>
      <c r="I3219" s="513">
        <v>-2312062.5</v>
      </c>
      <c r="J3219" s="513">
        <v>-1622.5</v>
      </c>
      <c r="K3219" s="513">
        <v>1425</v>
      </c>
      <c r="L3219" s="518" t="s">
        <v>3504</v>
      </c>
      <c r="M3219" s="152" t="s">
        <v>1566</v>
      </c>
      <c r="N3219" s="152" t="s">
        <v>1407</v>
      </c>
      <c r="O3219" s="152" t="s">
        <v>4699</v>
      </c>
      <c r="P3219" s="152" t="s">
        <v>4279</v>
      </c>
      <c r="Q3219" s="152" t="s">
        <v>4700</v>
      </c>
      <c r="R3219" s="152" t="s">
        <v>4685</v>
      </c>
      <c r="S3219" s="152" t="s">
        <v>4701</v>
      </c>
      <c r="T3219" s="152" t="s">
        <v>786</v>
      </c>
    </row>
    <row r="3220" spans="3:20">
      <c r="C3220" s="152" t="s">
        <v>2821</v>
      </c>
      <c r="F3220" s="152" t="s">
        <v>295</v>
      </c>
      <c r="G3220" s="152" t="s">
        <v>296</v>
      </c>
      <c r="I3220" s="513">
        <v>-1685062.5</v>
      </c>
      <c r="J3220" s="513">
        <v>-1182.5</v>
      </c>
      <c r="K3220" s="513">
        <v>1425</v>
      </c>
      <c r="L3220" s="518" t="s">
        <v>3504</v>
      </c>
      <c r="M3220" s="152" t="s">
        <v>1566</v>
      </c>
      <c r="N3220" s="152" t="s">
        <v>1407</v>
      </c>
      <c r="O3220" s="152" t="s">
        <v>4702</v>
      </c>
      <c r="P3220" s="152" t="s">
        <v>4279</v>
      </c>
      <c r="Q3220" s="152" t="s">
        <v>4703</v>
      </c>
      <c r="R3220" s="152" t="s">
        <v>4685</v>
      </c>
      <c r="S3220" s="152" t="s">
        <v>4704</v>
      </c>
      <c r="T3220" s="152" t="s">
        <v>786</v>
      </c>
    </row>
    <row r="3221" spans="3:20">
      <c r="C3221" s="152" t="s">
        <v>2821</v>
      </c>
      <c r="F3221" s="152" t="s">
        <v>295</v>
      </c>
      <c r="G3221" s="152" t="s">
        <v>296</v>
      </c>
      <c r="I3221" s="513">
        <v>-1959375</v>
      </c>
      <c r="J3221" s="513">
        <v>-1375</v>
      </c>
      <c r="K3221" s="513">
        <v>1425</v>
      </c>
      <c r="L3221" s="518" t="s">
        <v>3504</v>
      </c>
      <c r="M3221" s="152" t="s">
        <v>1566</v>
      </c>
      <c r="N3221" s="152" t="s">
        <v>1407</v>
      </c>
      <c r="O3221" s="152" t="s">
        <v>4705</v>
      </c>
      <c r="P3221" s="152" t="s">
        <v>4279</v>
      </c>
      <c r="Q3221" s="152" t="s">
        <v>4706</v>
      </c>
      <c r="R3221" s="152" t="s">
        <v>4707</v>
      </c>
      <c r="S3221" s="152" t="s">
        <v>4708</v>
      </c>
      <c r="T3221" s="152" t="s">
        <v>786</v>
      </c>
    </row>
    <row r="3222" spans="3:20">
      <c r="C3222" s="152" t="s">
        <v>2821</v>
      </c>
      <c r="F3222" s="152" t="s">
        <v>295</v>
      </c>
      <c r="G3222" s="152" t="s">
        <v>296</v>
      </c>
      <c r="I3222" s="513">
        <v>-470250</v>
      </c>
      <c r="J3222" s="513">
        <v>-330</v>
      </c>
      <c r="K3222" s="513">
        <v>1425</v>
      </c>
      <c r="L3222" s="518" t="s">
        <v>3504</v>
      </c>
      <c r="M3222" s="152" t="s">
        <v>1566</v>
      </c>
      <c r="N3222" s="152" t="s">
        <v>1407</v>
      </c>
      <c r="O3222" s="152" t="s">
        <v>4709</v>
      </c>
      <c r="P3222" s="152" t="s">
        <v>4279</v>
      </c>
      <c r="Q3222" s="152" t="s">
        <v>4710</v>
      </c>
      <c r="R3222" s="152" t="s">
        <v>4707</v>
      </c>
      <c r="S3222" s="152" t="s">
        <v>4711</v>
      </c>
      <c r="T3222" s="152" t="s">
        <v>786</v>
      </c>
    </row>
    <row r="3223" spans="3:20">
      <c r="C3223" s="152" t="s">
        <v>2821</v>
      </c>
      <c r="F3223" s="152" t="s">
        <v>295</v>
      </c>
      <c r="G3223" s="152" t="s">
        <v>296</v>
      </c>
      <c r="I3223" s="513">
        <v>-1685062.5</v>
      </c>
      <c r="J3223" s="513">
        <v>-1182.5</v>
      </c>
      <c r="K3223" s="513">
        <v>1425</v>
      </c>
      <c r="L3223" s="518" t="s">
        <v>3504</v>
      </c>
      <c r="M3223" s="152" t="s">
        <v>1566</v>
      </c>
      <c r="N3223" s="152" t="s">
        <v>1407</v>
      </c>
      <c r="O3223" s="152" t="s">
        <v>4712</v>
      </c>
      <c r="P3223" s="152" t="s">
        <v>4279</v>
      </c>
      <c r="Q3223" s="152" t="s">
        <v>4713</v>
      </c>
      <c r="R3223" s="152" t="s">
        <v>4707</v>
      </c>
      <c r="S3223" s="152" t="s">
        <v>4714</v>
      </c>
      <c r="T3223" s="152" t="s">
        <v>786</v>
      </c>
    </row>
    <row r="3224" spans="3:20">
      <c r="C3224" s="152" t="s">
        <v>2821</v>
      </c>
      <c r="F3224" s="152" t="s">
        <v>295</v>
      </c>
      <c r="G3224" s="152" t="s">
        <v>296</v>
      </c>
      <c r="I3224" s="513">
        <v>-2351250</v>
      </c>
      <c r="J3224" s="513">
        <v>-1650</v>
      </c>
      <c r="K3224" s="513">
        <v>1425</v>
      </c>
      <c r="L3224" s="518" t="s">
        <v>3504</v>
      </c>
      <c r="M3224" s="152" t="s">
        <v>1566</v>
      </c>
      <c r="N3224" s="152" t="s">
        <v>1407</v>
      </c>
      <c r="O3224" s="152" t="s">
        <v>4715</v>
      </c>
      <c r="P3224" s="152" t="s">
        <v>4279</v>
      </c>
      <c r="Q3224" s="152" t="s">
        <v>4716</v>
      </c>
      <c r="R3224" s="152" t="s">
        <v>4707</v>
      </c>
      <c r="S3224" s="152" t="s">
        <v>4717</v>
      </c>
      <c r="T3224" s="152" t="s">
        <v>786</v>
      </c>
    </row>
    <row r="3225" spans="3:20">
      <c r="C3225" s="152" t="s">
        <v>2821</v>
      </c>
      <c r="F3225" s="152" t="s">
        <v>295</v>
      </c>
      <c r="G3225" s="152" t="s">
        <v>296</v>
      </c>
      <c r="I3225" s="513">
        <v>-1998562.5</v>
      </c>
      <c r="J3225" s="513">
        <v>-1402.5</v>
      </c>
      <c r="K3225" s="513">
        <v>1425</v>
      </c>
      <c r="L3225" s="518" t="s">
        <v>3504</v>
      </c>
      <c r="M3225" s="152" t="s">
        <v>1566</v>
      </c>
      <c r="N3225" s="152" t="s">
        <v>1407</v>
      </c>
      <c r="O3225" s="152" t="s">
        <v>4718</v>
      </c>
      <c r="P3225" s="152" t="s">
        <v>4279</v>
      </c>
      <c r="Q3225" s="152" t="s">
        <v>4719</v>
      </c>
      <c r="R3225" s="152" t="s">
        <v>4720</v>
      </c>
      <c r="S3225" s="152" t="s">
        <v>4721</v>
      </c>
      <c r="T3225" s="152" t="s">
        <v>786</v>
      </c>
    </row>
    <row r="3226" spans="3:20">
      <c r="C3226" s="152" t="s">
        <v>2821</v>
      </c>
      <c r="F3226" s="152" t="s">
        <v>295</v>
      </c>
      <c r="G3226" s="152" t="s">
        <v>296</v>
      </c>
      <c r="I3226" s="513">
        <v>-2194500</v>
      </c>
      <c r="J3226" s="513">
        <v>-1540</v>
      </c>
      <c r="K3226" s="513">
        <v>1425</v>
      </c>
      <c r="L3226" s="518" t="s">
        <v>3504</v>
      </c>
      <c r="M3226" s="152" t="s">
        <v>1566</v>
      </c>
      <c r="N3226" s="152" t="s">
        <v>1407</v>
      </c>
      <c r="O3226" s="152" t="s">
        <v>4722</v>
      </c>
      <c r="P3226" s="152" t="s">
        <v>4279</v>
      </c>
      <c r="Q3226" s="152" t="s">
        <v>4723</v>
      </c>
      <c r="R3226" s="152" t="s">
        <v>4720</v>
      </c>
      <c r="S3226" s="152" t="s">
        <v>4724</v>
      </c>
      <c r="T3226" s="152" t="s">
        <v>786</v>
      </c>
    </row>
    <row r="3227" spans="3:20">
      <c r="C3227" s="152" t="s">
        <v>2821</v>
      </c>
      <c r="F3227" s="152" t="s">
        <v>295</v>
      </c>
      <c r="G3227" s="152" t="s">
        <v>296</v>
      </c>
      <c r="I3227" s="513">
        <v>-2625562.5</v>
      </c>
      <c r="J3227" s="513">
        <v>-1842.5</v>
      </c>
      <c r="K3227" s="513">
        <v>1425</v>
      </c>
      <c r="L3227" s="518" t="s">
        <v>3504</v>
      </c>
      <c r="M3227" s="152" t="s">
        <v>1566</v>
      </c>
      <c r="N3227" s="152" t="s">
        <v>1407</v>
      </c>
      <c r="O3227" s="152" t="s">
        <v>4725</v>
      </c>
      <c r="P3227" s="152" t="s">
        <v>4279</v>
      </c>
      <c r="Q3227" s="152" t="s">
        <v>4726</v>
      </c>
      <c r="R3227" s="152" t="s">
        <v>4720</v>
      </c>
      <c r="S3227" s="152" t="s">
        <v>4727</v>
      </c>
      <c r="T3227" s="152" t="s">
        <v>786</v>
      </c>
    </row>
    <row r="3228" spans="3:20">
      <c r="C3228" s="152" t="s">
        <v>2821</v>
      </c>
      <c r="F3228" s="152" t="s">
        <v>295</v>
      </c>
      <c r="G3228" s="152" t="s">
        <v>296</v>
      </c>
      <c r="I3228" s="513">
        <v>-4153875</v>
      </c>
      <c r="J3228" s="513">
        <v>-2915</v>
      </c>
      <c r="K3228" s="513">
        <v>1425</v>
      </c>
      <c r="L3228" s="518" t="s">
        <v>3504</v>
      </c>
      <c r="M3228" s="152" t="s">
        <v>1566</v>
      </c>
      <c r="N3228" s="152" t="s">
        <v>1407</v>
      </c>
      <c r="O3228" s="152" t="s">
        <v>4728</v>
      </c>
      <c r="P3228" s="152" t="s">
        <v>4279</v>
      </c>
      <c r="Q3228" s="152" t="s">
        <v>4729</v>
      </c>
      <c r="R3228" s="152" t="s">
        <v>4720</v>
      </c>
      <c r="S3228" s="152" t="s">
        <v>4730</v>
      </c>
      <c r="T3228" s="152" t="s">
        <v>786</v>
      </c>
    </row>
    <row r="3229" spans="3:20">
      <c r="C3229" s="152" t="s">
        <v>2821</v>
      </c>
      <c r="F3229" s="152" t="s">
        <v>295</v>
      </c>
      <c r="G3229" s="152" t="s">
        <v>296</v>
      </c>
      <c r="I3229" s="513">
        <v>-4577040.0199999996</v>
      </c>
      <c r="J3229" s="513">
        <v>-3178.50001388889</v>
      </c>
      <c r="K3229" s="513">
        <v>1440</v>
      </c>
      <c r="L3229" s="518" t="s">
        <v>3517</v>
      </c>
      <c r="M3229" s="152" t="s">
        <v>1566</v>
      </c>
      <c r="N3229" s="152" t="s">
        <v>1407</v>
      </c>
      <c r="O3229" s="152" t="s">
        <v>4976</v>
      </c>
      <c r="P3229" s="152" t="s">
        <v>1881</v>
      </c>
      <c r="Q3229" s="152" t="s">
        <v>4977</v>
      </c>
      <c r="R3229" s="152" t="s">
        <v>4977</v>
      </c>
      <c r="S3229" s="152" t="s">
        <v>4978</v>
      </c>
      <c r="T3229" s="152" t="s">
        <v>786</v>
      </c>
    </row>
    <row r="3230" spans="3:20">
      <c r="C3230" s="152" t="s">
        <v>2821</v>
      </c>
      <c r="F3230" s="152" t="s">
        <v>305</v>
      </c>
      <c r="G3230" s="152" t="s">
        <v>306</v>
      </c>
      <c r="I3230" s="513">
        <v>418836</v>
      </c>
      <c r="J3230" s="513">
        <v>293.92</v>
      </c>
      <c r="K3230" s="513">
        <v>1425</v>
      </c>
      <c r="L3230" s="518" t="s">
        <v>3504</v>
      </c>
      <c r="M3230" s="152" t="s">
        <v>780</v>
      </c>
      <c r="N3230" s="152" t="s">
        <v>781</v>
      </c>
      <c r="O3230" s="152" t="s">
        <v>4739</v>
      </c>
      <c r="P3230" s="152" t="s">
        <v>3489</v>
      </c>
      <c r="Q3230" s="152" t="s">
        <v>4740</v>
      </c>
      <c r="R3230" s="152" t="s">
        <v>941</v>
      </c>
      <c r="S3230" s="152" t="s">
        <v>4742</v>
      </c>
      <c r="T3230" s="152" t="s">
        <v>786</v>
      </c>
    </row>
    <row r="3231" spans="3:20">
      <c r="C3231" s="152" t="s">
        <v>2821</v>
      </c>
      <c r="F3231" s="152" t="s">
        <v>305</v>
      </c>
      <c r="G3231" s="152" t="s">
        <v>306</v>
      </c>
      <c r="I3231" s="513">
        <v>5969885</v>
      </c>
      <c r="J3231" s="513">
        <v>4219</v>
      </c>
      <c r="K3231" s="513">
        <v>1415</v>
      </c>
      <c r="L3231" s="518" t="s">
        <v>3632</v>
      </c>
      <c r="M3231" s="152" t="s">
        <v>780</v>
      </c>
      <c r="N3231" s="152" t="s">
        <v>781</v>
      </c>
      <c r="O3231" s="152" t="s">
        <v>4747</v>
      </c>
      <c r="P3231" s="152" t="s">
        <v>3489</v>
      </c>
      <c r="Q3231" s="152" t="s">
        <v>4748</v>
      </c>
      <c r="R3231" s="152" t="s">
        <v>941</v>
      </c>
      <c r="S3231" s="152" t="s">
        <v>4750</v>
      </c>
      <c r="T3231" s="152" t="s">
        <v>786</v>
      </c>
    </row>
    <row r="3232" spans="3:20">
      <c r="C3232" s="152" t="s">
        <v>2821</v>
      </c>
      <c r="F3232" s="152" t="s">
        <v>305</v>
      </c>
      <c r="G3232" s="152" t="s">
        <v>306</v>
      </c>
      <c r="I3232" s="513">
        <v>431914.6</v>
      </c>
      <c r="J3232" s="513">
        <v>305.24</v>
      </c>
      <c r="K3232" s="513">
        <v>1415</v>
      </c>
      <c r="L3232" s="518" t="s">
        <v>3632</v>
      </c>
      <c r="M3232" s="152" t="s">
        <v>780</v>
      </c>
      <c r="N3232" s="152" t="s">
        <v>781</v>
      </c>
      <c r="O3232" s="152" t="s">
        <v>4735</v>
      </c>
      <c r="P3232" s="152" t="s">
        <v>3489</v>
      </c>
      <c r="Q3232" s="152" t="s">
        <v>4736</v>
      </c>
      <c r="R3232" s="152" t="s">
        <v>4810</v>
      </c>
      <c r="S3232" s="152" t="s">
        <v>4738</v>
      </c>
      <c r="T3232" s="152" t="s">
        <v>786</v>
      </c>
    </row>
    <row r="3233" spans="3:20">
      <c r="C3233" s="152" t="s">
        <v>2821</v>
      </c>
      <c r="F3233" s="152" t="s">
        <v>305</v>
      </c>
      <c r="G3233" s="152" t="s">
        <v>306</v>
      </c>
      <c r="I3233" s="513">
        <v>449103</v>
      </c>
      <c r="J3233" s="513">
        <v>315.16000000000003</v>
      </c>
      <c r="K3233" s="513">
        <v>1425</v>
      </c>
      <c r="L3233" s="518" t="s">
        <v>3637</v>
      </c>
      <c r="M3233" s="152" t="s">
        <v>780</v>
      </c>
      <c r="N3233" s="152" t="s">
        <v>781</v>
      </c>
      <c r="O3233" s="152" t="s">
        <v>4770</v>
      </c>
      <c r="P3233" s="152" t="s">
        <v>2865</v>
      </c>
      <c r="Q3233" s="152" t="s">
        <v>4771</v>
      </c>
      <c r="R3233" s="152" t="s">
        <v>4811</v>
      </c>
      <c r="S3233" s="152" t="s">
        <v>4773</v>
      </c>
      <c r="T3233" s="152" t="s">
        <v>786</v>
      </c>
    </row>
    <row r="3234" spans="3:20">
      <c r="C3234" s="152" t="s">
        <v>2821</v>
      </c>
      <c r="F3234" s="152" t="s">
        <v>305</v>
      </c>
      <c r="G3234" s="152" t="s">
        <v>306</v>
      </c>
      <c r="I3234" s="513">
        <v>509679.75</v>
      </c>
      <c r="J3234" s="513">
        <v>357.67</v>
      </c>
      <c r="K3234" s="513">
        <v>1425</v>
      </c>
      <c r="L3234" s="518" t="s">
        <v>3504</v>
      </c>
      <c r="M3234" s="152" t="s">
        <v>780</v>
      </c>
      <c r="N3234" s="152" t="s">
        <v>1407</v>
      </c>
      <c r="O3234" s="152" t="s">
        <v>3665</v>
      </c>
      <c r="P3234" s="152" t="s">
        <v>3489</v>
      </c>
      <c r="Q3234" s="152" t="s">
        <v>3666</v>
      </c>
      <c r="R3234" s="152" t="s">
        <v>3879</v>
      </c>
      <c r="S3234" s="152" t="s">
        <v>3668</v>
      </c>
      <c r="T3234" s="152" t="s">
        <v>786</v>
      </c>
    </row>
    <row r="3235" spans="3:20">
      <c r="C3235" s="152" t="s">
        <v>2821</v>
      </c>
      <c r="F3235" s="152" t="s">
        <v>47</v>
      </c>
      <c r="G3235" s="152" t="s">
        <v>46</v>
      </c>
      <c r="I3235" s="513">
        <v>394800</v>
      </c>
      <c r="J3235" s="513">
        <v>280</v>
      </c>
      <c r="K3235" s="513">
        <v>1410</v>
      </c>
      <c r="L3235" s="518" t="s">
        <v>3498</v>
      </c>
      <c r="M3235" s="152" t="s">
        <v>780</v>
      </c>
      <c r="N3235" s="152" t="s">
        <v>1407</v>
      </c>
      <c r="O3235" s="152" t="s">
        <v>3499</v>
      </c>
      <c r="P3235" s="152" t="s">
        <v>3489</v>
      </c>
      <c r="Q3235" s="152" t="s">
        <v>3500</v>
      </c>
      <c r="R3235" s="152" t="s">
        <v>3648</v>
      </c>
      <c r="S3235" s="152" t="s">
        <v>3502</v>
      </c>
      <c r="T3235" s="152" t="s">
        <v>786</v>
      </c>
    </row>
    <row r="3236" spans="3:20">
      <c r="C3236" s="152" t="s">
        <v>2821</v>
      </c>
      <c r="F3236" s="152" t="s">
        <v>47</v>
      </c>
      <c r="G3236" s="152" t="s">
        <v>46</v>
      </c>
      <c r="I3236" s="513">
        <v>2688.5</v>
      </c>
      <c r="J3236" s="513">
        <v>1.9</v>
      </c>
      <c r="K3236" s="513">
        <v>1415</v>
      </c>
      <c r="L3236" s="518" t="s">
        <v>3632</v>
      </c>
      <c r="M3236" s="152" t="s">
        <v>780</v>
      </c>
      <c r="N3236" s="152" t="s">
        <v>1407</v>
      </c>
      <c r="O3236" s="152" t="s">
        <v>3865</v>
      </c>
      <c r="P3236" s="152" t="s">
        <v>3489</v>
      </c>
      <c r="Q3236" s="152" t="s">
        <v>3866</v>
      </c>
      <c r="R3236" s="152" t="s">
        <v>3871</v>
      </c>
      <c r="S3236" s="152" t="s">
        <v>3867</v>
      </c>
      <c r="T3236" s="152" t="s">
        <v>786</v>
      </c>
    </row>
    <row r="3237" spans="3:20">
      <c r="C3237" s="152" t="s">
        <v>2821</v>
      </c>
      <c r="F3237" s="152" t="s">
        <v>47</v>
      </c>
      <c r="G3237" s="152" t="s">
        <v>46</v>
      </c>
      <c r="I3237" s="513">
        <v>198100</v>
      </c>
      <c r="J3237" s="513">
        <v>140</v>
      </c>
      <c r="K3237" s="513">
        <v>1415</v>
      </c>
      <c r="L3237" s="518" t="s">
        <v>3498</v>
      </c>
      <c r="M3237" s="152" t="s">
        <v>780</v>
      </c>
      <c r="N3237" s="152" t="s">
        <v>1407</v>
      </c>
      <c r="O3237" s="152" t="s">
        <v>3499</v>
      </c>
      <c r="P3237" s="152" t="s">
        <v>3489</v>
      </c>
      <c r="Q3237" s="152" t="s">
        <v>3500</v>
      </c>
      <c r="R3237" s="152" t="s">
        <v>3898</v>
      </c>
      <c r="S3237" s="152" t="s">
        <v>3502</v>
      </c>
      <c r="T3237" s="152" t="s">
        <v>786</v>
      </c>
    </row>
    <row r="3238" spans="3:20">
      <c r="C3238" s="152" t="s">
        <v>2821</v>
      </c>
      <c r="F3238" s="152" t="s">
        <v>47</v>
      </c>
      <c r="G3238" s="152" t="s">
        <v>46</v>
      </c>
      <c r="I3238" s="513">
        <v>608450</v>
      </c>
      <c r="J3238" s="513">
        <v>430</v>
      </c>
      <c r="K3238" s="513">
        <v>1415</v>
      </c>
      <c r="L3238" s="518" t="s">
        <v>3498</v>
      </c>
      <c r="M3238" s="152" t="s">
        <v>780</v>
      </c>
      <c r="N3238" s="152" t="s">
        <v>1407</v>
      </c>
      <c r="O3238" s="152" t="s">
        <v>3499</v>
      </c>
      <c r="P3238" s="152" t="s">
        <v>3489</v>
      </c>
      <c r="Q3238" s="152" t="s">
        <v>3500</v>
      </c>
      <c r="R3238" s="152" t="s">
        <v>3898</v>
      </c>
      <c r="S3238" s="152" t="s">
        <v>3502</v>
      </c>
      <c r="T3238" s="152" t="s">
        <v>786</v>
      </c>
    </row>
    <row r="3239" spans="3:20">
      <c r="C3239" s="152" t="s">
        <v>2821</v>
      </c>
      <c r="F3239" s="152" t="s">
        <v>47</v>
      </c>
      <c r="G3239" s="152" t="s">
        <v>46</v>
      </c>
      <c r="I3239" s="513">
        <v>280000</v>
      </c>
      <c r="J3239" s="513">
        <v>200</v>
      </c>
      <c r="K3239" s="513">
        <v>1400</v>
      </c>
      <c r="L3239" s="518" t="s">
        <v>3632</v>
      </c>
      <c r="M3239" s="152" t="s">
        <v>780</v>
      </c>
      <c r="N3239" s="152" t="s">
        <v>1407</v>
      </c>
      <c r="O3239" s="152" t="s">
        <v>3633</v>
      </c>
      <c r="P3239" s="152" t="s">
        <v>3489</v>
      </c>
      <c r="Q3239" s="152" t="s">
        <v>3634</v>
      </c>
      <c r="R3239" s="152" t="s">
        <v>3898</v>
      </c>
      <c r="S3239" s="152" t="s">
        <v>3636</v>
      </c>
      <c r="T3239" s="152" t="s">
        <v>786</v>
      </c>
    </row>
    <row r="3240" spans="3:20">
      <c r="C3240" s="152" t="s">
        <v>2821</v>
      </c>
      <c r="F3240" s="152" t="s">
        <v>47</v>
      </c>
      <c r="G3240" s="152" t="s">
        <v>46</v>
      </c>
      <c r="I3240" s="513">
        <v>509400</v>
      </c>
      <c r="J3240" s="513">
        <v>360</v>
      </c>
      <c r="K3240" s="513">
        <v>1415</v>
      </c>
      <c r="L3240" s="518" t="s">
        <v>3632</v>
      </c>
      <c r="M3240" s="152" t="s">
        <v>780</v>
      </c>
      <c r="N3240" s="152" t="s">
        <v>1407</v>
      </c>
      <c r="O3240" s="152" t="s">
        <v>3633</v>
      </c>
      <c r="P3240" s="152" t="s">
        <v>3489</v>
      </c>
      <c r="Q3240" s="152" t="s">
        <v>3634</v>
      </c>
      <c r="R3240" s="152" t="s">
        <v>3898</v>
      </c>
      <c r="S3240" s="152" t="s">
        <v>3636</v>
      </c>
      <c r="T3240" s="152" t="s">
        <v>786</v>
      </c>
    </row>
    <row r="3241" spans="3:20">
      <c r="C3241" s="152" t="s">
        <v>2821</v>
      </c>
      <c r="F3241" s="152" t="s">
        <v>47</v>
      </c>
      <c r="G3241" s="152" t="s">
        <v>46</v>
      </c>
      <c r="I3241" s="513">
        <v>196700</v>
      </c>
      <c r="J3241" s="513">
        <v>140</v>
      </c>
      <c r="K3241" s="513">
        <v>1405</v>
      </c>
      <c r="L3241" s="518" t="s">
        <v>3493</v>
      </c>
      <c r="M3241" s="152" t="s">
        <v>780</v>
      </c>
      <c r="N3241" s="152" t="s">
        <v>1407</v>
      </c>
      <c r="O3241" s="152" t="s">
        <v>3677</v>
      </c>
      <c r="P3241" s="152" t="s">
        <v>3489</v>
      </c>
      <c r="Q3241" s="152" t="s">
        <v>3678</v>
      </c>
      <c r="R3241" s="152" t="s">
        <v>3898</v>
      </c>
      <c r="S3241" s="152" t="s">
        <v>3679</v>
      </c>
      <c r="T3241" s="152" t="s">
        <v>786</v>
      </c>
    </row>
    <row r="3242" spans="3:20">
      <c r="C3242" s="152" t="s">
        <v>2821</v>
      </c>
      <c r="F3242" s="152" t="s">
        <v>47</v>
      </c>
      <c r="G3242" s="152" t="s">
        <v>46</v>
      </c>
      <c r="I3242" s="513">
        <v>196700</v>
      </c>
      <c r="J3242" s="513">
        <v>140</v>
      </c>
      <c r="K3242" s="513">
        <v>1405</v>
      </c>
      <c r="L3242" s="518" t="s">
        <v>3493</v>
      </c>
      <c r="M3242" s="152" t="s">
        <v>780</v>
      </c>
      <c r="N3242" s="152" t="s">
        <v>1407</v>
      </c>
      <c r="O3242" s="152" t="s">
        <v>3677</v>
      </c>
      <c r="P3242" s="152" t="s">
        <v>3489</v>
      </c>
      <c r="Q3242" s="152" t="s">
        <v>3678</v>
      </c>
      <c r="R3242" s="152" t="s">
        <v>3898</v>
      </c>
      <c r="S3242" s="152" t="s">
        <v>3679</v>
      </c>
      <c r="T3242" s="152" t="s">
        <v>786</v>
      </c>
    </row>
    <row r="3243" spans="3:20">
      <c r="C3243" s="152" t="s">
        <v>2821</v>
      </c>
      <c r="F3243" s="152" t="s">
        <v>47</v>
      </c>
      <c r="G3243" s="152" t="s">
        <v>46</v>
      </c>
      <c r="I3243" s="513">
        <v>562000</v>
      </c>
      <c r="J3243" s="513">
        <v>400</v>
      </c>
      <c r="K3243" s="513">
        <v>1405</v>
      </c>
      <c r="L3243" s="518" t="s">
        <v>3493</v>
      </c>
      <c r="M3243" s="152" t="s">
        <v>780</v>
      </c>
      <c r="N3243" s="152" t="s">
        <v>1407</v>
      </c>
      <c r="O3243" s="152" t="s">
        <v>3677</v>
      </c>
      <c r="P3243" s="152" t="s">
        <v>3489</v>
      </c>
      <c r="Q3243" s="152" t="s">
        <v>3678</v>
      </c>
      <c r="R3243" s="152" t="s">
        <v>3898</v>
      </c>
      <c r="S3243" s="152" t="s">
        <v>3679</v>
      </c>
      <c r="T3243" s="152" t="s">
        <v>786</v>
      </c>
    </row>
    <row r="3244" spans="3:20">
      <c r="C3244" s="152" t="s">
        <v>2821</v>
      </c>
      <c r="F3244" s="152" t="s">
        <v>47</v>
      </c>
      <c r="G3244" s="152" t="s">
        <v>46</v>
      </c>
      <c r="I3244" s="513">
        <v>519850</v>
      </c>
      <c r="J3244" s="513">
        <v>370</v>
      </c>
      <c r="K3244" s="513">
        <v>1405</v>
      </c>
      <c r="L3244" s="518" t="s">
        <v>3493</v>
      </c>
      <c r="M3244" s="152" t="s">
        <v>780</v>
      </c>
      <c r="N3244" s="152" t="s">
        <v>1407</v>
      </c>
      <c r="O3244" s="152" t="s">
        <v>3677</v>
      </c>
      <c r="P3244" s="152" t="s">
        <v>3489</v>
      </c>
      <c r="Q3244" s="152" t="s">
        <v>3678</v>
      </c>
      <c r="R3244" s="152" t="s">
        <v>3898</v>
      </c>
      <c r="S3244" s="152" t="s">
        <v>3679</v>
      </c>
      <c r="T3244" s="152" t="s">
        <v>786</v>
      </c>
    </row>
    <row r="3245" spans="3:20">
      <c r="C3245" s="152" t="s">
        <v>2821</v>
      </c>
      <c r="F3245" s="152" t="s">
        <v>47</v>
      </c>
      <c r="G3245" s="152" t="s">
        <v>46</v>
      </c>
      <c r="I3245" s="513">
        <v>154550</v>
      </c>
      <c r="J3245" s="513">
        <v>110</v>
      </c>
      <c r="K3245" s="513">
        <v>1405</v>
      </c>
      <c r="L3245" s="518" t="s">
        <v>3493</v>
      </c>
      <c r="M3245" s="152" t="s">
        <v>780</v>
      </c>
      <c r="N3245" s="152" t="s">
        <v>1407</v>
      </c>
      <c r="O3245" s="152" t="s">
        <v>3677</v>
      </c>
      <c r="P3245" s="152" t="s">
        <v>3489</v>
      </c>
      <c r="Q3245" s="152" t="s">
        <v>3678</v>
      </c>
      <c r="R3245" s="152" t="s">
        <v>3898</v>
      </c>
      <c r="S3245" s="152" t="s">
        <v>3679</v>
      </c>
      <c r="T3245" s="152" t="s">
        <v>786</v>
      </c>
    </row>
    <row r="3246" spans="3:20">
      <c r="C3246" s="152" t="s">
        <v>2821</v>
      </c>
      <c r="F3246" s="152" t="s">
        <v>47</v>
      </c>
      <c r="G3246" s="152" t="s">
        <v>46</v>
      </c>
      <c r="I3246" s="513">
        <v>295050</v>
      </c>
      <c r="J3246" s="513">
        <v>210</v>
      </c>
      <c r="K3246" s="513">
        <v>1405</v>
      </c>
      <c r="L3246" s="518" t="s">
        <v>3493</v>
      </c>
      <c r="M3246" s="152" t="s">
        <v>780</v>
      </c>
      <c r="N3246" s="152" t="s">
        <v>1407</v>
      </c>
      <c r="O3246" s="152" t="s">
        <v>3677</v>
      </c>
      <c r="P3246" s="152" t="s">
        <v>3489</v>
      </c>
      <c r="Q3246" s="152" t="s">
        <v>3678</v>
      </c>
      <c r="R3246" s="152" t="s">
        <v>3899</v>
      </c>
      <c r="S3246" s="152" t="s">
        <v>3679</v>
      </c>
      <c r="T3246" s="152" t="s">
        <v>786</v>
      </c>
    </row>
    <row r="3247" spans="3:20">
      <c r="C3247" s="152" t="s">
        <v>2821</v>
      </c>
      <c r="F3247" s="152" t="s">
        <v>47</v>
      </c>
      <c r="G3247" s="152" t="s">
        <v>46</v>
      </c>
      <c r="I3247" s="513">
        <v>155650</v>
      </c>
      <c r="J3247" s="513">
        <v>110</v>
      </c>
      <c r="K3247" s="513">
        <v>1415</v>
      </c>
      <c r="L3247" s="518" t="s">
        <v>3511</v>
      </c>
      <c r="M3247" s="152" t="s">
        <v>780</v>
      </c>
      <c r="N3247" s="152" t="s">
        <v>1407</v>
      </c>
      <c r="O3247" s="152" t="s">
        <v>3512</v>
      </c>
      <c r="P3247" s="152" t="s">
        <v>3489</v>
      </c>
      <c r="Q3247" s="152" t="s">
        <v>3513</v>
      </c>
      <c r="R3247" s="152" t="s">
        <v>3967</v>
      </c>
      <c r="S3247" s="152" t="s">
        <v>3515</v>
      </c>
      <c r="T3247" s="152" t="s">
        <v>786</v>
      </c>
    </row>
    <row r="3248" spans="3:20">
      <c r="C3248" s="152" t="s">
        <v>2821</v>
      </c>
      <c r="F3248" s="152" t="s">
        <v>47</v>
      </c>
      <c r="G3248" s="152" t="s">
        <v>46</v>
      </c>
      <c r="I3248" s="513">
        <v>155650</v>
      </c>
      <c r="J3248" s="513">
        <v>110</v>
      </c>
      <c r="K3248" s="513">
        <v>1415</v>
      </c>
      <c r="L3248" s="518" t="s">
        <v>3632</v>
      </c>
      <c r="M3248" s="152" t="s">
        <v>780</v>
      </c>
      <c r="N3248" s="152" t="s">
        <v>1407</v>
      </c>
      <c r="O3248" s="152" t="s">
        <v>3633</v>
      </c>
      <c r="P3248" s="152" t="s">
        <v>3489</v>
      </c>
      <c r="Q3248" s="152" t="s">
        <v>3634</v>
      </c>
      <c r="R3248" s="152" t="s">
        <v>3967</v>
      </c>
      <c r="S3248" s="152" t="s">
        <v>3636</v>
      </c>
      <c r="T3248" s="152" t="s">
        <v>786</v>
      </c>
    </row>
    <row r="3249" spans="3:20">
      <c r="C3249" s="152" t="s">
        <v>2821</v>
      </c>
      <c r="F3249" s="152" t="s">
        <v>47</v>
      </c>
      <c r="G3249" s="152" t="s">
        <v>46</v>
      </c>
      <c r="I3249" s="513">
        <v>198100</v>
      </c>
      <c r="J3249" s="513">
        <v>140</v>
      </c>
      <c r="K3249" s="513">
        <v>1415</v>
      </c>
      <c r="L3249" s="518" t="s">
        <v>3632</v>
      </c>
      <c r="M3249" s="152" t="s">
        <v>780</v>
      </c>
      <c r="N3249" s="152" t="s">
        <v>1407</v>
      </c>
      <c r="O3249" s="152" t="s">
        <v>3633</v>
      </c>
      <c r="P3249" s="152" t="s">
        <v>3489</v>
      </c>
      <c r="Q3249" s="152" t="s">
        <v>3634</v>
      </c>
      <c r="R3249" s="152" t="s">
        <v>3988</v>
      </c>
      <c r="S3249" s="152" t="s">
        <v>3636</v>
      </c>
      <c r="T3249" s="152" t="s">
        <v>786</v>
      </c>
    </row>
    <row r="3250" spans="3:20">
      <c r="C3250" s="152" t="s">
        <v>2821</v>
      </c>
      <c r="F3250" s="152" t="s">
        <v>47</v>
      </c>
      <c r="G3250" s="152" t="s">
        <v>46</v>
      </c>
      <c r="I3250" s="513">
        <v>280000</v>
      </c>
      <c r="J3250" s="513">
        <v>200</v>
      </c>
      <c r="K3250" s="513">
        <v>1400</v>
      </c>
      <c r="L3250" s="518" t="s">
        <v>3659</v>
      </c>
      <c r="M3250" s="152" t="s">
        <v>780</v>
      </c>
      <c r="N3250" s="152" t="s">
        <v>1407</v>
      </c>
      <c r="O3250" s="152" t="s">
        <v>3795</v>
      </c>
      <c r="P3250" s="152" t="s">
        <v>3489</v>
      </c>
      <c r="Q3250" s="152" t="s">
        <v>3796</v>
      </c>
      <c r="R3250" s="152" t="s">
        <v>3989</v>
      </c>
      <c r="S3250" s="152" t="s">
        <v>3798</v>
      </c>
      <c r="T3250" s="152" t="s">
        <v>786</v>
      </c>
    </row>
    <row r="3251" spans="3:20">
      <c r="C3251" s="152" t="s">
        <v>2821</v>
      </c>
      <c r="F3251" s="152" t="s">
        <v>47</v>
      </c>
      <c r="G3251" s="152" t="s">
        <v>46</v>
      </c>
      <c r="I3251" s="513">
        <v>151574.39999999999</v>
      </c>
      <c r="J3251" s="513">
        <v>105.26</v>
      </c>
      <c r="K3251" s="513">
        <v>1440</v>
      </c>
      <c r="L3251" s="518" t="s">
        <v>3517</v>
      </c>
      <c r="M3251" s="152" t="s">
        <v>780</v>
      </c>
      <c r="N3251" s="152" t="s">
        <v>1407</v>
      </c>
      <c r="O3251" s="152" t="s">
        <v>3518</v>
      </c>
      <c r="P3251" s="152" t="s">
        <v>892</v>
      </c>
      <c r="Q3251" s="152" t="s">
        <v>3519</v>
      </c>
      <c r="R3251" s="152" t="s">
        <v>4023</v>
      </c>
      <c r="S3251" s="152" t="s">
        <v>3521</v>
      </c>
      <c r="T3251" s="152" t="s">
        <v>786</v>
      </c>
    </row>
    <row r="3252" spans="3:20">
      <c r="C3252" s="152" t="s">
        <v>2821</v>
      </c>
      <c r="F3252" s="152" t="s">
        <v>47</v>
      </c>
      <c r="G3252" s="152" t="s">
        <v>46</v>
      </c>
      <c r="I3252" s="513">
        <v>201600</v>
      </c>
      <c r="J3252" s="513">
        <v>140</v>
      </c>
      <c r="K3252" s="513">
        <v>1440</v>
      </c>
      <c r="L3252" s="518" t="s">
        <v>3517</v>
      </c>
      <c r="M3252" s="152" t="s">
        <v>780</v>
      </c>
      <c r="N3252" s="152" t="s">
        <v>1407</v>
      </c>
      <c r="O3252" s="152" t="s">
        <v>3518</v>
      </c>
      <c r="P3252" s="152" t="s">
        <v>892</v>
      </c>
      <c r="Q3252" s="152" t="s">
        <v>3519</v>
      </c>
      <c r="R3252" s="152" t="s">
        <v>4085</v>
      </c>
      <c r="S3252" s="152" t="s">
        <v>3521</v>
      </c>
      <c r="T3252" s="152" t="s">
        <v>786</v>
      </c>
    </row>
    <row r="3253" spans="3:20">
      <c r="C3253" s="152" t="s">
        <v>2821</v>
      </c>
      <c r="F3253" s="152" t="s">
        <v>47</v>
      </c>
      <c r="G3253" s="152" t="s">
        <v>46</v>
      </c>
      <c r="I3253" s="513">
        <v>199500</v>
      </c>
      <c r="J3253" s="513">
        <v>140</v>
      </c>
      <c r="K3253" s="513">
        <v>1425</v>
      </c>
      <c r="L3253" s="518" t="s">
        <v>3504</v>
      </c>
      <c r="M3253" s="152" t="s">
        <v>780</v>
      </c>
      <c r="N3253" s="152" t="s">
        <v>1407</v>
      </c>
      <c r="O3253" s="152" t="s">
        <v>3505</v>
      </c>
      <c r="P3253" s="152" t="s">
        <v>3489</v>
      </c>
      <c r="Q3253" s="152" t="s">
        <v>3506</v>
      </c>
      <c r="R3253" s="152" t="s">
        <v>4086</v>
      </c>
      <c r="S3253" s="152" t="s">
        <v>3508</v>
      </c>
      <c r="T3253" s="152" t="s">
        <v>786</v>
      </c>
    </row>
    <row r="3254" spans="3:20">
      <c r="C3254" s="152" t="s">
        <v>2821</v>
      </c>
      <c r="F3254" s="152" t="s">
        <v>47</v>
      </c>
      <c r="G3254" s="152" t="s">
        <v>46</v>
      </c>
      <c r="I3254" s="513">
        <v>56600</v>
      </c>
      <c r="J3254" s="513">
        <v>40</v>
      </c>
      <c r="K3254" s="513">
        <v>1415</v>
      </c>
      <c r="L3254" s="518" t="s">
        <v>3632</v>
      </c>
      <c r="M3254" s="152" t="s">
        <v>780</v>
      </c>
      <c r="N3254" s="152" t="s">
        <v>1407</v>
      </c>
      <c r="O3254" s="152" t="s">
        <v>3633</v>
      </c>
      <c r="P3254" s="152" t="s">
        <v>3489</v>
      </c>
      <c r="Q3254" s="152" t="s">
        <v>3634</v>
      </c>
      <c r="R3254" s="152" t="s">
        <v>4087</v>
      </c>
      <c r="S3254" s="152" t="s">
        <v>3636</v>
      </c>
      <c r="T3254" s="152" t="s">
        <v>786</v>
      </c>
    </row>
    <row r="3255" spans="3:20">
      <c r="C3255" s="152" t="s">
        <v>2821</v>
      </c>
      <c r="F3255" s="152" t="s">
        <v>47</v>
      </c>
      <c r="G3255" s="152" t="s">
        <v>46</v>
      </c>
      <c r="I3255" s="513">
        <v>285000</v>
      </c>
      <c r="J3255" s="513">
        <v>200</v>
      </c>
      <c r="K3255" s="513">
        <v>1425</v>
      </c>
      <c r="L3255" s="518" t="s">
        <v>3504</v>
      </c>
      <c r="M3255" s="152" t="s">
        <v>780</v>
      </c>
      <c r="N3255" s="152" t="s">
        <v>1407</v>
      </c>
      <c r="O3255" s="152" t="s">
        <v>3505</v>
      </c>
      <c r="P3255" s="152" t="s">
        <v>3489</v>
      </c>
      <c r="Q3255" s="152" t="s">
        <v>3506</v>
      </c>
      <c r="R3255" s="152" t="s">
        <v>4088</v>
      </c>
      <c r="S3255" s="152" t="s">
        <v>3508</v>
      </c>
      <c r="T3255" s="152" t="s">
        <v>786</v>
      </c>
    </row>
    <row r="3256" spans="3:20">
      <c r="C3256" s="152" t="s">
        <v>2821</v>
      </c>
      <c r="F3256" s="152" t="s">
        <v>47</v>
      </c>
      <c r="G3256" s="152" t="s">
        <v>46</v>
      </c>
      <c r="I3256" s="513">
        <v>1264500</v>
      </c>
      <c r="J3256" s="513">
        <v>900</v>
      </c>
      <c r="K3256" s="513">
        <v>1405</v>
      </c>
      <c r="L3256" s="518" t="s">
        <v>3493</v>
      </c>
      <c r="M3256" s="152" t="s">
        <v>780</v>
      </c>
      <c r="N3256" s="152" t="s">
        <v>1407</v>
      </c>
      <c r="O3256" s="152" t="s">
        <v>3677</v>
      </c>
      <c r="P3256" s="152" t="s">
        <v>3489</v>
      </c>
      <c r="Q3256" s="152" t="s">
        <v>3678</v>
      </c>
      <c r="R3256" s="152" t="s">
        <v>4088</v>
      </c>
      <c r="S3256" s="152" t="s">
        <v>3679</v>
      </c>
      <c r="T3256" s="152" t="s">
        <v>786</v>
      </c>
    </row>
    <row r="3257" spans="3:20">
      <c r="C3257" s="152" t="s">
        <v>2821</v>
      </c>
      <c r="F3257" s="152" t="s">
        <v>47</v>
      </c>
      <c r="G3257" s="152" t="s">
        <v>46</v>
      </c>
      <c r="I3257" s="513">
        <v>990500</v>
      </c>
      <c r="J3257" s="513">
        <v>700</v>
      </c>
      <c r="K3257" s="513">
        <v>1415</v>
      </c>
      <c r="L3257" s="518" t="s">
        <v>3632</v>
      </c>
      <c r="M3257" s="152" t="s">
        <v>780</v>
      </c>
      <c r="N3257" s="152" t="s">
        <v>1407</v>
      </c>
      <c r="O3257" s="152" t="s">
        <v>3865</v>
      </c>
      <c r="P3257" s="152" t="s">
        <v>3489</v>
      </c>
      <c r="Q3257" s="152" t="s">
        <v>3866</v>
      </c>
      <c r="R3257" s="152" t="s">
        <v>4089</v>
      </c>
      <c r="S3257" s="152" t="s">
        <v>3867</v>
      </c>
      <c r="T3257" s="152" t="s">
        <v>786</v>
      </c>
    </row>
    <row r="3258" spans="3:20">
      <c r="C3258" s="152" t="s">
        <v>2821</v>
      </c>
      <c r="F3258" s="152" t="s">
        <v>47</v>
      </c>
      <c r="G3258" s="152" t="s">
        <v>46</v>
      </c>
      <c r="I3258" s="513">
        <v>3070550</v>
      </c>
      <c r="J3258" s="513">
        <v>2170</v>
      </c>
      <c r="K3258" s="513">
        <v>1415</v>
      </c>
      <c r="L3258" s="518" t="s">
        <v>3632</v>
      </c>
      <c r="M3258" s="152" t="s">
        <v>780</v>
      </c>
      <c r="N3258" s="152" t="s">
        <v>1407</v>
      </c>
      <c r="O3258" s="152" t="s">
        <v>3865</v>
      </c>
      <c r="P3258" s="152" t="s">
        <v>3489</v>
      </c>
      <c r="Q3258" s="152" t="s">
        <v>3866</v>
      </c>
      <c r="R3258" s="152" t="s">
        <v>4090</v>
      </c>
      <c r="S3258" s="152" t="s">
        <v>3867</v>
      </c>
      <c r="T3258" s="152" t="s">
        <v>786</v>
      </c>
    </row>
    <row r="3259" spans="3:20">
      <c r="C3259" s="152" t="s">
        <v>2821</v>
      </c>
      <c r="F3259" s="152" t="s">
        <v>341</v>
      </c>
      <c r="G3259" s="152" t="s">
        <v>342</v>
      </c>
      <c r="I3259" s="513">
        <v>473142.75</v>
      </c>
      <c r="J3259" s="513">
        <v>332.03</v>
      </c>
      <c r="K3259" s="513">
        <v>1425</v>
      </c>
      <c r="L3259" s="518" t="s">
        <v>3487</v>
      </c>
      <c r="M3259" s="152" t="s">
        <v>780</v>
      </c>
      <c r="N3259" s="152" t="s">
        <v>2705</v>
      </c>
      <c r="O3259" s="152" t="s">
        <v>4962</v>
      </c>
      <c r="P3259" s="152" t="s">
        <v>3489</v>
      </c>
      <c r="Q3259" s="152" t="s">
        <v>4963</v>
      </c>
      <c r="R3259" s="152" t="s">
        <v>2706</v>
      </c>
      <c r="S3259" s="152" t="s">
        <v>4965</v>
      </c>
      <c r="T3259" s="152" t="s">
        <v>786</v>
      </c>
    </row>
    <row r="3260" spans="3:20">
      <c r="C3260" s="152" t="s">
        <v>2821</v>
      </c>
      <c r="F3260" s="152" t="s">
        <v>341</v>
      </c>
      <c r="G3260" s="152" t="s">
        <v>342</v>
      </c>
      <c r="I3260" s="513">
        <v>45600</v>
      </c>
      <c r="J3260" s="513">
        <v>32</v>
      </c>
      <c r="K3260" s="513">
        <v>1425</v>
      </c>
      <c r="L3260" s="518" t="s">
        <v>3637</v>
      </c>
      <c r="M3260" s="152" t="s">
        <v>780</v>
      </c>
      <c r="N3260" s="152" t="s">
        <v>781</v>
      </c>
      <c r="O3260" s="152" t="s">
        <v>4751</v>
      </c>
      <c r="P3260" s="152" t="s">
        <v>2865</v>
      </c>
      <c r="Q3260" s="152" t="s">
        <v>4752</v>
      </c>
      <c r="R3260" s="152" t="s">
        <v>851</v>
      </c>
      <c r="S3260" s="152" t="s">
        <v>4754</v>
      </c>
      <c r="T3260" s="152" t="s">
        <v>786</v>
      </c>
    </row>
    <row r="3261" spans="3:20">
      <c r="C3261" s="152" t="s">
        <v>2821</v>
      </c>
      <c r="F3261" s="152" t="s">
        <v>341</v>
      </c>
      <c r="G3261" s="152" t="s">
        <v>342</v>
      </c>
      <c r="I3261" s="513">
        <v>44800</v>
      </c>
      <c r="J3261" s="513">
        <v>32</v>
      </c>
      <c r="K3261" s="513">
        <v>1400</v>
      </c>
      <c r="L3261" s="518" t="s">
        <v>3659</v>
      </c>
      <c r="M3261" s="152" t="s">
        <v>780</v>
      </c>
      <c r="N3261" s="152" t="s">
        <v>781</v>
      </c>
      <c r="O3261" s="152" t="s">
        <v>4764</v>
      </c>
      <c r="P3261" s="152" t="s">
        <v>3489</v>
      </c>
      <c r="Q3261" s="152" t="s">
        <v>4765</v>
      </c>
      <c r="R3261" s="152" t="s">
        <v>851</v>
      </c>
      <c r="S3261" s="152" t="s">
        <v>4766</v>
      </c>
      <c r="T3261" s="152" t="s">
        <v>786</v>
      </c>
    </row>
    <row r="3262" spans="3:20">
      <c r="C3262" s="152" t="s">
        <v>2821</v>
      </c>
      <c r="F3262" s="152" t="s">
        <v>341</v>
      </c>
      <c r="G3262" s="152" t="s">
        <v>342</v>
      </c>
      <c r="I3262" s="513">
        <v>70</v>
      </c>
      <c r="J3262" s="513">
        <v>0.05</v>
      </c>
      <c r="K3262" s="513">
        <v>1400</v>
      </c>
      <c r="L3262" s="518" t="s">
        <v>3659</v>
      </c>
      <c r="M3262" s="152" t="s">
        <v>780</v>
      </c>
      <c r="N3262" s="152" t="s">
        <v>781</v>
      </c>
      <c r="O3262" s="152" t="s">
        <v>4791</v>
      </c>
      <c r="P3262" s="152" t="s">
        <v>3489</v>
      </c>
      <c r="Q3262" s="152" t="s">
        <v>4792</v>
      </c>
      <c r="R3262" s="152" t="s">
        <v>953</v>
      </c>
      <c r="S3262" s="152" t="s">
        <v>4793</v>
      </c>
      <c r="T3262" s="152" t="s">
        <v>786</v>
      </c>
    </row>
    <row r="3263" spans="3:20">
      <c r="C3263" s="152" t="s">
        <v>2821</v>
      </c>
      <c r="F3263" s="152" t="s">
        <v>341</v>
      </c>
      <c r="G3263" s="152" t="s">
        <v>342</v>
      </c>
      <c r="I3263" s="513">
        <v>35250</v>
      </c>
      <c r="J3263" s="513">
        <v>25</v>
      </c>
      <c r="K3263" s="513">
        <v>1410</v>
      </c>
      <c r="L3263" s="518" t="s">
        <v>3498</v>
      </c>
      <c r="M3263" s="152" t="s">
        <v>780</v>
      </c>
      <c r="N3263" s="152" t="s">
        <v>781</v>
      </c>
      <c r="O3263" s="152" t="s">
        <v>4731</v>
      </c>
      <c r="P3263" s="152" t="s">
        <v>3489</v>
      </c>
      <c r="Q3263" s="152" t="s">
        <v>4732</v>
      </c>
      <c r="R3263" s="152" t="s">
        <v>4799</v>
      </c>
      <c r="S3263" s="152" t="s">
        <v>4734</v>
      </c>
      <c r="T3263" s="152" t="s">
        <v>786</v>
      </c>
    </row>
    <row r="3264" spans="3:20">
      <c r="C3264" s="152" t="s">
        <v>2821</v>
      </c>
      <c r="F3264" s="152" t="s">
        <v>341</v>
      </c>
      <c r="G3264" s="152" t="s">
        <v>342</v>
      </c>
      <c r="I3264" s="513">
        <v>35625</v>
      </c>
      <c r="J3264" s="513">
        <v>25</v>
      </c>
      <c r="K3264" s="513">
        <v>1425</v>
      </c>
      <c r="L3264" s="518" t="s">
        <v>3504</v>
      </c>
      <c r="M3264" s="152" t="s">
        <v>780</v>
      </c>
      <c r="N3264" s="152" t="s">
        <v>781</v>
      </c>
      <c r="O3264" s="152" t="s">
        <v>4804</v>
      </c>
      <c r="P3264" s="152" t="s">
        <v>3489</v>
      </c>
      <c r="Q3264" s="152" t="s">
        <v>4805</v>
      </c>
      <c r="R3264" s="152" t="s">
        <v>4806</v>
      </c>
      <c r="S3264" s="152" t="s">
        <v>4807</v>
      </c>
      <c r="T3264" s="152" t="s">
        <v>786</v>
      </c>
    </row>
    <row r="3265" spans="3:20">
      <c r="C3265" s="152" t="s">
        <v>2821</v>
      </c>
      <c r="F3265" s="152" t="s">
        <v>341</v>
      </c>
      <c r="G3265" s="152" t="s">
        <v>342</v>
      </c>
      <c r="I3265" s="513">
        <v>28500</v>
      </c>
      <c r="J3265" s="513">
        <v>20</v>
      </c>
      <c r="K3265" s="513">
        <v>1425</v>
      </c>
      <c r="L3265" s="518" t="s">
        <v>3637</v>
      </c>
      <c r="M3265" s="152" t="s">
        <v>780</v>
      </c>
      <c r="N3265" s="152" t="s">
        <v>781</v>
      </c>
      <c r="O3265" s="152" t="s">
        <v>4751</v>
      </c>
      <c r="P3265" s="152" t="s">
        <v>2865</v>
      </c>
      <c r="Q3265" s="152" t="s">
        <v>4752</v>
      </c>
      <c r="R3265" s="152" t="s">
        <v>4816</v>
      </c>
      <c r="S3265" s="152" t="s">
        <v>4754</v>
      </c>
      <c r="T3265" s="152" t="s">
        <v>786</v>
      </c>
    </row>
    <row r="3266" spans="3:20">
      <c r="C3266" s="152" t="s">
        <v>2821</v>
      </c>
      <c r="F3266" s="152" t="s">
        <v>341</v>
      </c>
      <c r="G3266" s="152" t="s">
        <v>342</v>
      </c>
      <c r="I3266" s="513">
        <v>28300</v>
      </c>
      <c r="J3266" s="513">
        <v>20</v>
      </c>
      <c r="K3266" s="513">
        <v>1415</v>
      </c>
      <c r="L3266" s="518" t="s">
        <v>3498</v>
      </c>
      <c r="M3266" s="152" t="s">
        <v>780</v>
      </c>
      <c r="N3266" s="152" t="s">
        <v>781</v>
      </c>
      <c r="O3266" s="152" t="s">
        <v>4731</v>
      </c>
      <c r="P3266" s="152" t="s">
        <v>3489</v>
      </c>
      <c r="Q3266" s="152" t="s">
        <v>4732</v>
      </c>
      <c r="R3266" s="152" t="s">
        <v>4816</v>
      </c>
      <c r="S3266" s="152" t="s">
        <v>4734</v>
      </c>
      <c r="T3266" s="152" t="s">
        <v>786</v>
      </c>
    </row>
    <row r="3267" spans="3:20">
      <c r="C3267" s="152" t="s">
        <v>2821</v>
      </c>
      <c r="F3267" s="152" t="s">
        <v>341</v>
      </c>
      <c r="G3267" s="152" t="s">
        <v>342</v>
      </c>
      <c r="I3267" s="513">
        <v>31877.25</v>
      </c>
      <c r="J3267" s="513">
        <v>22.37</v>
      </c>
      <c r="K3267" s="513">
        <v>1425</v>
      </c>
      <c r="L3267" s="518" t="s">
        <v>3637</v>
      </c>
      <c r="M3267" s="152" t="s">
        <v>780</v>
      </c>
      <c r="N3267" s="152" t="s">
        <v>1272</v>
      </c>
      <c r="O3267" s="152" t="s">
        <v>4924</v>
      </c>
      <c r="P3267" s="152" t="s">
        <v>2865</v>
      </c>
      <c r="Q3267" s="152" t="s">
        <v>4925</v>
      </c>
      <c r="R3267" s="152" t="s">
        <v>1296</v>
      </c>
      <c r="S3267" s="152" t="s">
        <v>4926</v>
      </c>
      <c r="T3267" s="152" t="s">
        <v>786</v>
      </c>
    </row>
    <row r="3268" spans="3:20">
      <c r="C3268" s="152" t="s">
        <v>2821</v>
      </c>
      <c r="F3268" s="152" t="s">
        <v>341</v>
      </c>
      <c r="G3268" s="152" t="s">
        <v>342</v>
      </c>
      <c r="I3268" s="513">
        <v>28500</v>
      </c>
      <c r="J3268" s="513">
        <v>20</v>
      </c>
      <c r="K3268" s="513">
        <v>1425</v>
      </c>
      <c r="L3268" s="518" t="s">
        <v>3504</v>
      </c>
      <c r="M3268" s="152" t="s">
        <v>780</v>
      </c>
      <c r="N3268" s="152" t="s">
        <v>1272</v>
      </c>
      <c r="O3268" s="152" t="s">
        <v>4927</v>
      </c>
      <c r="P3268" s="152" t="s">
        <v>3489</v>
      </c>
      <c r="Q3268" s="152" t="s">
        <v>4928</v>
      </c>
      <c r="R3268" s="152" t="s">
        <v>1296</v>
      </c>
      <c r="S3268" s="152" t="s">
        <v>4929</v>
      </c>
      <c r="T3268" s="152" t="s">
        <v>786</v>
      </c>
    </row>
    <row r="3269" spans="3:20">
      <c r="C3269" s="152" t="s">
        <v>2821</v>
      </c>
      <c r="F3269" s="152" t="s">
        <v>341</v>
      </c>
      <c r="G3269" s="152" t="s">
        <v>342</v>
      </c>
      <c r="I3269" s="513">
        <v>30912</v>
      </c>
      <c r="J3269" s="513">
        <v>22.08</v>
      </c>
      <c r="K3269" s="513">
        <v>1400</v>
      </c>
      <c r="L3269" s="518" t="s">
        <v>3659</v>
      </c>
      <c r="M3269" s="152" t="s">
        <v>780</v>
      </c>
      <c r="N3269" s="152" t="s">
        <v>1272</v>
      </c>
      <c r="O3269" s="152" t="s">
        <v>4919</v>
      </c>
      <c r="P3269" s="152" t="s">
        <v>3489</v>
      </c>
      <c r="Q3269" s="152" t="s">
        <v>4920</v>
      </c>
      <c r="R3269" s="152" t="s">
        <v>1296</v>
      </c>
      <c r="S3269" s="152" t="s">
        <v>4922</v>
      </c>
      <c r="T3269" s="152" t="s">
        <v>786</v>
      </c>
    </row>
    <row r="3270" spans="3:20">
      <c r="C3270" s="152" t="s">
        <v>2821</v>
      </c>
      <c r="F3270" s="152" t="s">
        <v>341</v>
      </c>
      <c r="G3270" s="152" t="s">
        <v>342</v>
      </c>
      <c r="I3270" s="513">
        <v>28300</v>
      </c>
      <c r="J3270" s="513">
        <v>20</v>
      </c>
      <c r="K3270" s="513">
        <v>1415</v>
      </c>
      <c r="L3270" s="518" t="s">
        <v>3632</v>
      </c>
      <c r="M3270" s="152" t="s">
        <v>780</v>
      </c>
      <c r="N3270" s="152" t="s">
        <v>1272</v>
      </c>
      <c r="O3270" s="152" t="s">
        <v>4930</v>
      </c>
      <c r="P3270" s="152" t="s">
        <v>3489</v>
      </c>
      <c r="Q3270" s="152" t="s">
        <v>4931</v>
      </c>
      <c r="R3270" s="152" t="s">
        <v>1296</v>
      </c>
      <c r="S3270" s="152" t="s">
        <v>4932</v>
      </c>
      <c r="T3270" s="152" t="s">
        <v>786</v>
      </c>
    </row>
    <row r="3271" spans="3:20">
      <c r="C3271" s="152" t="s">
        <v>2821</v>
      </c>
      <c r="F3271" s="152" t="s">
        <v>341</v>
      </c>
      <c r="G3271" s="152" t="s">
        <v>342</v>
      </c>
      <c r="I3271" s="513">
        <v>45600</v>
      </c>
      <c r="J3271" s="513">
        <v>32</v>
      </c>
      <c r="K3271" s="513">
        <v>1425</v>
      </c>
      <c r="L3271" s="518" t="s">
        <v>3637</v>
      </c>
      <c r="M3271" s="152" t="s">
        <v>780</v>
      </c>
      <c r="N3271" s="152" t="s">
        <v>1407</v>
      </c>
      <c r="O3271" s="152" t="s">
        <v>3699</v>
      </c>
      <c r="P3271" s="152" t="s">
        <v>2865</v>
      </c>
      <c r="Q3271" s="152" t="s">
        <v>3700</v>
      </c>
      <c r="R3271" s="152" t="s">
        <v>1474</v>
      </c>
      <c r="S3271" s="152" t="s">
        <v>3701</v>
      </c>
      <c r="T3271" s="152" t="s">
        <v>786</v>
      </c>
    </row>
    <row r="3272" spans="3:20">
      <c r="C3272" s="152" t="s">
        <v>2821</v>
      </c>
      <c r="F3272" s="152" t="s">
        <v>341</v>
      </c>
      <c r="G3272" s="152" t="s">
        <v>342</v>
      </c>
      <c r="I3272" s="513">
        <v>44800</v>
      </c>
      <c r="J3272" s="513">
        <v>32</v>
      </c>
      <c r="K3272" s="513">
        <v>1400</v>
      </c>
      <c r="L3272" s="518" t="s">
        <v>3659</v>
      </c>
      <c r="M3272" s="152" t="s">
        <v>780</v>
      </c>
      <c r="N3272" s="152" t="s">
        <v>1407</v>
      </c>
      <c r="O3272" s="152" t="s">
        <v>3702</v>
      </c>
      <c r="P3272" s="152" t="s">
        <v>3489</v>
      </c>
      <c r="Q3272" s="152" t="s">
        <v>3703</v>
      </c>
      <c r="R3272" s="152" t="s">
        <v>1474</v>
      </c>
      <c r="S3272" s="152" t="s">
        <v>3704</v>
      </c>
      <c r="T3272" s="152" t="s">
        <v>786</v>
      </c>
    </row>
    <row r="3273" spans="3:20">
      <c r="C3273" s="152" t="s">
        <v>2821</v>
      </c>
      <c r="F3273" s="152" t="s">
        <v>341</v>
      </c>
      <c r="G3273" s="152" t="s">
        <v>342</v>
      </c>
      <c r="I3273" s="513">
        <v>44844.75</v>
      </c>
      <c r="J3273" s="513">
        <v>31.47</v>
      </c>
      <c r="K3273" s="513">
        <v>1425</v>
      </c>
      <c r="L3273" s="518" t="s">
        <v>3504</v>
      </c>
      <c r="M3273" s="152" t="s">
        <v>780</v>
      </c>
      <c r="N3273" s="152" t="s">
        <v>1407</v>
      </c>
      <c r="O3273" s="152" t="s">
        <v>3768</v>
      </c>
      <c r="P3273" s="152" t="s">
        <v>3489</v>
      </c>
      <c r="Q3273" s="152" t="s">
        <v>3769</v>
      </c>
      <c r="R3273" s="152" t="s">
        <v>3869</v>
      </c>
      <c r="S3273" s="152" t="s">
        <v>3771</v>
      </c>
      <c r="T3273" s="152" t="s">
        <v>786</v>
      </c>
    </row>
    <row r="3274" spans="3:20">
      <c r="C3274" s="152" t="s">
        <v>2821</v>
      </c>
      <c r="F3274" s="152" t="s">
        <v>341</v>
      </c>
      <c r="G3274" s="152" t="s">
        <v>342</v>
      </c>
      <c r="I3274" s="513">
        <v>53928</v>
      </c>
      <c r="J3274" s="513">
        <v>37.450000000000003</v>
      </c>
      <c r="K3274" s="513">
        <v>1440</v>
      </c>
      <c r="L3274" s="518" t="s">
        <v>3517</v>
      </c>
      <c r="M3274" s="152" t="s">
        <v>780</v>
      </c>
      <c r="N3274" s="152" t="s">
        <v>1407</v>
      </c>
      <c r="O3274" s="152" t="s">
        <v>3862</v>
      </c>
      <c r="P3274" s="152" t="s">
        <v>892</v>
      </c>
      <c r="Q3274" s="152" t="s">
        <v>3863</v>
      </c>
      <c r="R3274" s="152" t="s">
        <v>3870</v>
      </c>
      <c r="S3274" s="152" t="s">
        <v>3864</v>
      </c>
      <c r="T3274" s="152" t="s">
        <v>786</v>
      </c>
    </row>
    <row r="3275" spans="3:20">
      <c r="C3275" s="152" t="s">
        <v>2821</v>
      </c>
      <c r="F3275" s="152" t="s">
        <v>341</v>
      </c>
      <c r="G3275" s="152" t="s">
        <v>342</v>
      </c>
      <c r="I3275" s="513">
        <v>84515.4</v>
      </c>
      <c r="J3275" s="513">
        <v>59.94</v>
      </c>
      <c r="K3275" s="513">
        <v>1410</v>
      </c>
      <c r="L3275" s="518" t="s">
        <v>3498</v>
      </c>
      <c r="M3275" s="152" t="s">
        <v>780</v>
      </c>
      <c r="N3275" s="152" t="s">
        <v>1407</v>
      </c>
      <c r="O3275" s="152" t="s">
        <v>4011</v>
      </c>
      <c r="P3275" s="152" t="s">
        <v>3489</v>
      </c>
      <c r="Q3275" s="152" t="s">
        <v>4012</v>
      </c>
      <c r="R3275" s="152" t="s">
        <v>4013</v>
      </c>
      <c r="S3275" s="152" t="s">
        <v>4014</v>
      </c>
      <c r="T3275" s="152" t="s">
        <v>786</v>
      </c>
    </row>
    <row r="3276" spans="3:20">
      <c r="C3276" s="152" t="s">
        <v>2821</v>
      </c>
      <c r="F3276" s="152" t="s">
        <v>343</v>
      </c>
      <c r="G3276" s="152" t="s">
        <v>344</v>
      </c>
      <c r="I3276" s="513">
        <v>520381.5</v>
      </c>
      <c r="J3276" s="513">
        <v>365.18</v>
      </c>
      <c r="K3276" s="513">
        <v>1425</v>
      </c>
      <c r="L3276" s="518" t="s">
        <v>3637</v>
      </c>
      <c r="M3276" s="152" t="s">
        <v>780</v>
      </c>
      <c r="N3276" s="152" t="s">
        <v>781</v>
      </c>
      <c r="O3276" s="152" t="s">
        <v>4770</v>
      </c>
      <c r="P3276" s="152" t="s">
        <v>2865</v>
      </c>
      <c r="Q3276" s="152" t="s">
        <v>4771</v>
      </c>
      <c r="R3276" s="152" t="s">
        <v>1251</v>
      </c>
      <c r="S3276" s="152" t="s">
        <v>4773</v>
      </c>
      <c r="T3276" s="152" t="s">
        <v>786</v>
      </c>
    </row>
    <row r="3277" spans="3:20">
      <c r="C3277" s="152" t="s">
        <v>2821</v>
      </c>
      <c r="F3277" s="152" t="s">
        <v>343</v>
      </c>
      <c r="G3277" s="152" t="s">
        <v>344</v>
      </c>
      <c r="I3277" s="513">
        <v>500457.2</v>
      </c>
      <c r="J3277" s="513">
        <v>353.68</v>
      </c>
      <c r="K3277" s="513">
        <v>1415</v>
      </c>
      <c r="L3277" s="518" t="s">
        <v>3632</v>
      </c>
      <c r="M3277" s="152" t="s">
        <v>780</v>
      </c>
      <c r="N3277" s="152" t="s">
        <v>781</v>
      </c>
      <c r="O3277" s="152" t="s">
        <v>4735</v>
      </c>
      <c r="P3277" s="152" t="s">
        <v>3489</v>
      </c>
      <c r="Q3277" s="152" t="s">
        <v>4736</v>
      </c>
      <c r="R3277" s="152" t="s">
        <v>4837</v>
      </c>
      <c r="S3277" s="152" t="s">
        <v>4738</v>
      </c>
      <c r="T3277" s="152" t="s">
        <v>786</v>
      </c>
    </row>
    <row r="3278" spans="3:20">
      <c r="C3278" s="152" t="s">
        <v>2821</v>
      </c>
      <c r="F3278" s="152" t="s">
        <v>343</v>
      </c>
      <c r="G3278" s="152" t="s">
        <v>344</v>
      </c>
      <c r="I3278" s="513">
        <v>395850.75</v>
      </c>
      <c r="J3278" s="513">
        <v>277.79000000000002</v>
      </c>
      <c r="K3278" s="513">
        <v>1425</v>
      </c>
      <c r="L3278" s="518" t="s">
        <v>3637</v>
      </c>
      <c r="M3278" s="152" t="s">
        <v>780</v>
      </c>
      <c r="N3278" s="152" t="s">
        <v>1407</v>
      </c>
      <c r="O3278" s="152" t="s">
        <v>3680</v>
      </c>
      <c r="P3278" s="152" t="s">
        <v>2865</v>
      </c>
      <c r="Q3278" s="152" t="s">
        <v>3681</v>
      </c>
      <c r="R3278" s="152" t="s">
        <v>2160</v>
      </c>
      <c r="S3278" s="152" t="s">
        <v>3683</v>
      </c>
      <c r="T3278" s="152" t="s">
        <v>786</v>
      </c>
    </row>
    <row r="3279" spans="3:20">
      <c r="C3279" s="152" t="s">
        <v>2821</v>
      </c>
      <c r="F3279" s="152" t="s">
        <v>343</v>
      </c>
      <c r="G3279" s="152" t="s">
        <v>344</v>
      </c>
      <c r="I3279" s="513">
        <v>380691.6</v>
      </c>
      <c r="J3279" s="513">
        <v>269.04000000000002</v>
      </c>
      <c r="K3279" s="513">
        <v>1415</v>
      </c>
      <c r="L3279" s="518" t="s">
        <v>3632</v>
      </c>
      <c r="M3279" s="152" t="s">
        <v>780</v>
      </c>
      <c r="N3279" s="152" t="s">
        <v>1407</v>
      </c>
      <c r="O3279" s="152" t="s">
        <v>3673</v>
      </c>
      <c r="P3279" s="152" t="s">
        <v>3489</v>
      </c>
      <c r="Q3279" s="152" t="s">
        <v>3674</v>
      </c>
      <c r="R3279" s="152" t="s">
        <v>4010</v>
      </c>
      <c r="S3279" s="152" t="s">
        <v>3676</v>
      </c>
      <c r="T3279" s="152" t="s">
        <v>786</v>
      </c>
    </row>
    <row r="3280" spans="3:20">
      <c r="C3280" s="152" t="s">
        <v>2821</v>
      </c>
      <c r="F3280" s="152" t="s">
        <v>4967</v>
      </c>
      <c r="G3280" s="152" t="s">
        <v>4968</v>
      </c>
      <c r="I3280" s="513">
        <v>707500</v>
      </c>
      <c r="J3280" s="513">
        <v>500</v>
      </c>
      <c r="K3280" s="513">
        <v>1415</v>
      </c>
      <c r="L3280" s="518" t="s">
        <v>3487</v>
      </c>
      <c r="M3280" s="152" t="s">
        <v>780</v>
      </c>
      <c r="N3280" s="152" t="s">
        <v>2705</v>
      </c>
      <c r="O3280" s="152" t="s">
        <v>4962</v>
      </c>
      <c r="P3280" s="152" t="s">
        <v>3489</v>
      </c>
      <c r="Q3280" s="152" t="s">
        <v>4963</v>
      </c>
      <c r="R3280" s="152" t="s">
        <v>4969</v>
      </c>
      <c r="S3280" s="152" t="s">
        <v>4965</v>
      </c>
      <c r="T3280" s="152" t="s">
        <v>786</v>
      </c>
    </row>
    <row r="3281" spans="3:20">
      <c r="C3281" s="152" t="s">
        <v>2821</v>
      </c>
      <c r="F3281" s="152" t="s">
        <v>2747</v>
      </c>
      <c r="G3281" s="152" t="s">
        <v>2748</v>
      </c>
      <c r="I3281" s="513">
        <v>0</v>
      </c>
      <c r="J3281" s="513">
        <v>3.3E-3</v>
      </c>
      <c r="K3281" s="513">
        <v>1</v>
      </c>
      <c r="L3281" s="518" t="s">
        <v>4128</v>
      </c>
      <c r="M3281" s="152" t="s">
        <v>780</v>
      </c>
      <c r="N3281" s="152" t="s">
        <v>2705</v>
      </c>
      <c r="O3281" s="152" t="s">
        <v>4973</v>
      </c>
      <c r="P3281" s="152" t="s">
        <v>892</v>
      </c>
      <c r="Q3281" s="152" t="s">
        <v>4974</v>
      </c>
      <c r="R3281" s="152" t="s">
        <v>4974</v>
      </c>
      <c r="S3281" s="152" t="s">
        <v>4975</v>
      </c>
      <c r="T3281" s="152" t="s">
        <v>786</v>
      </c>
    </row>
    <row r="3282" spans="3:20">
      <c r="C3282" s="152" t="s">
        <v>2821</v>
      </c>
      <c r="F3282" s="152" t="s">
        <v>2747</v>
      </c>
      <c r="G3282" s="152" t="s">
        <v>2748</v>
      </c>
      <c r="I3282" s="513">
        <v>4.8</v>
      </c>
      <c r="J3282" s="513">
        <v>0</v>
      </c>
      <c r="K3282" s="513">
        <v>1</v>
      </c>
      <c r="L3282" s="518" t="s">
        <v>4128</v>
      </c>
      <c r="M3282" s="152" t="s">
        <v>780</v>
      </c>
      <c r="N3282" s="152" t="s">
        <v>2705</v>
      </c>
      <c r="O3282" s="152" t="s">
        <v>4973</v>
      </c>
      <c r="P3282" s="152" t="s">
        <v>892</v>
      </c>
      <c r="Q3282" s="152" t="s">
        <v>4974</v>
      </c>
      <c r="R3282" s="152" t="s">
        <v>4974</v>
      </c>
      <c r="S3282" s="152" t="s">
        <v>4975</v>
      </c>
      <c r="T3282" s="152" t="s">
        <v>786</v>
      </c>
    </row>
    <row r="3283" spans="3:20">
      <c r="C3283" s="152" t="s">
        <v>2821</v>
      </c>
      <c r="F3283" s="152" t="s">
        <v>2747</v>
      </c>
      <c r="G3283" s="152" t="s">
        <v>2748</v>
      </c>
      <c r="I3283" s="513">
        <v>0</v>
      </c>
      <c r="J3283" s="513">
        <v>4.1999999999999997E-3</v>
      </c>
      <c r="K3283" s="513">
        <v>1</v>
      </c>
      <c r="L3283" s="518" t="s">
        <v>4133</v>
      </c>
      <c r="M3283" s="152" t="s">
        <v>780</v>
      </c>
      <c r="N3283" s="152" t="s">
        <v>2705</v>
      </c>
      <c r="O3283" s="152" t="s">
        <v>5087</v>
      </c>
      <c r="P3283" s="152" t="s">
        <v>3489</v>
      </c>
      <c r="Q3283" s="152" t="s">
        <v>5088</v>
      </c>
      <c r="R3283" s="152" t="s">
        <v>5088</v>
      </c>
      <c r="S3283" s="152" t="s">
        <v>5089</v>
      </c>
      <c r="T3283" s="152" t="s">
        <v>786</v>
      </c>
    </row>
    <row r="3284" spans="3:20">
      <c r="C3284" s="152" t="s">
        <v>2821</v>
      </c>
      <c r="F3284" s="152" t="s">
        <v>2747</v>
      </c>
      <c r="G3284" s="152" t="s">
        <v>2748</v>
      </c>
      <c r="I3284" s="513">
        <v>5.9</v>
      </c>
      <c r="J3284" s="513">
        <v>0</v>
      </c>
      <c r="K3284" s="513">
        <v>1</v>
      </c>
      <c r="L3284" s="518" t="s">
        <v>4133</v>
      </c>
      <c r="M3284" s="152" t="s">
        <v>780</v>
      </c>
      <c r="N3284" s="152" t="s">
        <v>2705</v>
      </c>
      <c r="O3284" s="152" t="s">
        <v>5087</v>
      </c>
      <c r="P3284" s="152" t="s">
        <v>3489</v>
      </c>
      <c r="Q3284" s="152" t="s">
        <v>5088</v>
      </c>
      <c r="R3284" s="152" t="s">
        <v>5088</v>
      </c>
      <c r="S3284" s="152" t="s">
        <v>5089</v>
      </c>
      <c r="T3284" s="152" t="s">
        <v>786</v>
      </c>
    </row>
    <row r="3285" spans="3:20">
      <c r="C3285" s="152" t="s">
        <v>2821</v>
      </c>
      <c r="F3285" s="152" t="s">
        <v>2747</v>
      </c>
      <c r="G3285" s="152" t="s">
        <v>2748</v>
      </c>
      <c r="I3285" s="513">
        <v>-6</v>
      </c>
      <c r="J3285" s="513">
        <v>0</v>
      </c>
      <c r="K3285" s="513">
        <v>1</v>
      </c>
      <c r="L3285" s="518" t="s">
        <v>3567</v>
      </c>
      <c r="M3285" s="152" t="s">
        <v>780</v>
      </c>
      <c r="N3285" s="152" t="s">
        <v>2705</v>
      </c>
      <c r="O3285" s="152" t="s">
        <v>5090</v>
      </c>
      <c r="P3285" s="152" t="s">
        <v>3489</v>
      </c>
      <c r="Q3285" s="152" t="s">
        <v>5091</v>
      </c>
      <c r="R3285" s="152" t="s">
        <v>5091</v>
      </c>
      <c r="S3285" s="152" t="s">
        <v>5092</v>
      </c>
      <c r="T3285" s="152" t="s">
        <v>786</v>
      </c>
    </row>
    <row r="3286" spans="3:20">
      <c r="C3286" s="152" t="s">
        <v>2821</v>
      </c>
      <c r="F3286" s="152" t="s">
        <v>2747</v>
      </c>
      <c r="G3286" s="152" t="s">
        <v>2748</v>
      </c>
      <c r="I3286" s="513">
        <v>0</v>
      </c>
      <c r="J3286" s="513">
        <v>-4.3E-3</v>
      </c>
      <c r="K3286" s="513">
        <v>1</v>
      </c>
      <c r="L3286" s="518" t="s">
        <v>3567</v>
      </c>
      <c r="M3286" s="152" t="s">
        <v>780</v>
      </c>
      <c r="N3286" s="152" t="s">
        <v>2705</v>
      </c>
      <c r="O3286" s="152" t="s">
        <v>5090</v>
      </c>
      <c r="P3286" s="152" t="s">
        <v>3489</v>
      </c>
      <c r="Q3286" s="152" t="s">
        <v>5091</v>
      </c>
      <c r="R3286" s="152" t="s">
        <v>5091</v>
      </c>
      <c r="S3286" s="152" t="s">
        <v>5092</v>
      </c>
      <c r="T3286" s="152" t="s">
        <v>786</v>
      </c>
    </row>
    <row r="3287" spans="3:20">
      <c r="C3287" s="152" t="s">
        <v>2821</v>
      </c>
      <c r="F3287" s="152" t="s">
        <v>2747</v>
      </c>
      <c r="G3287" s="152" t="s">
        <v>2748</v>
      </c>
      <c r="I3287" s="513">
        <v>-1.6000000000000001E-3</v>
      </c>
      <c r="J3287" s="513">
        <v>0</v>
      </c>
      <c r="K3287" s="513">
        <v>1</v>
      </c>
      <c r="L3287" s="518" t="s">
        <v>3517</v>
      </c>
      <c r="M3287" s="152" t="s">
        <v>1566</v>
      </c>
      <c r="N3287" s="152" t="s">
        <v>1407</v>
      </c>
      <c r="O3287" s="152" t="s">
        <v>4976</v>
      </c>
      <c r="P3287" s="152" t="s">
        <v>1881</v>
      </c>
      <c r="Q3287" s="152" t="s">
        <v>4977</v>
      </c>
      <c r="R3287" s="152" t="s">
        <v>4977</v>
      </c>
      <c r="S3287" s="152" t="s">
        <v>4978</v>
      </c>
      <c r="T3287" s="152" t="s">
        <v>786</v>
      </c>
    </row>
    <row r="3288" spans="3:20">
      <c r="C3288" s="152" t="s">
        <v>2821</v>
      </c>
      <c r="F3288" s="152" t="s">
        <v>351</v>
      </c>
      <c r="G3288" s="152" t="s">
        <v>352</v>
      </c>
      <c r="I3288" s="513">
        <v>1671468.75</v>
      </c>
      <c r="J3288" s="513">
        <v>1181.25</v>
      </c>
      <c r="K3288" s="513">
        <v>1415</v>
      </c>
      <c r="L3288" s="518" t="s">
        <v>4133</v>
      </c>
      <c r="M3288" s="152" t="s">
        <v>780</v>
      </c>
      <c r="N3288" s="152" t="s">
        <v>1407</v>
      </c>
      <c r="O3288" s="152" t="s">
        <v>4134</v>
      </c>
      <c r="P3288" s="152" t="s">
        <v>3489</v>
      </c>
      <c r="Q3288" s="152" t="s">
        <v>4135</v>
      </c>
      <c r="R3288" s="152" t="s">
        <v>4152</v>
      </c>
      <c r="S3288" s="152" t="s">
        <v>4137</v>
      </c>
      <c r="T3288" s="152" t="s">
        <v>786</v>
      </c>
    </row>
    <row r="3289" spans="3:20">
      <c r="C3289" s="152" t="s">
        <v>2821</v>
      </c>
      <c r="F3289" s="152" t="s">
        <v>354</v>
      </c>
      <c r="G3289" s="152" t="s">
        <v>355</v>
      </c>
      <c r="I3289" s="513">
        <v>1273500</v>
      </c>
      <c r="J3289" s="513">
        <v>900</v>
      </c>
      <c r="K3289" s="513">
        <v>1415</v>
      </c>
      <c r="L3289" s="518" t="s">
        <v>3487</v>
      </c>
      <c r="M3289" s="152" t="s">
        <v>780</v>
      </c>
      <c r="N3289" s="152" t="s">
        <v>2705</v>
      </c>
      <c r="O3289" s="152" t="s">
        <v>4962</v>
      </c>
      <c r="P3289" s="152" t="s">
        <v>3489</v>
      </c>
      <c r="Q3289" s="152" t="s">
        <v>4963</v>
      </c>
      <c r="R3289" s="152" t="s">
        <v>4964</v>
      </c>
      <c r="S3289" s="152" t="s">
        <v>4965</v>
      </c>
      <c r="T3289" s="152" t="s">
        <v>786</v>
      </c>
    </row>
    <row r="3290" spans="3:20">
      <c r="C3290" s="152" t="s">
        <v>2821</v>
      </c>
      <c r="F3290" s="152" t="s">
        <v>354</v>
      </c>
      <c r="G3290" s="152" t="s">
        <v>355</v>
      </c>
      <c r="I3290" s="513">
        <v>1264500</v>
      </c>
      <c r="J3290" s="513">
        <v>900</v>
      </c>
      <c r="K3290" s="513">
        <v>1405</v>
      </c>
      <c r="L3290" s="518" t="s">
        <v>3493</v>
      </c>
      <c r="M3290" s="152" t="s">
        <v>780</v>
      </c>
      <c r="N3290" s="152" t="s">
        <v>2705</v>
      </c>
      <c r="O3290" s="152" t="s">
        <v>4124</v>
      </c>
      <c r="P3290" s="152" t="s">
        <v>3489</v>
      </c>
      <c r="Q3290" s="152" t="s">
        <v>4125</v>
      </c>
      <c r="R3290" s="152" t="s">
        <v>4966</v>
      </c>
      <c r="S3290" s="152" t="s">
        <v>4127</v>
      </c>
      <c r="T3290" s="152" t="s">
        <v>786</v>
      </c>
    </row>
    <row r="3291" spans="3:20">
      <c r="C3291" s="152" t="s">
        <v>2821</v>
      </c>
      <c r="F3291" s="152" t="s">
        <v>354</v>
      </c>
      <c r="G3291" s="152" t="s">
        <v>355</v>
      </c>
      <c r="I3291" s="513">
        <v>438253.8</v>
      </c>
      <c r="J3291" s="513">
        <v>309.72000000000003</v>
      </c>
      <c r="K3291" s="513">
        <v>1415</v>
      </c>
      <c r="L3291" s="518" t="s">
        <v>3511</v>
      </c>
      <c r="M3291" s="152" t="s">
        <v>780</v>
      </c>
      <c r="N3291" s="152" t="s">
        <v>781</v>
      </c>
      <c r="O3291" s="152" t="s">
        <v>3530</v>
      </c>
      <c r="P3291" s="152" t="s">
        <v>3489</v>
      </c>
      <c r="Q3291" s="152" t="s">
        <v>3531</v>
      </c>
      <c r="R3291" s="152" t="s">
        <v>4886</v>
      </c>
      <c r="S3291" s="152" t="s">
        <v>3533</v>
      </c>
      <c r="T3291" s="152" t="s">
        <v>786</v>
      </c>
    </row>
    <row r="3292" spans="3:20">
      <c r="C3292" s="152" t="s">
        <v>2821</v>
      </c>
      <c r="F3292" s="152" t="s">
        <v>354</v>
      </c>
      <c r="G3292" s="152" t="s">
        <v>355</v>
      </c>
      <c r="I3292" s="513">
        <v>73084.75</v>
      </c>
      <c r="J3292" s="513">
        <v>51.65</v>
      </c>
      <c r="K3292" s="513">
        <v>1415</v>
      </c>
      <c r="L3292" s="518" t="s">
        <v>3511</v>
      </c>
      <c r="M3292" s="152" t="s">
        <v>780</v>
      </c>
      <c r="N3292" s="152" t="s">
        <v>781</v>
      </c>
      <c r="O3292" s="152" t="s">
        <v>3530</v>
      </c>
      <c r="P3292" s="152" t="s">
        <v>3489</v>
      </c>
      <c r="Q3292" s="152" t="s">
        <v>3531</v>
      </c>
      <c r="R3292" s="152" t="s">
        <v>4897</v>
      </c>
      <c r="S3292" s="152" t="s">
        <v>3533</v>
      </c>
      <c r="T3292" s="152" t="s">
        <v>786</v>
      </c>
    </row>
    <row r="3293" spans="3:20">
      <c r="C3293" s="152" t="s">
        <v>2821</v>
      </c>
      <c r="F3293" s="152" t="s">
        <v>354</v>
      </c>
      <c r="G3293" s="152" t="s">
        <v>355</v>
      </c>
      <c r="I3293" s="513">
        <v>-127774.5</v>
      </c>
      <c r="J3293" s="513">
        <v>-90.3</v>
      </c>
      <c r="K3293" s="513">
        <v>1415</v>
      </c>
      <c r="L3293" s="518" t="s">
        <v>3511</v>
      </c>
      <c r="M3293" s="152" t="s">
        <v>780</v>
      </c>
      <c r="N3293" s="152" t="s">
        <v>1407</v>
      </c>
      <c r="O3293" s="152" t="s">
        <v>3526</v>
      </c>
      <c r="P3293" s="152" t="s">
        <v>3489</v>
      </c>
      <c r="Q3293" s="152" t="s">
        <v>3527</v>
      </c>
      <c r="R3293" s="152" t="s">
        <v>3528</v>
      </c>
      <c r="S3293" s="152" t="s">
        <v>3529</v>
      </c>
      <c r="T3293" s="152" t="s">
        <v>786</v>
      </c>
    </row>
    <row r="3294" spans="3:20">
      <c r="C3294" s="152" t="s">
        <v>2821</v>
      </c>
      <c r="F3294" s="152" t="s">
        <v>354</v>
      </c>
      <c r="G3294" s="152" t="s">
        <v>355</v>
      </c>
      <c r="I3294" s="513">
        <v>132245.9</v>
      </c>
      <c r="J3294" s="513">
        <v>93.46</v>
      </c>
      <c r="K3294" s="513">
        <v>1415</v>
      </c>
      <c r="L3294" s="518" t="s">
        <v>3511</v>
      </c>
      <c r="M3294" s="152" t="s">
        <v>780</v>
      </c>
      <c r="N3294" s="152" t="s">
        <v>1407</v>
      </c>
      <c r="O3294" s="152" t="s">
        <v>3530</v>
      </c>
      <c r="P3294" s="152" t="s">
        <v>3489</v>
      </c>
      <c r="Q3294" s="152" t="s">
        <v>3531</v>
      </c>
      <c r="R3294" s="152" t="s">
        <v>3532</v>
      </c>
      <c r="S3294" s="152" t="s">
        <v>3533</v>
      </c>
      <c r="T3294" s="152" t="s">
        <v>786</v>
      </c>
    </row>
    <row r="3295" spans="3:20">
      <c r="C3295" s="152" t="s">
        <v>2821</v>
      </c>
      <c r="F3295" s="152" t="s">
        <v>354</v>
      </c>
      <c r="G3295" s="152" t="s">
        <v>355</v>
      </c>
      <c r="I3295" s="513">
        <v>-190275.05</v>
      </c>
      <c r="J3295" s="513">
        <v>-134.47</v>
      </c>
      <c r="K3295" s="513">
        <v>1415</v>
      </c>
      <c r="L3295" s="518" t="s">
        <v>3511</v>
      </c>
      <c r="M3295" s="152" t="s">
        <v>780</v>
      </c>
      <c r="N3295" s="152" t="s">
        <v>1407</v>
      </c>
      <c r="O3295" s="152" t="s">
        <v>3526</v>
      </c>
      <c r="P3295" s="152" t="s">
        <v>3489</v>
      </c>
      <c r="Q3295" s="152" t="s">
        <v>3527</v>
      </c>
      <c r="R3295" s="152" t="s">
        <v>3534</v>
      </c>
      <c r="S3295" s="152" t="s">
        <v>3529</v>
      </c>
      <c r="T3295" s="152" t="s">
        <v>786</v>
      </c>
    </row>
    <row r="3296" spans="3:20">
      <c r="C3296" s="152" t="s">
        <v>2821</v>
      </c>
      <c r="F3296" s="152" t="s">
        <v>354</v>
      </c>
      <c r="G3296" s="152" t="s">
        <v>355</v>
      </c>
      <c r="I3296" s="513">
        <v>196925.55</v>
      </c>
      <c r="J3296" s="513">
        <v>139.16999999999999</v>
      </c>
      <c r="K3296" s="513">
        <v>1415</v>
      </c>
      <c r="L3296" s="518" t="s">
        <v>3511</v>
      </c>
      <c r="M3296" s="152" t="s">
        <v>780</v>
      </c>
      <c r="N3296" s="152" t="s">
        <v>1407</v>
      </c>
      <c r="O3296" s="152" t="s">
        <v>3530</v>
      </c>
      <c r="P3296" s="152" t="s">
        <v>3489</v>
      </c>
      <c r="Q3296" s="152" t="s">
        <v>3531</v>
      </c>
      <c r="R3296" s="152" t="s">
        <v>3535</v>
      </c>
      <c r="S3296" s="152" t="s">
        <v>3533</v>
      </c>
      <c r="T3296" s="152" t="s">
        <v>786</v>
      </c>
    </row>
    <row r="3297" spans="3:20">
      <c r="C3297" s="152" t="s">
        <v>2821</v>
      </c>
      <c r="F3297" s="152" t="s">
        <v>354</v>
      </c>
      <c r="G3297" s="152" t="s">
        <v>355</v>
      </c>
      <c r="I3297" s="513">
        <v>-190176</v>
      </c>
      <c r="J3297" s="513">
        <v>-134.4</v>
      </c>
      <c r="K3297" s="513">
        <v>1415</v>
      </c>
      <c r="L3297" s="518" t="s">
        <v>3511</v>
      </c>
      <c r="M3297" s="152" t="s">
        <v>780</v>
      </c>
      <c r="N3297" s="152" t="s">
        <v>1407</v>
      </c>
      <c r="O3297" s="152" t="s">
        <v>3526</v>
      </c>
      <c r="P3297" s="152" t="s">
        <v>3489</v>
      </c>
      <c r="Q3297" s="152" t="s">
        <v>3527</v>
      </c>
      <c r="R3297" s="152" t="s">
        <v>3536</v>
      </c>
      <c r="S3297" s="152" t="s">
        <v>3529</v>
      </c>
      <c r="T3297" s="152" t="s">
        <v>786</v>
      </c>
    </row>
    <row r="3298" spans="3:20">
      <c r="C3298" s="152" t="s">
        <v>2821</v>
      </c>
      <c r="F3298" s="152" t="s">
        <v>354</v>
      </c>
      <c r="G3298" s="152" t="s">
        <v>355</v>
      </c>
      <c r="I3298" s="513">
        <v>196826.5</v>
      </c>
      <c r="J3298" s="513">
        <v>139.1</v>
      </c>
      <c r="K3298" s="513">
        <v>1415</v>
      </c>
      <c r="L3298" s="518" t="s">
        <v>3511</v>
      </c>
      <c r="M3298" s="152" t="s">
        <v>780</v>
      </c>
      <c r="N3298" s="152" t="s">
        <v>1407</v>
      </c>
      <c r="O3298" s="152" t="s">
        <v>3530</v>
      </c>
      <c r="P3298" s="152" t="s">
        <v>3489</v>
      </c>
      <c r="Q3298" s="152" t="s">
        <v>3531</v>
      </c>
      <c r="R3298" s="152" t="s">
        <v>3537</v>
      </c>
      <c r="S3298" s="152" t="s">
        <v>3533</v>
      </c>
      <c r="T3298" s="152" t="s">
        <v>786</v>
      </c>
    </row>
    <row r="3299" spans="3:20">
      <c r="C3299" s="152" t="s">
        <v>2821</v>
      </c>
      <c r="F3299" s="152" t="s">
        <v>354</v>
      </c>
      <c r="G3299" s="152" t="s">
        <v>355</v>
      </c>
      <c r="I3299" s="513">
        <v>-15848</v>
      </c>
      <c r="J3299" s="513">
        <v>-11.2</v>
      </c>
      <c r="K3299" s="513">
        <v>1415</v>
      </c>
      <c r="L3299" s="518" t="s">
        <v>3511</v>
      </c>
      <c r="M3299" s="152" t="s">
        <v>780</v>
      </c>
      <c r="N3299" s="152" t="s">
        <v>1407</v>
      </c>
      <c r="O3299" s="152" t="s">
        <v>3526</v>
      </c>
      <c r="P3299" s="152" t="s">
        <v>3489</v>
      </c>
      <c r="Q3299" s="152" t="s">
        <v>3527</v>
      </c>
      <c r="R3299" s="152" t="s">
        <v>3538</v>
      </c>
      <c r="S3299" s="152" t="s">
        <v>3529</v>
      </c>
      <c r="T3299" s="152" t="s">
        <v>786</v>
      </c>
    </row>
    <row r="3300" spans="3:20">
      <c r="C3300" s="152" t="s">
        <v>2821</v>
      </c>
      <c r="F3300" s="152" t="s">
        <v>354</v>
      </c>
      <c r="G3300" s="152" t="s">
        <v>355</v>
      </c>
      <c r="I3300" s="513">
        <v>-455630</v>
      </c>
      <c r="J3300" s="513">
        <v>-322</v>
      </c>
      <c r="K3300" s="513">
        <v>1415</v>
      </c>
      <c r="L3300" s="518" t="s">
        <v>3511</v>
      </c>
      <c r="M3300" s="152" t="s">
        <v>780</v>
      </c>
      <c r="N3300" s="152" t="s">
        <v>1407</v>
      </c>
      <c r="O3300" s="152" t="s">
        <v>3526</v>
      </c>
      <c r="P3300" s="152" t="s">
        <v>3489</v>
      </c>
      <c r="Q3300" s="152" t="s">
        <v>3527</v>
      </c>
      <c r="R3300" s="152" t="s">
        <v>3538</v>
      </c>
      <c r="S3300" s="152" t="s">
        <v>3529</v>
      </c>
      <c r="T3300" s="152" t="s">
        <v>786</v>
      </c>
    </row>
    <row r="3301" spans="3:20">
      <c r="C3301" s="152" t="s">
        <v>2821</v>
      </c>
      <c r="F3301" s="152" t="s">
        <v>354</v>
      </c>
      <c r="G3301" s="152" t="s">
        <v>355</v>
      </c>
      <c r="I3301" s="513">
        <v>471562.9</v>
      </c>
      <c r="J3301" s="513">
        <v>333.26</v>
      </c>
      <c r="K3301" s="513">
        <v>1415</v>
      </c>
      <c r="L3301" s="518" t="s">
        <v>3511</v>
      </c>
      <c r="M3301" s="152" t="s">
        <v>780</v>
      </c>
      <c r="N3301" s="152" t="s">
        <v>1407</v>
      </c>
      <c r="O3301" s="152" t="s">
        <v>3530</v>
      </c>
      <c r="P3301" s="152" t="s">
        <v>3489</v>
      </c>
      <c r="Q3301" s="152" t="s">
        <v>3531</v>
      </c>
      <c r="R3301" s="152" t="s">
        <v>3539</v>
      </c>
      <c r="S3301" s="152" t="s">
        <v>3533</v>
      </c>
      <c r="T3301" s="152" t="s">
        <v>786</v>
      </c>
    </row>
    <row r="3302" spans="3:20">
      <c r="C3302" s="152" t="s">
        <v>2821</v>
      </c>
      <c r="F3302" s="152" t="s">
        <v>354</v>
      </c>
      <c r="G3302" s="152" t="s">
        <v>355</v>
      </c>
      <c r="I3302" s="513">
        <v>16399.849999999999</v>
      </c>
      <c r="J3302" s="513">
        <v>11.59</v>
      </c>
      <c r="K3302" s="513">
        <v>1415</v>
      </c>
      <c r="L3302" s="518" t="s">
        <v>3511</v>
      </c>
      <c r="M3302" s="152" t="s">
        <v>780</v>
      </c>
      <c r="N3302" s="152" t="s">
        <v>1407</v>
      </c>
      <c r="O3302" s="152" t="s">
        <v>3530</v>
      </c>
      <c r="P3302" s="152" t="s">
        <v>3489</v>
      </c>
      <c r="Q3302" s="152" t="s">
        <v>3531</v>
      </c>
      <c r="R3302" s="152" t="s">
        <v>3539</v>
      </c>
      <c r="S3302" s="152" t="s">
        <v>3533</v>
      </c>
      <c r="T3302" s="152" t="s">
        <v>786</v>
      </c>
    </row>
    <row r="3303" spans="3:20">
      <c r="C3303" s="152" t="s">
        <v>2821</v>
      </c>
      <c r="F3303" s="152" t="s">
        <v>354</v>
      </c>
      <c r="G3303" s="152" t="s">
        <v>355</v>
      </c>
      <c r="I3303" s="513">
        <v>-104158.15</v>
      </c>
      <c r="J3303" s="513">
        <v>-73.61</v>
      </c>
      <c r="K3303" s="513">
        <v>1415</v>
      </c>
      <c r="L3303" s="518" t="s">
        <v>3511</v>
      </c>
      <c r="M3303" s="152" t="s">
        <v>780</v>
      </c>
      <c r="N3303" s="152" t="s">
        <v>1407</v>
      </c>
      <c r="O3303" s="152" t="s">
        <v>3526</v>
      </c>
      <c r="P3303" s="152" t="s">
        <v>3489</v>
      </c>
      <c r="Q3303" s="152" t="s">
        <v>3527</v>
      </c>
      <c r="R3303" s="152" t="s">
        <v>3540</v>
      </c>
      <c r="S3303" s="152" t="s">
        <v>3529</v>
      </c>
      <c r="T3303" s="152" t="s">
        <v>786</v>
      </c>
    </row>
    <row r="3304" spans="3:20">
      <c r="C3304" s="152" t="s">
        <v>2821</v>
      </c>
      <c r="F3304" s="152" t="s">
        <v>354</v>
      </c>
      <c r="G3304" s="152" t="s">
        <v>355</v>
      </c>
      <c r="I3304" s="513">
        <v>107794.7</v>
      </c>
      <c r="J3304" s="513">
        <v>76.180000000000007</v>
      </c>
      <c r="K3304" s="513">
        <v>1415</v>
      </c>
      <c r="L3304" s="518" t="s">
        <v>3511</v>
      </c>
      <c r="M3304" s="152" t="s">
        <v>780</v>
      </c>
      <c r="N3304" s="152" t="s">
        <v>1407</v>
      </c>
      <c r="O3304" s="152" t="s">
        <v>3530</v>
      </c>
      <c r="P3304" s="152" t="s">
        <v>3489</v>
      </c>
      <c r="Q3304" s="152" t="s">
        <v>3531</v>
      </c>
      <c r="R3304" s="152" t="s">
        <v>3541</v>
      </c>
      <c r="S3304" s="152" t="s">
        <v>3533</v>
      </c>
      <c r="T3304" s="152" t="s">
        <v>786</v>
      </c>
    </row>
    <row r="3305" spans="3:20">
      <c r="C3305" s="152" t="s">
        <v>2821</v>
      </c>
      <c r="F3305" s="152" t="s">
        <v>354</v>
      </c>
      <c r="G3305" s="152" t="s">
        <v>355</v>
      </c>
      <c r="I3305" s="513">
        <v>-200307.4</v>
      </c>
      <c r="J3305" s="513">
        <v>-141.56</v>
      </c>
      <c r="K3305" s="513">
        <v>1415</v>
      </c>
      <c r="L3305" s="518" t="s">
        <v>3511</v>
      </c>
      <c r="M3305" s="152" t="s">
        <v>780</v>
      </c>
      <c r="N3305" s="152" t="s">
        <v>1407</v>
      </c>
      <c r="O3305" s="152" t="s">
        <v>3526</v>
      </c>
      <c r="P3305" s="152" t="s">
        <v>3489</v>
      </c>
      <c r="Q3305" s="152" t="s">
        <v>3527</v>
      </c>
      <c r="R3305" s="152" t="s">
        <v>3542</v>
      </c>
      <c r="S3305" s="152" t="s">
        <v>3529</v>
      </c>
      <c r="T3305" s="152" t="s">
        <v>786</v>
      </c>
    </row>
    <row r="3306" spans="3:20">
      <c r="C3306" s="152" t="s">
        <v>2821</v>
      </c>
      <c r="F3306" s="152" t="s">
        <v>354</v>
      </c>
      <c r="G3306" s="152" t="s">
        <v>355</v>
      </c>
      <c r="I3306" s="513">
        <v>207311.65</v>
      </c>
      <c r="J3306" s="513">
        <v>146.51</v>
      </c>
      <c r="K3306" s="513">
        <v>1415</v>
      </c>
      <c r="L3306" s="518" t="s">
        <v>3511</v>
      </c>
      <c r="M3306" s="152" t="s">
        <v>780</v>
      </c>
      <c r="N3306" s="152" t="s">
        <v>1407</v>
      </c>
      <c r="O3306" s="152" t="s">
        <v>3530</v>
      </c>
      <c r="P3306" s="152" t="s">
        <v>3489</v>
      </c>
      <c r="Q3306" s="152" t="s">
        <v>3531</v>
      </c>
      <c r="R3306" s="152" t="s">
        <v>3543</v>
      </c>
      <c r="S3306" s="152" t="s">
        <v>3533</v>
      </c>
      <c r="T3306" s="152" t="s">
        <v>786</v>
      </c>
    </row>
    <row r="3307" spans="3:20">
      <c r="C3307" s="152" t="s">
        <v>2821</v>
      </c>
      <c r="F3307" s="152" t="s">
        <v>354</v>
      </c>
      <c r="G3307" s="152" t="s">
        <v>355</v>
      </c>
      <c r="I3307" s="513">
        <v>-218560.9</v>
      </c>
      <c r="J3307" s="513">
        <v>-154.46</v>
      </c>
      <c r="K3307" s="513">
        <v>1415</v>
      </c>
      <c r="L3307" s="518" t="s">
        <v>3511</v>
      </c>
      <c r="M3307" s="152" t="s">
        <v>780</v>
      </c>
      <c r="N3307" s="152" t="s">
        <v>1407</v>
      </c>
      <c r="O3307" s="152" t="s">
        <v>3526</v>
      </c>
      <c r="P3307" s="152" t="s">
        <v>3489</v>
      </c>
      <c r="Q3307" s="152" t="s">
        <v>3527</v>
      </c>
      <c r="R3307" s="152" t="s">
        <v>3544</v>
      </c>
      <c r="S3307" s="152" t="s">
        <v>3529</v>
      </c>
      <c r="T3307" s="152" t="s">
        <v>786</v>
      </c>
    </row>
    <row r="3308" spans="3:20">
      <c r="C3308" s="152" t="s">
        <v>2821</v>
      </c>
      <c r="F3308" s="152" t="s">
        <v>354</v>
      </c>
      <c r="G3308" s="152" t="s">
        <v>355</v>
      </c>
      <c r="I3308" s="513">
        <v>226201.9</v>
      </c>
      <c r="J3308" s="513">
        <v>159.86000000000001</v>
      </c>
      <c r="K3308" s="513">
        <v>1415</v>
      </c>
      <c r="L3308" s="518" t="s">
        <v>3511</v>
      </c>
      <c r="M3308" s="152" t="s">
        <v>780</v>
      </c>
      <c r="N3308" s="152" t="s">
        <v>1407</v>
      </c>
      <c r="O3308" s="152" t="s">
        <v>3530</v>
      </c>
      <c r="P3308" s="152" t="s">
        <v>3489</v>
      </c>
      <c r="Q3308" s="152" t="s">
        <v>3531</v>
      </c>
      <c r="R3308" s="152" t="s">
        <v>3545</v>
      </c>
      <c r="S3308" s="152" t="s">
        <v>3533</v>
      </c>
      <c r="T3308" s="152" t="s">
        <v>786</v>
      </c>
    </row>
    <row r="3309" spans="3:20">
      <c r="C3309" s="152" t="s">
        <v>2821</v>
      </c>
      <c r="F3309" s="152" t="s">
        <v>354</v>
      </c>
      <c r="G3309" s="152" t="s">
        <v>355</v>
      </c>
      <c r="I3309" s="513">
        <v>98809.45</v>
      </c>
      <c r="J3309" s="513">
        <v>69.83</v>
      </c>
      <c r="K3309" s="513">
        <v>1415</v>
      </c>
      <c r="L3309" s="518" t="s">
        <v>3511</v>
      </c>
      <c r="M3309" s="152" t="s">
        <v>780</v>
      </c>
      <c r="N3309" s="152" t="s">
        <v>1407</v>
      </c>
      <c r="O3309" s="152" t="s">
        <v>3530</v>
      </c>
      <c r="P3309" s="152" t="s">
        <v>3489</v>
      </c>
      <c r="Q3309" s="152" t="s">
        <v>3531</v>
      </c>
      <c r="R3309" s="152" t="s">
        <v>3566</v>
      </c>
      <c r="S3309" s="152" t="s">
        <v>3533</v>
      </c>
      <c r="T3309" s="152" t="s">
        <v>786</v>
      </c>
    </row>
    <row r="3310" spans="3:20">
      <c r="C3310" s="152" t="s">
        <v>2821</v>
      </c>
      <c r="F3310" s="152" t="s">
        <v>354</v>
      </c>
      <c r="G3310" s="152" t="s">
        <v>355</v>
      </c>
      <c r="I3310" s="513">
        <v>-19993.95</v>
      </c>
      <c r="J3310" s="513">
        <v>-14.13</v>
      </c>
      <c r="K3310" s="513">
        <v>1415</v>
      </c>
      <c r="L3310" s="518" t="s">
        <v>3511</v>
      </c>
      <c r="M3310" s="152" t="s">
        <v>780</v>
      </c>
      <c r="N3310" s="152" t="s">
        <v>1407</v>
      </c>
      <c r="O3310" s="152" t="s">
        <v>3562</v>
      </c>
      <c r="P3310" s="152" t="s">
        <v>3489</v>
      </c>
      <c r="Q3310" s="152" t="s">
        <v>3563</v>
      </c>
      <c r="R3310" s="152" t="s">
        <v>3572</v>
      </c>
      <c r="S3310" s="152" t="s">
        <v>3565</v>
      </c>
      <c r="T3310" s="152" t="s">
        <v>786</v>
      </c>
    </row>
    <row r="3311" spans="3:20">
      <c r="C3311" s="152" t="s">
        <v>2821</v>
      </c>
      <c r="F3311" s="152" t="s">
        <v>354</v>
      </c>
      <c r="G3311" s="152" t="s">
        <v>355</v>
      </c>
      <c r="I3311" s="513">
        <v>-26658.6</v>
      </c>
      <c r="J3311" s="513">
        <v>-18.84</v>
      </c>
      <c r="K3311" s="513">
        <v>1415</v>
      </c>
      <c r="L3311" s="518" t="s">
        <v>3511</v>
      </c>
      <c r="M3311" s="152" t="s">
        <v>780</v>
      </c>
      <c r="N3311" s="152" t="s">
        <v>1407</v>
      </c>
      <c r="O3311" s="152" t="s">
        <v>3562</v>
      </c>
      <c r="P3311" s="152" t="s">
        <v>3489</v>
      </c>
      <c r="Q3311" s="152" t="s">
        <v>3563</v>
      </c>
      <c r="R3311" s="152" t="s">
        <v>3573</v>
      </c>
      <c r="S3311" s="152" t="s">
        <v>3565</v>
      </c>
      <c r="T3311" s="152" t="s">
        <v>786</v>
      </c>
    </row>
    <row r="3312" spans="3:20">
      <c r="C3312" s="152" t="s">
        <v>2821</v>
      </c>
      <c r="F3312" s="152" t="s">
        <v>354</v>
      </c>
      <c r="G3312" s="152" t="s">
        <v>355</v>
      </c>
      <c r="I3312" s="513">
        <v>-19993.95</v>
      </c>
      <c r="J3312" s="513">
        <v>-14.13</v>
      </c>
      <c r="K3312" s="513">
        <v>1415</v>
      </c>
      <c r="L3312" s="518" t="s">
        <v>3511</v>
      </c>
      <c r="M3312" s="152" t="s">
        <v>780</v>
      </c>
      <c r="N3312" s="152" t="s">
        <v>1407</v>
      </c>
      <c r="O3312" s="152" t="s">
        <v>3562</v>
      </c>
      <c r="P3312" s="152" t="s">
        <v>3489</v>
      </c>
      <c r="Q3312" s="152" t="s">
        <v>3563</v>
      </c>
      <c r="R3312" s="152" t="s">
        <v>3574</v>
      </c>
      <c r="S3312" s="152" t="s">
        <v>3565</v>
      </c>
      <c r="T3312" s="152" t="s">
        <v>786</v>
      </c>
    </row>
    <row r="3313" spans="3:20">
      <c r="C3313" s="152" t="s">
        <v>2821</v>
      </c>
      <c r="F3313" s="152" t="s">
        <v>354</v>
      </c>
      <c r="G3313" s="152" t="s">
        <v>355</v>
      </c>
      <c r="I3313" s="513">
        <v>-335510.65000000002</v>
      </c>
      <c r="J3313" s="513">
        <v>-237.11</v>
      </c>
      <c r="K3313" s="513">
        <v>1415</v>
      </c>
      <c r="L3313" s="518" t="s">
        <v>3511</v>
      </c>
      <c r="M3313" s="152" t="s">
        <v>780</v>
      </c>
      <c r="N3313" s="152" t="s">
        <v>1407</v>
      </c>
      <c r="O3313" s="152" t="s">
        <v>3526</v>
      </c>
      <c r="P3313" s="152" t="s">
        <v>3489</v>
      </c>
      <c r="Q3313" s="152" t="s">
        <v>3527</v>
      </c>
      <c r="R3313" s="152" t="s">
        <v>3578</v>
      </c>
      <c r="S3313" s="152" t="s">
        <v>3529</v>
      </c>
      <c r="T3313" s="152" t="s">
        <v>786</v>
      </c>
    </row>
    <row r="3314" spans="3:20">
      <c r="C3314" s="152" t="s">
        <v>2821</v>
      </c>
      <c r="F3314" s="152" t="s">
        <v>354</v>
      </c>
      <c r="G3314" s="152" t="s">
        <v>355</v>
      </c>
      <c r="I3314" s="513">
        <v>347241</v>
      </c>
      <c r="J3314" s="513">
        <v>245.4</v>
      </c>
      <c r="K3314" s="513">
        <v>1415</v>
      </c>
      <c r="L3314" s="518" t="s">
        <v>3511</v>
      </c>
      <c r="M3314" s="152" t="s">
        <v>780</v>
      </c>
      <c r="N3314" s="152" t="s">
        <v>1407</v>
      </c>
      <c r="O3314" s="152" t="s">
        <v>3530</v>
      </c>
      <c r="P3314" s="152" t="s">
        <v>3489</v>
      </c>
      <c r="Q3314" s="152" t="s">
        <v>3531</v>
      </c>
      <c r="R3314" s="152" t="s">
        <v>3579</v>
      </c>
      <c r="S3314" s="152" t="s">
        <v>3533</v>
      </c>
      <c r="T3314" s="152" t="s">
        <v>786</v>
      </c>
    </row>
    <row r="3315" spans="3:20">
      <c r="C3315" s="152" t="s">
        <v>2821</v>
      </c>
      <c r="F3315" s="152" t="s">
        <v>354</v>
      </c>
      <c r="G3315" s="152" t="s">
        <v>355</v>
      </c>
      <c r="I3315" s="513">
        <v>-295466.15000000002</v>
      </c>
      <c r="J3315" s="513">
        <v>-208.81</v>
      </c>
      <c r="K3315" s="513">
        <v>1415</v>
      </c>
      <c r="L3315" s="518" t="s">
        <v>3511</v>
      </c>
      <c r="M3315" s="152" t="s">
        <v>780</v>
      </c>
      <c r="N3315" s="152" t="s">
        <v>1407</v>
      </c>
      <c r="O3315" s="152" t="s">
        <v>3526</v>
      </c>
      <c r="P3315" s="152" t="s">
        <v>3489</v>
      </c>
      <c r="Q3315" s="152" t="s">
        <v>3527</v>
      </c>
      <c r="R3315" s="152" t="s">
        <v>3580</v>
      </c>
      <c r="S3315" s="152" t="s">
        <v>3529</v>
      </c>
      <c r="T3315" s="152" t="s">
        <v>786</v>
      </c>
    </row>
    <row r="3316" spans="3:20">
      <c r="C3316" s="152" t="s">
        <v>2821</v>
      </c>
      <c r="F3316" s="152" t="s">
        <v>354</v>
      </c>
      <c r="G3316" s="152" t="s">
        <v>355</v>
      </c>
      <c r="I3316" s="513">
        <v>305795.65000000002</v>
      </c>
      <c r="J3316" s="513">
        <v>216.11</v>
      </c>
      <c r="K3316" s="513">
        <v>1415</v>
      </c>
      <c r="L3316" s="518" t="s">
        <v>3511</v>
      </c>
      <c r="M3316" s="152" t="s">
        <v>780</v>
      </c>
      <c r="N3316" s="152" t="s">
        <v>1407</v>
      </c>
      <c r="O3316" s="152" t="s">
        <v>3530</v>
      </c>
      <c r="P3316" s="152" t="s">
        <v>3489</v>
      </c>
      <c r="Q3316" s="152" t="s">
        <v>3531</v>
      </c>
      <c r="R3316" s="152" t="s">
        <v>3581</v>
      </c>
      <c r="S3316" s="152" t="s">
        <v>3533</v>
      </c>
      <c r="T3316" s="152" t="s">
        <v>786</v>
      </c>
    </row>
    <row r="3317" spans="3:20">
      <c r="C3317" s="152" t="s">
        <v>2821</v>
      </c>
      <c r="F3317" s="152" t="s">
        <v>354</v>
      </c>
      <c r="G3317" s="152" t="s">
        <v>355</v>
      </c>
      <c r="I3317" s="513">
        <v>-42195.3</v>
      </c>
      <c r="J3317" s="513">
        <v>-29.82</v>
      </c>
      <c r="K3317" s="513">
        <v>1415</v>
      </c>
      <c r="L3317" s="518" t="s">
        <v>3511</v>
      </c>
      <c r="M3317" s="152" t="s">
        <v>780</v>
      </c>
      <c r="N3317" s="152" t="s">
        <v>1407</v>
      </c>
      <c r="O3317" s="152" t="s">
        <v>3526</v>
      </c>
      <c r="P3317" s="152" t="s">
        <v>3489</v>
      </c>
      <c r="Q3317" s="152" t="s">
        <v>3527</v>
      </c>
      <c r="R3317" s="152" t="s">
        <v>3582</v>
      </c>
      <c r="S3317" s="152" t="s">
        <v>3529</v>
      </c>
      <c r="T3317" s="152" t="s">
        <v>786</v>
      </c>
    </row>
    <row r="3318" spans="3:20">
      <c r="C3318" s="152" t="s">
        <v>2821</v>
      </c>
      <c r="F3318" s="152" t="s">
        <v>354</v>
      </c>
      <c r="G3318" s="152" t="s">
        <v>355</v>
      </c>
      <c r="I3318" s="513">
        <v>43666.9</v>
      </c>
      <c r="J3318" s="513">
        <v>30.86</v>
      </c>
      <c r="K3318" s="513">
        <v>1415</v>
      </c>
      <c r="L3318" s="518" t="s">
        <v>3511</v>
      </c>
      <c r="M3318" s="152" t="s">
        <v>780</v>
      </c>
      <c r="N3318" s="152" t="s">
        <v>1407</v>
      </c>
      <c r="O3318" s="152" t="s">
        <v>3530</v>
      </c>
      <c r="P3318" s="152" t="s">
        <v>3489</v>
      </c>
      <c r="Q3318" s="152" t="s">
        <v>3531</v>
      </c>
      <c r="R3318" s="152" t="s">
        <v>3583</v>
      </c>
      <c r="S3318" s="152" t="s">
        <v>3533</v>
      </c>
      <c r="T3318" s="152" t="s">
        <v>786</v>
      </c>
    </row>
    <row r="3319" spans="3:20">
      <c r="C3319" s="152" t="s">
        <v>2821</v>
      </c>
      <c r="F3319" s="152" t="s">
        <v>354</v>
      </c>
      <c r="G3319" s="152" t="s">
        <v>355</v>
      </c>
      <c r="I3319" s="513">
        <v>-26941.599999999999</v>
      </c>
      <c r="J3319" s="513">
        <v>-19.04</v>
      </c>
      <c r="K3319" s="513">
        <v>1415</v>
      </c>
      <c r="L3319" s="518" t="s">
        <v>3511</v>
      </c>
      <c r="M3319" s="152" t="s">
        <v>780</v>
      </c>
      <c r="N3319" s="152" t="s">
        <v>1407</v>
      </c>
      <c r="O3319" s="152" t="s">
        <v>3526</v>
      </c>
      <c r="P3319" s="152" t="s">
        <v>3489</v>
      </c>
      <c r="Q3319" s="152" t="s">
        <v>3527</v>
      </c>
      <c r="R3319" s="152" t="s">
        <v>3584</v>
      </c>
      <c r="S3319" s="152" t="s">
        <v>3529</v>
      </c>
      <c r="T3319" s="152" t="s">
        <v>786</v>
      </c>
    </row>
    <row r="3320" spans="3:20">
      <c r="C3320" s="152" t="s">
        <v>2821</v>
      </c>
      <c r="F3320" s="152" t="s">
        <v>354</v>
      </c>
      <c r="G3320" s="152" t="s">
        <v>355</v>
      </c>
      <c r="I3320" s="513">
        <v>27889.65</v>
      </c>
      <c r="J3320" s="513">
        <v>19.71</v>
      </c>
      <c r="K3320" s="513">
        <v>1415</v>
      </c>
      <c r="L3320" s="518" t="s">
        <v>3511</v>
      </c>
      <c r="M3320" s="152" t="s">
        <v>780</v>
      </c>
      <c r="N3320" s="152" t="s">
        <v>1407</v>
      </c>
      <c r="O3320" s="152" t="s">
        <v>3530</v>
      </c>
      <c r="P3320" s="152" t="s">
        <v>3489</v>
      </c>
      <c r="Q3320" s="152" t="s">
        <v>3531</v>
      </c>
      <c r="R3320" s="152" t="s">
        <v>3585</v>
      </c>
      <c r="S3320" s="152" t="s">
        <v>3533</v>
      </c>
      <c r="T3320" s="152" t="s">
        <v>786</v>
      </c>
    </row>
    <row r="3321" spans="3:20">
      <c r="C3321" s="152" t="s">
        <v>2821</v>
      </c>
      <c r="F3321" s="152" t="s">
        <v>354</v>
      </c>
      <c r="G3321" s="152" t="s">
        <v>355</v>
      </c>
      <c r="I3321" s="513">
        <v>-15947.05</v>
      </c>
      <c r="J3321" s="513">
        <v>-11.27</v>
      </c>
      <c r="K3321" s="513">
        <v>1415</v>
      </c>
      <c r="L3321" s="518" t="s">
        <v>3511</v>
      </c>
      <c r="M3321" s="152" t="s">
        <v>780</v>
      </c>
      <c r="N3321" s="152" t="s">
        <v>1407</v>
      </c>
      <c r="O3321" s="152" t="s">
        <v>3526</v>
      </c>
      <c r="P3321" s="152" t="s">
        <v>3489</v>
      </c>
      <c r="Q3321" s="152" t="s">
        <v>3527</v>
      </c>
      <c r="R3321" s="152" t="s">
        <v>3586</v>
      </c>
      <c r="S3321" s="152" t="s">
        <v>3529</v>
      </c>
      <c r="T3321" s="152" t="s">
        <v>786</v>
      </c>
    </row>
    <row r="3322" spans="3:20">
      <c r="C3322" s="152" t="s">
        <v>2821</v>
      </c>
      <c r="F3322" s="152" t="s">
        <v>354</v>
      </c>
      <c r="G3322" s="152" t="s">
        <v>355</v>
      </c>
      <c r="I3322" s="513">
        <v>16498.900000000001</v>
      </c>
      <c r="J3322" s="513">
        <v>11.66</v>
      </c>
      <c r="K3322" s="513">
        <v>1415</v>
      </c>
      <c r="L3322" s="518" t="s">
        <v>3511</v>
      </c>
      <c r="M3322" s="152" t="s">
        <v>780</v>
      </c>
      <c r="N3322" s="152" t="s">
        <v>1407</v>
      </c>
      <c r="O3322" s="152" t="s">
        <v>3530</v>
      </c>
      <c r="P3322" s="152" t="s">
        <v>3489</v>
      </c>
      <c r="Q3322" s="152" t="s">
        <v>3531</v>
      </c>
      <c r="R3322" s="152" t="s">
        <v>3587</v>
      </c>
      <c r="S3322" s="152" t="s">
        <v>3533</v>
      </c>
      <c r="T3322" s="152" t="s">
        <v>786</v>
      </c>
    </row>
    <row r="3323" spans="3:20">
      <c r="C3323" s="152" t="s">
        <v>2821</v>
      </c>
      <c r="F3323" s="152" t="s">
        <v>354</v>
      </c>
      <c r="G3323" s="152" t="s">
        <v>355</v>
      </c>
      <c r="I3323" s="513">
        <v>-101497.95</v>
      </c>
      <c r="J3323" s="513">
        <v>-71.73</v>
      </c>
      <c r="K3323" s="513">
        <v>1415</v>
      </c>
      <c r="L3323" s="518" t="s">
        <v>3511</v>
      </c>
      <c r="M3323" s="152" t="s">
        <v>780</v>
      </c>
      <c r="N3323" s="152" t="s">
        <v>1407</v>
      </c>
      <c r="O3323" s="152" t="s">
        <v>3526</v>
      </c>
      <c r="P3323" s="152" t="s">
        <v>3489</v>
      </c>
      <c r="Q3323" s="152" t="s">
        <v>3527</v>
      </c>
      <c r="R3323" s="152" t="s">
        <v>3589</v>
      </c>
      <c r="S3323" s="152" t="s">
        <v>3529</v>
      </c>
      <c r="T3323" s="152" t="s">
        <v>786</v>
      </c>
    </row>
    <row r="3324" spans="3:20">
      <c r="C3324" s="152" t="s">
        <v>2821</v>
      </c>
      <c r="F3324" s="152" t="s">
        <v>354</v>
      </c>
      <c r="G3324" s="152" t="s">
        <v>355</v>
      </c>
      <c r="I3324" s="513">
        <v>105049.60000000001</v>
      </c>
      <c r="J3324" s="513">
        <v>74.239999999999995</v>
      </c>
      <c r="K3324" s="513">
        <v>1415</v>
      </c>
      <c r="L3324" s="518" t="s">
        <v>3511</v>
      </c>
      <c r="M3324" s="152" t="s">
        <v>780</v>
      </c>
      <c r="N3324" s="152" t="s">
        <v>1407</v>
      </c>
      <c r="O3324" s="152" t="s">
        <v>3530</v>
      </c>
      <c r="P3324" s="152" t="s">
        <v>3489</v>
      </c>
      <c r="Q3324" s="152" t="s">
        <v>3531</v>
      </c>
      <c r="R3324" s="152" t="s">
        <v>3590</v>
      </c>
      <c r="S3324" s="152" t="s">
        <v>3533</v>
      </c>
      <c r="T3324" s="152" t="s">
        <v>786</v>
      </c>
    </row>
    <row r="3325" spans="3:20">
      <c r="C3325" s="152" t="s">
        <v>2821</v>
      </c>
      <c r="F3325" s="152" t="s">
        <v>354</v>
      </c>
      <c r="G3325" s="152" t="s">
        <v>355</v>
      </c>
      <c r="I3325" s="513">
        <v>-14461.3</v>
      </c>
      <c r="J3325" s="513">
        <v>-10.220000000000001</v>
      </c>
      <c r="K3325" s="513">
        <v>1415</v>
      </c>
      <c r="L3325" s="518" t="s">
        <v>3511</v>
      </c>
      <c r="M3325" s="152" t="s">
        <v>780</v>
      </c>
      <c r="N3325" s="152" t="s">
        <v>1407</v>
      </c>
      <c r="O3325" s="152" t="s">
        <v>3526</v>
      </c>
      <c r="P3325" s="152" t="s">
        <v>3489</v>
      </c>
      <c r="Q3325" s="152" t="s">
        <v>3527</v>
      </c>
      <c r="R3325" s="152" t="s">
        <v>3591</v>
      </c>
      <c r="S3325" s="152" t="s">
        <v>3529</v>
      </c>
      <c r="T3325" s="152" t="s">
        <v>786</v>
      </c>
    </row>
    <row r="3326" spans="3:20">
      <c r="C3326" s="152" t="s">
        <v>2821</v>
      </c>
      <c r="F3326" s="152" t="s">
        <v>354</v>
      </c>
      <c r="G3326" s="152" t="s">
        <v>355</v>
      </c>
      <c r="I3326" s="513">
        <v>-12381.25</v>
      </c>
      <c r="J3326" s="513">
        <v>-8.75</v>
      </c>
      <c r="K3326" s="513">
        <v>1415</v>
      </c>
      <c r="L3326" s="518" t="s">
        <v>3511</v>
      </c>
      <c r="M3326" s="152" t="s">
        <v>780</v>
      </c>
      <c r="N3326" s="152" t="s">
        <v>1407</v>
      </c>
      <c r="O3326" s="152" t="s">
        <v>3526</v>
      </c>
      <c r="P3326" s="152" t="s">
        <v>3489</v>
      </c>
      <c r="Q3326" s="152" t="s">
        <v>3527</v>
      </c>
      <c r="R3326" s="152" t="s">
        <v>3591</v>
      </c>
      <c r="S3326" s="152" t="s">
        <v>3529</v>
      </c>
      <c r="T3326" s="152" t="s">
        <v>786</v>
      </c>
    </row>
    <row r="3327" spans="3:20">
      <c r="C3327" s="152" t="s">
        <v>2821</v>
      </c>
      <c r="F3327" s="152" t="s">
        <v>354</v>
      </c>
      <c r="G3327" s="152" t="s">
        <v>355</v>
      </c>
      <c r="I3327" s="513">
        <v>-27238.75</v>
      </c>
      <c r="J3327" s="513">
        <v>-19.25</v>
      </c>
      <c r="K3327" s="513">
        <v>1415</v>
      </c>
      <c r="L3327" s="518" t="s">
        <v>3511</v>
      </c>
      <c r="M3327" s="152" t="s">
        <v>780</v>
      </c>
      <c r="N3327" s="152" t="s">
        <v>1407</v>
      </c>
      <c r="O3327" s="152" t="s">
        <v>3526</v>
      </c>
      <c r="P3327" s="152" t="s">
        <v>3489</v>
      </c>
      <c r="Q3327" s="152" t="s">
        <v>3527</v>
      </c>
      <c r="R3327" s="152" t="s">
        <v>3591</v>
      </c>
      <c r="S3327" s="152" t="s">
        <v>3529</v>
      </c>
      <c r="T3327" s="152" t="s">
        <v>786</v>
      </c>
    </row>
    <row r="3328" spans="3:20">
      <c r="C3328" s="152" t="s">
        <v>2821</v>
      </c>
      <c r="F3328" s="152" t="s">
        <v>354</v>
      </c>
      <c r="G3328" s="152" t="s">
        <v>355</v>
      </c>
      <c r="I3328" s="513">
        <v>-44572.5</v>
      </c>
      <c r="J3328" s="513">
        <v>-31.5</v>
      </c>
      <c r="K3328" s="513">
        <v>1415</v>
      </c>
      <c r="L3328" s="518" t="s">
        <v>3511</v>
      </c>
      <c r="M3328" s="152" t="s">
        <v>780</v>
      </c>
      <c r="N3328" s="152" t="s">
        <v>1407</v>
      </c>
      <c r="O3328" s="152" t="s">
        <v>3526</v>
      </c>
      <c r="P3328" s="152" t="s">
        <v>3489</v>
      </c>
      <c r="Q3328" s="152" t="s">
        <v>3527</v>
      </c>
      <c r="R3328" s="152" t="s">
        <v>3591</v>
      </c>
      <c r="S3328" s="152" t="s">
        <v>3529</v>
      </c>
      <c r="T3328" s="152" t="s">
        <v>786</v>
      </c>
    </row>
    <row r="3329" spans="3:20">
      <c r="C3329" s="152" t="s">
        <v>2821</v>
      </c>
      <c r="F3329" s="152" t="s">
        <v>354</v>
      </c>
      <c r="G3329" s="152" t="s">
        <v>355</v>
      </c>
      <c r="I3329" s="513">
        <v>14970.7</v>
      </c>
      <c r="J3329" s="513">
        <v>10.58</v>
      </c>
      <c r="K3329" s="513">
        <v>1415</v>
      </c>
      <c r="L3329" s="518" t="s">
        <v>3511</v>
      </c>
      <c r="M3329" s="152" t="s">
        <v>780</v>
      </c>
      <c r="N3329" s="152" t="s">
        <v>1407</v>
      </c>
      <c r="O3329" s="152" t="s">
        <v>3530</v>
      </c>
      <c r="P3329" s="152" t="s">
        <v>3489</v>
      </c>
      <c r="Q3329" s="152" t="s">
        <v>3531</v>
      </c>
      <c r="R3329" s="152" t="s">
        <v>3592</v>
      </c>
      <c r="S3329" s="152" t="s">
        <v>3533</v>
      </c>
      <c r="T3329" s="152" t="s">
        <v>786</v>
      </c>
    </row>
    <row r="3330" spans="3:20">
      <c r="C3330" s="152" t="s">
        <v>2821</v>
      </c>
      <c r="F3330" s="152" t="s">
        <v>354</v>
      </c>
      <c r="G3330" s="152" t="s">
        <v>355</v>
      </c>
      <c r="I3330" s="513">
        <v>12819.9</v>
      </c>
      <c r="J3330" s="513">
        <v>9.06</v>
      </c>
      <c r="K3330" s="513">
        <v>1415</v>
      </c>
      <c r="L3330" s="518" t="s">
        <v>3511</v>
      </c>
      <c r="M3330" s="152" t="s">
        <v>780</v>
      </c>
      <c r="N3330" s="152" t="s">
        <v>1407</v>
      </c>
      <c r="O3330" s="152" t="s">
        <v>3530</v>
      </c>
      <c r="P3330" s="152" t="s">
        <v>3489</v>
      </c>
      <c r="Q3330" s="152" t="s">
        <v>3531</v>
      </c>
      <c r="R3330" s="152" t="s">
        <v>3592</v>
      </c>
      <c r="S3330" s="152" t="s">
        <v>3533</v>
      </c>
      <c r="T3330" s="152" t="s">
        <v>786</v>
      </c>
    </row>
    <row r="3331" spans="3:20">
      <c r="C3331" s="152" t="s">
        <v>2821</v>
      </c>
      <c r="F3331" s="152" t="s">
        <v>354</v>
      </c>
      <c r="G3331" s="152" t="s">
        <v>355</v>
      </c>
      <c r="I3331" s="513">
        <v>28186.799999999999</v>
      </c>
      <c r="J3331" s="513">
        <v>19.920000000000002</v>
      </c>
      <c r="K3331" s="513">
        <v>1415</v>
      </c>
      <c r="L3331" s="518" t="s">
        <v>3511</v>
      </c>
      <c r="M3331" s="152" t="s">
        <v>780</v>
      </c>
      <c r="N3331" s="152" t="s">
        <v>1407</v>
      </c>
      <c r="O3331" s="152" t="s">
        <v>3530</v>
      </c>
      <c r="P3331" s="152" t="s">
        <v>3489</v>
      </c>
      <c r="Q3331" s="152" t="s">
        <v>3531</v>
      </c>
      <c r="R3331" s="152" t="s">
        <v>3592</v>
      </c>
      <c r="S3331" s="152" t="s">
        <v>3533</v>
      </c>
      <c r="T3331" s="152" t="s">
        <v>786</v>
      </c>
    </row>
    <row r="3332" spans="3:20">
      <c r="C3332" s="152" t="s">
        <v>2821</v>
      </c>
      <c r="F3332" s="152" t="s">
        <v>354</v>
      </c>
      <c r="G3332" s="152" t="s">
        <v>355</v>
      </c>
      <c r="I3332" s="513">
        <v>46129</v>
      </c>
      <c r="J3332" s="513">
        <v>32.6</v>
      </c>
      <c r="K3332" s="513">
        <v>1415</v>
      </c>
      <c r="L3332" s="518" t="s">
        <v>3511</v>
      </c>
      <c r="M3332" s="152" t="s">
        <v>780</v>
      </c>
      <c r="N3332" s="152" t="s">
        <v>1407</v>
      </c>
      <c r="O3332" s="152" t="s">
        <v>3530</v>
      </c>
      <c r="P3332" s="152" t="s">
        <v>3489</v>
      </c>
      <c r="Q3332" s="152" t="s">
        <v>3531</v>
      </c>
      <c r="R3332" s="152" t="s">
        <v>3592</v>
      </c>
      <c r="S3332" s="152" t="s">
        <v>3533</v>
      </c>
      <c r="T3332" s="152" t="s">
        <v>786</v>
      </c>
    </row>
    <row r="3333" spans="3:20">
      <c r="C3333" s="152" t="s">
        <v>2821</v>
      </c>
      <c r="F3333" s="152" t="s">
        <v>354</v>
      </c>
      <c r="G3333" s="152" t="s">
        <v>355</v>
      </c>
      <c r="I3333" s="513">
        <v>-92611.75</v>
      </c>
      <c r="J3333" s="513">
        <v>-65.45</v>
      </c>
      <c r="K3333" s="513">
        <v>1415</v>
      </c>
      <c r="L3333" s="518" t="s">
        <v>3511</v>
      </c>
      <c r="M3333" s="152" t="s">
        <v>780</v>
      </c>
      <c r="N3333" s="152" t="s">
        <v>1407</v>
      </c>
      <c r="O3333" s="152" t="s">
        <v>3526</v>
      </c>
      <c r="P3333" s="152" t="s">
        <v>3489</v>
      </c>
      <c r="Q3333" s="152" t="s">
        <v>3527</v>
      </c>
      <c r="R3333" s="152" t="s">
        <v>3593</v>
      </c>
      <c r="S3333" s="152" t="s">
        <v>3529</v>
      </c>
      <c r="T3333" s="152" t="s">
        <v>786</v>
      </c>
    </row>
    <row r="3334" spans="3:20">
      <c r="C3334" s="152" t="s">
        <v>2821</v>
      </c>
      <c r="F3334" s="152" t="s">
        <v>354</v>
      </c>
      <c r="G3334" s="152" t="s">
        <v>355</v>
      </c>
      <c r="I3334" s="513">
        <v>95852.1</v>
      </c>
      <c r="J3334" s="513">
        <v>67.739999999999995</v>
      </c>
      <c r="K3334" s="513">
        <v>1415</v>
      </c>
      <c r="L3334" s="518" t="s">
        <v>3511</v>
      </c>
      <c r="M3334" s="152" t="s">
        <v>780</v>
      </c>
      <c r="N3334" s="152" t="s">
        <v>1407</v>
      </c>
      <c r="O3334" s="152" t="s">
        <v>3530</v>
      </c>
      <c r="P3334" s="152" t="s">
        <v>3489</v>
      </c>
      <c r="Q3334" s="152" t="s">
        <v>3531</v>
      </c>
      <c r="R3334" s="152" t="s">
        <v>3594</v>
      </c>
      <c r="S3334" s="152" t="s">
        <v>3533</v>
      </c>
      <c r="T3334" s="152" t="s">
        <v>786</v>
      </c>
    </row>
    <row r="3335" spans="3:20">
      <c r="C3335" s="152" t="s">
        <v>2821</v>
      </c>
      <c r="F3335" s="152" t="s">
        <v>354</v>
      </c>
      <c r="G3335" s="152" t="s">
        <v>355</v>
      </c>
      <c r="I3335" s="513">
        <v>-141669.79999999999</v>
      </c>
      <c r="J3335" s="513">
        <v>-100.12</v>
      </c>
      <c r="K3335" s="513">
        <v>1415</v>
      </c>
      <c r="L3335" s="518" t="s">
        <v>3511</v>
      </c>
      <c r="M3335" s="152" t="s">
        <v>780</v>
      </c>
      <c r="N3335" s="152" t="s">
        <v>1407</v>
      </c>
      <c r="O3335" s="152" t="s">
        <v>3526</v>
      </c>
      <c r="P3335" s="152" t="s">
        <v>3489</v>
      </c>
      <c r="Q3335" s="152" t="s">
        <v>3527</v>
      </c>
      <c r="R3335" s="152" t="s">
        <v>3595</v>
      </c>
      <c r="S3335" s="152" t="s">
        <v>3529</v>
      </c>
      <c r="T3335" s="152" t="s">
        <v>786</v>
      </c>
    </row>
    <row r="3336" spans="3:20">
      <c r="C3336" s="152" t="s">
        <v>2821</v>
      </c>
      <c r="F3336" s="152" t="s">
        <v>354</v>
      </c>
      <c r="G3336" s="152" t="s">
        <v>355</v>
      </c>
      <c r="I3336" s="513">
        <v>146622.29999999999</v>
      </c>
      <c r="J3336" s="513">
        <v>103.62</v>
      </c>
      <c r="K3336" s="513">
        <v>1415</v>
      </c>
      <c r="L3336" s="518" t="s">
        <v>3511</v>
      </c>
      <c r="M3336" s="152" t="s">
        <v>780</v>
      </c>
      <c r="N3336" s="152" t="s">
        <v>1407</v>
      </c>
      <c r="O3336" s="152" t="s">
        <v>3530</v>
      </c>
      <c r="P3336" s="152" t="s">
        <v>3489</v>
      </c>
      <c r="Q3336" s="152" t="s">
        <v>3531</v>
      </c>
      <c r="R3336" s="152" t="s">
        <v>3596</v>
      </c>
      <c r="S3336" s="152" t="s">
        <v>3533</v>
      </c>
      <c r="T3336" s="152" t="s">
        <v>786</v>
      </c>
    </row>
    <row r="3337" spans="3:20">
      <c r="C3337" s="152" t="s">
        <v>2821</v>
      </c>
      <c r="F3337" s="152" t="s">
        <v>354</v>
      </c>
      <c r="G3337" s="152" t="s">
        <v>355</v>
      </c>
      <c r="I3337" s="513">
        <v>-65995.600000000006</v>
      </c>
      <c r="J3337" s="513">
        <v>-46.64</v>
      </c>
      <c r="K3337" s="513">
        <v>1415</v>
      </c>
      <c r="L3337" s="518" t="s">
        <v>3511</v>
      </c>
      <c r="M3337" s="152" t="s">
        <v>780</v>
      </c>
      <c r="N3337" s="152" t="s">
        <v>1407</v>
      </c>
      <c r="O3337" s="152" t="s">
        <v>3526</v>
      </c>
      <c r="P3337" s="152" t="s">
        <v>3489</v>
      </c>
      <c r="Q3337" s="152" t="s">
        <v>3527</v>
      </c>
      <c r="R3337" s="152" t="s">
        <v>3597</v>
      </c>
      <c r="S3337" s="152" t="s">
        <v>3529</v>
      </c>
      <c r="T3337" s="152" t="s">
        <v>786</v>
      </c>
    </row>
    <row r="3338" spans="3:20">
      <c r="C3338" s="152" t="s">
        <v>2821</v>
      </c>
      <c r="F3338" s="152" t="s">
        <v>354</v>
      </c>
      <c r="G3338" s="152" t="s">
        <v>355</v>
      </c>
      <c r="I3338" s="513">
        <v>68302.05</v>
      </c>
      <c r="J3338" s="513">
        <v>48.27</v>
      </c>
      <c r="K3338" s="513">
        <v>1415</v>
      </c>
      <c r="L3338" s="518" t="s">
        <v>3511</v>
      </c>
      <c r="M3338" s="152" t="s">
        <v>780</v>
      </c>
      <c r="N3338" s="152" t="s">
        <v>1407</v>
      </c>
      <c r="O3338" s="152" t="s">
        <v>3530</v>
      </c>
      <c r="P3338" s="152" t="s">
        <v>3489</v>
      </c>
      <c r="Q3338" s="152" t="s">
        <v>3531</v>
      </c>
      <c r="R3338" s="152" t="s">
        <v>3598</v>
      </c>
      <c r="S3338" s="152" t="s">
        <v>3533</v>
      </c>
      <c r="T3338" s="152" t="s">
        <v>786</v>
      </c>
    </row>
    <row r="3339" spans="3:20">
      <c r="C3339" s="152" t="s">
        <v>2821</v>
      </c>
      <c r="F3339" s="152" t="s">
        <v>354</v>
      </c>
      <c r="G3339" s="152" t="s">
        <v>355</v>
      </c>
      <c r="I3339" s="513">
        <v>-102771.45</v>
      </c>
      <c r="J3339" s="513">
        <v>-72.63</v>
      </c>
      <c r="K3339" s="513">
        <v>1415</v>
      </c>
      <c r="L3339" s="518" t="s">
        <v>3511</v>
      </c>
      <c r="M3339" s="152" t="s">
        <v>780</v>
      </c>
      <c r="N3339" s="152" t="s">
        <v>1407</v>
      </c>
      <c r="O3339" s="152" t="s">
        <v>3526</v>
      </c>
      <c r="P3339" s="152" t="s">
        <v>3489</v>
      </c>
      <c r="Q3339" s="152" t="s">
        <v>3527</v>
      </c>
      <c r="R3339" s="152" t="s">
        <v>3599</v>
      </c>
      <c r="S3339" s="152" t="s">
        <v>3529</v>
      </c>
      <c r="T3339" s="152" t="s">
        <v>786</v>
      </c>
    </row>
    <row r="3340" spans="3:20">
      <c r="C3340" s="152" t="s">
        <v>2821</v>
      </c>
      <c r="F3340" s="152" t="s">
        <v>354</v>
      </c>
      <c r="G3340" s="152" t="s">
        <v>355</v>
      </c>
      <c r="I3340" s="513">
        <v>106351.4</v>
      </c>
      <c r="J3340" s="513">
        <v>75.16</v>
      </c>
      <c r="K3340" s="513">
        <v>1415</v>
      </c>
      <c r="L3340" s="518" t="s">
        <v>3511</v>
      </c>
      <c r="M3340" s="152" t="s">
        <v>780</v>
      </c>
      <c r="N3340" s="152" t="s">
        <v>1407</v>
      </c>
      <c r="O3340" s="152" t="s">
        <v>3530</v>
      </c>
      <c r="P3340" s="152" t="s">
        <v>3489</v>
      </c>
      <c r="Q3340" s="152" t="s">
        <v>3531</v>
      </c>
      <c r="R3340" s="152" t="s">
        <v>3600</v>
      </c>
      <c r="S3340" s="152" t="s">
        <v>3533</v>
      </c>
      <c r="T3340" s="152" t="s">
        <v>786</v>
      </c>
    </row>
    <row r="3341" spans="3:20">
      <c r="C3341" s="152" t="s">
        <v>2821</v>
      </c>
      <c r="F3341" s="152" t="s">
        <v>354</v>
      </c>
      <c r="G3341" s="152" t="s">
        <v>355</v>
      </c>
      <c r="I3341" s="513">
        <v>-80980.45</v>
      </c>
      <c r="J3341" s="513">
        <v>-57.23</v>
      </c>
      <c r="K3341" s="513">
        <v>1415</v>
      </c>
      <c r="L3341" s="518" t="s">
        <v>3511</v>
      </c>
      <c r="M3341" s="152" t="s">
        <v>780</v>
      </c>
      <c r="N3341" s="152" t="s">
        <v>1407</v>
      </c>
      <c r="O3341" s="152" t="s">
        <v>3526</v>
      </c>
      <c r="P3341" s="152" t="s">
        <v>3489</v>
      </c>
      <c r="Q3341" s="152" t="s">
        <v>3527</v>
      </c>
      <c r="R3341" s="152" t="s">
        <v>3601</v>
      </c>
      <c r="S3341" s="152" t="s">
        <v>3529</v>
      </c>
      <c r="T3341" s="152" t="s">
        <v>786</v>
      </c>
    </row>
    <row r="3342" spans="3:20">
      <c r="C3342" s="152" t="s">
        <v>2821</v>
      </c>
      <c r="F3342" s="152" t="s">
        <v>354</v>
      </c>
      <c r="G3342" s="152" t="s">
        <v>355</v>
      </c>
      <c r="I3342" s="513">
        <v>83810.45</v>
      </c>
      <c r="J3342" s="513">
        <v>59.23</v>
      </c>
      <c r="K3342" s="513">
        <v>1415</v>
      </c>
      <c r="L3342" s="518" t="s">
        <v>3511</v>
      </c>
      <c r="M3342" s="152" t="s">
        <v>780</v>
      </c>
      <c r="N3342" s="152" t="s">
        <v>1407</v>
      </c>
      <c r="O3342" s="152" t="s">
        <v>3530</v>
      </c>
      <c r="P3342" s="152" t="s">
        <v>3489</v>
      </c>
      <c r="Q3342" s="152" t="s">
        <v>3531</v>
      </c>
      <c r="R3342" s="152" t="s">
        <v>3602</v>
      </c>
      <c r="S3342" s="152" t="s">
        <v>3533</v>
      </c>
      <c r="T3342" s="152" t="s">
        <v>786</v>
      </c>
    </row>
    <row r="3343" spans="3:20">
      <c r="C3343" s="152" t="s">
        <v>2821</v>
      </c>
      <c r="F3343" s="152" t="s">
        <v>354</v>
      </c>
      <c r="G3343" s="152" t="s">
        <v>355</v>
      </c>
      <c r="I3343" s="513">
        <v>-102771.45</v>
      </c>
      <c r="J3343" s="513">
        <v>-72.63</v>
      </c>
      <c r="K3343" s="513">
        <v>1415</v>
      </c>
      <c r="L3343" s="518" t="s">
        <v>3511</v>
      </c>
      <c r="M3343" s="152" t="s">
        <v>780</v>
      </c>
      <c r="N3343" s="152" t="s">
        <v>1407</v>
      </c>
      <c r="O3343" s="152" t="s">
        <v>3526</v>
      </c>
      <c r="P3343" s="152" t="s">
        <v>3489</v>
      </c>
      <c r="Q3343" s="152" t="s">
        <v>3527</v>
      </c>
      <c r="R3343" s="152" t="s">
        <v>3603</v>
      </c>
      <c r="S3343" s="152" t="s">
        <v>3529</v>
      </c>
      <c r="T3343" s="152" t="s">
        <v>786</v>
      </c>
    </row>
    <row r="3344" spans="3:20">
      <c r="C3344" s="152" t="s">
        <v>2821</v>
      </c>
      <c r="F3344" s="152" t="s">
        <v>354</v>
      </c>
      <c r="G3344" s="152" t="s">
        <v>355</v>
      </c>
      <c r="I3344" s="513">
        <v>106351.4</v>
      </c>
      <c r="J3344" s="513">
        <v>75.16</v>
      </c>
      <c r="K3344" s="513">
        <v>1415</v>
      </c>
      <c r="L3344" s="518" t="s">
        <v>3511</v>
      </c>
      <c r="M3344" s="152" t="s">
        <v>780</v>
      </c>
      <c r="N3344" s="152" t="s">
        <v>1407</v>
      </c>
      <c r="O3344" s="152" t="s">
        <v>3530</v>
      </c>
      <c r="P3344" s="152" t="s">
        <v>3489</v>
      </c>
      <c r="Q3344" s="152" t="s">
        <v>3531</v>
      </c>
      <c r="R3344" s="152" t="s">
        <v>3604</v>
      </c>
      <c r="S3344" s="152" t="s">
        <v>3533</v>
      </c>
      <c r="T3344" s="152" t="s">
        <v>786</v>
      </c>
    </row>
    <row r="3345" spans="3:20">
      <c r="C3345" s="152" t="s">
        <v>2821</v>
      </c>
      <c r="F3345" s="152" t="s">
        <v>354</v>
      </c>
      <c r="G3345" s="152" t="s">
        <v>355</v>
      </c>
      <c r="I3345" s="513">
        <v>-118860</v>
      </c>
      <c r="J3345" s="513">
        <v>-84</v>
      </c>
      <c r="K3345" s="513">
        <v>1415</v>
      </c>
      <c r="L3345" s="518" t="s">
        <v>3511</v>
      </c>
      <c r="M3345" s="152" t="s">
        <v>780</v>
      </c>
      <c r="N3345" s="152" t="s">
        <v>1407</v>
      </c>
      <c r="O3345" s="152" t="s">
        <v>3526</v>
      </c>
      <c r="P3345" s="152" t="s">
        <v>3489</v>
      </c>
      <c r="Q3345" s="152" t="s">
        <v>3527</v>
      </c>
      <c r="R3345" s="152" t="s">
        <v>3605</v>
      </c>
      <c r="S3345" s="152" t="s">
        <v>3529</v>
      </c>
      <c r="T3345" s="152" t="s">
        <v>786</v>
      </c>
    </row>
    <row r="3346" spans="3:20">
      <c r="C3346" s="152" t="s">
        <v>2821</v>
      </c>
      <c r="F3346" s="152" t="s">
        <v>354</v>
      </c>
      <c r="G3346" s="152" t="s">
        <v>355</v>
      </c>
      <c r="I3346" s="513">
        <v>123020.1</v>
      </c>
      <c r="J3346" s="513">
        <v>86.94</v>
      </c>
      <c r="K3346" s="513">
        <v>1415</v>
      </c>
      <c r="L3346" s="518" t="s">
        <v>3511</v>
      </c>
      <c r="M3346" s="152" t="s">
        <v>780</v>
      </c>
      <c r="N3346" s="152" t="s">
        <v>1407</v>
      </c>
      <c r="O3346" s="152" t="s">
        <v>3530</v>
      </c>
      <c r="P3346" s="152" t="s">
        <v>3489</v>
      </c>
      <c r="Q3346" s="152" t="s">
        <v>3531</v>
      </c>
      <c r="R3346" s="152" t="s">
        <v>3606</v>
      </c>
      <c r="S3346" s="152" t="s">
        <v>3533</v>
      </c>
      <c r="T3346" s="152" t="s">
        <v>786</v>
      </c>
    </row>
    <row r="3347" spans="3:20">
      <c r="C3347" s="152" t="s">
        <v>2821</v>
      </c>
      <c r="F3347" s="152" t="s">
        <v>354</v>
      </c>
      <c r="G3347" s="152" t="s">
        <v>355</v>
      </c>
      <c r="I3347" s="513">
        <v>-118492.1</v>
      </c>
      <c r="J3347" s="513">
        <v>-83.74</v>
      </c>
      <c r="K3347" s="513">
        <v>1415</v>
      </c>
      <c r="L3347" s="518" t="s">
        <v>3511</v>
      </c>
      <c r="M3347" s="152" t="s">
        <v>780</v>
      </c>
      <c r="N3347" s="152" t="s">
        <v>1407</v>
      </c>
      <c r="O3347" s="152" t="s">
        <v>3526</v>
      </c>
      <c r="P3347" s="152" t="s">
        <v>3489</v>
      </c>
      <c r="Q3347" s="152" t="s">
        <v>3527</v>
      </c>
      <c r="R3347" s="152" t="s">
        <v>3607</v>
      </c>
      <c r="S3347" s="152" t="s">
        <v>3529</v>
      </c>
      <c r="T3347" s="152" t="s">
        <v>786</v>
      </c>
    </row>
    <row r="3348" spans="3:20">
      <c r="C3348" s="152" t="s">
        <v>2821</v>
      </c>
      <c r="F3348" s="152" t="s">
        <v>354</v>
      </c>
      <c r="G3348" s="152" t="s">
        <v>355</v>
      </c>
      <c r="I3348" s="513">
        <v>122638.05</v>
      </c>
      <c r="J3348" s="513">
        <v>86.67</v>
      </c>
      <c r="K3348" s="513">
        <v>1415</v>
      </c>
      <c r="L3348" s="518" t="s">
        <v>3511</v>
      </c>
      <c r="M3348" s="152" t="s">
        <v>780</v>
      </c>
      <c r="N3348" s="152" t="s">
        <v>1407</v>
      </c>
      <c r="O3348" s="152" t="s">
        <v>3530</v>
      </c>
      <c r="P3348" s="152" t="s">
        <v>3489</v>
      </c>
      <c r="Q3348" s="152" t="s">
        <v>3531</v>
      </c>
      <c r="R3348" s="152" t="s">
        <v>3608</v>
      </c>
      <c r="S3348" s="152" t="s">
        <v>3533</v>
      </c>
      <c r="T3348" s="152" t="s">
        <v>786</v>
      </c>
    </row>
    <row r="3349" spans="3:20">
      <c r="C3349" s="152" t="s">
        <v>2821</v>
      </c>
      <c r="F3349" s="152" t="s">
        <v>354</v>
      </c>
      <c r="G3349" s="152" t="s">
        <v>355</v>
      </c>
      <c r="I3349" s="513">
        <v>-136193.75</v>
      </c>
      <c r="J3349" s="513">
        <v>-96.25</v>
      </c>
      <c r="K3349" s="513">
        <v>1415</v>
      </c>
      <c r="L3349" s="518" t="s">
        <v>3511</v>
      </c>
      <c r="M3349" s="152" t="s">
        <v>780</v>
      </c>
      <c r="N3349" s="152" t="s">
        <v>1407</v>
      </c>
      <c r="O3349" s="152" t="s">
        <v>3526</v>
      </c>
      <c r="P3349" s="152" t="s">
        <v>3489</v>
      </c>
      <c r="Q3349" s="152" t="s">
        <v>3527</v>
      </c>
      <c r="R3349" s="152" t="s">
        <v>3609</v>
      </c>
      <c r="S3349" s="152" t="s">
        <v>3529</v>
      </c>
      <c r="T3349" s="152" t="s">
        <v>786</v>
      </c>
    </row>
    <row r="3350" spans="3:20">
      <c r="C3350" s="152" t="s">
        <v>2821</v>
      </c>
      <c r="F3350" s="152" t="s">
        <v>354</v>
      </c>
      <c r="G3350" s="152" t="s">
        <v>355</v>
      </c>
      <c r="I3350" s="513">
        <v>140962.29999999999</v>
      </c>
      <c r="J3350" s="513">
        <v>99.62</v>
      </c>
      <c r="K3350" s="513">
        <v>1415</v>
      </c>
      <c r="L3350" s="518" t="s">
        <v>3511</v>
      </c>
      <c r="M3350" s="152" t="s">
        <v>780</v>
      </c>
      <c r="N3350" s="152" t="s">
        <v>1407</v>
      </c>
      <c r="O3350" s="152" t="s">
        <v>3530</v>
      </c>
      <c r="P3350" s="152" t="s">
        <v>3489</v>
      </c>
      <c r="Q3350" s="152" t="s">
        <v>3531</v>
      </c>
      <c r="R3350" s="152" t="s">
        <v>3610</v>
      </c>
      <c r="S3350" s="152" t="s">
        <v>3533</v>
      </c>
      <c r="T3350" s="152" t="s">
        <v>786</v>
      </c>
    </row>
    <row r="3351" spans="3:20">
      <c r="C3351" s="152" t="s">
        <v>2821</v>
      </c>
      <c r="F3351" s="152" t="s">
        <v>354</v>
      </c>
      <c r="G3351" s="152" t="s">
        <v>355</v>
      </c>
      <c r="I3351" s="513">
        <v>-169630.2</v>
      </c>
      <c r="J3351" s="513">
        <v>-119.88</v>
      </c>
      <c r="K3351" s="513">
        <v>1415</v>
      </c>
      <c r="L3351" s="518" t="s">
        <v>3511</v>
      </c>
      <c r="M3351" s="152" t="s">
        <v>780</v>
      </c>
      <c r="N3351" s="152" t="s">
        <v>1407</v>
      </c>
      <c r="O3351" s="152" t="s">
        <v>3526</v>
      </c>
      <c r="P3351" s="152" t="s">
        <v>3489</v>
      </c>
      <c r="Q3351" s="152" t="s">
        <v>3527</v>
      </c>
      <c r="R3351" s="152" t="s">
        <v>3611</v>
      </c>
      <c r="S3351" s="152" t="s">
        <v>3529</v>
      </c>
      <c r="T3351" s="152" t="s">
        <v>786</v>
      </c>
    </row>
    <row r="3352" spans="3:20">
      <c r="C3352" s="152" t="s">
        <v>2821</v>
      </c>
      <c r="F3352" s="152" t="s">
        <v>354</v>
      </c>
      <c r="G3352" s="152" t="s">
        <v>355</v>
      </c>
      <c r="I3352" s="513">
        <v>175559.05</v>
      </c>
      <c r="J3352" s="513">
        <v>124.07</v>
      </c>
      <c r="K3352" s="513">
        <v>1415</v>
      </c>
      <c r="L3352" s="518" t="s">
        <v>3511</v>
      </c>
      <c r="M3352" s="152" t="s">
        <v>780</v>
      </c>
      <c r="N3352" s="152" t="s">
        <v>1407</v>
      </c>
      <c r="O3352" s="152" t="s">
        <v>3530</v>
      </c>
      <c r="P3352" s="152" t="s">
        <v>3489</v>
      </c>
      <c r="Q3352" s="152" t="s">
        <v>3531</v>
      </c>
      <c r="R3352" s="152" t="s">
        <v>3612</v>
      </c>
      <c r="S3352" s="152" t="s">
        <v>3533</v>
      </c>
      <c r="T3352" s="152" t="s">
        <v>786</v>
      </c>
    </row>
    <row r="3353" spans="3:20">
      <c r="C3353" s="152" t="s">
        <v>2821</v>
      </c>
      <c r="F3353" s="152" t="s">
        <v>354</v>
      </c>
      <c r="G3353" s="152" t="s">
        <v>355</v>
      </c>
      <c r="I3353" s="513">
        <v>-28483.95</v>
      </c>
      <c r="J3353" s="513">
        <v>-20.13</v>
      </c>
      <c r="K3353" s="513">
        <v>1415</v>
      </c>
      <c r="L3353" s="518" t="s">
        <v>3511</v>
      </c>
      <c r="M3353" s="152" t="s">
        <v>780</v>
      </c>
      <c r="N3353" s="152" t="s">
        <v>1407</v>
      </c>
      <c r="O3353" s="152" t="s">
        <v>3526</v>
      </c>
      <c r="P3353" s="152" t="s">
        <v>3489</v>
      </c>
      <c r="Q3353" s="152" t="s">
        <v>3527</v>
      </c>
      <c r="R3353" s="152" t="s">
        <v>3613</v>
      </c>
      <c r="S3353" s="152" t="s">
        <v>3529</v>
      </c>
      <c r="T3353" s="152" t="s">
        <v>786</v>
      </c>
    </row>
    <row r="3354" spans="3:20">
      <c r="C3354" s="152" t="s">
        <v>2821</v>
      </c>
      <c r="F3354" s="152" t="s">
        <v>354</v>
      </c>
      <c r="G3354" s="152" t="s">
        <v>355</v>
      </c>
      <c r="I3354" s="513">
        <v>-11249.25</v>
      </c>
      <c r="J3354" s="513">
        <v>-7.95</v>
      </c>
      <c r="K3354" s="513">
        <v>1415</v>
      </c>
      <c r="L3354" s="518" t="s">
        <v>3511</v>
      </c>
      <c r="M3354" s="152" t="s">
        <v>780</v>
      </c>
      <c r="N3354" s="152" t="s">
        <v>1407</v>
      </c>
      <c r="O3354" s="152" t="s">
        <v>3526</v>
      </c>
      <c r="P3354" s="152" t="s">
        <v>3489</v>
      </c>
      <c r="Q3354" s="152" t="s">
        <v>3527</v>
      </c>
      <c r="R3354" s="152" t="s">
        <v>3613</v>
      </c>
      <c r="S3354" s="152" t="s">
        <v>3529</v>
      </c>
      <c r="T3354" s="152" t="s">
        <v>786</v>
      </c>
    </row>
    <row r="3355" spans="3:20">
      <c r="C3355" s="152" t="s">
        <v>2821</v>
      </c>
      <c r="F3355" s="152" t="s">
        <v>354</v>
      </c>
      <c r="G3355" s="152" t="s">
        <v>355</v>
      </c>
      <c r="I3355" s="513">
        <v>-34667.5</v>
      </c>
      <c r="J3355" s="513">
        <v>-24.5</v>
      </c>
      <c r="K3355" s="513">
        <v>1415</v>
      </c>
      <c r="L3355" s="518" t="s">
        <v>3511</v>
      </c>
      <c r="M3355" s="152" t="s">
        <v>780</v>
      </c>
      <c r="N3355" s="152" t="s">
        <v>1407</v>
      </c>
      <c r="O3355" s="152" t="s">
        <v>3526</v>
      </c>
      <c r="P3355" s="152" t="s">
        <v>3489</v>
      </c>
      <c r="Q3355" s="152" t="s">
        <v>3527</v>
      </c>
      <c r="R3355" s="152" t="s">
        <v>3613</v>
      </c>
      <c r="S3355" s="152" t="s">
        <v>3529</v>
      </c>
      <c r="T3355" s="152" t="s">
        <v>786</v>
      </c>
    </row>
    <row r="3356" spans="3:20">
      <c r="C3356" s="152" t="s">
        <v>2821</v>
      </c>
      <c r="F3356" s="152" t="s">
        <v>354</v>
      </c>
      <c r="G3356" s="152" t="s">
        <v>355</v>
      </c>
      <c r="I3356" s="513">
        <v>29474.45</v>
      </c>
      <c r="J3356" s="513">
        <v>20.83</v>
      </c>
      <c r="K3356" s="513">
        <v>1415</v>
      </c>
      <c r="L3356" s="518" t="s">
        <v>3511</v>
      </c>
      <c r="M3356" s="152" t="s">
        <v>780</v>
      </c>
      <c r="N3356" s="152" t="s">
        <v>1407</v>
      </c>
      <c r="O3356" s="152" t="s">
        <v>3530</v>
      </c>
      <c r="P3356" s="152" t="s">
        <v>3489</v>
      </c>
      <c r="Q3356" s="152" t="s">
        <v>3531</v>
      </c>
      <c r="R3356" s="152" t="s">
        <v>3614</v>
      </c>
      <c r="S3356" s="152" t="s">
        <v>3533</v>
      </c>
      <c r="T3356" s="152" t="s">
        <v>786</v>
      </c>
    </row>
    <row r="3357" spans="3:20">
      <c r="C3357" s="152" t="s">
        <v>2821</v>
      </c>
      <c r="F3357" s="152" t="s">
        <v>354</v>
      </c>
      <c r="G3357" s="152" t="s">
        <v>355</v>
      </c>
      <c r="I3357" s="513">
        <v>35884.400000000001</v>
      </c>
      <c r="J3357" s="513">
        <v>25.36</v>
      </c>
      <c r="K3357" s="513">
        <v>1415</v>
      </c>
      <c r="L3357" s="518" t="s">
        <v>3511</v>
      </c>
      <c r="M3357" s="152" t="s">
        <v>780</v>
      </c>
      <c r="N3357" s="152" t="s">
        <v>1407</v>
      </c>
      <c r="O3357" s="152" t="s">
        <v>3530</v>
      </c>
      <c r="P3357" s="152" t="s">
        <v>3489</v>
      </c>
      <c r="Q3357" s="152" t="s">
        <v>3531</v>
      </c>
      <c r="R3357" s="152" t="s">
        <v>3614</v>
      </c>
      <c r="S3357" s="152" t="s">
        <v>3533</v>
      </c>
      <c r="T3357" s="152" t="s">
        <v>786</v>
      </c>
    </row>
    <row r="3358" spans="3:20">
      <c r="C3358" s="152" t="s">
        <v>2821</v>
      </c>
      <c r="F3358" s="152" t="s">
        <v>354</v>
      </c>
      <c r="G3358" s="152" t="s">
        <v>355</v>
      </c>
      <c r="I3358" s="513">
        <v>11631.3</v>
      </c>
      <c r="J3358" s="513">
        <v>8.2200000000000006</v>
      </c>
      <c r="K3358" s="513">
        <v>1415</v>
      </c>
      <c r="L3358" s="518" t="s">
        <v>3511</v>
      </c>
      <c r="M3358" s="152" t="s">
        <v>780</v>
      </c>
      <c r="N3358" s="152" t="s">
        <v>1407</v>
      </c>
      <c r="O3358" s="152" t="s">
        <v>3530</v>
      </c>
      <c r="P3358" s="152" t="s">
        <v>3489</v>
      </c>
      <c r="Q3358" s="152" t="s">
        <v>3531</v>
      </c>
      <c r="R3358" s="152" t="s">
        <v>3614</v>
      </c>
      <c r="S3358" s="152" t="s">
        <v>3533</v>
      </c>
      <c r="T3358" s="152" t="s">
        <v>786</v>
      </c>
    </row>
    <row r="3359" spans="3:20">
      <c r="C3359" s="152" t="s">
        <v>2821</v>
      </c>
      <c r="F3359" s="152" t="s">
        <v>354</v>
      </c>
      <c r="G3359" s="152" t="s">
        <v>355</v>
      </c>
      <c r="I3359" s="513">
        <v>-65245.65</v>
      </c>
      <c r="J3359" s="513">
        <v>-46.11</v>
      </c>
      <c r="K3359" s="513">
        <v>1415</v>
      </c>
      <c r="L3359" s="518" t="s">
        <v>3511</v>
      </c>
      <c r="M3359" s="152" t="s">
        <v>780</v>
      </c>
      <c r="N3359" s="152" t="s">
        <v>1407</v>
      </c>
      <c r="O3359" s="152" t="s">
        <v>3526</v>
      </c>
      <c r="P3359" s="152" t="s">
        <v>3489</v>
      </c>
      <c r="Q3359" s="152" t="s">
        <v>3527</v>
      </c>
      <c r="R3359" s="152" t="s">
        <v>3615</v>
      </c>
      <c r="S3359" s="152" t="s">
        <v>3529</v>
      </c>
      <c r="T3359" s="152" t="s">
        <v>786</v>
      </c>
    </row>
    <row r="3360" spans="3:20">
      <c r="C3360" s="152" t="s">
        <v>2821</v>
      </c>
      <c r="F3360" s="152" t="s">
        <v>354</v>
      </c>
      <c r="G3360" s="152" t="s">
        <v>355</v>
      </c>
      <c r="I3360" s="513">
        <v>67523.8</v>
      </c>
      <c r="J3360" s="513">
        <v>47.72</v>
      </c>
      <c r="K3360" s="513">
        <v>1415</v>
      </c>
      <c r="L3360" s="518" t="s">
        <v>3511</v>
      </c>
      <c r="M3360" s="152" t="s">
        <v>780</v>
      </c>
      <c r="N3360" s="152" t="s">
        <v>1407</v>
      </c>
      <c r="O3360" s="152" t="s">
        <v>3530</v>
      </c>
      <c r="P3360" s="152" t="s">
        <v>3489</v>
      </c>
      <c r="Q3360" s="152" t="s">
        <v>3531</v>
      </c>
      <c r="R3360" s="152" t="s">
        <v>3616</v>
      </c>
      <c r="S3360" s="152" t="s">
        <v>3533</v>
      </c>
      <c r="T3360" s="152" t="s">
        <v>786</v>
      </c>
    </row>
    <row r="3361" spans="3:20">
      <c r="C3361" s="152" t="s">
        <v>2821</v>
      </c>
      <c r="F3361" s="152" t="s">
        <v>354</v>
      </c>
      <c r="G3361" s="152" t="s">
        <v>355</v>
      </c>
      <c r="I3361" s="513">
        <v>-104554.35</v>
      </c>
      <c r="J3361" s="513">
        <v>-73.89</v>
      </c>
      <c r="K3361" s="513">
        <v>1415</v>
      </c>
      <c r="L3361" s="518" t="s">
        <v>3511</v>
      </c>
      <c r="M3361" s="152" t="s">
        <v>780</v>
      </c>
      <c r="N3361" s="152" t="s">
        <v>1407</v>
      </c>
      <c r="O3361" s="152" t="s">
        <v>3526</v>
      </c>
      <c r="P3361" s="152" t="s">
        <v>3489</v>
      </c>
      <c r="Q3361" s="152" t="s">
        <v>3527</v>
      </c>
      <c r="R3361" s="152" t="s">
        <v>3617</v>
      </c>
      <c r="S3361" s="152" t="s">
        <v>3529</v>
      </c>
      <c r="T3361" s="152" t="s">
        <v>786</v>
      </c>
    </row>
    <row r="3362" spans="3:20">
      <c r="C3362" s="152" t="s">
        <v>2821</v>
      </c>
      <c r="F3362" s="152" t="s">
        <v>354</v>
      </c>
      <c r="G3362" s="152" t="s">
        <v>355</v>
      </c>
      <c r="I3362" s="513">
        <v>108205.05</v>
      </c>
      <c r="J3362" s="513">
        <v>76.47</v>
      </c>
      <c r="K3362" s="513">
        <v>1415</v>
      </c>
      <c r="L3362" s="518" t="s">
        <v>3511</v>
      </c>
      <c r="M3362" s="152" t="s">
        <v>780</v>
      </c>
      <c r="N3362" s="152" t="s">
        <v>1407</v>
      </c>
      <c r="O3362" s="152" t="s">
        <v>3530</v>
      </c>
      <c r="P3362" s="152" t="s">
        <v>3489</v>
      </c>
      <c r="Q3362" s="152" t="s">
        <v>3531</v>
      </c>
      <c r="R3362" s="152" t="s">
        <v>3618</v>
      </c>
      <c r="S3362" s="152" t="s">
        <v>3533</v>
      </c>
      <c r="T3362" s="152" t="s">
        <v>786</v>
      </c>
    </row>
    <row r="3363" spans="3:20">
      <c r="C3363" s="152" t="s">
        <v>2821</v>
      </c>
      <c r="F3363" s="152" t="s">
        <v>354</v>
      </c>
      <c r="G3363" s="152" t="s">
        <v>355</v>
      </c>
      <c r="I3363" s="513">
        <v>169375.5</v>
      </c>
      <c r="J3363" s="513">
        <v>119.7</v>
      </c>
      <c r="K3363" s="513">
        <v>1415</v>
      </c>
      <c r="L3363" s="518" t="s">
        <v>3511</v>
      </c>
      <c r="M3363" s="152" t="s">
        <v>780</v>
      </c>
      <c r="N3363" s="152" t="s">
        <v>1407</v>
      </c>
      <c r="O3363" s="152" t="s">
        <v>3530</v>
      </c>
      <c r="P3363" s="152" t="s">
        <v>3489</v>
      </c>
      <c r="Q3363" s="152" t="s">
        <v>3531</v>
      </c>
      <c r="R3363" s="152" t="s">
        <v>3620</v>
      </c>
      <c r="S3363" s="152" t="s">
        <v>3533</v>
      </c>
      <c r="T3363" s="152" t="s">
        <v>786</v>
      </c>
    </row>
    <row r="3364" spans="3:20">
      <c r="C3364" s="152" t="s">
        <v>2821</v>
      </c>
      <c r="F3364" s="152" t="s">
        <v>354</v>
      </c>
      <c r="G3364" s="152" t="s">
        <v>355</v>
      </c>
      <c r="I3364" s="513">
        <v>72532.899999999994</v>
      </c>
      <c r="J3364" s="513">
        <v>51.26</v>
      </c>
      <c r="K3364" s="513">
        <v>1415</v>
      </c>
      <c r="L3364" s="518" t="s">
        <v>3511</v>
      </c>
      <c r="M3364" s="152" t="s">
        <v>780</v>
      </c>
      <c r="N3364" s="152" t="s">
        <v>1407</v>
      </c>
      <c r="O3364" s="152" t="s">
        <v>3530</v>
      </c>
      <c r="P3364" s="152" t="s">
        <v>3489</v>
      </c>
      <c r="Q3364" s="152" t="s">
        <v>3531</v>
      </c>
      <c r="R3364" s="152" t="s">
        <v>3622</v>
      </c>
      <c r="S3364" s="152" t="s">
        <v>3533</v>
      </c>
      <c r="T3364" s="152" t="s">
        <v>786</v>
      </c>
    </row>
    <row r="3365" spans="3:20">
      <c r="C3365" s="152" t="s">
        <v>2821</v>
      </c>
      <c r="F3365" s="152" t="s">
        <v>354</v>
      </c>
      <c r="G3365" s="152" t="s">
        <v>355</v>
      </c>
      <c r="I3365" s="513">
        <v>659673</v>
      </c>
      <c r="J3365" s="513">
        <v>466.2</v>
      </c>
      <c r="K3365" s="513">
        <v>1415</v>
      </c>
      <c r="L3365" s="518" t="s">
        <v>3511</v>
      </c>
      <c r="M3365" s="152" t="s">
        <v>780</v>
      </c>
      <c r="N3365" s="152" t="s">
        <v>1407</v>
      </c>
      <c r="O3365" s="152" t="s">
        <v>3530</v>
      </c>
      <c r="P3365" s="152" t="s">
        <v>3489</v>
      </c>
      <c r="Q3365" s="152" t="s">
        <v>3531</v>
      </c>
      <c r="R3365" s="152" t="s">
        <v>3625</v>
      </c>
      <c r="S3365" s="152" t="s">
        <v>3533</v>
      </c>
      <c r="T3365" s="152" t="s">
        <v>786</v>
      </c>
    </row>
    <row r="3366" spans="3:20">
      <c r="C3366" s="152" t="s">
        <v>2821</v>
      </c>
      <c r="F3366" s="152" t="s">
        <v>354</v>
      </c>
      <c r="G3366" s="152" t="s">
        <v>355</v>
      </c>
      <c r="I3366" s="513">
        <v>-48987.3</v>
      </c>
      <c r="J3366" s="513">
        <v>-34.619999999999997</v>
      </c>
      <c r="K3366" s="513">
        <v>1415</v>
      </c>
      <c r="L3366" s="518" t="s">
        <v>3511</v>
      </c>
      <c r="M3366" s="152" t="s">
        <v>780</v>
      </c>
      <c r="N3366" s="152" t="s">
        <v>1407</v>
      </c>
      <c r="O3366" s="152" t="s">
        <v>3526</v>
      </c>
      <c r="P3366" s="152" t="s">
        <v>3489</v>
      </c>
      <c r="Q3366" s="152" t="s">
        <v>3527</v>
      </c>
      <c r="R3366" s="152" t="s">
        <v>4144</v>
      </c>
      <c r="S3366" s="152" t="s">
        <v>3529</v>
      </c>
      <c r="T3366" s="152" t="s">
        <v>786</v>
      </c>
    </row>
    <row r="3367" spans="3:20">
      <c r="C3367" s="152" t="s">
        <v>2821</v>
      </c>
      <c r="F3367" s="152" t="s">
        <v>354</v>
      </c>
      <c r="G3367" s="152" t="s">
        <v>355</v>
      </c>
      <c r="I3367" s="513">
        <v>50699.45</v>
      </c>
      <c r="J3367" s="513">
        <v>35.83</v>
      </c>
      <c r="K3367" s="513">
        <v>1415</v>
      </c>
      <c r="L3367" s="518" t="s">
        <v>3511</v>
      </c>
      <c r="M3367" s="152" t="s">
        <v>780</v>
      </c>
      <c r="N3367" s="152" t="s">
        <v>1407</v>
      </c>
      <c r="O3367" s="152" t="s">
        <v>3530</v>
      </c>
      <c r="P3367" s="152" t="s">
        <v>3489</v>
      </c>
      <c r="Q3367" s="152" t="s">
        <v>3531</v>
      </c>
      <c r="R3367" s="152" t="s">
        <v>4145</v>
      </c>
      <c r="S3367" s="152" t="s">
        <v>3533</v>
      </c>
      <c r="T3367" s="152" t="s">
        <v>786</v>
      </c>
    </row>
    <row r="3368" spans="3:20">
      <c r="C3368" s="152" t="s">
        <v>2821</v>
      </c>
      <c r="F3368" s="152" t="s">
        <v>354</v>
      </c>
      <c r="G3368" s="152" t="s">
        <v>355</v>
      </c>
      <c r="I3368" s="513">
        <v>-130378.1</v>
      </c>
      <c r="J3368" s="513">
        <v>-92.14</v>
      </c>
      <c r="K3368" s="513">
        <v>1415</v>
      </c>
      <c r="L3368" s="518" t="s">
        <v>3511</v>
      </c>
      <c r="M3368" s="152" t="s">
        <v>780</v>
      </c>
      <c r="N3368" s="152" t="s">
        <v>1407</v>
      </c>
      <c r="O3368" s="152" t="s">
        <v>3526</v>
      </c>
      <c r="P3368" s="152" t="s">
        <v>3489</v>
      </c>
      <c r="Q3368" s="152" t="s">
        <v>3527</v>
      </c>
      <c r="R3368" s="152" t="s">
        <v>4146</v>
      </c>
      <c r="S3368" s="152" t="s">
        <v>3529</v>
      </c>
      <c r="T3368" s="152" t="s">
        <v>786</v>
      </c>
    </row>
    <row r="3369" spans="3:20">
      <c r="C3369" s="152" t="s">
        <v>2821</v>
      </c>
      <c r="F3369" s="152" t="s">
        <v>354</v>
      </c>
      <c r="G3369" s="152" t="s">
        <v>355</v>
      </c>
      <c r="I3369" s="513">
        <v>134934.39999999999</v>
      </c>
      <c r="J3369" s="513">
        <v>95.36</v>
      </c>
      <c r="K3369" s="513">
        <v>1415</v>
      </c>
      <c r="L3369" s="518" t="s">
        <v>3511</v>
      </c>
      <c r="M3369" s="152" t="s">
        <v>780</v>
      </c>
      <c r="N3369" s="152" t="s">
        <v>1407</v>
      </c>
      <c r="O3369" s="152" t="s">
        <v>3530</v>
      </c>
      <c r="P3369" s="152" t="s">
        <v>3489</v>
      </c>
      <c r="Q3369" s="152" t="s">
        <v>3531</v>
      </c>
      <c r="R3369" s="152" t="s">
        <v>4147</v>
      </c>
      <c r="S3369" s="152" t="s">
        <v>3533</v>
      </c>
      <c r="T3369" s="152" t="s">
        <v>786</v>
      </c>
    </row>
    <row r="3370" spans="3:20">
      <c r="C3370" s="152" t="s">
        <v>2821</v>
      </c>
      <c r="F3370" s="152" t="s">
        <v>354</v>
      </c>
      <c r="G3370" s="152" t="s">
        <v>355</v>
      </c>
      <c r="I3370" s="513">
        <v>-89512.9</v>
      </c>
      <c r="J3370" s="513">
        <v>-63.26</v>
      </c>
      <c r="K3370" s="513">
        <v>1415</v>
      </c>
      <c r="L3370" s="518" t="s">
        <v>3511</v>
      </c>
      <c r="M3370" s="152" t="s">
        <v>780</v>
      </c>
      <c r="N3370" s="152" t="s">
        <v>1407</v>
      </c>
      <c r="O3370" s="152" t="s">
        <v>3526</v>
      </c>
      <c r="P3370" s="152" t="s">
        <v>3489</v>
      </c>
      <c r="Q3370" s="152" t="s">
        <v>3527</v>
      </c>
      <c r="R3370" s="152" t="s">
        <v>4148</v>
      </c>
      <c r="S3370" s="152" t="s">
        <v>3529</v>
      </c>
      <c r="T3370" s="152" t="s">
        <v>786</v>
      </c>
    </row>
    <row r="3371" spans="3:20">
      <c r="C3371" s="152" t="s">
        <v>2821</v>
      </c>
      <c r="F3371" s="152" t="s">
        <v>354</v>
      </c>
      <c r="G3371" s="152" t="s">
        <v>355</v>
      </c>
      <c r="I3371" s="513">
        <v>92640.05</v>
      </c>
      <c r="J3371" s="513">
        <v>65.47</v>
      </c>
      <c r="K3371" s="513">
        <v>1415</v>
      </c>
      <c r="L3371" s="518" t="s">
        <v>3511</v>
      </c>
      <c r="M3371" s="152" t="s">
        <v>780</v>
      </c>
      <c r="N3371" s="152" t="s">
        <v>1407</v>
      </c>
      <c r="O3371" s="152" t="s">
        <v>3530</v>
      </c>
      <c r="P3371" s="152" t="s">
        <v>3489</v>
      </c>
      <c r="Q3371" s="152" t="s">
        <v>3531</v>
      </c>
      <c r="R3371" s="152" t="s">
        <v>4149</v>
      </c>
      <c r="S3371" s="152" t="s">
        <v>3533</v>
      </c>
      <c r="T3371" s="152" t="s">
        <v>786</v>
      </c>
    </row>
    <row r="3372" spans="3:20">
      <c r="C3372" s="152" t="s">
        <v>2821</v>
      </c>
      <c r="F3372" s="152" t="s">
        <v>354</v>
      </c>
      <c r="G3372" s="152" t="s">
        <v>355</v>
      </c>
      <c r="I3372" s="513">
        <v>-311979.2</v>
      </c>
      <c r="J3372" s="513">
        <v>-220.48</v>
      </c>
      <c r="K3372" s="513">
        <v>1415</v>
      </c>
      <c r="L3372" s="518" t="s">
        <v>3511</v>
      </c>
      <c r="M3372" s="152" t="s">
        <v>780</v>
      </c>
      <c r="N3372" s="152" t="s">
        <v>1407</v>
      </c>
      <c r="O3372" s="152" t="s">
        <v>3526</v>
      </c>
      <c r="P3372" s="152" t="s">
        <v>3489</v>
      </c>
      <c r="Q3372" s="152" t="s">
        <v>3527</v>
      </c>
      <c r="R3372" s="152" t="s">
        <v>4150</v>
      </c>
      <c r="S3372" s="152" t="s">
        <v>3529</v>
      </c>
      <c r="T3372" s="152" t="s">
        <v>786</v>
      </c>
    </row>
    <row r="3373" spans="3:20">
      <c r="C3373" s="152" t="s">
        <v>2821</v>
      </c>
      <c r="F3373" s="152" t="s">
        <v>354</v>
      </c>
      <c r="G3373" s="152" t="s">
        <v>355</v>
      </c>
      <c r="I3373" s="513">
        <v>322888.84999999998</v>
      </c>
      <c r="J3373" s="513">
        <v>228.19</v>
      </c>
      <c r="K3373" s="513">
        <v>1415</v>
      </c>
      <c r="L3373" s="518" t="s">
        <v>3511</v>
      </c>
      <c r="M3373" s="152" t="s">
        <v>780</v>
      </c>
      <c r="N3373" s="152" t="s">
        <v>1407</v>
      </c>
      <c r="O3373" s="152" t="s">
        <v>3530</v>
      </c>
      <c r="P3373" s="152" t="s">
        <v>3489</v>
      </c>
      <c r="Q3373" s="152" t="s">
        <v>3531</v>
      </c>
      <c r="R3373" s="152" t="s">
        <v>4151</v>
      </c>
      <c r="S3373" s="152" t="s">
        <v>3533</v>
      </c>
      <c r="T3373" s="152" t="s">
        <v>786</v>
      </c>
    </row>
    <row r="3374" spans="3:20">
      <c r="C3374" s="152" t="s">
        <v>2821</v>
      </c>
      <c r="F3374" s="152" t="s">
        <v>354</v>
      </c>
      <c r="G3374" s="152" t="s">
        <v>355</v>
      </c>
      <c r="I3374" s="513">
        <v>-160093.1</v>
      </c>
      <c r="J3374" s="513">
        <v>-113.14</v>
      </c>
      <c r="K3374" s="513">
        <v>1415</v>
      </c>
      <c r="L3374" s="518" t="s">
        <v>3511</v>
      </c>
      <c r="M3374" s="152" t="s">
        <v>780</v>
      </c>
      <c r="N3374" s="152" t="s">
        <v>1407</v>
      </c>
      <c r="O3374" s="152" t="s">
        <v>3526</v>
      </c>
      <c r="P3374" s="152" t="s">
        <v>3489</v>
      </c>
      <c r="Q3374" s="152" t="s">
        <v>3527</v>
      </c>
      <c r="R3374" s="152" t="s">
        <v>4154</v>
      </c>
      <c r="S3374" s="152" t="s">
        <v>3529</v>
      </c>
      <c r="T3374" s="152" t="s">
        <v>786</v>
      </c>
    </row>
    <row r="3375" spans="3:20">
      <c r="C3375" s="152" t="s">
        <v>2821</v>
      </c>
      <c r="F3375" s="152" t="s">
        <v>354</v>
      </c>
      <c r="G3375" s="152" t="s">
        <v>355</v>
      </c>
      <c r="I3375" s="513">
        <v>165682.35</v>
      </c>
      <c r="J3375" s="513">
        <v>117.09</v>
      </c>
      <c r="K3375" s="513">
        <v>1415</v>
      </c>
      <c r="L3375" s="518" t="s">
        <v>3511</v>
      </c>
      <c r="M3375" s="152" t="s">
        <v>780</v>
      </c>
      <c r="N3375" s="152" t="s">
        <v>1407</v>
      </c>
      <c r="O3375" s="152" t="s">
        <v>3530</v>
      </c>
      <c r="P3375" s="152" t="s">
        <v>3489</v>
      </c>
      <c r="Q3375" s="152" t="s">
        <v>3531</v>
      </c>
      <c r="R3375" s="152" t="s">
        <v>4155</v>
      </c>
      <c r="S3375" s="152" t="s">
        <v>3533</v>
      </c>
      <c r="T3375" s="152" t="s">
        <v>786</v>
      </c>
    </row>
    <row r="3376" spans="3:20">
      <c r="C3376" s="152" t="s">
        <v>2821</v>
      </c>
      <c r="F3376" s="152" t="s">
        <v>354</v>
      </c>
      <c r="G3376" s="152" t="s">
        <v>355</v>
      </c>
      <c r="I3376" s="513">
        <v>-96503</v>
      </c>
      <c r="J3376" s="513">
        <v>-68.2</v>
      </c>
      <c r="K3376" s="513">
        <v>1415</v>
      </c>
      <c r="L3376" s="518" t="s">
        <v>3511</v>
      </c>
      <c r="M3376" s="152" t="s">
        <v>780</v>
      </c>
      <c r="N3376" s="152" t="s">
        <v>1407</v>
      </c>
      <c r="O3376" s="152" t="s">
        <v>3526</v>
      </c>
      <c r="P3376" s="152" t="s">
        <v>3489</v>
      </c>
      <c r="Q3376" s="152" t="s">
        <v>3527</v>
      </c>
      <c r="R3376" s="152" t="s">
        <v>4156</v>
      </c>
      <c r="S3376" s="152" t="s">
        <v>3529</v>
      </c>
      <c r="T3376" s="152" t="s">
        <v>786</v>
      </c>
    </row>
    <row r="3377" spans="3:20">
      <c r="C3377" s="152" t="s">
        <v>2821</v>
      </c>
      <c r="F3377" s="152" t="s">
        <v>354</v>
      </c>
      <c r="G3377" s="152" t="s">
        <v>355</v>
      </c>
      <c r="I3377" s="513">
        <v>99870.7</v>
      </c>
      <c r="J3377" s="513">
        <v>70.58</v>
      </c>
      <c r="K3377" s="513">
        <v>1415</v>
      </c>
      <c r="L3377" s="518" t="s">
        <v>3511</v>
      </c>
      <c r="M3377" s="152" t="s">
        <v>780</v>
      </c>
      <c r="N3377" s="152" t="s">
        <v>1407</v>
      </c>
      <c r="O3377" s="152" t="s">
        <v>3530</v>
      </c>
      <c r="P3377" s="152" t="s">
        <v>3489</v>
      </c>
      <c r="Q3377" s="152" t="s">
        <v>3531</v>
      </c>
      <c r="R3377" s="152" t="s">
        <v>4157</v>
      </c>
      <c r="S3377" s="152" t="s">
        <v>3533</v>
      </c>
      <c r="T3377" s="152" t="s">
        <v>786</v>
      </c>
    </row>
    <row r="3378" spans="3:20">
      <c r="C3378" s="152" t="s">
        <v>2821</v>
      </c>
      <c r="F3378" s="152" t="s">
        <v>354</v>
      </c>
      <c r="G3378" s="152" t="s">
        <v>355</v>
      </c>
      <c r="I3378" s="513">
        <v>-145858.20000000001</v>
      </c>
      <c r="J3378" s="513">
        <v>-103.08</v>
      </c>
      <c r="K3378" s="513">
        <v>1415</v>
      </c>
      <c r="L3378" s="518" t="s">
        <v>3511</v>
      </c>
      <c r="M3378" s="152" t="s">
        <v>780</v>
      </c>
      <c r="N3378" s="152" t="s">
        <v>1407</v>
      </c>
      <c r="O3378" s="152" t="s">
        <v>3526</v>
      </c>
      <c r="P3378" s="152" t="s">
        <v>3489</v>
      </c>
      <c r="Q3378" s="152" t="s">
        <v>3527</v>
      </c>
      <c r="R3378" s="152" t="s">
        <v>4163</v>
      </c>
      <c r="S3378" s="152" t="s">
        <v>3529</v>
      </c>
      <c r="T3378" s="152" t="s">
        <v>786</v>
      </c>
    </row>
    <row r="3379" spans="3:20">
      <c r="C3379" s="152" t="s">
        <v>2821</v>
      </c>
      <c r="F3379" s="152" t="s">
        <v>354</v>
      </c>
      <c r="G3379" s="152" t="s">
        <v>355</v>
      </c>
      <c r="I3379" s="513">
        <v>150952.20000000001</v>
      </c>
      <c r="J3379" s="513">
        <v>106.68</v>
      </c>
      <c r="K3379" s="513">
        <v>1415</v>
      </c>
      <c r="L3379" s="518" t="s">
        <v>3511</v>
      </c>
      <c r="M3379" s="152" t="s">
        <v>780</v>
      </c>
      <c r="N3379" s="152" t="s">
        <v>1407</v>
      </c>
      <c r="O3379" s="152" t="s">
        <v>3530</v>
      </c>
      <c r="P3379" s="152" t="s">
        <v>3489</v>
      </c>
      <c r="Q3379" s="152" t="s">
        <v>3531</v>
      </c>
      <c r="R3379" s="152" t="s">
        <v>4164</v>
      </c>
      <c r="S3379" s="152" t="s">
        <v>3533</v>
      </c>
      <c r="T3379" s="152" t="s">
        <v>786</v>
      </c>
    </row>
    <row r="3380" spans="3:20">
      <c r="C3380" s="152" t="s">
        <v>2821</v>
      </c>
      <c r="F3380" s="152" t="s">
        <v>354</v>
      </c>
      <c r="G3380" s="152" t="s">
        <v>355</v>
      </c>
      <c r="I3380" s="513">
        <v>-97932.15</v>
      </c>
      <c r="J3380" s="513">
        <v>-69.209999999999994</v>
      </c>
      <c r="K3380" s="513">
        <v>1415</v>
      </c>
      <c r="L3380" s="518" t="s">
        <v>3511</v>
      </c>
      <c r="M3380" s="152" t="s">
        <v>780</v>
      </c>
      <c r="N3380" s="152" t="s">
        <v>1407</v>
      </c>
      <c r="O3380" s="152" t="s">
        <v>3526</v>
      </c>
      <c r="P3380" s="152" t="s">
        <v>3489</v>
      </c>
      <c r="Q3380" s="152" t="s">
        <v>3527</v>
      </c>
      <c r="R3380" s="152" t="s">
        <v>4167</v>
      </c>
      <c r="S3380" s="152" t="s">
        <v>3529</v>
      </c>
      <c r="T3380" s="152" t="s">
        <v>786</v>
      </c>
    </row>
    <row r="3381" spans="3:20">
      <c r="C3381" s="152" t="s">
        <v>2821</v>
      </c>
      <c r="F3381" s="152" t="s">
        <v>354</v>
      </c>
      <c r="G3381" s="152" t="s">
        <v>355</v>
      </c>
      <c r="I3381" s="513">
        <v>101356.45</v>
      </c>
      <c r="J3381" s="513">
        <v>71.63</v>
      </c>
      <c r="K3381" s="513">
        <v>1415</v>
      </c>
      <c r="L3381" s="518" t="s">
        <v>3511</v>
      </c>
      <c r="M3381" s="152" t="s">
        <v>780</v>
      </c>
      <c r="N3381" s="152" t="s">
        <v>1407</v>
      </c>
      <c r="O3381" s="152" t="s">
        <v>3530</v>
      </c>
      <c r="P3381" s="152" t="s">
        <v>3489</v>
      </c>
      <c r="Q3381" s="152" t="s">
        <v>3531</v>
      </c>
      <c r="R3381" s="152" t="s">
        <v>4168</v>
      </c>
      <c r="S3381" s="152" t="s">
        <v>3533</v>
      </c>
      <c r="T3381" s="152" t="s">
        <v>786</v>
      </c>
    </row>
    <row r="3382" spans="3:20">
      <c r="C3382" s="152" t="s">
        <v>2821</v>
      </c>
      <c r="F3382" s="152" t="s">
        <v>354</v>
      </c>
      <c r="G3382" s="152" t="s">
        <v>355</v>
      </c>
      <c r="I3382" s="513">
        <v>-127406.6</v>
      </c>
      <c r="J3382" s="513">
        <v>-90.04</v>
      </c>
      <c r="K3382" s="513">
        <v>1415</v>
      </c>
      <c r="L3382" s="518" t="s">
        <v>3511</v>
      </c>
      <c r="M3382" s="152" t="s">
        <v>780</v>
      </c>
      <c r="N3382" s="152" t="s">
        <v>1407</v>
      </c>
      <c r="O3382" s="152" t="s">
        <v>3526</v>
      </c>
      <c r="P3382" s="152" t="s">
        <v>3489</v>
      </c>
      <c r="Q3382" s="152" t="s">
        <v>3527</v>
      </c>
      <c r="R3382" s="152" t="s">
        <v>4169</v>
      </c>
      <c r="S3382" s="152" t="s">
        <v>3529</v>
      </c>
      <c r="T3382" s="152" t="s">
        <v>786</v>
      </c>
    </row>
    <row r="3383" spans="3:20">
      <c r="C3383" s="152" t="s">
        <v>2821</v>
      </c>
      <c r="F3383" s="152" t="s">
        <v>354</v>
      </c>
      <c r="G3383" s="152" t="s">
        <v>355</v>
      </c>
      <c r="I3383" s="513">
        <v>131863.85</v>
      </c>
      <c r="J3383" s="513">
        <v>93.19</v>
      </c>
      <c r="K3383" s="513">
        <v>1415</v>
      </c>
      <c r="L3383" s="518" t="s">
        <v>3511</v>
      </c>
      <c r="M3383" s="152" t="s">
        <v>780</v>
      </c>
      <c r="N3383" s="152" t="s">
        <v>1407</v>
      </c>
      <c r="O3383" s="152" t="s">
        <v>3530</v>
      </c>
      <c r="P3383" s="152" t="s">
        <v>3489</v>
      </c>
      <c r="Q3383" s="152" t="s">
        <v>3531</v>
      </c>
      <c r="R3383" s="152" t="s">
        <v>4170</v>
      </c>
      <c r="S3383" s="152" t="s">
        <v>3533</v>
      </c>
      <c r="T3383" s="152" t="s">
        <v>786</v>
      </c>
    </row>
    <row r="3384" spans="3:20">
      <c r="C3384" s="152" t="s">
        <v>2821</v>
      </c>
      <c r="F3384" s="152" t="s">
        <v>354</v>
      </c>
      <c r="G3384" s="152" t="s">
        <v>355</v>
      </c>
      <c r="I3384" s="513">
        <v>-135330.6</v>
      </c>
      <c r="J3384" s="513">
        <v>-95.64</v>
      </c>
      <c r="K3384" s="513">
        <v>1415</v>
      </c>
      <c r="L3384" s="518" t="s">
        <v>3511</v>
      </c>
      <c r="M3384" s="152" t="s">
        <v>780</v>
      </c>
      <c r="N3384" s="152" t="s">
        <v>1407</v>
      </c>
      <c r="O3384" s="152" t="s">
        <v>3526</v>
      </c>
      <c r="P3384" s="152" t="s">
        <v>3489</v>
      </c>
      <c r="Q3384" s="152" t="s">
        <v>3527</v>
      </c>
      <c r="R3384" s="152" t="s">
        <v>4171</v>
      </c>
      <c r="S3384" s="152" t="s">
        <v>3529</v>
      </c>
      <c r="T3384" s="152" t="s">
        <v>786</v>
      </c>
    </row>
    <row r="3385" spans="3:20">
      <c r="C3385" s="152" t="s">
        <v>2821</v>
      </c>
      <c r="F3385" s="152" t="s">
        <v>354</v>
      </c>
      <c r="G3385" s="152" t="s">
        <v>355</v>
      </c>
      <c r="I3385" s="513">
        <v>140056.70000000001</v>
      </c>
      <c r="J3385" s="513">
        <v>98.98</v>
      </c>
      <c r="K3385" s="513">
        <v>1415</v>
      </c>
      <c r="L3385" s="518" t="s">
        <v>3511</v>
      </c>
      <c r="M3385" s="152" t="s">
        <v>780</v>
      </c>
      <c r="N3385" s="152" t="s">
        <v>1407</v>
      </c>
      <c r="O3385" s="152" t="s">
        <v>3530</v>
      </c>
      <c r="P3385" s="152" t="s">
        <v>3489</v>
      </c>
      <c r="Q3385" s="152" t="s">
        <v>3531</v>
      </c>
      <c r="R3385" s="152" t="s">
        <v>4172</v>
      </c>
      <c r="S3385" s="152" t="s">
        <v>3533</v>
      </c>
      <c r="T3385" s="152" t="s">
        <v>786</v>
      </c>
    </row>
    <row r="3386" spans="3:20">
      <c r="C3386" s="152" t="s">
        <v>2821</v>
      </c>
      <c r="F3386" s="152" t="s">
        <v>354</v>
      </c>
      <c r="G3386" s="152" t="s">
        <v>355</v>
      </c>
      <c r="I3386" s="513">
        <v>-116511.1</v>
      </c>
      <c r="J3386" s="513">
        <v>-82.34</v>
      </c>
      <c r="K3386" s="513">
        <v>1415</v>
      </c>
      <c r="L3386" s="518" t="s">
        <v>3511</v>
      </c>
      <c r="M3386" s="152" t="s">
        <v>780</v>
      </c>
      <c r="N3386" s="152" t="s">
        <v>1407</v>
      </c>
      <c r="O3386" s="152" t="s">
        <v>3526</v>
      </c>
      <c r="P3386" s="152" t="s">
        <v>3489</v>
      </c>
      <c r="Q3386" s="152" t="s">
        <v>3527</v>
      </c>
      <c r="R3386" s="152" t="s">
        <v>4173</v>
      </c>
      <c r="S3386" s="152" t="s">
        <v>3529</v>
      </c>
      <c r="T3386" s="152" t="s">
        <v>786</v>
      </c>
    </row>
    <row r="3387" spans="3:20">
      <c r="C3387" s="152" t="s">
        <v>2821</v>
      </c>
      <c r="F3387" s="152" t="s">
        <v>354</v>
      </c>
      <c r="G3387" s="152" t="s">
        <v>355</v>
      </c>
      <c r="I3387" s="513">
        <v>120586.3</v>
      </c>
      <c r="J3387" s="513">
        <v>85.22</v>
      </c>
      <c r="K3387" s="513">
        <v>1415</v>
      </c>
      <c r="L3387" s="518" t="s">
        <v>3511</v>
      </c>
      <c r="M3387" s="152" t="s">
        <v>780</v>
      </c>
      <c r="N3387" s="152" t="s">
        <v>1407</v>
      </c>
      <c r="O3387" s="152" t="s">
        <v>3530</v>
      </c>
      <c r="P3387" s="152" t="s">
        <v>3489</v>
      </c>
      <c r="Q3387" s="152" t="s">
        <v>3531</v>
      </c>
      <c r="R3387" s="152" t="s">
        <v>4174</v>
      </c>
      <c r="S3387" s="152" t="s">
        <v>3533</v>
      </c>
      <c r="T3387" s="152" t="s">
        <v>786</v>
      </c>
    </row>
    <row r="3388" spans="3:20">
      <c r="C3388" s="152" t="s">
        <v>2821</v>
      </c>
      <c r="F3388" s="152" t="s">
        <v>354</v>
      </c>
      <c r="G3388" s="152" t="s">
        <v>355</v>
      </c>
      <c r="I3388" s="513">
        <v>-111558.6</v>
      </c>
      <c r="J3388" s="513">
        <v>-78.84</v>
      </c>
      <c r="K3388" s="513">
        <v>1415</v>
      </c>
      <c r="L3388" s="518" t="s">
        <v>3511</v>
      </c>
      <c r="M3388" s="152" t="s">
        <v>780</v>
      </c>
      <c r="N3388" s="152" t="s">
        <v>1407</v>
      </c>
      <c r="O3388" s="152" t="s">
        <v>3526</v>
      </c>
      <c r="P3388" s="152" t="s">
        <v>3489</v>
      </c>
      <c r="Q3388" s="152" t="s">
        <v>3527</v>
      </c>
      <c r="R3388" s="152" t="s">
        <v>4175</v>
      </c>
      <c r="S3388" s="152" t="s">
        <v>3529</v>
      </c>
      <c r="T3388" s="152" t="s">
        <v>786</v>
      </c>
    </row>
    <row r="3389" spans="3:20">
      <c r="C3389" s="152" t="s">
        <v>2821</v>
      </c>
      <c r="F3389" s="152" t="s">
        <v>354</v>
      </c>
      <c r="G3389" s="152" t="s">
        <v>355</v>
      </c>
      <c r="I3389" s="513">
        <v>115449.85</v>
      </c>
      <c r="J3389" s="513">
        <v>81.59</v>
      </c>
      <c r="K3389" s="513">
        <v>1415</v>
      </c>
      <c r="L3389" s="518" t="s">
        <v>3511</v>
      </c>
      <c r="M3389" s="152" t="s">
        <v>780</v>
      </c>
      <c r="N3389" s="152" t="s">
        <v>1407</v>
      </c>
      <c r="O3389" s="152" t="s">
        <v>3530</v>
      </c>
      <c r="P3389" s="152" t="s">
        <v>3489</v>
      </c>
      <c r="Q3389" s="152" t="s">
        <v>3531</v>
      </c>
      <c r="R3389" s="152" t="s">
        <v>4176</v>
      </c>
      <c r="S3389" s="152" t="s">
        <v>3533</v>
      </c>
      <c r="T3389" s="152" t="s">
        <v>786</v>
      </c>
    </row>
    <row r="3390" spans="3:20">
      <c r="C3390" s="152" t="s">
        <v>2821</v>
      </c>
      <c r="F3390" s="152" t="s">
        <v>354</v>
      </c>
      <c r="G3390" s="152" t="s">
        <v>355</v>
      </c>
      <c r="I3390" s="513">
        <v>-94960.65</v>
      </c>
      <c r="J3390" s="513">
        <v>-67.11</v>
      </c>
      <c r="K3390" s="513">
        <v>1415</v>
      </c>
      <c r="L3390" s="518" t="s">
        <v>3511</v>
      </c>
      <c r="M3390" s="152" t="s">
        <v>780</v>
      </c>
      <c r="N3390" s="152" t="s">
        <v>1407</v>
      </c>
      <c r="O3390" s="152" t="s">
        <v>3526</v>
      </c>
      <c r="P3390" s="152" t="s">
        <v>3489</v>
      </c>
      <c r="Q3390" s="152" t="s">
        <v>3527</v>
      </c>
      <c r="R3390" s="152" t="s">
        <v>4177</v>
      </c>
      <c r="S3390" s="152" t="s">
        <v>3529</v>
      </c>
      <c r="T3390" s="152" t="s">
        <v>786</v>
      </c>
    </row>
    <row r="3391" spans="3:20">
      <c r="C3391" s="152" t="s">
        <v>2821</v>
      </c>
      <c r="F3391" s="152" t="s">
        <v>354</v>
      </c>
      <c r="G3391" s="152" t="s">
        <v>355</v>
      </c>
      <c r="I3391" s="513">
        <v>98285.9</v>
      </c>
      <c r="J3391" s="513">
        <v>69.459999999999994</v>
      </c>
      <c r="K3391" s="513">
        <v>1415</v>
      </c>
      <c r="L3391" s="518" t="s">
        <v>3511</v>
      </c>
      <c r="M3391" s="152" t="s">
        <v>780</v>
      </c>
      <c r="N3391" s="152" t="s">
        <v>1407</v>
      </c>
      <c r="O3391" s="152" t="s">
        <v>3530</v>
      </c>
      <c r="P3391" s="152" t="s">
        <v>3489</v>
      </c>
      <c r="Q3391" s="152" t="s">
        <v>3531</v>
      </c>
      <c r="R3391" s="152" t="s">
        <v>4178</v>
      </c>
      <c r="S3391" s="152" t="s">
        <v>3533</v>
      </c>
      <c r="T3391" s="152" t="s">
        <v>786</v>
      </c>
    </row>
    <row r="3392" spans="3:20">
      <c r="C3392" s="152" t="s">
        <v>2821</v>
      </c>
      <c r="F3392" s="152" t="s">
        <v>354</v>
      </c>
      <c r="G3392" s="152" t="s">
        <v>355</v>
      </c>
      <c r="I3392" s="513">
        <v>-29219.75</v>
      </c>
      <c r="J3392" s="513">
        <v>-20.65</v>
      </c>
      <c r="K3392" s="513">
        <v>1415</v>
      </c>
      <c r="L3392" s="518" t="s">
        <v>3511</v>
      </c>
      <c r="M3392" s="152" t="s">
        <v>780</v>
      </c>
      <c r="N3392" s="152" t="s">
        <v>1407</v>
      </c>
      <c r="O3392" s="152" t="s">
        <v>3526</v>
      </c>
      <c r="P3392" s="152" t="s">
        <v>3489</v>
      </c>
      <c r="Q3392" s="152" t="s">
        <v>3527</v>
      </c>
      <c r="R3392" s="152" t="s">
        <v>4180</v>
      </c>
      <c r="S3392" s="152" t="s">
        <v>3529</v>
      </c>
      <c r="T3392" s="152" t="s">
        <v>786</v>
      </c>
    </row>
    <row r="3393" spans="3:20">
      <c r="C3393" s="152" t="s">
        <v>2821</v>
      </c>
      <c r="F3393" s="152" t="s">
        <v>354</v>
      </c>
      <c r="G3393" s="152" t="s">
        <v>355</v>
      </c>
      <c r="I3393" s="513">
        <v>30238.55</v>
      </c>
      <c r="J3393" s="513">
        <v>21.37</v>
      </c>
      <c r="K3393" s="513">
        <v>1415</v>
      </c>
      <c r="L3393" s="518" t="s">
        <v>3511</v>
      </c>
      <c r="M3393" s="152" t="s">
        <v>780</v>
      </c>
      <c r="N3393" s="152" t="s">
        <v>1407</v>
      </c>
      <c r="O3393" s="152" t="s">
        <v>3530</v>
      </c>
      <c r="P3393" s="152" t="s">
        <v>3489</v>
      </c>
      <c r="Q3393" s="152" t="s">
        <v>3531</v>
      </c>
      <c r="R3393" s="152" t="s">
        <v>4181</v>
      </c>
      <c r="S3393" s="152" t="s">
        <v>3533</v>
      </c>
      <c r="T3393" s="152" t="s">
        <v>786</v>
      </c>
    </row>
    <row r="3394" spans="3:20">
      <c r="C3394" s="152" t="s">
        <v>2821</v>
      </c>
      <c r="F3394" s="152" t="s">
        <v>354</v>
      </c>
      <c r="G3394" s="152" t="s">
        <v>355</v>
      </c>
      <c r="I3394" s="513">
        <v>-24762.5</v>
      </c>
      <c r="J3394" s="513">
        <v>-17.5</v>
      </c>
      <c r="K3394" s="513">
        <v>1415</v>
      </c>
      <c r="L3394" s="518" t="s">
        <v>3511</v>
      </c>
      <c r="M3394" s="152" t="s">
        <v>780</v>
      </c>
      <c r="N3394" s="152" t="s">
        <v>1407</v>
      </c>
      <c r="O3394" s="152" t="s">
        <v>3526</v>
      </c>
      <c r="P3394" s="152" t="s">
        <v>3489</v>
      </c>
      <c r="Q3394" s="152" t="s">
        <v>3527</v>
      </c>
      <c r="R3394" s="152" t="s">
        <v>4182</v>
      </c>
      <c r="S3394" s="152" t="s">
        <v>3529</v>
      </c>
      <c r="T3394" s="152" t="s">
        <v>786</v>
      </c>
    </row>
    <row r="3395" spans="3:20">
      <c r="C3395" s="152" t="s">
        <v>2821</v>
      </c>
      <c r="F3395" s="152" t="s">
        <v>354</v>
      </c>
      <c r="G3395" s="152" t="s">
        <v>355</v>
      </c>
      <c r="I3395" s="513">
        <v>-100040.5</v>
      </c>
      <c r="J3395" s="513">
        <v>-70.7</v>
      </c>
      <c r="K3395" s="513">
        <v>1415</v>
      </c>
      <c r="L3395" s="518" t="s">
        <v>3511</v>
      </c>
      <c r="M3395" s="152" t="s">
        <v>780</v>
      </c>
      <c r="N3395" s="152" t="s">
        <v>1407</v>
      </c>
      <c r="O3395" s="152" t="s">
        <v>3526</v>
      </c>
      <c r="P3395" s="152" t="s">
        <v>3489</v>
      </c>
      <c r="Q3395" s="152" t="s">
        <v>3527</v>
      </c>
      <c r="R3395" s="152" t="s">
        <v>4182</v>
      </c>
      <c r="S3395" s="152" t="s">
        <v>3529</v>
      </c>
      <c r="T3395" s="152" t="s">
        <v>786</v>
      </c>
    </row>
    <row r="3396" spans="3:20">
      <c r="C3396" s="152" t="s">
        <v>2821</v>
      </c>
      <c r="F3396" s="152" t="s">
        <v>354</v>
      </c>
      <c r="G3396" s="152" t="s">
        <v>355</v>
      </c>
      <c r="I3396" s="513">
        <v>103535.55</v>
      </c>
      <c r="J3396" s="513">
        <v>73.17</v>
      </c>
      <c r="K3396" s="513">
        <v>1415</v>
      </c>
      <c r="L3396" s="518" t="s">
        <v>3511</v>
      </c>
      <c r="M3396" s="152" t="s">
        <v>780</v>
      </c>
      <c r="N3396" s="152" t="s">
        <v>1407</v>
      </c>
      <c r="O3396" s="152" t="s">
        <v>3530</v>
      </c>
      <c r="P3396" s="152" t="s">
        <v>3489</v>
      </c>
      <c r="Q3396" s="152" t="s">
        <v>3531</v>
      </c>
      <c r="R3396" s="152" t="s">
        <v>4183</v>
      </c>
      <c r="S3396" s="152" t="s">
        <v>3533</v>
      </c>
      <c r="T3396" s="152" t="s">
        <v>786</v>
      </c>
    </row>
    <row r="3397" spans="3:20">
      <c r="C3397" s="152" t="s">
        <v>2821</v>
      </c>
      <c r="F3397" s="152" t="s">
        <v>354</v>
      </c>
      <c r="G3397" s="152" t="s">
        <v>355</v>
      </c>
      <c r="I3397" s="513">
        <v>25625.65</v>
      </c>
      <c r="J3397" s="513">
        <v>18.11</v>
      </c>
      <c r="K3397" s="513">
        <v>1415</v>
      </c>
      <c r="L3397" s="518" t="s">
        <v>3511</v>
      </c>
      <c r="M3397" s="152" t="s">
        <v>780</v>
      </c>
      <c r="N3397" s="152" t="s">
        <v>1407</v>
      </c>
      <c r="O3397" s="152" t="s">
        <v>3530</v>
      </c>
      <c r="P3397" s="152" t="s">
        <v>3489</v>
      </c>
      <c r="Q3397" s="152" t="s">
        <v>3531</v>
      </c>
      <c r="R3397" s="152" t="s">
        <v>4183</v>
      </c>
      <c r="S3397" s="152" t="s">
        <v>3533</v>
      </c>
      <c r="T3397" s="152" t="s">
        <v>786</v>
      </c>
    </row>
    <row r="3398" spans="3:20">
      <c r="C3398" s="152" t="s">
        <v>2821</v>
      </c>
      <c r="F3398" s="152" t="s">
        <v>354</v>
      </c>
      <c r="G3398" s="152" t="s">
        <v>355</v>
      </c>
      <c r="I3398" s="513">
        <v>-41233.1</v>
      </c>
      <c r="J3398" s="513">
        <v>-29.14</v>
      </c>
      <c r="K3398" s="513">
        <v>1415</v>
      </c>
      <c r="L3398" s="518" t="s">
        <v>3511</v>
      </c>
      <c r="M3398" s="152" t="s">
        <v>780</v>
      </c>
      <c r="N3398" s="152" t="s">
        <v>1407</v>
      </c>
      <c r="O3398" s="152" t="s">
        <v>3526</v>
      </c>
      <c r="P3398" s="152" t="s">
        <v>3489</v>
      </c>
      <c r="Q3398" s="152" t="s">
        <v>3527</v>
      </c>
      <c r="R3398" s="152" t="s">
        <v>4184</v>
      </c>
      <c r="S3398" s="152" t="s">
        <v>3529</v>
      </c>
      <c r="T3398" s="152" t="s">
        <v>786</v>
      </c>
    </row>
    <row r="3399" spans="3:20">
      <c r="C3399" s="152" t="s">
        <v>2821</v>
      </c>
      <c r="F3399" s="152" t="s">
        <v>354</v>
      </c>
      <c r="G3399" s="152" t="s">
        <v>355</v>
      </c>
      <c r="I3399" s="513">
        <v>-49525</v>
      </c>
      <c r="J3399" s="513">
        <v>-35</v>
      </c>
      <c r="K3399" s="513">
        <v>1415</v>
      </c>
      <c r="L3399" s="518" t="s">
        <v>3511</v>
      </c>
      <c r="M3399" s="152" t="s">
        <v>780</v>
      </c>
      <c r="N3399" s="152" t="s">
        <v>1407</v>
      </c>
      <c r="O3399" s="152" t="s">
        <v>3526</v>
      </c>
      <c r="P3399" s="152" t="s">
        <v>3489</v>
      </c>
      <c r="Q3399" s="152" t="s">
        <v>3527</v>
      </c>
      <c r="R3399" s="152" t="s">
        <v>4184</v>
      </c>
      <c r="S3399" s="152" t="s">
        <v>3529</v>
      </c>
      <c r="T3399" s="152" t="s">
        <v>786</v>
      </c>
    </row>
    <row r="3400" spans="3:20">
      <c r="C3400" s="152" t="s">
        <v>2821</v>
      </c>
      <c r="F3400" s="152" t="s">
        <v>354</v>
      </c>
      <c r="G3400" s="152" t="s">
        <v>355</v>
      </c>
      <c r="I3400" s="513">
        <v>51251.3</v>
      </c>
      <c r="J3400" s="513">
        <v>36.22</v>
      </c>
      <c r="K3400" s="513">
        <v>1415</v>
      </c>
      <c r="L3400" s="518" t="s">
        <v>3511</v>
      </c>
      <c r="M3400" s="152" t="s">
        <v>780</v>
      </c>
      <c r="N3400" s="152" t="s">
        <v>1407</v>
      </c>
      <c r="O3400" s="152" t="s">
        <v>3530</v>
      </c>
      <c r="P3400" s="152" t="s">
        <v>3489</v>
      </c>
      <c r="Q3400" s="152" t="s">
        <v>3531</v>
      </c>
      <c r="R3400" s="152" t="s">
        <v>4185</v>
      </c>
      <c r="S3400" s="152" t="s">
        <v>3533</v>
      </c>
      <c r="T3400" s="152" t="s">
        <v>786</v>
      </c>
    </row>
    <row r="3401" spans="3:20">
      <c r="C3401" s="152" t="s">
        <v>2821</v>
      </c>
      <c r="F3401" s="152" t="s">
        <v>354</v>
      </c>
      <c r="G3401" s="152" t="s">
        <v>355</v>
      </c>
      <c r="I3401" s="513">
        <v>42676.4</v>
      </c>
      <c r="J3401" s="513">
        <v>30.16</v>
      </c>
      <c r="K3401" s="513">
        <v>1415</v>
      </c>
      <c r="L3401" s="518" t="s">
        <v>3511</v>
      </c>
      <c r="M3401" s="152" t="s">
        <v>780</v>
      </c>
      <c r="N3401" s="152" t="s">
        <v>1407</v>
      </c>
      <c r="O3401" s="152" t="s">
        <v>3530</v>
      </c>
      <c r="P3401" s="152" t="s">
        <v>3489</v>
      </c>
      <c r="Q3401" s="152" t="s">
        <v>3531</v>
      </c>
      <c r="R3401" s="152" t="s">
        <v>4185</v>
      </c>
      <c r="S3401" s="152" t="s">
        <v>3533</v>
      </c>
      <c r="T3401" s="152" t="s">
        <v>786</v>
      </c>
    </row>
    <row r="3402" spans="3:20">
      <c r="C3402" s="152" t="s">
        <v>2821</v>
      </c>
      <c r="F3402" s="152" t="s">
        <v>354</v>
      </c>
      <c r="G3402" s="152" t="s">
        <v>355</v>
      </c>
      <c r="I3402" s="513">
        <v>-195878.45</v>
      </c>
      <c r="J3402" s="513">
        <v>-138.43</v>
      </c>
      <c r="K3402" s="513">
        <v>1415</v>
      </c>
      <c r="L3402" s="518" t="s">
        <v>3511</v>
      </c>
      <c r="M3402" s="152" t="s">
        <v>780</v>
      </c>
      <c r="N3402" s="152" t="s">
        <v>1407</v>
      </c>
      <c r="O3402" s="152" t="s">
        <v>3526</v>
      </c>
      <c r="P3402" s="152" t="s">
        <v>3489</v>
      </c>
      <c r="Q3402" s="152" t="s">
        <v>3527</v>
      </c>
      <c r="R3402" s="152" t="s">
        <v>4186</v>
      </c>
      <c r="S3402" s="152" t="s">
        <v>3529</v>
      </c>
      <c r="T3402" s="152" t="s">
        <v>786</v>
      </c>
    </row>
    <row r="3403" spans="3:20">
      <c r="C3403" s="152" t="s">
        <v>2821</v>
      </c>
      <c r="F3403" s="152" t="s">
        <v>354</v>
      </c>
      <c r="G3403" s="152" t="s">
        <v>355</v>
      </c>
      <c r="I3403" s="513">
        <v>202727.05</v>
      </c>
      <c r="J3403" s="513">
        <v>143.27000000000001</v>
      </c>
      <c r="K3403" s="513">
        <v>1415</v>
      </c>
      <c r="L3403" s="518" t="s">
        <v>3511</v>
      </c>
      <c r="M3403" s="152" t="s">
        <v>780</v>
      </c>
      <c r="N3403" s="152" t="s">
        <v>1407</v>
      </c>
      <c r="O3403" s="152" t="s">
        <v>3530</v>
      </c>
      <c r="P3403" s="152" t="s">
        <v>3489</v>
      </c>
      <c r="Q3403" s="152" t="s">
        <v>3531</v>
      </c>
      <c r="R3403" s="152" t="s">
        <v>4187</v>
      </c>
      <c r="S3403" s="152" t="s">
        <v>3533</v>
      </c>
      <c r="T3403" s="152" t="s">
        <v>786</v>
      </c>
    </row>
    <row r="3404" spans="3:20">
      <c r="C3404" s="152" t="s">
        <v>2821</v>
      </c>
      <c r="F3404" s="152" t="s">
        <v>354</v>
      </c>
      <c r="G3404" s="152" t="s">
        <v>355</v>
      </c>
      <c r="I3404" s="513">
        <v>-93234.35</v>
      </c>
      <c r="J3404" s="513">
        <v>-65.89</v>
      </c>
      <c r="K3404" s="513">
        <v>1415</v>
      </c>
      <c r="L3404" s="518" t="s">
        <v>3511</v>
      </c>
      <c r="M3404" s="152" t="s">
        <v>780</v>
      </c>
      <c r="N3404" s="152" t="s">
        <v>1407</v>
      </c>
      <c r="O3404" s="152" t="s">
        <v>3526</v>
      </c>
      <c r="P3404" s="152" t="s">
        <v>3489</v>
      </c>
      <c r="Q3404" s="152" t="s">
        <v>3527</v>
      </c>
      <c r="R3404" s="152" t="s">
        <v>4188</v>
      </c>
      <c r="S3404" s="152" t="s">
        <v>3529</v>
      </c>
      <c r="T3404" s="152" t="s">
        <v>786</v>
      </c>
    </row>
    <row r="3405" spans="3:20">
      <c r="C3405" s="152" t="s">
        <v>2821</v>
      </c>
      <c r="F3405" s="152" t="s">
        <v>354</v>
      </c>
      <c r="G3405" s="152" t="s">
        <v>355</v>
      </c>
      <c r="I3405" s="513">
        <v>96488.85</v>
      </c>
      <c r="J3405" s="513">
        <v>68.19</v>
      </c>
      <c r="K3405" s="513">
        <v>1415</v>
      </c>
      <c r="L3405" s="518" t="s">
        <v>3511</v>
      </c>
      <c r="M3405" s="152" t="s">
        <v>780</v>
      </c>
      <c r="N3405" s="152" t="s">
        <v>1407</v>
      </c>
      <c r="O3405" s="152" t="s">
        <v>3530</v>
      </c>
      <c r="P3405" s="152" t="s">
        <v>3489</v>
      </c>
      <c r="Q3405" s="152" t="s">
        <v>3531</v>
      </c>
      <c r="R3405" s="152" t="s">
        <v>4189</v>
      </c>
      <c r="S3405" s="152" t="s">
        <v>3533</v>
      </c>
      <c r="T3405" s="152" t="s">
        <v>786</v>
      </c>
    </row>
    <row r="3406" spans="3:20">
      <c r="C3406" s="152" t="s">
        <v>2821</v>
      </c>
      <c r="F3406" s="152" t="s">
        <v>354</v>
      </c>
      <c r="G3406" s="152" t="s">
        <v>355</v>
      </c>
      <c r="I3406" s="513">
        <v>-85183</v>
      </c>
      <c r="J3406" s="513">
        <v>-60.2</v>
      </c>
      <c r="K3406" s="513">
        <v>1415</v>
      </c>
      <c r="L3406" s="518" t="s">
        <v>3511</v>
      </c>
      <c r="M3406" s="152" t="s">
        <v>780</v>
      </c>
      <c r="N3406" s="152" t="s">
        <v>1407</v>
      </c>
      <c r="O3406" s="152" t="s">
        <v>3526</v>
      </c>
      <c r="P3406" s="152" t="s">
        <v>3489</v>
      </c>
      <c r="Q3406" s="152" t="s">
        <v>3527</v>
      </c>
      <c r="R3406" s="152" t="s">
        <v>4190</v>
      </c>
      <c r="S3406" s="152" t="s">
        <v>3529</v>
      </c>
      <c r="T3406" s="152" t="s">
        <v>786</v>
      </c>
    </row>
    <row r="3407" spans="3:20">
      <c r="C3407" s="152" t="s">
        <v>2821</v>
      </c>
      <c r="F3407" s="152" t="s">
        <v>354</v>
      </c>
      <c r="G3407" s="152" t="s">
        <v>355</v>
      </c>
      <c r="I3407" s="513">
        <v>88168.65</v>
      </c>
      <c r="J3407" s="513">
        <v>62.31</v>
      </c>
      <c r="K3407" s="513">
        <v>1415</v>
      </c>
      <c r="L3407" s="518" t="s">
        <v>3511</v>
      </c>
      <c r="M3407" s="152" t="s">
        <v>780</v>
      </c>
      <c r="N3407" s="152" t="s">
        <v>1407</v>
      </c>
      <c r="O3407" s="152" t="s">
        <v>3530</v>
      </c>
      <c r="P3407" s="152" t="s">
        <v>3489</v>
      </c>
      <c r="Q3407" s="152" t="s">
        <v>3531</v>
      </c>
      <c r="R3407" s="152" t="s">
        <v>4191</v>
      </c>
      <c r="S3407" s="152" t="s">
        <v>3533</v>
      </c>
      <c r="T3407" s="152" t="s">
        <v>786</v>
      </c>
    </row>
    <row r="3408" spans="3:20">
      <c r="C3408" s="152" t="s">
        <v>2821</v>
      </c>
      <c r="F3408" s="152" t="s">
        <v>354</v>
      </c>
      <c r="G3408" s="152" t="s">
        <v>355</v>
      </c>
      <c r="I3408" s="513">
        <v>1205084.75</v>
      </c>
      <c r="J3408" s="513">
        <v>851.65</v>
      </c>
      <c r="K3408" s="513">
        <v>1415</v>
      </c>
      <c r="L3408" s="518" t="s">
        <v>3511</v>
      </c>
      <c r="M3408" s="152" t="s">
        <v>780</v>
      </c>
      <c r="N3408" s="152" t="s">
        <v>1407</v>
      </c>
      <c r="O3408" s="152" t="s">
        <v>3530</v>
      </c>
      <c r="P3408" s="152" t="s">
        <v>3489</v>
      </c>
      <c r="Q3408" s="152" t="s">
        <v>3531</v>
      </c>
      <c r="R3408" s="152" t="s">
        <v>4233</v>
      </c>
      <c r="S3408" s="152" t="s">
        <v>3533</v>
      </c>
      <c r="T3408" s="152" t="s">
        <v>786</v>
      </c>
    </row>
    <row r="3409" spans="3:20">
      <c r="C3409" s="152" t="s">
        <v>2821</v>
      </c>
      <c r="F3409" s="152" t="s">
        <v>354</v>
      </c>
      <c r="G3409" s="152" t="s">
        <v>355</v>
      </c>
      <c r="I3409" s="513">
        <v>561722</v>
      </c>
      <c r="J3409" s="513">
        <v>401.23</v>
      </c>
      <c r="K3409" s="513">
        <v>1400</v>
      </c>
      <c r="L3409" s="518" t="s">
        <v>3659</v>
      </c>
      <c r="M3409" s="152" t="s">
        <v>780</v>
      </c>
      <c r="N3409" s="152" t="s">
        <v>1407</v>
      </c>
      <c r="O3409" s="152" t="s">
        <v>4235</v>
      </c>
      <c r="P3409" s="152" t="s">
        <v>3489</v>
      </c>
      <c r="Q3409" s="152" t="s">
        <v>4236</v>
      </c>
      <c r="R3409" s="152" t="s">
        <v>4237</v>
      </c>
      <c r="S3409" s="152" t="s">
        <v>4238</v>
      </c>
      <c r="T3409" s="152" t="s">
        <v>786</v>
      </c>
    </row>
    <row r="3410" spans="3:20">
      <c r="C3410" s="152" t="s">
        <v>2821</v>
      </c>
      <c r="F3410" s="152" t="s">
        <v>354</v>
      </c>
      <c r="G3410" s="152" t="s">
        <v>355</v>
      </c>
      <c r="I3410" s="513">
        <v>-80810.649999999994</v>
      </c>
      <c r="J3410" s="513">
        <v>-57.11</v>
      </c>
      <c r="K3410" s="513">
        <v>1415</v>
      </c>
      <c r="L3410" s="518" t="s">
        <v>3511</v>
      </c>
      <c r="M3410" s="152" t="s">
        <v>1566</v>
      </c>
      <c r="N3410" s="152" t="s">
        <v>1407</v>
      </c>
      <c r="O3410" s="152" t="s">
        <v>5327</v>
      </c>
      <c r="P3410" s="152" t="s">
        <v>4279</v>
      </c>
      <c r="Q3410" s="152" t="s">
        <v>5328</v>
      </c>
      <c r="R3410" s="152" t="s">
        <v>5328</v>
      </c>
      <c r="S3410" s="152" t="s">
        <v>5329</v>
      </c>
      <c r="T3410" s="152" t="s">
        <v>786</v>
      </c>
    </row>
    <row r="3411" spans="3:20">
      <c r="C3411" s="152" t="s">
        <v>2821</v>
      </c>
      <c r="F3411" s="152" t="s">
        <v>354</v>
      </c>
      <c r="G3411" s="152" t="s">
        <v>355</v>
      </c>
      <c r="I3411" s="513">
        <v>-48718.45</v>
      </c>
      <c r="J3411" s="513">
        <v>-34.43</v>
      </c>
      <c r="K3411" s="513">
        <v>1415</v>
      </c>
      <c r="L3411" s="518" t="s">
        <v>3511</v>
      </c>
      <c r="M3411" s="152" t="s">
        <v>1566</v>
      </c>
      <c r="N3411" s="152" t="s">
        <v>1407</v>
      </c>
      <c r="O3411" s="152" t="s">
        <v>5330</v>
      </c>
      <c r="P3411" s="152" t="s">
        <v>4279</v>
      </c>
      <c r="Q3411" s="152" t="s">
        <v>5331</v>
      </c>
      <c r="R3411" s="152" t="s">
        <v>5331</v>
      </c>
      <c r="S3411" s="152" t="s">
        <v>5332</v>
      </c>
      <c r="T3411" s="152" t="s">
        <v>786</v>
      </c>
    </row>
    <row r="3412" spans="3:20">
      <c r="C3412" s="152" t="s">
        <v>2821</v>
      </c>
      <c r="F3412" s="152" t="s">
        <v>354</v>
      </c>
      <c r="G3412" s="152" t="s">
        <v>355</v>
      </c>
      <c r="I3412" s="513">
        <v>-154150.1</v>
      </c>
      <c r="J3412" s="513">
        <v>-108.94</v>
      </c>
      <c r="K3412" s="513">
        <v>1415</v>
      </c>
      <c r="L3412" s="518" t="s">
        <v>3511</v>
      </c>
      <c r="M3412" s="152" t="s">
        <v>1566</v>
      </c>
      <c r="N3412" s="152" t="s">
        <v>1407</v>
      </c>
      <c r="O3412" s="152" t="s">
        <v>5333</v>
      </c>
      <c r="P3412" s="152" t="s">
        <v>4279</v>
      </c>
      <c r="Q3412" s="152" t="s">
        <v>5334</v>
      </c>
      <c r="R3412" s="152" t="s">
        <v>5334</v>
      </c>
      <c r="S3412" s="152" t="s">
        <v>5335</v>
      </c>
      <c r="T3412" s="152" t="s">
        <v>786</v>
      </c>
    </row>
    <row r="3413" spans="3:20">
      <c r="C3413" s="152" t="s">
        <v>2821</v>
      </c>
      <c r="F3413" s="152" t="s">
        <v>354</v>
      </c>
      <c r="G3413" s="152" t="s">
        <v>355</v>
      </c>
      <c r="I3413" s="513">
        <v>-169361.35</v>
      </c>
      <c r="J3413" s="513">
        <v>-119.69</v>
      </c>
      <c r="K3413" s="513">
        <v>1415</v>
      </c>
      <c r="L3413" s="518" t="s">
        <v>3511</v>
      </c>
      <c r="M3413" s="152" t="s">
        <v>1566</v>
      </c>
      <c r="N3413" s="152" t="s">
        <v>1407</v>
      </c>
      <c r="O3413" s="152" t="s">
        <v>5336</v>
      </c>
      <c r="P3413" s="152" t="s">
        <v>4279</v>
      </c>
      <c r="Q3413" s="152" t="s">
        <v>5337</v>
      </c>
      <c r="R3413" s="152" t="s">
        <v>5337</v>
      </c>
      <c r="S3413" s="152" t="s">
        <v>5338</v>
      </c>
      <c r="T3413" s="152" t="s">
        <v>786</v>
      </c>
    </row>
    <row r="3414" spans="3:20">
      <c r="C3414" s="152" t="s">
        <v>2821</v>
      </c>
      <c r="F3414" s="152" t="s">
        <v>354</v>
      </c>
      <c r="G3414" s="152" t="s">
        <v>355</v>
      </c>
      <c r="I3414" s="513">
        <v>-51237.15</v>
      </c>
      <c r="J3414" s="513">
        <v>-36.21</v>
      </c>
      <c r="K3414" s="513">
        <v>1415</v>
      </c>
      <c r="L3414" s="518" t="s">
        <v>3511</v>
      </c>
      <c r="M3414" s="152" t="s">
        <v>1566</v>
      </c>
      <c r="N3414" s="152" t="s">
        <v>1407</v>
      </c>
      <c r="O3414" s="152" t="s">
        <v>5339</v>
      </c>
      <c r="P3414" s="152" t="s">
        <v>4279</v>
      </c>
      <c r="Q3414" s="152" t="s">
        <v>5340</v>
      </c>
      <c r="R3414" s="152" t="s">
        <v>5340</v>
      </c>
      <c r="S3414" s="152" t="s">
        <v>5341</v>
      </c>
      <c r="T3414" s="152" t="s">
        <v>786</v>
      </c>
    </row>
    <row r="3415" spans="3:20">
      <c r="C3415" s="152" t="s">
        <v>2821</v>
      </c>
      <c r="F3415" s="152" t="s">
        <v>354</v>
      </c>
      <c r="G3415" s="152" t="s">
        <v>355</v>
      </c>
      <c r="I3415" s="513">
        <v>-21295.75</v>
      </c>
      <c r="J3415" s="513">
        <v>-15.05</v>
      </c>
      <c r="K3415" s="513">
        <v>1415</v>
      </c>
      <c r="L3415" s="518" t="s">
        <v>3511</v>
      </c>
      <c r="M3415" s="152" t="s">
        <v>1566</v>
      </c>
      <c r="N3415" s="152" t="s">
        <v>1407</v>
      </c>
      <c r="O3415" s="152" t="s">
        <v>5342</v>
      </c>
      <c r="P3415" s="152" t="s">
        <v>4279</v>
      </c>
      <c r="Q3415" s="152" t="s">
        <v>5343</v>
      </c>
      <c r="R3415" s="152" t="s">
        <v>5343</v>
      </c>
      <c r="S3415" s="152" t="s">
        <v>5344</v>
      </c>
      <c r="T3415" s="152" t="s">
        <v>786</v>
      </c>
    </row>
    <row r="3416" spans="3:20">
      <c r="C3416" s="152" t="s">
        <v>2821</v>
      </c>
      <c r="F3416" s="152" t="s">
        <v>354</v>
      </c>
      <c r="G3416" s="152" t="s">
        <v>355</v>
      </c>
      <c r="I3416" s="513">
        <v>-37554.1</v>
      </c>
      <c r="J3416" s="513">
        <v>-26.54</v>
      </c>
      <c r="K3416" s="513">
        <v>1415</v>
      </c>
      <c r="L3416" s="518" t="s">
        <v>3511</v>
      </c>
      <c r="M3416" s="152" t="s">
        <v>1566</v>
      </c>
      <c r="N3416" s="152" t="s">
        <v>1407</v>
      </c>
      <c r="O3416" s="152" t="s">
        <v>5345</v>
      </c>
      <c r="P3416" s="152" t="s">
        <v>4279</v>
      </c>
      <c r="Q3416" s="152" t="s">
        <v>5346</v>
      </c>
      <c r="R3416" s="152" t="s">
        <v>5346</v>
      </c>
      <c r="S3416" s="152" t="s">
        <v>5347</v>
      </c>
      <c r="T3416" s="152" t="s">
        <v>786</v>
      </c>
    </row>
    <row r="3417" spans="3:20">
      <c r="C3417" s="152" t="s">
        <v>2821</v>
      </c>
      <c r="F3417" s="152" t="s">
        <v>354</v>
      </c>
      <c r="G3417" s="152" t="s">
        <v>355</v>
      </c>
      <c r="I3417" s="513">
        <v>-71514.100000000006</v>
      </c>
      <c r="J3417" s="513">
        <v>-50.54</v>
      </c>
      <c r="K3417" s="513">
        <v>1415</v>
      </c>
      <c r="L3417" s="518" t="s">
        <v>3511</v>
      </c>
      <c r="M3417" s="152" t="s">
        <v>1566</v>
      </c>
      <c r="N3417" s="152" t="s">
        <v>1407</v>
      </c>
      <c r="O3417" s="152" t="s">
        <v>5348</v>
      </c>
      <c r="P3417" s="152" t="s">
        <v>4279</v>
      </c>
      <c r="Q3417" s="152" t="s">
        <v>5349</v>
      </c>
      <c r="R3417" s="152" t="s">
        <v>5349</v>
      </c>
      <c r="S3417" s="152" t="s">
        <v>5350</v>
      </c>
      <c r="T3417" s="152" t="s">
        <v>786</v>
      </c>
    </row>
    <row r="3418" spans="3:20">
      <c r="C3418" s="152" t="s">
        <v>2821</v>
      </c>
      <c r="F3418" s="152" t="s">
        <v>354</v>
      </c>
      <c r="G3418" s="152" t="s">
        <v>355</v>
      </c>
      <c r="I3418" s="513">
        <v>-49793.85</v>
      </c>
      <c r="J3418" s="513">
        <v>-35.19</v>
      </c>
      <c r="K3418" s="513">
        <v>1415</v>
      </c>
      <c r="L3418" s="518" t="s">
        <v>3511</v>
      </c>
      <c r="M3418" s="152" t="s">
        <v>1566</v>
      </c>
      <c r="N3418" s="152" t="s">
        <v>1407</v>
      </c>
      <c r="O3418" s="152" t="s">
        <v>5351</v>
      </c>
      <c r="P3418" s="152" t="s">
        <v>4279</v>
      </c>
      <c r="Q3418" s="152" t="s">
        <v>5352</v>
      </c>
      <c r="R3418" s="152" t="s">
        <v>5352</v>
      </c>
      <c r="S3418" s="152" t="s">
        <v>5353</v>
      </c>
      <c r="T3418" s="152" t="s">
        <v>786</v>
      </c>
    </row>
    <row r="3419" spans="3:20">
      <c r="C3419" s="152" t="s">
        <v>2821</v>
      </c>
      <c r="F3419" s="152" t="s">
        <v>354</v>
      </c>
      <c r="G3419" s="152" t="s">
        <v>355</v>
      </c>
      <c r="I3419" s="513">
        <v>-13598.15</v>
      </c>
      <c r="J3419" s="513">
        <v>-9.61</v>
      </c>
      <c r="K3419" s="513">
        <v>1415</v>
      </c>
      <c r="L3419" s="518" t="s">
        <v>3511</v>
      </c>
      <c r="M3419" s="152" t="s">
        <v>1566</v>
      </c>
      <c r="N3419" s="152" t="s">
        <v>1407</v>
      </c>
      <c r="O3419" s="152" t="s">
        <v>5354</v>
      </c>
      <c r="P3419" s="152" t="s">
        <v>4279</v>
      </c>
      <c r="Q3419" s="152" t="s">
        <v>5355</v>
      </c>
      <c r="R3419" s="152" t="s">
        <v>5355</v>
      </c>
      <c r="S3419" s="152" t="s">
        <v>5356</v>
      </c>
      <c r="T3419" s="152" t="s">
        <v>786</v>
      </c>
    </row>
    <row r="3420" spans="3:20">
      <c r="C3420" s="152" t="s">
        <v>2821</v>
      </c>
      <c r="F3420" s="152" t="s">
        <v>354</v>
      </c>
      <c r="G3420" s="152" t="s">
        <v>355</v>
      </c>
      <c r="I3420" s="513">
        <v>-7343.85</v>
      </c>
      <c r="J3420" s="513">
        <v>-5.19</v>
      </c>
      <c r="K3420" s="513">
        <v>1415</v>
      </c>
      <c r="L3420" s="518" t="s">
        <v>3511</v>
      </c>
      <c r="M3420" s="152" t="s">
        <v>1566</v>
      </c>
      <c r="N3420" s="152" t="s">
        <v>1407</v>
      </c>
      <c r="O3420" s="152" t="s">
        <v>5357</v>
      </c>
      <c r="P3420" s="152" t="s">
        <v>4279</v>
      </c>
      <c r="Q3420" s="152" t="s">
        <v>5358</v>
      </c>
      <c r="R3420" s="152" t="s">
        <v>5358</v>
      </c>
      <c r="S3420" s="152" t="s">
        <v>5359</v>
      </c>
      <c r="T3420" s="152" t="s">
        <v>786</v>
      </c>
    </row>
    <row r="3421" spans="3:20">
      <c r="C3421" s="152" t="s">
        <v>2821</v>
      </c>
      <c r="F3421" s="152" t="s">
        <v>354</v>
      </c>
      <c r="G3421" s="152" t="s">
        <v>355</v>
      </c>
      <c r="I3421" s="513">
        <v>-52779.5</v>
      </c>
      <c r="J3421" s="513">
        <v>-37.299999999999997</v>
      </c>
      <c r="K3421" s="513">
        <v>1415</v>
      </c>
      <c r="L3421" s="518" t="s">
        <v>3511</v>
      </c>
      <c r="M3421" s="152" t="s">
        <v>1566</v>
      </c>
      <c r="N3421" s="152" t="s">
        <v>1407</v>
      </c>
      <c r="O3421" s="152" t="s">
        <v>5360</v>
      </c>
      <c r="P3421" s="152" t="s">
        <v>4279</v>
      </c>
      <c r="Q3421" s="152" t="s">
        <v>5361</v>
      </c>
      <c r="R3421" s="152" t="s">
        <v>5361</v>
      </c>
      <c r="S3421" s="152" t="s">
        <v>5362</v>
      </c>
      <c r="T3421" s="152" t="s">
        <v>786</v>
      </c>
    </row>
    <row r="3422" spans="3:20">
      <c r="C3422" s="152" t="s">
        <v>2821</v>
      </c>
      <c r="F3422" s="152" t="s">
        <v>354</v>
      </c>
      <c r="G3422" s="152" t="s">
        <v>355</v>
      </c>
      <c r="I3422" s="513">
        <v>-114558.39999999999</v>
      </c>
      <c r="J3422" s="513">
        <v>-80.959999999999994</v>
      </c>
      <c r="K3422" s="513">
        <v>1415</v>
      </c>
      <c r="L3422" s="518" t="s">
        <v>3511</v>
      </c>
      <c r="M3422" s="152" t="s">
        <v>1566</v>
      </c>
      <c r="N3422" s="152" t="s">
        <v>1407</v>
      </c>
      <c r="O3422" s="152" t="s">
        <v>5363</v>
      </c>
      <c r="P3422" s="152" t="s">
        <v>4279</v>
      </c>
      <c r="Q3422" s="152" t="s">
        <v>5364</v>
      </c>
      <c r="R3422" s="152" t="s">
        <v>5364</v>
      </c>
      <c r="S3422" s="152" t="s">
        <v>5365</v>
      </c>
      <c r="T3422" s="152" t="s">
        <v>786</v>
      </c>
    </row>
    <row r="3423" spans="3:20">
      <c r="C3423" s="152" t="s">
        <v>2821</v>
      </c>
      <c r="F3423" s="152" t="s">
        <v>354</v>
      </c>
      <c r="G3423" s="152" t="s">
        <v>355</v>
      </c>
      <c r="I3423" s="513">
        <v>-25087.95</v>
      </c>
      <c r="J3423" s="513">
        <v>-17.73</v>
      </c>
      <c r="K3423" s="513">
        <v>1415</v>
      </c>
      <c r="L3423" s="518" t="s">
        <v>3511</v>
      </c>
      <c r="M3423" s="152" t="s">
        <v>1566</v>
      </c>
      <c r="N3423" s="152" t="s">
        <v>1407</v>
      </c>
      <c r="O3423" s="152" t="s">
        <v>5366</v>
      </c>
      <c r="P3423" s="152" t="s">
        <v>4279</v>
      </c>
      <c r="Q3423" s="152" t="s">
        <v>5367</v>
      </c>
      <c r="R3423" s="152" t="s">
        <v>5367</v>
      </c>
      <c r="S3423" s="152" t="s">
        <v>5368</v>
      </c>
      <c r="T3423" s="152" t="s">
        <v>786</v>
      </c>
    </row>
    <row r="3424" spans="3:20">
      <c r="C3424" s="152" t="s">
        <v>2821</v>
      </c>
      <c r="F3424" s="152" t="s">
        <v>354</v>
      </c>
      <c r="G3424" s="152" t="s">
        <v>355</v>
      </c>
      <c r="I3424" s="513">
        <v>-399779.95</v>
      </c>
      <c r="J3424" s="513">
        <v>-282.52999999999997</v>
      </c>
      <c r="K3424" s="513">
        <v>1415</v>
      </c>
      <c r="L3424" s="518" t="s">
        <v>3511</v>
      </c>
      <c r="M3424" s="152" t="s">
        <v>1566</v>
      </c>
      <c r="N3424" s="152" t="s">
        <v>1407</v>
      </c>
      <c r="O3424" s="152" t="s">
        <v>5369</v>
      </c>
      <c r="P3424" s="152" t="s">
        <v>4279</v>
      </c>
      <c r="Q3424" s="152" t="s">
        <v>5370</v>
      </c>
      <c r="R3424" s="152" t="s">
        <v>5370</v>
      </c>
      <c r="S3424" s="152" t="s">
        <v>5371</v>
      </c>
      <c r="T3424" s="152" t="s">
        <v>786</v>
      </c>
    </row>
    <row r="3425" spans="1:20">
      <c r="C3425" s="152" t="s">
        <v>2821</v>
      </c>
      <c r="F3425" s="152" t="s">
        <v>354</v>
      </c>
      <c r="G3425" s="152" t="s">
        <v>355</v>
      </c>
      <c r="I3425" s="513">
        <v>-24790.799999999999</v>
      </c>
      <c r="J3425" s="513">
        <v>-17.52</v>
      </c>
      <c r="K3425" s="513">
        <v>1415</v>
      </c>
      <c r="L3425" s="518" t="s">
        <v>3511</v>
      </c>
      <c r="M3425" s="152" t="s">
        <v>1566</v>
      </c>
      <c r="N3425" s="152" t="s">
        <v>1407</v>
      </c>
      <c r="O3425" s="152" t="s">
        <v>5372</v>
      </c>
      <c r="P3425" s="152" t="s">
        <v>4279</v>
      </c>
      <c r="Q3425" s="152" t="s">
        <v>5373</v>
      </c>
      <c r="R3425" s="152" t="s">
        <v>5373</v>
      </c>
      <c r="S3425" s="152" t="s">
        <v>5374</v>
      </c>
      <c r="T3425" s="152" t="s">
        <v>786</v>
      </c>
    </row>
    <row r="3426" spans="1:20">
      <c r="C3426" s="152" t="s">
        <v>2821</v>
      </c>
      <c r="F3426" s="152" t="s">
        <v>354</v>
      </c>
      <c r="G3426" s="152" t="s">
        <v>355</v>
      </c>
      <c r="I3426" s="513">
        <v>-40440.699999999997</v>
      </c>
      <c r="J3426" s="513">
        <v>-28.58</v>
      </c>
      <c r="K3426" s="513">
        <v>1415</v>
      </c>
      <c r="L3426" s="518" t="s">
        <v>3511</v>
      </c>
      <c r="M3426" s="152" t="s">
        <v>1566</v>
      </c>
      <c r="N3426" s="152" t="s">
        <v>1407</v>
      </c>
      <c r="O3426" s="152" t="s">
        <v>5375</v>
      </c>
      <c r="P3426" s="152" t="s">
        <v>4279</v>
      </c>
      <c r="Q3426" s="152" t="s">
        <v>5376</v>
      </c>
      <c r="R3426" s="152" t="s">
        <v>5376</v>
      </c>
      <c r="S3426" s="152" t="s">
        <v>5377</v>
      </c>
      <c r="T3426" s="152" t="s">
        <v>786</v>
      </c>
    </row>
    <row r="3427" spans="1:20">
      <c r="C3427" s="152" t="s">
        <v>2821</v>
      </c>
      <c r="F3427" s="152" t="s">
        <v>354</v>
      </c>
      <c r="G3427" s="152" t="s">
        <v>355</v>
      </c>
      <c r="I3427" s="513">
        <v>-44133.85</v>
      </c>
      <c r="J3427" s="513">
        <v>-31.19</v>
      </c>
      <c r="K3427" s="513">
        <v>1415</v>
      </c>
      <c r="L3427" s="518" t="s">
        <v>3511</v>
      </c>
      <c r="M3427" s="152" t="s">
        <v>1566</v>
      </c>
      <c r="N3427" s="152" t="s">
        <v>1407</v>
      </c>
      <c r="O3427" s="152" t="s">
        <v>5378</v>
      </c>
      <c r="P3427" s="152" t="s">
        <v>4279</v>
      </c>
      <c r="Q3427" s="152" t="s">
        <v>5379</v>
      </c>
      <c r="R3427" s="152" t="s">
        <v>5379</v>
      </c>
      <c r="S3427" s="152" t="s">
        <v>5380</v>
      </c>
      <c r="T3427" s="152" t="s">
        <v>786</v>
      </c>
    </row>
    <row r="3428" spans="1:20">
      <c r="C3428" s="152" t="s">
        <v>2821</v>
      </c>
      <c r="F3428" s="152" t="s">
        <v>354</v>
      </c>
      <c r="G3428" s="152" t="s">
        <v>355</v>
      </c>
      <c r="I3428" s="513">
        <v>-38403.1</v>
      </c>
      <c r="J3428" s="513">
        <v>-27.14</v>
      </c>
      <c r="K3428" s="513">
        <v>1415</v>
      </c>
      <c r="L3428" s="518" t="s">
        <v>3511</v>
      </c>
      <c r="M3428" s="152" t="s">
        <v>1566</v>
      </c>
      <c r="N3428" s="152" t="s">
        <v>1407</v>
      </c>
      <c r="O3428" s="152" t="s">
        <v>5381</v>
      </c>
      <c r="P3428" s="152" t="s">
        <v>4279</v>
      </c>
      <c r="Q3428" s="152" t="s">
        <v>5382</v>
      </c>
      <c r="R3428" s="152" t="s">
        <v>5382</v>
      </c>
      <c r="S3428" s="152" t="s">
        <v>5383</v>
      </c>
      <c r="T3428" s="152" t="s">
        <v>786</v>
      </c>
    </row>
    <row r="3429" spans="1:20">
      <c r="C3429" s="152" t="s">
        <v>2821</v>
      </c>
      <c r="F3429" s="152" t="s">
        <v>354</v>
      </c>
      <c r="G3429" s="152" t="s">
        <v>355</v>
      </c>
      <c r="I3429" s="513">
        <v>-23531.45</v>
      </c>
      <c r="J3429" s="513">
        <v>-16.63</v>
      </c>
      <c r="K3429" s="513">
        <v>1415</v>
      </c>
      <c r="L3429" s="518" t="s">
        <v>3511</v>
      </c>
      <c r="M3429" s="152" t="s">
        <v>1566</v>
      </c>
      <c r="N3429" s="152" t="s">
        <v>1407</v>
      </c>
      <c r="O3429" s="152" t="s">
        <v>5384</v>
      </c>
      <c r="P3429" s="152" t="s">
        <v>4279</v>
      </c>
      <c r="Q3429" s="152" t="s">
        <v>5385</v>
      </c>
      <c r="R3429" s="152" t="s">
        <v>5385</v>
      </c>
      <c r="S3429" s="152" t="s">
        <v>5386</v>
      </c>
      <c r="T3429" s="152" t="s">
        <v>786</v>
      </c>
    </row>
    <row r="3430" spans="1:20">
      <c r="C3430" s="152" t="s">
        <v>2821</v>
      </c>
      <c r="F3430" s="152" t="s">
        <v>354</v>
      </c>
      <c r="G3430" s="152" t="s">
        <v>355</v>
      </c>
      <c r="I3430" s="513">
        <v>-25724.7</v>
      </c>
      <c r="J3430" s="513">
        <v>-18.18</v>
      </c>
      <c r="K3430" s="513">
        <v>1415</v>
      </c>
      <c r="L3430" s="518" t="s">
        <v>3511</v>
      </c>
      <c r="M3430" s="152" t="s">
        <v>1566</v>
      </c>
      <c r="N3430" s="152" t="s">
        <v>1407</v>
      </c>
      <c r="O3430" s="152" t="s">
        <v>5387</v>
      </c>
      <c r="P3430" s="152" t="s">
        <v>4279</v>
      </c>
      <c r="Q3430" s="152" t="s">
        <v>5388</v>
      </c>
      <c r="R3430" s="152" t="s">
        <v>5388</v>
      </c>
      <c r="S3430" s="152" t="s">
        <v>5389</v>
      </c>
      <c r="T3430" s="152" t="s">
        <v>786</v>
      </c>
    </row>
    <row r="3431" spans="1:20">
      <c r="C3431" s="152" t="s">
        <v>2821</v>
      </c>
      <c r="F3431" s="152" t="s">
        <v>354</v>
      </c>
      <c r="G3431" s="152" t="s">
        <v>355</v>
      </c>
      <c r="I3431" s="513">
        <v>-5900.55</v>
      </c>
      <c r="J3431" s="513">
        <v>-4.17</v>
      </c>
      <c r="K3431" s="513">
        <v>1415</v>
      </c>
      <c r="L3431" s="518" t="s">
        <v>3511</v>
      </c>
      <c r="M3431" s="152" t="s">
        <v>1566</v>
      </c>
      <c r="N3431" s="152" t="s">
        <v>1407</v>
      </c>
      <c r="O3431" s="152" t="s">
        <v>5390</v>
      </c>
      <c r="P3431" s="152" t="s">
        <v>4279</v>
      </c>
      <c r="Q3431" s="152" t="s">
        <v>5391</v>
      </c>
      <c r="R3431" s="152" t="s">
        <v>5391</v>
      </c>
      <c r="S3431" s="152" t="s">
        <v>5392</v>
      </c>
      <c r="T3431" s="152" t="s">
        <v>786</v>
      </c>
    </row>
    <row r="3432" spans="1:20">
      <c r="C3432" s="152" t="s">
        <v>2821</v>
      </c>
      <c r="F3432" s="152" t="s">
        <v>354</v>
      </c>
      <c r="G3432" s="152" t="s">
        <v>355</v>
      </c>
      <c r="I3432" s="513">
        <v>-24380.45</v>
      </c>
      <c r="J3432" s="513">
        <v>-17.23</v>
      </c>
      <c r="K3432" s="513">
        <v>1415</v>
      </c>
      <c r="L3432" s="518" t="s">
        <v>3511</v>
      </c>
      <c r="M3432" s="152" t="s">
        <v>1566</v>
      </c>
      <c r="N3432" s="152" t="s">
        <v>1407</v>
      </c>
      <c r="O3432" s="152" t="s">
        <v>5393</v>
      </c>
      <c r="P3432" s="152" t="s">
        <v>4279</v>
      </c>
      <c r="Q3432" s="152" t="s">
        <v>5394</v>
      </c>
      <c r="R3432" s="152" t="s">
        <v>5394</v>
      </c>
      <c r="S3432" s="152" t="s">
        <v>5395</v>
      </c>
      <c r="T3432" s="152" t="s">
        <v>786</v>
      </c>
    </row>
    <row r="3433" spans="1:20">
      <c r="C3433" s="152" t="s">
        <v>2821</v>
      </c>
      <c r="F3433" s="152" t="s">
        <v>354</v>
      </c>
      <c r="G3433" s="152" t="s">
        <v>355</v>
      </c>
      <c r="I3433" s="513">
        <v>-25201.15</v>
      </c>
      <c r="J3433" s="513">
        <v>-17.809999999999999</v>
      </c>
      <c r="K3433" s="513">
        <v>1415</v>
      </c>
      <c r="L3433" s="518" t="s">
        <v>3511</v>
      </c>
      <c r="M3433" s="152" t="s">
        <v>1566</v>
      </c>
      <c r="N3433" s="152" t="s">
        <v>1407</v>
      </c>
      <c r="O3433" s="152" t="s">
        <v>5396</v>
      </c>
      <c r="P3433" s="152" t="s">
        <v>4279</v>
      </c>
      <c r="Q3433" s="152" t="s">
        <v>5397</v>
      </c>
      <c r="R3433" s="152" t="s">
        <v>5397</v>
      </c>
      <c r="S3433" s="152" t="s">
        <v>5398</v>
      </c>
      <c r="T3433" s="152" t="s">
        <v>786</v>
      </c>
    </row>
    <row r="3434" spans="1:20">
      <c r="C3434" s="152" t="s">
        <v>2821</v>
      </c>
      <c r="F3434" s="152" t="s">
        <v>2366</v>
      </c>
      <c r="G3434" s="152" t="s">
        <v>2367</v>
      </c>
      <c r="I3434" s="513">
        <v>343425</v>
      </c>
      <c r="J3434" s="513">
        <v>241</v>
      </c>
      <c r="K3434" s="513">
        <v>1425</v>
      </c>
      <c r="L3434" s="518" t="s">
        <v>3552</v>
      </c>
      <c r="M3434" s="152" t="s">
        <v>780</v>
      </c>
      <c r="N3434" s="152" t="s">
        <v>1407</v>
      </c>
      <c r="O3434" s="152" t="s">
        <v>4111</v>
      </c>
      <c r="P3434" s="152" t="s">
        <v>3489</v>
      </c>
      <c r="Q3434" s="152" t="s">
        <v>4112</v>
      </c>
      <c r="R3434" s="152" t="s">
        <v>4113</v>
      </c>
      <c r="S3434" s="152" t="s">
        <v>4114</v>
      </c>
      <c r="T3434" s="152" t="s">
        <v>786</v>
      </c>
    </row>
    <row r="3436" spans="1:20" ht="13">
      <c r="A3436" s="800" t="s">
        <v>5844</v>
      </c>
      <c r="B3436" s="800"/>
      <c r="C3436" s="801" t="s">
        <v>2821</v>
      </c>
      <c r="D3436" s="802"/>
      <c r="E3436" s="800"/>
      <c r="F3436" s="801" t="s">
        <v>358</v>
      </c>
      <c r="G3436" s="801" t="s">
        <v>359</v>
      </c>
      <c r="H3436" s="803"/>
      <c r="I3436" s="804">
        <v>-2707.5</v>
      </c>
      <c r="J3436" s="804">
        <v>-1.9</v>
      </c>
      <c r="K3436" s="804">
        <v>1425</v>
      </c>
      <c r="L3436" s="805" t="s">
        <v>3637</v>
      </c>
      <c r="M3436" s="801"/>
      <c r="N3436" s="801" t="s">
        <v>1407</v>
      </c>
      <c r="O3436" s="801"/>
      <c r="P3436" s="801" t="s">
        <v>5051</v>
      </c>
      <c r="Q3436" s="801" t="s">
        <v>5059</v>
      </c>
      <c r="R3436" s="801" t="s">
        <v>5059</v>
      </c>
      <c r="S3436" s="801" t="s">
        <v>5053</v>
      </c>
      <c r="T3436" s="801" t="s">
        <v>786</v>
      </c>
    </row>
    <row r="3437" spans="1:20" ht="13">
      <c r="A3437" s="800" t="s">
        <v>5844</v>
      </c>
      <c r="B3437" s="800"/>
      <c r="C3437" s="801" t="s">
        <v>2821</v>
      </c>
      <c r="D3437" s="802"/>
      <c r="E3437" s="800"/>
      <c r="F3437" s="801" t="s">
        <v>358</v>
      </c>
      <c r="G3437" s="801" t="s">
        <v>359</v>
      </c>
      <c r="H3437" s="803"/>
      <c r="I3437" s="804">
        <v>-2707.5</v>
      </c>
      <c r="J3437" s="804">
        <v>-1.9</v>
      </c>
      <c r="K3437" s="804">
        <v>1425</v>
      </c>
      <c r="L3437" s="805" t="s">
        <v>3637</v>
      </c>
      <c r="M3437" s="801"/>
      <c r="N3437" s="801" t="s">
        <v>1407</v>
      </c>
      <c r="O3437" s="801"/>
      <c r="P3437" s="801" t="s">
        <v>5051</v>
      </c>
      <c r="Q3437" s="801" t="s">
        <v>5055</v>
      </c>
      <c r="R3437" s="801" t="s">
        <v>5055</v>
      </c>
      <c r="S3437" s="801" t="s">
        <v>5053</v>
      </c>
      <c r="T3437" s="801" t="s">
        <v>786</v>
      </c>
    </row>
    <row r="3438" spans="1:20" ht="13">
      <c r="A3438" s="800" t="s">
        <v>5844</v>
      </c>
      <c r="B3438" s="800"/>
      <c r="C3438" s="801" t="s">
        <v>2821</v>
      </c>
      <c r="D3438" s="802"/>
      <c r="E3438" s="800"/>
      <c r="F3438" s="801" t="s">
        <v>358</v>
      </c>
      <c r="G3438" s="801" t="s">
        <v>359</v>
      </c>
      <c r="H3438" s="803"/>
      <c r="I3438" s="804">
        <v>2707.5</v>
      </c>
      <c r="J3438" s="804">
        <v>1.9</v>
      </c>
      <c r="K3438" s="804">
        <v>1425</v>
      </c>
      <c r="L3438" s="805" t="s">
        <v>3637</v>
      </c>
      <c r="M3438" s="801" t="s">
        <v>780</v>
      </c>
      <c r="N3438" s="801" t="s">
        <v>781</v>
      </c>
      <c r="O3438" s="801" t="s">
        <v>4770</v>
      </c>
      <c r="P3438" s="801" t="s">
        <v>2865</v>
      </c>
      <c r="Q3438" s="801" t="s">
        <v>4771</v>
      </c>
      <c r="R3438" s="801" t="s">
        <v>4795</v>
      </c>
      <c r="S3438" s="801" t="s">
        <v>4773</v>
      </c>
      <c r="T3438" s="801" t="s">
        <v>786</v>
      </c>
    </row>
    <row r="3439" spans="1:20" ht="13">
      <c r="A3439" s="800" t="s">
        <v>5844</v>
      </c>
      <c r="B3439" s="800"/>
      <c r="C3439" s="801" t="s">
        <v>2821</v>
      </c>
      <c r="D3439" s="802"/>
      <c r="E3439" s="800"/>
      <c r="F3439" s="801" t="s">
        <v>358</v>
      </c>
      <c r="G3439" s="801" t="s">
        <v>359</v>
      </c>
      <c r="H3439" s="803"/>
      <c r="I3439" s="804">
        <v>2707.5</v>
      </c>
      <c r="J3439" s="804">
        <v>1.9</v>
      </c>
      <c r="K3439" s="804">
        <v>1425</v>
      </c>
      <c r="L3439" s="805" t="s">
        <v>3637</v>
      </c>
      <c r="M3439" s="801" t="s">
        <v>780</v>
      </c>
      <c r="N3439" s="801" t="s">
        <v>781</v>
      </c>
      <c r="O3439" s="801" t="s">
        <v>4751</v>
      </c>
      <c r="P3439" s="801" t="s">
        <v>2865</v>
      </c>
      <c r="Q3439" s="801" t="s">
        <v>4752</v>
      </c>
      <c r="R3439" s="801" t="s">
        <v>4796</v>
      </c>
      <c r="S3439" s="801" t="s">
        <v>4754</v>
      </c>
      <c r="T3439" s="801" t="s">
        <v>786</v>
      </c>
    </row>
    <row r="3440" spans="1:20" ht="13">
      <c r="A3440" s="800" t="s">
        <v>5844</v>
      </c>
      <c r="B3440" s="800"/>
      <c r="C3440" s="801" t="s">
        <v>2821</v>
      </c>
      <c r="D3440" s="802"/>
      <c r="E3440" s="800"/>
      <c r="F3440" s="801" t="s">
        <v>358</v>
      </c>
      <c r="G3440" s="801" t="s">
        <v>359</v>
      </c>
      <c r="H3440" s="803"/>
      <c r="I3440" s="804">
        <v>-2721.75</v>
      </c>
      <c r="J3440" s="804">
        <v>-1.91</v>
      </c>
      <c r="K3440" s="804">
        <v>1425</v>
      </c>
      <c r="L3440" s="805" t="s">
        <v>3637</v>
      </c>
      <c r="M3440" s="801"/>
      <c r="N3440" s="801" t="s">
        <v>1407</v>
      </c>
      <c r="O3440" s="801"/>
      <c r="P3440" s="801" t="s">
        <v>5051</v>
      </c>
      <c r="Q3440" s="801" t="s">
        <v>5061</v>
      </c>
      <c r="R3440" s="801" t="s">
        <v>5061</v>
      </c>
      <c r="S3440" s="801" t="s">
        <v>5053</v>
      </c>
      <c r="T3440" s="801" t="s">
        <v>786</v>
      </c>
    </row>
    <row r="3441" spans="1:20" ht="13">
      <c r="A3441" s="800" t="s">
        <v>5844</v>
      </c>
      <c r="B3441" s="800"/>
      <c r="C3441" s="801" t="s">
        <v>2821</v>
      </c>
      <c r="D3441" s="802"/>
      <c r="E3441" s="800"/>
      <c r="F3441" s="801" t="s">
        <v>358</v>
      </c>
      <c r="G3441" s="801" t="s">
        <v>359</v>
      </c>
      <c r="H3441" s="803"/>
      <c r="I3441" s="804">
        <v>2721.75</v>
      </c>
      <c r="J3441" s="804">
        <v>1.91</v>
      </c>
      <c r="K3441" s="804">
        <v>1425</v>
      </c>
      <c r="L3441" s="805" t="s">
        <v>3637</v>
      </c>
      <c r="M3441" s="801" t="s">
        <v>780</v>
      </c>
      <c r="N3441" s="801" t="s">
        <v>781</v>
      </c>
      <c r="O3441" s="801" t="s">
        <v>4770</v>
      </c>
      <c r="P3441" s="801" t="s">
        <v>2865</v>
      </c>
      <c r="Q3441" s="801" t="s">
        <v>4771</v>
      </c>
      <c r="R3441" s="801" t="s">
        <v>4803</v>
      </c>
      <c r="S3441" s="801" t="s">
        <v>4773</v>
      </c>
      <c r="T3441" s="801" t="s">
        <v>786</v>
      </c>
    </row>
    <row r="3442" spans="1:20" ht="13">
      <c r="A3442" s="800" t="s">
        <v>5844</v>
      </c>
      <c r="B3442" s="800"/>
      <c r="C3442" s="801" t="s">
        <v>2821</v>
      </c>
      <c r="D3442" s="802"/>
      <c r="E3442" s="800"/>
      <c r="F3442" s="801" t="s">
        <v>358</v>
      </c>
      <c r="G3442" s="801" t="s">
        <v>359</v>
      </c>
      <c r="H3442" s="803"/>
      <c r="I3442" s="804">
        <v>-29953.5</v>
      </c>
      <c r="J3442" s="804">
        <v>-21.02</v>
      </c>
      <c r="K3442" s="804">
        <v>1425</v>
      </c>
      <c r="L3442" s="805" t="s">
        <v>3637</v>
      </c>
      <c r="M3442" s="801"/>
      <c r="N3442" s="801" t="s">
        <v>1407</v>
      </c>
      <c r="O3442" s="801"/>
      <c r="P3442" s="801" t="s">
        <v>5051</v>
      </c>
      <c r="Q3442" s="801" t="s">
        <v>5063</v>
      </c>
      <c r="R3442" s="801" t="s">
        <v>5063</v>
      </c>
      <c r="S3442" s="801" t="s">
        <v>5053</v>
      </c>
      <c r="T3442" s="801" t="s">
        <v>786</v>
      </c>
    </row>
    <row r="3443" spans="1:20" ht="13">
      <c r="A3443" s="800" t="s">
        <v>5844</v>
      </c>
      <c r="B3443" s="800"/>
      <c r="C3443" s="801" t="s">
        <v>2821</v>
      </c>
      <c r="D3443" s="802"/>
      <c r="E3443" s="800"/>
      <c r="F3443" s="801" t="s">
        <v>358</v>
      </c>
      <c r="G3443" s="801" t="s">
        <v>359</v>
      </c>
      <c r="H3443" s="803"/>
      <c r="I3443" s="804">
        <v>29953.5</v>
      </c>
      <c r="J3443" s="804">
        <v>21.02</v>
      </c>
      <c r="K3443" s="804">
        <v>1425</v>
      </c>
      <c r="L3443" s="805" t="s">
        <v>3637</v>
      </c>
      <c r="M3443" s="801" t="s">
        <v>780</v>
      </c>
      <c r="N3443" s="801" t="s">
        <v>781</v>
      </c>
      <c r="O3443" s="801" t="s">
        <v>4770</v>
      </c>
      <c r="P3443" s="801" t="s">
        <v>2865</v>
      </c>
      <c r="Q3443" s="801" t="s">
        <v>4771</v>
      </c>
      <c r="R3443" s="801" t="s">
        <v>4826</v>
      </c>
      <c r="S3443" s="801" t="s">
        <v>4773</v>
      </c>
      <c r="T3443" s="801" t="s">
        <v>786</v>
      </c>
    </row>
    <row r="3444" spans="1:20" ht="13">
      <c r="A3444" s="800" t="s">
        <v>5844</v>
      </c>
      <c r="B3444" s="800"/>
      <c r="C3444" s="801" t="s">
        <v>2821</v>
      </c>
      <c r="D3444" s="802"/>
      <c r="E3444" s="800"/>
      <c r="F3444" s="801" t="s">
        <v>358</v>
      </c>
      <c r="G3444" s="801" t="s">
        <v>359</v>
      </c>
      <c r="H3444" s="803"/>
      <c r="I3444" s="804">
        <v>-171527.25</v>
      </c>
      <c r="J3444" s="804">
        <v>-120.37</v>
      </c>
      <c r="K3444" s="804">
        <v>1425</v>
      </c>
      <c r="L3444" s="805" t="s">
        <v>3637</v>
      </c>
      <c r="M3444" s="801"/>
      <c r="N3444" s="801" t="s">
        <v>1407</v>
      </c>
      <c r="O3444" s="801"/>
      <c r="P3444" s="801" t="s">
        <v>5051</v>
      </c>
      <c r="Q3444" s="801" t="s">
        <v>5057</v>
      </c>
      <c r="R3444" s="801" t="s">
        <v>5057</v>
      </c>
      <c r="S3444" s="801" t="s">
        <v>5053</v>
      </c>
      <c r="T3444" s="801" t="s">
        <v>786</v>
      </c>
    </row>
    <row r="3445" spans="1:20" ht="13">
      <c r="A3445" s="800" t="s">
        <v>5844</v>
      </c>
      <c r="B3445" s="800"/>
      <c r="C3445" s="801" t="s">
        <v>2821</v>
      </c>
      <c r="D3445" s="802"/>
      <c r="E3445" s="800"/>
      <c r="F3445" s="801" t="s">
        <v>358</v>
      </c>
      <c r="G3445" s="801" t="s">
        <v>359</v>
      </c>
      <c r="H3445" s="803"/>
      <c r="I3445" s="804">
        <v>171527.25</v>
      </c>
      <c r="J3445" s="804">
        <v>120.37</v>
      </c>
      <c r="K3445" s="804">
        <v>1425</v>
      </c>
      <c r="L3445" s="805" t="s">
        <v>3637</v>
      </c>
      <c r="M3445" s="801" t="s">
        <v>780</v>
      </c>
      <c r="N3445" s="801" t="s">
        <v>781</v>
      </c>
      <c r="O3445" s="801" t="s">
        <v>4751</v>
      </c>
      <c r="P3445" s="801" t="s">
        <v>2865</v>
      </c>
      <c r="Q3445" s="801" t="s">
        <v>4752</v>
      </c>
      <c r="R3445" s="801" t="s">
        <v>4776</v>
      </c>
      <c r="S3445" s="801" t="s">
        <v>4754</v>
      </c>
      <c r="T3445" s="801" t="s">
        <v>786</v>
      </c>
    </row>
    <row r="3446" spans="1:20" ht="13">
      <c r="A3446" s="800" t="s">
        <v>5844</v>
      </c>
      <c r="B3446" s="800"/>
      <c r="C3446" s="801" t="s">
        <v>2821</v>
      </c>
      <c r="D3446" s="802"/>
      <c r="E3446" s="800"/>
      <c r="F3446" s="801" t="s">
        <v>358</v>
      </c>
      <c r="G3446" s="801" t="s">
        <v>359</v>
      </c>
      <c r="H3446" s="803"/>
      <c r="I3446" s="804">
        <v>-383952</v>
      </c>
      <c r="J3446" s="804">
        <v>-269.44</v>
      </c>
      <c r="K3446" s="804">
        <v>1425</v>
      </c>
      <c r="L3446" s="805" t="s">
        <v>3637</v>
      </c>
      <c r="M3446" s="801"/>
      <c r="N3446" s="801" t="s">
        <v>1407</v>
      </c>
      <c r="O3446" s="801"/>
      <c r="P3446" s="801" t="s">
        <v>5051</v>
      </c>
      <c r="Q3446" s="801" t="s">
        <v>5060</v>
      </c>
      <c r="R3446" s="801" t="s">
        <v>5060</v>
      </c>
      <c r="S3446" s="801" t="s">
        <v>5053</v>
      </c>
      <c r="T3446" s="801" t="s">
        <v>786</v>
      </c>
    </row>
    <row r="3447" spans="1:20" ht="13">
      <c r="A3447" s="800" t="s">
        <v>5844</v>
      </c>
      <c r="B3447" s="800"/>
      <c r="C3447" s="801" t="s">
        <v>2821</v>
      </c>
      <c r="D3447" s="802"/>
      <c r="E3447" s="800"/>
      <c r="F3447" s="801" t="s">
        <v>358</v>
      </c>
      <c r="G3447" s="801" t="s">
        <v>359</v>
      </c>
      <c r="H3447" s="803"/>
      <c r="I3447" s="804">
        <v>383952</v>
      </c>
      <c r="J3447" s="804">
        <v>269.44</v>
      </c>
      <c r="K3447" s="804">
        <v>1425</v>
      </c>
      <c r="L3447" s="805" t="s">
        <v>3637</v>
      </c>
      <c r="M3447" s="801" t="s">
        <v>780</v>
      </c>
      <c r="N3447" s="801" t="s">
        <v>781</v>
      </c>
      <c r="O3447" s="801" t="s">
        <v>4770</v>
      </c>
      <c r="P3447" s="801" t="s">
        <v>2865</v>
      </c>
      <c r="Q3447" s="801" t="s">
        <v>4771</v>
      </c>
      <c r="R3447" s="801" t="s">
        <v>4834</v>
      </c>
      <c r="S3447" s="801" t="s">
        <v>4773</v>
      </c>
      <c r="T3447" s="801" t="s">
        <v>786</v>
      </c>
    </row>
    <row r="3448" spans="1:20" ht="13">
      <c r="A3448" s="800" t="s">
        <v>5844</v>
      </c>
      <c r="B3448" s="800"/>
      <c r="C3448" s="801" t="s">
        <v>2821</v>
      </c>
      <c r="D3448" s="802"/>
      <c r="E3448" s="800"/>
      <c r="F3448" s="801" t="s">
        <v>358</v>
      </c>
      <c r="G3448" s="801" t="s">
        <v>359</v>
      </c>
      <c r="H3448" s="803"/>
      <c r="I3448" s="804">
        <v>-959509.5</v>
      </c>
      <c r="J3448" s="804">
        <v>-673.34</v>
      </c>
      <c r="K3448" s="804">
        <v>1425</v>
      </c>
      <c r="L3448" s="805" t="s">
        <v>3637</v>
      </c>
      <c r="M3448" s="801"/>
      <c r="N3448" s="801" t="s">
        <v>1407</v>
      </c>
      <c r="O3448" s="801"/>
      <c r="P3448" s="801" t="s">
        <v>5051</v>
      </c>
      <c r="Q3448" s="801" t="s">
        <v>5062</v>
      </c>
      <c r="R3448" s="801" t="s">
        <v>5062</v>
      </c>
      <c r="S3448" s="801" t="s">
        <v>5053</v>
      </c>
      <c r="T3448" s="801" t="s">
        <v>786</v>
      </c>
    </row>
    <row r="3449" spans="1:20" ht="13">
      <c r="A3449" s="800" t="s">
        <v>5844</v>
      </c>
      <c r="B3449" s="800"/>
      <c r="C3449" s="801" t="s">
        <v>2821</v>
      </c>
      <c r="D3449" s="802"/>
      <c r="E3449" s="800"/>
      <c r="F3449" s="801" t="s">
        <v>358</v>
      </c>
      <c r="G3449" s="801" t="s">
        <v>359</v>
      </c>
      <c r="H3449" s="803"/>
      <c r="I3449" s="804">
        <v>959509.5</v>
      </c>
      <c r="J3449" s="804">
        <v>673.34</v>
      </c>
      <c r="K3449" s="804">
        <v>1425</v>
      </c>
      <c r="L3449" s="805" t="s">
        <v>3637</v>
      </c>
      <c r="M3449" s="801" t="s">
        <v>780</v>
      </c>
      <c r="N3449" s="801" t="s">
        <v>781</v>
      </c>
      <c r="O3449" s="801" t="s">
        <v>4770</v>
      </c>
      <c r="P3449" s="801" t="s">
        <v>2865</v>
      </c>
      <c r="Q3449" s="801" t="s">
        <v>4771</v>
      </c>
      <c r="R3449" s="801" t="s">
        <v>4783</v>
      </c>
      <c r="S3449" s="801" t="s">
        <v>4773</v>
      </c>
      <c r="T3449" s="801" t="s">
        <v>786</v>
      </c>
    </row>
    <row r="3450" spans="1:20" ht="13">
      <c r="A3450" s="800" t="s">
        <v>5844</v>
      </c>
      <c r="B3450" s="800"/>
      <c r="C3450" s="801" t="s">
        <v>2821</v>
      </c>
      <c r="D3450" s="802"/>
      <c r="E3450" s="800"/>
      <c r="F3450" s="801" t="s">
        <v>358</v>
      </c>
      <c r="G3450" s="801" t="s">
        <v>359</v>
      </c>
      <c r="H3450" s="803"/>
      <c r="I3450" s="804">
        <v>-1111827.75</v>
      </c>
      <c r="J3450" s="804">
        <v>-780.23</v>
      </c>
      <c r="K3450" s="804">
        <v>1425</v>
      </c>
      <c r="L3450" s="805" t="s">
        <v>3637</v>
      </c>
      <c r="M3450" s="801"/>
      <c r="N3450" s="801" t="s">
        <v>1407</v>
      </c>
      <c r="O3450" s="801"/>
      <c r="P3450" s="801" t="s">
        <v>5051</v>
      </c>
      <c r="Q3450" s="801" t="s">
        <v>5054</v>
      </c>
      <c r="R3450" s="801" t="s">
        <v>5054</v>
      </c>
      <c r="S3450" s="801" t="s">
        <v>5053</v>
      </c>
      <c r="T3450" s="801" t="s">
        <v>786</v>
      </c>
    </row>
    <row r="3451" spans="1:20" ht="13">
      <c r="A3451" s="800" t="s">
        <v>5844</v>
      </c>
      <c r="B3451" s="800"/>
      <c r="C3451" s="801" t="s">
        <v>2821</v>
      </c>
      <c r="D3451" s="802"/>
      <c r="E3451" s="800"/>
      <c r="F3451" s="801" t="s">
        <v>358</v>
      </c>
      <c r="G3451" s="801" t="s">
        <v>359</v>
      </c>
      <c r="H3451" s="803"/>
      <c r="I3451" s="804">
        <v>1111827.75</v>
      </c>
      <c r="J3451" s="804">
        <v>780.23</v>
      </c>
      <c r="K3451" s="804">
        <v>1425</v>
      </c>
      <c r="L3451" s="805" t="s">
        <v>3637</v>
      </c>
      <c r="M3451" s="801" t="s">
        <v>780</v>
      </c>
      <c r="N3451" s="801" t="s">
        <v>781</v>
      </c>
      <c r="O3451" s="801" t="s">
        <v>4770</v>
      </c>
      <c r="P3451" s="801" t="s">
        <v>2865</v>
      </c>
      <c r="Q3451" s="801" t="s">
        <v>4771</v>
      </c>
      <c r="R3451" s="801" t="s">
        <v>4772</v>
      </c>
      <c r="S3451" s="801" t="s">
        <v>4773</v>
      </c>
      <c r="T3451" s="801" t="s">
        <v>786</v>
      </c>
    </row>
    <row r="3452" spans="1:20" ht="13">
      <c r="A3452" s="800" t="s">
        <v>5844</v>
      </c>
      <c r="B3452" s="800"/>
      <c r="C3452" s="801" t="s">
        <v>2821</v>
      </c>
      <c r="D3452" s="802"/>
      <c r="E3452" s="800"/>
      <c r="F3452" s="801" t="s">
        <v>358</v>
      </c>
      <c r="G3452" s="801" t="s">
        <v>359</v>
      </c>
      <c r="H3452" s="803"/>
      <c r="I3452" s="804">
        <v>-2653350</v>
      </c>
      <c r="J3452" s="804">
        <v>-1862</v>
      </c>
      <c r="K3452" s="804">
        <v>1425</v>
      </c>
      <c r="L3452" s="805" t="s">
        <v>3637</v>
      </c>
      <c r="M3452" s="801"/>
      <c r="N3452" s="801" t="s">
        <v>1407</v>
      </c>
      <c r="O3452" s="801"/>
      <c r="P3452" s="801" t="s">
        <v>5051</v>
      </c>
      <c r="Q3452" s="801" t="s">
        <v>5056</v>
      </c>
      <c r="R3452" s="801" t="s">
        <v>5056</v>
      </c>
      <c r="S3452" s="801" t="s">
        <v>5053</v>
      </c>
      <c r="T3452" s="801" t="s">
        <v>786</v>
      </c>
    </row>
    <row r="3453" spans="1:20" ht="13">
      <c r="A3453" s="800" t="s">
        <v>5844</v>
      </c>
      <c r="B3453" s="800"/>
      <c r="C3453" s="801" t="s">
        <v>2821</v>
      </c>
      <c r="D3453" s="802"/>
      <c r="E3453" s="800"/>
      <c r="F3453" s="801" t="s">
        <v>358</v>
      </c>
      <c r="G3453" s="801" t="s">
        <v>359</v>
      </c>
      <c r="H3453" s="803"/>
      <c r="I3453" s="804">
        <v>2653350</v>
      </c>
      <c r="J3453" s="804">
        <v>1862</v>
      </c>
      <c r="K3453" s="804">
        <v>1425</v>
      </c>
      <c r="L3453" s="805" t="s">
        <v>3637</v>
      </c>
      <c r="M3453" s="801" t="s">
        <v>780</v>
      </c>
      <c r="N3453" s="801" t="s">
        <v>781</v>
      </c>
      <c r="O3453" s="801" t="s">
        <v>4751</v>
      </c>
      <c r="P3453" s="801" t="s">
        <v>2865</v>
      </c>
      <c r="Q3453" s="801" t="s">
        <v>4752</v>
      </c>
      <c r="R3453" s="801" t="s">
        <v>4784</v>
      </c>
      <c r="S3453" s="801" t="s">
        <v>4754</v>
      </c>
      <c r="T3453" s="801" t="s">
        <v>786</v>
      </c>
    </row>
    <row r="3454" spans="1:20" ht="13">
      <c r="A3454" s="800" t="s">
        <v>5844</v>
      </c>
      <c r="B3454" s="800"/>
      <c r="C3454" s="801" t="s">
        <v>2821</v>
      </c>
      <c r="D3454" s="802"/>
      <c r="E3454" s="800"/>
      <c r="F3454" s="801" t="s">
        <v>358</v>
      </c>
      <c r="G3454" s="801" t="s">
        <v>359</v>
      </c>
      <c r="H3454" s="803"/>
      <c r="I3454" s="804">
        <v>-5241150</v>
      </c>
      <c r="J3454" s="804">
        <v>-3678</v>
      </c>
      <c r="K3454" s="804">
        <v>1425</v>
      </c>
      <c r="L3454" s="805" t="s">
        <v>3637</v>
      </c>
      <c r="M3454" s="801"/>
      <c r="N3454" s="801" t="s">
        <v>1407</v>
      </c>
      <c r="O3454" s="801"/>
      <c r="P3454" s="801" t="s">
        <v>5051</v>
      </c>
      <c r="Q3454" s="801" t="s">
        <v>5058</v>
      </c>
      <c r="R3454" s="801" t="s">
        <v>5058</v>
      </c>
      <c r="S3454" s="801" t="s">
        <v>5053</v>
      </c>
      <c r="T3454" s="801" t="s">
        <v>786</v>
      </c>
    </row>
    <row r="3455" spans="1:20" ht="13">
      <c r="A3455" s="800" t="s">
        <v>5844</v>
      </c>
      <c r="B3455" s="800"/>
      <c r="C3455" s="801" t="s">
        <v>2821</v>
      </c>
      <c r="D3455" s="802"/>
      <c r="E3455" s="800"/>
      <c r="F3455" s="801" t="s">
        <v>358</v>
      </c>
      <c r="G3455" s="801" t="s">
        <v>359</v>
      </c>
      <c r="H3455" s="803"/>
      <c r="I3455" s="804">
        <v>5241150</v>
      </c>
      <c r="J3455" s="804">
        <v>3678</v>
      </c>
      <c r="K3455" s="804">
        <v>1425</v>
      </c>
      <c r="L3455" s="805" t="s">
        <v>3637</v>
      </c>
      <c r="M3455" s="801" t="s">
        <v>780</v>
      </c>
      <c r="N3455" s="801" t="s">
        <v>781</v>
      </c>
      <c r="O3455" s="801" t="s">
        <v>4751</v>
      </c>
      <c r="P3455" s="801" t="s">
        <v>2865</v>
      </c>
      <c r="Q3455" s="801" t="s">
        <v>4752</v>
      </c>
      <c r="R3455" s="801" t="s">
        <v>4753</v>
      </c>
      <c r="S3455" s="801" t="s">
        <v>4754</v>
      </c>
      <c r="T3455" s="801" t="s">
        <v>786</v>
      </c>
    </row>
    <row r="3457" spans="1:20" s="795" customFormat="1" ht="13">
      <c r="A3457" s="800" t="s">
        <v>382</v>
      </c>
      <c r="B3457" s="800"/>
      <c r="C3457" s="801" t="s">
        <v>2821</v>
      </c>
      <c r="D3457" s="802"/>
      <c r="E3457" s="800"/>
      <c r="F3457" s="801" t="s">
        <v>358</v>
      </c>
      <c r="G3457" s="801" t="s">
        <v>359</v>
      </c>
      <c r="H3457" s="803"/>
      <c r="I3457" s="804">
        <v>-28300</v>
      </c>
      <c r="J3457" s="804">
        <v>-20</v>
      </c>
      <c r="K3457" s="804">
        <v>1415</v>
      </c>
      <c r="L3457" s="805" t="s">
        <v>3632</v>
      </c>
      <c r="M3457" s="801" t="s">
        <v>780</v>
      </c>
      <c r="N3457" s="801" t="s">
        <v>1272</v>
      </c>
      <c r="O3457" s="801" t="s">
        <v>4958</v>
      </c>
      <c r="P3457" s="801" t="s">
        <v>3489</v>
      </c>
      <c r="Q3457" s="801" t="s">
        <v>4959</v>
      </c>
      <c r="R3457" s="801" t="s">
        <v>4960</v>
      </c>
      <c r="S3457" s="801" t="s">
        <v>4961</v>
      </c>
      <c r="T3457" s="801" t="s">
        <v>786</v>
      </c>
    </row>
    <row r="3458" spans="1:20" s="795" customFormat="1" ht="13">
      <c r="A3458" s="800" t="s">
        <v>382</v>
      </c>
      <c r="B3458" s="800"/>
      <c r="C3458" s="801" t="s">
        <v>2821</v>
      </c>
      <c r="D3458" s="802"/>
      <c r="E3458" s="800"/>
      <c r="F3458" s="801" t="s">
        <v>358</v>
      </c>
      <c r="G3458" s="801" t="s">
        <v>359</v>
      </c>
      <c r="H3458" s="803"/>
      <c r="I3458" s="804">
        <v>28300</v>
      </c>
      <c r="J3458" s="804">
        <v>20</v>
      </c>
      <c r="K3458" s="804">
        <v>1415</v>
      </c>
      <c r="L3458" s="805" t="s">
        <v>3632</v>
      </c>
      <c r="M3458" s="801" t="s">
        <v>780</v>
      </c>
      <c r="N3458" s="801" t="s">
        <v>781</v>
      </c>
      <c r="O3458" s="801" t="s">
        <v>4747</v>
      </c>
      <c r="P3458" s="801" t="s">
        <v>3489</v>
      </c>
      <c r="Q3458" s="801" t="s">
        <v>4748</v>
      </c>
      <c r="R3458" s="801" t="s">
        <v>1146</v>
      </c>
      <c r="S3458" s="801" t="s">
        <v>4750</v>
      </c>
      <c r="T3458" s="801" t="s">
        <v>786</v>
      </c>
    </row>
    <row r="3459" spans="1:20" s="795" customFormat="1" ht="13">
      <c r="A3459" s="800" t="s">
        <v>382</v>
      </c>
      <c r="B3459" s="800"/>
      <c r="C3459" s="801" t="s">
        <v>2821</v>
      </c>
      <c r="D3459" s="802"/>
      <c r="E3459" s="800"/>
      <c r="F3459" s="801" t="s">
        <v>358</v>
      </c>
      <c r="G3459" s="801" t="s">
        <v>359</v>
      </c>
      <c r="H3459" s="803"/>
      <c r="I3459" s="804">
        <v>-28500</v>
      </c>
      <c r="J3459" s="804">
        <v>-20</v>
      </c>
      <c r="K3459" s="804">
        <v>1425</v>
      </c>
      <c r="L3459" s="805" t="s">
        <v>3504</v>
      </c>
      <c r="M3459" s="801" t="s">
        <v>780</v>
      </c>
      <c r="N3459" s="801" t="s">
        <v>1272</v>
      </c>
      <c r="O3459" s="801" t="s">
        <v>4955</v>
      </c>
      <c r="P3459" s="801" t="s">
        <v>3489</v>
      </c>
      <c r="Q3459" s="801" t="s">
        <v>4956</v>
      </c>
      <c r="R3459" s="801" t="s">
        <v>1348</v>
      </c>
      <c r="S3459" s="801" t="s">
        <v>4957</v>
      </c>
      <c r="T3459" s="801" t="s">
        <v>786</v>
      </c>
    </row>
    <row r="3460" spans="1:20" s="795" customFormat="1" ht="13">
      <c r="A3460" s="800" t="s">
        <v>382</v>
      </c>
      <c r="B3460" s="800"/>
      <c r="C3460" s="801" t="s">
        <v>2821</v>
      </c>
      <c r="D3460" s="802"/>
      <c r="E3460" s="800"/>
      <c r="F3460" s="801" t="s">
        <v>358</v>
      </c>
      <c r="G3460" s="801" t="s">
        <v>359</v>
      </c>
      <c r="H3460" s="803"/>
      <c r="I3460" s="804">
        <v>28500</v>
      </c>
      <c r="J3460" s="804">
        <v>20</v>
      </c>
      <c r="K3460" s="804">
        <v>1425</v>
      </c>
      <c r="L3460" s="805" t="s">
        <v>3504</v>
      </c>
      <c r="M3460" s="801" t="s">
        <v>780</v>
      </c>
      <c r="N3460" s="801" t="s">
        <v>781</v>
      </c>
      <c r="O3460" s="801" t="s">
        <v>4804</v>
      </c>
      <c r="P3460" s="801" t="s">
        <v>3489</v>
      </c>
      <c r="Q3460" s="801" t="s">
        <v>4805</v>
      </c>
      <c r="R3460" s="801" t="s">
        <v>1146</v>
      </c>
      <c r="S3460" s="801" t="s">
        <v>4807</v>
      </c>
      <c r="T3460" s="801" t="s">
        <v>786</v>
      </c>
    </row>
    <row r="3461" spans="1:20" s="795" customFormat="1" ht="13">
      <c r="A3461" s="800" t="s">
        <v>382</v>
      </c>
      <c r="B3461" s="800"/>
      <c r="C3461" s="801" t="s">
        <v>2821</v>
      </c>
      <c r="D3461" s="802"/>
      <c r="E3461" s="800"/>
      <c r="F3461" s="801" t="s">
        <v>358</v>
      </c>
      <c r="G3461" s="801" t="s">
        <v>359</v>
      </c>
      <c r="H3461" s="803"/>
      <c r="I3461" s="804">
        <v>-718872</v>
      </c>
      <c r="J3461" s="804">
        <v>-513.48</v>
      </c>
      <c r="K3461" s="804">
        <v>1400</v>
      </c>
      <c r="L3461" s="805" t="s">
        <v>3659</v>
      </c>
      <c r="M3461" s="801" t="s">
        <v>780</v>
      </c>
      <c r="N3461" s="801" t="s">
        <v>1272</v>
      </c>
      <c r="O3461" s="801" t="s">
        <v>4939</v>
      </c>
      <c r="P3461" s="801" t="s">
        <v>3489</v>
      </c>
      <c r="Q3461" s="801" t="s">
        <v>4940</v>
      </c>
      <c r="R3461" s="801" t="s">
        <v>1381</v>
      </c>
      <c r="S3461" s="801" t="s">
        <v>4942</v>
      </c>
      <c r="T3461" s="801" t="s">
        <v>786</v>
      </c>
    </row>
    <row r="3462" spans="1:20" s="795" customFormat="1" ht="13">
      <c r="A3462" s="800" t="s">
        <v>382</v>
      </c>
      <c r="B3462" s="800"/>
      <c r="C3462" s="801" t="s">
        <v>2821</v>
      </c>
      <c r="D3462" s="802"/>
      <c r="E3462" s="800"/>
      <c r="F3462" s="801" t="s">
        <v>358</v>
      </c>
      <c r="G3462" s="801" t="s">
        <v>359</v>
      </c>
      <c r="H3462" s="803"/>
      <c r="I3462" s="804">
        <v>718872</v>
      </c>
      <c r="J3462" s="804">
        <v>513.48</v>
      </c>
      <c r="K3462" s="804">
        <v>1400</v>
      </c>
      <c r="L3462" s="805" t="s">
        <v>3659</v>
      </c>
      <c r="M3462" s="801" t="s">
        <v>780</v>
      </c>
      <c r="N3462" s="801" t="s">
        <v>781</v>
      </c>
      <c r="O3462" s="801" t="s">
        <v>4791</v>
      </c>
      <c r="P3462" s="801" t="s">
        <v>3489</v>
      </c>
      <c r="Q3462" s="801" t="s">
        <v>4792</v>
      </c>
      <c r="R3462" s="801" t="s">
        <v>4846</v>
      </c>
      <c r="S3462" s="801" t="s">
        <v>4793</v>
      </c>
      <c r="T3462" s="801" t="s">
        <v>786</v>
      </c>
    </row>
    <row r="3463" spans="1:20" s="795" customFormat="1" ht="13">
      <c r="A3463" s="800" t="s">
        <v>382</v>
      </c>
      <c r="B3463" s="800"/>
      <c r="C3463" s="801" t="s">
        <v>2821</v>
      </c>
      <c r="D3463" s="802"/>
      <c r="E3463" s="800"/>
      <c r="F3463" s="801" t="s">
        <v>358</v>
      </c>
      <c r="G3463" s="801" t="s">
        <v>359</v>
      </c>
      <c r="H3463" s="803"/>
      <c r="I3463" s="804">
        <v>-2830000</v>
      </c>
      <c r="J3463" s="804">
        <v>-2000</v>
      </c>
      <c r="K3463" s="804">
        <v>1415</v>
      </c>
      <c r="L3463" s="805" t="s">
        <v>3632</v>
      </c>
      <c r="M3463" s="801" t="s">
        <v>780</v>
      </c>
      <c r="N3463" s="801" t="s">
        <v>1407</v>
      </c>
      <c r="O3463" s="801" t="s">
        <v>3926</v>
      </c>
      <c r="P3463" s="801" t="s">
        <v>3489</v>
      </c>
      <c r="Q3463" s="801" t="s">
        <v>3927</v>
      </c>
      <c r="R3463" s="801" t="s">
        <v>4093</v>
      </c>
      <c r="S3463" s="801" t="s">
        <v>3928</v>
      </c>
      <c r="T3463" s="801" t="s">
        <v>786</v>
      </c>
    </row>
    <row r="3464" spans="1:20" s="795" customFormat="1" ht="13">
      <c r="A3464" s="800" t="s">
        <v>382</v>
      </c>
      <c r="B3464" s="800"/>
      <c r="C3464" s="801" t="s">
        <v>2821</v>
      </c>
      <c r="D3464" s="802"/>
      <c r="E3464" s="800"/>
      <c r="F3464" s="801" t="s">
        <v>358</v>
      </c>
      <c r="G3464" s="801" t="s">
        <v>359</v>
      </c>
      <c r="H3464" s="803"/>
      <c r="I3464" s="804">
        <v>-2830000</v>
      </c>
      <c r="J3464" s="804">
        <v>-2000</v>
      </c>
      <c r="K3464" s="804">
        <v>1415</v>
      </c>
      <c r="L3464" s="805" t="s">
        <v>3632</v>
      </c>
      <c r="M3464" s="801" t="s">
        <v>780</v>
      </c>
      <c r="N3464" s="801" t="s">
        <v>1407</v>
      </c>
      <c r="O3464" s="801" t="s">
        <v>3926</v>
      </c>
      <c r="P3464" s="801" t="s">
        <v>3489</v>
      </c>
      <c r="Q3464" s="801" t="s">
        <v>3927</v>
      </c>
      <c r="R3464" s="801" t="s">
        <v>2318</v>
      </c>
      <c r="S3464" s="801" t="s">
        <v>3928</v>
      </c>
      <c r="T3464" s="801" t="s">
        <v>786</v>
      </c>
    </row>
    <row r="3465" spans="1:20" s="795" customFormat="1" ht="13">
      <c r="A3465" s="800" t="s">
        <v>382</v>
      </c>
      <c r="B3465" s="800"/>
      <c r="C3465" s="801" t="s">
        <v>2821</v>
      </c>
      <c r="D3465" s="802"/>
      <c r="E3465" s="800"/>
      <c r="F3465" s="801" t="s">
        <v>358</v>
      </c>
      <c r="G3465" s="801" t="s">
        <v>359</v>
      </c>
      <c r="H3465" s="803"/>
      <c r="I3465" s="804">
        <v>2830000</v>
      </c>
      <c r="J3465" s="804">
        <v>2000</v>
      </c>
      <c r="K3465" s="804">
        <v>1415</v>
      </c>
      <c r="L3465" s="805" t="s">
        <v>3632</v>
      </c>
      <c r="M3465" s="801" t="s">
        <v>780</v>
      </c>
      <c r="N3465" s="801" t="s">
        <v>781</v>
      </c>
      <c r="O3465" s="801" t="s">
        <v>4747</v>
      </c>
      <c r="P3465" s="801" t="s">
        <v>3489</v>
      </c>
      <c r="Q3465" s="801" t="s">
        <v>4748</v>
      </c>
      <c r="R3465" s="801" t="s">
        <v>1143</v>
      </c>
      <c r="S3465" s="801" t="s">
        <v>4750</v>
      </c>
      <c r="T3465" s="801" t="s">
        <v>786</v>
      </c>
    </row>
    <row r="3466" spans="1:20" s="795" customFormat="1" ht="13">
      <c r="A3466" s="800" t="s">
        <v>382</v>
      </c>
      <c r="B3466" s="800"/>
      <c r="C3466" s="801" t="s">
        <v>2821</v>
      </c>
      <c r="D3466" s="802"/>
      <c r="E3466" s="800"/>
      <c r="F3466" s="801" t="s">
        <v>358</v>
      </c>
      <c r="G3466" s="801" t="s">
        <v>359</v>
      </c>
      <c r="H3466" s="803"/>
      <c r="I3466" s="804">
        <v>2830000</v>
      </c>
      <c r="J3466" s="804">
        <v>2000</v>
      </c>
      <c r="K3466" s="804">
        <v>1415</v>
      </c>
      <c r="L3466" s="805" t="s">
        <v>3493</v>
      </c>
      <c r="M3466" s="801" t="s">
        <v>780</v>
      </c>
      <c r="N3466" s="801" t="s">
        <v>1407</v>
      </c>
      <c r="O3466" s="801" t="s">
        <v>4905</v>
      </c>
      <c r="P3466" s="801" t="s">
        <v>3489</v>
      </c>
      <c r="Q3466" s="801" t="s">
        <v>4906</v>
      </c>
      <c r="R3466" s="801" t="s">
        <v>4900</v>
      </c>
      <c r="S3466" s="801" t="s">
        <v>4907</v>
      </c>
      <c r="T3466" s="801" t="s">
        <v>786</v>
      </c>
    </row>
    <row r="3467" spans="1:20" s="795" customFormat="1" ht="13">
      <c r="A3467" s="800" t="s">
        <v>382</v>
      </c>
      <c r="B3467" s="800"/>
      <c r="C3467" s="801" t="s">
        <v>2821</v>
      </c>
      <c r="D3467" s="802"/>
      <c r="E3467" s="800"/>
      <c r="F3467" s="801" t="s">
        <v>358</v>
      </c>
      <c r="G3467" s="801" t="s">
        <v>359</v>
      </c>
      <c r="H3467" s="803"/>
      <c r="I3467" s="804">
        <v>-4176675</v>
      </c>
      <c r="J3467" s="804">
        <v>-2931</v>
      </c>
      <c r="K3467" s="804">
        <v>1425</v>
      </c>
      <c r="L3467" s="805" t="s">
        <v>3552</v>
      </c>
      <c r="M3467" s="801" t="s">
        <v>780</v>
      </c>
      <c r="N3467" s="801" t="s">
        <v>1407</v>
      </c>
      <c r="O3467" s="801" t="s">
        <v>3553</v>
      </c>
      <c r="P3467" s="801" t="s">
        <v>3489</v>
      </c>
      <c r="Q3467" s="801" t="s">
        <v>3554</v>
      </c>
      <c r="R3467" s="801" t="s">
        <v>4119</v>
      </c>
      <c r="S3467" s="801" t="s">
        <v>3556</v>
      </c>
      <c r="T3467" s="801" t="s">
        <v>786</v>
      </c>
    </row>
    <row r="3468" spans="1:20" s="795" customFormat="1" ht="13">
      <c r="A3468" s="800" t="s">
        <v>382</v>
      </c>
      <c r="B3468" s="800"/>
      <c r="C3468" s="801" t="s">
        <v>2821</v>
      </c>
      <c r="D3468" s="802"/>
      <c r="E3468" s="800"/>
      <c r="F3468" s="801" t="s">
        <v>358</v>
      </c>
      <c r="G3468" s="801" t="s">
        <v>359</v>
      </c>
      <c r="H3468" s="803"/>
      <c r="I3468" s="804">
        <v>4176675</v>
      </c>
      <c r="J3468" s="804">
        <v>2931</v>
      </c>
      <c r="K3468" s="804">
        <v>1425</v>
      </c>
      <c r="L3468" s="805" t="s">
        <v>3637</v>
      </c>
      <c r="M3468" s="801" t="s">
        <v>780</v>
      </c>
      <c r="N3468" s="801" t="s">
        <v>1407</v>
      </c>
      <c r="O3468" s="801" t="s">
        <v>3638</v>
      </c>
      <c r="P3468" s="801" t="s">
        <v>2865</v>
      </c>
      <c r="Q3468" s="801" t="s">
        <v>3639</v>
      </c>
      <c r="R3468" s="801" t="s">
        <v>3944</v>
      </c>
      <c r="S3468" s="801" t="s">
        <v>3641</v>
      </c>
      <c r="T3468" s="801" t="s">
        <v>786</v>
      </c>
    </row>
    <row r="3469" spans="1:20" s="795" customFormat="1" ht="13">
      <c r="A3469" s="800" t="s">
        <v>382</v>
      </c>
      <c r="B3469" s="800"/>
      <c r="C3469" s="801" t="s">
        <v>2821</v>
      </c>
      <c r="D3469" s="802"/>
      <c r="E3469" s="800"/>
      <c r="F3469" s="801" t="s">
        <v>358</v>
      </c>
      <c r="G3469" s="801" t="s">
        <v>359</v>
      </c>
      <c r="H3469" s="803"/>
      <c r="I3469" s="804">
        <v>-4245000</v>
      </c>
      <c r="J3469" s="804">
        <v>-3000</v>
      </c>
      <c r="K3469" s="804">
        <v>1415</v>
      </c>
      <c r="L3469" s="805" t="s">
        <v>3632</v>
      </c>
      <c r="M3469" s="801" t="s">
        <v>780</v>
      </c>
      <c r="N3469" s="801" t="s">
        <v>1407</v>
      </c>
      <c r="O3469" s="801" t="s">
        <v>3926</v>
      </c>
      <c r="P3469" s="801" t="s">
        <v>3489</v>
      </c>
      <c r="Q3469" s="801" t="s">
        <v>3927</v>
      </c>
      <c r="R3469" s="801" t="s">
        <v>2318</v>
      </c>
      <c r="S3469" s="801" t="s">
        <v>3928</v>
      </c>
      <c r="T3469" s="801" t="s">
        <v>786</v>
      </c>
    </row>
    <row r="3470" spans="1:20" s="795" customFormat="1" ht="13">
      <c r="A3470" s="800" t="s">
        <v>382</v>
      </c>
      <c r="B3470" s="800"/>
      <c r="C3470" s="801" t="s">
        <v>2821</v>
      </c>
      <c r="D3470" s="802"/>
      <c r="E3470" s="800"/>
      <c r="F3470" s="801" t="s">
        <v>358</v>
      </c>
      <c r="G3470" s="801" t="s">
        <v>359</v>
      </c>
      <c r="H3470" s="803"/>
      <c r="I3470" s="804">
        <v>4245000</v>
      </c>
      <c r="J3470" s="804">
        <v>3000</v>
      </c>
      <c r="K3470" s="804">
        <v>1415</v>
      </c>
      <c r="L3470" s="805" t="s">
        <v>3632</v>
      </c>
      <c r="M3470" s="801" t="s">
        <v>780</v>
      </c>
      <c r="N3470" s="801" t="s">
        <v>781</v>
      </c>
      <c r="O3470" s="801" t="s">
        <v>4747</v>
      </c>
      <c r="P3470" s="801" t="s">
        <v>3489</v>
      </c>
      <c r="Q3470" s="801" t="s">
        <v>4748</v>
      </c>
      <c r="R3470" s="801" t="s">
        <v>1143</v>
      </c>
      <c r="S3470" s="801" t="s">
        <v>4750</v>
      </c>
      <c r="T3470" s="801" t="s">
        <v>786</v>
      </c>
    </row>
    <row r="3471" spans="1:20" s="795" customFormat="1" ht="13">
      <c r="A3471" s="800" t="s">
        <v>382</v>
      </c>
      <c r="B3471" s="800"/>
      <c r="C3471" s="801" t="s">
        <v>2821</v>
      </c>
      <c r="D3471" s="802"/>
      <c r="E3471" s="800"/>
      <c r="F3471" s="801" t="s">
        <v>358</v>
      </c>
      <c r="G3471" s="801" t="s">
        <v>359</v>
      </c>
      <c r="H3471" s="803"/>
      <c r="I3471" s="804">
        <v>-7125000</v>
      </c>
      <c r="J3471" s="804">
        <v>-5000</v>
      </c>
      <c r="K3471" s="804">
        <v>1425</v>
      </c>
      <c r="L3471" s="805" t="s">
        <v>3504</v>
      </c>
      <c r="M3471" s="801" t="s">
        <v>780</v>
      </c>
      <c r="N3471" s="801" t="s">
        <v>1407</v>
      </c>
      <c r="O3471" s="801" t="s">
        <v>3920</v>
      </c>
      <c r="P3471" s="801" t="s">
        <v>3489</v>
      </c>
      <c r="Q3471" s="801" t="s">
        <v>3921</v>
      </c>
      <c r="R3471" s="801" t="s">
        <v>2318</v>
      </c>
      <c r="S3471" s="801" t="s">
        <v>3922</v>
      </c>
      <c r="T3471" s="801" t="s">
        <v>786</v>
      </c>
    </row>
    <row r="3472" spans="1:20" s="795" customFormat="1" ht="13">
      <c r="A3472" s="800" t="s">
        <v>382</v>
      </c>
      <c r="B3472" s="800"/>
      <c r="C3472" s="801" t="s">
        <v>2821</v>
      </c>
      <c r="D3472" s="802"/>
      <c r="E3472" s="800"/>
      <c r="F3472" s="801" t="s">
        <v>358</v>
      </c>
      <c r="G3472" s="801" t="s">
        <v>359</v>
      </c>
      <c r="H3472" s="803"/>
      <c r="I3472" s="804">
        <v>-7125000</v>
      </c>
      <c r="J3472" s="804">
        <v>-5000</v>
      </c>
      <c r="K3472" s="804">
        <v>1425</v>
      </c>
      <c r="L3472" s="805" t="s">
        <v>3727</v>
      </c>
      <c r="M3472" s="801" t="s">
        <v>780</v>
      </c>
      <c r="N3472" s="801" t="s">
        <v>781</v>
      </c>
      <c r="O3472" s="801" t="s">
        <v>4847</v>
      </c>
      <c r="P3472" s="801" t="s">
        <v>3489</v>
      </c>
      <c r="Q3472" s="801" t="s">
        <v>4848</v>
      </c>
      <c r="R3472" s="801" t="s">
        <v>1107</v>
      </c>
      <c r="S3472" s="801" t="s">
        <v>4849</v>
      </c>
      <c r="T3472" s="801" t="s">
        <v>786</v>
      </c>
    </row>
    <row r="3473" spans="1:20" s="795" customFormat="1" ht="13">
      <c r="A3473" s="800" t="s">
        <v>382</v>
      </c>
      <c r="B3473" s="800"/>
      <c r="C3473" s="801" t="s">
        <v>2821</v>
      </c>
      <c r="D3473" s="802"/>
      <c r="E3473" s="800"/>
      <c r="F3473" s="801" t="s">
        <v>358</v>
      </c>
      <c r="G3473" s="801" t="s">
        <v>359</v>
      </c>
      <c r="H3473" s="803"/>
      <c r="I3473" s="804">
        <v>7125000</v>
      </c>
      <c r="J3473" s="804">
        <v>5000</v>
      </c>
      <c r="K3473" s="804">
        <v>1425</v>
      </c>
      <c r="L3473" s="805" t="s">
        <v>3727</v>
      </c>
      <c r="M3473" s="801" t="s">
        <v>780</v>
      </c>
      <c r="N3473" s="801" t="s">
        <v>781</v>
      </c>
      <c r="O3473" s="801" t="s">
        <v>4853</v>
      </c>
      <c r="P3473" s="801" t="s">
        <v>3489</v>
      </c>
      <c r="Q3473" s="801" t="s">
        <v>4854</v>
      </c>
      <c r="R3473" s="801" t="s">
        <v>1107</v>
      </c>
      <c r="S3473" s="801" t="s">
        <v>4855</v>
      </c>
      <c r="T3473" s="801" t="s">
        <v>786</v>
      </c>
    </row>
    <row r="3474" spans="1:20" s="795" customFormat="1" ht="13">
      <c r="A3474" s="800" t="s">
        <v>382</v>
      </c>
      <c r="B3474" s="800"/>
      <c r="C3474" s="801" t="s">
        <v>2821</v>
      </c>
      <c r="D3474" s="802"/>
      <c r="E3474" s="800"/>
      <c r="F3474" s="801" t="s">
        <v>358</v>
      </c>
      <c r="G3474" s="801" t="s">
        <v>359</v>
      </c>
      <c r="H3474" s="803"/>
      <c r="I3474" s="804">
        <v>7125000</v>
      </c>
      <c r="J3474" s="804">
        <v>5000</v>
      </c>
      <c r="K3474" s="804">
        <v>1425</v>
      </c>
      <c r="L3474" s="805" t="s">
        <v>3504</v>
      </c>
      <c r="M3474" s="801" t="s">
        <v>780</v>
      </c>
      <c r="N3474" s="801" t="s">
        <v>781</v>
      </c>
      <c r="O3474" s="801" t="s">
        <v>4804</v>
      </c>
      <c r="P3474" s="801" t="s">
        <v>3489</v>
      </c>
      <c r="Q3474" s="801" t="s">
        <v>4805</v>
      </c>
      <c r="R3474" s="801" t="s">
        <v>4856</v>
      </c>
      <c r="S3474" s="801" t="s">
        <v>4807</v>
      </c>
      <c r="T3474" s="801" t="s">
        <v>786</v>
      </c>
    </row>
    <row r="3475" spans="1:20" s="795" customFormat="1" ht="13">
      <c r="A3475" s="800" t="s">
        <v>382</v>
      </c>
      <c r="B3475" s="800"/>
      <c r="C3475" s="801" t="s">
        <v>2821</v>
      </c>
      <c r="D3475" s="802"/>
      <c r="E3475" s="800"/>
      <c r="F3475" s="801" t="s">
        <v>358</v>
      </c>
      <c r="G3475" s="801" t="s">
        <v>359</v>
      </c>
      <c r="H3475" s="803"/>
      <c r="I3475" s="804">
        <v>-1052038.3500000001</v>
      </c>
      <c r="J3475" s="804">
        <v>-743.49</v>
      </c>
      <c r="K3475" s="804">
        <v>1415</v>
      </c>
      <c r="L3475" s="805" t="s">
        <v>3632</v>
      </c>
      <c r="M3475" s="801" t="s">
        <v>780</v>
      </c>
      <c r="N3475" s="801" t="s">
        <v>781</v>
      </c>
      <c r="O3475" s="801" t="s">
        <v>4823</v>
      </c>
      <c r="P3475" s="801" t="s">
        <v>3489</v>
      </c>
      <c r="Q3475" s="801" t="s">
        <v>4824</v>
      </c>
      <c r="R3475" s="801" t="s">
        <v>1107</v>
      </c>
      <c r="S3475" s="801" t="s">
        <v>4825</v>
      </c>
      <c r="T3475" s="801" t="s">
        <v>786</v>
      </c>
    </row>
    <row r="3476" spans="1:20" s="795" customFormat="1" ht="13">
      <c r="A3476" s="800" t="s">
        <v>382</v>
      </c>
      <c r="B3476" s="800"/>
      <c r="C3476" s="801" t="s">
        <v>2821</v>
      </c>
      <c r="D3476" s="802"/>
      <c r="E3476" s="800"/>
      <c r="F3476" s="801" t="s">
        <v>358</v>
      </c>
      <c r="G3476" s="801" t="s">
        <v>359</v>
      </c>
      <c r="H3476" s="803"/>
      <c r="I3476" s="804">
        <v>-1052038.3500000001</v>
      </c>
      <c r="J3476" s="804">
        <v>-743.49</v>
      </c>
      <c r="K3476" s="804">
        <v>1415</v>
      </c>
      <c r="L3476" s="805" t="s">
        <v>3632</v>
      </c>
      <c r="M3476" s="801" t="s">
        <v>780</v>
      </c>
      <c r="N3476" s="801" t="s">
        <v>781</v>
      </c>
      <c r="O3476" s="801" t="s">
        <v>4850</v>
      </c>
      <c r="P3476" s="801" t="s">
        <v>3489</v>
      </c>
      <c r="Q3476" s="801" t="s">
        <v>4851</v>
      </c>
      <c r="R3476" s="801" t="s">
        <v>1107</v>
      </c>
      <c r="S3476" s="801" t="s">
        <v>4852</v>
      </c>
      <c r="T3476" s="801" t="s">
        <v>786</v>
      </c>
    </row>
    <row r="3477" spans="1:20" s="795" customFormat="1" ht="13">
      <c r="A3477" s="800" t="s">
        <v>382</v>
      </c>
      <c r="B3477" s="800"/>
      <c r="C3477" s="801" t="s">
        <v>2821</v>
      </c>
      <c r="D3477" s="802"/>
      <c r="E3477" s="800"/>
      <c r="F3477" s="801" t="s">
        <v>358</v>
      </c>
      <c r="G3477" s="801" t="s">
        <v>359</v>
      </c>
      <c r="H3477" s="803"/>
      <c r="I3477" s="804">
        <v>2104076.7000000002</v>
      </c>
      <c r="J3477" s="804">
        <v>1486.98</v>
      </c>
      <c r="K3477" s="804">
        <v>1415</v>
      </c>
      <c r="L3477" s="805" t="s">
        <v>3493</v>
      </c>
      <c r="M3477" s="801" t="s">
        <v>780</v>
      </c>
      <c r="N3477" s="801" t="s">
        <v>781</v>
      </c>
      <c r="O3477" s="801" t="s">
        <v>4902</v>
      </c>
      <c r="P3477" s="801" t="s">
        <v>3489</v>
      </c>
      <c r="Q3477" s="801" t="s">
        <v>4903</v>
      </c>
      <c r="R3477" s="801" t="s">
        <v>4900</v>
      </c>
      <c r="S3477" s="801" t="s">
        <v>4904</v>
      </c>
      <c r="T3477" s="801" t="s">
        <v>786</v>
      </c>
    </row>
    <row r="3478" spans="1:20" s="795" customFormat="1" ht="13">
      <c r="A3478" s="800" t="s">
        <v>382</v>
      </c>
      <c r="B3478" s="800"/>
      <c r="C3478" s="801" t="s">
        <v>2821</v>
      </c>
      <c r="D3478" s="802"/>
      <c r="E3478" s="800"/>
      <c r="F3478" s="801" t="s">
        <v>358</v>
      </c>
      <c r="G3478" s="801" t="s">
        <v>359</v>
      </c>
      <c r="H3478" s="803"/>
      <c r="I3478" s="804">
        <v>-2494956.2999999998</v>
      </c>
      <c r="J3478" s="804">
        <v>-1763.22</v>
      </c>
      <c r="K3478" s="804">
        <v>1415</v>
      </c>
      <c r="L3478" s="805" t="s">
        <v>3632</v>
      </c>
      <c r="M3478" s="801" t="s">
        <v>780</v>
      </c>
      <c r="N3478" s="801" t="s">
        <v>1407</v>
      </c>
      <c r="O3478" s="801" t="s">
        <v>4095</v>
      </c>
      <c r="P3478" s="801" t="s">
        <v>3489</v>
      </c>
      <c r="Q3478" s="801" t="s">
        <v>4096</v>
      </c>
      <c r="R3478" s="801" t="s">
        <v>4098</v>
      </c>
      <c r="S3478" s="801" t="s">
        <v>4097</v>
      </c>
      <c r="T3478" s="801" t="s">
        <v>786</v>
      </c>
    </row>
    <row r="3479" spans="1:20" s="795" customFormat="1" ht="13">
      <c r="A3479" s="800" t="s">
        <v>382</v>
      </c>
      <c r="B3479" s="800"/>
      <c r="C3479" s="801" t="s">
        <v>2821</v>
      </c>
      <c r="D3479" s="802"/>
      <c r="E3479" s="800"/>
      <c r="F3479" s="801" t="s">
        <v>358</v>
      </c>
      <c r="G3479" s="801" t="s">
        <v>359</v>
      </c>
      <c r="H3479" s="803"/>
      <c r="I3479" s="804">
        <v>2494956.2999999998</v>
      </c>
      <c r="J3479" s="804">
        <v>1763.22</v>
      </c>
      <c r="K3479" s="804">
        <v>1415</v>
      </c>
      <c r="L3479" s="805" t="s">
        <v>3632</v>
      </c>
      <c r="M3479" s="801" t="s">
        <v>780</v>
      </c>
      <c r="N3479" s="801" t="s">
        <v>781</v>
      </c>
      <c r="O3479" s="801" t="s">
        <v>4735</v>
      </c>
      <c r="P3479" s="801" t="s">
        <v>3489</v>
      </c>
      <c r="Q3479" s="801" t="s">
        <v>4736</v>
      </c>
      <c r="R3479" s="801" t="s">
        <v>1181</v>
      </c>
      <c r="S3479" s="801" t="s">
        <v>4738</v>
      </c>
      <c r="T3479" s="801" t="s">
        <v>786</v>
      </c>
    </row>
    <row r="3480" spans="1:20" s="795" customFormat="1" ht="13">
      <c r="A3480" s="794"/>
      <c r="B3480" s="794"/>
      <c r="D3480" s="796"/>
      <c r="E3480" s="794"/>
      <c r="H3480" s="797"/>
      <c r="I3480" s="465"/>
      <c r="J3480" s="465"/>
      <c r="K3480" s="465"/>
      <c r="L3480" s="798"/>
    </row>
    <row r="3481" spans="1:20" s="795" customFormat="1" ht="13">
      <c r="A3481" s="794" t="s">
        <v>5841</v>
      </c>
      <c r="B3481" s="794"/>
      <c r="C3481" s="795" t="s">
        <v>2821</v>
      </c>
      <c r="D3481" s="796"/>
      <c r="E3481" s="794"/>
      <c r="F3481" s="795" t="s">
        <v>358</v>
      </c>
      <c r="G3481" s="795" t="s">
        <v>359</v>
      </c>
      <c r="H3481" s="797"/>
      <c r="I3481" s="465">
        <v>-8490000</v>
      </c>
      <c r="J3481" s="465">
        <v>-6000</v>
      </c>
      <c r="K3481" s="465">
        <v>1415</v>
      </c>
      <c r="L3481" s="798" t="s">
        <v>3632</v>
      </c>
      <c r="M3481" s="795" t="s">
        <v>780</v>
      </c>
      <c r="N3481" s="795" t="s">
        <v>1407</v>
      </c>
      <c r="O3481" s="795" t="s">
        <v>4095</v>
      </c>
      <c r="P3481" s="795" t="s">
        <v>3489</v>
      </c>
      <c r="Q3481" s="795" t="s">
        <v>4096</v>
      </c>
      <c r="R3481" s="795" t="s">
        <v>4093</v>
      </c>
      <c r="S3481" s="795" t="s">
        <v>4097</v>
      </c>
      <c r="T3481" s="795" t="s">
        <v>786</v>
      </c>
    </row>
    <row r="3482" spans="1:20" s="795" customFormat="1" ht="13">
      <c r="A3482" s="794" t="s">
        <v>5841</v>
      </c>
      <c r="B3482" s="794"/>
      <c r="C3482" s="795" t="s">
        <v>2821</v>
      </c>
      <c r="D3482" s="796"/>
      <c r="E3482" s="794"/>
      <c r="F3482" s="795" t="s">
        <v>358</v>
      </c>
      <c r="G3482" s="795" t="s">
        <v>359</v>
      </c>
      <c r="H3482" s="797"/>
      <c r="I3482" s="465">
        <v>-8490000</v>
      </c>
      <c r="J3482" s="465">
        <v>-6000</v>
      </c>
      <c r="K3482" s="465">
        <v>1415</v>
      </c>
      <c r="L3482" s="798" t="s">
        <v>3632</v>
      </c>
      <c r="M3482" s="795" t="s">
        <v>780</v>
      </c>
      <c r="N3482" s="795" t="s">
        <v>1407</v>
      </c>
      <c r="O3482" s="795" t="s">
        <v>3926</v>
      </c>
      <c r="P3482" s="795" t="s">
        <v>3489</v>
      </c>
      <c r="Q3482" s="795" t="s">
        <v>3927</v>
      </c>
      <c r="R3482" s="795" t="s">
        <v>4093</v>
      </c>
      <c r="S3482" s="795" t="s">
        <v>3928</v>
      </c>
      <c r="T3482" s="795" t="s">
        <v>786</v>
      </c>
    </row>
    <row r="3483" spans="1:20" s="795" customFormat="1" ht="13">
      <c r="A3483" s="794" t="s">
        <v>5841</v>
      </c>
      <c r="B3483" s="794"/>
      <c r="C3483" s="795" t="s">
        <v>2821</v>
      </c>
      <c r="D3483" s="796"/>
      <c r="E3483" s="794"/>
      <c r="F3483" s="795" t="s">
        <v>358</v>
      </c>
      <c r="G3483" s="795" t="s">
        <v>359</v>
      </c>
      <c r="H3483" s="797"/>
      <c r="I3483" s="465">
        <v>-8490000</v>
      </c>
      <c r="J3483" s="465">
        <v>-6000</v>
      </c>
      <c r="K3483" s="465">
        <v>1415</v>
      </c>
      <c r="L3483" s="798" t="s">
        <v>3632</v>
      </c>
      <c r="M3483" s="795" t="s">
        <v>780</v>
      </c>
      <c r="N3483" s="795" t="s">
        <v>781</v>
      </c>
      <c r="O3483" s="795" t="s">
        <v>4823</v>
      </c>
      <c r="P3483" s="795" t="s">
        <v>3489</v>
      </c>
      <c r="Q3483" s="795" t="s">
        <v>4824</v>
      </c>
      <c r="R3483" s="795" t="s">
        <v>1107</v>
      </c>
      <c r="S3483" s="795" t="s">
        <v>4825</v>
      </c>
      <c r="T3483" s="795" t="s">
        <v>786</v>
      </c>
    </row>
    <row r="3484" spans="1:20" s="795" customFormat="1" ht="13">
      <c r="A3484" s="794" t="s">
        <v>5841</v>
      </c>
      <c r="B3484" s="794"/>
      <c r="C3484" s="795" t="s">
        <v>2821</v>
      </c>
      <c r="D3484" s="796"/>
      <c r="E3484" s="794"/>
      <c r="F3484" s="795" t="s">
        <v>358</v>
      </c>
      <c r="G3484" s="795" t="s">
        <v>359</v>
      </c>
      <c r="H3484" s="797"/>
      <c r="I3484" s="465">
        <v>-8490000</v>
      </c>
      <c r="J3484" s="465">
        <v>-6000</v>
      </c>
      <c r="K3484" s="465">
        <v>1415</v>
      </c>
      <c r="L3484" s="798" t="s">
        <v>3632</v>
      </c>
      <c r="M3484" s="795" t="s">
        <v>780</v>
      </c>
      <c r="N3484" s="795" t="s">
        <v>781</v>
      </c>
      <c r="O3484" s="795" t="s">
        <v>4850</v>
      </c>
      <c r="P3484" s="795" t="s">
        <v>3489</v>
      </c>
      <c r="Q3484" s="795" t="s">
        <v>4851</v>
      </c>
      <c r="R3484" s="795" t="s">
        <v>1107</v>
      </c>
      <c r="S3484" s="795" t="s">
        <v>4852</v>
      </c>
      <c r="T3484" s="795" t="s">
        <v>786</v>
      </c>
    </row>
    <row r="3485" spans="1:20" s="795" customFormat="1" ht="13">
      <c r="A3485" s="794" t="s">
        <v>5841</v>
      </c>
      <c r="B3485" s="794"/>
      <c r="C3485" s="795" t="s">
        <v>2821</v>
      </c>
      <c r="D3485" s="796"/>
      <c r="E3485" s="794"/>
      <c r="F3485" s="795" t="s">
        <v>358</v>
      </c>
      <c r="G3485" s="795" t="s">
        <v>359</v>
      </c>
      <c r="H3485" s="797"/>
      <c r="I3485" s="465">
        <v>8490000</v>
      </c>
      <c r="J3485" s="465">
        <v>6000</v>
      </c>
      <c r="K3485" s="465">
        <v>1415</v>
      </c>
      <c r="L3485" s="798" t="s">
        <v>3493</v>
      </c>
      <c r="M3485" s="795" t="s">
        <v>780</v>
      </c>
      <c r="N3485" s="795" t="s">
        <v>1407</v>
      </c>
      <c r="O3485" s="795" t="s">
        <v>4905</v>
      </c>
      <c r="P3485" s="795" t="s">
        <v>3489</v>
      </c>
      <c r="Q3485" s="795" t="s">
        <v>4906</v>
      </c>
      <c r="R3485" s="795" t="s">
        <v>4900</v>
      </c>
      <c r="S3485" s="795" t="s">
        <v>4907</v>
      </c>
      <c r="T3485" s="795" t="s">
        <v>786</v>
      </c>
    </row>
    <row r="3486" spans="1:20" s="795" customFormat="1" ht="13">
      <c r="A3486" s="794" t="s">
        <v>5841</v>
      </c>
      <c r="B3486" s="794"/>
      <c r="C3486" s="795" t="s">
        <v>2821</v>
      </c>
      <c r="D3486" s="796"/>
      <c r="E3486" s="794"/>
      <c r="F3486" s="795" t="s">
        <v>358</v>
      </c>
      <c r="G3486" s="795" t="s">
        <v>359</v>
      </c>
      <c r="H3486" s="797"/>
      <c r="I3486" s="465">
        <v>16980000</v>
      </c>
      <c r="J3486" s="465">
        <v>12000</v>
      </c>
      <c r="K3486" s="465">
        <v>1415</v>
      </c>
      <c r="L3486" s="798" t="s">
        <v>3493</v>
      </c>
      <c r="M3486" s="795" t="s">
        <v>780</v>
      </c>
      <c r="N3486" s="795" t="s">
        <v>781</v>
      </c>
      <c r="O3486" s="795" t="s">
        <v>4902</v>
      </c>
      <c r="P3486" s="795" t="s">
        <v>3489</v>
      </c>
      <c r="Q3486" s="795" t="s">
        <v>4903</v>
      </c>
      <c r="R3486" s="795" t="s">
        <v>4900</v>
      </c>
      <c r="S3486" s="795" t="s">
        <v>4904</v>
      </c>
      <c r="T3486" s="795" t="s">
        <v>786</v>
      </c>
    </row>
    <row r="3487" spans="1:20" s="795" customFormat="1" ht="13">
      <c r="A3487" s="794" t="s">
        <v>5841</v>
      </c>
      <c r="B3487" s="794"/>
      <c r="C3487" s="795" t="s">
        <v>2821</v>
      </c>
      <c r="D3487" s="796"/>
      <c r="E3487" s="794"/>
      <c r="F3487" s="795" t="s">
        <v>358</v>
      </c>
      <c r="G3487" s="795" t="s">
        <v>359</v>
      </c>
      <c r="H3487" s="797"/>
      <c r="I3487" s="465">
        <v>8430000</v>
      </c>
      <c r="J3487" s="465">
        <v>6000</v>
      </c>
      <c r="K3487" s="465">
        <v>1405</v>
      </c>
      <c r="L3487" s="798" t="s">
        <v>3493</v>
      </c>
      <c r="M3487" s="795" t="s">
        <v>780</v>
      </c>
      <c r="N3487" s="795" t="s">
        <v>1407</v>
      </c>
      <c r="O3487" s="795" t="s">
        <v>4898</v>
      </c>
      <c r="P3487" s="795" t="s">
        <v>3489</v>
      </c>
      <c r="Q3487" s="795" t="s">
        <v>4899</v>
      </c>
      <c r="R3487" s="795" t="s">
        <v>4900</v>
      </c>
      <c r="S3487" s="795" t="s">
        <v>4901</v>
      </c>
      <c r="T3487" s="795" t="s">
        <v>786</v>
      </c>
    </row>
    <row r="3488" spans="1:20" s="795" customFormat="1" ht="13">
      <c r="A3488" s="794" t="s">
        <v>5841</v>
      </c>
      <c r="B3488" s="794"/>
      <c r="C3488" s="795" t="s">
        <v>2821</v>
      </c>
      <c r="D3488" s="796"/>
      <c r="E3488" s="794"/>
      <c r="F3488" s="795" t="s">
        <v>358</v>
      </c>
      <c r="G3488" s="795" t="s">
        <v>359</v>
      </c>
      <c r="H3488" s="797"/>
      <c r="I3488" s="465">
        <v>-2830000</v>
      </c>
      <c r="J3488" s="465">
        <v>-2000</v>
      </c>
      <c r="K3488" s="465">
        <v>1415</v>
      </c>
      <c r="L3488" s="798" t="s">
        <v>3632</v>
      </c>
      <c r="M3488" s="795" t="s">
        <v>780</v>
      </c>
      <c r="N3488" s="795" t="s">
        <v>1407</v>
      </c>
      <c r="O3488" s="795" t="s">
        <v>4095</v>
      </c>
      <c r="P3488" s="795" t="s">
        <v>3489</v>
      </c>
      <c r="Q3488" s="795" t="s">
        <v>4096</v>
      </c>
      <c r="R3488" s="795" t="s">
        <v>4093</v>
      </c>
      <c r="S3488" s="795" t="s">
        <v>4097</v>
      </c>
      <c r="T3488" s="795" t="s">
        <v>786</v>
      </c>
    </row>
    <row r="3489" spans="1:20" s="795" customFormat="1" ht="13">
      <c r="A3489" s="794" t="s">
        <v>5841</v>
      </c>
      <c r="B3489" s="794"/>
      <c r="C3489" s="795" t="s">
        <v>2821</v>
      </c>
      <c r="D3489" s="796"/>
      <c r="E3489" s="794"/>
      <c r="F3489" s="795" t="s">
        <v>358</v>
      </c>
      <c r="G3489" s="795" t="s">
        <v>359</v>
      </c>
      <c r="H3489" s="797"/>
      <c r="I3489" s="465">
        <v>2810000</v>
      </c>
      <c r="J3489" s="465">
        <v>2000</v>
      </c>
      <c r="K3489" s="465">
        <v>1405</v>
      </c>
      <c r="L3489" s="798" t="s">
        <v>3493</v>
      </c>
      <c r="M3489" s="795" t="s">
        <v>780</v>
      </c>
      <c r="N3489" s="795" t="s">
        <v>1407</v>
      </c>
      <c r="O3489" s="795" t="s">
        <v>4898</v>
      </c>
      <c r="P3489" s="795" t="s">
        <v>3489</v>
      </c>
      <c r="Q3489" s="795" t="s">
        <v>4899</v>
      </c>
      <c r="R3489" s="795" t="s">
        <v>4900</v>
      </c>
      <c r="S3489" s="795" t="s">
        <v>4901</v>
      </c>
      <c r="T3489" s="795" t="s">
        <v>786</v>
      </c>
    </row>
    <row r="3490" spans="1:20" s="795" customFormat="1" ht="13">
      <c r="A3490" s="794" t="s">
        <v>5841</v>
      </c>
      <c r="B3490" s="794"/>
      <c r="C3490" s="795" t="s">
        <v>2821</v>
      </c>
      <c r="D3490" s="796"/>
      <c r="E3490" s="794"/>
      <c r="F3490" s="795" t="s">
        <v>358</v>
      </c>
      <c r="G3490" s="795" t="s">
        <v>359</v>
      </c>
      <c r="H3490" s="797"/>
      <c r="I3490" s="465">
        <v>-11200000</v>
      </c>
      <c r="J3490" s="465">
        <v>-8000</v>
      </c>
      <c r="K3490" s="465">
        <v>1400</v>
      </c>
      <c r="L3490" s="798" t="s">
        <v>3659</v>
      </c>
      <c r="M3490" s="795" t="s">
        <v>780</v>
      </c>
      <c r="N3490" s="795" t="s">
        <v>1407</v>
      </c>
      <c r="O3490" s="795" t="s">
        <v>4091</v>
      </c>
      <c r="P3490" s="795" t="s">
        <v>3489</v>
      </c>
      <c r="Q3490" s="795" t="s">
        <v>4092</v>
      </c>
      <c r="R3490" s="795" t="s">
        <v>4093</v>
      </c>
      <c r="S3490" s="795" t="s">
        <v>4094</v>
      </c>
      <c r="T3490" s="795" t="s">
        <v>786</v>
      </c>
    </row>
    <row r="3491" spans="1:20" s="795" customFormat="1" ht="13">
      <c r="A3491" s="794" t="s">
        <v>5841</v>
      </c>
      <c r="B3491" s="794"/>
      <c r="C3491" s="795" t="s">
        <v>2821</v>
      </c>
      <c r="D3491" s="796"/>
      <c r="E3491" s="794"/>
      <c r="F3491" s="795" t="s">
        <v>358</v>
      </c>
      <c r="G3491" s="795" t="s">
        <v>359</v>
      </c>
      <c r="H3491" s="797"/>
      <c r="I3491" s="465">
        <v>-11200000</v>
      </c>
      <c r="J3491" s="465">
        <v>-8000</v>
      </c>
      <c r="K3491" s="465">
        <v>1400</v>
      </c>
      <c r="L3491" s="798" t="s">
        <v>3659</v>
      </c>
      <c r="M3491" s="795" t="s">
        <v>780</v>
      </c>
      <c r="N3491" s="795" t="s">
        <v>1407</v>
      </c>
      <c r="O3491" s="795" t="s">
        <v>4017</v>
      </c>
      <c r="P3491" s="795" t="s">
        <v>3489</v>
      </c>
      <c r="Q3491" s="795" t="s">
        <v>4018</v>
      </c>
      <c r="R3491" s="795" t="s">
        <v>4093</v>
      </c>
      <c r="S3491" s="795" t="s">
        <v>4020</v>
      </c>
      <c r="T3491" s="795" t="s">
        <v>786</v>
      </c>
    </row>
    <row r="3492" spans="1:20" s="795" customFormat="1" ht="13">
      <c r="A3492" s="794" t="s">
        <v>5841</v>
      </c>
      <c r="B3492" s="794"/>
      <c r="C3492" s="795" t="s">
        <v>2821</v>
      </c>
      <c r="D3492" s="796"/>
      <c r="E3492" s="794"/>
      <c r="F3492" s="795" t="s">
        <v>358</v>
      </c>
      <c r="G3492" s="795" t="s">
        <v>359</v>
      </c>
      <c r="H3492" s="797"/>
      <c r="I3492" s="465">
        <v>11240000</v>
      </c>
      <c r="J3492" s="465">
        <v>8000</v>
      </c>
      <c r="K3492" s="465">
        <v>1405</v>
      </c>
      <c r="L3492" s="798" t="s">
        <v>3493</v>
      </c>
      <c r="M3492" s="795" t="s">
        <v>780</v>
      </c>
      <c r="N3492" s="795" t="s">
        <v>1407</v>
      </c>
      <c r="O3492" s="795" t="s">
        <v>4898</v>
      </c>
      <c r="P3492" s="795" t="s">
        <v>3489</v>
      </c>
      <c r="Q3492" s="795" t="s">
        <v>4899</v>
      </c>
      <c r="R3492" s="795" t="s">
        <v>4908</v>
      </c>
      <c r="S3492" s="795" t="s">
        <v>4901</v>
      </c>
      <c r="T3492" s="795" t="s">
        <v>786</v>
      </c>
    </row>
    <row r="3493" spans="1:20" s="795" customFormat="1" ht="13">
      <c r="A3493" s="794" t="s">
        <v>5841</v>
      </c>
      <c r="B3493" s="794"/>
      <c r="C3493" s="795" t="s">
        <v>2821</v>
      </c>
      <c r="D3493" s="796"/>
      <c r="E3493" s="794"/>
      <c r="F3493" s="795" t="s">
        <v>358</v>
      </c>
      <c r="G3493" s="795" t="s">
        <v>359</v>
      </c>
      <c r="H3493" s="797"/>
      <c r="I3493" s="465">
        <v>11320000</v>
      </c>
      <c r="J3493" s="465">
        <v>8000</v>
      </c>
      <c r="K3493" s="465">
        <v>1415</v>
      </c>
      <c r="L3493" s="798" t="s">
        <v>3493</v>
      </c>
      <c r="M3493" s="795" t="s">
        <v>780</v>
      </c>
      <c r="N3493" s="795" t="s">
        <v>1407</v>
      </c>
      <c r="O3493" s="795" t="s">
        <v>4905</v>
      </c>
      <c r="P3493" s="795" t="s">
        <v>3489</v>
      </c>
      <c r="Q3493" s="795" t="s">
        <v>4906</v>
      </c>
      <c r="R3493" s="795" t="s">
        <v>4908</v>
      </c>
      <c r="S3493" s="795" t="s">
        <v>4907</v>
      </c>
      <c r="T3493" s="795" t="s">
        <v>786</v>
      </c>
    </row>
    <row r="3494" spans="1:20" s="795" customFormat="1" ht="13">
      <c r="A3494" s="794" t="s">
        <v>5843</v>
      </c>
      <c r="B3494" s="794"/>
      <c r="C3494" s="795" t="s">
        <v>2821</v>
      </c>
      <c r="D3494" s="796"/>
      <c r="E3494" s="794"/>
      <c r="F3494" s="795" t="s">
        <v>358</v>
      </c>
      <c r="G3494" s="795" t="s">
        <v>359</v>
      </c>
      <c r="H3494" s="797"/>
      <c r="I3494" s="465">
        <v>36000000</v>
      </c>
      <c r="J3494" s="465">
        <v>25000</v>
      </c>
      <c r="K3494" s="465">
        <v>1440</v>
      </c>
      <c r="L3494" s="798" t="s">
        <v>4128</v>
      </c>
      <c r="M3494" s="795" t="s">
        <v>780</v>
      </c>
      <c r="N3494" s="795" t="s">
        <v>1407</v>
      </c>
      <c r="O3494" s="795" t="s">
        <v>4129</v>
      </c>
      <c r="P3494" s="795" t="s">
        <v>892</v>
      </c>
      <c r="Q3494" s="795" t="s">
        <v>4130</v>
      </c>
      <c r="R3494" s="795" t="s">
        <v>4131</v>
      </c>
      <c r="S3494" s="795" t="s">
        <v>4132</v>
      </c>
      <c r="T3494" s="795" t="s">
        <v>786</v>
      </c>
    </row>
    <row r="3495" spans="1:20" s="795" customFormat="1" ht="13">
      <c r="A3495" s="794" t="s">
        <v>5843</v>
      </c>
      <c r="B3495" s="794"/>
      <c r="C3495" s="795" t="s">
        <v>2821</v>
      </c>
      <c r="D3495" s="796"/>
      <c r="E3495" s="794"/>
      <c r="F3495" s="795" t="s">
        <v>358</v>
      </c>
      <c r="G3495" s="795" t="s">
        <v>359</v>
      </c>
      <c r="H3495" s="797"/>
      <c r="I3495" s="465">
        <v>-35949600</v>
      </c>
      <c r="J3495" s="465">
        <v>-24965</v>
      </c>
      <c r="K3495" s="465">
        <v>1440</v>
      </c>
      <c r="L3495" s="798" t="s">
        <v>3916</v>
      </c>
      <c r="M3495" s="795" t="s">
        <v>780</v>
      </c>
      <c r="N3495" s="795" t="s">
        <v>1407</v>
      </c>
      <c r="O3495" s="795" t="s">
        <v>3917</v>
      </c>
      <c r="P3495" s="795" t="s">
        <v>892</v>
      </c>
      <c r="Q3495" s="795" t="s">
        <v>3918</v>
      </c>
      <c r="R3495" s="795" t="s">
        <v>1432</v>
      </c>
      <c r="S3495" s="795" t="s">
        <v>3919</v>
      </c>
      <c r="T3495" s="795" t="s">
        <v>786</v>
      </c>
    </row>
    <row r="3496" spans="1:20" s="795" customFormat="1" ht="13">
      <c r="A3496" s="794" t="s">
        <v>5843</v>
      </c>
      <c r="B3496" s="794"/>
      <c r="C3496" s="795" t="s">
        <v>2821</v>
      </c>
      <c r="D3496" s="796"/>
      <c r="E3496" s="794"/>
      <c r="F3496" s="795" t="s">
        <v>358</v>
      </c>
      <c r="G3496" s="795" t="s">
        <v>359</v>
      </c>
      <c r="H3496" s="797"/>
      <c r="I3496" s="465">
        <v>-12084712.5</v>
      </c>
      <c r="J3496" s="465">
        <v>-8480.5</v>
      </c>
      <c r="K3496" s="465">
        <v>1425</v>
      </c>
      <c r="L3496" s="798" t="s">
        <v>3504</v>
      </c>
      <c r="M3496" s="795" t="s">
        <v>780</v>
      </c>
      <c r="N3496" s="795" t="s">
        <v>781</v>
      </c>
      <c r="O3496" s="795" t="s">
        <v>4817</v>
      </c>
      <c r="P3496" s="795" t="s">
        <v>3489</v>
      </c>
      <c r="Q3496" s="795" t="s">
        <v>4818</v>
      </c>
      <c r="R3496" s="795" t="s">
        <v>806</v>
      </c>
      <c r="S3496" s="795" t="s">
        <v>4819</v>
      </c>
      <c r="T3496" s="795" t="s">
        <v>786</v>
      </c>
    </row>
    <row r="3497" spans="1:20" s="795" customFormat="1" ht="13">
      <c r="A3497" s="794" t="s">
        <v>5843</v>
      </c>
      <c r="B3497" s="794"/>
      <c r="C3497" s="795" t="s">
        <v>2821</v>
      </c>
      <c r="D3497" s="796"/>
      <c r="E3497" s="794"/>
      <c r="F3497" s="795" t="s">
        <v>358</v>
      </c>
      <c r="G3497" s="795" t="s">
        <v>359</v>
      </c>
      <c r="H3497" s="797"/>
      <c r="I3497" s="465">
        <v>12112500</v>
      </c>
      <c r="J3497" s="465">
        <v>8500</v>
      </c>
      <c r="K3497" s="465">
        <v>1425</v>
      </c>
      <c r="L3497" s="798" t="s">
        <v>3552</v>
      </c>
      <c r="M3497" s="795" t="s">
        <v>780</v>
      </c>
      <c r="N3497" s="795" t="s">
        <v>781</v>
      </c>
      <c r="O3497" s="795" t="s">
        <v>4111</v>
      </c>
      <c r="P3497" s="795" t="s">
        <v>3489</v>
      </c>
      <c r="Q3497" s="795" t="s">
        <v>4112</v>
      </c>
      <c r="R3497" s="795" t="s">
        <v>4864</v>
      </c>
      <c r="S3497" s="795" t="s">
        <v>4114</v>
      </c>
      <c r="T3497" s="795" t="s">
        <v>786</v>
      </c>
    </row>
    <row r="3498" spans="1:20" s="795" customFormat="1" ht="13">
      <c r="A3498" s="794" t="s">
        <v>5843</v>
      </c>
      <c r="B3498" s="794"/>
      <c r="C3498" s="795" t="s">
        <v>2821</v>
      </c>
      <c r="D3498" s="796"/>
      <c r="E3498" s="794"/>
      <c r="F3498" s="795" t="s">
        <v>358</v>
      </c>
      <c r="G3498" s="795" t="s">
        <v>359</v>
      </c>
      <c r="H3498" s="797"/>
      <c r="I3498" s="465">
        <v>-14114625</v>
      </c>
      <c r="J3498" s="465">
        <v>-9975</v>
      </c>
      <c r="K3498" s="465">
        <v>1415</v>
      </c>
      <c r="L3498" s="798" t="s">
        <v>3632</v>
      </c>
      <c r="M3498" s="795" t="s">
        <v>780</v>
      </c>
      <c r="N3498" s="795" t="s">
        <v>1407</v>
      </c>
      <c r="O3498" s="795" t="s">
        <v>3926</v>
      </c>
      <c r="P3498" s="795" t="s">
        <v>3489</v>
      </c>
      <c r="Q3498" s="795" t="s">
        <v>3927</v>
      </c>
      <c r="R3498" s="795" t="s">
        <v>1432</v>
      </c>
      <c r="S3498" s="795" t="s">
        <v>3928</v>
      </c>
      <c r="T3498" s="795" t="s">
        <v>786</v>
      </c>
    </row>
    <row r="3499" spans="1:20" s="795" customFormat="1" ht="13">
      <c r="A3499" s="794" t="s">
        <v>5843</v>
      </c>
      <c r="B3499" s="794"/>
      <c r="C3499" s="795" t="s">
        <v>2821</v>
      </c>
      <c r="D3499" s="796"/>
      <c r="E3499" s="794"/>
      <c r="F3499" s="795" t="s">
        <v>358</v>
      </c>
      <c r="G3499" s="795" t="s">
        <v>359</v>
      </c>
      <c r="H3499" s="797"/>
      <c r="I3499" s="465">
        <v>14150000</v>
      </c>
      <c r="J3499" s="465">
        <v>10000</v>
      </c>
      <c r="K3499" s="465">
        <v>1415</v>
      </c>
      <c r="L3499" s="798" t="s">
        <v>3557</v>
      </c>
      <c r="M3499" s="795" t="s">
        <v>780</v>
      </c>
      <c r="N3499" s="795" t="s">
        <v>1407</v>
      </c>
      <c r="O3499" s="795" t="s">
        <v>4138</v>
      </c>
      <c r="P3499" s="795" t="s">
        <v>3489</v>
      </c>
      <c r="Q3499" s="795" t="s">
        <v>4139</v>
      </c>
      <c r="R3499" s="795" t="s">
        <v>4136</v>
      </c>
      <c r="S3499" s="795" t="s">
        <v>4140</v>
      </c>
      <c r="T3499" s="795" t="s">
        <v>786</v>
      </c>
    </row>
    <row r="3500" spans="1:20" s="795" customFormat="1" ht="13">
      <c r="A3500" s="794" t="s">
        <v>5843</v>
      </c>
      <c r="B3500" s="794"/>
      <c r="C3500" s="795" t="s">
        <v>2821</v>
      </c>
      <c r="D3500" s="796"/>
      <c r="E3500" s="794"/>
      <c r="F3500" s="795" t="s">
        <v>358</v>
      </c>
      <c r="G3500" s="795" t="s">
        <v>359</v>
      </c>
      <c r="H3500" s="797"/>
      <c r="I3500" s="465">
        <v>-21114750</v>
      </c>
      <c r="J3500" s="465">
        <v>-14975</v>
      </c>
      <c r="K3500" s="465">
        <v>1410</v>
      </c>
      <c r="L3500" s="798" t="s">
        <v>3498</v>
      </c>
      <c r="M3500" s="795" t="s">
        <v>780</v>
      </c>
      <c r="N3500" s="795" t="s">
        <v>781</v>
      </c>
      <c r="O3500" s="795" t="s">
        <v>4820</v>
      </c>
      <c r="P3500" s="795" t="s">
        <v>3489</v>
      </c>
      <c r="Q3500" s="795" t="s">
        <v>4821</v>
      </c>
      <c r="R3500" s="795" t="s">
        <v>806</v>
      </c>
      <c r="S3500" s="795" t="s">
        <v>4822</v>
      </c>
      <c r="T3500" s="795" t="s">
        <v>786</v>
      </c>
    </row>
    <row r="3501" spans="1:20" s="795" customFormat="1" ht="13">
      <c r="A3501" s="794" t="s">
        <v>5843</v>
      </c>
      <c r="B3501" s="794"/>
      <c r="C3501" s="795" t="s">
        <v>2821</v>
      </c>
      <c r="D3501" s="796"/>
      <c r="E3501" s="794"/>
      <c r="F3501" s="795" t="s">
        <v>358</v>
      </c>
      <c r="G3501" s="795" t="s">
        <v>359</v>
      </c>
      <c r="H3501" s="797"/>
      <c r="I3501" s="465">
        <v>21150000</v>
      </c>
      <c r="J3501" s="465">
        <v>15000</v>
      </c>
      <c r="K3501" s="465">
        <v>1410</v>
      </c>
      <c r="L3501" s="798" t="s">
        <v>4133</v>
      </c>
      <c r="M3501" s="795" t="s">
        <v>780</v>
      </c>
      <c r="N3501" s="795" t="s">
        <v>781</v>
      </c>
      <c r="O3501" s="795" t="s">
        <v>4134</v>
      </c>
      <c r="P3501" s="795" t="s">
        <v>3489</v>
      </c>
      <c r="Q3501" s="795" t="s">
        <v>4135</v>
      </c>
      <c r="R3501" s="795" t="s">
        <v>4862</v>
      </c>
      <c r="S3501" s="795" t="s">
        <v>4137</v>
      </c>
      <c r="T3501" s="795" t="s">
        <v>786</v>
      </c>
    </row>
    <row r="3502" spans="1:20" s="795" customFormat="1" ht="13">
      <c r="A3502" s="794" t="s">
        <v>5843</v>
      </c>
      <c r="B3502" s="794"/>
      <c r="C3502" s="795" t="s">
        <v>2821</v>
      </c>
      <c r="D3502" s="796"/>
      <c r="E3502" s="794"/>
      <c r="F3502" s="795" t="s">
        <v>358</v>
      </c>
      <c r="G3502" s="795" t="s">
        <v>359</v>
      </c>
      <c r="H3502" s="797"/>
      <c r="I3502" s="465">
        <v>-25434625</v>
      </c>
      <c r="J3502" s="465">
        <v>-17975</v>
      </c>
      <c r="K3502" s="465">
        <v>1415</v>
      </c>
      <c r="L3502" s="798" t="s">
        <v>3632</v>
      </c>
      <c r="M3502" s="795" t="s">
        <v>780</v>
      </c>
      <c r="N3502" s="795" t="s">
        <v>781</v>
      </c>
      <c r="O3502" s="795" t="s">
        <v>4823</v>
      </c>
      <c r="P3502" s="795" t="s">
        <v>3489</v>
      </c>
      <c r="Q3502" s="795" t="s">
        <v>4824</v>
      </c>
      <c r="R3502" s="795" t="s">
        <v>806</v>
      </c>
      <c r="S3502" s="795" t="s">
        <v>4825</v>
      </c>
      <c r="T3502" s="795" t="s">
        <v>786</v>
      </c>
    </row>
    <row r="3503" spans="1:20" s="795" customFormat="1" ht="13">
      <c r="A3503" s="794" t="s">
        <v>5843</v>
      </c>
      <c r="B3503" s="794"/>
      <c r="C3503" s="795" t="s">
        <v>2821</v>
      </c>
      <c r="D3503" s="796"/>
      <c r="E3503" s="794"/>
      <c r="F3503" s="795" t="s">
        <v>358</v>
      </c>
      <c r="G3503" s="795" t="s">
        <v>359</v>
      </c>
      <c r="H3503" s="797"/>
      <c r="I3503" s="465">
        <v>25470000</v>
      </c>
      <c r="J3503" s="465">
        <v>18000</v>
      </c>
      <c r="K3503" s="465">
        <v>1415</v>
      </c>
      <c r="L3503" s="798" t="s">
        <v>3557</v>
      </c>
      <c r="M3503" s="795" t="s">
        <v>780</v>
      </c>
      <c r="N3503" s="795" t="s">
        <v>781</v>
      </c>
      <c r="O3503" s="795" t="s">
        <v>4138</v>
      </c>
      <c r="P3503" s="795" t="s">
        <v>3489</v>
      </c>
      <c r="Q3503" s="795" t="s">
        <v>4139</v>
      </c>
      <c r="R3503" s="795" t="s">
        <v>4862</v>
      </c>
      <c r="S3503" s="795" t="s">
        <v>4140</v>
      </c>
      <c r="T3503" s="795" t="s">
        <v>786</v>
      </c>
    </row>
    <row r="3504" spans="1:20" s="795" customFormat="1" ht="13">
      <c r="A3504" s="794" t="s">
        <v>5843</v>
      </c>
      <c r="B3504" s="794"/>
      <c r="C3504" s="795" t="s">
        <v>2821</v>
      </c>
      <c r="D3504" s="796"/>
      <c r="E3504" s="794"/>
      <c r="F3504" s="795" t="s">
        <v>358</v>
      </c>
      <c r="G3504" s="795" t="s">
        <v>359</v>
      </c>
      <c r="H3504" s="797"/>
      <c r="I3504" s="465">
        <v>-27039375</v>
      </c>
      <c r="J3504" s="465">
        <v>-18975</v>
      </c>
      <c r="K3504" s="465">
        <v>1425</v>
      </c>
      <c r="L3504" s="798" t="s">
        <v>3637</v>
      </c>
      <c r="M3504" s="795" t="s">
        <v>780</v>
      </c>
      <c r="N3504" s="795" t="s">
        <v>781</v>
      </c>
      <c r="O3504" s="795" t="s">
        <v>4785</v>
      </c>
      <c r="P3504" s="795" t="s">
        <v>2865</v>
      </c>
      <c r="Q3504" s="795" t="s">
        <v>4786</v>
      </c>
      <c r="R3504" s="795" t="s">
        <v>806</v>
      </c>
      <c r="S3504" s="795" t="s">
        <v>4788</v>
      </c>
      <c r="T3504" s="795" t="s">
        <v>786</v>
      </c>
    </row>
    <row r="3505" spans="1:40" s="795" customFormat="1" ht="13">
      <c r="A3505" s="794" t="s">
        <v>5843</v>
      </c>
      <c r="B3505" s="794"/>
      <c r="C3505" s="795" t="s">
        <v>2821</v>
      </c>
      <c r="D3505" s="796"/>
      <c r="E3505" s="794"/>
      <c r="F3505" s="795" t="s">
        <v>358</v>
      </c>
      <c r="G3505" s="795" t="s">
        <v>359</v>
      </c>
      <c r="H3505" s="797"/>
      <c r="I3505" s="465">
        <v>27360000</v>
      </c>
      <c r="J3505" s="465">
        <v>19000</v>
      </c>
      <c r="K3505" s="465">
        <v>1440</v>
      </c>
      <c r="L3505" s="798" t="s">
        <v>4128</v>
      </c>
      <c r="M3505" s="795" t="s">
        <v>780</v>
      </c>
      <c r="N3505" s="795" t="s">
        <v>781</v>
      </c>
      <c r="O3505" s="795" t="s">
        <v>4129</v>
      </c>
      <c r="P3505" s="795" t="s">
        <v>892</v>
      </c>
      <c r="Q3505" s="795" t="s">
        <v>4130</v>
      </c>
      <c r="R3505" s="795" t="s">
        <v>4861</v>
      </c>
      <c r="S3505" s="795" t="s">
        <v>4132</v>
      </c>
      <c r="T3505" s="795" t="s">
        <v>786</v>
      </c>
    </row>
    <row r="3506" spans="1:40" s="795" customFormat="1" ht="13">
      <c r="A3506" s="794" t="s">
        <v>5843</v>
      </c>
      <c r="B3506" s="794"/>
      <c r="C3506" s="795" t="s">
        <v>2821</v>
      </c>
      <c r="D3506" s="796"/>
      <c r="E3506" s="794"/>
      <c r="F3506" s="795" t="s">
        <v>358</v>
      </c>
      <c r="G3506" s="795" t="s">
        <v>359</v>
      </c>
      <c r="H3506" s="797"/>
      <c r="I3506" s="465">
        <v>-29897212.5</v>
      </c>
      <c r="J3506" s="465">
        <v>-20980.5</v>
      </c>
      <c r="K3506" s="465">
        <v>1425</v>
      </c>
      <c r="L3506" s="798" t="s">
        <v>3504</v>
      </c>
      <c r="M3506" s="795" t="s">
        <v>780</v>
      </c>
      <c r="N3506" s="795" t="s">
        <v>1407</v>
      </c>
      <c r="O3506" s="795" t="s">
        <v>3920</v>
      </c>
      <c r="P3506" s="795" t="s">
        <v>3489</v>
      </c>
      <c r="Q3506" s="795" t="s">
        <v>3921</v>
      </c>
      <c r="R3506" s="795" t="s">
        <v>1432</v>
      </c>
      <c r="S3506" s="795" t="s">
        <v>3922</v>
      </c>
      <c r="T3506" s="795" t="s">
        <v>786</v>
      </c>
    </row>
    <row r="3507" spans="1:40" s="795" customFormat="1" ht="13">
      <c r="A3507" s="794" t="s">
        <v>5843</v>
      </c>
      <c r="B3507" s="794"/>
      <c r="C3507" s="795" t="s">
        <v>2821</v>
      </c>
      <c r="D3507" s="796"/>
      <c r="E3507" s="794"/>
      <c r="F3507" s="795" t="s">
        <v>358</v>
      </c>
      <c r="G3507" s="795" t="s">
        <v>359</v>
      </c>
      <c r="H3507" s="797"/>
      <c r="I3507" s="465">
        <v>29925000</v>
      </c>
      <c r="J3507" s="465">
        <v>21000</v>
      </c>
      <c r="K3507" s="465">
        <v>1425</v>
      </c>
      <c r="L3507" s="798" t="s">
        <v>3552</v>
      </c>
      <c r="M3507" s="795" t="s">
        <v>780</v>
      </c>
      <c r="N3507" s="795" t="s">
        <v>1407</v>
      </c>
      <c r="O3507" s="795" t="s">
        <v>4111</v>
      </c>
      <c r="P3507" s="795" t="s">
        <v>3489</v>
      </c>
      <c r="Q3507" s="795" t="s">
        <v>4112</v>
      </c>
      <c r="R3507" s="795" t="s">
        <v>4141</v>
      </c>
      <c r="S3507" s="795" t="s">
        <v>4114</v>
      </c>
      <c r="T3507" s="795" t="s">
        <v>786</v>
      </c>
    </row>
    <row r="3508" spans="1:40" s="795" customFormat="1" ht="13">
      <c r="A3508" s="794" t="s">
        <v>5843</v>
      </c>
      <c r="B3508" s="794"/>
      <c r="C3508" s="795" t="s">
        <v>2821</v>
      </c>
      <c r="D3508" s="796"/>
      <c r="E3508" s="794"/>
      <c r="F3508" s="795" t="s">
        <v>358</v>
      </c>
      <c r="G3508" s="795" t="s">
        <v>359</v>
      </c>
      <c r="H3508" s="797"/>
      <c r="I3508" s="465">
        <v>-56350650</v>
      </c>
      <c r="J3508" s="465">
        <v>-39965</v>
      </c>
      <c r="K3508" s="465">
        <v>1410</v>
      </c>
      <c r="L3508" s="798" t="s">
        <v>3498</v>
      </c>
      <c r="M3508" s="795" t="s">
        <v>780</v>
      </c>
      <c r="N3508" s="795" t="s">
        <v>1407</v>
      </c>
      <c r="O3508" s="795" t="s">
        <v>3923</v>
      </c>
      <c r="P3508" s="795" t="s">
        <v>3489</v>
      </c>
      <c r="Q3508" s="795" t="s">
        <v>3924</v>
      </c>
      <c r="R3508" s="795" t="s">
        <v>1432</v>
      </c>
      <c r="S3508" s="795" t="s">
        <v>3925</v>
      </c>
      <c r="T3508" s="795" t="s">
        <v>786</v>
      </c>
    </row>
    <row r="3509" spans="1:40" s="795" customFormat="1" ht="13">
      <c r="A3509" s="794" t="s">
        <v>5843</v>
      </c>
      <c r="B3509" s="794"/>
      <c r="C3509" s="795" t="s">
        <v>2821</v>
      </c>
      <c r="D3509" s="796"/>
      <c r="E3509" s="794"/>
      <c r="F3509" s="795" t="s">
        <v>358</v>
      </c>
      <c r="G3509" s="795" t="s">
        <v>359</v>
      </c>
      <c r="H3509" s="797"/>
      <c r="I3509" s="465">
        <v>56400000</v>
      </c>
      <c r="J3509" s="465">
        <v>40000</v>
      </c>
      <c r="K3509" s="465">
        <v>1410</v>
      </c>
      <c r="L3509" s="798" t="s">
        <v>4133</v>
      </c>
      <c r="M3509" s="795" t="s">
        <v>780</v>
      </c>
      <c r="N3509" s="795" t="s">
        <v>1407</v>
      </c>
      <c r="O3509" s="795" t="s">
        <v>4134</v>
      </c>
      <c r="P3509" s="795" t="s">
        <v>3489</v>
      </c>
      <c r="Q3509" s="795" t="s">
        <v>4135</v>
      </c>
      <c r="R3509" s="795" t="s">
        <v>4136</v>
      </c>
      <c r="S3509" s="795" t="s">
        <v>4137</v>
      </c>
      <c r="T3509" s="795" t="s">
        <v>786</v>
      </c>
    </row>
    <row r="3510" spans="1:40" s="751" customFormat="1" ht="13">
      <c r="A3510" s="794" t="s">
        <v>5843</v>
      </c>
      <c r="B3510" s="794"/>
      <c r="C3510" s="795" t="s">
        <v>2821</v>
      </c>
      <c r="D3510" s="796"/>
      <c r="E3510" s="794"/>
      <c r="F3510" s="795" t="s">
        <v>358</v>
      </c>
      <c r="G3510" s="795" t="s">
        <v>359</v>
      </c>
      <c r="H3510" s="797"/>
      <c r="I3510" s="465">
        <v>18720000</v>
      </c>
      <c r="J3510" s="465">
        <v>13000</v>
      </c>
      <c r="K3510" s="465">
        <v>1440</v>
      </c>
      <c r="L3510" s="798" t="s">
        <v>4128</v>
      </c>
      <c r="M3510" s="795" t="s">
        <v>780</v>
      </c>
      <c r="N3510" s="795" t="s">
        <v>1407</v>
      </c>
      <c r="O3510" s="795" t="s">
        <v>4129</v>
      </c>
      <c r="P3510" s="795" t="s">
        <v>892</v>
      </c>
      <c r="Q3510" s="795" t="s">
        <v>4130</v>
      </c>
      <c r="R3510" s="795" t="s">
        <v>4201</v>
      </c>
      <c r="S3510" s="795" t="s">
        <v>4132</v>
      </c>
      <c r="T3510" s="795" t="s">
        <v>786</v>
      </c>
    </row>
    <row r="3511" spans="1:40" s="751" customFormat="1" ht="13">
      <c r="A3511" s="794" t="s">
        <v>5843</v>
      </c>
      <c r="B3511" s="794"/>
      <c r="C3511" s="795" t="s">
        <v>2821</v>
      </c>
      <c r="D3511" s="796"/>
      <c r="E3511" s="794"/>
      <c r="F3511" s="795" t="s">
        <v>358</v>
      </c>
      <c r="G3511" s="795" t="s">
        <v>359</v>
      </c>
      <c r="H3511" s="797"/>
      <c r="I3511" s="465">
        <v>-28800000</v>
      </c>
      <c r="J3511" s="465">
        <v>-20000</v>
      </c>
      <c r="K3511" s="465">
        <v>1440</v>
      </c>
      <c r="L3511" s="798" t="s">
        <v>3911</v>
      </c>
      <c r="M3511" s="795" t="s">
        <v>780</v>
      </c>
      <c r="N3511" s="795" t="s">
        <v>1407</v>
      </c>
      <c r="O3511" s="795" t="s">
        <v>3912</v>
      </c>
      <c r="P3511" s="795" t="s">
        <v>892</v>
      </c>
      <c r="Q3511" s="795" t="s">
        <v>3913</v>
      </c>
      <c r="R3511" s="795" t="s">
        <v>3914</v>
      </c>
      <c r="S3511" s="795" t="s">
        <v>3915</v>
      </c>
      <c r="T3511" s="795" t="s">
        <v>786</v>
      </c>
    </row>
    <row r="3512" spans="1:40" ht="13">
      <c r="A3512" s="794" t="s">
        <v>5843</v>
      </c>
      <c r="B3512" s="794"/>
      <c r="C3512" s="795" t="s">
        <v>2821</v>
      </c>
      <c r="D3512" s="796"/>
      <c r="E3512" s="794"/>
      <c r="F3512" s="795" t="s">
        <v>358</v>
      </c>
      <c r="G3512" s="795" t="s">
        <v>359</v>
      </c>
      <c r="H3512" s="797"/>
      <c r="I3512" s="465">
        <v>10360000</v>
      </c>
      <c r="J3512" s="465">
        <v>7000</v>
      </c>
      <c r="K3512" s="465">
        <v>1480</v>
      </c>
      <c r="L3512" s="798" t="s">
        <v>2845</v>
      </c>
      <c r="M3512" s="795" t="s">
        <v>780</v>
      </c>
      <c r="N3512" s="795" t="s">
        <v>1407</v>
      </c>
      <c r="O3512" s="795" t="s">
        <v>3110</v>
      </c>
      <c r="P3512" s="795" t="s">
        <v>892</v>
      </c>
      <c r="Q3512" s="795" t="s">
        <v>3111</v>
      </c>
      <c r="R3512" s="795" t="s">
        <v>3112</v>
      </c>
      <c r="S3512" s="795" t="s">
        <v>3113</v>
      </c>
      <c r="T3512" s="795" t="s">
        <v>786</v>
      </c>
    </row>
    <row r="3513" spans="1:40" s="795" customFormat="1" ht="13">
      <c r="A3513" s="794"/>
      <c r="B3513" s="794"/>
      <c r="D3513" s="796"/>
      <c r="E3513" s="794"/>
      <c r="H3513" s="797"/>
      <c r="I3513" s="465"/>
      <c r="J3513" s="465"/>
      <c r="K3513" s="465"/>
      <c r="L3513" s="798"/>
    </row>
    <row r="3514" spans="1:40" s="795" customFormat="1" ht="13">
      <c r="A3514" s="794"/>
      <c r="B3514" s="794"/>
      <c r="D3514" s="796"/>
      <c r="E3514" s="794"/>
      <c r="H3514" s="797"/>
      <c r="I3514" s="465"/>
      <c r="J3514" s="465"/>
      <c r="K3514" s="465"/>
      <c r="L3514" s="798"/>
    </row>
    <row r="3515" spans="1:40" s="795" customFormat="1" ht="13">
      <c r="A3515" s="750" t="s">
        <v>5842</v>
      </c>
      <c r="B3515" s="750"/>
      <c r="C3515" s="751" t="s">
        <v>2821</v>
      </c>
      <c r="D3515" s="752"/>
      <c r="E3515" s="750"/>
      <c r="F3515" s="751" t="s">
        <v>358</v>
      </c>
      <c r="G3515" s="751" t="s">
        <v>359</v>
      </c>
      <c r="H3515" s="799">
        <f>+I3515</f>
        <v>35375</v>
      </c>
      <c r="I3515" s="470">
        <v>35375</v>
      </c>
      <c r="J3515" s="470">
        <v>25</v>
      </c>
      <c r="K3515" s="470">
        <v>1415</v>
      </c>
      <c r="L3515" s="756" t="s">
        <v>3632</v>
      </c>
      <c r="M3515" s="751" t="s">
        <v>780</v>
      </c>
      <c r="N3515" s="751" t="s">
        <v>1407</v>
      </c>
      <c r="O3515" s="751" t="s">
        <v>3865</v>
      </c>
      <c r="P3515" s="751" t="s">
        <v>3489</v>
      </c>
      <c r="Q3515" s="751" t="s">
        <v>3866</v>
      </c>
      <c r="R3515" s="751" t="s">
        <v>3869</v>
      </c>
      <c r="S3515" s="751" t="s">
        <v>3867</v>
      </c>
      <c r="T3515" s="751" t="s">
        <v>786</v>
      </c>
    </row>
    <row r="3516" spans="1:40" s="795" customFormat="1" ht="13">
      <c r="A3516" s="750" t="s">
        <v>5842</v>
      </c>
      <c r="B3516" s="750"/>
      <c r="C3516" s="751" t="s">
        <v>2821</v>
      </c>
      <c r="D3516" s="752"/>
      <c r="E3516" s="750"/>
      <c r="F3516" s="751" t="s">
        <v>358</v>
      </c>
      <c r="G3516" s="751" t="s">
        <v>359</v>
      </c>
      <c r="H3516" s="799">
        <f>+I3516</f>
        <v>38148.400000000001</v>
      </c>
      <c r="I3516" s="470">
        <v>38148.400000000001</v>
      </c>
      <c r="J3516" s="470">
        <v>26.96</v>
      </c>
      <c r="K3516" s="470">
        <v>1415</v>
      </c>
      <c r="L3516" s="756" t="s">
        <v>3632</v>
      </c>
      <c r="M3516" s="751" t="s">
        <v>780</v>
      </c>
      <c r="N3516" s="751" t="s">
        <v>781</v>
      </c>
      <c r="O3516" s="751" t="s">
        <v>4747</v>
      </c>
      <c r="P3516" s="751" t="s">
        <v>3489</v>
      </c>
      <c r="Q3516" s="751" t="s">
        <v>4748</v>
      </c>
      <c r="R3516" s="751" t="s">
        <v>852</v>
      </c>
      <c r="S3516" s="751" t="s">
        <v>4750</v>
      </c>
      <c r="T3516" s="751" t="s">
        <v>786</v>
      </c>
    </row>
    <row r="3517" spans="1:40" s="795" customFormat="1" ht="13">
      <c r="A3517" s="750" t="s">
        <v>5842</v>
      </c>
      <c r="B3517" s="750"/>
      <c r="C3517" s="751" t="s">
        <v>2821</v>
      </c>
      <c r="D3517" s="752"/>
      <c r="E3517" s="750"/>
      <c r="F3517" s="751" t="s">
        <v>358</v>
      </c>
      <c r="G3517" s="751" t="s">
        <v>359</v>
      </c>
      <c r="H3517" s="799">
        <f>+I3517</f>
        <v>40555.5</v>
      </c>
      <c r="I3517" s="470">
        <v>40555.5</v>
      </c>
      <c r="J3517" s="470">
        <v>28.46</v>
      </c>
      <c r="K3517" s="470">
        <v>1425</v>
      </c>
      <c r="L3517" s="756" t="s">
        <v>3637</v>
      </c>
      <c r="M3517" s="751" t="s">
        <v>780</v>
      </c>
      <c r="N3517" s="751" t="s">
        <v>781</v>
      </c>
      <c r="O3517" s="751" t="s">
        <v>4751</v>
      </c>
      <c r="P3517" s="751" t="s">
        <v>2865</v>
      </c>
      <c r="Q3517" s="751" t="s">
        <v>4752</v>
      </c>
      <c r="R3517" s="751" t="s">
        <v>4800</v>
      </c>
      <c r="S3517" s="751" t="s">
        <v>4754</v>
      </c>
      <c r="T3517" s="751" t="s">
        <v>786</v>
      </c>
    </row>
    <row r="3518" spans="1:40" s="795" customFormat="1" ht="13">
      <c r="A3518" s="794"/>
      <c r="B3518" s="794"/>
      <c r="D3518" s="796"/>
      <c r="E3518" s="794"/>
      <c r="H3518" s="797"/>
      <c r="I3518" s="465"/>
      <c r="J3518" s="465"/>
      <c r="K3518" s="465"/>
      <c r="L3518" s="798"/>
    </row>
    <row r="3520" spans="1:40">
      <c r="A3520" s="452" t="s">
        <v>84</v>
      </c>
      <c r="B3520" s="452" t="s">
        <v>84</v>
      </c>
      <c r="C3520" s="452" t="s">
        <v>84</v>
      </c>
      <c r="D3520" s="11" t="s">
        <v>84</v>
      </c>
      <c r="E3520" s="452" t="s">
        <v>84</v>
      </c>
      <c r="F3520" s="453" t="s">
        <v>84</v>
      </c>
      <c r="G3520" s="453" t="s">
        <v>84</v>
      </c>
      <c r="H3520" s="453" t="s">
        <v>84</v>
      </c>
      <c r="I3520" s="187" t="s">
        <v>84</v>
      </c>
      <c r="J3520" s="187" t="s">
        <v>84</v>
      </c>
      <c r="K3520" s="187" t="s">
        <v>84</v>
      </c>
      <c r="L3520" s="457" t="s">
        <v>84</v>
      </c>
      <c r="M3520" s="453" t="s">
        <v>84</v>
      </c>
      <c r="N3520" s="453" t="s">
        <v>84</v>
      </c>
      <c r="O3520" s="453" t="s">
        <v>84</v>
      </c>
      <c r="P3520" s="453" t="s">
        <v>84</v>
      </c>
      <c r="Q3520" s="453" t="s">
        <v>84</v>
      </c>
      <c r="R3520" s="453" t="s">
        <v>84</v>
      </c>
      <c r="S3520" s="453" t="s">
        <v>84</v>
      </c>
      <c r="T3520" s="453" t="s">
        <v>84</v>
      </c>
      <c r="U3520" s="453" t="s">
        <v>84</v>
      </c>
      <c r="V3520" s="453" t="s">
        <v>84</v>
      </c>
      <c r="W3520" s="453" t="s">
        <v>84</v>
      </c>
      <c r="X3520" s="453" t="s">
        <v>84</v>
      </c>
      <c r="Y3520" s="453" t="s">
        <v>84</v>
      </c>
      <c r="Z3520" s="453" t="s">
        <v>84</v>
      </c>
      <c r="AA3520" s="453" t="s">
        <v>84</v>
      </c>
      <c r="AB3520" s="453" t="s">
        <v>84</v>
      </c>
      <c r="AC3520" s="453" t="s">
        <v>84</v>
      </c>
      <c r="AD3520" s="453" t="s">
        <v>84</v>
      </c>
      <c r="AE3520" s="453" t="s">
        <v>84</v>
      </c>
      <c r="AF3520" s="453" t="s">
        <v>84</v>
      </c>
      <c r="AG3520" s="453" t="s">
        <v>84</v>
      </c>
      <c r="AH3520" s="453" t="s">
        <v>84</v>
      </c>
      <c r="AI3520" s="453" t="s">
        <v>84</v>
      </c>
      <c r="AJ3520" s="453" t="s">
        <v>84</v>
      </c>
      <c r="AK3520" s="453" t="s">
        <v>84</v>
      </c>
      <c r="AL3520" s="453" t="s">
        <v>84</v>
      </c>
      <c r="AM3520" s="453" t="s">
        <v>84</v>
      </c>
      <c r="AN3520" s="453" t="s">
        <v>84</v>
      </c>
    </row>
  </sheetData>
  <autoFilter ref="A10:AN3520"/>
  <sortState ref="A1412:AN3407">
    <sortCondition ref="F1412"/>
  </sortState>
  <conditionalFormatting sqref="G7:G8">
    <cfRule type="cellIs" dxfId="187" priority="1" stopIfTrue="1" operator="equal">
      <formula>"Check"</formula>
    </cfRule>
  </conditionalFormatting>
  <pageMargins left="0.75" right="0.75" top="1" bottom="1" header="0.3" footer="0.3"/>
  <pageSetup paperSize="9" orientation="portrait" r:id="rId1"/>
</worksheet>
</file>

<file path=xl/worksheets/sheet15.xml><?xml version="1.0" encoding="utf-8"?>
<worksheet xmlns="http://schemas.openxmlformats.org/spreadsheetml/2006/main" xmlns:r="http://schemas.openxmlformats.org/officeDocument/2006/relationships">
  <sheetPr codeName="Hoja3"/>
  <dimension ref="A1:AN20"/>
  <sheetViews>
    <sheetView zoomScale="70" zoomScaleNormal="70" workbookViewId="0">
      <pane xSplit="8" ySplit="10" topLeftCell="I11" activePane="bottomRight" state="frozen"/>
      <selection activeCell="A2" sqref="A2"/>
      <selection pane="topRight" activeCell="A2" sqref="A2"/>
      <selection pane="bottomLeft" activeCell="A2" sqref="A2"/>
      <selection pane="bottomRight" activeCell="B39" sqref="B39"/>
    </sheetView>
  </sheetViews>
  <sheetFormatPr baseColWidth="10" defaultColWidth="10.81640625" defaultRowHeight="12.5"/>
  <cols>
    <col min="1" max="1" width="26.81640625" style="210" bestFit="1" customWidth="1"/>
    <col min="2" max="2" width="35.453125" style="210" bestFit="1" customWidth="1"/>
    <col min="3" max="3" width="8.1796875" style="152" bestFit="1" customWidth="1"/>
    <col min="4" max="4" width="12.453125" style="474" bestFit="1" customWidth="1"/>
    <col min="5" max="5" width="22.1796875" style="210" customWidth="1"/>
    <col min="6" max="6" width="13.453125" style="152" bestFit="1" customWidth="1"/>
    <col min="7" max="7" width="29.1796875" style="152" bestFit="1" customWidth="1"/>
    <col min="8" max="8" width="16.453125" style="152" customWidth="1"/>
    <col min="9" max="9" width="22.453125" style="513" customWidth="1"/>
    <col min="10" max="10" width="18.1796875" style="513" customWidth="1"/>
    <col min="11" max="11" width="15" style="513" customWidth="1"/>
    <col min="12" max="12" width="12.453125" style="518" customWidth="1"/>
    <col min="13" max="13" width="20.453125" style="152" customWidth="1"/>
    <col min="14" max="14" width="11.81640625" style="152" customWidth="1"/>
    <col min="15" max="15" width="26.453125" style="152" bestFit="1" customWidth="1"/>
    <col min="16" max="16" width="39.1796875" style="152" bestFit="1" customWidth="1"/>
    <col min="17" max="17" width="13.453125" style="152" bestFit="1" customWidth="1"/>
    <col min="18" max="18" width="47.81640625" style="152" bestFit="1" customWidth="1"/>
    <col min="19" max="19" width="21.453125" style="152" bestFit="1" customWidth="1"/>
    <col min="20" max="20" width="27.453125" style="152" bestFit="1" customWidth="1"/>
    <col min="21" max="21" width="76.1796875" style="152" bestFit="1" customWidth="1"/>
    <col min="22" max="22" width="33.453125" style="152" bestFit="1" customWidth="1"/>
    <col min="23" max="23" width="13.453125" style="152" bestFit="1" customWidth="1"/>
    <col min="24" max="24" width="14.453125" style="152" bestFit="1" customWidth="1"/>
    <col min="25" max="25" width="10.81640625" style="152"/>
    <col min="26" max="26" width="16.453125" style="152" bestFit="1" customWidth="1"/>
    <col min="27" max="27" width="8.81640625" style="152" bestFit="1" customWidth="1"/>
    <col min="28" max="28" width="11.453125" style="152" bestFit="1" customWidth="1"/>
    <col min="29" max="29" width="11.1796875" style="152" bestFit="1" customWidth="1"/>
    <col min="30" max="30" width="16.453125" style="152" bestFit="1" customWidth="1"/>
    <col min="31" max="31" width="3.453125" style="152" bestFit="1" customWidth="1"/>
    <col min="32" max="32" width="20.453125" style="152" bestFit="1" customWidth="1"/>
    <col min="33" max="33" width="39.1796875" style="152" bestFit="1" customWidth="1"/>
    <col min="34" max="34" width="13.453125" style="152" bestFit="1" customWidth="1"/>
    <col min="35" max="35" width="30.453125" style="152" bestFit="1" customWidth="1"/>
    <col min="36" max="36" width="15.1796875" style="152" bestFit="1" customWidth="1"/>
    <col min="37" max="37" width="21.1796875" style="152" bestFit="1" customWidth="1"/>
    <col min="38" max="38" width="33.1796875" style="152" bestFit="1" customWidth="1"/>
    <col min="39" max="39" width="34.453125" style="152" bestFit="1" customWidth="1"/>
    <col min="40" max="40" width="7.81640625" style="152" bestFit="1" customWidth="1"/>
    <col min="41" max="16384" width="10.81640625" style="152"/>
  </cols>
  <sheetData>
    <row r="1" spans="1:40">
      <c r="K1" s="152"/>
    </row>
    <row r="2" spans="1:40" ht="13">
      <c r="G2" s="305" t="s">
        <v>140</v>
      </c>
      <c r="K2" s="152"/>
    </row>
    <row r="3" spans="1:40" ht="13">
      <c r="G3" s="305" t="s">
        <v>152</v>
      </c>
      <c r="K3" s="152"/>
    </row>
    <row r="4" spans="1:40" ht="13">
      <c r="F4" s="597"/>
      <c r="G4" s="305" t="s">
        <v>155</v>
      </c>
      <c r="K4" s="152"/>
    </row>
    <row r="5" spans="1:40" ht="13">
      <c r="G5" s="305" t="s">
        <v>161</v>
      </c>
      <c r="K5" s="152"/>
    </row>
    <row r="6" spans="1:40" ht="13" thickBot="1">
      <c r="K6" s="152"/>
    </row>
    <row r="7" spans="1:40" ht="13.5" thickBot="1">
      <c r="C7" s="210"/>
      <c r="D7" s="9"/>
      <c r="G7" s="110" t="str">
        <f>+IF(I7+J7=0,"Ok","Check")</f>
        <v>Ok</v>
      </c>
      <c r="I7" s="6">
        <f>ROUND(SUM(I10:I20),0)</f>
        <v>0</v>
      </c>
      <c r="J7" s="6">
        <f>ROUND(SUM(J10:J20),0)</f>
        <v>0</v>
      </c>
      <c r="K7" s="152"/>
    </row>
    <row r="8" spans="1:40" ht="13.5" thickBot="1">
      <c r="C8" s="210"/>
      <c r="D8" s="9" t="s">
        <v>77</v>
      </c>
      <c r="E8" s="210" t="s">
        <v>142</v>
      </c>
      <c r="G8" s="110" t="str">
        <f ca="1">+Resumen_Base!D1</f>
        <v>Ok</v>
      </c>
      <c r="K8" s="152"/>
    </row>
    <row r="9" spans="1:40" ht="13.5" thickBot="1">
      <c r="B9" s="210" t="str">
        <f>+F9&amp;$C$9&amp;G9</f>
        <v xml:space="preserve"> </v>
      </c>
      <c r="C9" s="210" t="s">
        <v>87</v>
      </c>
      <c r="D9" s="474" t="e">
        <f>+VLOOKUP(F9,Resumen_Base!$C$8:$F$26,4,0)</f>
        <v>#N/A</v>
      </c>
      <c r="E9" s="210" t="e">
        <f>+VLOOKUP(F9,Resumen_Base!$C$8:$G$156,5,0)</f>
        <v>#N/A</v>
      </c>
      <c r="G9" s="474"/>
      <c r="H9" s="152" t="e">
        <f>+D9&amp;F9</f>
        <v>#N/A</v>
      </c>
      <c r="I9" s="6">
        <f>SUM(I10:I17)</f>
        <v>0</v>
      </c>
      <c r="J9" s="6">
        <f>SUM(J10:J17)</f>
        <v>0</v>
      </c>
      <c r="K9" s="152"/>
    </row>
    <row r="10" spans="1:40" s="474" customFormat="1" ht="25">
      <c r="A10" s="9"/>
      <c r="B10" s="515" t="s">
        <v>126</v>
      </c>
      <c r="C10" s="9"/>
      <c r="D10" s="515" t="s">
        <v>75</v>
      </c>
      <c r="E10" s="515" t="s">
        <v>76</v>
      </c>
      <c r="F10" s="153" t="s">
        <v>24</v>
      </c>
      <c r="G10" s="153" t="s">
        <v>23</v>
      </c>
      <c r="H10" s="153"/>
      <c r="I10" s="671" t="s">
        <v>22</v>
      </c>
      <c r="J10" s="671" t="s">
        <v>20</v>
      </c>
      <c r="K10" s="671" t="s">
        <v>74</v>
      </c>
      <c r="L10" s="517" t="s">
        <v>18</v>
      </c>
      <c r="M10" s="153" t="s">
        <v>17</v>
      </c>
      <c r="N10" s="153" t="s">
        <v>16</v>
      </c>
      <c r="O10" s="153" t="s">
        <v>15</v>
      </c>
      <c r="P10" s="153" t="s">
        <v>14</v>
      </c>
      <c r="Q10" s="153" t="s">
        <v>13</v>
      </c>
      <c r="R10" s="153" t="s">
        <v>12</v>
      </c>
      <c r="S10" s="153" t="s">
        <v>11</v>
      </c>
      <c r="T10" s="153" t="s">
        <v>10</v>
      </c>
      <c r="U10" s="674" t="s">
        <v>9</v>
      </c>
      <c r="V10" s="153" t="s">
        <v>8</v>
      </c>
      <c r="W10" s="153" t="s">
        <v>7</v>
      </c>
      <c r="X10" s="671" t="s">
        <v>21</v>
      </c>
      <c r="Y10" s="153"/>
      <c r="Z10" s="153" t="s">
        <v>20</v>
      </c>
      <c r="AA10" s="153" t="s">
        <v>19</v>
      </c>
      <c r="AC10" s="672" t="s">
        <v>18</v>
      </c>
      <c r="AD10" s="672" t="s">
        <v>17</v>
      </c>
      <c r="AE10" s="672" t="s">
        <v>16</v>
      </c>
      <c r="AF10" s="672" t="s">
        <v>15</v>
      </c>
      <c r="AG10" s="672" t="s">
        <v>14</v>
      </c>
      <c r="AH10" s="672" t="s">
        <v>13</v>
      </c>
      <c r="AI10" s="672" t="s">
        <v>12</v>
      </c>
      <c r="AJ10" s="672" t="s">
        <v>11</v>
      </c>
      <c r="AK10" s="672" t="s">
        <v>10</v>
      </c>
      <c r="AL10" s="673" t="s">
        <v>9</v>
      </c>
      <c r="AM10" s="672" t="s">
        <v>8</v>
      </c>
      <c r="AN10" s="672" t="s">
        <v>7</v>
      </c>
    </row>
    <row r="11" spans="1:40" ht="14.5">
      <c r="C11" s="508"/>
      <c r="F11" s="522"/>
      <c r="G11" s="520"/>
      <c r="H11" s="520"/>
      <c r="I11" s="523"/>
      <c r="J11" s="523"/>
      <c r="K11" s="523"/>
      <c r="M11" s="519"/>
      <c r="X11" s="513"/>
      <c r="AC11" s="524"/>
      <c r="AD11" s="520"/>
      <c r="AE11" s="520"/>
      <c r="AF11" s="520"/>
      <c r="AG11" s="520"/>
      <c r="AH11" s="522"/>
      <c r="AI11" s="520"/>
      <c r="AJ11" s="520"/>
      <c r="AK11" s="520"/>
      <c r="AL11" s="520"/>
      <c r="AM11" s="520"/>
      <c r="AN11" s="520"/>
    </row>
    <row r="12" spans="1:40" s="508" customFormat="1" ht="14.5">
      <c r="A12" s="509"/>
      <c r="D12" s="474"/>
      <c r="E12" s="210"/>
      <c r="F12" s="526"/>
      <c r="I12" s="527"/>
      <c r="J12" s="527"/>
      <c r="K12" s="527"/>
      <c r="L12" s="669"/>
      <c r="M12" s="209"/>
      <c r="N12" s="4"/>
      <c r="O12" s="4"/>
      <c r="P12" s="4"/>
      <c r="Q12" s="4"/>
      <c r="R12" s="4"/>
      <c r="S12" s="4"/>
      <c r="T12" s="4"/>
      <c r="U12" s="4"/>
      <c r="V12" s="4"/>
      <c r="W12" s="4"/>
      <c r="X12" s="5"/>
    </row>
    <row r="13" spans="1:40" s="508" customFormat="1" ht="14.5">
      <c r="A13" s="509"/>
      <c r="E13" s="210"/>
      <c r="F13" s="526"/>
      <c r="I13" s="527"/>
      <c r="J13" s="527"/>
      <c r="K13" s="527"/>
      <c r="L13" s="669"/>
      <c r="M13" s="209"/>
      <c r="N13" s="4"/>
      <c r="O13" s="4"/>
      <c r="P13" s="4"/>
      <c r="Q13" s="4"/>
      <c r="R13" s="4"/>
      <c r="S13" s="4"/>
      <c r="T13" s="4"/>
      <c r="U13" s="4"/>
      <c r="V13" s="4"/>
      <c r="W13" s="4"/>
      <c r="X13" s="5"/>
    </row>
    <row r="17" spans="1:40">
      <c r="A17" s="452" t="s">
        <v>84</v>
      </c>
      <c r="B17" s="452" t="s">
        <v>84</v>
      </c>
      <c r="C17" s="452" t="s">
        <v>84</v>
      </c>
      <c r="D17" s="11" t="s">
        <v>84</v>
      </c>
      <c r="E17" s="452" t="s">
        <v>84</v>
      </c>
      <c r="F17" s="453" t="s">
        <v>84</v>
      </c>
      <c r="G17" s="453" t="s">
        <v>84</v>
      </c>
      <c r="H17" s="453" t="s">
        <v>84</v>
      </c>
      <c r="I17" s="187" t="s">
        <v>84</v>
      </c>
      <c r="J17" s="187" t="s">
        <v>84</v>
      </c>
      <c r="K17" s="187" t="s">
        <v>84</v>
      </c>
      <c r="L17" s="457" t="s">
        <v>84</v>
      </c>
      <c r="M17" s="453" t="s">
        <v>84</v>
      </c>
      <c r="N17" s="453" t="s">
        <v>84</v>
      </c>
      <c r="O17" s="453" t="s">
        <v>84</v>
      </c>
      <c r="P17" s="453" t="s">
        <v>84</v>
      </c>
      <c r="Q17" s="453" t="s">
        <v>84</v>
      </c>
      <c r="R17" s="453" t="s">
        <v>84</v>
      </c>
      <c r="S17" s="453" t="s">
        <v>84</v>
      </c>
      <c r="T17" s="453" t="s">
        <v>84</v>
      </c>
      <c r="U17" s="453" t="s">
        <v>84</v>
      </c>
      <c r="V17" s="453" t="s">
        <v>84</v>
      </c>
      <c r="W17" s="453" t="s">
        <v>84</v>
      </c>
    </row>
    <row r="20" spans="1:40">
      <c r="A20" s="452" t="s">
        <v>84</v>
      </c>
      <c r="B20" s="452" t="s">
        <v>84</v>
      </c>
      <c r="C20" s="452" t="s">
        <v>84</v>
      </c>
      <c r="D20" s="11" t="s">
        <v>84</v>
      </c>
      <c r="E20" s="452" t="s">
        <v>84</v>
      </c>
      <c r="F20" s="453" t="s">
        <v>84</v>
      </c>
      <c r="G20" s="453" t="s">
        <v>84</v>
      </c>
      <c r="H20" s="453" t="s">
        <v>84</v>
      </c>
      <c r="I20" s="187" t="s">
        <v>84</v>
      </c>
      <c r="J20" s="187" t="s">
        <v>84</v>
      </c>
      <c r="K20" s="187" t="s">
        <v>84</v>
      </c>
      <c r="L20" s="457" t="s">
        <v>84</v>
      </c>
      <c r="M20" s="453" t="s">
        <v>84</v>
      </c>
      <c r="N20" s="453" t="s">
        <v>84</v>
      </c>
      <c r="O20" s="453" t="s">
        <v>84</v>
      </c>
      <c r="P20" s="453" t="s">
        <v>84</v>
      </c>
      <c r="Q20" s="453" t="s">
        <v>84</v>
      </c>
      <c r="R20" s="453" t="s">
        <v>84</v>
      </c>
      <c r="S20" s="453" t="s">
        <v>84</v>
      </c>
      <c r="T20" s="453" t="s">
        <v>84</v>
      </c>
      <c r="U20" s="453" t="s">
        <v>84</v>
      </c>
      <c r="V20" s="453" t="s">
        <v>84</v>
      </c>
      <c r="W20" s="453" t="s">
        <v>84</v>
      </c>
      <c r="X20" s="453" t="s">
        <v>84</v>
      </c>
      <c r="Y20" s="453" t="s">
        <v>84</v>
      </c>
      <c r="Z20" s="453" t="s">
        <v>84</v>
      </c>
      <c r="AA20" s="453" t="s">
        <v>84</v>
      </c>
      <c r="AB20" s="453" t="s">
        <v>84</v>
      </c>
      <c r="AC20" s="453" t="s">
        <v>84</v>
      </c>
      <c r="AD20" s="453" t="s">
        <v>84</v>
      </c>
      <c r="AE20" s="453" t="s">
        <v>84</v>
      </c>
      <c r="AF20" s="453" t="s">
        <v>84</v>
      </c>
      <c r="AG20" s="453" t="s">
        <v>84</v>
      </c>
      <c r="AH20" s="453" t="s">
        <v>84</v>
      </c>
      <c r="AI20" s="453" t="s">
        <v>84</v>
      </c>
      <c r="AJ20" s="453" t="s">
        <v>84</v>
      </c>
      <c r="AK20" s="453" t="s">
        <v>84</v>
      </c>
      <c r="AL20" s="453" t="s">
        <v>84</v>
      </c>
      <c r="AM20" s="453" t="s">
        <v>84</v>
      </c>
      <c r="AN20" s="453" t="s">
        <v>84</v>
      </c>
    </row>
  </sheetData>
  <autoFilter ref="A10:AA20"/>
  <sortState ref="A20:IV793">
    <sortCondition ref="F20"/>
  </sortState>
  <conditionalFormatting sqref="G7:G8">
    <cfRule type="cellIs" dxfId="186" priority="1" stopIfTrue="1" operator="equal">
      <formula>"Check"</formula>
    </cfRule>
  </conditionalFormatting>
  <pageMargins left="0.75" right="0.75" top="1" bottom="1" header="0.3" footer="0.3"/>
  <pageSetup paperSize="9" orientation="portrait" r:id="rId1"/>
</worksheet>
</file>

<file path=xl/worksheets/sheet16.xml><?xml version="1.0" encoding="utf-8"?>
<worksheet xmlns="http://schemas.openxmlformats.org/spreadsheetml/2006/main" xmlns:r="http://schemas.openxmlformats.org/officeDocument/2006/relationships">
  <sheetPr codeName="Hoja2"/>
  <dimension ref="A1:AO1992"/>
  <sheetViews>
    <sheetView zoomScale="55" zoomScaleNormal="55" workbookViewId="0">
      <pane xSplit="8" ySplit="11" topLeftCell="I1898" activePane="bottomRight" state="frozen"/>
      <selection pane="topRight" activeCell="I1" sqref="I1"/>
      <selection pane="bottomLeft" activeCell="A12" sqref="A12"/>
      <selection pane="bottomRight" activeCell="B1989" sqref="B1989"/>
    </sheetView>
  </sheetViews>
  <sheetFormatPr baseColWidth="10" defaultColWidth="10.81640625" defaultRowHeight="12.5"/>
  <cols>
    <col min="1" max="1" width="32.1796875" style="152" bestFit="1" customWidth="1"/>
    <col min="2" max="2" width="26.81640625" style="210" bestFit="1" customWidth="1"/>
    <col min="3" max="3" width="35.453125" style="210" bestFit="1" customWidth="1"/>
    <col min="4" max="4" width="8.1796875" style="152" bestFit="1" customWidth="1"/>
    <col min="5" max="5" width="12.453125" style="474" bestFit="1" customWidth="1"/>
    <col min="6" max="6" width="22.1796875" style="210" customWidth="1"/>
    <col min="7" max="7" width="13.453125" style="152" bestFit="1" customWidth="1"/>
    <col min="8" max="8" width="29.1796875" style="152" bestFit="1" customWidth="1"/>
    <col min="9" max="9" width="16.453125" style="152" customWidth="1"/>
    <col min="10" max="10" width="22.453125" style="513" customWidth="1"/>
    <col min="11" max="11" width="18.1796875" style="513" customWidth="1"/>
    <col min="12" max="12" width="15" style="513" customWidth="1"/>
    <col min="13" max="13" width="12.453125" style="518" customWidth="1"/>
    <col min="14" max="14" width="20.453125" style="152" customWidth="1"/>
    <col min="15" max="15" width="11.81640625" style="152" customWidth="1"/>
    <col min="16" max="16" width="26.453125" style="152" customWidth="1"/>
    <col min="17" max="17" width="39.1796875" style="152" customWidth="1"/>
    <col min="18" max="18" width="13.453125" style="152" customWidth="1"/>
    <col min="19" max="19" width="139.453125" style="152" bestFit="1" customWidth="1"/>
    <col min="20" max="20" width="21.453125" style="152" bestFit="1" customWidth="1"/>
    <col min="21" max="21" width="27.453125" style="152" bestFit="1" customWidth="1"/>
    <col min="22" max="22" width="76.1796875" style="152" bestFit="1" customWidth="1"/>
    <col min="23" max="23" width="33.453125" style="152" bestFit="1" customWidth="1"/>
    <col min="24" max="24" width="13.453125" style="152" bestFit="1" customWidth="1"/>
    <col min="25" max="25" width="14.453125" style="152" bestFit="1" customWidth="1"/>
    <col min="26" max="26" width="10.81640625" style="152"/>
    <col min="27" max="27" width="16.453125" style="152" bestFit="1" customWidth="1"/>
    <col min="28" max="28" width="8.81640625" style="152" bestFit="1" customWidth="1"/>
    <col min="29" max="29" width="11.453125" style="152" bestFit="1" customWidth="1"/>
    <col min="30" max="30" width="11.1796875" style="152" bestFit="1" customWidth="1"/>
    <col min="31" max="31" width="16.453125" style="152" bestFit="1" customWidth="1"/>
    <col min="32" max="32" width="3.453125" style="152" bestFit="1" customWidth="1"/>
    <col min="33" max="33" width="20.453125" style="152" bestFit="1" customWidth="1"/>
    <col min="34" max="34" width="39.1796875" style="152" bestFit="1" customWidth="1"/>
    <col min="35" max="35" width="13.453125" style="152" bestFit="1" customWidth="1"/>
    <col min="36" max="36" width="30.453125" style="152" bestFit="1" customWidth="1"/>
    <col min="37" max="37" width="15.1796875" style="152" bestFit="1" customWidth="1"/>
    <col min="38" max="38" width="21.1796875" style="152" bestFit="1" customWidth="1"/>
    <col min="39" max="39" width="33.1796875" style="152" bestFit="1" customWidth="1"/>
    <col min="40" max="40" width="34.453125" style="152" bestFit="1" customWidth="1"/>
    <col min="41" max="41" width="7.81640625" style="152" bestFit="1" customWidth="1"/>
    <col min="42" max="16384" width="10.81640625" style="152"/>
  </cols>
  <sheetData>
    <row r="1" spans="1:41">
      <c r="L1" s="152"/>
      <c r="M1" s="670"/>
    </row>
    <row r="2" spans="1:41" ht="13">
      <c r="H2" s="305" t="s">
        <v>140</v>
      </c>
      <c r="L2" s="152"/>
      <c r="M2" s="670"/>
    </row>
    <row r="3" spans="1:41" ht="13">
      <c r="D3" s="210"/>
      <c r="E3" s="210"/>
      <c r="H3" s="305" t="s">
        <v>152</v>
      </c>
      <c r="L3" s="152"/>
      <c r="M3" s="670"/>
    </row>
    <row r="4" spans="1:41" ht="13">
      <c r="D4" s="210"/>
      <c r="E4" s="210"/>
      <c r="F4" s="607"/>
      <c r="G4" s="597"/>
      <c r="H4" s="305" t="s">
        <v>155</v>
      </c>
      <c r="L4" s="152"/>
      <c r="M4" s="670"/>
    </row>
    <row r="5" spans="1:41" ht="13">
      <c r="D5" s="210"/>
      <c r="E5" s="210"/>
      <c r="H5" s="305" t="s">
        <v>161</v>
      </c>
      <c r="L5" s="152"/>
      <c r="M5" s="670"/>
    </row>
    <row r="6" spans="1:41" ht="13" thickBot="1">
      <c r="L6" s="152"/>
      <c r="M6" s="670"/>
    </row>
    <row r="7" spans="1:41" ht="13.5" thickBot="1">
      <c r="D7" s="210"/>
      <c r="E7" s="821" t="e">
        <f>+VLOOKUP(G7,'Plan Cuentas Link Armado'!$E$3:$G$105,3,0)</f>
        <v>#N/A</v>
      </c>
      <c r="H7" s="110" t="str">
        <f>+IF(J7+K7=0,"Ok","Check")</f>
        <v>Ok</v>
      </c>
      <c r="J7" s="6">
        <f>ROUND(SUM(J10:J1992),0)</f>
        <v>0</v>
      </c>
      <c r="K7" s="6">
        <f>ROUND(SUM(K10:K1992),0)</f>
        <v>0</v>
      </c>
      <c r="L7" s="152"/>
      <c r="M7" s="670"/>
    </row>
    <row r="8" spans="1:41" ht="25.5" thickBot="1">
      <c r="D8" s="210"/>
      <c r="E8" s="9" t="s">
        <v>482</v>
      </c>
      <c r="F8" s="210" t="s">
        <v>142</v>
      </c>
      <c r="H8" s="110" t="str">
        <f ca="1">+Resumen_Base!D1</f>
        <v>Ok</v>
      </c>
      <c r="L8" s="152"/>
      <c r="M8" s="670"/>
    </row>
    <row r="9" spans="1:41" ht="13.5" thickBot="1">
      <c r="C9" s="210" t="str">
        <f>+G9&amp;$D$9&amp;H9</f>
        <v xml:space="preserve"> </v>
      </c>
      <c r="D9" s="210" t="s">
        <v>87</v>
      </c>
      <c r="E9" s="474" t="e">
        <f>+VLOOKUP(G9,Resumen_Base!$C$8:$F$26,4,0)</f>
        <v>#N/A</v>
      </c>
      <c r="F9" s="684" t="e">
        <f>+VLOOKUP(G9,Resumen_Base!$C$8:$G$156,5,0)</f>
        <v>#N/A</v>
      </c>
      <c r="H9" s="474"/>
      <c r="I9" s="152" t="e">
        <f>+E9&amp;G9</f>
        <v>#N/A</v>
      </c>
      <c r="J9" s="6">
        <f>SUM(J10:J862)</f>
        <v>124737105.50000027</v>
      </c>
      <c r="K9" s="6">
        <f>SUM(K10:K862)</f>
        <v>106145.93061609172</v>
      </c>
      <c r="L9" s="152"/>
      <c r="M9" s="670"/>
    </row>
    <row r="10" spans="1:41" s="474" customFormat="1" ht="25">
      <c r="B10" s="9"/>
      <c r="C10" s="515" t="s">
        <v>126</v>
      </c>
      <c r="D10" s="9"/>
      <c r="E10" s="515" t="s">
        <v>75</v>
      </c>
      <c r="F10" s="515" t="s">
        <v>76</v>
      </c>
      <c r="G10" s="153" t="s">
        <v>24</v>
      </c>
      <c r="H10" s="153" t="s">
        <v>23</v>
      </c>
      <c r="I10" s="153"/>
      <c r="J10" s="671" t="s">
        <v>22</v>
      </c>
      <c r="K10" s="671" t="s">
        <v>20</v>
      </c>
      <c r="L10" s="671" t="s">
        <v>74</v>
      </c>
      <c r="M10" s="517" t="s">
        <v>18</v>
      </c>
      <c r="N10" s="153" t="s">
        <v>17</v>
      </c>
      <c r="O10" s="153" t="s">
        <v>16</v>
      </c>
      <c r="P10" s="153" t="s">
        <v>15</v>
      </c>
      <c r="Q10" s="153" t="s">
        <v>14</v>
      </c>
      <c r="R10" s="153" t="s">
        <v>13</v>
      </c>
      <c r="S10" s="153" t="s">
        <v>12</v>
      </c>
      <c r="T10" s="153" t="s">
        <v>11</v>
      </c>
      <c r="U10" s="153" t="s">
        <v>10</v>
      </c>
      <c r="V10" s="674" t="s">
        <v>9</v>
      </c>
      <c r="W10" s="153" t="s">
        <v>8</v>
      </c>
      <c r="X10" s="153" t="s">
        <v>7</v>
      </c>
      <c r="Y10" s="671" t="s">
        <v>21</v>
      </c>
      <c r="Z10" s="153"/>
      <c r="AA10" s="153" t="s">
        <v>20</v>
      </c>
      <c r="AB10" s="153" t="s">
        <v>19</v>
      </c>
      <c r="AD10" s="672" t="s">
        <v>18</v>
      </c>
      <c r="AE10" s="672" t="s">
        <v>17</v>
      </c>
      <c r="AF10" s="672" t="s">
        <v>16</v>
      </c>
      <c r="AG10" s="672" t="s">
        <v>15</v>
      </c>
      <c r="AH10" s="672" t="s">
        <v>14</v>
      </c>
      <c r="AI10" s="672" t="s">
        <v>13</v>
      </c>
      <c r="AJ10" s="672" t="s">
        <v>12</v>
      </c>
      <c r="AK10" s="672" t="s">
        <v>11</v>
      </c>
      <c r="AL10" s="672" t="s">
        <v>10</v>
      </c>
      <c r="AM10" s="673" t="s">
        <v>9</v>
      </c>
      <c r="AN10" s="672" t="s">
        <v>8</v>
      </c>
      <c r="AO10" s="672" t="s">
        <v>7</v>
      </c>
    </row>
    <row r="11" spans="1:41" ht="14.5">
      <c r="D11" s="508"/>
      <c r="G11" s="522"/>
      <c r="H11" s="520"/>
      <c r="I11" s="520"/>
      <c r="J11" s="523"/>
      <c r="K11" s="523"/>
      <c r="L11" s="523"/>
      <c r="N11" s="519"/>
      <c r="Y11" s="513"/>
      <c r="AD11" s="524"/>
      <c r="AE11" s="520"/>
      <c r="AF11" s="520"/>
      <c r="AG11" s="520"/>
      <c r="AH11" s="520"/>
      <c r="AI11" s="522"/>
      <c r="AJ11" s="520"/>
      <c r="AK11" s="520"/>
      <c r="AL11" s="520"/>
      <c r="AM11" s="520"/>
      <c r="AN11" s="520"/>
      <c r="AO11" s="520"/>
    </row>
    <row r="12" spans="1:41">
      <c r="A12" s="846" t="s">
        <v>7097</v>
      </c>
      <c r="C12" s="210" t="s">
        <v>7098</v>
      </c>
      <c r="D12" s="152" t="s">
        <v>2821</v>
      </c>
      <c r="E12" s="821" t="s">
        <v>670</v>
      </c>
      <c r="F12" s="684" t="str">
        <f>+VLOOKUP(G12,Resumen_Base!$C$8:$G$156,5,0)</f>
        <v>Services/House</v>
      </c>
      <c r="G12" s="607" t="s">
        <v>321</v>
      </c>
      <c r="H12" s="597" t="s">
        <v>455</v>
      </c>
      <c r="I12" s="152" t="str">
        <f>+E12&amp;G12</f>
        <v>SJ5226</v>
      </c>
      <c r="J12" s="513">
        <v>1515011.5</v>
      </c>
      <c r="K12" s="513">
        <v>1078.3</v>
      </c>
      <c r="L12" s="513">
        <v>1405</v>
      </c>
      <c r="M12" s="513" t="s">
        <v>6303</v>
      </c>
      <c r="N12" s="513" t="s">
        <v>780</v>
      </c>
      <c r="O12" s="513" t="s">
        <v>781</v>
      </c>
      <c r="P12" s="518" t="s">
        <v>6310</v>
      </c>
      <c r="Q12" s="152" t="s">
        <v>5873</v>
      </c>
      <c r="R12" s="152" t="s">
        <v>6311</v>
      </c>
      <c r="S12" s="152" t="s">
        <v>6312</v>
      </c>
      <c r="T12" s="152" t="s">
        <v>6313</v>
      </c>
      <c r="U12" s="152" t="s">
        <v>786</v>
      </c>
    </row>
    <row r="13" spans="1:41" ht="25">
      <c r="D13" s="152" t="s">
        <v>2821</v>
      </c>
      <c r="E13" s="821" t="s">
        <v>670</v>
      </c>
      <c r="F13" s="684" t="str">
        <f>+VLOOKUP(G13,Resumen_Base!$C$8:$G$156,5,0)</f>
        <v>Canon Lodge/Labor Permits:</v>
      </c>
      <c r="G13" s="474" t="s">
        <v>313</v>
      </c>
      <c r="H13" s="210" t="s">
        <v>314</v>
      </c>
      <c r="I13" s="152" t="str">
        <f t="shared" ref="I13:I76" si="0">+E13&amp;G13</f>
        <v>SJ5208</v>
      </c>
      <c r="J13" s="513">
        <v>21075000</v>
      </c>
      <c r="K13" s="513">
        <v>15000</v>
      </c>
      <c r="L13" s="513">
        <v>1405</v>
      </c>
      <c r="M13" s="513" t="s">
        <v>6303</v>
      </c>
      <c r="N13" s="513" t="s">
        <v>780</v>
      </c>
      <c r="O13" s="513" t="s">
        <v>781</v>
      </c>
      <c r="P13" s="518" t="s">
        <v>6310</v>
      </c>
      <c r="Q13" s="152" t="s">
        <v>5873</v>
      </c>
      <c r="R13" s="152" t="s">
        <v>6311</v>
      </c>
      <c r="S13" s="152" t="s">
        <v>6317</v>
      </c>
      <c r="T13" s="152" t="s">
        <v>6313</v>
      </c>
      <c r="U13" s="152" t="s">
        <v>786</v>
      </c>
    </row>
    <row r="14" spans="1:41" ht="25">
      <c r="D14" s="152" t="s">
        <v>2821</v>
      </c>
      <c r="E14" s="821" t="s">
        <v>670</v>
      </c>
      <c r="F14" s="684" t="str">
        <f>+VLOOKUP(G14,Resumen_Base!$C$8:$G$156,5,0)</f>
        <v>Canon Lodge/Labor Permits:</v>
      </c>
      <c r="G14" s="474" t="s">
        <v>313</v>
      </c>
      <c r="H14" s="210" t="s">
        <v>314</v>
      </c>
      <c r="I14" s="152" t="str">
        <f t="shared" si="0"/>
        <v>SJ5208</v>
      </c>
      <c r="J14" s="513">
        <v>2669.5</v>
      </c>
      <c r="K14" s="513">
        <v>1.9</v>
      </c>
      <c r="L14" s="513">
        <v>1405</v>
      </c>
      <c r="M14" s="513" t="s">
        <v>6303</v>
      </c>
      <c r="N14" s="513" t="s">
        <v>780</v>
      </c>
      <c r="O14" s="513" t="s">
        <v>781</v>
      </c>
      <c r="P14" s="518" t="s">
        <v>6310</v>
      </c>
      <c r="Q14" s="152" t="s">
        <v>5873</v>
      </c>
      <c r="R14" s="152" t="s">
        <v>6311</v>
      </c>
      <c r="S14" s="152" t="s">
        <v>953</v>
      </c>
      <c r="T14" s="152" t="s">
        <v>6313</v>
      </c>
      <c r="U14" s="152" t="s">
        <v>786</v>
      </c>
    </row>
    <row r="15" spans="1:41" ht="25">
      <c r="D15" s="152" t="s">
        <v>2821</v>
      </c>
      <c r="E15" s="821" t="s">
        <v>670</v>
      </c>
      <c r="F15" s="684" t="str">
        <f>+VLOOKUP(G15,Resumen_Base!$C$8:$G$156,5,0)</f>
        <v>Canon Lodge/Labor Permits:</v>
      </c>
      <c r="G15" s="474" t="s">
        <v>313</v>
      </c>
      <c r="H15" s="210" t="s">
        <v>314</v>
      </c>
      <c r="I15" s="152" t="str">
        <f t="shared" si="0"/>
        <v>SJ5208</v>
      </c>
      <c r="J15" s="513">
        <v>14050</v>
      </c>
      <c r="K15" s="513">
        <v>10</v>
      </c>
      <c r="L15" s="513">
        <v>1405</v>
      </c>
      <c r="M15" s="513" t="s">
        <v>6303</v>
      </c>
      <c r="N15" s="513" t="s">
        <v>780</v>
      </c>
      <c r="O15" s="513" t="s">
        <v>781</v>
      </c>
      <c r="P15" s="518" t="s">
        <v>6310</v>
      </c>
      <c r="Q15" s="152" t="s">
        <v>5873</v>
      </c>
      <c r="R15" s="152" t="s">
        <v>6311</v>
      </c>
      <c r="S15" s="152" t="s">
        <v>6326</v>
      </c>
      <c r="T15" s="152" t="s">
        <v>6313</v>
      </c>
      <c r="U15" s="152" t="s">
        <v>786</v>
      </c>
    </row>
    <row r="16" spans="1:41" ht="25">
      <c r="D16" s="152" t="s">
        <v>2821</v>
      </c>
      <c r="E16" s="821" t="s">
        <v>670</v>
      </c>
      <c r="F16" s="684" t="str">
        <f>+VLOOKUP(G16,Resumen_Base!$C$8:$G$156,5,0)</f>
        <v>Communications - Phone, internet and satellite TV</v>
      </c>
      <c r="G16" s="474" t="s">
        <v>72</v>
      </c>
      <c r="H16" s="210" t="s">
        <v>73</v>
      </c>
      <c r="I16" s="152" t="str">
        <f t="shared" si="0"/>
        <v>SJ5266</v>
      </c>
      <c r="J16" s="513">
        <v>81180.899999999994</v>
      </c>
      <c r="K16" s="513">
        <v>57.78</v>
      </c>
      <c r="L16" s="513">
        <v>1405</v>
      </c>
      <c r="M16" s="513" t="s">
        <v>6303</v>
      </c>
      <c r="N16" s="513" t="s">
        <v>780</v>
      </c>
      <c r="O16" s="513" t="s">
        <v>781</v>
      </c>
      <c r="P16" s="518" t="s">
        <v>6304</v>
      </c>
      <c r="Q16" s="152" t="s">
        <v>5873</v>
      </c>
      <c r="R16" s="152" t="s">
        <v>6305</v>
      </c>
      <c r="S16" s="152" t="s">
        <v>6315</v>
      </c>
      <c r="T16" s="152" t="s">
        <v>6307</v>
      </c>
      <c r="U16" s="152" t="s">
        <v>786</v>
      </c>
    </row>
    <row r="17" spans="4:21" ht="25">
      <c r="D17" s="152" t="s">
        <v>2821</v>
      </c>
      <c r="E17" s="821" t="s">
        <v>670</v>
      </c>
      <c r="F17" s="684" t="str">
        <f>+VLOOKUP(G17,Resumen_Base!$C$8:$G$156,5,0)</f>
        <v>Communications - Phone, internet and satellite TV</v>
      </c>
      <c r="G17" s="474" t="s">
        <v>72</v>
      </c>
      <c r="H17" s="210" t="s">
        <v>73</v>
      </c>
      <c r="I17" s="152" t="str">
        <f t="shared" si="0"/>
        <v>SJ5266</v>
      </c>
      <c r="J17" s="513">
        <v>-1334.75</v>
      </c>
      <c r="K17" s="513">
        <v>-0.95</v>
      </c>
      <c r="L17" s="513">
        <v>1405</v>
      </c>
      <c r="M17" s="513" t="s">
        <v>6303</v>
      </c>
      <c r="N17" s="513" t="s">
        <v>780</v>
      </c>
      <c r="O17" s="513" t="s">
        <v>781</v>
      </c>
      <c r="P17" s="518" t="s">
        <v>6327</v>
      </c>
      <c r="Q17" s="152" t="s">
        <v>5873</v>
      </c>
      <c r="R17" s="152" t="s">
        <v>6328</v>
      </c>
      <c r="S17" s="152" t="s">
        <v>3223</v>
      </c>
      <c r="T17" s="152" t="s">
        <v>6330</v>
      </c>
      <c r="U17" s="152" t="s">
        <v>786</v>
      </c>
    </row>
    <row r="18" spans="4:21">
      <c r="D18" s="152" t="s">
        <v>2821</v>
      </c>
      <c r="E18" s="821" t="s">
        <v>670</v>
      </c>
      <c r="F18" s="684" t="str">
        <f>+VLOOKUP(G18,Resumen_Base!$C$8:$G$156,5,0)</f>
        <v>Electricity</v>
      </c>
      <c r="G18" s="474" t="s">
        <v>41</v>
      </c>
      <c r="H18" s="210" t="s">
        <v>40</v>
      </c>
      <c r="I18" s="152" t="str">
        <f t="shared" si="0"/>
        <v>SJ5247</v>
      </c>
      <c r="J18" s="513">
        <v>854169.75</v>
      </c>
      <c r="K18" s="513">
        <v>607.95000000000005</v>
      </c>
      <c r="L18" s="513">
        <v>1405</v>
      </c>
      <c r="M18" s="513" t="s">
        <v>6303</v>
      </c>
      <c r="N18" s="513" t="s">
        <v>780</v>
      </c>
      <c r="O18" s="513" t="s">
        <v>781</v>
      </c>
      <c r="P18" s="518" t="s">
        <v>6310</v>
      </c>
      <c r="Q18" s="152" t="s">
        <v>5873</v>
      </c>
      <c r="R18" s="152" t="s">
        <v>6311</v>
      </c>
      <c r="S18" s="152" t="s">
        <v>6366</v>
      </c>
      <c r="T18" s="152" t="s">
        <v>6313</v>
      </c>
      <c r="U18" s="152" t="s">
        <v>786</v>
      </c>
    </row>
    <row r="19" spans="4:21" ht="25">
      <c r="D19" s="152" t="s">
        <v>2821</v>
      </c>
      <c r="E19" s="821" t="s">
        <v>670</v>
      </c>
      <c r="F19" s="684" t="str">
        <f>+VLOOKUP(G19,Resumen_Base!$C$8:$G$156,5,0)</f>
        <v>Electricity - Gas for Boats &amp; Vehicles</v>
      </c>
      <c r="G19" s="474" t="s">
        <v>64</v>
      </c>
      <c r="H19" s="210" t="s">
        <v>65</v>
      </c>
      <c r="I19" s="152" t="str">
        <f t="shared" si="0"/>
        <v>SJ5248</v>
      </c>
      <c r="J19" s="513">
        <v>144012.5</v>
      </c>
      <c r="K19" s="513">
        <v>102.5</v>
      </c>
      <c r="L19" s="513">
        <v>1405</v>
      </c>
      <c r="M19" s="513" t="s">
        <v>6059</v>
      </c>
      <c r="N19" s="513" t="s">
        <v>780</v>
      </c>
      <c r="O19" s="513" t="s">
        <v>781</v>
      </c>
      <c r="P19" s="518" t="s">
        <v>6065</v>
      </c>
      <c r="Q19" s="152" t="s">
        <v>5873</v>
      </c>
      <c r="R19" s="152" t="s">
        <v>6066</v>
      </c>
      <c r="S19" s="152" t="s">
        <v>6067</v>
      </c>
      <c r="T19" s="152" t="s">
        <v>6068</v>
      </c>
      <c r="U19" s="152" t="s">
        <v>786</v>
      </c>
    </row>
    <row r="20" spans="4:21" ht="25">
      <c r="D20" s="152" t="s">
        <v>2821</v>
      </c>
      <c r="E20" s="821" t="s">
        <v>670</v>
      </c>
      <c r="F20" s="684" t="str">
        <f>+VLOOKUP(G20,Resumen_Base!$C$8:$G$156,5,0)</f>
        <v>Electricity - Gas for Boats &amp; Vehicles</v>
      </c>
      <c r="G20" s="474" t="s">
        <v>64</v>
      </c>
      <c r="H20" s="210" t="s">
        <v>65</v>
      </c>
      <c r="I20" s="152" t="str">
        <f t="shared" si="0"/>
        <v>SJ5248</v>
      </c>
      <c r="J20" s="513">
        <v>140500</v>
      </c>
      <c r="K20" s="513">
        <v>100</v>
      </c>
      <c r="L20" s="513">
        <v>1405</v>
      </c>
      <c r="M20" s="513" t="s">
        <v>6059</v>
      </c>
      <c r="N20" s="513" t="s">
        <v>780</v>
      </c>
      <c r="O20" s="513" t="s">
        <v>781</v>
      </c>
      <c r="P20" s="518" t="s">
        <v>6065</v>
      </c>
      <c r="Q20" s="152" t="s">
        <v>5873</v>
      </c>
      <c r="R20" s="152" t="s">
        <v>6066</v>
      </c>
      <c r="S20" s="152" t="s">
        <v>6070</v>
      </c>
      <c r="T20" s="152" t="s">
        <v>6068</v>
      </c>
      <c r="U20" s="152" t="s">
        <v>786</v>
      </c>
    </row>
    <row r="21" spans="4:21" ht="25">
      <c r="D21" s="152" t="s">
        <v>2821</v>
      </c>
      <c r="E21" s="821" t="s">
        <v>670</v>
      </c>
      <c r="F21" s="684" t="str">
        <f>+VLOOKUP(G21,Resumen_Base!$C$8:$G$156,5,0)</f>
        <v>Electricity - Gas for Boats &amp; Vehicles</v>
      </c>
      <c r="G21" s="474" t="s">
        <v>64</v>
      </c>
      <c r="H21" s="210" t="s">
        <v>65</v>
      </c>
      <c r="I21" s="152" t="str">
        <f t="shared" si="0"/>
        <v>SJ5248</v>
      </c>
      <c r="J21" s="513">
        <v>355998.9</v>
      </c>
      <c r="K21" s="513">
        <v>253.38</v>
      </c>
      <c r="L21" s="513">
        <v>1405</v>
      </c>
      <c r="M21" s="513" t="s">
        <v>6059</v>
      </c>
      <c r="N21" s="513" t="s">
        <v>780</v>
      </c>
      <c r="O21" s="513" t="s">
        <v>781</v>
      </c>
      <c r="P21" s="518" t="s">
        <v>6065</v>
      </c>
      <c r="Q21" s="152" t="s">
        <v>5873</v>
      </c>
      <c r="R21" s="152" t="s">
        <v>6066</v>
      </c>
      <c r="S21" s="152" t="s">
        <v>6071</v>
      </c>
      <c r="T21" s="152" t="s">
        <v>6068</v>
      </c>
      <c r="U21" s="152" t="s">
        <v>786</v>
      </c>
    </row>
    <row r="22" spans="4:21" ht="25">
      <c r="D22" s="152" t="s">
        <v>2821</v>
      </c>
      <c r="E22" s="821" t="s">
        <v>670</v>
      </c>
      <c r="F22" s="684" t="str">
        <f>+VLOOKUP(G22,Resumen_Base!$C$8:$G$156,5,0)</f>
        <v>Electricity - Gas for Boats &amp; Vehicles</v>
      </c>
      <c r="G22" s="474" t="s">
        <v>64</v>
      </c>
      <c r="H22" s="210" t="s">
        <v>65</v>
      </c>
      <c r="I22" s="152" t="str">
        <f t="shared" si="0"/>
        <v>SJ5248</v>
      </c>
      <c r="J22" s="513">
        <v>2697.6</v>
      </c>
      <c r="K22" s="513">
        <v>1.92</v>
      </c>
      <c r="L22" s="513">
        <v>1405</v>
      </c>
      <c r="M22" s="513" t="s">
        <v>6059</v>
      </c>
      <c r="N22" s="513" t="s">
        <v>780</v>
      </c>
      <c r="O22" s="513" t="s">
        <v>781</v>
      </c>
      <c r="P22" s="518" t="s">
        <v>6065</v>
      </c>
      <c r="Q22" s="152" t="s">
        <v>5873</v>
      </c>
      <c r="R22" s="152" t="s">
        <v>6066</v>
      </c>
      <c r="S22" s="152" t="s">
        <v>953</v>
      </c>
      <c r="T22" s="152" t="s">
        <v>6068</v>
      </c>
      <c r="U22" s="152" t="s">
        <v>786</v>
      </c>
    </row>
    <row r="23" spans="4:21" ht="25">
      <c r="D23" s="152" t="s">
        <v>2821</v>
      </c>
      <c r="E23" s="821" t="s">
        <v>670</v>
      </c>
      <c r="F23" s="684" t="str">
        <f>+VLOOKUP(G23,Resumen_Base!$C$8:$G$156,5,0)</f>
        <v>Electricity - Gas for Boats &amp; Vehicles</v>
      </c>
      <c r="G23" s="474" t="s">
        <v>64</v>
      </c>
      <c r="H23" s="210" t="s">
        <v>65</v>
      </c>
      <c r="I23" s="152" t="str">
        <f t="shared" si="0"/>
        <v>SJ5248</v>
      </c>
      <c r="J23" s="513">
        <v>131437.75</v>
      </c>
      <c r="K23" s="513">
        <v>93.55</v>
      </c>
      <c r="L23" s="513">
        <v>1405</v>
      </c>
      <c r="M23" s="513" t="s">
        <v>6303</v>
      </c>
      <c r="N23" s="513" t="s">
        <v>780</v>
      </c>
      <c r="O23" s="513" t="s">
        <v>781</v>
      </c>
      <c r="P23" s="518" t="s">
        <v>6304</v>
      </c>
      <c r="Q23" s="152" t="s">
        <v>5873</v>
      </c>
      <c r="R23" s="152" t="s">
        <v>6305</v>
      </c>
      <c r="S23" s="152" t="s">
        <v>6351</v>
      </c>
      <c r="T23" s="152" t="s">
        <v>6307</v>
      </c>
      <c r="U23" s="152" t="s">
        <v>786</v>
      </c>
    </row>
    <row r="24" spans="4:21">
      <c r="D24" s="152" t="s">
        <v>2821</v>
      </c>
      <c r="E24" s="821" t="s">
        <v>670</v>
      </c>
      <c r="F24" s="684" t="str">
        <f>+VLOOKUP(G24,Resumen_Base!$C$8:$G$156,5,0)</f>
        <v>Field:</v>
      </c>
      <c r="G24" s="474" t="s">
        <v>133</v>
      </c>
      <c r="H24" s="210" t="s">
        <v>312</v>
      </c>
      <c r="I24" s="152" t="str">
        <f t="shared" si="0"/>
        <v>SJ5207</v>
      </c>
      <c r="J24" s="513">
        <v>140500</v>
      </c>
      <c r="K24" s="513">
        <v>100</v>
      </c>
      <c r="L24" s="513">
        <v>1405</v>
      </c>
      <c r="M24" s="513" t="s">
        <v>6303</v>
      </c>
      <c r="N24" s="513" t="s">
        <v>780</v>
      </c>
      <c r="O24" s="513" t="s">
        <v>781</v>
      </c>
      <c r="P24" s="518" t="s">
        <v>6310</v>
      </c>
      <c r="Q24" s="152" t="s">
        <v>5873</v>
      </c>
      <c r="R24" s="152" t="s">
        <v>6311</v>
      </c>
      <c r="S24" s="152" t="s">
        <v>6333</v>
      </c>
      <c r="T24" s="152" t="s">
        <v>6313</v>
      </c>
      <c r="U24" s="152" t="s">
        <v>786</v>
      </c>
    </row>
    <row r="25" spans="4:21" ht="50">
      <c r="D25" s="152" t="s">
        <v>2821</v>
      </c>
      <c r="E25" s="821" t="s">
        <v>670</v>
      </c>
      <c r="F25" s="684" t="str">
        <f>+VLOOKUP(G25,Resumen_Base!$C$8:$G$156,5,0)</f>
        <v>Fixed Asset's Payments (Investments) Mejoras/equipamiento Lodge</v>
      </c>
      <c r="G25" s="474" t="s">
        <v>6</v>
      </c>
      <c r="H25" s="210" t="s">
        <v>5</v>
      </c>
      <c r="I25" s="152" t="str">
        <f t="shared" si="0"/>
        <v>SJ12020301</v>
      </c>
      <c r="J25" s="513">
        <v>5600</v>
      </c>
      <c r="K25" s="513">
        <v>3.9857651245551602</v>
      </c>
      <c r="L25" s="513">
        <v>1405</v>
      </c>
      <c r="M25" s="513" t="s">
        <v>6270</v>
      </c>
      <c r="N25" s="513" t="s">
        <v>780</v>
      </c>
      <c r="O25" s="513" t="s">
        <v>781</v>
      </c>
      <c r="P25" s="518" t="s">
        <v>6285</v>
      </c>
      <c r="Q25" s="152" t="s">
        <v>5873</v>
      </c>
      <c r="R25" s="152" t="s">
        <v>6286</v>
      </c>
      <c r="S25" s="152" t="s">
        <v>6287</v>
      </c>
      <c r="T25" s="152" t="s">
        <v>6288</v>
      </c>
      <c r="U25" s="152" t="s">
        <v>786</v>
      </c>
    </row>
    <row r="26" spans="4:21" ht="50">
      <c r="D26" s="152" t="s">
        <v>2821</v>
      </c>
      <c r="E26" s="821" t="s">
        <v>670</v>
      </c>
      <c r="F26" s="684" t="str">
        <f>+VLOOKUP(G26,Resumen_Base!$C$8:$G$156,5,0)</f>
        <v>Fixed Asset's Payments (Investments) Mejoras/equipamiento Lodge</v>
      </c>
      <c r="G26" s="474" t="s">
        <v>6</v>
      </c>
      <c r="H26" s="210" t="s">
        <v>5</v>
      </c>
      <c r="I26" s="152" t="str">
        <f t="shared" si="0"/>
        <v>SJ12020301</v>
      </c>
      <c r="J26" s="513">
        <v>648590.15</v>
      </c>
      <c r="K26" s="513">
        <v>461.63</v>
      </c>
      <c r="L26" s="513">
        <v>1405</v>
      </c>
      <c r="M26" s="513" t="s">
        <v>6303</v>
      </c>
      <c r="N26" s="513" t="s">
        <v>780</v>
      </c>
      <c r="O26" s="513" t="s">
        <v>781</v>
      </c>
      <c r="P26" s="518" t="s">
        <v>6304</v>
      </c>
      <c r="Q26" s="152" t="s">
        <v>5873</v>
      </c>
      <c r="R26" s="152" t="s">
        <v>6305</v>
      </c>
      <c r="S26" s="152" t="s">
        <v>6306</v>
      </c>
      <c r="T26" s="152" t="s">
        <v>6307</v>
      </c>
      <c r="U26" s="152" t="s">
        <v>786</v>
      </c>
    </row>
    <row r="27" spans="4:21" ht="50">
      <c r="D27" s="152" t="s">
        <v>2821</v>
      </c>
      <c r="E27" s="821" t="s">
        <v>670</v>
      </c>
      <c r="F27" s="684" t="str">
        <f>+VLOOKUP(G27,Resumen_Base!$C$8:$G$156,5,0)</f>
        <v>Fixed Asset's Payments (Investments) Mejoras/equipamiento Lodge</v>
      </c>
      <c r="G27" s="474" t="s">
        <v>6</v>
      </c>
      <c r="H27" s="210" t="s">
        <v>5</v>
      </c>
      <c r="I27" s="152" t="str">
        <f t="shared" si="0"/>
        <v>SJ12020301</v>
      </c>
      <c r="J27" s="513">
        <v>639443.6</v>
      </c>
      <c r="K27" s="513">
        <v>455.12</v>
      </c>
      <c r="L27" s="513">
        <v>1405</v>
      </c>
      <c r="M27" s="513" t="s">
        <v>6303</v>
      </c>
      <c r="N27" s="513" t="s">
        <v>780</v>
      </c>
      <c r="O27" s="513" t="s">
        <v>781</v>
      </c>
      <c r="P27" s="518" t="s">
        <v>6304</v>
      </c>
      <c r="Q27" s="152" t="s">
        <v>5873</v>
      </c>
      <c r="R27" s="152" t="s">
        <v>6305</v>
      </c>
      <c r="S27" s="152" t="s">
        <v>6320</v>
      </c>
      <c r="T27" s="152" t="s">
        <v>6307</v>
      </c>
      <c r="U27" s="152" t="s">
        <v>786</v>
      </c>
    </row>
    <row r="28" spans="4:21" ht="50">
      <c r="D28" s="152" t="s">
        <v>2821</v>
      </c>
      <c r="E28" s="821" t="s">
        <v>670</v>
      </c>
      <c r="F28" s="684" t="str">
        <f>+VLOOKUP(G28,Resumen_Base!$C$8:$G$156,5,0)</f>
        <v>Fixed Asset's Payments (Investments) Mejoras/equipamiento Lodge</v>
      </c>
      <c r="G28" s="474" t="s">
        <v>6</v>
      </c>
      <c r="H28" s="210" t="s">
        <v>5</v>
      </c>
      <c r="I28" s="152" t="str">
        <f t="shared" si="0"/>
        <v>SJ12020301</v>
      </c>
      <c r="J28" s="513">
        <v>217269.2</v>
      </c>
      <c r="K28" s="513">
        <v>154.63999999999999</v>
      </c>
      <c r="L28" s="513">
        <v>1405</v>
      </c>
      <c r="M28" s="513" t="s">
        <v>6303</v>
      </c>
      <c r="N28" s="513" t="s">
        <v>780</v>
      </c>
      <c r="O28" s="513" t="s">
        <v>781</v>
      </c>
      <c r="P28" s="518" t="s">
        <v>6304</v>
      </c>
      <c r="Q28" s="152" t="s">
        <v>5873</v>
      </c>
      <c r="R28" s="152" t="s">
        <v>6305</v>
      </c>
      <c r="S28" s="152" t="s">
        <v>6323</v>
      </c>
      <c r="T28" s="152" t="s">
        <v>6307</v>
      </c>
      <c r="U28" s="152" t="s">
        <v>786</v>
      </c>
    </row>
    <row r="29" spans="4:21" ht="50">
      <c r="D29" s="152" t="s">
        <v>2821</v>
      </c>
      <c r="E29" s="821" t="s">
        <v>670</v>
      </c>
      <c r="F29" s="684" t="str">
        <f>+VLOOKUP(G29,Resumen_Base!$C$8:$G$156,5,0)</f>
        <v>Fixed Asset's Payments (Investments) Mejoras/equipamiento Lodge</v>
      </c>
      <c r="G29" s="474" t="s">
        <v>50</v>
      </c>
      <c r="H29" s="210" t="s">
        <v>51</v>
      </c>
      <c r="I29" s="152" t="str">
        <f t="shared" si="0"/>
        <v>SJ12020103</v>
      </c>
      <c r="J29" s="513">
        <v>268692.2</v>
      </c>
      <c r="K29" s="513">
        <v>191.24</v>
      </c>
      <c r="L29" s="513">
        <v>1405</v>
      </c>
      <c r="M29" s="513" t="s">
        <v>6303</v>
      </c>
      <c r="N29" s="513" t="s">
        <v>780</v>
      </c>
      <c r="O29" s="513" t="s">
        <v>781</v>
      </c>
      <c r="P29" s="518" t="s">
        <v>6304</v>
      </c>
      <c r="Q29" s="152" t="s">
        <v>5873</v>
      </c>
      <c r="R29" s="152" t="s">
        <v>6305</v>
      </c>
      <c r="S29" s="152" t="s">
        <v>6339</v>
      </c>
      <c r="T29" s="152" t="s">
        <v>6307</v>
      </c>
      <c r="U29" s="152" t="s">
        <v>786</v>
      </c>
    </row>
    <row r="30" spans="4:21" ht="50">
      <c r="D30" s="152" t="s">
        <v>2821</v>
      </c>
      <c r="E30" s="821" t="s">
        <v>670</v>
      </c>
      <c r="F30" s="684" t="str">
        <f>+VLOOKUP(G30,Resumen_Base!$C$8:$G$156,5,0)</f>
        <v>Fixed Asset's Payments (Investments) Mejoras/equipamiento Lodge</v>
      </c>
      <c r="G30" s="474" t="s">
        <v>6</v>
      </c>
      <c r="H30" s="210" t="s">
        <v>5</v>
      </c>
      <c r="I30" s="152" t="str">
        <f t="shared" si="0"/>
        <v>SJ12020301</v>
      </c>
      <c r="J30" s="513">
        <v>-16002.95</v>
      </c>
      <c r="K30" s="513">
        <v>-11.39</v>
      </c>
      <c r="L30" s="513">
        <v>1405</v>
      </c>
      <c r="M30" s="513" t="s">
        <v>6303</v>
      </c>
      <c r="N30" s="513" t="s">
        <v>780</v>
      </c>
      <c r="O30" s="513" t="s">
        <v>781</v>
      </c>
      <c r="P30" s="518" t="s">
        <v>6327</v>
      </c>
      <c r="Q30" s="152" t="s">
        <v>5873</v>
      </c>
      <c r="R30" s="152" t="s">
        <v>6328</v>
      </c>
      <c r="S30" s="152" t="s">
        <v>6360</v>
      </c>
      <c r="T30" s="152" t="s">
        <v>6330</v>
      </c>
      <c r="U30" s="152" t="s">
        <v>786</v>
      </c>
    </row>
    <row r="31" spans="4:21" ht="50">
      <c r="D31" s="152" t="s">
        <v>2821</v>
      </c>
      <c r="E31" s="821" t="s">
        <v>670</v>
      </c>
      <c r="F31" s="684" t="str">
        <f>+VLOOKUP(G31,Resumen_Base!$C$8:$G$156,5,0)</f>
        <v>Fixed Asset's Payments (Investments) Mejoras/equipamiento Lodge</v>
      </c>
      <c r="G31" s="474" t="s">
        <v>6</v>
      </c>
      <c r="H31" s="210" t="s">
        <v>5</v>
      </c>
      <c r="I31" s="152" t="str">
        <f t="shared" si="0"/>
        <v>SJ12020301</v>
      </c>
      <c r="J31" s="513">
        <v>189717.15</v>
      </c>
      <c r="K31" s="513">
        <v>135.03</v>
      </c>
      <c r="L31" s="513">
        <v>1405</v>
      </c>
      <c r="M31" s="513" t="s">
        <v>6303</v>
      </c>
      <c r="N31" s="513" t="s">
        <v>780</v>
      </c>
      <c r="O31" s="513" t="s">
        <v>781</v>
      </c>
      <c r="P31" s="518" t="s">
        <v>6304</v>
      </c>
      <c r="Q31" s="152" t="s">
        <v>5873</v>
      </c>
      <c r="R31" s="152" t="s">
        <v>6305</v>
      </c>
      <c r="S31" s="152" t="s">
        <v>6368</v>
      </c>
      <c r="T31" s="152" t="s">
        <v>6307</v>
      </c>
      <c r="U31" s="152" t="s">
        <v>786</v>
      </c>
    </row>
    <row r="32" spans="4:21" ht="50">
      <c r="D32" s="152" t="s">
        <v>2821</v>
      </c>
      <c r="E32" s="821" t="s">
        <v>670</v>
      </c>
      <c r="F32" s="684" t="str">
        <f>+VLOOKUP(G32,Resumen_Base!$C$8:$G$156,5,0)</f>
        <v>Fixed Asset's Payments (Investments) Mejoras/equipamiento Lodge</v>
      </c>
      <c r="G32" s="474" t="s">
        <v>6</v>
      </c>
      <c r="H32" s="210" t="s">
        <v>5</v>
      </c>
      <c r="I32" s="152" t="str">
        <f t="shared" si="0"/>
        <v>SJ12020301</v>
      </c>
      <c r="J32" s="513">
        <v>551420.35</v>
      </c>
      <c r="K32" s="513">
        <v>392.47</v>
      </c>
      <c r="L32" s="513">
        <v>1405</v>
      </c>
      <c r="M32" s="513" t="s">
        <v>6303</v>
      </c>
      <c r="N32" s="513" t="s">
        <v>780</v>
      </c>
      <c r="O32" s="513" t="s">
        <v>781</v>
      </c>
      <c r="P32" s="518" t="s">
        <v>6369</v>
      </c>
      <c r="Q32" s="152" t="s">
        <v>5873</v>
      </c>
      <c r="R32" s="152" t="s">
        <v>6370</v>
      </c>
      <c r="S32" s="152" t="s">
        <v>6371</v>
      </c>
      <c r="T32" s="152" t="s">
        <v>6372</v>
      </c>
      <c r="U32" s="152" t="s">
        <v>786</v>
      </c>
    </row>
    <row r="33" spans="4:21" ht="50">
      <c r="D33" s="152" t="s">
        <v>2821</v>
      </c>
      <c r="E33" s="821" t="s">
        <v>670</v>
      </c>
      <c r="F33" s="684" t="str">
        <f>+VLOOKUP(G33,Resumen_Base!$C$8:$G$156,5,0)</f>
        <v>Fixed Asset's Payments (Investments) Mejoras/equipamiento Lodge</v>
      </c>
      <c r="G33" s="474" t="s">
        <v>6</v>
      </c>
      <c r="H33" s="210" t="s">
        <v>5</v>
      </c>
      <c r="I33" s="152" t="str">
        <f t="shared" si="0"/>
        <v>SJ12020301</v>
      </c>
      <c r="J33" s="513">
        <v>570261.4</v>
      </c>
      <c r="K33" s="513">
        <v>405.88</v>
      </c>
      <c r="L33" s="513">
        <v>1405</v>
      </c>
      <c r="M33" s="513" t="s">
        <v>6303</v>
      </c>
      <c r="N33" s="513" t="s">
        <v>780</v>
      </c>
      <c r="O33" s="513" t="s">
        <v>781</v>
      </c>
      <c r="P33" s="518" t="s">
        <v>6369</v>
      </c>
      <c r="Q33" s="152" t="s">
        <v>5873</v>
      </c>
      <c r="R33" s="152" t="s">
        <v>6370</v>
      </c>
      <c r="S33" s="152" t="s">
        <v>6373</v>
      </c>
      <c r="T33" s="152" t="s">
        <v>6372</v>
      </c>
      <c r="U33" s="152" t="s">
        <v>786</v>
      </c>
    </row>
    <row r="34" spans="4:21" ht="50">
      <c r="D34" s="152" t="s">
        <v>2821</v>
      </c>
      <c r="E34" s="821" t="s">
        <v>670</v>
      </c>
      <c r="F34" s="684" t="str">
        <f>+VLOOKUP(G34,Resumen_Base!$C$8:$G$156,5,0)</f>
        <v>Fixed Asset's Payments (Investments) Mejoras/equipamiento Lodge</v>
      </c>
      <c r="G34" s="474" t="s">
        <v>6</v>
      </c>
      <c r="H34" s="210" t="s">
        <v>5</v>
      </c>
      <c r="I34" s="152" t="str">
        <f t="shared" si="0"/>
        <v>SJ12020301</v>
      </c>
      <c r="J34" s="513">
        <v>69000</v>
      </c>
      <c r="K34" s="513">
        <v>49.110320284697501</v>
      </c>
      <c r="L34" s="513">
        <v>1405</v>
      </c>
      <c r="M34" s="513" t="s">
        <v>6303</v>
      </c>
      <c r="N34" s="513" t="s">
        <v>780</v>
      </c>
      <c r="O34" s="513" t="s">
        <v>781</v>
      </c>
      <c r="P34" s="518" t="s">
        <v>6378</v>
      </c>
      <c r="Q34" s="152" t="s">
        <v>5873</v>
      </c>
      <c r="R34" s="152" t="s">
        <v>6379</v>
      </c>
      <c r="S34" s="152" t="s">
        <v>6397</v>
      </c>
      <c r="T34" s="152" t="s">
        <v>6381</v>
      </c>
      <c r="U34" s="152" t="s">
        <v>786</v>
      </c>
    </row>
    <row r="35" spans="4:21">
      <c r="D35" s="152" t="s">
        <v>2821</v>
      </c>
      <c r="E35" s="821" t="s">
        <v>670</v>
      </c>
      <c r="F35" s="684" t="str">
        <f>+VLOOKUP(G35,Resumen_Base!$C$8:$G$156,5,0)</f>
        <v>Food &amp; Wine</v>
      </c>
      <c r="G35" s="474" t="s">
        <v>37</v>
      </c>
      <c r="H35" s="210" t="s">
        <v>36</v>
      </c>
      <c r="I35" s="152" t="str">
        <f t="shared" si="0"/>
        <v>SJ5250</v>
      </c>
      <c r="J35" s="513">
        <v>48121.25</v>
      </c>
      <c r="K35" s="513">
        <v>34.25</v>
      </c>
      <c r="L35" s="513">
        <v>1405</v>
      </c>
      <c r="M35" s="513" t="s">
        <v>6059</v>
      </c>
      <c r="N35" s="513" t="s">
        <v>780</v>
      </c>
      <c r="O35" s="513" t="s">
        <v>781</v>
      </c>
      <c r="P35" s="518" t="s">
        <v>6065</v>
      </c>
      <c r="Q35" s="152" t="s">
        <v>5873</v>
      </c>
      <c r="R35" s="152" t="s">
        <v>6066</v>
      </c>
      <c r="S35" s="152" t="s">
        <v>6080</v>
      </c>
      <c r="T35" s="152" t="s">
        <v>6068</v>
      </c>
      <c r="U35" s="152" t="s">
        <v>786</v>
      </c>
    </row>
    <row r="36" spans="4:21">
      <c r="D36" s="152" t="s">
        <v>2821</v>
      </c>
      <c r="E36" s="821" t="s">
        <v>670</v>
      </c>
      <c r="F36" s="684" t="str">
        <f>+VLOOKUP(G36,Resumen_Base!$C$8:$G$156,5,0)</f>
        <v>Food &amp; Wine</v>
      </c>
      <c r="G36" s="474" t="s">
        <v>37</v>
      </c>
      <c r="H36" s="210" t="s">
        <v>36</v>
      </c>
      <c r="I36" s="152" t="str">
        <f t="shared" si="0"/>
        <v>SJ5250</v>
      </c>
      <c r="J36" s="513">
        <v>-1784.35</v>
      </c>
      <c r="K36" s="513">
        <v>-1.27</v>
      </c>
      <c r="L36" s="513">
        <v>1405</v>
      </c>
      <c r="M36" s="513" t="s">
        <v>6059</v>
      </c>
      <c r="N36" s="513" t="s">
        <v>780</v>
      </c>
      <c r="O36" s="513" t="s">
        <v>781</v>
      </c>
      <c r="P36" s="518" t="s">
        <v>6085</v>
      </c>
      <c r="Q36" s="152" t="s">
        <v>5873</v>
      </c>
      <c r="R36" s="152" t="s">
        <v>6086</v>
      </c>
      <c r="S36" s="152" t="s">
        <v>6087</v>
      </c>
      <c r="T36" s="152" t="s">
        <v>6088</v>
      </c>
      <c r="U36" s="152" t="s">
        <v>786</v>
      </c>
    </row>
    <row r="37" spans="4:21">
      <c r="D37" s="152" t="s">
        <v>2821</v>
      </c>
      <c r="E37" s="821" t="s">
        <v>670</v>
      </c>
      <c r="F37" s="684" t="str">
        <f>+VLOOKUP(G37,Resumen_Base!$C$8:$G$156,5,0)</f>
        <v>Food &amp; Wine</v>
      </c>
      <c r="G37" s="474" t="s">
        <v>37</v>
      </c>
      <c r="H37" s="210" t="s">
        <v>36</v>
      </c>
      <c r="I37" s="152" t="str">
        <f t="shared" si="0"/>
        <v>SJ5250</v>
      </c>
      <c r="J37" s="513">
        <v>113748.8</v>
      </c>
      <c r="K37" s="513">
        <v>80.959999999999994</v>
      </c>
      <c r="L37" s="513">
        <v>1405</v>
      </c>
      <c r="M37" s="513" t="s">
        <v>6303</v>
      </c>
      <c r="N37" s="513" t="s">
        <v>780</v>
      </c>
      <c r="O37" s="513" t="s">
        <v>781</v>
      </c>
      <c r="P37" s="518" t="s">
        <v>6304</v>
      </c>
      <c r="Q37" s="152" t="s">
        <v>5873</v>
      </c>
      <c r="R37" s="152" t="s">
        <v>6305</v>
      </c>
      <c r="S37" s="152" t="s">
        <v>6309</v>
      </c>
      <c r="T37" s="152" t="s">
        <v>6307</v>
      </c>
      <c r="U37" s="152" t="s">
        <v>786</v>
      </c>
    </row>
    <row r="38" spans="4:21">
      <c r="D38" s="152" t="s">
        <v>2821</v>
      </c>
      <c r="E38" s="821" t="s">
        <v>670</v>
      </c>
      <c r="F38" s="684" t="str">
        <f>+VLOOKUP(G38,Resumen_Base!$C$8:$G$156,5,0)</f>
        <v>Food &amp; Wine</v>
      </c>
      <c r="G38" s="474" t="s">
        <v>37</v>
      </c>
      <c r="H38" s="210" t="s">
        <v>36</v>
      </c>
      <c r="I38" s="152" t="str">
        <f t="shared" si="0"/>
        <v>SJ5250</v>
      </c>
      <c r="J38" s="513">
        <v>21707.25</v>
      </c>
      <c r="K38" s="513">
        <v>15.45</v>
      </c>
      <c r="L38" s="513">
        <v>1405</v>
      </c>
      <c r="M38" s="513" t="s">
        <v>6303</v>
      </c>
      <c r="N38" s="513" t="s">
        <v>780</v>
      </c>
      <c r="O38" s="513" t="s">
        <v>781</v>
      </c>
      <c r="P38" s="518" t="s">
        <v>6310</v>
      </c>
      <c r="Q38" s="152" t="s">
        <v>5873</v>
      </c>
      <c r="R38" s="152" t="s">
        <v>6311</v>
      </c>
      <c r="S38" s="152" t="s">
        <v>6322</v>
      </c>
      <c r="T38" s="152" t="s">
        <v>6313</v>
      </c>
      <c r="U38" s="152" t="s">
        <v>786</v>
      </c>
    </row>
    <row r="39" spans="4:21">
      <c r="D39" s="152" t="s">
        <v>2821</v>
      </c>
      <c r="E39" s="821" t="s">
        <v>670</v>
      </c>
      <c r="F39" s="684" t="str">
        <f>+VLOOKUP(G39,Resumen_Base!$C$8:$G$156,5,0)</f>
        <v>Food &amp; Wine</v>
      </c>
      <c r="G39" s="474" t="s">
        <v>37</v>
      </c>
      <c r="H39" s="210" t="s">
        <v>36</v>
      </c>
      <c r="I39" s="152" t="str">
        <f t="shared" si="0"/>
        <v>SJ5250</v>
      </c>
      <c r="J39" s="513">
        <v>168810.75</v>
      </c>
      <c r="K39" s="513">
        <v>120.15</v>
      </c>
      <c r="L39" s="513">
        <v>1405</v>
      </c>
      <c r="M39" s="513" t="s">
        <v>6303</v>
      </c>
      <c r="N39" s="513" t="s">
        <v>780</v>
      </c>
      <c r="O39" s="513" t="s">
        <v>781</v>
      </c>
      <c r="P39" s="518" t="s">
        <v>6304</v>
      </c>
      <c r="Q39" s="152" t="s">
        <v>5873</v>
      </c>
      <c r="R39" s="152" t="s">
        <v>6305</v>
      </c>
      <c r="S39" s="152" t="s">
        <v>6324</v>
      </c>
      <c r="T39" s="152" t="s">
        <v>6307</v>
      </c>
      <c r="U39" s="152" t="s">
        <v>786</v>
      </c>
    </row>
    <row r="40" spans="4:21">
      <c r="D40" s="152" t="s">
        <v>2821</v>
      </c>
      <c r="E40" s="821" t="s">
        <v>670</v>
      </c>
      <c r="F40" s="684" t="str">
        <f>+VLOOKUP(G40,Resumen_Base!$C$8:$G$156,5,0)</f>
        <v>Food &amp; Wine</v>
      </c>
      <c r="G40" s="474" t="s">
        <v>37</v>
      </c>
      <c r="H40" s="210" t="s">
        <v>36</v>
      </c>
      <c r="I40" s="152" t="str">
        <f t="shared" si="0"/>
        <v>SJ5250</v>
      </c>
      <c r="J40" s="513">
        <v>1629.8</v>
      </c>
      <c r="K40" s="513">
        <v>1.1599999999999999</v>
      </c>
      <c r="L40" s="513">
        <v>1405</v>
      </c>
      <c r="M40" s="513" t="s">
        <v>6303</v>
      </c>
      <c r="N40" s="513" t="s">
        <v>780</v>
      </c>
      <c r="O40" s="513" t="s">
        <v>781</v>
      </c>
      <c r="P40" s="518" t="s">
        <v>6304</v>
      </c>
      <c r="Q40" s="152" t="s">
        <v>5873</v>
      </c>
      <c r="R40" s="152" t="s">
        <v>6305</v>
      </c>
      <c r="S40" s="152" t="s">
        <v>953</v>
      </c>
      <c r="T40" s="152" t="s">
        <v>6307</v>
      </c>
      <c r="U40" s="152" t="s">
        <v>786</v>
      </c>
    </row>
    <row r="41" spans="4:21">
      <c r="D41" s="152" t="s">
        <v>2821</v>
      </c>
      <c r="E41" s="821" t="s">
        <v>670</v>
      </c>
      <c r="F41" s="684" t="str">
        <f>+VLOOKUP(G41,Resumen_Base!$C$8:$G$156,5,0)</f>
        <v>Food &amp; Wine</v>
      </c>
      <c r="G41" s="474" t="s">
        <v>37</v>
      </c>
      <c r="H41" s="210" t="s">
        <v>36</v>
      </c>
      <c r="I41" s="152" t="str">
        <f t="shared" si="0"/>
        <v>SJ5250</v>
      </c>
      <c r="J41" s="513">
        <v>1629.8</v>
      </c>
      <c r="K41" s="513">
        <v>1.1599999999999999</v>
      </c>
      <c r="L41" s="513">
        <v>1405</v>
      </c>
      <c r="M41" s="513" t="s">
        <v>6303</v>
      </c>
      <c r="N41" s="513" t="s">
        <v>780</v>
      </c>
      <c r="O41" s="513" t="s">
        <v>781</v>
      </c>
      <c r="P41" s="518" t="s">
        <v>6304</v>
      </c>
      <c r="Q41" s="152" t="s">
        <v>5873</v>
      </c>
      <c r="R41" s="152" t="s">
        <v>6305</v>
      </c>
      <c r="S41" s="152" t="s">
        <v>953</v>
      </c>
      <c r="T41" s="152" t="s">
        <v>6307</v>
      </c>
      <c r="U41" s="152" t="s">
        <v>786</v>
      </c>
    </row>
    <row r="42" spans="4:21">
      <c r="D42" s="152" t="s">
        <v>2821</v>
      </c>
      <c r="E42" s="821" t="s">
        <v>670</v>
      </c>
      <c r="F42" s="684" t="str">
        <f>+VLOOKUP(G42,Resumen_Base!$C$8:$G$156,5,0)</f>
        <v>Food &amp; Wine</v>
      </c>
      <c r="G42" s="474" t="s">
        <v>37</v>
      </c>
      <c r="H42" s="210" t="s">
        <v>36</v>
      </c>
      <c r="I42" s="152" t="str">
        <f t="shared" si="0"/>
        <v>SJ5250</v>
      </c>
      <c r="J42" s="513">
        <v>2683.55</v>
      </c>
      <c r="K42" s="513">
        <v>1.91</v>
      </c>
      <c r="L42" s="513">
        <v>1405</v>
      </c>
      <c r="M42" s="513" t="s">
        <v>6303</v>
      </c>
      <c r="N42" s="513" t="s">
        <v>780</v>
      </c>
      <c r="O42" s="513" t="s">
        <v>781</v>
      </c>
      <c r="P42" s="518" t="s">
        <v>6304</v>
      </c>
      <c r="Q42" s="152" t="s">
        <v>5873</v>
      </c>
      <c r="R42" s="152" t="s">
        <v>6305</v>
      </c>
      <c r="S42" s="152" t="s">
        <v>953</v>
      </c>
      <c r="T42" s="152" t="s">
        <v>6307</v>
      </c>
      <c r="U42" s="152" t="s">
        <v>786</v>
      </c>
    </row>
    <row r="43" spans="4:21">
      <c r="D43" s="152" t="s">
        <v>2821</v>
      </c>
      <c r="E43" s="821" t="s">
        <v>670</v>
      </c>
      <c r="F43" s="684" t="str">
        <f>+VLOOKUP(G43,Resumen_Base!$C$8:$G$156,5,0)</f>
        <v>Food &amp; Wine</v>
      </c>
      <c r="G43" s="474" t="s">
        <v>37</v>
      </c>
      <c r="H43" s="210" t="s">
        <v>36</v>
      </c>
      <c r="I43" s="152" t="str">
        <f t="shared" si="0"/>
        <v>SJ5250</v>
      </c>
      <c r="J43" s="513">
        <v>1629.8</v>
      </c>
      <c r="K43" s="513">
        <v>1.1599999999999999</v>
      </c>
      <c r="L43" s="513">
        <v>1405</v>
      </c>
      <c r="M43" s="513" t="s">
        <v>6303</v>
      </c>
      <c r="N43" s="513" t="s">
        <v>780</v>
      </c>
      <c r="O43" s="513" t="s">
        <v>781</v>
      </c>
      <c r="P43" s="518" t="s">
        <v>6304</v>
      </c>
      <c r="Q43" s="152" t="s">
        <v>5873</v>
      </c>
      <c r="R43" s="152" t="s">
        <v>6305</v>
      </c>
      <c r="S43" s="152" t="s">
        <v>953</v>
      </c>
      <c r="T43" s="152" t="s">
        <v>6307</v>
      </c>
      <c r="U43" s="152" t="s">
        <v>786</v>
      </c>
    </row>
    <row r="44" spans="4:21">
      <c r="D44" s="152" t="s">
        <v>2821</v>
      </c>
      <c r="E44" s="821" t="s">
        <v>670</v>
      </c>
      <c r="F44" s="684" t="str">
        <f>+VLOOKUP(G44,Resumen_Base!$C$8:$G$156,5,0)</f>
        <v>Food &amp; Wine</v>
      </c>
      <c r="G44" s="474" t="s">
        <v>37</v>
      </c>
      <c r="H44" s="210" t="s">
        <v>36</v>
      </c>
      <c r="I44" s="152" t="str">
        <f t="shared" si="0"/>
        <v>SJ5250</v>
      </c>
      <c r="J44" s="513">
        <v>31472</v>
      </c>
      <c r="K44" s="513">
        <v>22.4</v>
      </c>
      <c r="L44" s="513">
        <v>1405</v>
      </c>
      <c r="M44" s="513" t="s">
        <v>6303</v>
      </c>
      <c r="N44" s="513" t="s">
        <v>780</v>
      </c>
      <c r="O44" s="513" t="s">
        <v>781</v>
      </c>
      <c r="P44" s="518" t="s">
        <v>6304</v>
      </c>
      <c r="Q44" s="152" t="s">
        <v>5873</v>
      </c>
      <c r="R44" s="152" t="s">
        <v>6305</v>
      </c>
      <c r="S44" s="152" t="s">
        <v>6340</v>
      </c>
      <c r="T44" s="152" t="s">
        <v>6307</v>
      </c>
      <c r="U44" s="152" t="s">
        <v>786</v>
      </c>
    </row>
    <row r="45" spans="4:21">
      <c r="D45" s="152" t="s">
        <v>2821</v>
      </c>
      <c r="E45" s="821" t="s">
        <v>670</v>
      </c>
      <c r="F45" s="684" t="str">
        <f>+VLOOKUP(G45,Resumen_Base!$C$8:$G$156,5,0)</f>
        <v>Food &amp; Wine</v>
      </c>
      <c r="G45" s="474" t="s">
        <v>35</v>
      </c>
      <c r="H45" s="210" t="s">
        <v>34</v>
      </c>
      <c r="I45" s="152" t="str">
        <f t="shared" si="0"/>
        <v>SJ5251</v>
      </c>
      <c r="J45" s="513">
        <v>12111.1</v>
      </c>
      <c r="K45" s="513">
        <v>8.6199999999999992</v>
      </c>
      <c r="L45" s="513">
        <v>1405</v>
      </c>
      <c r="M45" s="513" t="s">
        <v>6303</v>
      </c>
      <c r="N45" s="513" t="s">
        <v>780</v>
      </c>
      <c r="O45" s="513" t="s">
        <v>781</v>
      </c>
      <c r="P45" s="518" t="s">
        <v>6304</v>
      </c>
      <c r="Q45" s="152" t="s">
        <v>5873</v>
      </c>
      <c r="R45" s="152" t="s">
        <v>6305</v>
      </c>
      <c r="S45" s="152" t="s">
        <v>6350</v>
      </c>
      <c r="T45" s="152" t="s">
        <v>6307</v>
      </c>
      <c r="U45" s="152" t="s">
        <v>786</v>
      </c>
    </row>
    <row r="46" spans="4:21">
      <c r="D46" s="152" t="s">
        <v>2821</v>
      </c>
      <c r="E46" s="821" t="s">
        <v>670</v>
      </c>
      <c r="F46" s="684" t="str">
        <f>+VLOOKUP(G46,Resumen_Base!$C$8:$G$156,5,0)</f>
        <v>Food &amp; Wine</v>
      </c>
      <c r="G46" s="474" t="s">
        <v>37</v>
      </c>
      <c r="H46" s="210" t="s">
        <v>36</v>
      </c>
      <c r="I46" s="152" t="str">
        <f t="shared" si="0"/>
        <v>SJ5250</v>
      </c>
      <c r="J46" s="513">
        <v>1593298.1</v>
      </c>
      <c r="K46" s="513">
        <v>1134.02</v>
      </c>
      <c r="L46" s="513">
        <v>1405</v>
      </c>
      <c r="M46" s="513" t="s">
        <v>6303</v>
      </c>
      <c r="N46" s="513" t="s">
        <v>780</v>
      </c>
      <c r="O46" s="513" t="s">
        <v>781</v>
      </c>
      <c r="P46" s="518" t="s">
        <v>6304</v>
      </c>
      <c r="Q46" s="152" t="s">
        <v>5873</v>
      </c>
      <c r="R46" s="152" t="s">
        <v>6305</v>
      </c>
      <c r="S46" s="152" t="s">
        <v>6363</v>
      </c>
      <c r="T46" s="152" t="s">
        <v>6307</v>
      </c>
      <c r="U46" s="152" t="s">
        <v>786</v>
      </c>
    </row>
    <row r="47" spans="4:21">
      <c r="D47" s="152" t="s">
        <v>2821</v>
      </c>
      <c r="E47" s="821" t="s">
        <v>670</v>
      </c>
      <c r="F47" s="684" t="str">
        <f>+VLOOKUP(G47,Resumen_Base!$C$8:$G$156,5,0)</f>
        <v>Food &amp; Wine</v>
      </c>
      <c r="G47" s="474" t="s">
        <v>37</v>
      </c>
      <c r="H47" s="210" t="s">
        <v>36</v>
      </c>
      <c r="I47" s="152" t="str">
        <f t="shared" si="0"/>
        <v>SJ5250</v>
      </c>
      <c r="J47" s="513">
        <v>796649.05</v>
      </c>
      <c r="K47" s="513">
        <v>567.01</v>
      </c>
      <c r="L47" s="513">
        <v>1405</v>
      </c>
      <c r="M47" s="513" t="s">
        <v>6303</v>
      </c>
      <c r="N47" s="513" t="s">
        <v>780</v>
      </c>
      <c r="O47" s="513" t="s">
        <v>781</v>
      </c>
      <c r="P47" s="518" t="s">
        <v>6304</v>
      </c>
      <c r="Q47" s="152" t="s">
        <v>5873</v>
      </c>
      <c r="R47" s="152" t="s">
        <v>6305</v>
      </c>
      <c r="S47" s="152" t="s">
        <v>6363</v>
      </c>
      <c r="T47" s="152" t="s">
        <v>6307</v>
      </c>
      <c r="U47" s="152" t="s">
        <v>786</v>
      </c>
    </row>
    <row r="48" spans="4:21">
      <c r="D48" s="152" t="s">
        <v>2821</v>
      </c>
      <c r="E48" s="821" t="s">
        <v>670</v>
      </c>
      <c r="F48" s="684" t="str">
        <f>+VLOOKUP(G48,Resumen_Base!$C$8:$G$156,5,0)</f>
        <v>Food &amp; Wine</v>
      </c>
      <c r="G48" s="474" t="s">
        <v>37</v>
      </c>
      <c r="H48" s="210" t="s">
        <v>36</v>
      </c>
      <c r="I48" s="152" t="str">
        <f t="shared" si="0"/>
        <v>SJ5250</v>
      </c>
      <c r="J48" s="513">
        <v>796649.05</v>
      </c>
      <c r="K48" s="513">
        <v>567.01</v>
      </c>
      <c r="L48" s="513">
        <v>1405</v>
      </c>
      <c r="M48" s="513" t="s">
        <v>6303</v>
      </c>
      <c r="N48" s="513" t="s">
        <v>780</v>
      </c>
      <c r="O48" s="513" t="s">
        <v>781</v>
      </c>
      <c r="P48" s="518" t="s">
        <v>6304</v>
      </c>
      <c r="Q48" s="152" t="s">
        <v>5873</v>
      </c>
      <c r="R48" s="152" t="s">
        <v>6305</v>
      </c>
      <c r="S48" s="152" t="s">
        <v>6363</v>
      </c>
      <c r="T48" s="152" t="s">
        <v>6307</v>
      </c>
      <c r="U48" s="152" t="s">
        <v>786</v>
      </c>
    </row>
    <row r="49" spans="4:21">
      <c r="D49" s="152" t="s">
        <v>2821</v>
      </c>
      <c r="E49" s="821" t="s">
        <v>670</v>
      </c>
      <c r="F49" s="684" t="str">
        <f>+VLOOKUP(G49,Resumen_Base!$C$8:$G$156,5,0)</f>
        <v>Food &amp; Wine</v>
      </c>
      <c r="G49" s="474" t="s">
        <v>37</v>
      </c>
      <c r="H49" s="210" t="s">
        <v>36</v>
      </c>
      <c r="I49" s="152" t="str">
        <f t="shared" si="0"/>
        <v>SJ5250</v>
      </c>
      <c r="J49" s="513">
        <v>59782.75</v>
      </c>
      <c r="K49" s="513">
        <v>42.55</v>
      </c>
      <c r="L49" s="513">
        <v>1405</v>
      </c>
      <c r="M49" s="513" t="s">
        <v>6303</v>
      </c>
      <c r="N49" s="513" t="s">
        <v>780</v>
      </c>
      <c r="O49" s="513" t="s">
        <v>781</v>
      </c>
      <c r="P49" s="518" t="s">
        <v>6304</v>
      </c>
      <c r="Q49" s="152" t="s">
        <v>5873</v>
      </c>
      <c r="R49" s="152" t="s">
        <v>6305</v>
      </c>
      <c r="S49" s="152" t="s">
        <v>6364</v>
      </c>
      <c r="T49" s="152" t="s">
        <v>6307</v>
      </c>
      <c r="U49" s="152" t="s">
        <v>786</v>
      </c>
    </row>
    <row r="50" spans="4:21" ht="25">
      <c r="D50" s="152" t="s">
        <v>2821</v>
      </c>
      <c r="E50" s="821" t="s">
        <v>670</v>
      </c>
      <c r="F50" s="684" t="str">
        <f>+VLOOKUP(G50,Resumen_Base!$C$8:$G$156,5,0)</f>
        <v>Licenses / Permits (Fishing and Shooting)</v>
      </c>
      <c r="G50" s="474" t="s">
        <v>62</v>
      </c>
      <c r="H50" s="210" t="s">
        <v>63</v>
      </c>
      <c r="I50" s="152" t="str">
        <f t="shared" si="0"/>
        <v>SJ5221</v>
      </c>
      <c r="J50" s="513">
        <v>426291.05</v>
      </c>
      <c r="K50" s="513">
        <v>303.41000000000003</v>
      </c>
      <c r="L50" s="513">
        <v>1405</v>
      </c>
      <c r="M50" s="513" t="s">
        <v>6303</v>
      </c>
      <c r="N50" s="513" t="s">
        <v>780</v>
      </c>
      <c r="O50" s="513" t="s">
        <v>781</v>
      </c>
      <c r="P50" s="518" t="s">
        <v>6345</v>
      </c>
      <c r="Q50" s="152" t="s">
        <v>5873</v>
      </c>
      <c r="R50" s="152" t="s">
        <v>6346</v>
      </c>
      <c r="S50" s="152" t="s">
        <v>6347</v>
      </c>
      <c r="T50" s="152" t="s">
        <v>6348</v>
      </c>
      <c r="U50" s="152" t="s">
        <v>786</v>
      </c>
    </row>
    <row r="51" spans="4:21" ht="25">
      <c r="D51" s="152" t="s">
        <v>2821</v>
      </c>
      <c r="E51" s="821" t="s">
        <v>670</v>
      </c>
      <c r="F51" s="684" t="str">
        <f>+VLOOKUP(G51,Resumen_Base!$C$8:$G$156,5,0)</f>
        <v>Maintenance  Boats / Vehicles</v>
      </c>
      <c r="G51" s="474" t="s">
        <v>66</v>
      </c>
      <c r="H51" s="210" t="s">
        <v>67</v>
      </c>
      <c r="I51" s="152" t="str">
        <f t="shared" si="0"/>
        <v>SJ5253</v>
      </c>
      <c r="J51" s="513">
        <v>710494.45</v>
      </c>
      <c r="K51" s="513">
        <v>505.69</v>
      </c>
      <c r="L51" s="513">
        <v>1405</v>
      </c>
      <c r="M51" s="513" t="s">
        <v>6303</v>
      </c>
      <c r="N51" s="513" t="s">
        <v>780</v>
      </c>
      <c r="O51" s="513" t="s">
        <v>781</v>
      </c>
      <c r="P51" s="518" t="s">
        <v>6304</v>
      </c>
      <c r="Q51" s="152" t="s">
        <v>5873</v>
      </c>
      <c r="R51" s="152" t="s">
        <v>6305</v>
      </c>
      <c r="S51" s="152" t="s">
        <v>6316</v>
      </c>
      <c r="T51" s="152" t="s">
        <v>6307</v>
      </c>
      <c r="U51" s="152" t="s">
        <v>786</v>
      </c>
    </row>
    <row r="52" spans="4:21">
      <c r="D52" s="152" t="s">
        <v>2821</v>
      </c>
      <c r="E52" s="821" t="s">
        <v>670</v>
      </c>
      <c r="F52" s="684" t="str">
        <f>+VLOOKUP(G52,Resumen_Base!$C$8:$G$156,5,0)</f>
        <v>Maintenance  Equipment</v>
      </c>
      <c r="G52" s="474" t="s">
        <v>31</v>
      </c>
      <c r="H52" s="210" t="s">
        <v>335</v>
      </c>
      <c r="I52" s="152" t="str">
        <f t="shared" si="0"/>
        <v>SJ5254</v>
      </c>
      <c r="J52" s="513">
        <v>390379.25</v>
      </c>
      <c r="K52" s="513">
        <v>277.85000000000002</v>
      </c>
      <c r="L52" s="513">
        <v>1405</v>
      </c>
      <c r="M52" s="513" t="s">
        <v>6303</v>
      </c>
      <c r="N52" s="513" t="s">
        <v>780</v>
      </c>
      <c r="O52" s="513" t="s">
        <v>781</v>
      </c>
      <c r="P52" s="518" t="s">
        <v>6304</v>
      </c>
      <c r="Q52" s="152" t="s">
        <v>5873</v>
      </c>
      <c r="R52" s="152" t="s">
        <v>6305</v>
      </c>
      <c r="S52" s="152" t="s">
        <v>6355</v>
      </c>
      <c r="T52" s="152" t="s">
        <v>6307</v>
      </c>
      <c r="U52" s="152" t="s">
        <v>786</v>
      </c>
    </row>
    <row r="53" spans="4:21">
      <c r="D53" s="152" t="s">
        <v>2821</v>
      </c>
      <c r="E53" s="821" t="s">
        <v>670</v>
      </c>
      <c r="F53" s="684" t="str">
        <f>+VLOOKUP(G53,Resumen_Base!$C$8:$G$156,5,0)</f>
        <v>Maintenance Lodge</v>
      </c>
      <c r="G53" s="474" t="s">
        <v>261</v>
      </c>
      <c r="H53" s="210" t="s">
        <v>262</v>
      </c>
      <c r="I53" s="152" t="str">
        <f t="shared" si="0"/>
        <v>SJ5282</v>
      </c>
      <c r="J53" s="513">
        <v>2697.6</v>
      </c>
      <c r="K53" s="513">
        <v>1.92</v>
      </c>
      <c r="L53" s="513">
        <v>1405</v>
      </c>
      <c r="M53" s="513" t="s">
        <v>6059</v>
      </c>
      <c r="N53" s="513" t="s">
        <v>780</v>
      </c>
      <c r="O53" s="513" t="s">
        <v>781</v>
      </c>
      <c r="P53" s="518" t="s">
        <v>6065</v>
      </c>
      <c r="Q53" s="152" t="s">
        <v>5873</v>
      </c>
      <c r="R53" s="152" t="s">
        <v>6066</v>
      </c>
      <c r="S53" s="152" t="s">
        <v>953</v>
      </c>
      <c r="T53" s="152" t="s">
        <v>6068</v>
      </c>
      <c r="U53" s="152" t="s">
        <v>786</v>
      </c>
    </row>
    <row r="54" spans="4:21">
      <c r="D54" s="152" t="s">
        <v>2821</v>
      </c>
      <c r="E54" s="821" t="s">
        <v>670</v>
      </c>
      <c r="F54" s="684" t="str">
        <f>+VLOOKUP(G54,Resumen_Base!$C$8:$G$156,5,0)</f>
        <v>Maintenance Lodge</v>
      </c>
      <c r="G54" s="474" t="s">
        <v>261</v>
      </c>
      <c r="H54" s="210" t="s">
        <v>262</v>
      </c>
      <c r="I54" s="152" t="str">
        <f t="shared" si="0"/>
        <v>SJ5282</v>
      </c>
      <c r="J54" s="513">
        <v>632250</v>
      </c>
      <c r="K54" s="513">
        <v>450</v>
      </c>
      <c r="L54" s="513">
        <v>1405</v>
      </c>
      <c r="M54" s="513" t="s">
        <v>6059</v>
      </c>
      <c r="N54" s="513" t="s">
        <v>780</v>
      </c>
      <c r="O54" s="513" t="s">
        <v>781</v>
      </c>
      <c r="P54" s="518" t="s">
        <v>6065</v>
      </c>
      <c r="Q54" s="152" t="s">
        <v>5873</v>
      </c>
      <c r="R54" s="152" t="s">
        <v>6066</v>
      </c>
      <c r="S54" s="152" t="s">
        <v>6097</v>
      </c>
      <c r="T54" s="152" t="s">
        <v>6068</v>
      </c>
      <c r="U54" s="152" t="s">
        <v>786</v>
      </c>
    </row>
    <row r="55" spans="4:21">
      <c r="D55" s="152" t="s">
        <v>2821</v>
      </c>
      <c r="E55" s="821" t="s">
        <v>670</v>
      </c>
      <c r="F55" s="684" t="str">
        <f>+VLOOKUP(G55,Resumen_Base!$C$8:$G$156,5,0)</f>
        <v>Maintenance Lodge</v>
      </c>
      <c r="G55" s="474" t="s">
        <v>33</v>
      </c>
      <c r="H55" s="210" t="s">
        <v>32</v>
      </c>
      <c r="I55" s="152" t="str">
        <f t="shared" si="0"/>
        <v>SJ5252</v>
      </c>
      <c r="J55" s="513">
        <v>261330</v>
      </c>
      <c r="K55" s="513">
        <v>186</v>
      </c>
      <c r="L55" s="513">
        <v>1405</v>
      </c>
      <c r="M55" s="513" t="s">
        <v>6303</v>
      </c>
      <c r="N55" s="513" t="s">
        <v>780</v>
      </c>
      <c r="O55" s="513" t="s">
        <v>781</v>
      </c>
      <c r="P55" s="518" t="s">
        <v>6310</v>
      </c>
      <c r="Q55" s="152" t="s">
        <v>5873</v>
      </c>
      <c r="R55" s="152" t="s">
        <v>6311</v>
      </c>
      <c r="S55" s="152" t="s">
        <v>6314</v>
      </c>
      <c r="T55" s="152" t="s">
        <v>6313</v>
      </c>
      <c r="U55" s="152" t="s">
        <v>786</v>
      </c>
    </row>
    <row r="56" spans="4:21">
      <c r="D56" s="152" t="s">
        <v>2821</v>
      </c>
      <c r="E56" s="821" t="s">
        <v>670</v>
      </c>
      <c r="F56" s="684" t="str">
        <f>+VLOOKUP(G56,Resumen_Base!$C$8:$G$156,5,0)</f>
        <v>Maintenance Lodge</v>
      </c>
      <c r="G56" s="474" t="s">
        <v>33</v>
      </c>
      <c r="H56" s="210" t="s">
        <v>32</v>
      </c>
      <c r="I56" s="152" t="str">
        <f t="shared" si="0"/>
        <v>SJ5252</v>
      </c>
      <c r="J56" s="513">
        <v>799304.5</v>
      </c>
      <c r="K56" s="513">
        <v>568.9</v>
      </c>
      <c r="L56" s="513">
        <v>1405</v>
      </c>
      <c r="M56" s="513" t="s">
        <v>6303</v>
      </c>
      <c r="N56" s="513" t="s">
        <v>780</v>
      </c>
      <c r="O56" s="513" t="s">
        <v>781</v>
      </c>
      <c r="P56" s="518" t="s">
        <v>6304</v>
      </c>
      <c r="Q56" s="152" t="s">
        <v>5873</v>
      </c>
      <c r="R56" s="152" t="s">
        <v>6305</v>
      </c>
      <c r="S56" s="152" t="s">
        <v>6319</v>
      </c>
      <c r="T56" s="152" t="s">
        <v>6307</v>
      </c>
      <c r="U56" s="152" t="s">
        <v>786</v>
      </c>
    </row>
    <row r="57" spans="4:21">
      <c r="D57" s="152" t="s">
        <v>2821</v>
      </c>
      <c r="E57" s="821" t="s">
        <v>670</v>
      </c>
      <c r="F57" s="684" t="str">
        <f>+VLOOKUP(G57,Resumen_Base!$C$8:$G$156,5,0)</f>
        <v>Maintenance Lodge</v>
      </c>
      <c r="G57" s="474" t="s">
        <v>236</v>
      </c>
      <c r="H57" s="210" t="s">
        <v>237</v>
      </c>
      <c r="I57" s="152" t="str">
        <f t="shared" si="0"/>
        <v>SJ5283</v>
      </c>
      <c r="J57" s="513">
        <v>537848.05000000005</v>
      </c>
      <c r="K57" s="513">
        <v>382.81</v>
      </c>
      <c r="L57" s="513">
        <v>1405</v>
      </c>
      <c r="M57" s="513" t="s">
        <v>6303</v>
      </c>
      <c r="N57" s="513" t="s">
        <v>780</v>
      </c>
      <c r="O57" s="513" t="s">
        <v>781</v>
      </c>
      <c r="P57" s="518" t="s">
        <v>6304</v>
      </c>
      <c r="Q57" s="152" t="s">
        <v>5873</v>
      </c>
      <c r="R57" s="152" t="s">
        <v>6305</v>
      </c>
      <c r="S57" s="152" t="s">
        <v>6325</v>
      </c>
      <c r="T57" s="152" t="s">
        <v>6307</v>
      </c>
      <c r="U57" s="152" t="s">
        <v>786</v>
      </c>
    </row>
    <row r="58" spans="4:21">
      <c r="D58" s="152" t="s">
        <v>2821</v>
      </c>
      <c r="E58" s="821" t="s">
        <v>670</v>
      </c>
      <c r="F58" s="684" t="str">
        <f>+VLOOKUP(G58,Resumen_Base!$C$8:$G$156,5,0)</f>
        <v>Maintenance Lodge</v>
      </c>
      <c r="G58" s="474" t="s">
        <v>33</v>
      </c>
      <c r="H58" s="210" t="s">
        <v>32</v>
      </c>
      <c r="I58" s="152" t="str">
        <f t="shared" si="0"/>
        <v>SJ5252</v>
      </c>
      <c r="J58" s="513">
        <v>2725.7</v>
      </c>
      <c r="K58" s="513">
        <v>1.94</v>
      </c>
      <c r="L58" s="513">
        <v>1405</v>
      </c>
      <c r="M58" s="513" t="s">
        <v>6303</v>
      </c>
      <c r="N58" s="513" t="s">
        <v>780</v>
      </c>
      <c r="O58" s="513" t="s">
        <v>781</v>
      </c>
      <c r="P58" s="518" t="s">
        <v>6304</v>
      </c>
      <c r="Q58" s="152" t="s">
        <v>5873</v>
      </c>
      <c r="R58" s="152" t="s">
        <v>6305</v>
      </c>
      <c r="S58" s="152" t="s">
        <v>953</v>
      </c>
      <c r="T58" s="152" t="s">
        <v>6307</v>
      </c>
      <c r="U58" s="152" t="s">
        <v>786</v>
      </c>
    </row>
    <row r="59" spans="4:21">
      <c r="D59" s="152" t="s">
        <v>2821</v>
      </c>
      <c r="E59" s="821" t="s">
        <v>670</v>
      </c>
      <c r="F59" s="684" t="str">
        <f>+VLOOKUP(G59,Resumen_Base!$C$8:$G$156,5,0)</f>
        <v>Maintenance Lodge</v>
      </c>
      <c r="G59" s="474" t="s">
        <v>33</v>
      </c>
      <c r="H59" s="210" t="s">
        <v>32</v>
      </c>
      <c r="I59" s="152" t="str">
        <f t="shared" si="0"/>
        <v>SJ5252</v>
      </c>
      <c r="J59" s="513">
        <v>2683.55</v>
      </c>
      <c r="K59" s="513">
        <v>1.91</v>
      </c>
      <c r="L59" s="513">
        <v>1405</v>
      </c>
      <c r="M59" s="513" t="s">
        <v>6303</v>
      </c>
      <c r="N59" s="513" t="s">
        <v>780</v>
      </c>
      <c r="O59" s="513" t="s">
        <v>781</v>
      </c>
      <c r="P59" s="518" t="s">
        <v>6304</v>
      </c>
      <c r="Q59" s="152" t="s">
        <v>5873</v>
      </c>
      <c r="R59" s="152" t="s">
        <v>6305</v>
      </c>
      <c r="S59" s="152" t="s">
        <v>953</v>
      </c>
      <c r="T59" s="152" t="s">
        <v>6307</v>
      </c>
      <c r="U59" s="152" t="s">
        <v>786</v>
      </c>
    </row>
    <row r="60" spans="4:21">
      <c r="D60" s="152" t="s">
        <v>2821</v>
      </c>
      <c r="E60" s="821" t="s">
        <v>670</v>
      </c>
      <c r="F60" s="684" t="str">
        <f>+VLOOKUP(G60,Resumen_Base!$C$8:$G$156,5,0)</f>
        <v>Maintenance Lodge</v>
      </c>
      <c r="G60" s="474" t="s">
        <v>33</v>
      </c>
      <c r="H60" s="210" t="s">
        <v>32</v>
      </c>
      <c r="I60" s="152" t="str">
        <f t="shared" si="0"/>
        <v>SJ5252</v>
      </c>
      <c r="J60" s="513">
        <v>-1770.3</v>
      </c>
      <c r="K60" s="513">
        <v>-1.26</v>
      </c>
      <c r="L60" s="513">
        <v>1405</v>
      </c>
      <c r="M60" s="513" t="s">
        <v>6303</v>
      </c>
      <c r="N60" s="513" t="s">
        <v>780</v>
      </c>
      <c r="O60" s="513" t="s">
        <v>781</v>
      </c>
      <c r="P60" s="518" t="s">
        <v>6327</v>
      </c>
      <c r="Q60" s="152" t="s">
        <v>5873</v>
      </c>
      <c r="R60" s="152" t="s">
        <v>6328</v>
      </c>
      <c r="S60" s="152" t="s">
        <v>6329</v>
      </c>
      <c r="T60" s="152" t="s">
        <v>6330</v>
      </c>
      <c r="U60" s="152" t="s">
        <v>786</v>
      </c>
    </row>
    <row r="61" spans="4:21">
      <c r="D61" s="152" t="s">
        <v>2821</v>
      </c>
      <c r="E61" s="821" t="s">
        <v>670</v>
      </c>
      <c r="F61" s="684" t="str">
        <f>+VLOOKUP(G61,Resumen_Base!$C$8:$G$156,5,0)</f>
        <v>Maintenance Lodge</v>
      </c>
      <c r="G61" s="474" t="s">
        <v>33</v>
      </c>
      <c r="H61" s="210" t="s">
        <v>32</v>
      </c>
      <c r="I61" s="152" t="str">
        <f t="shared" si="0"/>
        <v>SJ5252</v>
      </c>
      <c r="J61" s="513">
        <v>-3105.05</v>
      </c>
      <c r="K61" s="513">
        <v>-2.21</v>
      </c>
      <c r="L61" s="513">
        <v>1405</v>
      </c>
      <c r="M61" s="513" t="s">
        <v>6303</v>
      </c>
      <c r="N61" s="513" t="s">
        <v>780</v>
      </c>
      <c r="O61" s="513" t="s">
        <v>781</v>
      </c>
      <c r="P61" s="518" t="s">
        <v>6327</v>
      </c>
      <c r="Q61" s="152" t="s">
        <v>5873</v>
      </c>
      <c r="R61" s="152" t="s">
        <v>6328</v>
      </c>
      <c r="S61" s="152" t="s">
        <v>6331</v>
      </c>
      <c r="T61" s="152" t="s">
        <v>6330</v>
      </c>
      <c r="U61" s="152" t="s">
        <v>786</v>
      </c>
    </row>
    <row r="62" spans="4:21">
      <c r="D62" s="152" t="s">
        <v>2821</v>
      </c>
      <c r="E62" s="821" t="s">
        <v>670</v>
      </c>
      <c r="F62" s="684" t="str">
        <f>+VLOOKUP(G62,Resumen_Base!$C$8:$G$156,5,0)</f>
        <v>Maintenance Lodge</v>
      </c>
      <c r="G62" s="474" t="s">
        <v>33</v>
      </c>
      <c r="H62" s="210" t="s">
        <v>32</v>
      </c>
      <c r="I62" s="152" t="str">
        <f t="shared" si="0"/>
        <v>SJ5252</v>
      </c>
      <c r="J62" s="513">
        <v>108634.6</v>
      </c>
      <c r="K62" s="513">
        <v>77.319999999999993</v>
      </c>
      <c r="L62" s="513">
        <v>1405</v>
      </c>
      <c r="M62" s="513" t="s">
        <v>6303</v>
      </c>
      <c r="N62" s="513" t="s">
        <v>780</v>
      </c>
      <c r="O62" s="513" t="s">
        <v>781</v>
      </c>
      <c r="P62" s="518" t="s">
        <v>6304</v>
      </c>
      <c r="Q62" s="152" t="s">
        <v>5873</v>
      </c>
      <c r="R62" s="152" t="s">
        <v>6305</v>
      </c>
      <c r="S62" s="152" t="s">
        <v>6332</v>
      </c>
      <c r="T62" s="152" t="s">
        <v>6307</v>
      </c>
      <c r="U62" s="152" t="s">
        <v>786</v>
      </c>
    </row>
    <row r="63" spans="4:21">
      <c r="D63" s="152" t="s">
        <v>2821</v>
      </c>
      <c r="E63" s="821" t="s">
        <v>670</v>
      </c>
      <c r="F63" s="684" t="str">
        <f>+VLOOKUP(G63,Resumen_Base!$C$8:$G$156,5,0)</f>
        <v>Maintenance Lodge</v>
      </c>
      <c r="G63" s="474" t="s">
        <v>33</v>
      </c>
      <c r="H63" s="210" t="s">
        <v>32</v>
      </c>
      <c r="I63" s="152" t="str">
        <f t="shared" si="0"/>
        <v>SJ5252</v>
      </c>
      <c r="J63" s="513">
        <v>1236400</v>
      </c>
      <c r="K63" s="513">
        <v>880</v>
      </c>
      <c r="L63" s="513">
        <v>1405</v>
      </c>
      <c r="M63" s="513" t="s">
        <v>6303</v>
      </c>
      <c r="N63" s="513" t="s">
        <v>780</v>
      </c>
      <c r="O63" s="513" t="s">
        <v>781</v>
      </c>
      <c r="P63" s="518" t="s">
        <v>6310</v>
      </c>
      <c r="Q63" s="152" t="s">
        <v>5873</v>
      </c>
      <c r="R63" s="152" t="s">
        <v>6311</v>
      </c>
      <c r="S63" s="152" t="s">
        <v>6338</v>
      </c>
      <c r="T63" s="152" t="s">
        <v>6313</v>
      </c>
      <c r="U63" s="152" t="s">
        <v>786</v>
      </c>
    </row>
    <row r="64" spans="4:21">
      <c r="D64" s="152" t="s">
        <v>2821</v>
      </c>
      <c r="E64" s="821" t="s">
        <v>670</v>
      </c>
      <c r="F64" s="684" t="str">
        <f>+VLOOKUP(G64,Resumen_Base!$C$8:$G$156,5,0)</f>
        <v>Maintenance Lodge</v>
      </c>
      <c r="G64" s="474" t="s">
        <v>33</v>
      </c>
      <c r="H64" s="210" t="s">
        <v>32</v>
      </c>
      <c r="I64" s="152" t="str">
        <f t="shared" si="0"/>
        <v>SJ5252</v>
      </c>
      <c r="J64" s="513">
        <v>53235.45</v>
      </c>
      <c r="K64" s="513">
        <v>37.89</v>
      </c>
      <c r="L64" s="513">
        <v>1405</v>
      </c>
      <c r="M64" s="513" t="s">
        <v>6303</v>
      </c>
      <c r="N64" s="513" t="s">
        <v>780</v>
      </c>
      <c r="O64" s="513" t="s">
        <v>781</v>
      </c>
      <c r="P64" s="518" t="s">
        <v>6304</v>
      </c>
      <c r="Q64" s="152" t="s">
        <v>5873</v>
      </c>
      <c r="R64" s="152" t="s">
        <v>6305</v>
      </c>
      <c r="S64" s="152" t="s">
        <v>6353</v>
      </c>
      <c r="T64" s="152" t="s">
        <v>6307</v>
      </c>
      <c r="U64" s="152" t="s">
        <v>786</v>
      </c>
    </row>
    <row r="65" spans="4:21">
      <c r="D65" s="152" t="s">
        <v>2821</v>
      </c>
      <c r="E65" s="821" t="s">
        <v>670</v>
      </c>
      <c r="F65" s="684" t="str">
        <f>+VLOOKUP(G65,Resumen_Base!$C$8:$G$156,5,0)</f>
        <v>Maintenance Lodge</v>
      </c>
      <c r="G65" s="474" t="s">
        <v>33</v>
      </c>
      <c r="H65" s="210" t="s">
        <v>32</v>
      </c>
      <c r="I65" s="152" t="str">
        <f t="shared" si="0"/>
        <v>SJ5252</v>
      </c>
      <c r="J65" s="513">
        <v>10832.55</v>
      </c>
      <c r="K65" s="513">
        <v>7.71</v>
      </c>
      <c r="L65" s="513">
        <v>1405</v>
      </c>
      <c r="M65" s="513" t="s">
        <v>6303</v>
      </c>
      <c r="N65" s="513" t="s">
        <v>780</v>
      </c>
      <c r="O65" s="513" t="s">
        <v>781</v>
      </c>
      <c r="P65" s="518" t="s">
        <v>6304</v>
      </c>
      <c r="Q65" s="152" t="s">
        <v>5873</v>
      </c>
      <c r="R65" s="152" t="s">
        <v>6305</v>
      </c>
      <c r="S65" s="152" t="s">
        <v>6354</v>
      </c>
      <c r="T65" s="152" t="s">
        <v>6307</v>
      </c>
      <c r="U65" s="152" t="s">
        <v>786</v>
      </c>
    </row>
    <row r="66" spans="4:21">
      <c r="D66" s="152" t="s">
        <v>2821</v>
      </c>
      <c r="E66" s="821" t="s">
        <v>670</v>
      </c>
      <c r="F66" s="684" t="str">
        <f>+VLOOKUP(G66,Resumen_Base!$C$8:$G$156,5,0)</f>
        <v>Maintenance Lodge</v>
      </c>
      <c r="G66" s="474" t="s">
        <v>33</v>
      </c>
      <c r="H66" s="210" t="s">
        <v>32</v>
      </c>
      <c r="I66" s="152" t="str">
        <f t="shared" si="0"/>
        <v>SJ5252</v>
      </c>
      <c r="J66" s="513">
        <v>355240.2</v>
      </c>
      <c r="K66" s="513">
        <v>252.84</v>
      </c>
      <c r="L66" s="513">
        <v>1405</v>
      </c>
      <c r="M66" s="513" t="s">
        <v>6303</v>
      </c>
      <c r="N66" s="513" t="s">
        <v>780</v>
      </c>
      <c r="O66" s="513" t="s">
        <v>781</v>
      </c>
      <c r="P66" s="518" t="s">
        <v>6304</v>
      </c>
      <c r="Q66" s="152" t="s">
        <v>5873</v>
      </c>
      <c r="R66" s="152" t="s">
        <v>6305</v>
      </c>
      <c r="S66" s="152" t="s">
        <v>6356</v>
      </c>
      <c r="T66" s="152" t="s">
        <v>6307</v>
      </c>
      <c r="U66" s="152" t="s">
        <v>786</v>
      </c>
    </row>
    <row r="67" spans="4:21">
      <c r="D67" s="152" t="s">
        <v>2821</v>
      </c>
      <c r="E67" s="821" t="s">
        <v>670</v>
      </c>
      <c r="F67" s="684" t="str">
        <f>+VLOOKUP(G67,Resumen_Base!$C$8:$G$156,5,0)</f>
        <v>Maintenance Lodge</v>
      </c>
      <c r="G67" s="474" t="s">
        <v>33</v>
      </c>
      <c r="H67" s="210" t="s">
        <v>32</v>
      </c>
      <c r="I67" s="152" t="str">
        <f t="shared" si="0"/>
        <v>SJ5252</v>
      </c>
      <c r="J67" s="513">
        <v>47784.05</v>
      </c>
      <c r="K67" s="513">
        <v>34.01</v>
      </c>
      <c r="L67" s="513">
        <v>1405</v>
      </c>
      <c r="M67" s="513" t="s">
        <v>6303</v>
      </c>
      <c r="N67" s="513" t="s">
        <v>780</v>
      </c>
      <c r="O67" s="513" t="s">
        <v>781</v>
      </c>
      <c r="P67" s="518" t="s">
        <v>6304</v>
      </c>
      <c r="Q67" s="152" t="s">
        <v>5873</v>
      </c>
      <c r="R67" s="152" t="s">
        <v>6305</v>
      </c>
      <c r="S67" s="152" t="s">
        <v>6357</v>
      </c>
      <c r="T67" s="152" t="s">
        <v>6307</v>
      </c>
      <c r="U67" s="152" t="s">
        <v>786</v>
      </c>
    </row>
    <row r="68" spans="4:21">
      <c r="D68" s="152" t="s">
        <v>2821</v>
      </c>
      <c r="E68" s="821" t="s">
        <v>670</v>
      </c>
      <c r="F68" s="684" t="str">
        <f>+VLOOKUP(G68,Resumen_Base!$C$8:$G$156,5,0)</f>
        <v>Maintenance Lodge</v>
      </c>
      <c r="G68" s="474" t="s">
        <v>33</v>
      </c>
      <c r="H68" s="210" t="s">
        <v>32</v>
      </c>
      <c r="I68" s="152" t="str">
        <f t="shared" si="0"/>
        <v>SJ5252</v>
      </c>
      <c r="J68" s="513">
        <v>108199.05</v>
      </c>
      <c r="K68" s="513">
        <v>77.010000000000005</v>
      </c>
      <c r="L68" s="513">
        <v>1405</v>
      </c>
      <c r="M68" s="513" t="s">
        <v>6303</v>
      </c>
      <c r="N68" s="513" t="s">
        <v>780</v>
      </c>
      <c r="O68" s="513" t="s">
        <v>781</v>
      </c>
      <c r="P68" s="518" t="s">
        <v>6304</v>
      </c>
      <c r="Q68" s="152" t="s">
        <v>5873</v>
      </c>
      <c r="R68" s="152" t="s">
        <v>6305</v>
      </c>
      <c r="S68" s="152" t="s">
        <v>6358</v>
      </c>
      <c r="T68" s="152" t="s">
        <v>6307</v>
      </c>
      <c r="U68" s="152" t="s">
        <v>786</v>
      </c>
    </row>
    <row r="69" spans="4:21">
      <c r="D69" s="152" t="s">
        <v>2821</v>
      </c>
      <c r="E69" s="821" t="s">
        <v>670</v>
      </c>
      <c r="F69" s="684" t="str">
        <f>+VLOOKUP(G69,Resumen_Base!$C$8:$G$156,5,0)</f>
        <v>Maintenance Lodge</v>
      </c>
      <c r="G69" s="474" t="s">
        <v>33</v>
      </c>
      <c r="H69" s="210" t="s">
        <v>32</v>
      </c>
      <c r="I69" s="152" t="str">
        <f t="shared" si="0"/>
        <v>SJ5252</v>
      </c>
      <c r="J69" s="513">
        <v>976011.35</v>
      </c>
      <c r="K69" s="513">
        <v>694.67</v>
      </c>
      <c r="L69" s="513">
        <v>1405</v>
      </c>
      <c r="M69" s="513" t="s">
        <v>6303</v>
      </c>
      <c r="N69" s="513" t="s">
        <v>780</v>
      </c>
      <c r="O69" s="513" t="s">
        <v>781</v>
      </c>
      <c r="P69" s="518" t="s">
        <v>6304</v>
      </c>
      <c r="Q69" s="152" t="s">
        <v>5873</v>
      </c>
      <c r="R69" s="152" t="s">
        <v>6305</v>
      </c>
      <c r="S69" s="152" t="s">
        <v>6359</v>
      </c>
      <c r="T69" s="152" t="s">
        <v>6307</v>
      </c>
      <c r="U69" s="152" t="s">
        <v>786</v>
      </c>
    </row>
    <row r="70" spans="4:21">
      <c r="D70" s="152" t="s">
        <v>2821</v>
      </c>
      <c r="E70" s="821" t="s">
        <v>670</v>
      </c>
      <c r="F70" s="684" t="str">
        <f>+VLOOKUP(G70,Resumen_Base!$C$8:$G$156,5,0)</f>
        <v>Maintenance Lodge</v>
      </c>
      <c r="G70" s="474" t="s">
        <v>33</v>
      </c>
      <c r="H70" s="210" t="s">
        <v>32</v>
      </c>
      <c r="I70" s="152" t="str">
        <f t="shared" si="0"/>
        <v>SJ5252</v>
      </c>
      <c r="J70" s="513">
        <v>238990.5</v>
      </c>
      <c r="K70" s="513">
        <v>170.1</v>
      </c>
      <c r="L70" s="513">
        <v>1405</v>
      </c>
      <c r="M70" s="513" t="s">
        <v>6303</v>
      </c>
      <c r="N70" s="513" t="s">
        <v>780</v>
      </c>
      <c r="O70" s="513" t="s">
        <v>781</v>
      </c>
      <c r="P70" s="518" t="s">
        <v>6304</v>
      </c>
      <c r="Q70" s="152" t="s">
        <v>5873</v>
      </c>
      <c r="R70" s="152" t="s">
        <v>6305</v>
      </c>
      <c r="S70" s="152" t="s">
        <v>6361</v>
      </c>
      <c r="T70" s="152" t="s">
        <v>6307</v>
      </c>
      <c r="U70" s="152" t="s">
        <v>786</v>
      </c>
    </row>
    <row r="71" spans="4:21">
      <c r="D71" s="152" t="s">
        <v>2821</v>
      </c>
      <c r="E71" s="821" t="s">
        <v>670</v>
      </c>
      <c r="F71" s="684" t="str">
        <f>+VLOOKUP(G71,Resumen_Base!$C$8:$G$156,5,0)</f>
        <v>Maintenance Lodge</v>
      </c>
      <c r="G71" s="474" t="s">
        <v>33</v>
      </c>
      <c r="H71" s="210" t="s">
        <v>32</v>
      </c>
      <c r="I71" s="152" t="str">
        <f t="shared" si="0"/>
        <v>SJ5252</v>
      </c>
      <c r="J71" s="513">
        <v>107904</v>
      </c>
      <c r="K71" s="513">
        <v>76.8</v>
      </c>
      <c r="L71" s="513">
        <v>1405</v>
      </c>
      <c r="M71" s="513" t="s">
        <v>6303</v>
      </c>
      <c r="N71" s="513" t="s">
        <v>780</v>
      </c>
      <c r="O71" s="513" t="s">
        <v>781</v>
      </c>
      <c r="P71" s="518" t="s">
        <v>6304</v>
      </c>
      <c r="Q71" s="152" t="s">
        <v>5873</v>
      </c>
      <c r="R71" s="152" t="s">
        <v>6305</v>
      </c>
      <c r="S71" s="152" t="s">
        <v>6362</v>
      </c>
      <c r="T71" s="152" t="s">
        <v>6307</v>
      </c>
      <c r="U71" s="152" t="s">
        <v>786</v>
      </c>
    </row>
    <row r="72" spans="4:21">
      <c r="D72" s="152" t="s">
        <v>2821</v>
      </c>
      <c r="E72" s="821" t="s">
        <v>670</v>
      </c>
      <c r="F72" s="684" t="str">
        <f>+VLOOKUP(G72,Resumen_Base!$C$8:$G$156,5,0)</f>
        <v>Manager</v>
      </c>
      <c r="G72" s="474" t="s">
        <v>325</v>
      </c>
      <c r="H72" s="210" t="s">
        <v>326</v>
      </c>
      <c r="I72" s="152" t="str">
        <f t="shared" si="0"/>
        <v>SJ5228</v>
      </c>
      <c r="J72" s="513">
        <v>983500</v>
      </c>
      <c r="K72" s="513">
        <v>700</v>
      </c>
      <c r="L72" s="513">
        <v>1405</v>
      </c>
      <c r="M72" s="513" t="s">
        <v>6059</v>
      </c>
      <c r="N72" s="513" t="s">
        <v>780</v>
      </c>
      <c r="O72" s="513" t="s">
        <v>781</v>
      </c>
      <c r="P72" s="518" t="s">
        <v>6060</v>
      </c>
      <c r="Q72" s="152" t="s">
        <v>5873</v>
      </c>
      <c r="R72" s="152" t="s">
        <v>6061</v>
      </c>
      <c r="S72" s="152" t="s">
        <v>6093</v>
      </c>
      <c r="T72" s="152" t="s">
        <v>6063</v>
      </c>
      <c r="U72" s="152" t="s">
        <v>786</v>
      </c>
    </row>
    <row r="73" spans="4:21">
      <c r="D73" s="152" t="s">
        <v>2821</v>
      </c>
      <c r="E73" s="821" t="s">
        <v>670</v>
      </c>
      <c r="F73" s="684" t="str">
        <f>+VLOOKUP(G73,Resumen_Base!$C$8:$G$156,5,0)</f>
        <v>Manager</v>
      </c>
      <c r="G73" s="474" t="s">
        <v>325</v>
      </c>
      <c r="H73" s="210" t="s">
        <v>326</v>
      </c>
      <c r="I73" s="152" t="str">
        <f t="shared" si="0"/>
        <v>SJ5228</v>
      </c>
      <c r="J73" s="513">
        <v>1405000</v>
      </c>
      <c r="K73" s="513">
        <v>1000</v>
      </c>
      <c r="L73" s="513">
        <v>1405</v>
      </c>
      <c r="M73" s="513" t="s">
        <v>6059</v>
      </c>
      <c r="N73" s="513" t="s">
        <v>780</v>
      </c>
      <c r="O73" s="513" t="s">
        <v>781</v>
      </c>
      <c r="P73" s="518" t="s">
        <v>6060</v>
      </c>
      <c r="Q73" s="152" t="s">
        <v>5873</v>
      </c>
      <c r="R73" s="152" t="s">
        <v>6061</v>
      </c>
      <c r="S73" s="152" t="s">
        <v>6094</v>
      </c>
      <c r="T73" s="152" t="s">
        <v>6063</v>
      </c>
      <c r="U73" s="152" t="s">
        <v>786</v>
      </c>
    </row>
    <row r="74" spans="4:21">
      <c r="D74" s="152" t="s">
        <v>2821</v>
      </c>
      <c r="E74" s="821" t="s">
        <v>670</v>
      </c>
      <c r="F74" s="684" t="str">
        <f>+VLOOKUP(G74,Resumen_Base!$C$8:$G$156,5,0)</f>
        <v>Manager</v>
      </c>
      <c r="G74" s="474" t="s">
        <v>325</v>
      </c>
      <c r="H74" s="210" t="s">
        <v>326</v>
      </c>
      <c r="I74" s="152" t="str">
        <f t="shared" si="0"/>
        <v>SJ5228</v>
      </c>
      <c r="J74" s="513">
        <v>2922400</v>
      </c>
      <c r="K74" s="513">
        <v>2080</v>
      </c>
      <c r="L74" s="513">
        <v>1405</v>
      </c>
      <c r="M74" s="513" t="s">
        <v>6059</v>
      </c>
      <c r="N74" s="513" t="s">
        <v>780</v>
      </c>
      <c r="O74" s="513" t="s">
        <v>781</v>
      </c>
      <c r="P74" s="518" t="s">
        <v>6065</v>
      </c>
      <c r="Q74" s="152" t="s">
        <v>5873</v>
      </c>
      <c r="R74" s="152" t="s">
        <v>6066</v>
      </c>
      <c r="S74" s="152" t="s">
        <v>6095</v>
      </c>
      <c r="T74" s="152" t="s">
        <v>6068</v>
      </c>
      <c r="U74" s="152" t="s">
        <v>786</v>
      </c>
    </row>
    <row r="75" spans="4:21">
      <c r="D75" s="152" t="s">
        <v>2821</v>
      </c>
      <c r="E75" s="821" t="s">
        <v>670</v>
      </c>
      <c r="F75" s="684" t="str">
        <f>+VLOOKUP(G75,Resumen_Base!$C$8:$G$156,5,0)</f>
        <v>Manager</v>
      </c>
      <c r="G75" s="474" t="s">
        <v>325</v>
      </c>
      <c r="H75" s="210" t="s">
        <v>326</v>
      </c>
      <c r="I75" s="152" t="str">
        <f t="shared" si="0"/>
        <v>SJ5228</v>
      </c>
      <c r="J75" s="513">
        <v>1065734.6499999999</v>
      </c>
      <c r="K75" s="513">
        <v>758.53</v>
      </c>
      <c r="L75" s="513">
        <v>1405</v>
      </c>
      <c r="M75" s="513" t="s">
        <v>6303</v>
      </c>
      <c r="N75" s="513" t="s">
        <v>780</v>
      </c>
      <c r="O75" s="513" t="s">
        <v>781</v>
      </c>
      <c r="P75" s="518" t="s">
        <v>6304</v>
      </c>
      <c r="Q75" s="152" t="s">
        <v>5873</v>
      </c>
      <c r="R75" s="152" t="s">
        <v>6305</v>
      </c>
      <c r="S75" s="152" t="s">
        <v>6308</v>
      </c>
      <c r="T75" s="152" t="s">
        <v>6307</v>
      </c>
      <c r="U75" s="152" t="s">
        <v>786</v>
      </c>
    </row>
    <row r="76" spans="4:21">
      <c r="D76" s="152" t="s">
        <v>2821</v>
      </c>
      <c r="E76" s="821" t="s">
        <v>670</v>
      </c>
      <c r="F76" s="684" t="str">
        <f>+VLOOKUP(G76,Resumen_Base!$C$8:$G$156,5,0)</f>
        <v>Manager</v>
      </c>
      <c r="G76" s="474" t="s">
        <v>325</v>
      </c>
      <c r="H76" s="210" t="s">
        <v>326</v>
      </c>
      <c r="I76" s="152" t="str">
        <f t="shared" si="0"/>
        <v>SJ5228</v>
      </c>
      <c r="J76" s="513">
        <v>2683.55</v>
      </c>
      <c r="K76" s="513">
        <v>1.91</v>
      </c>
      <c r="L76" s="513">
        <v>1405</v>
      </c>
      <c r="M76" s="513" t="s">
        <v>6303</v>
      </c>
      <c r="N76" s="513" t="s">
        <v>780</v>
      </c>
      <c r="O76" s="513" t="s">
        <v>781</v>
      </c>
      <c r="P76" s="518" t="s">
        <v>6304</v>
      </c>
      <c r="Q76" s="152" t="s">
        <v>5873</v>
      </c>
      <c r="R76" s="152" t="s">
        <v>6305</v>
      </c>
      <c r="S76" s="152" t="s">
        <v>953</v>
      </c>
      <c r="T76" s="152" t="s">
        <v>6307</v>
      </c>
      <c r="U76" s="152" t="s">
        <v>786</v>
      </c>
    </row>
    <row r="77" spans="4:21">
      <c r="D77" s="152" t="s">
        <v>2821</v>
      </c>
      <c r="E77" s="821" t="s">
        <v>670</v>
      </c>
      <c r="F77" s="684" t="str">
        <f>+VLOOKUP(G77,Resumen_Base!$C$8:$G$156,5,0)</f>
        <v>Miscellaneous &amp; Shipping</v>
      </c>
      <c r="G77" s="474" t="s">
        <v>777</v>
      </c>
      <c r="H77" s="210" t="s">
        <v>908</v>
      </c>
      <c r="I77" s="152" t="str">
        <f t="shared" ref="I77:I140" si="1">+E77&amp;G77</f>
        <v>SJ5292</v>
      </c>
      <c r="J77" s="513">
        <v>2725.7</v>
      </c>
      <c r="K77" s="513">
        <v>1.94</v>
      </c>
      <c r="L77" s="513">
        <v>1405</v>
      </c>
      <c r="M77" s="513" t="s">
        <v>6303</v>
      </c>
      <c r="N77" s="513" t="s">
        <v>780</v>
      </c>
      <c r="O77" s="513" t="s">
        <v>781</v>
      </c>
      <c r="P77" s="518" t="s">
        <v>6304</v>
      </c>
      <c r="Q77" s="152" t="s">
        <v>5873</v>
      </c>
      <c r="R77" s="152" t="s">
        <v>6305</v>
      </c>
      <c r="S77" s="152" t="s">
        <v>953</v>
      </c>
      <c r="T77" s="152" t="s">
        <v>6307</v>
      </c>
      <c r="U77" s="152" t="s">
        <v>786</v>
      </c>
    </row>
    <row r="78" spans="4:21">
      <c r="D78" s="152" t="s">
        <v>2821</v>
      </c>
      <c r="E78" s="821" t="s">
        <v>670</v>
      </c>
      <c r="F78" s="684" t="str">
        <f>+VLOOKUP(G78,Resumen_Base!$C$8:$G$156,5,0)</f>
        <v>Miscellaneous &amp; Shipping</v>
      </c>
      <c r="G78" s="474" t="s">
        <v>58</v>
      </c>
      <c r="H78" s="210" t="s">
        <v>59</v>
      </c>
      <c r="I78" s="152" t="str">
        <f t="shared" si="1"/>
        <v>SJ5219</v>
      </c>
      <c r="J78" s="513">
        <v>1521235.65</v>
      </c>
      <c r="K78" s="513">
        <v>1082.73</v>
      </c>
      <c r="L78" s="513">
        <v>1405</v>
      </c>
      <c r="M78" s="513" t="s">
        <v>6303</v>
      </c>
      <c r="N78" s="513" t="s">
        <v>780</v>
      </c>
      <c r="O78" s="513" t="s">
        <v>781</v>
      </c>
      <c r="P78" s="518" t="s">
        <v>6304</v>
      </c>
      <c r="Q78" s="152" t="s">
        <v>5873</v>
      </c>
      <c r="R78" s="152" t="s">
        <v>6305</v>
      </c>
      <c r="S78" s="152" t="s">
        <v>6334</v>
      </c>
      <c r="T78" s="152" t="s">
        <v>6307</v>
      </c>
      <c r="U78" s="152" t="s">
        <v>786</v>
      </c>
    </row>
    <row r="79" spans="4:21">
      <c r="D79" s="152" t="s">
        <v>2821</v>
      </c>
      <c r="E79" s="821" t="s">
        <v>670</v>
      </c>
      <c r="F79" s="684" t="str">
        <f>+VLOOKUP(G79,Resumen_Base!$C$8:$G$156,5,0)</f>
        <v>Miscellaneous &amp; Shipping</v>
      </c>
      <c r="G79" s="474" t="s">
        <v>777</v>
      </c>
      <c r="H79" s="210" t="s">
        <v>908</v>
      </c>
      <c r="I79" s="152" t="str">
        <f t="shared" si="1"/>
        <v>SJ5292</v>
      </c>
      <c r="J79" s="513">
        <v>419322.25</v>
      </c>
      <c r="K79" s="513">
        <v>298.45</v>
      </c>
      <c r="L79" s="513">
        <v>1405</v>
      </c>
      <c r="M79" s="513" t="s">
        <v>6303</v>
      </c>
      <c r="N79" s="513" t="s">
        <v>780</v>
      </c>
      <c r="O79" s="513" t="s">
        <v>781</v>
      </c>
      <c r="P79" s="518" t="s">
        <v>6304</v>
      </c>
      <c r="Q79" s="152" t="s">
        <v>5873</v>
      </c>
      <c r="R79" s="152" t="s">
        <v>6305</v>
      </c>
      <c r="S79" s="152" t="s">
        <v>6349</v>
      </c>
      <c r="T79" s="152" t="s">
        <v>6307</v>
      </c>
      <c r="U79" s="152" t="s">
        <v>786</v>
      </c>
    </row>
    <row r="80" spans="4:21">
      <c r="D80" s="152" t="s">
        <v>2821</v>
      </c>
      <c r="E80" s="821" t="s">
        <v>670</v>
      </c>
      <c r="F80" s="684" t="str">
        <f>+VLOOKUP(G80,Resumen_Base!$C$8:$G$156,5,0)</f>
        <v>Miscellaneous &amp; Shipping</v>
      </c>
      <c r="G80" s="474" t="s">
        <v>58</v>
      </c>
      <c r="H80" s="210" t="s">
        <v>59</v>
      </c>
      <c r="I80" s="152" t="str">
        <f t="shared" si="1"/>
        <v>SJ5219</v>
      </c>
      <c r="J80" s="513">
        <v>160000</v>
      </c>
      <c r="K80" s="513">
        <v>113.87900355871901</v>
      </c>
      <c r="L80" s="513">
        <v>1405</v>
      </c>
      <c r="M80" s="513" t="s">
        <v>6303</v>
      </c>
      <c r="N80" s="513" t="s">
        <v>780</v>
      </c>
      <c r="O80" s="513" t="s">
        <v>781</v>
      </c>
      <c r="P80" s="518" t="s">
        <v>6378</v>
      </c>
      <c r="Q80" s="152" t="s">
        <v>5873</v>
      </c>
      <c r="R80" s="152" t="s">
        <v>6379</v>
      </c>
      <c r="S80" s="152" t="s">
        <v>6380</v>
      </c>
      <c r="T80" s="152" t="s">
        <v>6381</v>
      </c>
      <c r="U80" s="152" t="s">
        <v>786</v>
      </c>
    </row>
    <row r="81" spans="4:21" ht="25">
      <c r="D81" s="152" t="s">
        <v>2821</v>
      </c>
      <c r="E81" s="821" t="s">
        <v>670</v>
      </c>
      <c r="F81" s="684" t="str">
        <f>+VLOOKUP(G81,Resumen_Base!$C$8:$G$156,5,0)</f>
        <v>Social Security Contributions</v>
      </c>
      <c r="G81" s="474" t="s">
        <v>333</v>
      </c>
      <c r="H81" s="210" t="s">
        <v>334</v>
      </c>
      <c r="I81" s="152" t="str">
        <f t="shared" si="1"/>
        <v>SJ5237</v>
      </c>
      <c r="J81" s="513">
        <v>980619.75</v>
      </c>
      <c r="K81" s="513">
        <v>697.95</v>
      </c>
      <c r="L81" s="513">
        <v>1405</v>
      </c>
      <c r="M81" s="513" t="s">
        <v>6059</v>
      </c>
      <c r="N81" s="513" t="s">
        <v>780</v>
      </c>
      <c r="O81" s="513" t="s">
        <v>781</v>
      </c>
      <c r="P81" s="518" t="s">
        <v>6065</v>
      </c>
      <c r="Q81" s="152" t="s">
        <v>5873</v>
      </c>
      <c r="R81" s="152" t="s">
        <v>6066</v>
      </c>
      <c r="S81" s="152" t="s">
        <v>6089</v>
      </c>
      <c r="T81" s="152" t="s">
        <v>6068</v>
      </c>
      <c r="U81" s="152" t="s">
        <v>786</v>
      </c>
    </row>
    <row r="82" spans="4:21" ht="25">
      <c r="D82" s="152" t="s">
        <v>2821</v>
      </c>
      <c r="E82" s="821" t="s">
        <v>670</v>
      </c>
      <c r="F82" s="684" t="str">
        <f>+VLOOKUP(G82,Resumen_Base!$C$8:$G$156,5,0)</f>
        <v>Travel for personnel (employees)</v>
      </c>
      <c r="G82" s="474" t="s">
        <v>68</v>
      </c>
      <c r="H82" s="210" t="s">
        <v>69</v>
      </c>
      <c r="I82" s="152" t="str">
        <f t="shared" si="1"/>
        <v>SJ5255</v>
      </c>
      <c r="J82" s="513">
        <v>2683.55</v>
      </c>
      <c r="K82" s="513">
        <v>1.91</v>
      </c>
      <c r="L82" s="513">
        <v>1405</v>
      </c>
      <c r="M82" s="513" t="s">
        <v>6303</v>
      </c>
      <c r="N82" s="513" t="s">
        <v>780</v>
      </c>
      <c r="O82" s="513" t="s">
        <v>781</v>
      </c>
      <c r="P82" s="518" t="s">
        <v>6304</v>
      </c>
      <c r="Q82" s="152" t="s">
        <v>5873</v>
      </c>
      <c r="R82" s="152" t="s">
        <v>6305</v>
      </c>
      <c r="S82" s="152" t="s">
        <v>953</v>
      </c>
      <c r="T82" s="152" t="s">
        <v>6307</v>
      </c>
      <c r="U82" s="152" t="s">
        <v>786</v>
      </c>
    </row>
    <row r="83" spans="4:21" ht="25">
      <c r="D83" s="152" t="s">
        <v>2821</v>
      </c>
      <c r="E83" s="821" t="s">
        <v>670</v>
      </c>
      <c r="F83" s="684" t="str">
        <f>+VLOOKUP(G83,Resumen_Base!$C$8:$G$156,5,0)</f>
        <v>Travel for personnel (employees)</v>
      </c>
      <c r="G83" s="474" t="s">
        <v>68</v>
      </c>
      <c r="H83" s="210" t="s">
        <v>69</v>
      </c>
      <c r="I83" s="152" t="str">
        <f t="shared" si="1"/>
        <v>SJ5255</v>
      </c>
      <c r="J83" s="513">
        <v>36206.85</v>
      </c>
      <c r="K83" s="513">
        <v>25.77</v>
      </c>
      <c r="L83" s="513">
        <v>1405</v>
      </c>
      <c r="M83" s="513" t="s">
        <v>6303</v>
      </c>
      <c r="N83" s="513" t="s">
        <v>780</v>
      </c>
      <c r="O83" s="513" t="s">
        <v>781</v>
      </c>
      <c r="P83" s="518" t="s">
        <v>6304</v>
      </c>
      <c r="Q83" s="152" t="s">
        <v>5873</v>
      </c>
      <c r="R83" s="152" t="s">
        <v>6305</v>
      </c>
      <c r="S83" s="152" t="s">
        <v>6342</v>
      </c>
      <c r="T83" s="152" t="s">
        <v>6307</v>
      </c>
      <c r="U83" s="152" t="s">
        <v>786</v>
      </c>
    </row>
    <row r="84" spans="4:21" ht="25">
      <c r="D84" s="152" t="s">
        <v>2821</v>
      </c>
      <c r="E84" s="821" t="s">
        <v>670</v>
      </c>
      <c r="F84" s="684" t="str">
        <f>+VLOOKUP(G84,Resumen_Base!$C$8:$G$156,5,0)</f>
        <v>Travel for personnel (employees)</v>
      </c>
      <c r="G84" s="474" t="s">
        <v>68</v>
      </c>
      <c r="H84" s="210" t="s">
        <v>69</v>
      </c>
      <c r="I84" s="152" t="str">
        <f t="shared" si="1"/>
        <v>SJ5255</v>
      </c>
      <c r="J84" s="513">
        <v>27917.35</v>
      </c>
      <c r="K84" s="513">
        <v>19.87</v>
      </c>
      <c r="L84" s="513">
        <v>1405</v>
      </c>
      <c r="M84" s="513" t="s">
        <v>6303</v>
      </c>
      <c r="N84" s="513" t="s">
        <v>780</v>
      </c>
      <c r="O84" s="513" t="s">
        <v>781</v>
      </c>
      <c r="P84" s="518" t="s">
        <v>6304</v>
      </c>
      <c r="Q84" s="152" t="s">
        <v>5873</v>
      </c>
      <c r="R84" s="152" t="s">
        <v>6305</v>
      </c>
      <c r="S84" s="152" t="s">
        <v>6343</v>
      </c>
      <c r="T84" s="152" t="s">
        <v>6307</v>
      </c>
      <c r="U84" s="152" t="s">
        <v>786</v>
      </c>
    </row>
    <row r="85" spans="4:21" ht="25">
      <c r="D85" s="152" t="s">
        <v>2821</v>
      </c>
      <c r="E85" s="821" t="s">
        <v>670</v>
      </c>
      <c r="F85" s="684" t="str">
        <f>+VLOOKUP(G85,Resumen_Base!$C$8:$G$156,5,0)</f>
        <v>Travel for personnel (employees)</v>
      </c>
      <c r="G85" s="474" t="s">
        <v>68</v>
      </c>
      <c r="H85" s="210" t="s">
        <v>69</v>
      </c>
      <c r="I85" s="152" t="str">
        <f t="shared" si="1"/>
        <v>SJ5255</v>
      </c>
      <c r="J85" s="513">
        <v>81138.75</v>
      </c>
      <c r="K85" s="513">
        <v>57.75</v>
      </c>
      <c r="L85" s="513">
        <v>1405</v>
      </c>
      <c r="M85" s="513" t="s">
        <v>6303</v>
      </c>
      <c r="N85" s="513" t="s">
        <v>780</v>
      </c>
      <c r="O85" s="513" t="s">
        <v>781</v>
      </c>
      <c r="P85" s="518" t="s">
        <v>6304</v>
      </c>
      <c r="Q85" s="152" t="s">
        <v>5873</v>
      </c>
      <c r="R85" s="152" t="s">
        <v>6305</v>
      </c>
      <c r="S85" s="152" t="s">
        <v>6344</v>
      </c>
      <c r="T85" s="152" t="s">
        <v>6307</v>
      </c>
      <c r="U85" s="152" t="s">
        <v>786</v>
      </c>
    </row>
    <row r="86" spans="4:21" ht="25">
      <c r="D86" s="152" t="s">
        <v>2821</v>
      </c>
      <c r="E86" s="821" t="s">
        <v>670</v>
      </c>
      <c r="F86" s="684" t="str">
        <f>+VLOOKUP(G86,Resumen_Base!$C$8:$G$156,5,0)</f>
        <v>Travel for personnel (employees)</v>
      </c>
      <c r="G86" s="474" t="s">
        <v>68</v>
      </c>
      <c r="H86" s="210" t="s">
        <v>69</v>
      </c>
      <c r="I86" s="152" t="str">
        <f t="shared" si="1"/>
        <v>SJ5255</v>
      </c>
      <c r="J86" s="513">
        <v>200915</v>
      </c>
      <c r="K86" s="513">
        <v>143</v>
      </c>
      <c r="L86" s="513">
        <v>1405</v>
      </c>
      <c r="M86" s="513" t="s">
        <v>6303</v>
      </c>
      <c r="N86" s="513" t="s">
        <v>780</v>
      </c>
      <c r="O86" s="513" t="s">
        <v>781</v>
      </c>
      <c r="P86" s="518" t="s">
        <v>6369</v>
      </c>
      <c r="Q86" s="152" t="s">
        <v>5873</v>
      </c>
      <c r="R86" s="152" t="s">
        <v>6370</v>
      </c>
      <c r="S86" s="152" t="s">
        <v>6398</v>
      </c>
      <c r="T86" s="152" t="s">
        <v>6372</v>
      </c>
      <c r="U86" s="152" t="s">
        <v>786</v>
      </c>
    </row>
    <row r="87" spans="4:21" ht="25">
      <c r="D87" s="152" t="s">
        <v>2821</v>
      </c>
      <c r="E87" s="821" t="s">
        <v>670</v>
      </c>
      <c r="F87" s="684" t="str">
        <f>+VLOOKUP(G87,Resumen_Base!$C$8:$G$156,5,0)</f>
        <v>Travel for personnel (employees)</v>
      </c>
      <c r="G87" s="474" t="s">
        <v>68</v>
      </c>
      <c r="H87" s="210" t="s">
        <v>69</v>
      </c>
      <c r="I87" s="152" t="str">
        <f t="shared" si="1"/>
        <v>SJ5255</v>
      </c>
      <c r="J87" s="513">
        <v>424310</v>
      </c>
      <c r="K87" s="513">
        <v>302</v>
      </c>
      <c r="L87" s="513">
        <v>1405</v>
      </c>
      <c r="M87" s="513" t="s">
        <v>6303</v>
      </c>
      <c r="N87" s="513" t="s">
        <v>780</v>
      </c>
      <c r="O87" s="513" t="s">
        <v>781</v>
      </c>
      <c r="P87" s="518" t="s">
        <v>6369</v>
      </c>
      <c r="Q87" s="152" t="s">
        <v>5873</v>
      </c>
      <c r="R87" s="152" t="s">
        <v>6370</v>
      </c>
      <c r="S87" s="152" t="s">
        <v>6399</v>
      </c>
      <c r="T87" s="152" t="s">
        <v>6372</v>
      </c>
      <c r="U87" s="152" t="s">
        <v>786</v>
      </c>
    </row>
    <row r="88" spans="4:21" ht="25">
      <c r="D88" s="152" t="s">
        <v>2821</v>
      </c>
      <c r="E88" s="821" t="s">
        <v>670</v>
      </c>
      <c r="F88" s="684" t="str">
        <f>+VLOOKUP(G88,Resumen_Base!$C$8:$G$156,5,0)</f>
        <v>Travel for personnel (employees)</v>
      </c>
      <c r="G88" s="474" t="s">
        <v>68</v>
      </c>
      <c r="H88" s="210" t="s">
        <v>69</v>
      </c>
      <c r="I88" s="152" t="str">
        <f t="shared" si="1"/>
        <v>SJ5255</v>
      </c>
      <c r="J88" s="513">
        <v>99755</v>
      </c>
      <c r="K88" s="513">
        <v>71</v>
      </c>
      <c r="L88" s="513">
        <v>1405</v>
      </c>
      <c r="M88" s="513" t="s">
        <v>6303</v>
      </c>
      <c r="N88" s="513" t="s">
        <v>780</v>
      </c>
      <c r="O88" s="513" t="s">
        <v>781</v>
      </c>
      <c r="P88" s="518" t="s">
        <v>6369</v>
      </c>
      <c r="Q88" s="152" t="s">
        <v>5873</v>
      </c>
      <c r="R88" s="152" t="s">
        <v>6370</v>
      </c>
      <c r="S88" s="152" t="s">
        <v>6400</v>
      </c>
      <c r="T88" s="152" t="s">
        <v>6372</v>
      </c>
      <c r="U88" s="152" t="s">
        <v>786</v>
      </c>
    </row>
    <row r="89" spans="4:21" ht="25">
      <c r="D89" s="152" t="s">
        <v>2821</v>
      </c>
      <c r="E89" s="821" t="s">
        <v>670</v>
      </c>
      <c r="F89" s="684" t="str">
        <f>+VLOOKUP(G89,Resumen_Base!$C$8:$G$156,5,0)</f>
        <v>Travel for personnel (employees)</v>
      </c>
      <c r="G89" s="474" t="s">
        <v>68</v>
      </c>
      <c r="H89" s="210" t="s">
        <v>69</v>
      </c>
      <c r="I89" s="152" t="str">
        <f t="shared" si="1"/>
        <v>SJ5255</v>
      </c>
      <c r="J89" s="513">
        <v>99755</v>
      </c>
      <c r="K89" s="513">
        <v>71</v>
      </c>
      <c r="L89" s="513">
        <v>1405</v>
      </c>
      <c r="M89" s="513" t="s">
        <v>6303</v>
      </c>
      <c r="N89" s="513" t="s">
        <v>780</v>
      </c>
      <c r="O89" s="513" t="s">
        <v>781</v>
      </c>
      <c r="P89" s="518" t="s">
        <v>6369</v>
      </c>
      <c r="Q89" s="152" t="s">
        <v>5873</v>
      </c>
      <c r="R89" s="152" t="s">
        <v>6370</v>
      </c>
      <c r="S89" s="152" t="s">
        <v>6401</v>
      </c>
      <c r="T89" s="152" t="s">
        <v>6372</v>
      </c>
      <c r="U89" s="152" t="s">
        <v>786</v>
      </c>
    </row>
    <row r="90" spans="4:21" ht="25">
      <c r="D90" s="152" t="s">
        <v>2821</v>
      </c>
      <c r="E90" s="821" t="s">
        <v>670</v>
      </c>
      <c r="F90" s="684" t="str">
        <f>+VLOOKUP(G90,Resumen_Base!$C$8:$G$156,5,0)</f>
        <v>Travel for personnel (employees)</v>
      </c>
      <c r="G90" s="474" t="s">
        <v>68</v>
      </c>
      <c r="H90" s="210" t="s">
        <v>69</v>
      </c>
      <c r="I90" s="152" t="str">
        <f t="shared" si="1"/>
        <v>SJ5255</v>
      </c>
      <c r="J90" s="513">
        <v>102565</v>
      </c>
      <c r="K90" s="513">
        <v>73</v>
      </c>
      <c r="L90" s="513">
        <v>1405</v>
      </c>
      <c r="M90" s="513" t="s">
        <v>6303</v>
      </c>
      <c r="N90" s="513" t="s">
        <v>780</v>
      </c>
      <c r="O90" s="513" t="s">
        <v>781</v>
      </c>
      <c r="P90" s="518" t="s">
        <v>6369</v>
      </c>
      <c r="Q90" s="152" t="s">
        <v>5873</v>
      </c>
      <c r="R90" s="152" t="s">
        <v>6370</v>
      </c>
      <c r="S90" s="152" t="s">
        <v>6402</v>
      </c>
      <c r="T90" s="152" t="s">
        <v>6372</v>
      </c>
      <c r="U90" s="152" t="s">
        <v>786</v>
      </c>
    </row>
    <row r="91" spans="4:21" ht="25">
      <c r="D91" s="152" t="s">
        <v>2821</v>
      </c>
      <c r="E91" s="821" t="s">
        <v>670</v>
      </c>
      <c r="F91" s="684" t="str">
        <f>+VLOOKUP(G91,Resumen_Base!$C$8:$G$156,5,0)</f>
        <v>Travel for personnel (employees)</v>
      </c>
      <c r="G91" s="474" t="s">
        <v>68</v>
      </c>
      <c r="H91" s="210" t="s">
        <v>69</v>
      </c>
      <c r="I91" s="152" t="str">
        <f t="shared" si="1"/>
        <v>SJ5255</v>
      </c>
      <c r="J91" s="513">
        <v>110995</v>
      </c>
      <c r="K91" s="513">
        <v>79</v>
      </c>
      <c r="L91" s="513">
        <v>1405</v>
      </c>
      <c r="M91" s="513" t="s">
        <v>6303</v>
      </c>
      <c r="N91" s="513" t="s">
        <v>780</v>
      </c>
      <c r="O91" s="513" t="s">
        <v>781</v>
      </c>
      <c r="P91" s="518" t="s">
        <v>6369</v>
      </c>
      <c r="Q91" s="152" t="s">
        <v>5873</v>
      </c>
      <c r="R91" s="152" t="s">
        <v>6370</v>
      </c>
      <c r="S91" s="152" t="s">
        <v>6403</v>
      </c>
      <c r="T91" s="152" t="s">
        <v>6372</v>
      </c>
      <c r="U91" s="152" t="s">
        <v>786</v>
      </c>
    </row>
    <row r="92" spans="4:21" ht="25">
      <c r="D92" s="152" t="s">
        <v>2821</v>
      </c>
      <c r="E92" s="821" t="s">
        <v>670</v>
      </c>
      <c r="F92" s="684" t="str">
        <f>+VLOOKUP(G92,Resumen_Base!$C$8:$G$156,5,0)</f>
        <v>Work uniforms for personnel (employees)</v>
      </c>
      <c r="G92" s="474" t="s">
        <v>60</v>
      </c>
      <c r="H92" s="210" t="s">
        <v>61</v>
      </c>
      <c r="I92" s="152" t="str">
        <f t="shared" si="1"/>
        <v>SJ5220</v>
      </c>
      <c r="J92" s="513">
        <v>375149.05</v>
      </c>
      <c r="K92" s="513">
        <v>267.01</v>
      </c>
      <c r="L92" s="513">
        <v>1405</v>
      </c>
      <c r="M92" s="513" t="s">
        <v>6303</v>
      </c>
      <c r="N92" s="513" t="s">
        <v>780</v>
      </c>
      <c r="O92" s="513" t="s">
        <v>781</v>
      </c>
      <c r="P92" s="518" t="s">
        <v>6304</v>
      </c>
      <c r="Q92" s="152" t="s">
        <v>5873</v>
      </c>
      <c r="R92" s="152" t="s">
        <v>6305</v>
      </c>
      <c r="S92" s="152" t="s">
        <v>6318</v>
      </c>
      <c r="T92" s="152" t="s">
        <v>6307</v>
      </c>
      <c r="U92" s="152" t="s">
        <v>786</v>
      </c>
    </row>
    <row r="93" spans="4:21" ht="25">
      <c r="D93" s="152" t="s">
        <v>2821</v>
      </c>
      <c r="E93" s="821" t="s">
        <v>670</v>
      </c>
      <c r="F93" s="684" t="str">
        <f>+VLOOKUP(G93,Resumen_Base!$C$8:$G$156,5,0)</f>
        <v>Work uniforms for personnel (employees)</v>
      </c>
      <c r="G93" s="474" t="s">
        <v>60</v>
      </c>
      <c r="H93" s="210" t="s">
        <v>61</v>
      </c>
      <c r="I93" s="152" t="str">
        <f t="shared" si="1"/>
        <v>SJ5220</v>
      </c>
      <c r="J93" s="513">
        <v>2725.7</v>
      </c>
      <c r="K93" s="513">
        <v>1.94</v>
      </c>
      <c r="L93" s="513">
        <v>1405</v>
      </c>
      <c r="M93" s="513" t="s">
        <v>6303</v>
      </c>
      <c r="N93" s="513" t="s">
        <v>780</v>
      </c>
      <c r="O93" s="513" t="s">
        <v>781</v>
      </c>
      <c r="P93" s="518" t="s">
        <v>6304</v>
      </c>
      <c r="Q93" s="152" t="s">
        <v>5873</v>
      </c>
      <c r="R93" s="152" t="s">
        <v>6305</v>
      </c>
      <c r="S93" s="152" t="s">
        <v>953</v>
      </c>
      <c r="T93" s="152" t="s">
        <v>6307</v>
      </c>
      <c r="U93" s="152" t="s">
        <v>786</v>
      </c>
    </row>
    <row r="94" spans="4:21" ht="25">
      <c r="D94" s="152" t="s">
        <v>2821</v>
      </c>
      <c r="E94" s="821" t="s">
        <v>670</v>
      </c>
      <c r="F94" s="684" t="str">
        <f>+VLOOKUP(G94,Resumen_Base!$C$8:$G$156,5,0)</f>
        <v>Work uniforms for personnel (employees)</v>
      </c>
      <c r="G94" s="474" t="s">
        <v>60</v>
      </c>
      <c r="H94" s="210" t="s">
        <v>61</v>
      </c>
      <c r="I94" s="152" t="str">
        <f t="shared" si="1"/>
        <v>SJ5220</v>
      </c>
      <c r="J94" s="513">
        <v>225095.05</v>
      </c>
      <c r="K94" s="513">
        <v>160.21</v>
      </c>
      <c r="L94" s="513">
        <v>1405</v>
      </c>
      <c r="M94" s="513" t="s">
        <v>6303</v>
      </c>
      <c r="N94" s="513" t="s">
        <v>780</v>
      </c>
      <c r="O94" s="513" t="s">
        <v>781</v>
      </c>
      <c r="P94" s="518" t="s">
        <v>6304</v>
      </c>
      <c r="Q94" s="152" t="s">
        <v>5873</v>
      </c>
      <c r="R94" s="152" t="s">
        <v>6305</v>
      </c>
      <c r="S94" s="152" t="s">
        <v>6367</v>
      </c>
      <c r="T94" s="152" t="s">
        <v>6307</v>
      </c>
      <c r="U94" s="152" t="s">
        <v>786</v>
      </c>
    </row>
    <row r="95" spans="4:21" ht="25">
      <c r="D95" s="152" t="s">
        <v>2821</v>
      </c>
      <c r="E95" s="821" t="s">
        <v>675</v>
      </c>
      <c r="F95" s="684" t="str">
        <f>+VLOOKUP(G95,Resumen_Base!$C$8:$G$156,5,0)</f>
        <v>Communications - Phone, internet and satellite TV</v>
      </c>
      <c r="G95" s="474" t="s">
        <v>56</v>
      </c>
      <c r="H95" s="210" t="s">
        <v>315</v>
      </c>
      <c r="I95" s="152" t="str">
        <f t="shared" si="1"/>
        <v>UL5209</v>
      </c>
      <c r="J95" s="513">
        <v>-1292.5999999999999</v>
      </c>
      <c r="K95" s="513">
        <v>-0.92</v>
      </c>
      <c r="L95" s="513">
        <v>1405</v>
      </c>
      <c r="M95" s="513" t="s">
        <v>6059</v>
      </c>
      <c r="N95" s="513" t="s">
        <v>780</v>
      </c>
      <c r="O95" s="513" t="s">
        <v>1272</v>
      </c>
      <c r="P95" s="518" t="s">
        <v>6103</v>
      </c>
      <c r="Q95" s="152" t="s">
        <v>5873</v>
      </c>
      <c r="R95" s="152" t="s">
        <v>6104</v>
      </c>
      <c r="S95" s="152" t="s">
        <v>6107</v>
      </c>
      <c r="T95" s="152" t="s">
        <v>6106</v>
      </c>
      <c r="U95" s="152" t="s">
        <v>786</v>
      </c>
    </row>
    <row r="96" spans="4:21" ht="25">
      <c r="D96" s="152" t="s">
        <v>2821</v>
      </c>
      <c r="E96" s="821" t="s">
        <v>675</v>
      </c>
      <c r="F96" s="684" t="str">
        <f>+VLOOKUP(G96,Resumen_Base!$C$8:$G$156,5,0)</f>
        <v>Communications - Phone, internet and satellite TV</v>
      </c>
      <c r="G96" s="474" t="s">
        <v>72</v>
      </c>
      <c r="H96" s="210" t="s">
        <v>73</v>
      </c>
      <c r="I96" s="152" t="str">
        <f t="shared" si="1"/>
        <v>UL5266</v>
      </c>
      <c r="J96" s="513">
        <v>78750.25</v>
      </c>
      <c r="K96" s="513">
        <v>56.05</v>
      </c>
      <c r="L96" s="513">
        <v>1405</v>
      </c>
      <c r="M96" s="513" t="s">
        <v>6059</v>
      </c>
      <c r="N96" s="513" t="s">
        <v>780</v>
      </c>
      <c r="O96" s="513" t="s">
        <v>1272</v>
      </c>
      <c r="P96" s="518" t="s">
        <v>6098</v>
      </c>
      <c r="Q96" s="152" t="s">
        <v>5873</v>
      </c>
      <c r="R96" s="152" t="s">
        <v>6099</v>
      </c>
      <c r="S96" s="152" t="s">
        <v>6109</v>
      </c>
      <c r="T96" s="152" t="s">
        <v>6101</v>
      </c>
      <c r="U96" s="152" t="s">
        <v>786</v>
      </c>
    </row>
    <row r="97" spans="4:21" ht="25">
      <c r="D97" s="152" t="s">
        <v>2821</v>
      </c>
      <c r="E97" s="821" t="s">
        <v>675</v>
      </c>
      <c r="F97" s="684" t="str">
        <f>+VLOOKUP(G97,Resumen_Base!$C$8:$G$156,5,0)</f>
        <v>Electricity - Gas for Boats &amp; Vehicles</v>
      </c>
      <c r="G97" s="474" t="s">
        <v>64</v>
      </c>
      <c r="H97" s="210" t="s">
        <v>65</v>
      </c>
      <c r="I97" s="152" t="str">
        <f t="shared" si="1"/>
        <v>UL5248</v>
      </c>
      <c r="J97" s="513">
        <v>103618.75</v>
      </c>
      <c r="K97" s="513">
        <v>73.75</v>
      </c>
      <c r="L97" s="513">
        <v>1405</v>
      </c>
      <c r="M97" s="513" t="s">
        <v>6059</v>
      </c>
      <c r="N97" s="513" t="s">
        <v>780</v>
      </c>
      <c r="O97" s="513" t="s">
        <v>1272</v>
      </c>
      <c r="P97" s="518" t="s">
        <v>6098</v>
      </c>
      <c r="Q97" s="152" t="s">
        <v>5873</v>
      </c>
      <c r="R97" s="152" t="s">
        <v>6099</v>
      </c>
      <c r="S97" s="152" t="s">
        <v>6100</v>
      </c>
      <c r="T97" s="152" t="s">
        <v>6101</v>
      </c>
      <c r="U97" s="152" t="s">
        <v>786</v>
      </c>
    </row>
    <row r="98" spans="4:21" ht="25">
      <c r="D98" s="152" t="s">
        <v>2821</v>
      </c>
      <c r="E98" s="821" t="s">
        <v>675</v>
      </c>
      <c r="F98" s="684" t="str">
        <f>+VLOOKUP(G98,Resumen_Base!$C$8:$G$156,5,0)</f>
        <v>Electricity - Gas for Boats &amp; Vehicles</v>
      </c>
      <c r="G98" s="474" t="s">
        <v>163</v>
      </c>
      <c r="H98" s="210" t="s">
        <v>164</v>
      </c>
      <c r="I98" s="152" t="str">
        <f t="shared" si="1"/>
        <v>UL5288</v>
      </c>
      <c r="J98" s="513">
        <v>-1700.05</v>
      </c>
      <c r="K98" s="513">
        <v>-1.21</v>
      </c>
      <c r="L98" s="513">
        <v>1405</v>
      </c>
      <c r="M98" s="513" t="s">
        <v>6059</v>
      </c>
      <c r="N98" s="513" t="s">
        <v>780</v>
      </c>
      <c r="O98" s="513" t="s">
        <v>1272</v>
      </c>
      <c r="P98" s="518" t="s">
        <v>6103</v>
      </c>
      <c r="Q98" s="152" t="s">
        <v>5873</v>
      </c>
      <c r="R98" s="152" t="s">
        <v>6104</v>
      </c>
      <c r="S98" s="152" t="s">
        <v>6108</v>
      </c>
      <c r="T98" s="152" t="s">
        <v>6106</v>
      </c>
      <c r="U98" s="152" t="s">
        <v>786</v>
      </c>
    </row>
    <row r="99" spans="4:21" ht="50">
      <c r="D99" s="152" t="s">
        <v>2821</v>
      </c>
      <c r="E99" s="821" t="s">
        <v>675</v>
      </c>
      <c r="F99" s="684" t="str">
        <f>+VLOOKUP(G99,Resumen_Base!$C$8:$G$156,5,0)</f>
        <v>Fixed Asset's Payments (Investments) Mejoras/equipamiento Lodge</v>
      </c>
      <c r="G99" s="474" t="s">
        <v>6</v>
      </c>
      <c r="H99" s="210" t="s">
        <v>5</v>
      </c>
      <c r="I99" s="152" t="str">
        <f t="shared" si="1"/>
        <v>UL12020301</v>
      </c>
      <c r="J99" s="513">
        <v>380000</v>
      </c>
      <c r="K99" s="513">
        <v>270.462633451957</v>
      </c>
      <c r="L99" s="513">
        <v>1405</v>
      </c>
      <c r="M99" s="513" t="s">
        <v>6023</v>
      </c>
      <c r="N99" s="513" t="s">
        <v>780</v>
      </c>
      <c r="O99" s="513" t="s">
        <v>1272</v>
      </c>
      <c r="P99" s="518" t="s">
        <v>6035</v>
      </c>
      <c r="Q99" s="152" t="s">
        <v>5873</v>
      </c>
      <c r="R99" s="152" t="s">
        <v>6036</v>
      </c>
      <c r="S99" s="152" t="s">
        <v>6037</v>
      </c>
      <c r="T99" s="152" t="s">
        <v>6038</v>
      </c>
      <c r="U99" s="152" t="s">
        <v>786</v>
      </c>
    </row>
    <row r="100" spans="4:21" ht="50">
      <c r="D100" s="152" t="s">
        <v>2821</v>
      </c>
      <c r="E100" s="821" t="s">
        <v>675</v>
      </c>
      <c r="F100" s="684" t="str">
        <f>+VLOOKUP(G100,Resumen_Base!$C$8:$G$156,5,0)</f>
        <v>Fixed Asset's Payments (Investments) Mejoras/equipamiento Lodge</v>
      </c>
      <c r="G100" s="474" t="s">
        <v>6</v>
      </c>
      <c r="H100" s="210" t="s">
        <v>5</v>
      </c>
      <c r="I100" s="152" t="str">
        <f t="shared" si="1"/>
        <v>UL12020301</v>
      </c>
      <c r="J100" s="513">
        <v>5600</v>
      </c>
      <c r="K100" s="513">
        <v>3.9857651245551602</v>
      </c>
      <c r="L100" s="513">
        <v>1405</v>
      </c>
      <c r="M100" s="513" t="s">
        <v>6270</v>
      </c>
      <c r="N100" s="513" t="s">
        <v>780</v>
      </c>
      <c r="O100" s="513" t="s">
        <v>1272</v>
      </c>
      <c r="P100" s="518" t="s">
        <v>6285</v>
      </c>
      <c r="Q100" s="152" t="s">
        <v>5873</v>
      </c>
      <c r="R100" s="152" t="s">
        <v>6286</v>
      </c>
      <c r="S100" s="152" t="s">
        <v>6289</v>
      </c>
      <c r="T100" s="152" t="s">
        <v>6288</v>
      </c>
      <c r="U100" s="152" t="s">
        <v>786</v>
      </c>
    </row>
    <row r="101" spans="4:21">
      <c r="D101" s="152" t="s">
        <v>2821</v>
      </c>
      <c r="E101" s="821" t="s">
        <v>675</v>
      </c>
      <c r="F101" s="684" t="str">
        <f>+VLOOKUP(G101,Resumen_Base!$C$8:$G$156,5,0)</f>
        <v>Food &amp; Wine</v>
      </c>
      <c r="G101" s="474" t="s">
        <v>37</v>
      </c>
      <c r="H101" s="210" t="s">
        <v>36</v>
      </c>
      <c r="I101" s="152" t="str">
        <f t="shared" si="1"/>
        <v>UL5250</v>
      </c>
      <c r="J101" s="513">
        <v>19459.25</v>
      </c>
      <c r="K101" s="513">
        <v>13.85</v>
      </c>
      <c r="L101" s="513">
        <v>1405</v>
      </c>
      <c r="M101" s="513" t="s">
        <v>6059</v>
      </c>
      <c r="N101" s="513" t="s">
        <v>780</v>
      </c>
      <c r="O101" s="513" t="s">
        <v>1272</v>
      </c>
      <c r="P101" s="518" t="s">
        <v>6098</v>
      </c>
      <c r="Q101" s="152" t="s">
        <v>5873</v>
      </c>
      <c r="R101" s="152" t="s">
        <v>6099</v>
      </c>
      <c r="S101" s="152" t="s">
        <v>6102</v>
      </c>
      <c r="T101" s="152" t="s">
        <v>6101</v>
      </c>
      <c r="U101" s="152" t="s">
        <v>786</v>
      </c>
    </row>
    <row r="102" spans="4:21">
      <c r="D102" s="152" t="s">
        <v>2821</v>
      </c>
      <c r="E102" s="821" t="s">
        <v>675</v>
      </c>
      <c r="F102" s="684" t="str">
        <f>+VLOOKUP(G102,Resumen_Base!$C$8:$G$156,5,0)</f>
        <v>Food &amp; Wine</v>
      </c>
      <c r="G102" s="474" t="s">
        <v>37</v>
      </c>
      <c r="H102" s="210" t="s">
        <v>36</v>
      </c>
      <c r="I102" s="152" t="str">
        <f t="shared" si="1"/>
        <v>UL5250</v>
      </c>
      <c r="J102" s="513">
        <v>-323.14999999999998</v>
      </c>
      <c r="K102" s="513">
        <v>-0.23</v>
      </c>
      <c r="L102" s="513">
        <v>1405</v>
      </c>
      <c r="M102" s="513" t="s">
        <v>6059</v>
      </c>
      <c r="N102" s="513" t="s">
        <v>780</v>
      </c>
      <c r="O102" s="513" t="s">
        <v>1272</v>
      </c>
      <c r="P102" s="518" t="s">
        <v>6103</v>
      </c>
      <c r="Q102" s="152" t="s">
        <v>5873</v>
      </c>
      <c r="R102" s="152" t="s">
        <v>6104</v>
      </c>
      <c r="S102" s="152" t="s">
        <v>6105</v>
      </c>
      <c r="T102" s="152" t="s">
        <v>6106</v>
      </c>
      <c r="U102" s="152" t="s">
        <v>786</v>
      </c>
    </row>
    <row r="103" spans="4:21">
      <c r="D103" s="152" t="s">
        <v>2821</v>
      </c>
      <c r="E103" s="821" t="s">
        <v>675</v>
      </c>
      <c r="F103" s="684" t="str">
        <f>+VLOOKUP(G103,Resumen_Base!$C$8:$G$156,5,0)</f>
        <v>Maintenance  Equipment</v>
      </c>
      <c r="G103" s="474" t="s">
        <v>31</v>
      </c>
      <c r="H103" s="210" t="s">
        <v>335</v>
      </c>
      <c r="I103" s="152" t="str">
        <f t="shared" si="1"/>
        <v>UL5254</v>
      </c>
      <c r="J103" s="513">
        <v>20000</v>
      </c>
      <c r="K103" s="513">
        <v>14.234875444839901</v>
      </c>
      <c r="L103" s="513">
        <v>1405</v>
      </c>
      <c r="M103" s="513" t="s">
        <v>5951</v>
      </c>
      <c r="N103" s="513" t="s">
        <v>780</v>
      </c>
      <c r="O103" s="513" t="s">
        <v>1272</v>
      </c>
      <c r="P103" s="518" t="s">
        <v>5966</v>
      </c>
      <c r="Q103" s="152" t="s">
        <v>5873</v>
      </c>
      <c r="R103" s="152" t="s">
        <v>5967</v>
      </c>
      <c r="S103" s="152" t="s">
        <v>5968</v>
      </c>
      <c r="T103" s="152" t="s">
        <v>5969</v>
      </c>
      <c r="U103" s="152" t="s">
        <v>786</v>
      </c>
    </row>
    <row r="104" spans="4:21">
      <c r="D104" s="152" t="s">
        <v>2821</v>
      </c>
      <c r="E104" s="821" t="s">
        <v>676</v>
      </c>
      <c r="F104" s="684" t="str">
        <f>+VLOOKUP(G104,Resumen_Base!$C$8:$G$156,5,0)</f>
        <v>Baiting/Maize:</v>
      </c>
      <c r="G104" s="474" t="s">
        <v>238</v>
      </c>
      <c r="H104" s="210" t="s">
        <v>239</v>
      </c>
      <c r="I104" s="152" t="str">
        <f t="shared" si="1"/>
        <v>CAR5284</v>
      </c>
      <c r="J104" s="513">
        <v>2697.6</v>
      </c>
      <c r="K104" s="513">
        <v>1.92</v>
      </c>
      <c r="L104" s="513">
        <v>1405</v>
      </c>
      <c r="M104" s="513" t="s">
        <v>6059</v>
      </c>
      <c r="N104" s="513" t="s">
        <v>780</v>
      </c>
      <c r="O104" s="513" t="s">
        <v>1407</v>
      </c>
      <c r="P104" s="518" t="s">
        <v>6114</v>
      </c>
      <c r="Q104" s="152" t="s">
        <v>5873</v>
      </c>
      <c r="R104" s="152" t="s">
        <v>6115</v>
      </c>
      <c r="S104" s="152" t="s">
        <v>1515</v>
      </c>
      <c r="T104" s="152" t="s">
        <v>6116</v>
      </c>
      <c r="U104" s="152" t="s">
        <v>786</v>
      </c>
    </row>
    <row r="105" spans="4:21">
      <c r="D105" s="152" t="s">
        <v>2821</v>
      </c>
      <c r="E105" s="821" t="s">
        <v>676</v>
      </c>
      <c r="F105" s="684" t="str">
        <f>+VLOOKUP(G105,Resumen_Base!$C$8:$G$156,5,0)</f>
        <v>Baiting/Maize:</v>
      </c>
      <c r="G105" s="474" t="s">
        <v>238</v>
      </c>
      <c r="H105" s="210" t="s">
        <v>239</v>
      </c>
      <c r="I105" s="152" t="str">
        <f t="shared" si="1"/>
        <v>CAR5284</v>
      </c>
      <c r="J105" s="513">
        <v>913250</v>
      </c>
      <c r="K105" s="513">
        <v>650</v>
      </c>
      <c r="L105" s="513">
        <v>1405</v>
      </c>
      <c r="M105" s="513" t="s">
        <v>6059</v>
      </c>
      <c r="N105" s="513" t="s">
        <v>780</v>
      </c>
      <c r="O105" s="513" t="s">
        <v>1407</v>
      </c>
      <c r="P105" s="518" t="s">
        <v>6114</v>
      </c>
      <c r="Q105" s="152" t="s">
        <v>5873</v>
      </c>
      <c r="R105" s="152" t="s">
        <v>6115</v>
      </c>
      <c r="S105" s="152" t="s">
        <v>6182</v>
      </c>
      <c r="T105" s="152" t="s">
        <v>6116</v>
      </c>
      <c r="U105" s="152" t="s">
        <v>786</v>
      </c>
    </row>
    <row r="106" spans="4:21">
      <c r="D106" s="152" t="s">
        <v>2821</v>
      </c>
      <c r="E106" s="821" t="s">
        <v>676</v>
      </c>
      <c r="F106" s="684" t="str">
        <f>+VLOOKUP(G106,Resumen_Base!$C$8:$G$156,5,0)</f>
        <v>Baiting/Maize:</v>
      </c>
      <c r="G106" s="474" t="s">
        <v>238</v>
      </c>
      <c r="H106" s="210" t="s">
        <v>239</v>
      </c>
      <c r="I106" s="152" t="str">
        <f t="shared" si="1"/>
        <v>CAR5284</v>
      </c>
      <c r="J106" s="513">
        <v>2725.7</v>
      </c>
      <c r="K106" s="513">
        <v>1.94</v>
      </c>
      <c r="L106" s="513">
        <v>1405</v>
      </c>
      <c r="M106" s="513" t="s">
        <v>6303</v>
      </c>
      <c r="N106" s="513" t="s">
        <v>780</v>
      </c>
      <c r="O106" s="513" t="s">
        <v>1407</v>
      </c>
      <c r="P106" s="518" t="s">
        <v>6484</v>
      </c>
      <c r="Q106" s="152" t="s">
        <v>5873</v>
      </c>
      <c r="R106" s="152" t="s">
        <v>6485</v>
      </c>
      <c r="S106" s="152" t="s">
        <v>1515</v>
      </c>
      <c r="T106" s="152" t="s">
        <v>6487</v>
      </c>
      <c r="U106" s="152" t="s">
        <v>786</v>
      </c>
    </row>
    <row r="107" spans="4:21">
      <c r="D107" s="152" t="s">
        <v>2821</v>
      </c>
      <c r="E107" s="821" t="s">
        <v>676</v>
      </c>
      <c r="F107" s="684" t="str">
        <f>+VLOOKUP(G107,Resumen_Base!$C$8:$G$156,5,0)</f>
        <v>Baiting/Maize:</v>
      </c>
      <c r="G107" s="474" t="s">
        <v>238</v>
      </c>
      <c r="H107" s="210" t="s">
        <v>239</v>
      </c>
      <c r="I107" s="152" t="str">
        <f t="shared" si="1"/>
        <v>CAR5284</v>
      </c>
      <c r="J107" s="513">
        <v>941490.5</v>
      </c>
      <c r="K107" s="513">
        <v>670.1</v>
      </c>
      <c r="L107" s="513">
        <v>1405</v>
      </c>
      <c r="M107" s="513" t="s">
        <v>6303</v>
      </c>
      <c r="N107" s="513" t="s">
        <v>780</v>
      </c>
      <c r="O107" s="513" t="s">
        <v>1407</v>
      </c>
      <c r="P107" s="518" t="s">
        <v>6484</v>
      </c>
      <c r="Q107" s="152" t="s">
        <v>5873</v>
      </c>
      <c r="R107" s="152" t="s">
        <v>6485</v>
      </c>
      <c r="S107" s="152" t="s">
        <v>6528</v>
      </c>
      <c r="T107" s="152" t="s">
        <v>6487</v>
      </c>
      <c r="U107" s="152" t="s">
        <v>786</v>
      </c>
    </row>
    <row r="108" spans="4:21" ht="25">
      <c r="D108" s="152" t="s">
        <v>2821</v>
      </c>
      <c r="E108" s="821" t="s">
        <v>676</v>
      </c>
      <c r="F108" s="684" t="str">
        <f>+VLOOKUP(G108,Resumen_Base!$C$8:$G$156,5,0)</f>
        <v>Canon Lodge/Labor Permits:</v>
      </c>
      <c r="G108" s="474" t="s">
        <v>313</v>
      </c>
      <c r="H108" s="210" t="s">
        <v>314</v>
      </c>
      <c r="I108" s="152" t="str">
        <f t="shared" si="1"/>
        <v>CAR5208</v>
      </c>
      <c r="J108" s="513">
        <v>710494.45</v>
      </c>
      <c r="K108" s="513">
        <v>505.69</v>
      </c>
      <c r="L108" s="513">
        <v>1405</v>
      </c>
      <c r="M108" s="513" t="s">
        <v>6059</v>
      </c>
      <c r="N108" s="513" t="s">
        <v>780</v>
      </c>
      <c r="O108" s="513" t="s">
        <v>1407</v>
      </c>
      <c r="P108" s="518" t="s">
        <v>6114</v>
      </c>
      <c r="Q108" s="152" t="s">
        <v>5873</v>
      </c>
      <c r="R108" s="152" t="s">
        <v>6115</v>
      </c>
      <c r="S108" s="152" t="s">
        <v>6123</v>
      </c>
      <c r="T108" s="152" t="s">
        <v>6116</v>
      </c>
      <c r="U108" s="152" t="s">
        <v>786</v>
      </c>
    </row>
    <row r="109" spans="4:21" ht="25">
      <c r="D109" s="152" t="s">
        <v>2821</v>
      </c>
      <c r="E109" s="821" t="s">
        <v>676</v>
      </c>
      <c r="F109" s="684" t="str">
        <f>+VLOOKUP(G109,Resumen_Base!$C$8:$G$156,5,0)</f>
        <v>Canon Lodge/Labor Permits:</v>
      </c>
      <c r="G109" s="474" t="s">
        <v>313</v>
      </c>
      <c r="H109" s="210" t="s">
        <v>314</v>
      </c>
      <c r="I109" s="152" t="str">
        <f t="shared" si="1"/>
        <v>CAR5208</v>
      </c>
      <c r="J109" s="513">
        <v>2683.55</v>
      </c>
      <c r="K109" s="513">
        <v>1.91</v>
      </c>
      <c r="L109" s="513">
        <v>1405</v>
      </c>
      <c r="M109" s="513" t="s">
        <v>6059</v>
      </c>
      <c r="N109" s="513" t="s">
        <v>780</v>
      </c>
      <c r="O109" s="513" t="s">
        <v>1407</v>
      </c>
      <c r="P109" s="518" t="s">
        <v>6114</v>
      </c>
      <c r="Q109" s="152" t="s">
        <v>5873</v>
      </c>
      <c r="R109" s="152" t="s">
        <v>6115</v>
      </c>
      <c r="S109" s="152" t="s">
        <v>1515</v>
      </c>
      <c r="T109" s="152" t="s">
        <v>6116</v>
      </c>
      <c r="U109" s="152" t="s">
        <v>786</v>
      </c>
    </row>
    <row r="110" spans="4:21" ht="25">
      <c r="D110" s="152" t="s">
        <v>2821</v>
      </c>
      <c r="E110" s="821" t="s">
        <v>676</v>
      </c>
      <c r="F110" s="684" t="str">
        <f>+VLOOKUP(G110,Resumen_Base!$C$8:$G$156,5,0)</f>
        <v>Canon Lodge/Labor Permits:</v>
      </c>
      <c r="G110" s="474" t="s">
        <v>313</v>
      </c>
      <c r="H110" s="210" t="s">
        <v>314</v>
      </c>
      <c r="I110" s="152" t="str">
        <f t="shared" si="1"/>
        <v>CAR5208</v>
      </c>
      <c r="J110" s="513">
        <v>2683.55</v>
      </c>
      <c r="K110" s="513">
        <v>1.91</v>
      </c>
      <c r="L110" s="513">
        <v>1405</v>
      </c>
      <c r="M110" s="513" t="s">
        <v>6059</v>
      </c>
      <c r="N110" s="513" t="s">
        <v>780</v>
      </c>
      <c r="O110" s="513" t="s">
        <v>1407</v>
      </c>
      <c r="P110" s="518" t="s">
        <v>6114</v>
      </c>
      <c r="Q110" s="152" t="s">
        <v>5873</v>
      </c>
      <c r="R110" s="152" t="s">
        <v>6115</v>
      </c>
      <c r="S110" s="152" t="s">
        <v>1515</v>
      </c>
      <c r="T110" s="152" t="s">
        <v>6116</v>
      </c>
      <c r="U110" s="152" t="s">
        <v>786</v>
      </c>
    </row>
    <row r="111" spans="4:21" ht="25">
      <c r="D111" s="152" t="s">
        <v>2821</v>
      </c>
      <c r="E111" s="821" t="s">
        <v>676</v>
      </c>
      <c r="F111" s="684" t="str">
        <f>+VLOOKUP(G111,Resumen_Base!$C$8:$G$156,5,0)</f>
        <v>Communications - Phone, internet and satellite TV</v>
      </c>
      <c r="G111" s="474" t="s">
        <v>72</v>
      </c>
      <c r="H111" s="210" t="s">
        <v>73</v>
      </c>
      <c r="I111" s="152" t="str">
        <f t="shared" si="1"/>
        <v>CAR5266</v>
      </c>
      <c r="J111" s="513">
        <v>114774.45</v>
      </c>
      <c r="K111" s="513">
        <v>81.69</v>
      </c>
      <c r="L111" s="513">
        <v>1405</v>
      </c>
      <c r="M111" s="513" t="s">
        <v>6059</v>
      </c>
      <c r="N111" s="513" t="s">
        <v>780</v>
      </c>
      <c r="O111" s="513" t="s">
        <v>1407</v>
      </c>
      <c r="P111" s="518" t="s">
        <v>6114</v>
      </c>
      <c r="Q111" s="152" t="s">
        <v>5873</v>
      </c>
      <c r="R111" s="152" t="s">
        <v>6115</v>
      </c>
      <c r="S111" s="152" t="s">
        <v>6210</v>
      </c>
      <c r="T111" s="152" t="s">
        <v>6116</v>
      </c>
      <c r="U111" s="152" t="s">
        <v>786</v>
      </c>
    </row>
    <row r="112" spans="4:21">
      <c r="D112" s="152" t="s">
        <v>2821</v>
      </c>
      <c r="E112" s="821" t="s">
        <v>676</v>
      </c>
      <c r="F112" s="684" t="str">
        <f>+VLOOKUP(G112,Resumen_Base!$C$8:$G$156,5,0)</f>
        <v>Electricity</v>
      </c>
      <c r="G112" s="474" t="s">
        <v>70</v>
      </c>
      <c r="H112" s="210" t="s">
        <v>71</v>
      </c>
      <c r="I112" s="152" t="str">
        <f t="shared" si="1"/>
        <v>CAR5259</v>
      </c>
      <c r="J112" s="513">
        <v>1405000</v>
      </c>
      <c r="K112" s="513">
        <v>1000</v>
      </c>
      <c r="L112" s="513">
        <v>1405</v>
      </c>
      <c r="M112" s="513" t="s">
        <v>5975</v>
      </c>
      <c r="N112" s="513" t="s">
        <v>780</v>
      </c>
      <c r="O112" s="513" t="s">
        <v>1407</v>
      </c>
      <c r="P112" s="518" t="s">
        <v>5976</v>
      </c>
      <c r="Q112" s="152" t="s">
        <v>5873</v>
      </c>
      <c r="R112" s="152" t="s">
        <v>5977</v>
      </c>
      <c r="S112" s="152" t="s">
        <v>5983</v>
      </c>
      <c r="T112" s="152" t="s">
        <v>5979</v>
      </c>
      <c r="U112" s="152" t="s">
        <v>786</v>
      </c>
    </row>
    <row r="113" spans="4:21">
      <c r="D113" s="152" t="s">
        <v>2821</v>
      </c>
      <c r="E113" s="821" t="s">
        <v>676</v>
      </c>
      <c r="F113" s="684" t="str">
        <f>+VLOOKUP(G113,Resumen_Base!$C$8:$G$156,5,0)</f>
        <v>Electricity</v>
      </c>
      <c r="G113" s="474" t="s">
        <v>41</v>
      </c>
      <c r="H113" s="210" t="s">
        <v>40</v>
      </c>
      <c r="I113" s="152" t="str">
        <f t="shared" si="1"/>
        <v>CAR5247</v>
      </c>
      <c r="J113" s="513">
        <v>-8992</v>
      </c>
      <c r="K113" s="513">
        <v>-6.4</v>
      </c>
      <c r="L113" s="513">
        <v>1405</v>
      </c>
      <c r="M113" s="513" t="s">
        <v>6059</v>
      </c>
      <c r="N113" s="513" t="s">
        <v>780</v>
      </c>
      <c r="O113" s="513" t="s">
        <v>1407</v>
      </c>
      <c r="P113" s="518" t="s">
        <v>6176</v>
      </c>
      <c r="Q113" s="152" t="s">
        <v>5873</v>
      </c>
      <c r="R113" s="152" t="s">
        <v>6177</v>
      </c>
      <c r="S113" s="152" t="s">
        <v>6195</v>
      </c>
      <c r="T113" s="152" t="s">
        <v>6178</v>
      </c>
      <c r="U113" s="152" t="s">
        <v>786</v>
      </c>
    </row>
    <row r="114" spans="4:21">
      <c r="D114" s="152" t="s">
        <v>2821</v>
      </c>
      <c r="E114" s="821" t="s">
        <v>676</v>
      </c>
      <c r="F114" s="684" t="str">
        <f>+VLOOKUP(G114,Resumen_Base!$C$8:$G$156,5,0)</f>
        <v>Electricity</v>
      </c>
      <c r="G114" s="474" t="s">
        <v>41</v>
      </c>
      <c r="H114" s="210" t="s">
        <v>40</v>
      </c>
      <c r="I114" s="152" t="str">
        <f t="shared" si="1"/>
        <v>CAR5247</v>
      </c>
      <c r="J114" s="513">
        <v>131479.9</v>
      </c>
      <c r="K114" s="513">
        <v>93.58</v>
      </c>
      <c r="L114" s="513">
        <v>1405</v>
      </c>
      <c r="M114" s="513" t="s">
        <v>6059</v>
      </c>
      <c r="N114" s="513" t="s">
        <v>780</v>
      </c>
      <c r="O114" s="513" t="s">
        <v>1407</v>
      </c>
      <c r="P114" s="518" t="s">
        <v>6114</v>
      </c>
      <c r="Q114" s="152" t="s">
        <v>5873</v>
      </c>
      <c r="R114" s="152" t="s">
        <v>6115</v>
      </c>
      <c r="S114" s="152" t="s">
        <v>6214</v>
      </c>
      <c r="T114" s="152" t="s">
        <v>6116</v>
      </c>
      <c r="U114" s="152" t="s">
        <v>786</v>
      </c>
    </row>
    <row r="115" spans="4:21">
      <c r="D115" s="152" t="s">
        <v>2821</v>
      </c>
      <c r="E115" s="821" t="s">
        <v>676</v>
      </c>
      <c r="F115" s="684" t="str">
        <f>+VLOOKUP(G115,Resumen_Base!$C$8:$G$156,5,0)</f>
        <v>Electricity</v>
      </c>
      <c r="G115" s="474" t="s">
        <v>41</v>
      </c>
      <c r="H115" s="210" t="s">
        <v>40</v>
      </c>
      <c r="I115" s="152" t="str">
        <f t="shared" si="1"/>
        <v>CAR5247</v>
      </c>
      <c r="J115" s="513">
        <v>3172490</v>
      </c>
      <c r="K115" s="513">
        <v>2258</v>
      </c>
      <c r="L115" s="513">
        <v>1405</v>
      </c>
      <c r="M115" s="513" t="s">
        <v>6059</v>
      </c>
      <c r="N115" s="513" t="s">
        <v>780</v>
      </c>
      <c r="O115" s="513" t="s">
        <v>1407</v>
      </c>
      <c r="P115" s="518" t="s">
        <v>6119</v>
      </c>
      <c r="Q115" s="152" t="s">
        <v>5873</v>
      </c>
      <c r="R115" s="152" t="s">
        <v>6120</v>
      </c>
      <c r="S115" s="152" t="s">
        <v>6215</v>
      </c>
      <c r="T115" s="152" t="s">
        <v>6122</v>
      </c>
      <c r="U115" s="152" t="s">
        <v>786</v>
      </c>
    </row>
    <row r="116" spans="4:21">
      <c r="D116" s="152" t="s">
        <v>2821</v>
      </c>
      <c r="E116" s="821" t="s">
        <v>676</v>
      </c>
      <c r="F116" s="684" t="str">
        <f>+VLOOKUP(G116,Resumen_Base!$C$8:$G$156,5,0)</f>
        <v>Electricity</v>
      </c>
      <c r="G116" s="474" t="s">
        <v>41</v>
      </c>
      <c r="H116" s="210" t="s">
        <v>40</v>
      </c>
      <c r="I116" s="152" t="str">
        <f t="shared" si="1"/>
        <v>CAR5247</v>
      </c>
      <c r="J116" s="513">
        <v>566903.44999999995</v>
      </c>
      <c r="K116" s="513">
        <v>403.49</v>
      </c>
      <c r="L116" s="513">
        <v>1405</v>
      </c>
      <c r="M116" s="513" t="s">
        <v>6059</v>
      </c>
      <c r="N116" s="513" t="s">
        <v>780</v>
      </c>
      <c r="O116" s="513" t="s">
        <v>1407</v>
      </c>
      <c r="P116" s="518" t="s">
        <v>6119</v>
      </c>
      <c r="Q116" s="152" t="s">
        <v>5873</v>
      </c>
      <c r="R116" s="152" t="s">
        <v>6120</v>
      </c>
      <c r="S116" s="152" t="s">
        <v>6216</v>
      </c>
      <c r="T116" s="152" t="s">
        <v>6122</v>
      </c>
      <c r="U116" s="152" t="s">
        <v>786</v>
      </c>
    </row>
    <row r="117" spans="4:21" ht="25">
      <c r="D117" s="152" t="s">
        <v>2821</v>
      </c>
      <c r="E117" s="821" t="s">
        <v>676</v>
      </c>
      <c r="F117" s="684" t="str">
        <f>+VLOOKUP(G117,Resumen_Base!$C$8:$G$156,5,0)</f>
        <v>Electricity - Gas for Boats &amp; Vehicles</v>
      </c>
      <c r="G117" s="474" t="s">
        <v>64</v>
      </c>
      <c r="H117" s="210" t="s">
        <v>65</v>
      </c>
      <c r="I117" s="152" t="str">
        <f t="shared" si="1"/>
        <v>CAR5248</v>
      </c>
      <c r="J117" s="513">
        <v>3907347.15</v>
      </c>
      <c r="K117" s="513">
        <v>2781.03</v>
      </c>
      <c r="L117" s="513">
        <v>1405</v>
      </c>
      <c r="M117" s="513" t="s">
        <v>6059</v>
      </c>
      <c r="N117" s="513" t="s">
        <v>780</v>
      </c>
      <c r="O117" s="513" t="s">
        <v>1407</v>
      </c>
      <c r="P117" s="518" t="s">
        <v>6114</v>
      </c>
      <c r="Q117" s="152" t="s">
        <v>5873</v>
      </c>
      <c r="R117" s="152" t="s">
        <v>6115</v>
      </c>
      <c r="S117" s="152" t="s">
        <v>6147</v>
      </c>
      <c r="T117" s="152" t="s">
        <v>6116</v>
      </c>
      <c r="U117" s="152" t="s">
        <v>786</v>
      </c>
    </row>
    <row r="118" spans="4:21" ht="25">
      <c r="D118" s="152" t="s">
        <v>2821</v>
      </c>
      <c r="E118" s="821" t="s">
        <v>676</v>
      </c>
      <c r="F118" s="684" t="str">
        <f>+VLOOKUP(G118,Resumen_Base!$C$8:$G$156,5,0)</f>
        <v>Electricity - Gas for Boats &amp; Vehicles</v>
      </c>
      <c r="G118" s="474" t="s">
        <v>64</v>
      </c>
      <c r="H118" s="210" t="s">
        <v>65</v>
      </c>
      <c r="I118" s="152" t="str">
        <f t="shared" si="1"/>
        <v>CAR5248</v>
      </c>
      <c r="J118" s="513">
        <v>2711.65</v>
      </c>
      <c r="K118" s="513">
        <v>1.93</v>
      </c>
      <c r="L118" s="513">
        <v>1405</v>
      </c>
      <c r="M118" s="513" t="s">
        <v>6059</v>
      </c>
      <c r="N118" s="513" t="s">
        <v>780</v>
      </c>
      <c r="O118" s="513" t="s">
        <v>1407</v>
      </c>
      <c r="P118" s="518" t="s">
        <v>6114</v>
      </c>
      <c r="Q118" s="152" t="s">
        <v>5873</v>
      </c>
      <c r="R118" s="152" t="s">
        <v>6115</v>
      </c>
      <c r="S118" s="152" t="s">
        <v>1515</v>
      </c>
      <c r="T118" s="152" t="s">
        <v>6116</v>
      </c>
      <c r="U118" s="152" t="s">
        <v>786</v>
      </c>
    </row>
    <row r="119" spans="4:21" ht="25">
      <c r="D119" s="152" t="s">
        <v>2821</v>
      </c>
      <c r="E119" s="821" t="s">
        <v>676</v>
      </c>
      <c r="F119" s="684" t="str">
        <f>+VLOOKUP(G119,Resumen_Base!$C$8:$G$156,5,0)</f>
        <v>Electricity - Gas for Boats &amp; Vehicles</v>
      </c>
      <c r="G119" s="474" t="s">
        <v>64</v>
      </c>
      <c r="H119" s="210" t="s">
        <v>65</v>
      </c>
      <c r="I119" s="152" t="str">
        <f t="shared" si="1"/>
        <v>CAR5248</v>
      </c>
      <c r="J119" s="513">
        <v>63449.8</v>
      </c>
      <c r="K119" s="513">
        <v>45.16</v>
      </c>
      <c r="L119" s="513">
        <v>1405</v>
      </c>
      <c r="M119" s="513" t="s">
        <v>6059</v>
      </c>
      <c r="N119" s="513" t="s">
        <v>780</v>
      </c>
      <c r="O119" s="513" t="s">
        <v>1407</v>
      </c>
      <c r="P119" s="518" t="s">
        <v>6114</v>
      </c>
      <c r="Q119" s="152" t="s">
        <v>5873</v>
      </c>
      <c r="R119" s="152" t="s">
        <v>6115</v>
      </c>
      <c r="S119" s="152" t="s">
        <v>6172</v>
      </c>
      <c r="T119" s="152" t="s">
        <v>6116</v>
      </c>
      <c r="U119" s="152" t="s">
        <v>786</v>
      </c>
    </row>
    <row r="120" spans="4:21">
      <c r="D120" s="152" t="s">
        <v>2821</v>
      </c>
      <c r="E120" s="821" t="s">
        <v>676</v>
      </c>
      <c r="F120" s="684" t="str">
        <f>+VLOOKUP(G120,Resumen_Base!$C$8:$G$156,5,0)</f>
        <v>Extras</v>
      </c>
      <c r="G120" s="474" t="s">
        <v>310</v>
      </c>
      <c r="H120" s="210" t="s">
        <v>311</v>
      </c>
      <c r="I120" s="152" t="str">
        <f t="shared" si="1"/>
        <v>CAR5104</v>
      </c>
      <c r="J120" s="513">
        <v>154550</v>
      </c>
      <c r="K120" s="513">
        <v>110</v>
      </c>
      <c r="L120" s="513">
        <v>1405</v>
      </c>
      <c r="M120" s="513" t="s">
        <v>5881</v>
      </c>
      <c r="N120" s="513" t="s">
        <v>780</v>
      </c>
      <c r="O120" s="513" t="s">
        <v>1407</v>
      </c>
      <c r="P120" s="518" t="s">
        <v>5882</v>
      </c>
      <c r="Q120" s="152" t="s">
        <v>5873</v>
      </c>
      <c r="R120" s="152" t="s">
        <v>5883</v>
      </c>
      <c r="S120" s="152" t="s">
        <v>3948</v>
      </c>
      <c r="T120" s="152" t="s">
        <v>5885</v>
      </c>
      <c r="U120" s="152" t="s">
        <v>786</v>
      </c>
    </row>
    <row r="121" spans="4:21">
      <c r="D121" s="152" t="s">
        <v>2821</v>
      </c>
      <c r="E121" s="821" t="s">
        <v>676</v>
      </c>
      <c r="F121" s="684" t="str">
        <f>+VLOOKUP(G121,Resumen_Base!$C$8:$G$156,5,0)</f>
        <v>Extras</v>
      </c>
      <c r="G121" s="474" t="s">
        <v>310</v>
      </c>
      <c r="H121" s="210" t="s">
        <v>311</v>
      </c>
      <c r="I121" s="152" t="str">
        <f t="shared" si="1"/>
        <v>CAR5104</v>
      </c>
      <c r="J121" s="513">
        <v>231825</v>
      </c>
      <c r="K121" s="513">
        <v>165</v>
      </c>
      <c r="L121" s="513">
        <v>1405</v>
      </c>
      <c r="M121" s="513" t="s">
        <v>5881</v>
      </c>
      <c r="N121" s="513" t="s">
        <v>780</v>
      </c>
      <c r="O121" s="513" t="s">
        <v>1407</v>
      </c>
      <c r="P121" s="518" t="s">
        <v>5882</v>
      </c>
      <c r="Q121" s="152" t="s">
        <v>5873</v>
      </c>
      <c r="R121" s="152" t="s">
        <v>5883</v>
      </c>
      <c r="S121" s="152" t="s">
        <v>3951</v>
      </c>
      <c r="T121" s="152" t="s">
        <v>5885</v>
      </c>
      <c r="U121" s="152" t="s">
        <v>786</v>
      </c>
    </row>
    <row r="122" spans="4:21">
      <c r="D122" s="152" t="s">
        <v>2821</v>
      </c>
      <c r="E122" s="821" t="s">
        <v>676</v>
      </c>
      <c r="F122" s="684" t="str">
        <f>+VLOOKUP(G122,Resumen_Base!$C$8:$G$156,5,0)</f>
        <v>Extras</v>
      </c>
      <c r="G122" s="474" t="s">
        <v>299</v>
      </c>
      <c r="H122" s="210" t="s">
        <v>300</v>
      </c>
      <c r="I122" s="152" t="str">
        <f t="shared" si="1"/>
        <v>CAR4112</v>
      </c>
      <c r="J122" s="513">
        <v>-175625</v>
      </c>
      <c r="K122" s="513">
        <v>-125</v>
      </c>
      <c r="L122" s="513">
        <v>1405</v>
      </c>
      <c r="M122" s="513" t="s">
        <v>5881</v>
      </c>
      <c r="N122" s="513" t="s">
        <v>1566</v>
      </c>
      <c r="O122" s="513" t="s">
        <v>1407</v>
      </c>
      <c r="P122" s="518" t="s">
        <v>5894</v>
      </c>
      <c r="Q122" s="152" t="s">
        <v>5895</v>
      </c>
      <c r="R122" s="152" t="s">
        <v>5896</v>
      </c>
      <c r="S122" s="152" t="s">
        <v>5897</v>
      </c>
      <c r="T122" s="152" t="s">
        <v>5898</v>
      </c>
      <c r="U122" s="152" t="s">
        <v>786</v>
      </c>
    </row>
    <row r="123" spans="4:21">
      <c r="D123" s="152" t="s">
        <v>2821</v>
      </c>
      <c r="E123" s="821" t="s">
        <v>676</v>
      </c>
      <c r="F123" s="684" t="str">
        <f>+VLOOKUP(G123,Resumen_Base!$C$8:$G$156,5,0)</f>
        <v>Extras</v>
      </c>
      <c r="G123" s="474" t="s">
        <v>297</v>
      </c>
      <c r="H123" s="210" t="s">
        <v>298</v>
      </c>
      <c r="I123" s="152" t="str">
        <f t="shared" si="1"/>
        <v>CAR4110</v>
      </c>
      <c r="J123" s="513">
        <v>-21075</v>
      </c>
      <c r="K123" s="513">
        <v>-15</v>
      </c>
      <c r="L123" s="513">
        <v>1405</v>
      </c>
      <c r="M123" s="513" t="s">
        <v>5881</v>
      </c>
      <c r="N123" s="513" t="s">
        <v>1566</v>
      </c>
      <c r="O123" s="513" t="s">
        <v>1407</v>
      </c>
      <c r="P123" s="518" t="s">
        <v>5902</v>
      </c>
      <c r="Q123" s="152" t="s">
        <v>5895</v>
      </c>
      <c r="R123" s="152" t="s">
        <v>5903</v>
      </c>
      <c r="S123" s="152" t="s">
        <v>5897</v>
      </c>
      <c r="T123" s="152" t="s">
        <v>5904</v>
      </c>
      <c r="U123" s="152" t="s">
        <v>786</v>
      </c>
    </row>
    <row r="124" spans="4:21">
      <c r="D124" s="152" t="s">
        <v>2821</v>
      </c>
      <c r="E124" s="821" t="s">
        <v>676</v>
      </c>
      <c r="F124" s="684" t="str">
        <f>+VLOOKUP(G124,Resumen_Base!$C$8:$G$156,5,0)</f>
        <v>Extras</v>
      </c>
      <c r="G124" s="474" t="s">
        <v>297</v>
      </c>
      <c r="H124" s="210" t="s">
        <v>298</v>
      </c>
      <c r="I124" s="152" t="str">
        <f t="shared" si="1"/>
        <v>CAR4110</v>
      </c>
      <c r="J124" s="513">
        <v>-70250</v>
      </c>
      <c r="K124" s="513">
        <v>-50</v>
      </c>
      <c r="L124" s="513">
        <v>1405</v>
      </c>
      <c r="M124" s="513" t="s">
        <v>5881</v>
      </c>
      <c r="N124" s="513" t="s">
        <v>1566</v>
      </c>
      <c r="O124" s="513" t="s">
        <v>1407</v>
      </c>
      <c r="P124" s="518" t="s">
        <v>5908</v>
      </c>
      <c r="Q124" s="152" t="s">
        <v>5895</v>
      </c>
      <c r="R124" s="152" t="s">
        <v>5909</v>
      </c>
      <c r="S124" s="152" t="s">
        <v>5910</v>
      </c>
      <c r="T124" s="152" t="s">
        <v>5911</v>
      </c>
      <c r="U124" s="152" t="s">
        <v>786</v>
      </c>
    </row>
    <row r="125" spans="4:21">
      <c r="D125" s="152" t="s">
        <v>2821</v>
      </c>
      <c r="E125" s="821" t="s">
        <v>676</v>
      </c>
      <c r="F125" s="684" t="str">
        <f>+VLOOKUP(G125,Resumen_Base!$C$8:$G$156,5,0)</f>
        <v>Extras</v>
      </c>
      <c r="G125" s="474" t="s">
        <v>299</v>
      </c>
      <c r="H125" s="210" t="s">
        <v>300</v>
      </c>
      <c r="I125" s="152" t="str">
        <f t="shared" si="1"/>
        <v>CAR4112</v>
      </c>
      <c r="J125" s="513">
        <v>-175625</v>
      </c>
      <c r="K125" s="513">
        <v>-125</v>
      </c>
      <c r="L125" s="513">
        <v>1405</v>
      </c>
      <c r="M125" s="513" t="s">
        <v>5881</v>
      </c>
      <c r="N125" s="513" t="s">
        <v>1566</v>
      </c>
      <c r="O125" s="513" t="s">
        <v>1407</v>
      </c>
      <c r="P125" s="518" t="s">
        <v>5908</v>
      </c>
      <c r="Q125" s="152" t="s">
        <v>5895</v>
      </c>
      <c r="R125" s="152" t="s">
        <v>5909</v>
      </c>
      <c r="S125" s="152" t="s">
        <v>5910</v>
      </c>
      <c r="T125" s="152" t="s">
        <v>5911</v>
      </c>
      <c r="U125" s="152" t="s">
        <v>786</v>
      </c>
    </row>
    <row r="126" spans="4:21">
      <c r="D126" s="152" t="s">
        <v>2821</v>
      </c>
      <c r="E126" s="821" t="s">
        <v>676</v>
      </c>
      <c r="F126" s="684" t="str">
        <f>+VLOOKUP(G126,Resumen_Base!$C$8:$G$156,5,0)</f>
        <v>Extras</v>
      </c>
      <c r="G126" s="474" t="s">
        <v>299</v>
      </c>
      <c r="H126" s="210" t="s">
        <v>300</v>
      </c>
      <c r="I126" s="152" t="str">
        <f t="shared" si="1"/>
        <v>CAR4112</v>
      </c>
      <c r="J126" s="513">
        <v>-175625</v>
      </c>
      <c r="K126" s="513">
        <v>-125</v>
      </c>
      <c r="L126" s="513">
        <v>1405</v>
      </c>
      <c r="M126" s="513" t="s">
        <v>5881</v>
      </c>
      <c r="N126" s="513" t="s">
        <v>1566</v>
      </c>
      <c r="O126" s="513" t="s">
        <v>1407</v>
      </c>
      <c r="P126" s="518" t="s">
        <v>5912</v>
      </c>
      <c r="Q126" s="152" t="s">
        <v>5895</v>
      </c>
      <c r="R126" s="152" t="s">
        <v>5913</v>
      </c>
      <c r="S126" s="152" t="s">
        <v>5910</v>
      </c>
      <c r="T126" s="152" t="s">
        <v>5914</v>
      </c>
      <c r="U126" s="152" t="s">
        <v>786</v>
      </c>
    </row>
    <row r="127" spans="4:21">
      <c r="D127" s="152" t="s">
        <v>2821</v>
      </c>
      <c r="E127" s="821" t="s">
        <v>676</v>
      </c>
      <c r="F127" s="684" t="str">
        <f>+VLOOKUP(G127,Resumen_Base!$C$8:$G$156,5,0)</f>
        <v>Extras</v>
      </c>
      <c r="G127" s="474" t="s">
        <v>299</v>
      </c>
      <c r="H127" s="210" t="s">
        <v>300</v>
      </c>
      <c r="I127" s="152" t="str">
        <f t="shared" si="1"/>
        <v>CAR4112</v>
      </c>
      <c r="J127" s="513">
        <v>-175625</v>
      </c>
      <c r="K127" s="513">
        <v>-125</v>
      </c>
      <c r="L127" s="513">
        <v>1405</v>
      </c>
      <c r="M127" s="513" t="s">
        <v>5881</v>
      </c>
      <c r="N127" s="513" t="s">
        <v>1566</v>
      </c>
      <c r="O127" s="513" t="s">
        <v>1407</v>
      </c>
      <c r="P127" s="518" t="s">
        <v>5921</v>
      </c>
      <c r="Q127" s="152" t="s">
        <v>5895</v>
      </c>
      <c r="R127" s="152" t="s">
        <v>5922</v>
      </c>
      <c r="S127" s="152" t="s">
        <v>5923</v>
      </c>
      <c r="T127" s="152" t="s">
        <v>5924</v>
      </c>
      <c r="U127" s="152" t="s">
        <v>786</v>
      </c>
    </row>
    <row r="128" spans="4:21">
      <c r="D128" s="152" t="s">
        <v>2821</v>
      </c>
      <c r="E128" s="821" t="s">
        <v>676</v>
      </c>
      <c r="F128" s="684" t="str">
        <f>+VLOOKUP(G128,Resumen_Base!$C$8:$G$156,5,0)</f>
        <v>Extras</v>
      </c>
      <c r="G128" s="474" t="s">
        <v>299</v>
      </c>
      <c r="H128" s="210" t="s">
        <v>300</v>
      </c>
      <c r="I128" s="152" t="str">
        <f t="shared" si="1"/>
        <v>CAR4112</v>
      </c>
      <c r="J128" s="513">
        <v>-175625</v>
      </c>
      <c r="K128" s="513">
        <v>-125</v>
      </c>
      <c r="L128" s="513">
        <v>1405</v>
      </c>
      <c r="M128" s="513" t="s">
        <v>5881</v>
      </c>
      <c r="N128" s="513" t="s">
        <v>1566</v>
      </c>
      <c r="O128" s="513" t="s">
        <v>1407</v>
      </c>
      <c r="P128" s="518" t="s">
        <v>5925</v>
      </c>
      <c r="Q128" s="152" t="s">
        <v>5895</v>
      </c>
      <c r="R128" s="152" t="s">
        <v>5926</v>
      </c>
      <c r="S128" s="152" t="s">
        <v>5923</v>
      </c>
      <c r="T128" s="152" t="s">
        <v>5927</v>
      </c>
      <c r="U128" s="152" t="s">
        <v>786</v>
      </c>
    </row>
    <row r="129" spans="4:21">
      <c r="D129" s="152" t="s">
        <v>2821</v>
      </c>
      <c r="E129" s="821" t="s">
        <v>676</v>
      </c>
      <c r="F129" s="684" t="str">
        <f>+VLOOKUP(G129,Resumen_Base!$C$8:$G$156,5,0)</f>
        <v>Extras</v>
      </c>
      <c r="G129" s="474" t="s">
        <v>310</v>
      </c>
      <c r="H129" s="210" t="s">
        <v>311</v>
      </c>
      <c r="I129" s="152" t="str">
        <f t="shared" si="1"/>
        <v>CAR5104</v>
      </c>
      <c r="J129" s="513">
        <v>231825</v>
      </c>
      <c r="K129" s="513">
        <v>165</v>
      </c>
      <c r="L129" s="513">
        <v>1405</v>
      </c>
      <c r="M129" s="513" t="s">
        <v>5975</v>
      </c>
      <c r="N129" s="513" t="s">
        <v>780</v>
      </c>
      <c r="O129" s="513" t="s">
        <v>1407</v>
      </c>
      <c r="P129" s="518" t="s">
        <v>5976</v>
      </c>
      <c r="Q129" s="152" t="s">
        <v>5873</v>
      </c>
      <c r="R129" s="152" t="s">
        <v>5977</v>
      </c>
      <c r="S129" s="152" t="s">
        <v>3951</v>
      </c>
      <c r="T129" s="152" t="s">
        <v>5979</v>
      </c>
      <c r="U129" s="152" t="s">
        <v>786</v>
      </c>
    </row>
    <row r="130" spans="4:21">
      <c r="D130" s="152" t="s">
        <v>2821</v>
      </c>
      <c r="E130" s="821" t="s">
        <v>676</v>
      </c>
      <c r="F130" s="684" t="str">
        <f>+VLOOKUP(G130,Resumen_Base!$C$8:$G$156,5,0)</f>
        <v>Extras</v>
      </c>
      <c r="G130" s="474" t="s">
        <v>299</v>
      </c>
      <c r="H130" s="210" t="s">
        <v>300</v>
      </c>
      <c r="I130" s="152" t="str">
        <f t="shared" si="1"/>
        <v>CAR4112</v>
      </c>
      <c r="J130" s="513">
        <v>-175625</v>
      </c>
      <c r="K130" s="513">
        <v>-125</v>
      </c>
      <c r="L130" s="513">
        <v>1405</v>
      </c>
      <c r="M130" s="513" t="s">
        <v>5975</v>
      </c>
      <c r="N130" s="513" t="s">
        <v>1566</v>
      </c>
      <c r="O130" s="513" t="s">
        <v>1407</v>
      </c>
      <c r="P130" s="518" t="s">
        <v>5996</v>
      </c>
      <c r="Q130" s="152" t="s">
        <v>5895</v>
      </c>
      <c r="R130" s="152" t="s">
        <v>5997</v>
      </c>
      <c r="S130" s="152" t="s">
        <v>5998</v>
      </c>
      <c r="T130" s="152" t="s">
        <v>5999</v>
      </c>
      <c r="U130" s="152" t="s">
        <v>786</v>
      </c>
    </row>
    <row r="131" spans="4:21">
      <c r="D131" s="152" t="s">
        <v>2821</v>
      </c>
      <c r="E131" s="821" t="s">
        <v>676</v>
      </c>
      <c r="F131" s="684" t="str">
        <f>+VLOOKUP(G131,Resumen_Base!$C$8:$G$156,5,0)</f>
        <v>Extras</v>
      </c>
      <c r="G131" s="474" t="s">
        <v>297</v>
      </c>
      <c r="H131" s="210" t="s">
        <v>298</v>
      </c>
      <c r="I131" s="152" t="str">
        <f t="shared" si="1"/>
        <v>CAR4110</v>
      </c>
      <c r="J131" s="513">
        <v>-98350</v>
      </c>
      <c r="K131" s="513">
        <v>-70</v>
      </c>
      <c r="L131" s="513">
        <v>1405</v>
      </c>
      <c r="M131" s="513" t="s">
        <v>5975</v>
      </c>
      <c r="N131" s="513" t="s">
        <v>1566</v>
      </c>
      <c r="O131" s="513" t="s">
        <v>1407</v>
      </c>
      <c r="P131" s="518" t="s">
        <v>5996</v>
      </c>
      <c r="Q131" s="152" t="s">
        <v>5895</v>
      </c>
      <c r="R131" s="152" t="s">
        <v>5997</v>
      </c>
      <c r="S131" s="152" t="s">
        <v>5998</v>
      </c>
      <c r="T131" s="152" t="s">
        <v>5999</v>
      </c>
      <c r="U131" s="152" t="s">
        <v>786</v>
      </c>
    </row>
    <row r="132" spans="4:21">
      <c r="D132" s="152" t="s">
        <v>2821</v>
      </c>
      <c r="E132" s="821" t="s">
        <v>676</v>
      </c>
      <c r="F132" s="684" t="str">
        <f>+VLOOKUP(G132,Resumen_Base!$C$8:$G$156,5,0)</f>
        <v>Extras</v>
      </c>
      <c r="G132" s="474" t="s">
        <v>299</v>
      </c>
      <c r="H132" s="210" t="s">
        <v>300</v>
      </c>
      <c r="I132" s="152" t="str">
        <f t="shared" si="1"/>
        <v>CAR4112</v>
      </c>
      <c r="J132" s="513">
        <v>-351250</v>
      </c>
      <c r="K132" s="513">
        <v>-250</v>
      </c>
      <c r="L132" s="513">
        <v>1405</v>
      </c>
      <c r="M132" s="513" t="s">
        <v>5975</v>
      </c>
      <c r="N132" s="513" t="s">
        <v>1566</v>
      </c>
      <c r="O132" s="513" t="s">
        <v>1407</v>
      </c>
      <c r="P132" s="518" t="s">
        <v>6000</v>
      </c>
      <c r="Q132" s="152" t="s">
        <v>5895</v>
      </c>
      <c r="R132" s="152" t="s">
        <v>6001</v>
      </c>
      <c r="S132" s="152" t="s">
        <v>5998</v>
      </c>
      <c r="T132" s="152" t="s">
        <v>6002</v>
      </c>
      <c r="U132" s="152" t="s">
        <v>786</v>
      </c>
    </row>
    <row r="133" spans="4:21">
      <c r="D133" s="152" t="s">
        <v>2821</v>
      </c>
      <c r="E133" s="821" t="s">
        <v>676</v>
      </c>
      <c r="F133" s="684" t="str">
        <f>+VLOOKUP(G133,Resumen_Base!$C$8:$G$156,5,0)</f>
        <v>Extras</v>
      </c>
      <c r="G133" s="474" t="s">
        <v>297</v>
      </c>
      <c r="H133" s="210" t="s">
        <v>298</v>
      </c>
      <c r="I133" s="152" t="str">
        <f t="shared" si="1"/>
        <v>CAR4110</v>
      </c>
      <c r="J133" s="513">
        <v>-231825</v>
      </c>
      <c r="K133" s="513">
        <v>-165</v>
      </c>
      <c r="L133" s="513">
        <v>1405</v>
      </c>
      <c r="M133" s="513" t="s">
        <v>5975</v>
      </c>
      <c r="N133" s="513" t="s">
        <v>1566</v>
      </c>
      <c r="O133" s="513" t="s">
        <v>1407</v>
      </c>
      <c r="P133" s="518" t="s">
        <v>6000</v>
      </c>
      <c r="Q133" s="152" t="s">
        <v>5895</v>
      </c>
      <c r="R133" s="152" t="s">
        <v>6001</v>
      </c>
      <c r="S133" s="152" t="s">
        <v>5998</v>
      </c>
      <c r="T133" s="152" t="s">
        <v>6002</v>
      </c>
      <c r="U133" s="152" t="s">
        <v>786</v>
      </c>
    </row>
    <row r="134" spans="4:21">
      <c r="D134" s="152" t="s">
        <v>2821</v>
      </c>
      <c r="E134" s="821" t="s">
        <v>676</v>
      </c>
      <c r="F134" s="684" t="str">
        <f>+VLOOKUP(G134,Resumen_Base!$C$8:$G$156,5,0)</f>
        <v>Extras</v>
      </c>
      <c r="G134" s="474" t="s">
        <v>297</v>
      </c>
      <c r="H134" s="210" t="s">
        <v>298</v>
      </c>
      <c r="I134" s="152" t="str">
        <f t="shared" si="1"/>
        <v>CAR4110</v>
      </c>
      <c r="J134" s="513">
        <v>-91325</v>
      </c>
      <c r="K134" s="513">
        <v>-65</v>
      </c>
      <c r="L134" s="513">
        <v>1405</v>
      </c>
      <c r="M134" s="513" t="s">
        <v>5975</v>
      </c>
      <c r="N134" s="513" t="s">
        <v>1566</v>
      </c>
      <c r="O134" s="513" t="s">
        <v>1407</v>
      </c>
      <c r="P134" s="518" t="s">
        <v>6003</v>
      </c>
      <c r="Q134" s="152" t="s">
        <v>5895</v>
      </c>
      <c r="R134" s="152" t="s">
        <v>6004</v>
      </c>
      <c r="S134" s="152" t="s">
        <v>5998</v>
      </c>
      <c r="T134" s="152" t="s">
        <v>6005</v>
      </c>
      <c r="U134" s="152" t="s">
        <v>786</v>
      </c>
    </row>
    <row r="135" spans="4:21">
      <c r="D135" s="152" t="s">
        <v>2821</v>
      </c>
      <c r="E135" s="821" t="s">
        <v>676</v>
      </c>
      <c r="F135" s="684" t="str">
        <f>+VLOOKUP(G135,Resumen_Base!$C$8:$G$156,5,0)</f>
        <v>Extras</v>
      </c>
      <c r="G135" s="474" t="s">
        <v>299</v>
      </c>
      <c r="H135" s="210" t="s">
        <v>300</v>
      </c>
      <c r="I135" s="152" t="str">
        <f t="shared" si="1"/>
        <v>CAR4112</v>
      </c>
      <c r="J135" s="513">
        <v>-175625</v>
      </c>
      <c r="K135" s="513">
        <v>-125</v>
      </c>
      <c r="L135" s="513">
        <v>1405</v>
      </c>
      <c r="M135" s="513" t="s">
        <v>5975</v>
      </c>
      <c r="N135" s="513" t="s">
        <v>1566</v>
      </c>
      <c r="O135" s="513" t="s">
        <v>1407</v>
      </c>
      <c r="P135" s="518" t="s">
        <v>6006</v>
      </c>
      <c r="Q135" s="152" t="s">
        <v>5895</v>
      </c>
      <c r="R135" s="152" t="s">
        <v>6007</v>
      </c>
      <c r="S135" s="152" t="s">
        <v>6008</v>
      </c>
      <c r="T135" s="152" t="s">
        <v>6009</v>
      </c>
      <c r="U135" s="152" t="s">
        <v>786</v>
      </c>
    </row>
    <row r="136" spans="4:21">
      <c r="D136" s="152" t="s">
        <v>2821</v>
      </c>
      <c r="E136" s="821" t="s">
        <v>676</v>
      </c>
      <c r="F136" s="684" t="str">
        <f>+VLOOKUP(G136,Resumen_Base!$C$8:$G$156,5,0)</f>
        <v>Extras</v>
      </c>
      <c r="G136" s="474" t="s">
        <v>299</v>
      </c>
      <c r="H136" s="210" t="s">
        <v>300</v>
      </c>
      <c r="I136" s="152" t="str">
        <f t="shared" si="1"/>
        <v>CAR4112</v>
      </c>
      <c r="J136" s="513">
        <v>-175625</v>
      </c>
      <c r="K136" s="513">
        <v>-125</v>
      </c>
      <c r="L136" s="513">
        <v>1405</v>
      </c>
      <c r="M136" s="513" t="s">
        <v>5975</v>
      </c>
      <c r="N136" s="513" t="s">
        <v>1566</v>
      </c>
      <c r="O136" s="513" t="s">
        <v>1407</v>
      </c>
      <c r="P136" s="518" t="s">
        <v>6010</v>
      </c>
      <c r="Q136" s="152" t="s">
        <v>5895</v>
      </c>
      <c r="R136" s="152" t="s">
        <v>6011</v>
      </c>
      <c r="S136" s="152" t="s">
        <v>6008</v>
      </c>
      <c r="T136" s="152" t="s">
        <v>6012</v>
      </c>
      <c r="U136" s="152" t="s">
        <v>786</v>
      </c>
    </row>
    <row r="137" spans="4:21">
      <c r="D137" s="152" t="s">
        <v>2821</v>
      </c>
      <c r="E137" s="821" t="s">
        <v>676</v>
      </c>
      <c r="F137" s="684" t="str">
        <f>+VLOOKUP(G137,Resumen_Base!$C$8:$G$156,5,0)</f>
        <v>Extras</v>
      </c>
      <c r="G137" s="474" t="s">
        <v>310</v>
      </c>
      <c r="H137" s="210" t="s">
        <v>311</v>
      </c>
      <c r="I137" s="152" t="str">
        <f t="shared" si="1"/>
        <v>CAR5104</v>
      </c>
      <c r="J137" s="513">
        <v>77275</v>
      </c>
      <c r="K137" s="513">
        <v>55</v>
      </c>
      <c r="L137" s="513">
        <v>1405</v>
      </c>
      <c r="M137" s="513" t="s">
        <v>6059</v>
      </c>
      <c r="N137" s="513" t="s">
        <v>780</v>
      </c>
      <c r="O137" s="513" t="s">
        <v>1407</v>
      </c>
      <c r="P137" s="518" t="s">
        <v>6110</v>
      </c>
      <c r="Q137" s="152" t="s">
        <v>5873</v>
      </c>
      <c r="R137" s="152" t="s">
        <v>6111</v>
      </c>
      <c r="S137" s="152" t="s">
        <v>6184</v>
      </c>
      <c r="T137" s="152" t="s">
        <v>6113</v>
      </c>
      <c r="U137" s="152" t="s">
        <v>786</v>
      </c>
    </row>
    <row r="138" spans="4:21">
      <c r="D138" s="152" t="s">
        <v>2821</v>
      </c>
      <c r="E138" s="821" t="s">
        <v>676</v>
      </c>
      <c r="F138" s="684" t="str">
        <f>+VLOOKUP(G138,Resumen_Base!$C$8:$G$156,5,0)</f>
        <v>Extras</v>
      </c>
      <c r="G138" s="474" t="s">
        <v>310</v>
      </c>
      <c r="H138" s="210" t="s">
        <v>311</v>
      </c>
      <c r="I138" s="152" t="str">
        <f t="shared" si="1"/>
        <v>CAR5104</v>
      </c>
      <c r="J138" s="513">
        <v>154550</v>
      </c>
      <c r="K138" s="513">
        <v>110</v>
      </c>
      <c r="L138" s="513">
        <v>1405</v>
      </c>
      <c r="M138" s="513" t="s">
        <v>6059</v>
      </c>
      <c r="N138" s="513" t="s">
        <v>780</v>
      </c>
      <c r="O138" s="513" t="s">
        <v>1407</v>
      </c>
      <c r="P138" s="518" t="s">
        <v>6110</v>
      </c>
      <c r="Q138" s="152" t="s">
        <v>5873</v>
      </c>
      <c r="R138" s="152" t="s">
        <v>6111</v>
      </c>
      <c r="S138" s="152" t="s">
        <v>3948</v>
      </c>
      <c r="T138" s="152" t="s">
        <v>6113</v>
      </c>
      <c r="U138" s="152" t="s">
        <v>786</v>
      </c>
    </row>
    <row r="139" spans="4:21">
      <c r="D139" s="152" t="s">
        <v>2821</v>
      </c>
      <c r="E139" s="821" t="s">
        <v>676</v>
      </c>
      <c r="F139" s="684" t="str">
        <f>+VLOOKUP(G139,Resumen_Base!$C$8:$G$156,5,0)</f>
        <v>Extras</v>
      </c>
      <c r="G139" s="474" t="s">
        <v>310</v>
      </c>
      <c r="H139" s="210" t="s">
        <v>311</v>
      </c>
      <c r="I139" s="152" t="str">
        <f t="shared" si="1"/>
        <v>CAR5104</v>
      </c>
      <c r="J139" s="513">
        <v>231825</v>
      </c>
      <c r="K139" s="513">
        <v>165</v>
      </c>
      <c r="L139" s="513">
        <v>1405</v>
      </c>
      <c r="M139" s="513" t="s">
        <v>6059</v>
      </c>
      <c r="N139" s="513" t="s">
        <v>780</v>
      </c>
      <c r="O139" s="513" t="s">
        <v>1407</v>
      </c>
      <c r="P139" s="518" t="s">
        <v>6110</v>
      </c>
      <c r="Q139" s="152" t="s">
        <v>5873</v>
      </c>
      <c r="R139" s="152" t="s">
        <v>6111</v>
      </c>
      <c r="S139" s="152" t="s">
        <v>3951</v>
      </c>
      <c r="T139" s="152" t="s">
        <v>6113</v>
      </c>
      <c r="U139" s="152" t="s">
        <v>786</v>
      </c>
    </row>
    <row r="140" spans="4:21">
      <c r="D140" s="152" t="s">
        <v>2821</v>
      </c>
      <c r="E140" s="821" t="s">
        <v>676</v>
      </c>
      <c r="F140" s="684" t="str">
        <f>+VLOOKUP(G140,Resumen_Base!$C$8:$G$156,5,0)</f>
        <v>Extras</v>
      </c>
      <c r="G140" s="474" t="s">
        <v>297</v>
      </c>
      <c r="H140" s="210" t="s">
        <v>298</v>
      </c>
      <c r="I140" s="152" t="str">
        <f t="shared" si="1"/>
        <v>CAR4110</v>
      </c>
      <c r="J140" s="513">
        <v>-105375</v>
      </c>
      <c r="K140" s="513">
        <v>-75</v>
      </c>
      <c r="L140" s="513">
        <v>1405</v>
      </c>
      <c r="M140" s="513" t="s">
        <v>6059</v>
      </c>
      <c r="N140" s="513" t="s">
        <v>1566</v>
      </c>
      <c r="O140" s="513" t="s">
        <v>1407</v>
      </c>
      <c r="P140" s="518" t="s">
        <v>6218</v>
      </c>
      <c r="Q140" s="152" t="s">
        <v>5895</v>
      </c>
      <c r="R140" s="152" t="s">
        <v>6219</v>
      </c>
      <c r="S140" s="152" t="s">
        <v>6220</v>
      </c>
      <c r="T140" s="152" t="s">
        <v>6221</v>
      </c>
      <c r="U140" s="152" t="s">
        <v>786</v>
      </c>
    </row>
    <row r="141" spans="4:21">
      <c r="D141" s="152" t="s">
        <v>2821</v>
      </c>
      <c r="E141" s="821" t="s">
        <v>676</v>
      </c>
      <c r="F141" s="684" t="str">
        <f>+VLOOKUP(G141,Resumen_Base!$C$8:$G$156,5,0)</f>
        <v>Extras</v>
      </c>
      <c r="G141" s="474" t="s">
        <v>291</v>
      </c>
      <c r="H141" s="210" t="s">
        <v>292</v>
      </c>
      <c r="I141" s="152" t="str">
        <f t="shared" ref="I141:I204" si="2">+E141&amp;G141</f>
        <v>CAR4103</v>
      </c>
      <c r="J141" s="513">
        <v>-491750</v>
      </c>
      <c r="K141" s="513">
        <v>-350</v>
      </c>
      <c r="L141" s="513">
        <v>1405</v>
      </c>
      <c r="M141" s="513" t="s">
        <v>6059</v>
      </c>
      <c r="N141" s="513" t="s">
        <v>1566</v>
      </c>
      <c r="O141" s="513" t="s">
        <v>1407</v>
      </c>
      <c r="P141" s="518" t="s">
        <v>6218</v>
      </c>
      <c r="Q141" s="152" t="s">
        <v>5895</v>
      </c>
      <c r="R141" s="152" t="s">
        <v>6219</v>
      </c>
      <c r="S141" s="152" t="s">
        <v>6220</v>
      </c>
      <c r="T141" s="152" t="s">
        <v>6221</v>
      </c>
      <c r="U141" s="152" t="s">
        <v>786</v>
      </c>
    </row>
    <row r="142" spans="4:21">
      <c r="D142" s="152" t="s">
        <v>2821</v>
      </c>
      <c r="E142" s="821" t="s">
        <v>676</v>
      </c>
      <c r="F142" s="684" t="str">
        <f>+VLOOKUP(G142,Resumen_Base!$C$8:$G$156,5,0)</f>
        <v>Extras</v>
      </c>
      <c r="G142" s="474" t="s">
        <v>299</v>
      </c>
      <c r="H142" s="210" t="s">
        <v>300</v>
      </c>
      <c r="I142" s="152" t="str">
        <f t="shared" si="2"/>
        <v>CAR4112</v>
      </c>
      <c r="J142" s="513">
        <v>-175625</v>
      </c>
      <c r="K142" s="513">
        <v>-125</v>
      </c>
      <c r="L142" s="513">
        <v>1405</v>
      </c>
      <c r="M142" s="513" t="s">
        <v>6059</v>
      </c>
      <c r="N142" s="513" t="s">
        <v>1566</v>
      </c>
      <c r="O142" s="513" t="s">
        <v>1407</v>
      </c>
      <c r="P142" s="518" t="s">
        <v>6225</v>
      </c>
      <c r="Q142" s="152" t="s">
        <v>5895</v>
      </c>
      <c r="R142" s="152" t="s">
        <v>6226</v>
      </c>
      <c r="S142" s="152" t="s">
        <v>6227</v>
      </c>
      <c r="T142" s="152" t="s">
        <v>6228</v>
      </c>
      <c r="U142" s="152" t="s">
        <v>786</v>
      </c>
    </row>
    <row r="143" spans="4:21">
      <c r="D143" s="152" t="s">
        <v>2821</v>
      </c>
      <c r="E143" s="821" t="s">
        <v>676</v>
      </c>
      <c r="F143" s="684" t="str">
        <f>+VLOOKUP(G143,Resumen_Base!$C$8:$G$156,5,0)</f>
        <v>Extras</v>
      </c>
      <c r="G143" s="474" t="s">
        <v>299</v>
      </c>
      <c r="H143" s="210" t="s">
        <v>300</v>
      </c>
      <c r="I143" s="152" t="str">
        <f t="shared" si="2"/>
        <v>CAR4112</v>
      </c>
      <c r="J143" s="513">
        <v>-175625</v>
      </c>
      <c r="K143" s="513">
        <v>-125</v>
      </c>
      <c r="L143" s="513">
        <v>1405</v>
      </c>
      <c r="M143" s="513" t="s">
        <v>6059</v>
      </c>
      <c r="N143" s="513" t="s">
        <v>1566</v>
      </c>
      <c r="O143" s="513" t="s">
        <v>1407</v>
      </c>
      <c r="P143" s="518" t="s">
        <v>6232</v>
      </c>
      <c r="Q143" s="152" t="s">
        <v>5895</v>
      </c>
      <c r="R143" s="152" t="s">
        <v>6233</v>
      </c>
      <c r="S143" s="152" t="s">
        <v>6227</v>
      </c>
      <c r="T143" s="152" t="s">
        <v>6234</v>
      </c>
      <c r="U143" s="152" t="s">
        <v>786</v>
      </c>
    </row>
    <row r="144" spans="4:21">
      <c r="D144" s="152" t="s">
        <v>2821</v>
      </c>
      <c r="E144" s="821" t="s">
        <v>676</v>
      </c>
      <c r="F144" s="684" t="str">
        <f>+VLOOKUP(G144,Resumen_Base!$C$8:$G$156,5,0)</f>
        <v>Extras</v>
      </c>
      <c r="G144" s="474" t="s">
        <v>299</v>
      </c>
      <c r="H144" s="210" t="s">
        <v>300</v>
      </c>
      <c r="I144" s="152" t="str">
        <f t="shared" si="2"/>
        <v>CAR4112</v>
      </c>
      <c r="J144" s="513">
        <v>-175625</v>
      </c>
      <c r="K144" s="513">
        <v>-125</v>
      </c>
      <c r="L144" s="513">
        <v>1405</v>
      </c>
      <c r="M144" s="513" t="s">
        <v>6059</v>
      </c>
      <c r="N144" s="513" t="s">
        <v>1566</v>
      </c>
      <c r="O144" s="513" t="s">
        <v>1407</v>
      </c>
      <c r="P144" s="518" t="s">
        <v>6235</v>
      </c>
      <c r="Q144" s="152" t="s">
        <v>5895</v>
      </c>
      <c r="R144" s="152" t="s">
        <v>6236</v>
      </c>
      <c r="S144" s="152" t="s">
        <v>6227</v>
      </c>
      <c r="T144" s="152" t="s">
        <v>6237</v>
      </c>
      <c r="U144" s="152" t="s">
        <v>786</v>
      </c>
    </row>
    <row r="145" spans="4:21">
      <c r="D145" s="152" t="s">
        <v>2821</v>
      </c>
      <c r="E145" s="821" t="s">
        <v>676</v>
      </c>
      <c r="F145" s="684" t="str">
        <f>+VLOOKUP(G145,Resumen_Base!$C$8:$G$156,5,0)</f>
        <v>Extras</v>
      </c>
      <c r="G145" s="474" t="s">
        <v>291</v>
      </c>
      <c r="H145" s="210" t="s">
        <v>292</v>
      </c>
      <c r="I145" s="152" t="str">
        <f t="shared" si="2"/>
        <v>CAR4103</v>
      </c>
      <c r="J145" s="513">
        <v>-273975</v>
      </c>
      <c r="K145" s="513">
        <v>-195</v>
      </c>
      <c r="L145" s="513">
        <v>1405</v>
      </c>
      <c r="M145" s="513" t="s">
        <v>6059</v>
      </c>
      <c r="N145" s="513" t="s">
        <v>1566</v>
      </c>
      <c r="O145" s="513" t="s">
        <v>1407</v>
      </c>
      <c r="P145" s="518" t="s">
        <v>6238</v>
      </c>
      <c r="Q145" s="152" t="s">
        <v>5895</v>
      </c>
      <c r="R145" s="152" t="s">
        <v>6239</v>
      </c>
      <c r="S145" s="152" t="s">
        <v>6240</v>
      </c>
      <c r="T145" s="152" t="s">
        <v>6241</v>
      </c>
      <c r="U145" s="152" t="s">
        <v>786</v>
      </c>
    </row>
    <row r="146" spans="4:21">
      <c r="D146" s="152" t="s">
        <v>2821</v>
      </c>
      <c r="E146" s="821" t="s">
        <v>676</v>
      </c>
      <c r="F146" s="684" t="str">
        <f>+VLOOKUP(G146,Resumen_Base!$C$8:$G$156,5,0)</f>
        <v>Extras</v>
      </c>
      <c r="G146" s="474" t="s">
        <v>297</v>
      </c>
      <c r="H146" s="210" t="s">
        <v>298</v>
      </c>
      <c r="I146" s="152" t="str">
        <f t="shared" si="2"/>
        <v>CAR4110</v>
      </c>
      <c r="J146" s="513">
        <v>-119425</v>
      </c>
      <c r="K146" s="513">
        <v>-85</v>
      </c>
      <c r="L146" s="513">
        <v>1405</v>
      </c>
      <c r="M146" s="513" t="s">
        <v>6059</v>
      </c>
      <c r="N146" s="513" t="s">
        <v>1566</v>
      </c>
      <c r="O146" s="513" t="s">
        <v>1407</v>
      </c>
      <c r="P146" s="518" t="s">
        <v>6238</v>
      </c>
      <c r="Q146" s="152" t="s">
        <v>5895</v>
      </c>
      <c r="R146" s="152" t="s">
        <v>6239</v>
      </c>
      <c r="S146" s="152" t="s">
        <v>6240</v>
      </c>
      <c r="T146" s="152" t="s">
        <v>6241</v>
      </c>
      <c r="U146" s="152" t="s">
        <v>786</v>
      </c>
    </row>
    <row r="147" spans="4:21">
      <c r="D147" s="152" t="s">
        <v>2821</v>
      </c>
      <c r="E147" s="821" t="s">
        <v>676</v>
      </c>
      <c r="F147" s="684" t="str">
        <f>+VLOOKUP(G147,Resumen_Base!$C$8:$G$156,5,0)</f>
        <v>Extras</v>
      </c>
      <c r="G147" s="474" t="s">
        <v>297</v>
      </c>
      <c r="H147" s="210" t="s">
        <v>298</v>
      </c>
      <c r="I147" s="152" t="str">
        <f t="shared" si="2"/>
        <v>CAR4110</v>
      </c>
      <c r="J147" s="513">
        <v>-70250</v>
      </c>
      <c r="K147" s="513">
        <v>-50</v>
      </c>
      <c r="L147" s="513">
        <v>1405</v>
      </c>
      <c r="M147" s="513" t="s">
        <v>6059</v>
      </c>
      <c r="N147" s="513" t="s">
        <v>1566</v>
      </c>
      <c r="O147" s="513" t="s">
        <v>1407</v>
      </c>
      <c r="P147" s="518" t="s">
        <v>6242</v>
      </c>
      <c r="Q147" s="152" t="s">
        <v>5895</v>
      </c>
      <c r="R147" s="152" t="s">
        <v>6243</v>
      </c>
      <c r="S147" s="152" t="s">
        <v>6240</v>
      </c>
      <c r="T147" s="152" t="s">
        <v>6244</v>
      </c>
      <c r="U147" s="152" t="s">
        <v>786</v>
      </c>
    </row>
    <row r="148" spans="4:21">
      <c r="D148" s="152" t="s">
        <v>2821</v>
      </c>
      <c r="E148" s="821" t="s">
        <v>676</v>
      </c>
      <c r="F148" s="684" t="str">
        <f>+VLOOKUP(G148,Resumen_Base!$C$8:$G$156,5,0)</f>
        <v>Extras</v>
      </c>
      <c r="G148" s="474" t="s">
        <v>291</v>
      </c>
      <c r="H148" s="210" t="s">
        <v>292</v>
      </c>
      <c r="I148" s="152" t="str">
        <f t="shared" si="2"/>
        <v>CAR4103</v>
      </c>
      <c r="J148" s="513">
        <v>-273975</v>
      </c>
      <c r="K148" s="513">
        <v>-195</v>
      </c>
      <c r="L148" s="513">
        <v>1405</v>
      </c>
      <c r="M148" s="513" t="s">
        <v>6059</v>
      </c>
      <c r="N148" s="513" t="s">
        <v>1566</v>
      </c>
      <c r="O148" s="513" t="s">
        <v>1407</v>
      </c>
      <c r="P148" s="518" t="s">
        <v>6242</v>
      </c>
      <c r="Q148" s="152" t="s">
        <v>5895</v>
      </c>
      <c r="R148" s="152" t="s">
        <v>6243</v>
      </c>
      <c r="S148" s="152" t="s">
        <v>6240</v>
      </c>
      <c r="T148" s="152" t="s">
        <v>6244</v>
      </c>
      <c r="U148" s="152" t="s">
        <v>786</v>
      </c>
    </row>
    <row r="149" spans="4:21">
      <c r="D149" s="152" t="s">
        <v>2821</v>
      </c>
      <c r="E149" s="821" t="s">
        <v>676</v>
      </c>
      <c r="F149" s="684" t="str">
        <f>+VLOOKUP(G149,Resumen_Base!$C$8:$G$156,5,0)</f>
        <v>Extras</v>
      </c>
      <c r="G149" s="474" t="s">
        <v>291</v>
      </c>
      <c r="H149" s="210" t="s">
        <v>292</v>
      </c>
      <c r="I149" s="152" t="str">
        <f t="shared" si="2"/>
        <v>CAR4103</v>
      </c>
      <c r="J149" s="513">
        <v>-273975</v>
      </c>
      <c r="K149" s="513">
        <v>-195</v>
      </c>
      <c r="L149" s="513">
        <v>1405</v>
      </c>
      <c r="M149" s="513" t="s">
        <v>6059</v>
      </c>
      <c r="N149" s="513" t="s">
        <v>1566</v>
      </c>
      <c r="O149" s="513" t="s">
        <v>1407</v>
      </c>
      <c r="P149" s="518" t="s">
        <v>6245</v>
      </c>
      <c r="Q149" s="152" t="s">
        <v>5895</v>
      </c>
      <c r="R149" s="152" t="s">
        <v>6246</v>
      </c>
      <c r="S149" s="152" t="s">
        <v>6240</v>
      </c>
      <c r="T149" s="152" t="s">
        <v>6247</v>
      </c>
      <c r="U149" s="152" t="s">
        <v>786</v>
      </c>
    </row>
    <row r="150" spans="4:21">
      <c r="D150" s="152" t="s">
        <v>2821</v>
      </c>
      <c r="E150" s="821" t="s">
        <v>676</v>
      </c>
      <c r="F150" s="684" t="str">
        <f>+VLOOKUP(G150,Resumen_Base!$C$8:$G$156,5,0)</f>
        <v>Extras</v>
      </c>
      <c r="G150" s="474" t="s">
        <v>299</v>
      </c>
      <c r="H150" s="210" t="s">
        <v>300</v>
      </c>
      <c r="I150" s="152" t="str">
        <f t="shared" si="2"/>
        <v>CAR4112</v>
      </c>
      <c r="J150" s="513">
        <v>-175625</v>
      </c>
      <c r="K150" s="513">
        <v>-125</v>
      </c>
      <c r="L150" s="513">
        <v>1405</v>
      </c>
      <c r="M150" s="513" t="s">
        <v>6059</v>
      </c>
      <c r="N150" s="513" t="s">
        <v>1566</v>
      </c>
      <c r="O150" s="513" t="s">
        <v>1407</v>
      </c>
      <c r="P150" s="518" t="s">
        <v>6245</v>
      </c>
      <c r="Q150" s="152" t="s">
        <v>5895</v>
      </c>
      <c r="R150" s="152" t="s">
        <v>6246</v>
      </c>
      <c r="S150" s="152" t="s">
        <v>6240</v>
      </c>
      <c r="T150" s="152" t="s">
        <v>6247</v>
      </c>
      <c r="U150" s="152" t="s">
        <v>786</v>
      </c>
    </row>
    <row r="151" spans="4:21">
      <c r="D151" s="152" t="s">
        <v>2821</v>
      </c>
      <c r="E151" s="821" t="s">
        <v>676</v>
      </c>
      <c r="F151" s="684" t="str">
        <f>+VLOOKUP(G151,Resumen_Base!$C$8:$G$156,5,0)</f>
        <v>Extras</v>
      </c>
      <c r="G151" s="474" t="s">
        <v>291</v>
      </c>
      <c r="H151" s="210" t="s">
        <v>292</v>
      </c>
      <c r="I151" s="152" t="str">
        <f t="shared" si="2"/>
        <v>CAR4103</v>
      </c>
      <c r="J151" s="513">
        <v>-273975</v>
      </c>
      <c r="K151" s="513">
        <v>-195</v>
      </c>
      <c r="L151" s="513">
        <v>1405</v>
      </c>
      <c r="M151" s="513" t="s">
        <v>6059</v>
      </c>
      <c r="N151" s="513" t="s">
        <v>1566</v>
      </c>
      <c r="O151" s="513" t="s">
        <v>1407</v>
      </c>
      <c r="P151" s="518" t="s">
        <v>6248</v>
      </c>
      <c r="Q151" s="152" t="s">
        <v>5895</v>
      </c>
      <c r="R151" s="152" t="s">
        <v>6249</v>
      </c>
      <c r="S151" s="152" t="s">
        <v>6240</v>
      </c>
      <c r="T151" s="152" t="s">
        <v>6250</v>
      </c>
      <c r="U151" s="152" t="s">
        <v>786</v>
      </c>
    </row>
    <row r="152" spans="4:21">
      <c r="D152" s="152" t="s">
        <v>2821</v>
      </c>
      <c r="E152" s="821" t="s">
        <v>676</v>
      </c>
      <c r="F152" s="684" t="str">
        <f>+VLOOKUP(G152,Resumen_Base!$C$8:$G$156,5,0)</f>
        <v>Extras</v>
      </c>
      <c r="G152" s="474" t="s">
        <v>297</v>
      </c>
      <c r="H152" s="210" t="s">
        <v>298</v>
      </c>
      <c r="I152" s="152" t="str">
        <f t="shared" si="2"/>
        <v>CAR4110</v>
      </c>
      <c r="J152" s="513">
        <v>-91325</v>
      </c>
      <c r="K152" s="513">
        <v>-65</v>
      </c>
      <c r="L152" s="513">
        <v>1405</v>
      </c>
      <c r="M152" s="513" t="s">
        <v>6059</v>
      </c>
      <c r="N152" s="513" t="s">
        <v>1566</v>
      </c>
      <c r="O152" s="513" t="s">
        <v>1407</v>
      </c>
      <c r="P152" s="518" t="s">
        <v>6251</v>
      </c>
      <c r="Q152" s="152" t="s">
        <v>5895</v>
      </c>
      <c r="R152" s="152" t="s">
        <v>6252</v>
      </c>
      <c r="S152" s="152" t="s">
        <v>6240</v>
      </c>
      <c r="T152" s="152" t="s">
        <v>6253</v>
      </c>
      <c r="U152" s="152" t="s">
        <v>786</v>
      </c>
    </row>
    <row r="153" spans="4:21">
      <c r="D153" s="152" t="s">
        <v>2821</v>
      </c>
      <c r="E153" s="821" t="s">
        <v>676</v>
      </c>
      <c r="F153" s="684" t="str">
        <f>+VLOOKUP(G153,Resumen_Base!$C$8:$G$156,5,0)</f>
        <v>Extras</v>
      </c>
      <c r="G153" s="474" t="s">
        <v>291</v>
      </c>
      <c r="H153" s="210" t="s">
        <v>292</v>
      </c>
      <c r="I153" s="152" t="str">
        <f t="shared" si="2"/>
        <v>CAR4103</v>
      </c>
      <c r="J153" s="513">
        <v>-288025</v>
      </c>
      <c r="K153" s="513">
        <v>-205</v>
      </c>
      <c r="L153" s="513">
        <v>1405</v>
      </c>
      <c r="M153" s="513" t="s">
        <v>6059</v>
      </c>
      <c r="N153" s="513" t="s">
        <v>1566</v>
      </c>
      <c r="O153" s="513" t="s">
        <v>1407</v>
      </c>
      <c r="P153" s="518" t="s">
        <v>6257</v>
      </c>
      <c r="Q153" s="152" t="s">
        <v>5895</v>
      </c>
      <c r="R153" s="152" t="s">
        <v>6258</v>
      </c>
      <c r="S153" s="152" t="s">
        <v>6259</v>
      </c>
      <c r="T153" s="152" t="s">
        <v>6260</v>
      </c>
      <c r="U153" s="152" t="s">
        <v>786</v>
      </c>
    </row>
    <row r="154" spans="4:21">
      <c r="D154" s="152" t="s">
        <v>2821</v>
      </c>
      <c r="E154" s="821" t="s">
        <v>676</v>
      </c>
      <c r="F154" s="684" t="str">
        <f>+VLOOKUP(G154,Resumen_Base!$C$8:$G$156,5,0)</f>
        <v>Extras</v>
      </c>
      <c r="G154" s="474" t="s">
        <v>291</v>
      </c>
      <c r="H154" s="210" t="s">
        <v>292</v>
      </c>
      <c r="I154" s="152" t="str">
        <f t="shared" si="2"/>
        <v>CAR4103</v>
      </c>
      <c r="J154" s="513">
        <v>-241660</v>
      </c>
      <c r="K154" s="513">
        <v>-172</v>
      </c>
      <c r="L154" s="513">
        <v>1405</v>
      </c>
      <c r="M154" s="513" t="s">
        <v>6059</v>
      </c>
      <c r="N154" s="513" t="s">
        <v>1566</v>
      </c>
      <c r="O154" s="513" t="s">
        <v>1407</v>
      </c>
      <c r="P154" s="518" t="s">
        <v>6261</v>
      </c>
      <c r="Q154" s="152" t="s">
        <v>5895</v>
      </c>
      <c r="R154" s="152" t="s">
        <v>6262</v>
      </c>
      <c r="S154" s="152" t="s">
        <v>6259</v>
      </c>
      <c r="T154" s="152" t="s">
        <v>6263</v>
      </c>
      <c r="U154" s="152" t="s">
        <v>786</v>
      </c>
    </row>
    <row r="155" spans="4:21">
      <c r="D155" s="152" t="s">
        <v>2821</v>
      </c>
      <c r="E155" s="821" t="s">
        <v>676</v>
      </c>
      <c r="F155" s="684" t="str">
        <f>+VLOOKUP(G155,Resumen_Base!$C$8:$G$156,5,0)</f>
        <v>Extras</v>
      </c>
      <c r="G155" s="474" t="s">
        <v>291</v>
      </c>
      <c r="H155" s="210" t="s">
        <v>292</v>
      </c>
      <c r="I155" s="152" t="str">
        <f t="shared" si="2"/>
        <v>CAR4103</v>
      </c>
      <c r="J155" s="513">
        <v>-288025</v>
      </c>
      <c r="K155" s="513">
        <v>-205</v>
      </c>
      <c r="L155" s="513">
        <v>1405</v>
      </c>
      <c r="M155" s="513" t="s">
        <v>6059</v>
      </c>
      <c r="N155" s="513" t="s">
        <v>1566</v>
      </c>
      <c r="O155" s="513" t="s">
        <v>1407</v>
      </c>
      <c r="P155" s="518" t="s">
        <v>6267</v>
      </c>
      <c r="Q155" s="152" t="s">
        <v>5895</v>
      </c>
      <c r="R155" s="152" t="s">
        <v>6268</v>
      </c>
      <c r="S155" s="152" t="s">
        <v>6259</v>
      </c>
      <c r="T155" s="152" t="s">
        <v>6269</v>
      </c>
      <c r="U155" s="152" t="s">
        <v>786</v>
      </c>
    </row>
    <row r="156" spans="4:21">
      <c r="D156" s="152" t="s">
        <v>2821</v>
      </c>
      <c r="E156" s="821" t="s">
        <v>676</v>
      </c>
      <c r="F156" s="684" t="str">
        <f>+VLOOKUP(G156,Resumen_Base!$C$8:$G$156,5,0)</f>
        <v>Extras</v>
      </c>
      <c r="G156" s="474" t="s">
        <v>310</v>
      </c>
      <c r="H156" s="210" t="s">
        <v>311</v>
      </c>
      <c r="I156" s="152" t="str">
        <f t="shared" si="2"/>
        <v>CAR5104</v>
      </c>
      <c r="J156" s="513">
        <v>77275</v>
      </c>
      <c r="K156" s="513">
        <v>55</v>
      </c>
      <c r="L156" s="513">
        <v>1405</v>
      </c>
      <c r="M156" s="513" t="s">
        <v>6303</v>
      </c>
      <c r="N156" s="513" t="s">
        <v>780</v>
      </c>
      <c r="O156" s="513" t="s">
        <v>1407</v>
      </c>
      <c r="P156" s="518" t="s">
        <v>6345</v>
      </c>
      <c r="Q156" s="152" t="s">
        <v>5873</v>
      </c>
      <c r="R156" s="152" t="s">
        <v>6346</v>
      </c>
      <c r="S156" s="152" t="s">
        <v>6184</v>
      </c>
      <c r="T156" s="152" t="s">
        <v>6348</v>
      </c>
      <c r="U156" s="152" t="s">
        <v>786</v>
      </c>
    </row>
    <row r="157" spans="4:21">
      <c r="D157" s="152" t="s">
        <v>2821</v>
      </c>
      <c r="E157" s="821" t="s">
        <v>676</v>
      </c>
      <c r="F157" s="684" t="str">
        <f>+VLOOKUP(G157,Resumen_Base!$C$8:$G$156,5,0)</f>
        <v>Extras</v>
      </c>
      <c r="G157" s="474" t="s">
        <v>310</v>
      </c>
      <c r="H157" s="210" t="s">
        <v>311</v>
      </c>
      <c r="I157" s="152" t="str">
        <f t="shared" si="2"/>
        <v>CAR5104</v>
      </c>
      <c r="J157" s="513">
        <v>77275</v>
      </c>
      <c r="K157" s="513">
        <v>55</v>
      </c>
      <c r="L157" s="513">
        <v>1405</v>
      </c>
      <c r="M157" s="513" t="s">
        <v>6303</v>
      </c>
      <c r="N157" s="513" t="s">
        <v>780</v>
      </c>
      <c r="O157" s="513" t="s">
        <v>1407</v>
      </c>
      <c r="P157" s="518" t="s">
        <v>6345</v>
      </c>
      <c r="Q157" s="152" t="s">
        <v>5873</v>
      </c>
      <c r="R157" s="152" t="s">
        <v>6346</v>
      </c>
      <c r="S157" s="152" t="s">
        <v>3948</v>
      </c>
      <c r="T157" s="152" t="s">
        <v>6348</v>
      </c>
      <c r="U157" s="152" t="s">
        <v>786</v>
      </c>
    </row>
    <row r="158" spans="4:21">
      <c r="D158" s="152" t="s">
        <v>2821</v>
      </c>
      <c r="E158" s="821" t="s">
        <v>676</v>
      </c>
      <c r="F158" s="684" t="str">
        <f>+VLOOKUP(G158,Resumen_Base!$C$8:$G$156,5,0)</f>
        <v>Extras</v>
      </c>
      <c r="G158" s="474" t="s">
        <v>310</v>
      </c>
      <c r="H158" s="210" t="s">
        <v>311</v>
      </c>
      <c r="I158" s="152" t="str">
        <f t="shared" si="2"/>
        <v>CAR5104</v>
      </c>
      <c r="J158" s="513">
        <v>154550</v>
      </c>
      <c r="K158" s="513">
        <v>110</v>
      </c>
      <c r="L158" s="513">
        <v>1405</v>
      </c>
      <c r="M158" s="513" t="s">
        <v>6303</v>
      </c>
      <c r="N158" s="513" t="s">
        <v>780</v>
      </c>
      <c r="O158" s="513" t="s">
        <v>1407</v>
      </c>
      <c r="P158" s="518" t="s">
        <v>6345</v>
      </c>
      <c r="Q158" s="152" t="s">
        <v>5873</v>
      </c>
      <c r="R158" s="152" t="s">
        <v>6346</v>
      </c>
      <c r="S158" s="152" t="s">
        <v>3949</v>
      </c>
      <c r="T158" s="152" t="s">
        <v>6348</v>
      </c>
      <c r="U158" s="152" t="s">
        <v>786</v>
      </c>
    </row>
    <row r="159" spans="4:21">
      <c r="D159" s="152" t="s">
        <v>2821</v>
      </c>
      <c r="E159" s="821" t="s">
        <v>676</v>
      </c>
      <c r="F159" s="684" t="str">
        <f>+VLOOKUP(G159,Resumen_Base!$C$8:$G$156,5,0)</f>
        <v>Extras</v>
      </c>
      <c r="G159" s="474" t="s">
        <v>310</v>
      </c>
      <c r="H159" s="210" t="s">
        <v>311</v>
      </c>
      <c r="I159" s="152" t="str">
        <f t="shared" si="2"/>
        <v>CAR5104</v>
      </c>
      <c r="J159" s="513">
        <v>154550</v>
      </c>
      <c r="K159" s="513">
        <v>110</v>
      </c>
      <c r="L159" s="513">
        <v>1405</v>
      </c>
      <c r="M159" s="513" t="s">
        <v>6303</v>
      </c>
      <c r="N159" s="513" t="s">
        <v>780</v>
      </c>
      <c r="O159" s="513" t="s">
        <v>1407</v>
      </c>
      <c r="P159" s="518" t="s">
        <v>6345</v>
      </c>
      <c r="Q159" s="152" t="s">
        <v>5873</v>
      </c>
      <c r="R159" s="152" t="s">
        <v>6346</v>
      </c>
      <c r="S159" s="152" t="s">
        <v>3949</v>
      </c>
      <c r="T159" s="152" t="s">
        <v>6348</v>
      </c>
      <c r="U159" s="152" t="s">
        <v>786</v>
      </c>
    </row>
    <row r="160" spans="4:21">
      <c r="D160" s="152" t="s">
        <v>2821</v>
      </c>
      <c r="E160" s="821" t="s">
        <v>676</v>
      </c>
      <c r="F160" s="684" t="str">
        <f>+VLOOKUP(G160,Resumen_Base!$C$8:$G$156,5,0)</f>
        <v>Extras</v>
      </c>
      <c r="G160" s="474" t="s">
        <v>307</v>
      </c>
      <c r="H160" s="210" t="s">
        <v>308</v>
      </c>
      <c r="I160" s="152" t="str">
        <f t="shared" si="2"/>
        <v>CAR5103</v>
      </c>
      <c r="J160" s="513">
        <v>43695.5</v>
      </c>
      <c r="K160" s="513">
        <v>31.1</v>
      </c>
      <c r="L160" s="513">
        <v>1405</v>
      </c>
      <c r="M160" s="513" t="s">
        <v>6303</v>
      </c>
      <c r="N160" s="513" t="s">
        <v>780</v>
      </c>
      <c r="O160" s="513" t="s">
        <v>1407</v>
      </c>
      <c r="P160" s="518" t="s">
        <v>6345</v>
      </c>
      <c r="Q160" s="152" t="s">
        <v>5873</v>
      </c>
      <c r="R160" s="152" t="s">
        <v>6346</v>
      </c>
      <c r="S160" s="152" t="s">
        <v>6518</v>
      </c>
      <c r="T160" s="152" t="s">
        <v>6348</v>
      </c>
      <c r="U160" s="152" t="s">
        <v>786</v>
      </c>
    </row>
    <row r="161" spans="4:21">
      <c r="D161" s="152" t="s">
        <v>2821</v>
      </c>
      <c r="E161" s="821" t="s">
        <v>676</v>
      </c>
      <c r="F161" s="684" t="str">
        <f>+VLOOKUP(G161,Resumen_Base!$C$8:$G$156,5,0)</f>
        <v>Extras</v>
      </c>
      <c r="G161" s="474" t="s">
        <v>310</v>
      </c>
      <c r="H161" s="210" t="s">
        <v>311</v>
      </c>
      <c r="I161" s="152" t="str">
        <f t="shared" si="2"/>
        <v>CAR5104</v>
      </c>
      <c r="J161" s="513">
        <v>77275</v>
      </c>
      <c r="K161" s="513">
        <v>55</v>
      </c>
      <c r="L161" s="513">
        <v>1405</v>
      </c>
      <c r="M161" s="513" t="s">
        <v>6303</v>
      </c>
      <c r="N161" s="513" t="s">
        <v>780</v>
      </c>
      <c r="O161" s="513" t="s">
        <v>1407</v>
      </c>
      <c r="P161" s="518" t="s">
        <v>6345</v>
      </c>
      <c r="Q161" s="152" t="s">
        <v>5873</v>
      </c>
      <c r="R161" s="152" t="s">
        <v>6346</v>
      </c>
      <c r="S161" s="152" t="s">
        <v>6520</v>
      </c>
      <c r="T161" s="152" t="s">
        <v>6348</v>
      </c>
      <c r="U161" s="152" t="s">
        <v>786</v>
      </c>
    </row>
    <row r="162" spans="4:21">
      <c r="D162" s="152" t="s">
        <v>2821</v>
      </c>
      <c r="E162" s="821" t="s">
        <v>676</v>
      </c>
      <c r="F162" s="684" t="str">
        <f>+VLOOKUP(G162,Resumen_Base!$C$8:$G$156,5,0)</f>
        <v>Extras</v>
      </c>
      <c r="G162" s="474" t="s">
        <v>310</v>
      </c>
      <c r="H162" s="210" t="s">
        <v>311</v>
      </c>
      <c r="I162" s="152" t="str">
        <f t="shared" si="2"/>
        <v>CAR5104</v>
      </c>
      <c r="J162" s="513">
        <v>154550</v>
      </c>
      <c r="K162" s="513">
        <v>110</v>
      </c>
      <c r="L162" s="513">
        <v>1405</v>
      </c>
      <c r="M162" s="513" t="s">
        <v>6303</v>
      </c>
      <c r="N162" s="513" t="s">
        <v>780</v>
      </c>
      <c r="O162" s="513" t="s">
        <v>1407</v>
      </c>
      <c r="P162" s="518" t="s">
        <v>6345</v>
      </c>
      <c r="Q162" s="152" t="s">
        <v>5873</v>
      </c>
      <c r="R162" s="152" t="s">
        <v>6346</v>
      </c>
      <c r="S162" s="152" t="s">
        <v>6534</v>
      </c>
      <c r="T162" s="152" t="s">
        <v>6348</v>
      </c>
      <c r="U162" s="152" t="s">
        <v>786</v>
      </c>
    </row>
    <row r="163" spans="4:21">
      <c r="D163" s="152" t="s">
        <v>2821</v>
      </c>
      <c r="E163" s="821" t="s">
        <v>676</v>
      </c>
      <c r="F163" s="684" t="str">
        <f>+VLOOKUP(G163,Resumen_Base!$C$8:$G$156,5,0)</f>
        <v>Extras</v>
      </c>
      <c r="G163" s="474" t="s">
        <v>299</v>
      </c>
      <c r="H163" s="210" t="s">
        <v>300</v>
      </c>
      <c r="I163" s="152" t="str">
        <f t="shared" si="2"/>
        <v>CAR4112</v>
      </c>
      <c r="J163" s="513">
        <v>-175625</v>
      </c>
      <c r="K163" s="513">
        <v>-125</v>
      </c>
      <c r="L163" s="513">
        <v>1405</v>
      </c>
      <c r="M163" s="513" t="s">
        <v>6303</v>
      </c>
      <c r="N163" s="513" t="s">
        <v>1566</v>
      </c>
      <c r="O163" s="513" t="s">
        <v>1407</v>
      </c>
      <c r="P163" s="518" t="s">
        <v>6574</v>
      </c>
      <c r="Q163" s="152" t="s">
        <v>5895</v>
      </c>
      <c r="R163" s="152" t="s">
        <v>6575</v>
      </c>
      <c r="S163" s="152" t="s">
        <v>6576</v>
      </c>
      <c r="T163" s="152" t="s">
        <v>6577</v>
      </c>
      <c r="U163" s="152" t="s">
        <v>786</v>
      </c>
    </row>
    <row r="164" spans="4:21">
      <c r="D164" s="152" t="s">
        <v>2821</v>
      </c>
      <c r="E164" s="821" t="s">
        <v>676</v>
      </c>
      <c r="F164" s="684" t="str">
        <f>+VLOOKUP(G164,Resumen_Base!$C$8:$G$156,5,0)</f>
        <v>Extras</v>
      </c>
      <c r="G164" s="474" t="s">
        <v>297</v>
      </c>
      <c r="H164" s="210" t="s">
        <v>298</v>
      </c>
      <c r="I164" s="152" t="str">
        <f t="shared" si="2"/>
        <v>CAR4110</v>
      </c>
      <c r="J164" s="513">
        <v>-182650</v>
      </c>
      <c r="K164" s="513">
        <v>-130</v>
      </c>
      <c r="L164" s="513">
        <v>1405</v>
      </c>
      <c r="M164" s="513" t="s">
        <v>6303</v>
      </c>
      <c r="N164" s="513" t="s">
        <v>1566</v>
      </c>
      <c r="O164" s="513" t="s">
        <v>1407</v>
      </c>
      <c r="P164" s="518" t="s">
        <v>6587</v>
      </c>
      <c r="Q164" s="152" t="s">
        <v>5895</v>
      </c>
      <c r="R164" s="152" t="s">
        <v>6588</v>
      </c>
      <c r="S164" s="152" t="s">
        <v>6589</v>
      </c>
      <c r="T164" s="152" t="s">
        <v>6590</v>
      </c>
      <c r="U164" s="152" t="s">
        <v>786</v>
      </c>
    </row>
    <row r="165" spans="4:21">
      <c r="D165" s="152" t="s">
        <v>2821</v>
      </c>
      <c r="E165" s="821" t="s">
        <v>676</v>
      </c>
      <c r="F165" s="684" t="str">
        <f>+VLOOKUP(G165,Resumen_Base!$C$8:$G$156,5,0)</f>
        <v>Extras</v>
      </c>
      <c r="G165" s="474" t="s">
        <v>299</v>
      </c>
      <c r="H165" s="210" t="s">
        <v>300</v>
      </c>
      <c r="I165" s="152" t="str">
        <f t="shared" si="2"/>
        <v>CAR4112</v>
      </c>
      <c r="J165" s="513">
        <v>-175625</v>
      </c>
      <c r="K165" s="513">
        <v>-125</v>
      </c>
      <c r="L165" s="513">
        <v>1405</v>
      </c>
      <c r="M165" s="513" t="s">
        <v>6303</v>
      </c>
      <c r="N165" s="513" t="s">
        <v>1566</v>
      </c>
      <c r="O165" s="513" t="s">
        <v>1407</v>
      </c>
      <c r="P165" s="518" t="s">
        <v>6587</v>
      </c>
      <c r="Q165" s="152" t="s">
        <v>5895</v>
      </c>
      <c r="R165" s="152" t="s">
        <v>6588</v>
      </c>
      <c r="S165" s="152" t="s">
        <v>6589</v>
      </c>
      <c r="T165" s="152" t="s">
        <v>6590</v>
      </c>
      <c r="U165" s="152" t="s">
        <v>786</v>
      </c>
    </row>
    <row r="166" spans="4:21">
      <c r="D166" s="152" t="s">
        <v>2821</v>
      </c>
      <c r="E166" s="821" t="s">
        <v>676</v>
      </c>
      <c r="F166" s="684" t="str">
        <f>+VLOOKUP(G166,Resumen_Base!$C$8:$G$156,5,0)</f>
        <v>Extras</v>
      </c>
      <c r="G166" s="474" t="s">
        <v>299</v>
      </c>
      <c r="H166" s="210" t="s">
        <v>300</v>
      </c>
      <c r="I166" s="152" t="str">
        <f t="shared" si="2"/>
        <v>CAR4112</v>
      </c>
      <c r="J166" s="513">
        <v>-175625</v>
      </c>
      <c r="K166" s="513">
        <v>-125</v>
      </c>
      <c r="L166" s="513">
        <v>1405</v>
      </c>
      <c r="M166" s="513" t="s">
        <v>6303</v>
      </c>
      <c r="N166" s="513" t="s">
        <v>1566</v>
      </c>
      <c r="O166" s="513" t="s">
        <v>1407</v>
      </c>
      <c r="P166" s="518" t="s">
        <v>6587</v>
      </c>
      <c r="Q166" s="152" t="s">
        <v>5895</v>
      </c>
      <c r="R166" s="152" t="s">
        <v>6588</v>
      </c>
      <c r="S166" s="152" t="s">
        <v>6589</v>
      </c>
      <c r="T166" s="152" t="s">
        <v>6590</v>
      </c>
      <c r="U166" s="152" t="s">
        <v>786</v>
      </c>
    </row>
    <row r="167" spans="4:21">
      <c r="D167" s="152" t="s">
        <v>2821</v>
      </c>
      <c r="E167" s="821" t="s">
        <v>676</v>
      </c>
      <c r="F167" s="684" t="str">
        <f>+VLOOKUP(G167,Resumen_Base!$C$8:$G$156,5,0)</f>
        <v>Extras</v>
      </c>
      <c r="G167" s="474" t="s">
        <v>297</v>
      </c>
      <c r="H167" s="210" t="s">
        <v>298</v>
      </c>
      <c r="I167" s="152" t="str">
        <f t="shared" si="2"/>
        <v>CAR4110</v>
      </c>
      <c r="J167" s="513">
        <v>-70250</v>
      </c>
      <c r="K167" s="513">
        <v>-50</v>
      </c>
      <c r="L167" s="513">
        <v>1405</v>
      </c>
      <c r="M167" s="513" t="s">
        <v>6303</v>
      </c>
      <c r="N167" s="513" t="s">
        <v>1566</v>
      </c>
      <c r="O167" s="513" t="s">
        <v>1407</v>
      </c>
      <c r="P167" s="518" t="s">
        <v>6600</v>
      </c>
      <c r="Q167" s="152" t="s">
        <v>5895</v>
      </c>
      <c r="R167" s="152" t="s">
        <v>6601</v>
      </c>
      <c r="S167" s="152" t="s">
        <v>6589</v>
      </c>
      <c r="T167" s="152" t="s">
        <v>6602</v>
      </c>
      <c r="U167" s="152" t="s">
        <v>786</v>
      </c>
    </row>
    <row r="168" spans="4:21">
      <c r="D168" s="152" t="s">
        <v>2821</v>
      </c>
      <c r="E168" s="821" t="s">
        <v>676</v>
      </c>
      <c r="F168" s="684" t="str">
        <f>+VLOOKUP(G168,Resumen_Base!$C$8:$G$156,5,0)</f>
        <v>Extras</v>
      </c>
      <c r="G168" s="474" t="s">
        <v>299</v>
      </c>
      <c r="H168" s="210" t="s">
        <v>300</v>
      </c>
      <c r="I168" s="152" t="str">
        <f t="shared" si="2"/>
        <v>CAR4112</v>
      </c>
      <c r="J168" s="513">
        <v>-175625</v>
      </c>
      <c r="K168" s="513">
        <v>-125</v>
      </c>
      <c r="L168" s="513">
        <v>1405</v>
      </c>
      <c r="M168" s="513" t="s">
        <v>6303</v>
      </c>
      <c r="N168" s="513" t="s">
        <v>1566</v>
      </c>
      <c r="O168" s="513" t="s">
        <v>1407</v>
      </c>
      <c r="P168" s="518" t="s">
        <v>6610</v>
      </c>
      <c r="Q168" s="152" t="s">
        <v>5895</v>
      </c>
      <c r="R168" s="152" t="s">
        <v>6611</v>
      </c>
      <c r="S168" s="152" t="s">
        <v>6612</v>
      </c>
      <c r="T168" s="152" t="s">
        <v>6613</v>
      </c>
      <c r="U168" s="152" t="s">
        <v>786</v>
      </c>
    </row>
    <row r="169" spans="4:21">
      <c r="D169" s="152" t="s">
        <v>2821</v>
      </c>
      <c r="E169" s="821" t="s">
        <v>676</v>
      </c>
      <c r="F169" s="684" t="str">
        <f>+VLOOKUP(G169,Resumen_Base!$C$8:$G$156,5,0)</f>
        <v>Extras</v>
      </c>
      <c r="G169" s="474" t="s">
        <v>299</v>
      </c>
      <c r="H169" s="210" t="s">
        <v>300</v>
      </c>
      <c r="I169" s="152" t="str">
        <f t="shared" si="2"/>
        <v>CAR4112</v>
      </c>
      <c r="J169" s="513">
        <v>-175625</v>
      </c>
      <c r="K169" s="513">
        <v>-125</v>
      </c>
      <c r="L169" s="513">
        <v>1405</v>
      </c>
      <c r="M169" s="513" t="s">
        <v>6303</v>
      </c>
      <c r="N169" s="513" t="s">
        <v>1566</v>
      </c>
      <c r="O169" s="513" t="s">
        <v>1407</v>
      </c>
      <c r="P169" s="518" t="s">
        <v>6610</v>
      </c>
      <c r="Q169" s="152" t="s">
        <v>5895</v>
      </c>
      <c r="R169" s="152" t="s">
        <v>6611</v>
      </c>
      <c r="S169" s="152" t="s">
        <v>6612</v>
      </c>
      <c r="T169" s="152" t="s">
        <v>6613</v>
      </c>
      <c r="U169" s="152" t="s">
        <v>786</v>
      </c>
    </row>
    <row r="170" spans="4:21">
      <c r="D170" s="152" t="s">
        <v>2821</v>
      </c>
      <c r="E170" s="821" t="s">
        <v>676</v>
      </c>
      <c r="F170" s="684" t="str">
        <f>+VLOOKUP(G170,Resumen_Base!$C$8:$G$156,5,0)</f>
        <v>Extras</v>
      </c>
      <c r="G170" s="474" t="s">
        <v>299</v>
      </c>
      <c r="H170" s="210" t="s">
        <v>300</v>
      </c>
      <c r="I170" s="152" t="str">
        <f t="shared" si="2"/>
        <v>CAR4112</v>
      </c>
      <c r="J170" s="513">
        <v>-175625</v>
      </c>
      <c r="K170" s="513">
        <v>-125</v>
      </c>
      <c r="L170" s="513">
        <v>1405</v>
      </c>
      <c r="M170" s="513" t="s">
        <v>6303</v>
      </c>
      <c r="N170" s="513" t="s">
        <v>1566</v>
      </c>
      <c r="O170" s="513" t="s">
        <v>1407</v>
      </c>
      <c r="P170" s="518" t="s">
        <v>6610</v>
      </c>
      <c r="Q170" s="152" t="s">
        <v>5895</v>
      </c>
      <c r="R170" s="152" t="s">
        <v>6611</v>
      </c>
      <c r="S170" s="152" t="s">
        <v>6612</v>
      </c>
      <c r="T170" s="152" t="s">
        <v>6613</v>
      </c>
      <c r="U170" s="152" t="s">
        <v>786</v>
      </c>
    </row>
    <row r="171" spans="4:21">
      <c r="D171" s="152" t="s">
        <v>2821</v>
      </c>
      <c r="E171" s="821" t="s">
        <v>676</v>
      </c>
      <c r="F171" s="684" t="str">
        <f>+VLOOKUP(G171,Resumen_Base!$C$8:$G$156,5,0)</f>
        <v>Extras</v>
      </c>
      <c r="G171" s="474" t="s">
        <v>299</v>
      </c>
      <c r="H171" s="210" t="s">
        <v>300</v>
      </c>
      <c r="I171" s="152" t="str">
        <f t="shared" si="2"/>
        <v>CAR4112</v>
      </c>
      <c r="J171" s="513">
        <v>-175625</v>
      </c>
      <c r="K171" s="513">
        <v>-125</v>
      </c>
      <c r="L171" s="513">
        <v>1405</v>
      </c>
      <c r="M171" s="513" t="s">
        <v>6303</v>
      </c>
      <c r="N171" s="513" t="s">
        <v>1566</v>
      </c>
      <c r="O171" s="513" t="s">
        <v>1407</v>
      </c>
      <c r="P171" s="518" t="s">
        <v>6614</v>
      </c>
      <c r="Q171" s="152" t="s">
        <v>5895</v>
      </c>
      <c r="R171" s="152" t="s">
        <v>6615</v>
      </c>
      <c r="S171" s="152" t="s">
        <v>6612</v>
      </c>
      <c r="T171" s="152" t="s">
        <v>6616</v>
      </c>
      <c r="U171" s="152" t="s">
        <v>786</v>
      </c>
    </row>
    <row r="172" spans="4:21">
      <c r="D172" s="152" t="s">
        <v>2821</v>
      </c>
      <c r="E172" s="821" t="s">
        <v>676</v>
      </c>
      <c r="F172" s="684" t="str">
        <f>+VLOOKUP(G172,Resumen_Base!$C$8:$G$156,5,0)</f>
        <v>Extras</v>
      </c>
      <c r="G172" s="474" t="s">
        <v>299</v>
      </c>
      <c r="H172" s="210" t="s">
        <v>300</v>
      </c>
      <c r="I172" s="152" t="str">
        <f t="shared" si="2"/>
        <v>CAR4112</v>
      </c>
      <c r="J172" s="513">
        <v>-175625</v>
      </c>
      <c r="K172" s="513">
        <v>-125</v>
      </c>
      <c r="L172" s="513">
        <v>1405</v>
      </c>
      <c r="M172" s="513" t="s">
        <v>6303</v>
      </c>
      <c r="N172" s="513" t="s">
        <v>1566</v>
      </c>
      <c r="O172" s="513" t="s">
        <v>1407</v>
      </c>
      <c r="P172" s="518" t="s">
        <v>6629</v>
      </c>
      <c r="Q172" s="152" t="s">
        <v>5895</v>
      </c>
      <c r="R172" s="152" t="s">
        <v>6630</v>
      </c>
      <c r="S172" s="152" t="s">
        <v>6612</v>
      </c>
      <c r="T172" s="152" t="s">
        <v>6631</v>
      </c>
      <c r="U172" s="152" t="s">
        <v>786</v>
      </c>
    </row>
    <row r="173" spans="4:21">
      <c r="D173" s="152" t="s">
        <v>2821</v>
      </c>
      <c r="E173" s="821" t="s">
        <v>676</v>
      </c>
      <c r="F173" s="684" t="str">
        <f>+VLOOKUP(G173,Resumen_Base!$C$8:$G$156,5,0)</f>
        <v>Extras</v>
      </c>
      <c r="G173" s="474" t="s">
        <v>299</v>
      </c>
      <c r="H173" s="210" t="s">
        <v>300</v>
      </c>
      <c r="I173" s="152" t="str">
        <f t="shared" si="2"/>
        <v>CAR4112</v>
      </c>
      <c r="J173" s="513">
        <v>-175625</v>
      </c>
      <c r="K173" s="513">
        <v>-125</v>
      </c>
      <c r="L173" s="513">
        <v>1405</v>
      </c>
      <c r="M173" s="513" t="s">
        <v>6303</v>
      </c>
      <c r="N173" s="513" t="s">
        <v>1566</v>
      </c>
      <c r="O173" s="513" t="s">
        <v>1407</v>
      </c>
      <c r="P173" s="518" t="s">
        <v>6634</v>
      </c>
      <c r="Q173" s="152" t="s">
        <v>5895</v>
      </c>
      <c r="R173" s="152" t="s">
        <v>6635</v>
      </c>
      <c r="S173" s="152" t="s">
        <v>6612</v>
      </c>
      <c r="T173" s="152" t="s">
        <v>6636</v>
      </c>
      <c r="U173" s="152" t="s">
        <v>786</v>
      </c>
    </row>
    <row r="174" spans="4:21" ht="50">
      <c r="D174" s="152" t="s">
        <v>2821</v>
      </c>
      <c r="E174" s="821" t="s">
        <v>676</v>
      </c>
      <c r="F174" s="684" t="str">
        <f>+VLOOKUP(G174,Resumen_Base!$C$8:$G$156,5,0)</f>
        <v>Fixed Asset's Payments (Investments) Mejoras/equipamiento Lodge</v>
      </c>
      <c r="G174" s="474" t="s">
        <v>50</v>
      </c>
      <c r="H174" s="210" t="s">
        <v>51</v>
      </c>
      <c r="I174" s="152" t="str">
        <f t="shared" si="2"/>
        <v>CAR12020103</v>
      </c>
      <c r="J174" s="513">
        <v>1405000</v>
      </c>
      <c r="K174" s="513">
        <v>1000</v>
      </c>
      <c r="L174" s="513">
        <v>1405</v>
      </c>
      <c r="M174" s="513" t="s">
        <v>5881</v>
      </c>
      <c r="N174" s="513" t="s">
        <v>780</v>
      </c>
      <c r="O174" s="513" t="s">
        <v>1407</v>
      </c>
      <c r="P174" s="518" t="s">
        <v>5882</v>
      </c>
      <c r="Q174" s="152" t="s">
        <v>5873</v>
      </c>
      <c r="R174" s="152" t="s">
        <v>5883</v>
      </c>
      <c r="S174" s="152" t="s">
        <v>5891</v>
      </c>
      <c r="T174" s="152" t="s">
        <v>5885</v>
      </c>
      <c r="U174" s="152" t="s">
        <v>786</v>
      </c>
    </row>
    <row r="175" spans="4:21" ht="50">
      <c r="D175" s="152" t="s">
        <v>2821</v>
      </c>
      <c r="E175" s="821" t="s">
        <v>676</v>
      </c>
      <c r="F175" s="684" t="str">
        <f>+VLOOKUP(G175,Resumen_Base!$C$8:$G$156,5,0)</f>
        <v>Fixed Asset's Payments (Investments) Mejoras/equipamiento Lodge</v>
      </c>
      <c r="G175" s="474" t="s">
        <v>50</v>
      </c>
      <c r="H175" s="210" t="s">
        <v>51</v>
      </c>
      <c r="I175" s="152" t="str">
        <f t="shared" si="2"/>
        <v>CAR12020103</v>
      </c>
      <c r="J175" s="513">
        <v>1109950</v>
      </c>
      <c r="K175" s="513">
        <v>790</v>
      </c>
      <c r="L175" s="513">
        <v>1405</v>
      </c>
      <c r="M175" s="513" t="s">
        <v>5975</v>
      </c>
      <c r="N175" s="513" t="s">
        <v>780</v>
      </c>
      <c r="O175" s="513" t="s">
        <v>1407</v>
      </c>
      <c r="P175" s="518" t="s">
        <v>5976</v>
      </c>
      <c r="Q175" s="152" t="s">
        <v>5873</v>
      </c>
      <c r="R175" s="152" t="s">
        <v>5977</v>
      </c>
      <c r="S175" s="152" t="s">
        <v>3837</v>
      </c>
      <c r="T175" s="152" t="s">
        <v>5979</v>
      </c>
      <c r="U175" s="152" t="s">
        <v>786</v>
      </c>
    </row>
    <row r="176" spans="4:21" ht="50">
      <c r="D176" s="152" t="s">
        <v>2821</v>
      </c>
      <c r="E176" s="821" t="s">
        <v>676</v>
      </c>
      <c r="F176" s="684" t="str">
        <f>+VLOOKUP(G176,Resumen_Base!$C$8:$G$156,5,0)</f>
        <v>Fixed Asset's Payments (Investments) Mejoras/equipamiento Lodge</v>
      </c>
      <c r="G176" s="474" t="s">
        <v>50</v>
      </c>
      <c r="H176" s="210" t="s">
        <v>51</v>
      </c>
      <c r="I176" s="152" t="str">
        <f t="shared" si="2"/>
        <v>CAR12020103</v>
      </c>
      <c r="J176" s="513">
        <v>1405000</v>
      </c>
      <c r="K176" s="513">
        <v>1000</v>
      </c>
      <c r="L176" s="513">
        <v>1405</v>
      </c>
      <c r="M176" s="513" t="s">
        <v>5975</v>
      </c>
      <c r="N176" s="513" t="s">
        <v>780</v>
      </c>
      <c r="O176" s="513" t="s">
        <v>1407</v>
      </c>
      <c r="P176" s="518" t="s">
        <v>5976</v>
      </c>
      <c r="Q176" s="152" t="s">
        <v>5873</v>
      </c>
      <c r="R176" s="152" t="s">
        <v>5977</v>
      </c>
      <c r="S176" s="152" t="s">
        <v>5987</v>
      </c>
      <c r="T176" s="152" t="s">
        <v>5979</v>
      </c>
      <c r="U176" s="152" t="s">
        <v>786</v>
      </c>
    </row>
    <row r="177" spans="4:21" ht="50">
      <c r="D177" s="152" t="s">
        <v>2821</v>
      </c>
      <c r="E177" s="821" t="s">
        <v>676</v>
      </c>
      <c r="F177" s="684" t="str">
        <f>+VLOOKUP(G177,Resumen_Base!$C$8:$G$156,5,0)</f>
        <v>Fixed Asset's Payments (Investments) Mejoras/equipamiento Lodge</v>
      </c>
      <c r="G177" s="474" t="s">
        <v>6</v>
      </c>
      <c r="H177" s="210" t="s">
        <v>5</v>
      </c>
      <c r="I177" s="152" t="str">
        <f t="shared" si="2"/>
        <v>CAR12020301</v>
      </c>
      <c r="J177" s="513">
        <v>280800</v>
      </c>
      <c r="K177" s="513">
        <v>199.85765124555201</v>
      </c>
      <c r="L177" s="513">
        <v>1405</v>
      </c>
      <c r="M177" s="513" t="s">
        <v>6023</v>
      </c>
      <c r="N177" s="513" t="s">
        <v>780</v>
      </c>
      <c r="O177" s="513" t="s">
        <v>1407</v>
      </c>
      <c r="P177" s="518" t="s">
        <v>6035</v>
      </c>
      <c r="Q177" s="152" t="s">
        <v>5873</v>
      </c>
      <c r="R177" s="152" t="s">
        <v>6036</v>
      </c>
      <c r="S177" s="152" t="s">
        <v>6045</v>
      </c>
      <c r="T177" s="152" t="s">
        <v>6038</v>
      </c>
      <c r="U177" s="152" t="s">
        <v>786</v>
      </c>
    </row>
    <row r="178" spans="4:21" ht="50">
      <c r="D178" s="152" t="s">
        <v>2821</v>
      </c>
      <c r="E178" s="821" t="s">
        <v>676</v>
      </c>
      <c r="F178" s="684" t="str">
        <f>+VLOOKUP(G178,Resumen_Base!$C$8:$G$156,5,0)</f>
        <v>Fixed Asset's Payments (Investments) Mejoras/equipamiento Lodge</v>
      </c>
      <c r="G178" s="474" t="s">
        <v>50</v>
      </c>
      <c r="H178" s="210" t="s">
        <v>51</v>
      </c>
      <c r="I178" s="152" t="str">
        <f t="shared" si="2"/>
        <v>CAR12020103</v>
      </c>
      <c r="J178" s="513">
        <v>179840</v>
      </c>
      <c r="K178" s="513">
        <v>128</v>
      </c>
      <c r="L178" s="513">
        <v>1405</v>
      </c>
      <c r="M178" s="513" t="s">
        <v>6023</v>
      </c>
      <c r="N178" s="513" t="s">
        <v>780</v>
      </c>
      <c r="O178" s="513" t="s">
        <v>1407</v>
      </c>
      <c r="P178" s="518" t="s">
        <v>6024</v>
      </c>
      <c r="Q178" s="152" t="s">
        <v>5873</v>
      </c>
      <c r="R178" s="152" t="s">
        <v>6025</v>
      </c>
      <c r="S178" s="152" t="s">
        <v>6046</v>
      </c>
      <c r="T178" s="152" t="s">
        <v>6027</v>
      </c>
      <c r="U178" s="152" t="s">
        <v>786</v>
      </c>
    </row>
    <row r="179" spans="4:21" ht="50">
      <c r="D179" s="152" t="s">
        <v>2821</v>
      </c>
      <c r="E179" s="821" t="s">
        <v>676</v>
      </c>
      <c r="F179" s="684" t="str">
        <f>+VLOOKUP(G179,Resumen_Base!$C$8:$G$156,5,0)</f>
        <v>Fixed Asset's Payments (Investments) Mejoras/equipamiento Lodge</v>
      </c>
      <c r="G179" s="474" t="s">
        <v>50</v>
      </c>
      <c r="H179" s="210" t="s">
        <v>51</v>
      </c>
      <c r="I179" s="152" t="str">
        <f t="shared" si="2"/>
        <v>CAR12020103</v>
      </c>
      <c r="J179" s="513">
        <v>179840</v>
      </c>
      <c r="K179" s="513">
        <v>128</v>
      </c>
      <c r="L179" s="513">
        <v>1405</v>
      </c>
      <c r="M179" s="513" t="s">
        <v>6023</v>
      </c>
      <c r="N179" s="513" t="s">
        <v>780</v>
      </c>
      <c r="O179" s="513" t="s">
        <v>1407</v>
      </c>
      <c r="P179" s="518" t="s">
        <v>6024</v>
      </c>
      <c r="Q179" s="152" t="s">
        <v>5873</v>
      </c>
      <c r="R179" s="152" t="s">
        <v>6025</v>
      </c>
      <c r="S179" s="152" t="s">
        <v>6047</v>
      </c>
      <c r="T179" s="152" t="s">
        <v>6027</v>
      </c>
      <c r="U179" s="152" t="s">
        <v>786</v>
      </c>
    </row>
    <row r="180" spans="4:21" ht="50">
      <c r="D180" s="152" t="s">
        <v>2821</v>
      </c>
      <c r="E180" s="821" t="s">
        <v>676</v>
      </c>
      <c r="F180" s="684" t="str">
        <f>+VLOOKUP(G180,Resumen_Base!$C$8:$G$156,5,0)</f>
        <v>Fixed Asset's Payments (Investments) Mejoras/equipamiento Lodge</v>
      </c>
      <c r="G180" s="474" t="s">
        <v>50</v>
      </c>
      <c r="H180" s="210" t="s">
        <v>51</v>
      </c>
      <c r="I180" s="152" t="str">
        <f t="shared" si="2"/>
        <v>CAR12020103</v>
      </c>
      <c r="J180" s="513">
        <v>2357590</v>
      </c>
      <c r="K180" s="513">
        <v>1678</v>
      </c>
      <c r="L180" s="513">
        <v>1405</v>
      </c>
      <c r="M180" s="513" t="s">
        <v>6059</v>
      </c>
      <c r="N180" s="513" t="s">
        <v>780</v>
      </c>
      <c r="O180" s="513" t="s">
        <v>1407</v>
      </c>
      <c r="P180" s="518" t="s">
        <v>6110</v>
      </c>
      <c r="Q180" s="152" t="s">
        <v>5873</v>
      </c>
      <c r="R180" s="152" t="s">
        <v>6111</v>
      </c>
      <c r="S180" s="152" t="s">
        <v>6158</v>
      </c>
      <c r="T180" s="152" t="s">
        <v>6113</v>
      </c>
      <c r="U180" s="152" t="s">
        <v>786</v>
      </c>
    </row>
    <row r="181" spans="4:21" ht="50">
      <c r="D181" s="152" t="s">
        <v>2821</v>
      </c>
      <c r="E181" s="821" t="s">
        <v>676</v>
      </c>
      <c r="F181" s="684" t="str">
        <f>+VLOOKUP(G181,Resumen_Base!$C$8:$G$156,5,0)</f>
        <v>Fixed Asset's Payments (Investments) Mejoras/equipamiento Lodge</v>
      </c>
      <c r="G181" s="474" t="s">
        <v>50</v>
      </c>
      <c r="H181" s="210" t="s">
        <v>51</v>
      </c>
      <c r="I181" s="152" t="str">
        <f t="shared" si="2"/>
        <v>CAR12020103</v>
      </c>
      <c r="J181" s="513">
        <v>1686000</v>
      </c>
      <c r="K181" s="513">
        <v>1200</v>
      </c>
      <c r="L181" s="513">
        <v>1405</v>
      </c>
      <c r="M181" s="513" t="s">
        <v>6059</v>
      </c>
      <c r="N181" s="513" t="s">
        <v>780</v>
      </c>
      <c r="O181" s="513" t="s">
        <v>1407</v>
      </c>
      <c r="P181" s="518" t="s">
        <v>6110</v>
      </c>
      <c r="Q181" s="152" t="s">
        <v>5873</v>
      </c>
      <c r="R181" s="152" t="s">
        <v>6111</v>
      </c>
      <c r="S181" s="152" t="s">
        <v>6186</v>
      </c>
      <c r="T181" s="152" t="s">
        <v>6113</v>
      </c>
      <c r="U181" s="152" t="s">
        <v>786</v>
      </c>
    </row>
    <row r="182" spans="4:21" ht="50">
      <c r="D182" s="152" t="s">
        <v>2821</v>
      </c>
      <c r="E182" s="821" t="s">
        <v>676</v>
      </c>
      <c r="F182" s="684" t="str">
        <f>+VLOOKUP(G182,Resumen_Base!$C$8:$G$156,5,0)</f>
        <v>Fixed Asset's Payments (Investments) Mejoras/equipamiento Lodge</v>
      </c>
      <c r="G182" s="474" t="s">
        <v>6</v>
      </c>
      <c r="H182" s="210" t="s">
        <v>5</v>
      </c>
      <c r="I182" s="152" t="str">
        <f t="shared" si="2"/>
        <v>CAR12020301</v>
      </c>
      <c r="J182" s="513">
        <v>5600</v>
      </c>
      <c r="K182" s="513">
        <v>3.9857651245551602</v>
      </c>
      <c r="L182" s="513">
        <v>1405</v>
      </c>
      <c r="M182" s="513" t="s">
        <v>6270</v>
      </c>
      <c r="N182" s="513" t="s">
        <v>780</v>
      </c>
      <c r="O182" s="513" t="s">
        <v>1407</v>
      </c>
      <c r="P182" s="518" t="s">
        <v>6285</v>
      </c>
      <c r="Q182" s="152" t="s">
        <v>5873</v>
      </c>
      <c r="R182" s="152" t="s">
        <v>6286</v>
      </c>
      <c r="S182" s="152" t="s">
        <v>6292</v>
      </c>
      <c r="T182" s="152" t="s">
        <v>6288</v>
      </c>
      <c r="U182" s="152" t="s">
        <v>786</v>
      </c>
    </row>
    <row r="183" spans="4:21" ht="50">
      <c r="D183" s="152" t="s">
        <v>2821</v>
      </c>
      <c r="E183" s="821" t="s">
        <v>676</v>
      </c>
      <c r="F183" s="684" t="str">
        <f>+VLOOKUP(G183,Resumen_Base!$C$8:$G$156,5,0)</f>
        <v>Fixed Asset's Payments (Investments) Mejoras/equipamiento Lodge</v>
      </c>
      <c r="G183" s="474" t="s">
        <v>50</v>
      </c>
      <c r="H183" s="210" t="s">
        <v>51</v>
      </c>
      <c r="I183" s="152" t="str">
        <f t="shared" si="2"/>
        <v>CAR12020103</v>
      </c>
      <c r="J183" s="513">
        <v>111051.2</v>
      </c>
      <c r="K183" s="513">
        <v>79.040000000000006</v>
      </c>
      <c r="L183" s="513">
        <v>1405</v>
      </c>
      <c r="M183" s="513" t="s">
        <v>6303</v>
      </c>
      <c r="N183" s="513" t="s">
        <v>780</v>
      </c>
      <c r="O183" s="513" t="s">
        <v>1407</v>
      </c>
      <c r="P183" s="518" t="s">
        <v>6345</v>
      </c>
      <c r="Q183" s="152" t="s">
        <v>5873</v>
      </c>
      <c r="R183" s="152" t="s">
        <v>6346</v>
      </c>
      <c r="S183" s="152" t="s">
        <v>6504</v>
      </c>
      <c r="T183" s="152" t="s">
        <v>6348</v>
      </c>
      <c r="U183" s="152" t="s">
        <v>786</v>
      </c>
    </row>
    <row r="184" spans="4:21" ht="50">
      <c r="D184" s="152" t="s">
        <v>2821</v>
      </c>
      <c r="E184" s="821" t="s">
        <v>676</v>
      </c>
      <c r="F184" s="684" t="str">
        <f>+VLOOKUP(G184,Resumen_Base!$C$8:$G$156,5,0)</f>
        <v>Fixed Asset's Payments (Investments) Mejoras/equipamiento Lodge</v>
      </c>
      <c r="G184" s="474" t="s">
        <v>50</v>
      </c>
      <c r="H184" s="210" t="s">
        <v>51</v>
      </c>
      <c r="I184" s="152" t="str">
        <f t="shared" si="2"/>
        <v>CAR12020103</v>
      </c>
      <c r="J184" s="513">
        <v>397615</v>
      </c>
      <c r="K184" s="513">
        <v>283</v>
      </c>
      <c r="L184" s="513">
        <v>1405</v>
      </c>
      <c r="M184" s="513" t="s">
        <v>6303</v>
      </c>
      <c r="N184" s="513" t="s">
        <v>780</v>
      </c>
      <c r="O184" s="513" t="s">
        <v>1407</v>
      </c>
      <c r="P184" s="518" t="s">
        <v>6345</v>
      </c>
      <c r="Q184" s="152" t="s">
        <v>5873</v>
      </c>
      <c r="R184" s="152" t="s">
        <v>6346</v>
      </c>
      <c r="S184" s="152" t="s">
        <v>3837</v>
      </c>
      <c r="T184" s="152" t="s">
        <v>6348</v>
      </c>
      <c r="U184" s="152" t="s">
        <v>786</v>
      </c>
    </row>
    <row r="185" spans="4:21" ht="50">
      <c r="D185" s="152" t="s">
        <v>2821</v>
      </c>
      <c r="E185" s="821" t="s">
        <v>676</v>
      </c>
      <c r="F185" s="684" t="str">
        <f>+VLOOKUP(G185,Resumen_Base!$C$8:$G$156,5,0)</f>
        <v>Fixed Asset's Payments (Investments) Mejoras/equipamiento Lodge</v>
      </c>
      <c r="G185" s="474" t="s">
        <v>50</v>
      </c>
      <c r="H185" s="210" t="s">
        <v>51</v>
      </c>
      <c r="I185" s="152" t="str">
        <f t="shared" si="2"/>
        <v>CAR12020103</v>
      </c>
      <c r="J185" s="513">
        <v>295050</v>
      </c>
      <c r="K185" s="513">
        <v>210</v>
      </c>
      <c r="L185" s="513">
        <v>1405</v>
      </c>
      <c r="M185" s="513" t="s">
        <v>6303</v>
      </c>
      <c r="N185" s="513" t="s">
        <v>780</v>
      </c>
      <c r="O185" s="513" t="s">
        <v>1407</v>
      </c>
      <c r="P185" s="518" t="s">
        <v>6345</v>
      </c>
      <c r="Q185" s="152" t="s">
        <v>5873</v>
      </c>
      <c r="R185" s="152" t="s">
        <v>6346</v>
      </c>
      <c r="S185" s="152" t="s">
        <v>6507</v>
      </c>
      <c r="T185" s="152" t="s">
        <v>6348</v>
      </c>
      <c r="U185" s="152" t="s">
        <v>786</v>
      </c>
    </row>
    <row r="186" spans="4:21" ht="50">
      <c r="D186" s="152" t="s">
        <v>2821</v>
      </c>
      <c r="E186" s="821" t="s">
        <v>676</v>
      </c>
      <c r="F186" s="684" t="str">
        <f>+VLOOKUP(G186,Resumen_Base!$C$8:$G$156,5,0)</f>
        <v>Fixed Asset's Payments (Investments) Mejoras/equipamiento Lodge</v>
      </c>
      <c r="G186" s="474" t="s">
        <v>50</v>
      </c>
      <c r="H186" s="210" t="s">
        <v>51</v>
      </c>
      <c r="I186" s="152" t="str">
        <f t="shared" si="2"/>
        <v>CAR12020103</v>
      </c>
      <c r="J186" s="513">
        <v>2558505</v>
      </c>
      <c r="K186" s="513">
        <v>1821</v>
      </c>
      <c r="L186" s="513">
        <v>1405</v>
      </c>
      <c r="M186" s="513" t="s">
        <v>6303</v>
      </c>
      <c r="N186" s="513" t="s">
        <v>780</v>
      </c>
      <c r="O186" s="513" t="s">
        <v>1407</v>
      </c>
      <c r="P186" s="518" t="s">
        <v>6345</v>
      </c>
      <c r="Q186" s="152" t="s">
        <v>5873</v>
      </c>
      <c r="R186" s="152" t="s">
        <v>6346</v>
      </c>
      <c r="S186" s="152" t="s">
        <v>6519</v>
      </c>
      <c r="T186" s="152" t="s">
        <v>6348</v>
      </c>
      <c r="U186" s="152" t="s">
        <v>786</v>
      </c>
    </row>
    <row r="187" spans="4:21">
      <c r="D187" s="152" t="s">
        <v>2821</v>
      </c>
      <c r="E187" s="821" t="s">
        <v>676</v>
      </c>
      <c r="F187" s="684" t="str">
        <f>+VLOOKUP(G187,Resumen_Base!$C$8:$G$156,5,0)</f>
        <v>Food &amp; Wine</v>
      </c>
      <c r="G187" s="474" t="s">
        <v>1718</v>
      </c>
      <c r="H187" s="210" t="s">
        <v>1719</v>
      </c>
      <c r="I187" s="152" t="str">
        <f t="shared" si="2"/>
        <v>CAR5257</v>
      </c>
      <c r="J187" s="513">
        <v>494110.4</v>
      </c>
      <c r="K187" s="513">
        <v>351.68</v>
      </c>
      <c r="L187" s="513">
        <v>1405</v>
      </c>
      <c r="M187" s="513" t="s">
        <v>5881</v>
      </c>
      <c r="N187" s="513" t="s">
        <v>780</v>
      </c>
      <c r="O187" s="513" t="s">
        <v>1407</v>
      </c>
      <c r="P187" s="518" t="s">
        <v>5882</v>
      </c>
      <c r="Q187" s="152" t="s">
        <v>5873</v>
      </c>
      <c r="R187" s="152" t="s">
        <v>5883</v>
      </c>
      <c r="S187" s="152" t="s">
        <v>5886</v>
      </c>
      <c r="T187" s="152" t="s">
        <v>5885</v>
      </c>
      <c r="U187" s="152" t="s">
        <v>786</v>
      </c>
    </row>
    <row r="188" spans="4:21">
      <c r="D188" s="152" t="s">
        <v>2821</v>
      </c>
      <c r="E188" s="821" t="s">
        <v>676</v>
      </c>
      <c r="F188" s="684" t="str">
        <f>+VLOOKUP(G188,Resumen_Base!$C$8:$G$156,5,0)</f>
        <v>Food &amp; Wine</v>
      </c>
      <c r="G188" s="474" t="s">
        <v>37</v>
      </c>
      <c r="H188" s="210" t="s">
        <v>36</v>
      </c>
      <c r="I188" s="152" t="str">
        <f t="shared" si="2"/>
        <v>CAR5250</v>
      </c>
      <c r="J188" s="513">
        <v>70109.5</v>
      </c>
      <c r="K188" s="513">
        <v>49.9</v>
      </c>
      <c r="L188" s="513">
        <v>1405</v>
      </c>
      <c r="M188" s="513" t="s">
        <v>5881</v>
      </c>
      <c r="N188" s="513" t="s">
        <v>780</v>
      </c>
      <c r="O188" s="513" t="s">
        <v>1407</v>
      </c>
      <c r="P188" s="518" t="s">
        <v>5882</v>
      </c>
      <c r="Q188" s="152" t="s">
        <v>5873</v>
      </c>
      <c r="R188" s="152" t="s">
        <v>5883</v>
      </c>
      <c r="S188" s="152" t="s">
        <v>5887</v>
      </c>
      <c r="T188" s="152" t="s">
        <v>5885</v>
      </c>
      <c r="U188" s="152" t="s">
        <v>786</v>
      </c>
    </row>
    <row r="189" spans="4:21">
      <c r="D189" s="152" t="s">
        <v>2821</v>
      </c>
      <c r="E189" s="821" t="s">
        <v>676</v>
      </c>
      <c r="F189" s="684" t="str">
        <f>+VLOOKUP(G189,Resumen_Base!$C$8:$G$156,5,0)</f>
        <v>Food &amp; Wine</v>
      </c>
      <c r="G189" s="474" t="s">
        <v>35</v>
      </c>
      <c r="H189" s="210" t="s">
        <v>34</v>
      </c>
      <c r="I189" s="152" t="str">
        <f t="shared" si="2"/>
        <v>CAR5251</v>
      </c>
      <c r="J189" s="513">
        <v>108325.5</v>
      </c>
      <c r="K189" s="513">
        <v>77.099999999999994</v>
      </c>
      <c r="L189" s="513">
        <v>1405</v>
      </c>
      <c r="M189" s="513" t="s">
        <v>5881</v>
      </c>
      <c r="N189" s="513" t="s">
        <v>780</v>
      </c>
      <c r="O189" s="513" t="s">
        <v>1407</v>
      </c>
      <c r="P189" s="518" t="s">
        <v>5882</v>
      </c>
      <c r="Q189" s="152" t="s">
        <v>5873</v>
      </c>
      <c r="R189" s="152" t="s">
        <v>5883</v>
      </c>
      <c r="S189" s="152" t="s">
        <v>5888</v>
      </c>
      <c r="T189" s="152" t="s">
        <v>5885</v>
      </c>
      <c r="U189" s="152" t="s">
        <v>786</v>
      </c>
    </row>
    <row r="190" spans="4:21">
      <c r="D190" s="152" t="s">
        <v>2821</v>
      </c>
      <c r="E190" s="821" t="s">
        <v>676</v>
      </c>
      <c r="F190" s="684" t="str">
        <f>+VLOOKUP(G190,Resumen_Base!$C$8:$G$156,5,0)</f>
        <v>Food &amp; Wine</v>
      </c>
      <c r="G190" s="474" t="s">
        <v>37</v>
      </c>
      <c r="H190" s="210" t="s">
        <v>36</v>
      </c>
      <c r="I190" s="152" t="str">
        <f t="shared" si="2"/>
        <v>CAR5250</v>
      </c>
      <c r="J190" s="513">
        <v>50580</v>
      </c>
      <c r="K190" s="513">
        <v>36</v>
      </c>
      <c r="L190" s="513">
        <v>1405</v>
      </c>
      <c r="M190" s="513" t="s">
        <v>5881</v>
      </c>
      <c r="N190" s="513" t="s">
        <v>780</v>
      </c>
      <c r="O190" s="513" t="s">
        <v>1407</v>
      </c>
      <c r="P190" s="518" t="s">
        <v>5882</v>
      </c>
      <c r="Q190" s="152" t="s">
        <v>5873</v>
      </c>
      <c r="R190" s="152" t="s">
        <v>5883</v>
      </c>
      <c r="S190" s="152" t="s">
        <v>1627</v>
      </c>
      <c r="T190" s="152" t="s">
        <v>5885</v>
      </c>
      <c r="U190" s="152" t="s">
        <v>786</v>
      </c>
    </row>
    <row r="191" spans="4:21">
      <c r="D191" s="152" t="s">
        <v>2821</v>
      </c>
      <c r="E191" s="821" t="s">
        <v>676</v>
      </c>
      <c r="F191" s="684" t="str">
        <f>+VLOOKUP(G191,Resumen_Base!$C$8:$G$156,5,0)</f>
        <v>Food &amp; Wine</v>
      </c>
      <c r="G191" s="474" t="s">
        <v>37</v>
      </c>
      <c r="H191" s="210" t="s">
        <v>36</v>
      </c>
      <c r="I191" s="152" t="str">
        <f t="shared" si="2"/>
        <v>CAR5250</v>
      </c>
      <c r="J191" s="513">
        <v>185108.75</v>
      </c>
      <c r="K191" s="513">
        <v>131.75</v>
      </c>
      <c r="L191" s="513">
        <v>1405</v>
      </c>
      <c r="M191" s="513" t="s">
        <v>5881</v>
      </c>
      <c r="N191" s="513" t="s">
        <v>780</v>
      </c>
      <c r="O191" s="513" t="s">
        <v>1407</v>
      </c>
      <c r="P191" s="518" t="s">
        <v>5882</v>
      </c>
      <c r="Q191" s="152" t="s">
        <v>5873</v>
      </c>
      <c r="R191" s="152" t="s">
        <v>5883</v>
      </c>
      <c r="S191" s="152" t="s">
        <v>1661</v>
      </c>
      <c r="T191" s="152" t="s">
        <v>5885</v>
      </c>
      <c r="U191" s="152" t="s">
        <v>786</v>
      </c>
    </row>
    <row r="192" spans="4:21">
      <c r="D192" s="152" t="s">
        <v>2821</v>
      </c>
      <c r="E192" s="821" t="s">
        <v>676</v>
      </c>
      <c r="F192" s="684" t="str">
        <f>+VLOOKUP(G192,Resumen_Base!$C$8:$G$156,5,0)</f>
        <v>Food &amp; Wine</v>
      </c>
      <c r="G192" s="474" t="s">
        <v>37</v>
      </c>
      <c r="H192" s="210" t="s">
        <v>36</v>
      </c>
      <c r="I192" s="152" t="str">
        <f t="shared" si="2"/>
        <v>CAR5250</v>
      </c>
      <c r="J192" s="513">
        <v>143029</v>
      </c>
      <c r="K192" s="513">
        <v>101.8</v>
      </c>
      <c r="L192" s="513">
        <v>1405</v>
      </c>
      <c r="M192" s="513" t="s">
        <v>5881</v>
      </c>
      <c r="N192" s="513" t="s">
        <v>780</v>
      </c>
      <c r="O192" s="513" t="s">
        <v>1407</v>
      </c>
      <c r="P192" s="518" t="s">
        <v>5882</v>
      </c>
      <c r="Q192" s="152" t="s">
        <v>5873</v>
      </c>
      <c r="R192" s="152" t="s">
        <v>5883</v>
      </c>
      <c r="S192" s="152" t="s">
        <v>5893</v>
      </c>
      <c r="T192" s="152" t="s">
        <v>5885</v>
      </c>
      <c r="U192" s="152" t="s">
        <v>786</v>
      </c>
    </row>
    <row r="193" spans="4:21">
      <c r="D193" s="152" t="s">
        <v>2821</v>
      </c>
      <c r="E193" s="821" t="s">
        <v>676</v>
      </c>
      <c r="F193" s="684" t="str">
        <f>+VLOOKUP(G193,Resumen_Base!$C$8:$G$156,5,0)</f>
        <v>Food &amp; Wine</v>
      </c>
      <c r="G193" s="474" t="s">
        <v>37</v>
      </c>
      <c r="H193" s="210" t="s">
        <v>36</v>
      </c>
      <c r="I193" s="152" t="str">
        <f t="shared" si="2"/>
        <v>CAR5250</v>
      </c>
      <c r="J193" s="513">
        <v>221287.5</v>
      </c>
      <c r="K193" s="513">
        <v>157.5</v>
      </c>
      <c r="L193" s="513">
        <v>1405</v>
      </c>
      <c r="M193" s="513" t="s">
        <v>5975</v>
      </c>
      <c r="N193" s="513" t="s">
        <v>780</v>
      </c>
      <c r="O193" s="513" t="s">
        <v>1407</v>
      </c>
      <c r="P193" s="518" t="s">
        <v>5976</v>
      </c>
      <c r="Q193" s="152" t="s">
        <v>5873</v>
      </c>
      <c r="R193" s="152" t="s">
        <v>5977</v>
      </c>
      <c r="S193" s="152" t="s">
        <v>5980</v>
      </c>
      <c r="T193" s="152" t="s">
        <v>5979</v>
      </c>
      <c r="U193" s="152" t="s">
        <v>786</v>
      </c>
    </row>
    <row r="194" spans="4:21">
      <c r="D194" s="152" t="s">
        <v>2821</v>
      </c>
      <c r="E194" s="821" t="s">
        <v>676</v>
      </c>
      <c r="F194" s="684" t="str">
        <f>+VLOOKUP(G194,Resumen_Base!$C$8:$G$156,5,0)</f>
        <v>Food &amp; Wine</v>
      </c>
      <c r="G194" s="474" t="s">
        <v>1718</v>
      </c>
      <c r="H194" s="210" t="s">
        <v>1719</v>
      </c>
      <c r="I194" s="152" t="str">
        <f t="shared" si="2"/>
        <v>CAR5257</v>
      </c>
      <c r="J194" s="513">
        <v>31612.5</v>
      </c>
      <c r="K194" s="513">
        <v>22.5</v>
      </c>
      <c r="L194" s="513">
        <v>1405</v>
      </c>
      <c r="M194" s="513" t="s">
        <v>5975</v>
      </c>
      <c r="N194" s="513" t="s">
        <v>780</v>
      </c>
      <c r="O194" s="513" t="s">
        <v>1407</v>
      </c>
      <c r="P194" s="518" t="s">
        <v>5976</v>
      </c>
      <c r="Q194" s="152" t="s">
        <v>5873</v>
      </c>
      <c r="R194" s="152" t="s">
        <v>5977</v>
      </c>
      <c r="S194" s="152" t="s">
        <v>5982</v>
      </c>
      <c r="T194" s="152" t="s">
        <v>5979</v>
      </c>
      <c r="U194" s="152" t="s">
        <v>786</v>
      </c>
    </row>
    <row r="195" spans="4:21">
      <c r="D195" s="152" t="s">
        <v>2821</v>
      </c>
      <c r="E195" s="821" t="s">
        <v>676</v>
      </c>
      <c r="F195" s="684" t="str">
        <f>+VLOOKUP(G195,Resumen_Base!$C$8:$G$156,5,0)</f>
        <v>Food &amp; Wine</v>
      </c>
      <c r="G195" s="474" t="s">
        <v>37</v>
      </c>
      <c r="H195" s="210" t="s">
        <v>36</v>
      </c>
      <c r="I195" s="152" t="str">
        <f t="shared" si="2"/>
        <v>CAR5250</v>
      </c>
      <c r="J195" s="513">
        <v>30207.5</v>
      </c>
      <c r="K195" s="513">
        <v>21.5</v>
      </c>
      <c r="L195" s="513">
        <v>1405</v>
      </c>
      <c r="M195" s="513" t="s">
        <v>5975</v>
      </c>
      <c r="N195" s="513" t="s">
        <v>780</v>
      </c>
      <c r="O195" s="513" t="s">
        <v>1407</v>
      </c>
      <c r="P195" s="518" t="s">
        <v>5976</v>
      </c>
      <c r="Q195" s="152" t="s">
        <v>5873</v>
      </c>
      <c r="R195" s="152" t="s">
        <v>5977</v>
      </c>
      <c r="S195" s="152" t="s">
        <v>5984</v>
      </c>
      <c r="T195" s="152" t="s">
        <v>5979</v>
      </c>
      <c r="U195" s="152" t="s">
        <v>786</v>
      </c>
    </row>
    <row r="196" spans="4:21">
      <c r="D196" s="152" t="s">
        <v>2821</v>
      </c>
      <c r="E196" s="821" t="s">
        <v>676</v>
      </c>
      <c r="F196" s="684" t="str">
        <f>+VLOOKUP(G196,Resumen_Base!$C$8:$G$156,5,0)</f>
        <v>Food &amp; Wine</v>
      </c>
      <c r="G196" s="474" t="s">
        <v>37</v>
      </c>
      <c r="H196" s="210" t="s">
        <v>36</v>
      </c>
      <c r="I196" s="152" t="str">
        <f t="shared" si="2"/>
        <v>CAR5250</v>
      </c>
      <c r="J196" s="513">
        <v>50580</v>
      </c>
      <c r="K196" s="513">
        <v>36</v>
      </c>
      <c r="L196" s="513">
        <v>1405</v>
      </c>
      <c r="M196" s="513" t="s">
        <v>5975</v>
      </c>
      <c r="N196" s="513" t="s">
        <v>780</v>
      </c>
      <c r="O196" s="513" t="s">
        <v>1407</v>
      </c>
      <c r="P196" s="518" t="s">
        <v>5976</v>
      </c>
      <c r="Q196" s="152" t="s">
        <v>5873</v>
      </c>
      <c r="R196" s="152" t="s">
        <v>5977</v>
      </c>
      <c r="S196" s="152" t="s">
        <v>1627</v>
      </c>
      <c r="T196" s="152" t="s">
        <v>5979</v>
      </c>
      <c r="U196" s="152" t="s">
        <v>786</v>
      </c>
    </row>
    <row r="197" spans="4:21">
      <c r="D197" s="152" t="s">
        <v>2821</v>
      </c>
      <c r="E197" s="821" t="s">
        <v>676</v>
      </c>
      <c r="F197" s="684" t="str">
        <f>+VLOOKUP(G197,Resumen_Base!$C$8:$G$156,5,0)</f>
        <v>Food &amp; Wine</v>
      </c>
      <c r="G197" s="474" t="s">
        <v>37</v>
      </c>
      <c r="H197" s="210" t="s">
        <v>36</v>
      </c>
      <c r="I197" s="152" t="str">
        <f t="shared" si="2"/>
        <v>CAR5250</v>
      </c>
      <c r="J197" s="513">
        <v>2656714.5</v>
      </c>
      <c r="K197" s="513">
        <v>1890.9</v>
      </c>
      <c r="L197" s="513">
        <v>1405</v>
      </c>
      <c r="M197" s="513" t="s">
        <v>6059</v>
      </c>
      <c r="N197" s="513" t="s">
        <v>780</v>
      </c>
      <c r="O197" s="513" t="s">
        <v>1407</v>
      </c>
      <c r="P197" s="518" t="s">
        <v>6114</v>
      </c>
      <c r="Q197" s="152" t="s">
        <v>5873</v>
      </c>
      <c r="R197" s="152" t="s">
        <v>6115</v>
      </c>
      <c r="S197" s="152" t="s">
        <v>6140</v>
      </c>
      <c r="T197" s="152" t="s">
        <v>6116</v>
      </c>
      <c r="U197" s="152" t="s">
        <v>786</v>
      </c>
    </row>
    <row r="198" spans="4:21">
      <c r="D198" s="152" t="s">
        <v>2821</v>
      </c>
      <c r="E198" s="821" t="s">
        <v>676</v>
      </c>
      <c r="F198" s="684" t="str">
        <f>+VLOOKUP(G198,Resumen_Base!$C$8:$G$156,5,0)</f>
        <v>Food &amp; Wine</v>
      </c>
      <c r="G198" s="474" t="s">
        <v>37</v>
      </c>
      <c r="H198" s="210" t="s">
        <v>36</v>
      </c>
      <c r="I198" s="152" t="str">
        <f t="shared" si="2"/>
        <v>CAR5250</v>
      </c>
      <c r="J198" s="513">
        <v>221287.5</v>
      </c>
      <c r="K198" s="513">
        <v>157.5</v>
      </c>
      <c r="L198" s="513">
        <v>1405</v>
      </c>
      <c r="M198" s="513" t="s">
        <v>6059</v>
      </c>
      <c r="N198" s="513" t="s">
        <v>780</v>
      </c>
      <c r="O198" s="513" t="s">
        <v>1407</v>
      </c>
      <c r="P198" s="518" t="s">
        <v>6110</v>
      </c>
      <c r="Q198" s="152" t="s">
        <v>5873</v>
      </c>
      <c r="R198" s="152" t="s">
        <v>6111</v>
      </c>
      <c r="S198" s="152" t="s">
        <v>6141</v>
      </c>
      <c r="T198" s="152" t="s">
        <v>6113</v>
      </c>
      <c r="U198" s="152" t="s">
        <v>786</v>
      </c>
    </row>
    <row r="199" spans="4:21">
      <c r="D199" s="152" t="s">
        <v>2821</v>
      </c>
      <c r="E199" s="821" t="s">
        <v>676</v>
      </c>
      <c r="F199" s="684" t="str">
        <f>+VLOOKUP(G199,Resumen_Base!$C$8:$G$156,5,0)</f>
        <v>Food &amp; Wine</v>
      </c>
      <c r="G199" s="474" t="s">
        <v>37</v>
      </c>
      <c r="H199" s="210" t="s">
        <v>36</v>
      </c>
      <c r="I199" s="152" t="str">
        <f t="shared" si="2"/>
        <v>CAR5250</v>
      </c>
      <c r="J199" s="513">
        <v>50580</v>
      </c>
      <c r="K199" s="513">
        <v>36</v>
      </c>
      <c r="L199" s="513">
        <v>1405</v>
      </c>
      <c r="M199" s="513" t="s">
        <v>6059</v>
      </c>
      <c r="N199" s="513" t="s">
        <v>780</v>
      </c>
      <c r="O199" s="513" t="s">
        <v>1407</v>
      </c>
      <c r="P199" s="518" t="s">
        <v>6110</v>
      </c>
      <c r="Q199" s="152" t="s">
        <v>5873</v>
      </c>
      <c r="R199" s="152" t="s">
        <v>6111</v>
      </c>
      <c r="S199" s="152" t="s">
        <v>1955</v>
      </c>
      <c r="T199" s="152" t="s">
        <v>6113</v>
      </c>
      <c r="U199" s="152" t="s">
        <v>786</v>
      </c>
    </row>
    <row r="200" spans="4:21">
      <c r="D200" s="152" t="s">
        <v>2821</v>
      </c>
      <c r="E200" s="821" t="s">
        <v>676</v>
      </c>
      <c r="F200" s="684" t="str">
        <f>+VLOOKUP(G200,Resumen_Base!$C$8:$G$156,5,0)</f>
        <v>Food &amp; Wine</v>
      </c>
      <c r="G200" s="474" t="s">
        <v>37</v>
      </c>
      <c r="H200" s="210" t="s">
        <v>36</v>
      </c>
      <c r="I200" s="152" t="str">
        <f t="shared" si="2"/>
        <v>CAR5250</v>
      </c>
      <c r="J200" s="513">
        <v>762324.9</v>
      </c>
      <c r="K200" s="513">
        <v>542.58000000000004</v>
      </c>
      <c r="L200" s="513">
        <v>1405</v>
      </c>
      <c r="M200" s="513" t="s">
        <v>6059</v>
      </c>
      <c r="N200" s="513" t="s">
        <v>780</v>
      </c>
      <c r="O200" s="513" t="s">
        <v>1407</v>
      </c>
      <c r="P200" s="518" t="s">
        <v>6114</v>
      </c>
      <c r="Q200" s="152" t="s">
        <v>5873</v>
      </c>
      <c r="R200" s="152" t="s">
        <v>6115</v>
      </c>
      <c r="S200" s="152" t="s">
        <v>6143</v>
      </c>
      <c r="T200" s="152" t="s">
        <v>6116</v>
      </c>
      <c r="U200" s="152" t="s">
        <v>786</v>
      </c>
    </row>
    <row r="201" spans="4:21">
      <c r="D201" s="152" t="s">
        <v>2821</v>
      </c>
      <c r="E201" s="821" t="s">
        <v>676</v>
      </c>
      <c r="F201" s="684" t="str">
        <f>+VLOOKUP(G201,Resumen_Base!$C$8:$G$156,5,0)</f>
        <v>Food &amp; Wine</v>
      </c>
      <c r="G201" s="474" t="s">
        <v>37</v>
      </c>
      <c r="H201" s="210" t="s">
        <v>36</v>
      </c>
      <c r="I201" s="152" t="str">
        <f t="shared" si="2"/>
        <v>CAR5250</v>
      </c>
      <c r="J201" s="513">
        <v>119087.8</v>
      </c>
      <c r="K201" s="513">
        <v>84.76</v>
      </c>
      <c r="L201" s="513">
        <v>1405</v>
      </c>
      <c r="M201" s="513" t="s">
        <v>6059</v>
      </c>
      <c r="N201" s="513" t="s">
        <v>780</v>
      </c>
      <c r="O201" s="513" t="s">
        <v>1407</v>
      </c>
      <c r="P201" s="518" t="s">
        <v>6110</v>
      </c>
      <c r="Q201" s="152" t="s">
        <v>5873</v>
      </c>
      <c r="R201" s="152" t="s">
        <v>6111</v>
      </c>
      <c r="S201" s="152" t="s">
        <v>3840</v>
      </c>
      <c r="T201" s="152" t="s">
        <v>6113</v>
      </c>
      <c r="U201" s="152" t="s">
        <v>786</v>
      </c>
    </row>
    <row r="202" spans="4:21">
      <c r="D202" s="152" t="s">
        <v>2821</v>
      </c>
      <c r="E202" s="821" t="s">
        <v>676</v>
      </c>
      <c r="F202" s="684" t="str">
        <f>+VLOOKUP(G202,Resumen_Base!$C$8:$G$156,5,0)</f>
        <v>Food &amp; Wine</v>
      </c>
      <c r="G202" s="474" t="s">
        <v>37</v>
      </c>
      <c r="H202" s="210" t="s">
        <v>36</v>
      </c>
      <c r="I202" s="152" t="str">
        <f t="shared" si="2"/>
        <v>CAR5250</v>
      </c>
      <c r="J202" s="513">
        <v>2711.65</v>
      </c>
      <c r="K202" s="513">
        <v>1.93</v>
      </c>
      <c r="L202" s="513">
        <v>1405</v>
      </c>
      <c r="M202" s="513" t="s">
        <v>6059</v>
      </c>
      <c r="N202" s="513" t="s">
        <v>780</v>
      </c>
      <c r="O202" s="513" t="s">
        <v>1407</v>
      </c>
      <c r="P202" s="518" t="s">
        <v>6114</v>
      </c>
      <c r="Q202" s="152" t="s">
        <v>5873</v>
      </c>
      <c r="R202" s="152" t="s">
        <v>6115</v>
      </c>
      <c r="S202" s="152" t="s">
        <v>1515</v>
      </c>
      <c r="T202" s="152" t="s">
        <v>6116</v>
      </c>
      <c r="U202" s="152" t="s">
        <v>786</v>
      </c>
    </row>
    <row r="203" spans="4:21">
      <c r="D203" s="152" t="s">
        <v>2821</v>
      </c>
      <c r="E203" s="821" t="s">
        <v>676</v>
      </c>
      <c r="F203" s="684" t="str">
        <f>+VLOOKUP(G203,Resumen_Base!$C$8:$G$156,5,0)</f>
        <v>Food &amp; Wine</v>
      </c>
      <c r="G203" s="474" t="s">
        <v>37</v>
      </c>
      <c r="H203" s="210" t="s">
        <v>36</v>
      </c>
      <c r="I203" s="152" t="str">
        <f t="shared" si="2"/>
        <v>CAR5250</v>
      </c>
      <c r="J203" s="513">
        <v>2711.65</v>
      </c>
      <c r="K203" s="513">
        <v>1.93</v>
      </c>
      <c r="L203" s="513">
        <v>1405</v>
      </c>
      <c r="M203" s="513" t="s">
        <v>6059</v>
      </c>
      <c r="N203" s="513" t="s">
        <v>780</v>
      </c>
      <c r="O203" s="513" t="s">
        <v>1407</v>
      </c>
      <c r="P203" s="518" t="s">
        <v>6114</v>
      </c>
      <c r="Q203" s="152" t="s">
        <v>5873</v>
      </c>
      <c r="R203" s="152" t="s">
        <v>6115</v>
      </c>
      <c r="S203" s="152" t="s">
        <v>1515</v>
      </c>
      <c r="T203" s="152" t="s">
        <v>6116</v>
      </c>
      <c r="U203" s="152" t="s">
        <v>786</v>
      </c>
    </row>
    <row r="204" spans="4:21">
      <c r="D204" s="152" t="s">
        <v>2821</v>
      </c>
      <c r="E204" s="821" t="s">
        <v>676</v>
      </c>
      <c r="F204" s="684" t="str">
        <f>+VLOOKUP(G204,Resumen_Base!$C$8:$G$156,5,0)</f>
        <v>Food &amp; Wine</v>
      </c>
      <c r="G204" s="474" t="s">
        <v>37</v>
      </c>
      <c r="H204" s="210" t="s">
        <v>36</v>
      </c>
      <c r="I204" s="152" t="str">
        <f t="shared" si="2"/>
        <v>CAR5250</v>
      </c>
      <c r="J204" s="513">
        <v>2711.65</v>
      </c>
      <c r="K204" s="513">
        <v>1.93</v>
      </c>
      <c r="L204" s="513">
        <v>1405</v>
      </c>
      <c r="M204" s="513" t="s">
        <v>6059</v>
      </c>
      <c r="N204" s="513" t="s">
        <v>780</v>
      </c>
      <c r="O204" s="513" t="s">
        <v>1407</v>
      </c>
      <c r="P204" s="518" t="s">
        <v>6114</v>
      </c>
      <c r="Q204" s="152" t="s">
        <v>5873</v>
      </c>
      <c r="R204" s="152" t="s">
        <v>6115</v>
      </c>
      <c r="S204" s="152" t="s">
        <v>1515</v>
      </c>
      <c r="T204" s="152" t="s">
        <v>6116</v>
      </c>
      <c r="U204" s="152" t="s">
        <v>786</v>
      </c>
    </row>
    <row r="205" spans="4:21">
      <c r="D205" s="152" t="s">
        <v>2821</v>
      </c>
      <c r="E205" s="821" t="s">
        <v>676</v>
      </c>
      <c r="F205" s="684" t="str">
        <f>+VLOOKUP(G205,Resumen_Base!$C$8:$G$156,5,0)</f>
        <v>Food &amp; Wine</v>
      </c>
      <c r="G205" s="474" t="s">
        <v>37</v>
      </c>
      <c r="H205" s="210" t="s">
        <v>36</v>
      </c>
      <c r="I205" s="152" t="str">
        <f t="shared" ref="I205:I268" si="3">+E205&amp;G205</f>
        <v>CAR5250</v>
      </c>
      <c r="J205" s="513">
        <v>2711.65</v>
      </c>
      <c r="K205" s="513">
        <v>1.93</v>
      </c>
      <c r="L205" s="513">
        <v>1405</v>
      </c>
      <c r="M205" s="513" t="s">
        <v>6059</v>
      </c>
      <c r="N205" s="513" t="s">
        <v>780</v>
      </c>
      <c r="O205" s="513" t="s">
        <v>1407</v>
      </c>
      <c r="P205" s="518" t="s">
        <v>6114</v>
      </c>
      <c r="Q205" s="152" t="s">
        <v>5873</v>
      </c>
      <c r="R205" s="152" t="s">
        <v>6115</v>
      </c>
      <c r="S205" s="152" t="s">
        <v>1515</v>
      </c>
      <c r="T205" s="152" t="s">
        <v>6116</v>
      </c>
      <c r="U205" s="152" t="s">
        <v>786</v>
      </c>
    </row>
    <row r="206" spans="4:21">
      <c r="D206" s="152" t="s">
        <v>2821</v>
      </c>
      <c r="E206" s="821" t="s">
        <v>676</v>
      </c>
      <c r="F206" s="684" t="str">
        <f>+VLOOKUP(G206,Resumen_Base!$C$8:$G$156,5,0)</f>
        <v>Food &amp; Wine</v>
      </c>
      <c r="G206" s="474" t="s">
        <v>37</v>
      </c>
      <c r="H206" s="210" t="s">
        <v>36</v>
      </c>
      <c r="I206" s="152" t="str">
        <f t="shared" si="3"/>
        <v>CAR5250</v>
      </c>
      <c r="J206" s="513">
        <v>2711.65</v>
      </c>
      <c r="K206" s="513">
        <v>1.93</v>
      </c>
      <c r="L206" s="513">
        <v>1405</v>
      </c>
      <c r="M206" s="513" t="s">
        <v>6059</v>
      </c>
      <c r="N206" s="513" t="s">
        <v>780</v>
      </c>
      <c r="O206" s="513" t="s">
        <v>1407</v>
      </c>
      <c r="P206" s="518" t="s">
        <v>6114</v>
      </c>
      <c r="Q206" s="152" t="s">
        <v>5873</v>
      </c>
      <c r="R206" s="152" t="s">
        <v>6115</v>
      </c>
      <c r="S206" s="152" t="s">
        <v>1515</v>
      </c>
      <c r="T206" s="152" t="s">
        <v>6116</v>
      </c>
      <c r="U206" s="152" t="s">
        <v>786</v>
      </c>
    </row>
    <row r="207" spans="4:21">
      <c r="D207" s="152" t="s">
        <v>2821</v>
      </c>
      <c r="E207" s="821" t="s">
        <v>676</v>
      </c>
      <c r="F207" s="684" t="str">
        <f>+VLOOKUP(G207,Resumen_Base!$C$8:$G$156,5,0)</f>
        <v>Food &amp; Wine</v>
      </c>
      <c r="G207" s="474" t="s">
        <v>37</v>
      </c>
      <c r="H207" s="210" t="s">
        <v>36</v>
      </c>
      <c r="I207" s="152" t="str">
        <f t="shared" si="3"/>
        <v>CAR5250</v>
      </c>
      <c r="J207" s="513">
        <v>6322500</v>
      </c>
      <c r="K207" s="513">
        <v>4500</v>
      </c>
      <c r="L207" s="513">
        <v>1405</v>
      </c>
      <c r="M207" s="513" t="s">
        <v>6059</v>
      </c>
      <c r="N207" s="513" t="s">
        <v>780</v>
      </c>
      <c r="O207" s="513" t="s">
        <v>1407</v>
      </c>
      <c r="P207" s="518" t="s">
        <v>6114</v>
      </c>
      <c r="Q207" s="152" t="s">
        <v>5873</v>
      </c>
      <c r="R207" s="152" t="s">
        <v>6115</v>
      </c>
      <c r="S207" s="152" t="s">
        <v>6164</v>
      </c>
      <c r="T207" s="152" t="s">
        <v>6116</v>
      </c>
      <c r="U207" s="152" t="s">
        <v>786</v>
      </c>
    </row>
    <row r="208" spans="4:21">
      <c r="D208" s="152" t="s">
        <v>2821</v>
      </c>
      <c r="E208" s="821" t="s">
        <v>676</v>
      </c>
      <c r="F208" s="684" t="str">
        <f>+VLOOKUP(G208,Resumen_Base!$C$8:$G$156,5,0)</f>
        <v>Food &amp; Wine</v>
      </c>
      <c r="G208" s="474" t="s">
        <v>37</v>
      </c>
      <c r="H208" s="210" t="s">
        <v>36</v>
      </c>
      <c r="I208" s="152" t="str">
        <f t="shared" si="3"/>
        <v>CAR5250</v>
      </c>
      <c r="J208" s="513">
        <v>6673750</v>
      </c>
      <c r="K208" s="513">
        <v>4750</v>
      </c>
      <c r="L208" s="513">
        <v>1405</v>
      </c>
      <c r="M208" s="513" t="s">
        <v>6059</v>
      </c>
      <c r="N208" s="513" t="s">
        <v>780</v>
      </c>
      <c r="O208" s="513" t="s">
        <v>1407</v>
      </c>
      <c r="P208" s="518" t="s">
        <v>6114</v>
      </c>
      <c r="Q208" s="152" t="s">
        <v>5873</v>
      </c>
      <c r="R208" s="152" t="s">
        <v>6115</v>
      </c>
      <c r="S208" s="152" t="s">
        <v>6165</v>
      </c>
      <c r="T208" s="152" t="s">
        <v>6116</v>
      </c>
      <c r="U208" s="152" t="s">
        <v>786</v>
      </c>
    </row>
    <row r="209" spans="4:21">
      <c r="D209" s="152" t="s">
        <v>2821</v>
      </c>
      <c r="E209" s="821" t="s">
        <v>676</v>
      </c>
      <c r="F209" s="684" t="str">
        <f>+VLOOKUP(G209,Resumen_Base!$C$8:$G$156,5,0)</f>
        <v>Food &amp; Wine</v>
      </c>
      <c r="G209" s="474" t="s">
        <v>37</v>
      </c>
      <c r="H209" s="210" t="s">
        <v>36</v>
      </c>
      <c r="I209" s="152" t="str">
        <f t="shared" si="3"/>
        <v>CAR5250</v>
      </c>
      <c r="J209" s="513">
        <v>32961.300000000003</v>
      </c>
      <c r="K209" s="513">
        <v>23.46</v>
      </c>
      <c r="L209" s="513">
        <v>1405</v>
      </c>
      <c r="M209" s="513" t="s">
        <v>6059</v>
      </c>
      <c r="N209" s="513" t="s">
        <v>780</v>
      </c>
      <c r="O209" s="513" t="s">
        <v>1407</v>
      </c>
      <c r="P209" s="518" t="s">
        <v>6110</v>
      </c>
      <c r="Q209" s="152" t="s">
        <v>5873</v>
      </c>
      <c r="R209" s="152" t="s">
        <v>6111</v>
      </c>
      <c r="S209" s="152" t="s">
        <v>6170</v>
      </c>
      <c r="T209" s="152" t="s">
        <v>6113</v>
      </c>
      <c r="U209" s="152" t="s">
        <v>786</v>
      </c>
    </row>
    <row r="210" spans="4:21">
      <c r="D210" s="152" t="s">
        <v>2821</v>
      </c>
      <c r="E210" s="821" t="s">
        <v>676</v>
      </c>
      <c r="F210" s="684" t="str">
        <f>+VLOOKUP(G210,Resumen_Base!$C$8:$G$156,5,0)</f>
        <v>Food &amp; Wine</v>
      </c>
      <c r="G210" s="474" t="s">
        <v>37</v>
      </c>
      <c r="H210" s="210" t="s">
        <v>36</v>
      </c>
      <c r="I210" s="152" t="str">
        <f t="shared" si="3"/>
        <v>CAR5250</v>
      </c>
      <c r="J210" s="513">
        <v>6917236.5</v>
      </c>
      <c r="K210" s="513">
        <v>4923.3</v>
      </c>
      <c r="L210" s="513">
        <v>1405</v>
      </c>
      <c r="M210" s="513" t="s">
        <v>6059</v>
      </c>
      <c r="N210" s="513" t="s">
        <v>780</v>
      </c>
      <c r="O210" s="513" t="s">
        <v>1407</v>
      </c>
      <c r="P210" s="518" t="s">
        <v>6114</v>
      </c>
      <c r="Q210" s="152" t="s">
        <v>5873</v>
      </c>
      <c r="R210" s="152" t="s">
        <v>6115</v>
      </c>
      <c r="S210" s="152" t="s">
        <v>6194</v>
      </c>
      <c r="T210" s="152" t="s">
        <v>6116</v>
      </c>
      <c r="U210" s="152" t="s">
        <v>786</v>
      </c>
    </row>
    <row r="211" spans="4:21">
      <c r="D211" s="152" t="s">
        <v>2821</v>
      </c>
      <c r="E211" s="821" t="s">
        <v>676</v>
      </c>
      <c r="F211" s="684" t="str">
        <f>+VLOOKUP(G211,Resumen_Base!$C$8:$G$156,5,0)</f>
        <v>Food &amp; Wine</v>
      </c>
      <c r="G211" s="474" t="s">
        <v>37</v>
      </c>
      <c r="H211" s="210" t="s">
        <v>36</v>
      </c>
      <c r="I211" s="152" t="str">
        <f t="shared" si="3"/>
        <v>CAR5250</v>
      </c>
      <c r="J211" s="513">
        <v>140036.35</v>
      </c>
      <c r="K211" s="513">
        <v>99.67</v>
      </c>
      <c r="L211" s="513">
        <v>1405</v>
      </c>
      <c r="M211" s="513" t="s">
        <v>6059</v>
      </c>
      <c r="N211" s="513" t="s">
        <v>780</v>
      </c>
      <c r="O211" s="513" t="s">
        <v>1407</v>
      </c>
      <c r="P211" s="518" t="s">
        <v>6114</v>
      </c>
      <c r="Q211" s="152" t="s">
        <v>5873</v>
      </c>
      <c r="R211" s="152" t="s">
        <v>6115</v>
      </c>
      <c r="S211" s="152" t="s">
        <v>6209</v>
      </c>
      <c r="T211" s="152" t="s">
        <v>6116</v>
      </c>
      <c r="U211" s="152" t="s">
        <v>786</v>
      </c>
    </row>
    <row r="212" spans="4:21">
      <c r="D212" s="152" t="s">
        <v>2821</v>
      </c>
      <c r="E212" s="821" t="s">
        <v>676</v>
      </c>
      <c r="F212" s="684" t="str">
        <f>+VLOOKUP(G212,Resumen_Base!$C$8:$G$156,5,0)</f>
        <v>Food &amp; Wine</v>
      </c>
      <c r="G212" s="474" t="s">
        <v>37</v>
      </c>
      <c r="H212" s="210" t="s">
        <v>36</v>
      </c>
      <c r="I212" s="152" t="str">
        <f t="shared" si="3"/>
        <v>CAR5250</v>
      </c>
      <c r="J212" s="513">
        <v>3898987.4</v>
      </c>
      <c r="K212" s="513">
        <v>2775.08</v>
      </c>
      <c r="L212" s="513">
        <v>1405</v>
      </c>
      <c r="M212" s="513" t="s">
        <v>6059</v>
      </c>
      <c r="N212" s="513" t="s">
        <v>780</v>
      </c>
      <c r="O212" s="513" t="s">
        <v>1407</v>
      </c>
      <c r="P212" s="518" t="s">
        <v>6114</v>
      </c>
      <c r="Q212" s="152" t="s">
        <v>5873</v>
      </c>
      <c r="R212" s="152" t="s">
        <v>6115</v>
      </c>
      <c r="S212" s="152" t="s">
        <v>6217</v>
      </c>
      <c r="T212" s="152" t="s">
        <v>6116</v>
      </c>
      <c r="U212" s="152" t="s">
        <v>786</v>
      </c>
    </row>
    <row r="213" spans="4:21">
      <c r="D213" s="152" t="s">
        <v>2821</v>
      </c>
      <c r="E213" s="821" t="s">
        <v>676</v>
      </c>
      <c r="F213" s="684" t="str">
        <f>+VLOOKUP(G213,Resumen_Base!$C$8:$G$156,5,0)</f>
        <v>Food &amp; Wine</v>
      </c>
      <c r="G213" s="474" t="s">
        <v>37</v>
      </c>
      <c r="H213" s="210" t="s">
        <v>36</v>
      </c>
      <c r="I213" s="152" t="str">
        <f t="shared" si="3"/>
        <v>CAR5250</v>
      </c>
      <c r="J213" s="513">
        <v>77345.25</v>
      </c>
      <c r="K213" s="513">
        <v>55.05</v>
      </c>
      <c r="L213" s="513">
        <v>1405</v>
      </c>
      <c r="M213" s="513" t="s">
        <v>6303</v>
      </c>
      <c r="N213" s="513" t="s">
        <v>780</v>
      </c>
      <c r="O213" s="513" t="s">
        <v>1407</v>
      </c>
      <c r="P213" s="518" t="s">
        <v>6345</v>
      </c>
      <c r="Q213" s="152" t="s">
        <v>5873</v>
      </c>
      <c r="R213" s="152" t="s">
        <v>6346</v>
      </c>
      <c r="S213" s="152" t="s">
        <v>6483</v>
      </c>
      <c r="T213" s="152" t="s">
        <v>6348</v>
      </c>
      <c r="U213" s="152" t="s">
        <v>786</v>
      </c>
    </row>
    <row r="214" spans="4:21">
      <c r="D214" s="152" t="s">
        <v>2821</v>
      </c>
      <c r="E214" s="821" t="s">
        <v>676</v>
      </c>
      <c r="F214" s="684" t="str">
        <f>+VLOOKUP(G214,Resumen_Base!$C$8:$G$156,5,0)</f>
        <v>Food &amp; Wine</v>
      </c>
      <c r="G214" s="474" t="s">
        <v>37</v>
      </c>
      <c r="H214" s="210" t="s">
        <v>36</v>
      </c>
      <c r="I214" s="152" t="str">
        <f t="shared" si="3"/>
        <v>CAR5250</v>
      </c>
      <c r="J214" s="513">
        <v>232358.9</v>
      </c>
      <c r="K214" s="513">
        <v>165.38</v>
      </c>
      <c r="L214" s="513">
        <v>1405</v>
      </c>
      <c r="M214" s="513" t="s">
        <v>6303</v>
      </c>
      <c r="N214" s="513" t="s">
        <v>780</v>
      </c>
      <c r="O214" s="513" t="s">
        <v>1407</v>
      </c>
      <c r="P214" s="518" t="s">
        <v>6345</v>
      </c>
      <c r="Q214" s="152" t="s">
        <v>5873</v>
      </c>
      <c r="R214" s="152" t="s">
        <v>6346</v>
      </c>
      <c r="S214" s="152" t="s">
        <v>6498</v>
      </c>
      <c r="T214" s="152" t="s">
        <v>6348</v>
      </c>
      <c r="U214" s="152" t="s">
        <v>786</v>
      </c>
    </row>
    <row r="215" spans="4:21">
      <c r="D215" s="152" t="s">
        <v>2821</v>
      </c>
      <c r="E215" s="821" t="s">
        <v>676</v>
      </c>
      <c r="F215" s="684" t="str">
        <f>+VLOOKUP(G215,Resumen_Base!$C$8:$G$156,5,0)</f>
        <v>Food &amp; Wine</v>
      </c>
      <c r="G215" s="474" t="s">
        <v>37</v>
      </c>
      <c r="H215" s="210" t="s">
        <v>36</v>
      </c>
      <c r="I215" s="152" t="str">
        <f t="shared" si="3"/>
        <v>CAR5250</v>
      </c>
      <c r="J215" s="513">
        <v>42360.75</v>
      </c>
      <c r="K215" s="513">
        <v>30.15</v>
      </c>
      <c r="L215" s="513">
        <v>1405</v>
      </c>
      <c r="M215" s="513" t="s">
        <v>6303</v>
      </c>
      <c r="N215" s="513" t="s">
        <v>780</v>
      </c>
      <c r="O215" s="513" t="s">
        <v>1407</v>
      </c>
      <c r="P215" s="518" t="s">
        <v>6345</v>
      </c>
      <c r="Q215" s="152" t="s">
        <v>5873</v>
      </c>
      <c r="R215" s="152" t="s">
        <v>6346</v>
      </c>
      <c r="S215" s="152" t="s">
        <v>6502</v>
      </c>
      <c r="T215" s="152" t="s">
        <v>6348</v>
      </c>
      <c r="U215" s="152" t="s">
        <v>786</v>
      </c>
    </row>
    <row r="216" spans="4:21">
      <c r="D216" s="152" t="s">
        <v>2821</v>
      </c>
      <c r="E216" s="821" t="s">
        <v>676</v>
      </c>
      <c r="F216" s="684" t="str">
        <f>+VLOOKUP(G216,Resumen_Base!$C$8:$G$156,5,0)</f>
        <v>Food &amp; Wine</v>
      </c>
      <c r="G216" s="474" t="s">
        <v>37</v>
      </c>
      <c r="H216" s="210" t="s">
        <v>36</v>
      </c>
      <c r="I216" s="152" t="str">
        <f t="shared" si="3"/>
        <v>CAR5250</v>
      </c>
      <c r="J216" s="513">
        <v>96354.9</v>
      </c>
      <c r="K216" s="513">
        <v>68.58</v>
      </c>
      <c r="L216" s="513">
        <v>1405</v>
      </c>
      <c r="M216" s="513" t="s">
        <v>6303</v>
      </c>
      <c r="N216" s="513" t="s">
        <v>780</v>
      </c>
      <c r="O216" s="513" t="s">
        <v>1407</v>
      </c>
      <c r="P216" s="518" t="s">
        <v>6345</v>
      </c>
      <c r="Q216" s="152" t="s">
        <v>5873</v>
      </c>
      <c r="R216" s="152" t="s">
        <v>6346</v>
      </c>
      <c r="S216" s="152" t="s">
        <v>3840</v>
      </c>
      <c r="T216" s="152" t="s">
        <v>6348</v>
      </c>
      <c r="U216" s="152" t="s">
        <v>786</v>
      </c>
    </row>
    <row r="217" spans="4:21">
      <c r="D217" s="152" t="s">
        <v>2821</v>
      </c>
      <c r="E217" s="821" t="s">
        <v>676</v>
      </c>
      <c r="F217" s="684" t="str">
        <f>+VLOOKUP(G217,Resumen_Base!$C$8:$G$156,5,0)</f>
        <v>Food &amp; Wine</v>
      </c>
      <c r="G217" s="474" t="s">
        <v>37</v>
      </c>
      <c r="H217" s="210" t="s">
        <v>36</v>
      </c>
      <c r="I217" s="152" t="str">
        <f t="shared" si="3"/>
        <v>CAR5250</v>
      </c>
      <c r="J217" s="513">
        <v>98673.15</v>
      </c>
      <c r="K217" s="513">
        <v>70.23</v>
      </c>
      <c r="L217" s="513">
        <v>1405</v>
      </c>
      <c r="M217" s="513" t="s">
        <v>6303</v>
      </c>
      <c r="N217" s="513" t="s">
        <v>780</v>
      </c>
      <c r="O217" s="513" t="s">
        <v>1407</v>
      </c>
      <c r="P217" s="518" t="s">
        <v>6345</v>
      </c>
      <c r="Q217" s="152" t="s">
        <v>5873</v>
      </c>
      <c r="R217" s="152" t="s">
        <v>6346</v>
      </c>
      <c r="S217" s="152" t="s">
        <v>3840</v>
      </c>
      <c r="T217" s="152" t="s">
        <v>6348</v>
      </c>
      <c r="U217" s="152" t="s">
        <v>786</v>
      </c>
    </row>
    <row r="218" spans="4:21">
      <c r="D218" s="152" t="s">
        <v>2821</v>
      </c>
      <c r="E218" s="821" t="s">
        <v>676</v>
      </c>
      <c r="F218" s="684" t="str">
        <f>+VLOOKUP(G218,Resumen_Base!$C$8:$G$156,5,0)</f>
        <v>Food &amp; Wine</v>
      </c>
      <c r="G218" s="474" t="s">
        <v>37</v>
      </c>
      <c r="H218" s="210" t="s">
        <v>36</v>
      </c>
      <c r="I218" s="152" t="str">
        <f t="shared" si="3"/>
        <v>CAR5250</v>
      </c>
      <c r="J218" s="513">
        <v>34099.35</v>
      </c>
      <c r="K218" s="513">
        <v>24.27</v>
      </c>
      <c r="L218" s="513">
        <v>1405</v>
      </c>
      <c r="M218" s="513" t="s">
        <v>6303</v>
      </c>
      <c r="N218" s="513" t="s">
        <v>780</v>
      </c>
      <c r="O218" s="513" t="s">
        <v>1407</v>
      </c>
      <c r="P218" s="518" t="s">
        <v>6345</v>
      </c>
      <c r="Q218" s="152" t="s">
        <v>5873</v>
      </c>
      <c r="R218" s="152" t="s">
        <v>6346</v>
      </c>
      <c r="S218" s="152" t="s">
        <v>1627</v>
      </c>
      <c r="T218" s="152" t="s">
        <v>6348</v>
      </c>
      <c r="U218" s="152" t="s">
        <v>786</v>
      </c>
    </row>
    <row r="219" spans="4:21">
      <c r="D219" s="152" t="s">
        <v>2821</v>
      </c>
      <c r="E219" s="821" t="s">
        <v>676</v>
      </c>
      <c r="F219" s="684" t="str">
        <f>+VLOOKUP(G219,Resumen_Base!$C$8:$G$156,5,0)</f>
        <v>Food &amp; Wine</v>
      </c>
      <c r="G219" s="474" t="s">
        <v>37</v>
      </c>
      <c r="H219" s="210" t="s">
        <v>36</v>
      </c>
      <c r="I219" s="152" t="str">
        <f t="shared" si="3"/>
        <v>CAR5250</v>
      </c>
      <c r="J219" s="513">
        <v>206043.25</v>
      </c>
      <c r="K219" s="513">
        <v>146.65</v>
      </c>
      <c r="L219" s="513">
        <v>1405</v>
      </c>
      <c r="M219" s="513" t="s">
        <v>6303</v>
      </c>
      <c r="N219" s="513" t="s">
        <v>780</v>
      </c>
      <c r="O219" s="513" t="s">
        <v>1407</v>
      </c>
      <c r="P219" s="518" t="s">
        <v>6345</v>
      </c>
      <c r="Q219" s="152" t="s">
        <v>5873</v>
      </c>
      <c r="R219" s="152" t="s">
        <v>6346</v>
      </c>
      <c r="S219" s="152" t="s">
        <v>6517</v>
      </c>
      <c r="T219" s="152" t="s">
        <v>6348</v>
      </c>
      <c r="U219" s="152" t="s">
        <v>786</v>
      </c>
    </row>
    <row r="220" spans="4:21">
      <c r="D220" s="152" t="s">
        <v>2821</v>
      </c>
      <c r="E220" s="821" t="s">
        <v>676</v>
      </c>
      <c r="F220" s="684" t="str">
        <f>+VLOOKUP(G220,Resumen_Base!$C$8:$G$156,5,0)</f>
        <v>Guides</v>
      </c>
      <c r="G220" s="474" t="s">
        <v>323</v>
      </c>
      <c r="H220" s="210" t="s">
        <v>324</v>
      </c>
      <c r="I220" s="152" t="str">
        <f t="shared" si="3"/>
        <v>CAR5227</v>
      </c>
      <c r="J220" s="513">
        <v>532874.35</v>
      </c>
      <c r="K220" s="513">
        <v>379.27</v>
      </c>
      <c r="L220" s="513">
        <v>1405</v>
      </c>
      <c r="M220" s="513" t="s">
        <v>6059</v>
      </c>
      <c r="N220" s="513" t="s">
        <v>780</v>
      </c>
      <c r="O220" s="513" t="s">
        <v>1407</v>
      </c>
      <c r="P220" s="518" t="s">
        <v>6114</v>
      </c>
      <c r="Q220" s="152" t="s">
        <v>5873</v>
      </c>
      <c r="R220" s="152" t="s">
        <v>6115</v>
      </c>
      <c r="S220" s="152" t="s">
        <v>6118</v>
      </c>
      <c r="T220" s="152" t="s">
        <v>6116</v>
      </c>
      <c r="U220" s="152" t="s">
        <v>786</v>
      </c>
    </row>
    <row r="221" spans="4:21">
      <c r="D221" s="152" t="s">
        <v>2821</v>
      </c>
      <c r="E221" s="821" t="s">
        <v>676</v>
      </c>
      <c r="F221" s="684" t="str">
        <f>+VLOOKUP(G221,Resumen_Base!$C$8:$G$156,5,0)</f>
        <v>Guides</v>
      </c>
      <c r="G221" s="474" t="s">
        <v>323</v>
      </c>
      <c r="H221" s="210" t="s">
        <v>324</v>
      </c>
      <c r="I221" s="152" t="str">
        <f t="shared" si="3"/>
        <v>CAR5227</v>
      </c>
      <c r="J221" s="513">
        <v>530176.75</v>
      </c>
      <c r="K221" s="513">
        <v>377.35</v>
      </c>
      <c r="L221" s="513">
        <v>1405</v>
      </c>
      <c r="M221" s="513" t="s">
        <v>6059</v>
      </c>
      <c r="N221" s="513" t="s">
        <v>780</v>
      </c>
      <c r="O221" s="513" t="s">
        <v>1407</v>
      </c>
      <c r="P221" s="518" t="s">
        <v>6119</v>
      </c>
      <c r="Q221" s="152" t="s">
        <v>5873</v>
      </c>
      <c r="R221" s="152" t="s">
        <v>6120</v>
      </c>
      <c r="S221" s="152" t="s">
        <v>6121</v>
      </c>
      <c r="T221" s="152" t="s">
        <v>6122</v>
      </c>
      <c r="U221" s="152" t="s">
        <v>786</v>
      </c>
    </row>
    <row r="222" spans="4:21">
      <c r="D222" s="152" t="s">
        <v>2821</v>
      </c>
      <c r="E222" s="821" t="s">
        <v>676</v>
      </c>
      <c r="F222" s="684" t="str">
        <f>+VLOOKUP(G222,Resumen_Base!$C$8:$G$156,5,0)</f>
        <v>Guides</v>
      </c>
      <c r="G222" s="474" t="s">
        <v>323</v>
      </c>
      <c r="H222" s="210" t="s">
        <v>324</v>
      </c>
      <c r="I222" s="152" t="str">
        <f t="shared" si="3"/>
        <v>CAR5227</v>
      </c>
      <c r="J222" s="513">
        <v>626981.25</v>
      </c>
      <c r="K222" s="513">
        <v>446.25</v>
      </c>
      <c r="L222" s="513">
        <v>1405</v>
      </c>
      <c r="M222" s="513" t="s">
        <v>6059</v>
      </c>
      <c r="N222" s="513" t="s">
        <v>780</v>
      </c>
      <c r="O222" s="513" t="s">
        <v>1407</v>
      </c>
      <c r="P222" s="518" t="s">
        <v>6114</v>
      </c>
      <c r="Q222" s="152" t="s">
        <v>5873</v>
      </c>
      <c r="R222" s="152" t="s">
        <v>6115</v>
      </c>
      <c r="S222" s="152" t="s">
        <v>6127</v>
      </c>
      <c r="T222" s="152" t="s">
        <v>6116</v>
      </c>
      <c r="U222" s="152" t="s">
        <v>786</v>
      </c>
    </row>
    <row r="223" spans="4:21">
      <c r="D223" s="152" t="s">
        <v>2821</v>
      </c>
      <c r="E223" s="821" t="s">
        <v>676</v>
      </c>
      <c r="F223" s="684" t="str">
        <f>+VLOOKUP(G223,Resumen_Base!$C$8:$G$156,5,0)</f>
        <v>Guides</v>
      </c>
      <c r="G223" s="474" t="s">
        <v>323</v>
      </c>
      <c r="H223" s="210" t="s">
        <v>324</v>
      </c>
      <c r="I223" s="152" t="str">
        <f t="shared" si="3"/>
        <v>CAR5227</v>
      </c>
      <c r="J223" s="513">
        <v>119425</v>
      </c>
      <c r="K223" s="513">
        <v>85</v>
      </c>
      <c r="L223" s="513">
        <v>1405</v>
      </c>
      <c r="M223" s="513" t="s">
        <v>6059</v>
      </c>
      <c r="N223" s="513" t="s">
        <v>780</v>
      </c>
      <c r="O223" s="513" t="s">
        <v>1407</v>
      </c>
      <c r="P223" s="518" t="s">
        <v>6114</v>
      </c>
      <c r="Q223" s="152" t="s">
        <v>5873</v>
      </c>
      <c r="R223" s="152" t="s">
        <v>6115</v>
      </c>
      <c r="S223" s="152" t="s">
        <v>6128</v>
      </c>
      <c r="T223" s="152" t="s">
        <v>6116</v>
      </c>
      <c r="U223" s="152" t="s">
        <v>786</v>
      </c>
    </row>
    <row r="224" spans="4:21">
      <c r="D224" s="152" t="s">
        <v>2821</v>
      </c>
      <c r="E224" s="821" t="s">
        <v>676</v>
      </c>
      <c r="F224" s="684" t="str">
        <f>+VLOOKUP(G224,Resumen_Base!$C$8:$G$156,5,0)</f>
        <v>Guides</v>
      </c>
      <c r="G224" s="474" t="s">
        <v>323</v>
      </c>
      <c r="H224" s="210" t="s">
        <v>324</v>
      </c>
      <c r="I224" s="152" t="str">
        <f t="shared" si="3"/>
        <v>CAR5227</v>
      </c>
      <c r="J224" s="513">
        <v>388131.25</v>
      </c>
      <c r="K224" s="513">
        <v>276.25</v>
      </c>
      <c r="L224" s="513">
        <v>1405</v>
      </c>
      <c r="M224" s="513" t="s">
        <v>6059</v>
      </c>
      <c r="N224" s="513" t="s">
        <v>780</v>
      </c>
      <c r="O224" s="513" t="s">
        <v>1407</v>
      </c>
      <c r="P224" s="518" t="s">
        <v>6114</v>
      </c>
      <c r="Q224" s="152" t="s">
        <v>5873</v>
      </c>
      <c r="R224" s="152" t="s">
        <v>6115</v>
      </c>
      <c r="S224" s="152" t="s">
        <v>6129</v>
      </c>
      <c r="T224" s="152" t="s">
        <v>6116</v>
      </c>
      <c r="U224" s="152" t="s">
        <v>786</v>
      </c>
    </row>
    <row r="225" spans="4:21">
      <c r="D225" s="152" t="s">
        <v>2821</v>
      </c>
      <c r="E225" s="821" t="s">
        <v>676</v>
      </c>
      <c r="F225" s="684" t="str">
        <f>+VLOOKUP(G225,Resumen_Base!$C$8:$G$156,5,0)</f>
        <v>Guides</v>
      </c>
      <c r="G225" s="474" t="s">
        <v>323</v>
      </c>
      <c r="H225" s="210" t="s">
        <v>324</v>
      </c>
      <c r="I225" s="152" t="str">
        <f t="shared" si="3"/>
        <v>CAR5227</v>
      </c>
      <c r="J225" s="513">
        <v>96073.9</v>
      </c>
      <c r="K225" s="513">
        <v>68.38</v>
      </c>
      <c r="L225" s="513">
        <v>1405</v>
      </c>
      <c r="M225" s="513" t="s">
        <v>6059</v>
      </c>
      <c r="N225" s="513" t="s">
        <v>780</v>
      </c>
      <c r="O225" s="513" t="s">
        <v>1407</v>
      </c>
      <c r="P225" s="518" t="s">
        <v>6114</v>
      </c>
      <c r="Q225" s="152" t="s">
        <v>5873</v>
      </c>
      <c r="R225" s="152" t="s">
        <v>6115</v>
      </c>
      <c r="S225" s="152" t="s">
        <v>6130</v>
      </c>
      <c r="T225" s="152" t="s">
        <v>6116</v>
      </c>
      <c r="U225" s="152" t="s">
        <v>786</v>
      </c>
    </row>
    <row r="226" spans="4:21">
      <c r="D226" s="152" t="s">
        <v>2821</v>
      </c>
      <c r="E226" s="821" t="s">
        <v>676</v>
      </c>
      <c r="F226" s="684" t="str">
        <f>+VLOOKUP(G226,Resumen_Base!$C$8:$G$156,5,0)</f>
        <v>Guides</v>
      </c>
      <c r="G226" s="474" t="s">
        <v>323</v>
      </c>
      <c r="H226" s="210" t="s">
        <v>324</v>
      </c>
      <c r="I226" s="152" t="str">
        <f t="shared" si="3"/>
        <v>CAR5227</v>
      </c>
      <c r="J226" s="513">
        <v>417987.5</v>
      </c>
      <c r="K226" s="513">
        <v>297.5</v>
      </c>
      <c r="L226" s="513">
        <v>1405</v>
      </c>
      <c r="M226" s="513" t="s">
        <v>6059</v>
      </c>
      <c r="N226" s="513" t="s">
        <v>780</v>
      </c>
      <c r="O226" s="513" t="s">
        <v>1407</v>
      </c>
      <c r="P226" s="518" t="s">
        <v>6114</v>
      </c>
      <c r="Q226" s="152" t="s">
        <v>5873</v>
      </c>
      <c r="R226" s="152" t="s">
        <v>6115</v>
      </c>
      <c r="S226" s="152" t="s">
        <v>6131</v>
      </c>
      <c r="T226" s="152" t="s">
        <v>6116</v>
      </c>
      <c r="U226" s="152" t="s">
        <v>786</v>
      </c>
    </row>
    <row r="227" spans="4:21">
      <c r="D227" s="152" t="s">
        <v>2821</v>
      </c>
      <c r="E227" s="821" t="s">
        <v>676</v>
      </c>
      <c r="F227" s="684" t="str">
        <f>+VLOOKUP(G227,Resumen_Base!$C$8:$G$156,5,0)</f>
        <v>Guides</v>
      </c>
      <c r="G227" s="474" t="s">
        <v>323</v>
      </c>
      <c r="H227" s="210" t="s">
        <v>324</v>
      </c>
      <c r="I227" s="152" t="str">
        <f t="shared" si="3"/>
        <v>CAR5227</v>
      </c>
      <c r="J227" s="513">
        <v>477700</v>
      </c>
      <c r="K227" s="513">
        <v>340</v>
      </c>
      <c r="L227" s="513">
        <v>1405</v>
      </c>
      <c r="M227" s="513" t="s">
        <v>6059</v>
      </c>
      <c r="N227" s="513" t="s">
        <v>780</v>
      </c>
      <c r="O227" s="513" t="s">
        <v>1407</v>
      </c>
      <c r="P227" s="518" t="s">
        <v>6114</v>
      </c>
      <c r="Q227" s="152" t="s">
        <v>5873</v>
      </c>
      <c r="R227" s="152" t="s">
        <v>6115</v>
      </c>
      <c r="S227" s="152" t="s">
        <v>6132</v>
      </c>
      <c r="T227" s="152" t="s">
        <v>6116</v>
      </c>
      <c r="U227" s="152" t="s">
        <v>786</v>
      </c>
    </row>
    <row r="228" spans="4:21">
      <c r="D228" s="152" t="s">
        <v>2821</v>
      </c>
      <c r="E228" s="821" t="s">
        <v>676</v>
      </c>
      <c r="F228" s="684" t="str">
        <f>+VLOOKUP(G228,Resumen_Base!$C$8:$G$156,5,0)</f>
        <v>Guides</v>
      </c>
      <c r="G228" s="474" t="s">
        <v>323</v>
      </c>
      <c r="H228" s="210" t="s">
        <v>324</v>
      </c>
      <c r="I228" s="152" t="str">
        <f t="shared" si="3"/>
        <v>CAR5227</v>
      </c>
      <c r="J228" s="513">
        <v>268706.25</v>
      </c>
      <c r="K228" s="513">
        <v>191.25</v>
      </c>
      <c r="L228" s="513">
        <v>1405</v>
      </c>
      <c r="M228" s="513" t="s">
        <v>6059</v>
      </c>
      <c r="N228" s="513" t="s">
        <v>780</v>
      </c>
      <c r="O228" s="513" t="s">
        <v>1407</v>
      </c>
      <c r="P228" s="518" t="s">
        <v>6114</v>
      </c>
      <c r="Q228" s="152" t="s">
        <v>5873</v>
      </c>
      <c r="R228" s="152" t="s">
        <v>6115</v>
      </c>
      <c r="S228" s="152" t="s">
        <v>6133</v>
      </c>
      <c r="T228" s="152" t="s">
        <v>6116</v>
      </c>
      <c r="U228" s="152" t="s">
        <v>786</v>
      </c>
    </row>
    <row r="229" spans="4:21">
      <c r="D229" s="152" t="s">
        <v>2821</v>
      </c>
      <c r="E229" s="821" t="s">
        <v>676</v>
      </c>
      <c r="F229" s="684" t="str">
        <f>+VLOOKUP(G229,Resumen_Base!$C$8:$G$156,5,0)</f>
        <v>Guides</v>
      </c>
      <c r="G229" s="474" t="s">
        <v>323</v>
      </c>
      <c r="H229" s="210" t="s">
        <v>324</v>
      </c>
      <c r="I229" s="152" t="str">
        <f t="shared" si="3"/>
        <v>CAR5227</v>
      </c>
      <c r="J229" s="513">
        <v>119425</v>
      </c>
      <c r="K229" s="513">
        <v>85</v>
      </c>
      <c r="L229" s="513">
        <v>1405</v>
      </c>
      <c r="M229" s="513" t="s">
        <v>6059</v>
      </c>
      <c r="N229" s="513" t="s">
        <v>780</v>
      </c>
      <c r="O229" s="513" t="s">
        <v>1407</v>
      </c>
      <c r="P229" s="518" t="s">
        <v>6114</v>
      </c>
      <c r="Q229" s="152" t="s">
        <v>5873</v>
      </c>
      <c r="R229" s="152" t="s">
        <v>6115</v>
      </c>
      <c r="S229" s="152" t="s">
        <v>6134</v>
      </c>
      <c r="T229" s="152" t="s">
        <v>6116</v>
      </c>
      <c r="U229" s="152" t="s">
        <v>786</v>
      </c>
    </row>
    <row r="230" spans="4:21">
      <c r="D230" s="152" t="s">
        <v>2821</v>
      </c>
      <c r="E230" s="821" t="s">
        <v>676</v>
      </c>
      <c r="F230" s="684" t="str">
        <f>+VLOOKUP(G230,Resumen_Base!$C$8:$G$156,5,0)</f>
        <v>Guides</v>
      </c>
      <c r="G230" s="474" t="s">
        <v>323</v>
      </c>
      <c r="H230" s="210" t="s">
        <v>324</v>
      </c>
      <c r="I230" s="152" t="str">
        <f t="shared" si="3"/>
        <v>CAR5227</v>
      </c>
      <c r="J230" s="513">
        <v>179137.5</v>
      </c>
      <c r="K230" s="513">
        <v>127.5</v>
      </c>
      <c r="L230" s="513">
        <v>1405</v>
      </c>
      <c r="M230" s="513" t="s">
        <v>6059</v>
      </c>
      <c r="N230" s="513" t="s">
        <v>780</v>
      </c>
      <c r="O230" s="513" t="s">
        <v>1407</v>
      </c>
      <c r="P230" s="518" t="s">
        <v>6114</v>
      </c>
      <c r="Q230" s="152" t="s">
        <v>5873</v>
      </c>
      <c r="R230" s="152" t="s">
        <v>6115</v>
      </c>
      <c r="S230" s="152" t="s">
        <v>6135</v>
      </c>
      <c r="T230" s="152" t="s">
        <v>6116</v>
      </c>
      <c r="U230" s="152" t="s">
        <v>786</v>
      </c>
    </row>
    <row r="231" spans="4:21">
      <c r="D231" s="152" t="s">
        <v>2821</v>
      </c>
      <c r="E231" s="821" t="s">
        <v>676</v>
      </c>
      <c r="F231" s="684" t="str">
        <f>+VLOOKUP(G231,Resumen_Base!$C$8:$G$156,5,0)</f>
        <v>Guides</v>
      </c>
      <c r="G231" s="474" t="s">
        <v>323</v>
      </c>
      <c r="H231" s="210" t="s">
        <v>324</v>
      </c>
      <c r="I231" s="152" t="str">
        <f t="shared" si="3"/>
        <v>CAR5227</v>
      </c>
      <c r="J231" s="513">
        <v>447843.75</v>
      </c>
      <c r="K231" s="513">
        <v>318.75</v>
      </c>
      <c r="L231" s="513">
        <v>1405</v>
      </c>
      <c r="M231" s="513" t="s">
        <v>6059</v>
      </c>
      <c r="N231" s="513" t="s">
        <v>780</v>
      </c>
      <c r="O231" s="513" t="s">
        <v>1407</v>
      </c>
      <c r="P231" s="518" t="s">
        <v>6114</v>
      </c>
      <c r="Q231" s="152" t="s">
        <v>5873</v>
      </c>
      <c r="R231" s="152" t="s">
        <v>6115</v>
      </c>
      <c r="S231" s="152" t="s">
        <v>6136</v>
      </c>
      <c r="T231" s="152" t="s">
        <v>6116</v>
      </c>
      <c r="U231" s="152" t="s">
        <v>786</v>
      </c>
    </row>
    <row r="232" spans="4:21">
      <c r="D232" s="152" t="s">
        <v>2821</v>
      </c>
      <c r="E232" s="821" t="s">
        <v>676</v>
      </c>
      <c r="F232" s="684" t="str">
        <f>+VLOOKUP(G232,Resumen_Base!$C$8:$G$156,5,0)</f>
        <v>Guides</v>
      </c>
      <c r="G232" s="474" t="s">
        <v>323</v>
      </c>
      <c r="H232" s="210" t="s">
        <v>324</v>
      </c>
      <c r="I232" s="152" t="str">
        <f t="shared" si="3"/>
        <v>CAR5227</v>
      </c>
      <c r="J232" s="513">
        <v>358275</v>
      </c>
      <c r="K232" s="513">
        <v>255</v>
      </c>
      <c r="L232" s="513">
        <v>1405</v>
      </c>
      <c r="M232" s="513" t="s">
        <v>6059</v>
      </c>
      <c r="N232" s="513" t="s">
        <v>780</v>
      </c>
      <c r="O232" s="513" t="s">
        <v>1407</v>
      </c>
      <c r="P232" s="518" t="s">
        <v>6114</v>
      </c>
      <c r="Q232" s="152" t="s">
        <v>5873</v>
      </c>
      <c r="R232" s="152" t="s">
        <v>6115</v>
      </c>
      <c r="S232" s="152" t="s">
        <v>6137</v>
      </c>
      <c r="T232" s="152" t="s">
        <v>6116</v>
      </c>
      <c r="U232" s="152" t="s">
        <v>786</v>
      </c>
    </row>
    <row r="233" spans="4:21">
      <c r="D233" s="152" t="s">
        <v>2821</v>
      </c>
      <c r="E233" s="821" t="s">
        <v>676</v>
      </c>
      <c r="F233" s="684" t="str">
        <f>+VLOOKUP(G233,Resumen_Base!$C$8:$G$156,5,0)</f>
        <v>Guides</v>
      </c>
      <c r="G233" s="474" t="s">
        <v>323</v>
      </c>
      <c r="H233" s="210" t="s">
        <v>324</v>
      </c>
      <c r="I233" s="152" t="str">
        <f t="shared" si="3"/>
        <v>CAR5227</v>
      </c>
      <c r="J233" s="513">
        <v>208993.75</v>
      </c>
      <c r="K233" s="513">
        <v>148.75</v>
      </c>
      <c r="L233" s="513">
        <v>1405</v>
      </c>
      <c r="M233" s="513" t="s">
        <v>6059</v>
      </c>
      <c r="N233" s="513" t="s">
        <v>780</v>
      </c>
      <c r="O233" s="513" t="s">
        <v>1407</v>
      </c>
      <c r="P233" s="518" t="s">
        <v>6114</v>
      </c>
      <c r="Q233" s="152" t="s">
        <v>5873</v>
      </c>
      <c r="R233" s="152" t="s">
        <v>6115</v>
      </c>
      <c r="S233" s="152" t="s">
        <v>6138</v>
      </c>
      <c r="T233" s="152" t="s">
        <v>6116</v>
      </c>
      <c r="U233" s="152" t="s">
        <v>786</v>
      </c>
    </row>
    <row r="234" spans="4:21">
      <c r="D234" s="152" t="s">
        <v>2821</v>
      </c>
      <c r="E234" s="821" t="s">
        <v>676</v>
      </c>
      <c r="F234" s="684" t="str">
        <f>+VLOOKUP(G234,Resumen_Base!$C$8:$G$156,5,0)</f>
        <v>Guides</v>
      </c>
      <c r="G234" s="474" t="s">
        <v>323</v>
      </c>
      <c r="H234" s="210" t="s">
        <v>324</v>
      </c>
      <c r="I234" s="152" t="str">
        <f t="shared" si="3"/>
        <v>CAR5227</v>
      </c>
      <c r="J234" s="513">
        <v>439062.5</v>
      </c>
      <c r="K234" s="513">
        <v>312.5</v>
      </c>
      <c r="L234" s="513">
        <v>1405</v>
      </c>
      <c r="M234" s="513" t="s">
        <v>6059</v>
      </c>
      <c r="N234" s="513" t="s">
        <v>780</v>
      </c>
      <c r="O234" s="513" t="s">
        <v>1407</v>
      </c>
      <c r="P234" s="518" t="s">
        <v>6114</v>
      </c>
      <c r="Q234" s="152" t="s">
        <v>5873</v>
      </c>
      <c r="R234" s="152" t="s">
        <v>6115</v>
      </c>
      <c r="S234" s="152" t="s">
        <v>6139</v>
      </c>
      <c r="T234" s="152" t="s">
        <v>6116</v>
      </c>
      <c r="U234" s="152" t="s">
        <v>786</v>
      </c>
    </row>
    <row r="235" spans="4:21">
      <c r="D235" s="152" t="s">
        <v>2821</v>
      </c>
      <c r="E235" s="821" t="s">
        <v>676</v>
      </c>
      <c r="F235" s="684" t="str">
        <f>+VLOOKUP(G235,Resumen_Base!$C$8:$G$156,5,0)</f>
        <v>Guides</v>
      </c>
      <c r="G235" s="474" t="s">
        <v>323</v>
      </c>
      <c r="H235" s="210" t="s">
        <v>324</v>
      </c>
      <c r="I235" s="152" t="str">
        <f t="shared" si="3"/>
        <v>CAR5227</v>
      </c>
      <c r="J235" s="513">
        <v>134992.4</v>
      </c>
      <c r="K235" s="513">
        <v>96.08</v>
      </c>
      <c r="L235" s="513">
        <v>1405</v>
      </c>
      <c r="M235" s="513" t="s">
        <v>6059</v>
      </c>
      <c r="N235" s="513" t="s">
        <v>780</v>
      </c>
      <c r="O235" s="513" t="s">
        <v>1407</v>
      </c>
      <c r="P235" s="518" t="s">
        <v>6114</v>
      </c>
      <c r="Q235" s="152" t="s">
        <v>5873</v>
      </c>
      <c r="R235" s="152" t="s">
        <v>6115</v>
      </c>
      <c r="S235" s="152" t="s">
        <v>6148</v>
      </c>
      <c r="T235" s="152" t="s">
        <v>6116</v>
      </c>
      <c r="U235" s="152" t="s">
        <v>786</v>
      </c>
    </row>
    <row r="236" spans="4:21">
      <c r="D236" s="152" t="s">
        <v>2821</v>
      </c>
      <c r="E236" s="821" t="s">
        <v>676</v>
      </c>
      <c r="F236" s="684" t="str">
        <f>+VLOOKUP(G236,Resumen_Base!$C$8:$G$156,5,0)</f>
        <v>Guides</v>
      </c>
      <c r="G236" s="474" t="s">
        <v>323</v>
      </c>
      <c r="H236" s="210" t="s">
        <v>324</v>
      </c>
      <c r="I236" s="152" t="str">
        <f t="shared" si="3"/>
        <v>CAR5227</v>
      </c>
      <c r="J236" s="513">
        <v>1580625</v>
      </c>
      <c r="K236" s="513">
        <v>1125</v>
      </c>
      <c r="L236" s="513">
        <v>1405</v>
      </c>
      <c r="M236" s="513" t="s">
        <v>6059</v>
      </c>
      <c r="N236" s="513" t="s">
        <v>780</v>
      </c>
      <c r="O236" s="513" t="s">
        <v>1407</v>
      </c>
      <c r="P236" s="518" t="s">
        <v>6114</v>
      </c>
      <c r="Q236" s="152" t="s">
        <v>5873</v>
      </c>
      <c r="R236" s="152" t="s">
        <v>6115</v>
      </c>
      <c r="S236" s="152" t="s">
        <v>6149</v>
      </c>
      <c r="T236" s="152" t="s">
        <v>6116</v>
      </c>
      <c r="U236" s="152" t="s">
        <v>786</v>
      </c>
    </row>
    <row r="237" spans="4:21">
      <c r="D237" s="152" t="s">
        <v>2821</v>
      </c>
      <c r="E237" s="821" t="s">
        <v>676</v>
      </c>
      <c r="F237" s="684" t="str">
        <f>+VLOOKUP(G237,Resumen_Base!$C$8:$G$156,5,0)</f>
        <v>Guides</v>
      </c>
      <c r="G237" s="474" t="s">
        <v>323</v>
      </c>
      <c r="H237" s="210" t="s">
        <v>324</v>
      </c>
      <c r="I237" s="152" t="str">
        <f t="shared" si="3"/>
        <v>CAR5227</v>
      </c>
      <c r="J237" s="513">
        <v>2711.65</v>
      </c>
      <c r="K237" s="513">
        <v>1.93</v>
      </c>
      <c r="L237" s="513">
        <v>1405</v>
      </c>
      <c r="M237" s="513" t="s">
        <v>6059</v>
      </c>
      <c r="N237" s="513" t="s">
        <v>780</v>
      </c>
      <c r="O237" s="513" t="s">
        <v>1407</v>
      </c>
      <c r="P237" s="518" t="s">
        <v>6114</v>
      </c>
      <c r="Q237" s="152" t="s">
        <v>5873</v>
      </c>
      <c r="R237" s="152" t="s">
        <v>6115</v>
      </c>
      <c r="S237" s="152" t="s">
        <v>1515</v>
      </c>
      <c r="T237" s="152" t="s">
        <v>6116</v>
      </c>
      <c r="U237" s="152" t="s">
        <v>786</v>
      </c>
    </row>
    <row r="238" spans="4:21">
      <c r="D238" s="152" t="s">
        <v>2821</v>
      </c>
      <c r="E238" s="821" t="s">
        <v>676</v>
      </c>
      <c r="F238" s="684" t="str">
        <f>+VLOOKUP(G238,Resumen_Base!$C$8:$G$156,5,0)</f>
        <v>Guides</v>
      </c>
      <c r="G238" s="474" t="s">
        <v>323</v>
      </c>
      <c r="H238" s="210" t="s">
        <v>324</v>
      </c>
      <c r="I238" s="152" t="str">
        <f t="shared" si="3"/>
        <v>CAR5227</v>
      </c>
      <c r="J238" s="513">
        <v>2711.65</v>
      </c>
      <c r="K238" s="513">
        <v>1.93</v>
      </c>
      <c r="L238" s="513">
        <v>1405</v>
      </c>
      <c r="M238" s="513" t="s">
        <v>6059</v>
      </c>
      <c r="N238" s="513" t="s">
        <v>780</v>
      </c>
      <c r="O238" s="513" t="s">
        <v>1407</v>
      </c>
      <c r="P238" s="518" t="s">
        <v>6114</v>
      </c>
      <c r="Q238" s="152" t="s">
        <v>5873</v>
      </c>
      <c r="R238" s="152" t="s">
        <v>6115</v>
      </c>
      <c r="S238" s="152" t="s">
        <v>1515</v>
      </c>
      <c r="T238" s="152" t="s">
        <v>6116</v>
      </c>
      <c r="U238" s="152" t="s">
        <v>786</v>
      </c>
    </row>
    <row r="239" spans="4:21">
      <c r="D239" s="152" t="s">
        <v>2821</v>
      </c>
      <c r="E239" s="821" t="s">
        <v>676</v>
      </c>
      <c r="F239" s="684" t="str">
        <f>+VLOOKUP(G239,Resumen_Base!$C$8:$G$156,5,0)</f>
        <v>Guides</v>
      </c>
      <c r="G239" s="474" t="s">
        <v>323</v>
      </c>
      <c r="H239" s="210" t="s">
        <v>324</v>
      </c>
      <c r="I239" s="152" t="str">
        <f t="shared" si="3"/>
        <v>CAR5227</v>
      </c>
      <c r="J239" s="513">
        <v>2711.65</v>
      </c>
      <c r="K239" s="513">
        <v>1.93</v>
      </c>
      <c r="L239" s="513">
        <v>1405</v>
      </c>
      <c r="M239" s="513" t="s">
        <v>6059</v>
      </c>
      <c r="N239" s="513" t="s">
        <v>780</v>
      </c>
      <c r="O239" s="513" t="s">
        <v>1407</v>
      </c>
      <c r="P239" s="518" t="s">
        <v>6114</v>
      </c>
      <c r="Q239" s="152" t="s">
        <v>5873</v>
      </c>
      <c r="R239" s="152" t="s">
        <v>6115</v>
      </c>
      <c r="S239" s="152" t="s">
        <v>1515</v>
      </c>
      <c r="T239" s="152" t="s">
        <v>6116</v>
      </c>
      <c r="U239" s="152" t="s">
        <v>786</v>
      </c>
    </row>
    <row r="240" spans="4:21">
      <c r="D240" s="152" t="s">
        <v>2821</v>
      </c>
      <c r="E240" s="821" t="s">
        <v>676</v>
      </c>
      <c r="F240" s="684" t="str">
        <f>+VLOOKUP(G240,Resumen_Base!$C$8:$G$156,5,0)</f>
        <v>Guides</v>
      </c>
      <c r="G240" s="474" t="s">
        <v>323</v>
      </c>
      <c r="H240" s="210" t="s">
        <v>324</v>
      </c>
      <c r="I240" s="152" t="str">
        <f t="shared" si="3"/>
        <v>CAR5227</v>
      </c>
      <c r="J240" s="513">
        <v>2711.65</v>
      </c>
      <c r="K240" s="513">
        <v>1.93</v>
      </c>
      <c r="L240" s="513">
        <v>1405</v>
      </c>
      <c r="M240" s="513" t="s">
        <v>6059</v>
      </c>
      <c r="N240" s="513" t="s">
        <v>780</v>
      </c>
      <c r="O240" s="513" t="s">
        <v>1407</v>
      </c>
      <c r="P240" s="518" t="s">
        <v>6114</v>
      </c>
      <c r="Q240" s="152" t="s">
        <v>5873</v>
      </c>
      <c r="R240" s="152" t="s">
        <v>6115</v>
      </c>
      <c r="S240" s="152" t="s">
        <v>1515</v>
      </c>
      <c r="T240" s="152" t="s">
        <v>6116</v>
      </c>
      <c r="U240" s="152" t="s">
        <v>786</v>
      </c>
    </row>
    <row r="241" spans="4:21">
      <c r="D241" s="152" t="s">
        <v>2821</v>
      </c>
      <c r="E241" s="821" t="s">
        <v>676</v>
      </c>
      <c r="F241" s="684" t="str">
        <f>+VLOOKUP(G241,Resumen_Base!$C$8:$G$156,5,0)</f>
        <v>Guides</v>
      </c>
      <c r="G241" s="474" t="s">
        <v>323</v>
      </c>
      <c r="H241" s="210" t="s">
        <v>324</v>
      </c>
      <c r="I241" s="152" t="str">
        <f t="shared" si="3"/>
        <v>CAR5227</v>
      </c>
      <c r="J241" s="513">
        <v>2711.65</v>
      </c>
      <c r="K241" s="513">
        <v>1.93</v>
      </c>
      <c r="L241" s="513">
        <v>1405</v>
      </c>
      <c r="M241" s="513" t="s">
        <v>6059</v>
      </c>
      <c r="N241" s="513" t="s">
        <v>780</v>
      </c>
      <c r="O241" s="513" t="s">
        <v>1407</v>
      </c>
      <c r="P241" s="518" t="s">
        <v>6114</v>
      </c>
      <c r="Q241" s="152" t="s">
        <v>5873</v>
      </c>
      <c r="R241" s="152" t="s">
        <v>6115</v>
      </c>
      <c r="S241" s="152" t="s">
        <v>1515</v>
      </c>
      <c r="T241" s="152" t="s">
        <v>6116</v>
      </c>
      <c r="U241" s="152" t="s">
        <v>786</v>
      </c>
    </row>
    <row r="242" spans="4:21">
      <c r="D242" s="152" t="s">
        <v>2821</v>
      </c>
      <c r="E242" s="821" t="s">
        <v>676</v>
      </c>
      <c r="F242" s="684" t="str">
        <f>+VLOOKUP(G242,Resumen_Base!$C$8:$G$156,5,0)</f>
        <v>Guides</v>
      </c>
      <c r="G242" s="474" t="s">
        <v>323</v>
      </c>
      <c r="H242" s="210" t="s">
        <v>324</v>
      </c>
      <c r="I242" s="152" t="str">
        <f t="shared" si="3"/>
        <v>CAR5227</v>
      </c>
      <c r="J242" s="513">
        <v>2711.65</v>
      </c>
      <c r="K242" s="513">
        <v>1.93</v>
      </c>
      <c r="L242" s="513">
        <v>1405</v>
      </c>
      <c r="M242" s="513" t="s">
        <v>6059</v>
      </c>
      <c r="N242" s="513" t="s">
        <v>780</v>
      </c>
      <c r="O242" s="513" t="s">
        <v>1407</v>
      </c>
      <c r="P242" s="518" t="s">
        <v>6114</v>
      </c>
      <c r="Q242" s="152" t="s">
        <v>5873</v>
      </c>
      <c r="R242" s="152" t="s">
        <v>6115</v>
      </c>
      <c r="S242" s="152" t="s">
        <v>1515</v>
      </c>
      <c r="T242" s="152" t="s">
        <v>6116</v>
      </c>
      <c r="U242" s="152" t="s">
        <v>786</v>
      </c>
    </row>
    <row r="243" spans="4:21">
      <c r="D243" s="152" t="s">
        <v>2821</v>
      </c>
      <c r="E243" s="821" t="s">
        <v>676</v>
      </c>
      <c r="F243" s="684" t="str">
        <f>+VLOOKUP(G243,Resumen_Base!$C$8:$G$156,5,0)</f>
        <v>Guides</v>
      </c>
      <c r="G243" s="474" t="s">
        <v>323</v>
      </c>
      <c r="H243" s="210" t="s">
        <v>324</v>
      </c>
      <c r="I243" s="152" t="str">
        <f t="shared" si="3"/>
        <v>CAR5227</v>
      </c>
      <c r="J243" s="513">
        <v>2711.65</v>
      </c>
      <c r="K243" s="513">
        <v>1.93</v>
      </c>
      <c r="L243" s="513">
        <v>1405</v>
      </c>
      <c r="M243" s="513" t="s">
        <v>6059</v>
      </c>
      <c r="N243" s="513" t="s">
        <v>780</v>
      </c>
      <c r="O243" s="513" t="s">
        <v>1407</v>
      </c>
      <c r="P243" s="518" t="s">
        <v>6114</v>
      </c>
      <c r="Q243" s="152" t="s">
        <v>5873</v>
      </c>
      <c r="R243" s="152" t="s">
        <v>6115</v>
      </c>
      <c r="S243" s="152" t="s">
        <v>1515</v>
      </c>
      <c r="T243" s="152" t="s">
        <v>6116</v>
      </c>
      <c r="U243" s="152" t="s">
        <v>786</v>
      </c>
    </row>
    <row r="244" spans="4:21">
      <c r="D244" s="152" t="s">
        <v>2821</v>
      </c>
      <c r="E244" s="821" t="s">
        <v>676</v>
      </c>
      <c r="F244" s="684" t="str">
        <f>+VLOOKUP(G244,Resumen_Base!$C$8:$G$156,5,0)</f>
        <v>Guides</v>
      </c>
      <c r="G244" s="474" t="s">
        <v>323</v>
      </c>
      <c r="H244" s="210" t="s">
        <v>324</v>
      </c>
      <c r="I244" s="152" t="str">
        <f t="shared" si="3"/>
        <v>CAR5227</v>
      </c>
      <c r="J244" s="513">
        <v>2711.65</v>
      </c>
      <c r="K244" s="513">
        <v>1.93</v>
      </c>
      <c r="L244" s="513">
        <v>1405</v>
      </c>
      <c r="M244" s="513" t="s">
        <v>6059</v>
      </c>
      <c r="N244" s="513" t="s">
        <v>780</v>
      </c>
      <c r="O244" s="513" t="s">
        <v>1407</v>
      </c>
      <c r="P244" s="518" t="s">
        <v>6114</v>
      </c>
      <c r="Q244" s="152" t="s">
        <v>5873</v>
      </c>
      <c r="R244" s="152" t="s">
        <v>6115</v>
      </c>
      <c r="S244" s="152" t="s">
        <v>1515</v>
      </c>
      <c r="T244" s="152" t="s">
        <v>6116</v>
      </c>
      <c r="U244" s="152" t="s">
        <v>786</v>
      </c>
    </row>
    <row r="245" spans="4:21">
      <c r="D245" s="152" t="s">
        <v>2821</v>
      </c>
      <c r="E245" s="821" t="s">
        <v>676</v>
      </c>
      <c r="F245" s="684" t="str">
        <f>+VLOOKUP(G245,Resumen_Base!$C$8:$G$156,5,0)</f>
        <v>Guides</v>
      </c>
      <c r="G245" s="474" t="s">
        <v>323</v>
      </c>
      <c r="H245" s="210" t="s">
        <v>324</v>
      </c>
      <c r="I245" s="152" t="str">
        <f t="shared" si="3"/>
        <v>CAR5227</v>
      </c>
      <c r="J245" s="513">
        <v>2711.65</v>
      </c>
      <c r="K245" s="513">
        <v>1.93</v>
      </c>
      <c r="L245" s="513">
        <v>1405</v>
      </c>
      <c r="M245" s="513" t="s">
        <v>6059</v>
      </c>
      <c r="N245" s="513" t="s">
        <v>780</v>
      </c>
      <c r="O245" s="513" t="s">
        <v>1407</v>
      </c>
      <c r="P245" s="518" t="s">
        <v>6114</v>
      </c>
      <c r="Q245" s="152" t="s">
        <v>5873</v>
      </c>
      <c r="R245" s="152" t="s">
        <v>6115</v>
      </c>
      <c r="S245" s="152" t="s">
        <v>1515</v>
      </c>
      <c r="T245" s="152" t="s">
        <v>6116</v>
      </c>
      <c r="U245" s="152" t="s">
        <v>786</v>
      </c>
    </row>
    <row r="246" spans="4:21">
      <c r="D246" s="152" t="s">
        <v>2821</v>
      </c>
      <c r="E246" s="821" t="s">
        <v>676</v>
      </c>
      <c r="F246" s="684" t="str">
        <f>+VLOOKUP(G246,Resumen_Base!$C$8:$G$156,5,0)</f>
        <v>Guides</v>
      </c>
      <c r="G246" s="474" t="s">
        <v>323</v>
      </c>
      <c r="H246" s="210" t="s">
        <v>324</v>
      </c>
      <c r="I246" s="152" t="str">
        <f t="shared" si="3"/>
        <v>CAR5227</v>
      </c>
      <c r="J246" s="513">
        <v>2711.65</v>
      </c>
      <c r="K246" s="513">
        <v>1.93</v>
      </c>
      <c r="L246" s="513">
        <v>1405</v>
      </c>
      <c r="M246" s="513" t="s">
        <v>6059</v>
      </c>
      <c r="N246" s="513" t="s">
        <v>780</v>
      </c>
      <c r="O246" s="513" t="s">
        <v>1407</v>
      </c>
      <c r="P246" s="518" t="s">
        <v>6114</v>
      </c>
      <c r="Q246" s="152" t="s">
        <v>5873</v>
      </c>
      <c r="R246" s="152" t="s">
        <v>6115</v>
      </c>
      <c r="S246" s="152" t="s">
        <v>1515</v>
      </c>
      <c r="T246" s="152" t="s">
        <v>6116</v>
      </c>
      <c r="U246" s="152" t="s">
        <v>786</v>
      </c>
    </row>
    <row r="247" spans="4:21">
      <c r="D247" s="152" t="s">
        <v>2821</v>
      </c>
      <c r="E247" s="821" t="s">
        <v>676</v>
      </c>
      <c r="F247" s="684" t="str">
        <f>+VLOOKUP(G247,Resumen_Base!$C$8:$G$156,5,0)</f>
        <v>Guides</v>
      </c>
      <c r="G247" s="474" t="s">
        <v>323</v>
      </c>
      <c r="H247" s="210" t="s">
        <v>324</v>
      </c>
      <c r="I247" s="152" t="str">
        <f t="shared" si="3"/>
        <v>CAR5227</v>
      </c>
      <c r="J247" s="513">
        <v>2711.65</v>
      </c>
      <c r="K247" s="513">
        <v>1.93</v>
      </c>
      <c r="L247" s="513">
        <v>1405</v>
      </c>
      <c r="M247" s="513" t="s">
        <v>6059</v>
      </c>
      <c r="N247" s="513" t="s">
        <v>780</v>
      </c>
      <c r="O247" s="513" t="s">
        <v>1407</v>
      </c>
      <c r="P247" s="518" t="s">
        <v>6114</v>
      </c>
      <c r="Q247" s="152" t="s">
        <v>5873</v>
      </c>
      <c r="R247" s="152" t="s">
        <v>6115</v>
      </c>
      <c r="S247" s="152" t="s">
        <v>1515</v>
      </c>
      <c r="T247" s="152" t="s">
        <v>6116</v>
      </c>
      <c r="U247" s="152" t="s">
        <v>786</v>
      </c>
    </row>
    <row r="248" spans="4:21">
      <c r="D248" s="152" t="s">
        <v>2821</v>
      </c>
      <c r="E248" s="821" t="s">
        <v>676</v>
      </c>
      <c r="F248" s="684" t="str">
        <f>+VLOOKUP(G248,Resumen_Base!$C$8:$G$156,5,0)</f>
        <v>Guides</v>
      </c>
      <c r="G248" s="474" t="s">
        <v>323</v>
      </c>
      <c r="H248" s="210" t="s">
        <v>324</v>
      </c>
      <c r="I248" s="152" t="str">
        <f t="shared" si="3"/>
        <v>CAR5227</v>
      </c>
      <c r="J248" s="513">
        <v>2711.65</v>
      </c>
      <c r="K248" s="513">
        <v>1.93</v>
      </c>
      <c r="L248" s="513">
        <v>1405</v>
      </c>
      <c r="M248" s="513" t="s">
        <v>6059</v>
      </c>
      <c r="N248" s="513" t="s">
        <v>780</v>
      </c>
      <c r="O248" s="513" t="s">
        <v>1407</v>
      </c>
      <c r="P248" s="518" t="s">
        <v>6114</v>
      </c>
      <c r="Q248" s="152" t="s">
        <v>5873</v>
      </c>
      <c r="R248" s="152" t="s">
        <v>6115</v>
      </c>
      <c r="S248" s="152" t="s">
        <v>1515</v>
      </c>
      <c r="T248" s="152" t="s">
        <v>6116</v>
      </c>
      <c r="U248" s="152" t="s">
        <v>786</v>
      </c>
    </row>
    <row r="249" spans="4:21">
      <c r="D249" s="152" t="s">
        <v>2821</v>
      </c>
      <c r="E249" s="821" t="s">
        <v>676</v>
      </c>
      <c r="F249" s="684" t="str">
        <f>+VLOOKUP(G249,Resumen_Base!$C$8:$G$156,5,0)</f>
        <v>Guides</v>
      </c>
      <c r="G249" s="474" t="s">
        <v>323</v>
      </c>
      <c r="H249" s="210" t="s">
        <v>324</v>
      </c>
      <c r="I249" s="152" t="str">
        <f t="shared" si="3"/>
        <v>CAR5227</v>
      </c>
      <c r="J249" s="513">
        <v>2711.65</v>
      </c>
      <c r="K249" s="513">
        <v>1.93</v>
      </c>
      <c r="L249" s="513">
        <v>1405</v>
      </c>
      <c r="M249" s="513" t="s">
        <v>6059</v>
      </c>
      <c r="N249" s="513" t="s">
        <v>780</v>
      </c>
      <c r="O249" s="513" t="s">
        <v>1407</v>
      </c>
      <c r="P249" s="518" t="s">
        <v>6114</v>
      </c>
      <c r="Q249" s="152" t="s">
        <v>5873</v>
      </c>
      <c r="R249" s="152" t="s">
        <v>6115</v>
      </c>
      <c r="S249" s="152" t="s">
        <v>1515</v>
      </c>
      <c r="T249" s="152" t="s">
        <v>6116</v>
      </c>
      <c r="U249" s="152" t="s">
        <v>786</v>
      </c>
    </row>
    <row r="250" spans="4:21">
      <c r="D250" s="152" t="s">
        <v>2821</v>
      </c>
      <c r="E250" s="821" t="s">
        <v>676</v>
      </c>
      <c r="F250" s="684" t="str">
        <f>+VLOOKUP(G250,Resumen_Base!$C$8:$G$156,5,0)</f>
        <v>Guides</v>
      </c>
      <c r="G250" s="474" t="s">
        <v>323</v>
      </c>
      <c r="H250" s="210" t="s">
        <v>324</v>
      </c>
      <c r="I250" s="152" t="str">
        <f t="shared" si="3"/>
        <v>CAR5227</v>
      </c>
      <c r="J250" s="513">
        <v>2711.65</v>
      </c>
      <c r="K250" s="513">
        <v>1.93</v>
      </c>
      <c r="L250" s="513">
        <v>1405</v>
      </c>
      <c r="M250" s="513" t="s">
        <v>6059</v>
      </c>
      <c r="N250" s="513" t="s">
        <v>780</v>
      </c>
      <c r="O250" s="513" t="s">
        <v>1407</v>
      </c>
      <c r="P250" s="518" t="s">
        <v>6114</v>
      </c>
      <c r="Q250" s="152" t="s">
        <v>5873</v>
      </c>
      <c r="R250" s="152" t="s">
        <v>6115</v>
      </c>
      <c r="S250" s="152" t="s">
        <v>1515</v>
      </c>
      <c r="T250" s="152" t="s">
        <v>6116</v>
      </c>
      <c r="U250" s="152" t="s">
        <v>786</v>
      </c>
    </row>
    <row r="251" spans="4:21">
      <c r="D251" s="152" t="s">
        <v>2821</v>
      </c>
      <c r="E251" s="821" t="s">
        <v>676</v>
      </c>
      <c r="F251" s="684" t="str">
        <f>+VLOOKUP(G251,Resumen_Base!$C$8:$G$156,5,0)</f>
        <v>Guides</v>
      </c>
      <c r="G251" s="474" t="s">
        <v>323</v>
      </c>
      <c r="H251" s="210" t="s">
        <v>324</v>
      </c>
      <c r="I251" s="152" t="str">
        <f t="shared" si="3"/>
        <v>CAR5227</v>
      </c>
      <c r="J251" s="513">
        <v>2711.65</v>
      </c>
      <c r="K251" s="513">
        <v>1.93</v>
      </c>
      <c r="L251" s="513">
        <v>1405</v>
      </c>
      <c r="M251" s="513" t="s">
        <v>6059</v>
      </c>
      <c r="N251" s="513" t="s">
        <v>780</v>
      </c>
      <c r="O251" s="513" t="s">
        <v>1407</v>
      </c>
      <c r="P251" s="518" t="s">
        <v>6114</v>
      </c>
      <c r="Q251" s="152" t="s">
        <v>5873</v>
      </c>
      <c r="R251" s="152" t="s">
        <v>6115</v>
      </c>
      <c r="S251" s="152" t="s">
        <v>1515</v>
      </c>
      <c r="T251" s="152" t="s">
        <v>6116</v>
      </c>
      <c r="U251" s="152" t="s">
        <v>786</v>
      </c>
    </row>
    <row r="252" spans="4:21">
      <c r="D252" s="152" t="s">
        <v>2821</v>
      </c>
      <c r="E252" s="821" t="s">
        <v>676</v>
      </c>
      <c r="F252" s="684" t="str">
        <f>+VLOOKUP(G252,Resumen_Base!$C$8:$G$156,5,0)</f>
        <v>Guides</v>
      </c>
      <c r="G252" s="474" t="s">
        <v>323</v>
      </c>
      <c r="H252" s="210" t="s">
        <v>324</v>
      </c>
      <c r="I252" s="152" t="str">
        <f t="shared" si="3"/>
        <v>CAR5227</v>
      </c>
      <c r="J252" s="513">
        <v>2711.65</v>
      </c>
      <c r="K252" s="513">
        <v>1.93</v>
      </c>
      <c r="L252" s="513">
        <v>1405</v>
      </c>
      <c r="M252" s="513" t="s">
        <v>6059</v>
      </c>
      <c r="N252" s="513" t="s">
        <v>780</v>
      </c>
      <c r="O252" s="513" t="s">
        <v>1407</v>
      </c>
      <c r="P252" s="518" t="s">
        <v>6114</v>
      </c>
      <c r="Q252" s="152" t="s">
        <v>5873</v>
      </c>
      <c r="R252" s="152" t="s">
        <v>6115</v>
      </c>
      <c r="S252" s="152" t="s">
        <v>6162</v>
      </c>
      <c r="T252" s="152" t="s">
        <v>6116</v>
      </c>
      <c r="U252" s="152" t="s">
        <v>786</v>
      </c>
    </row>
    <row r="253" spans="4:21">
      <c r="D253" s="152" t="s">
        <v>2821</v>
      </c>
      <c r="E253" s="821" t="s">
        <v>676</v>
      </c>
      <c r="F253" s="684" t="str">
        <f>+VLOOKUP(G253,Resumen_Base!$C$8:$G$156,5,0)</f>
        <v>Guides</v>
      </c>
      <c r="G253" s="474" t="s">
        <v>323</v>
      </c>
      <c r="H253" s="210" t="s">
        <v>324</v>
      </c>
      <c r="I253" s="152" t="str">
        <f t="shared" si="3"/>
        <v>CAR5227</v>
      </c>
      <c r="J253" s="513">
        <v>2766093.75</v>
      </c>
      <c r="K253" s="513">
        <v>1968.75</v>
      </c>
      <c r="L253" s="513">
        <v>1405</v>
      </c>
      <c r="M253" s="513" t="s">
        <v>6059</v>
      </c>
      <c r="N253" s="513" t="s">
        <v>780</v>
      </c>
      <c r="O253" s="513" t="s">
        <v>1407</v>
      </c>
      <c r="P253" s="518" t="s">
        <v>6114</v>
      </c>
      <c r="Q253" s="152" t="s">
        <v>5873</v>
      </c>
      <c r="R253" s="152" t="s">
        <v>6115</v>
      </c>
      <c r="S253" s="152" t="s">
        <v>6198</v>
      </c>
      <c r="T253" s="152" t="s">
        <v>6116</v>
      </c>
      <c r="U253" s="152" t="s">
        <v>786</v>
      </c>
    </row>
    <row r="254" spans="4:21">
      <c r="D254" s="152" t="s">
        <v>2821</v>
      </c>
      <c r="E254" s="821" t="s">
        <v>676</v>
      </c>
      <c r="F254" s="684" t="str">
        <f>+VLOOKUP(G254,Resumen_Base!$C$8:$G$156,5,0)</f>
        <v>Guides</v>
      </c>
      <c r="G254" s="474" t="s">
        <v>323</v>
      </c>
      <c r="H254" s="210" t="s">
        <v>324</v>
      </c>
      <c r="I254" s="152" t="str">
        <f t="shared" si="3"/>
        <v>CAR5227</v>
      </c>
      <c r="J254" s="513">
        <v>3653000</v>
      </c>
      <c r="K254" s="513">
        <v>2600</v>
      </c>
      <c r="L254" s="513">
        <v>1405</v>
      </c>
      <c r="M254" s="513" t="s">
        <v>6059</v>
      </c>
      <c r="N254" s="513" t="s">
        <v>780</v>
      </c>
      <c r="O254" s="513" t="s">
        <v>1407</v>
      </c>
      <c r="P254" s="518" t="s">
        <v>6114</v>
      </c>
      <c r="Q254" s="152" t="s">
        <v>5873</v>
      </c>
      <c r="R254" s="152" t="s">
        <v>6115</v>
      </c>
      <c r="S254" s="152" t="s">
        <v>6199</v>
      </c>
      <c r="T254" s="152" t="s">
        <v>6116</v>
      </c>
      <c r="U254" s="152" t="s">
        <v>786</v>
      </c>
    </row>
    <row r="255" spans="4:21">
      <c r="D255" s="152" t="s">
        <v>2821</v>
      </c>
      <c r="E255" s="821" t="s">
        <v>676</v>
      </c>
      <c r="F255" s="684" t="str">
        <f>+VLOOKUP(G255,Resumen_Base!$C$8:$G$156,5,0)</f>
        <v>Guides</v>
      </c>
      <c r="G255" s="474" t="s">
        <v>323</v>
      </c>
      <c r="H255" s="210" t="s">
        <v>324</v>
      </c>
      <c r="I255" s="152" t="str">
        <f t="shared" si="3"/>
        <v>CAR5227</v>
      </c>
      <c r="J255" s="513">
        <v>1334750</v>
      </c>
      <c r="K255" s="513">
        <v>950</v>
      </c>
      <c r="L255" s="513">
        <v>1405</v>
      </c>
      <c r="M255" s="513" t="s">
        <v>6059</v>
      </c>
      <c r="N255" s="513" t="s">
        <v>780</v>
      </c>
      <c r="O255" s="513" t="s">
        <v>1407</v>
      </c>
      <c r="P255" s="518" t="s">
        <v>6114</v>
      </c>
      <c r="Q255" s="152" t="s">
        <v>5873</v>
      </c>
      <c r="R255" s="152" t="s">
        <v>6115</v>
      </c>
      <c r="S255" s="152" t="s">
        <v>6200</v>
      </c>
      <c r="T255" s="152" t="s">
        <v>6116</v>
      </c>
      <c r="U255" s="152" t="s">
        <v>786</v>
      </c>
    </row>
    <row r="256" spans="4:21">
      <c r="D256" s="152" t="s">
        <v>2821</v>
      </c>
      <c r="E256" s="821" t="s">
        <v>676</v>
      </c>
      <c r="F256" s="684" t="str">
        <f>+VLOOKUP(G256,Resumen_Base!$C$8:$G$156,5,0)</f>
        <v>Guides</v>
      </c>
      <c r="G256" s="474" t="s">
        <v>323</v>
      </c>
      <c r="H256" s="210" t="s">
        <v>324</v>
      </c>
      <c r="I256" s="152" t="str">
        <f t="shared" si="3"/>
        <v>CAR5227</v>
      </c>
      <c r="J256" s="513">
        <v>2177750</v>
      </c>
      <c r="K256" s="513">
        <v>1550</v>
      </c>
      <c r="L256" s="513">
        <v>1405</v>
      </c>
      <c r="M256" s="513" t="s">
        <v>6059</v>
      </c>
      <c r="N256" s="513" t="s">
        <v>780</v>
      </c>
      <c r="O256" s="513" t="s">
        <v>1407</v>
      </c>
      <c r="P256" s="518" t="s">
        <v>6114</v>
      </c>
      <c r="Q256" s="152" t="s">
        <v>5873</v>
      </c>
      <c r="R256" s="152" t="s">
        <v>6115</v>
      </c>
      <c r="S256" s="152" t="s">
        <v>6201</v>
      </c>
      <c r="T256" s="152" t="s">
        <v>6116</v>
      </c>
      <c r="U256" s="152" t="s">
        <v>786</v>
      </c>
    </row>
    <row r="257" spans="4:21">
      <c r="D257" s="152" t="s">
        <v>2821</v>
      </c>
      <c r="E257" s="821" t="s">
        <v>676</v>
      </c>
      <c r="F257" s="684" t="str">
        <f>+VLOOKUP(G257,Resumen_Base!$C$8:$G$156,5,0)</f>
        <v>Guides</v>
      </c>
      <c r="G257" s="474" t="s">
        <v>323</v>
      </c>
      <c r="H257" s="210" t="s">
        <v>324</v>
      </c>
      <c r="I257" s="152" t="str">
        <f t="shared" si="3"/>
        <v>CAR5227</v>
      </c>
      <c r="J257" s="513">
        <v>2107500</v>
      </c>
      <c r="K257" s="513">
        <v>1500</v>
      </c>
      <c r="L257" s="513">
        <v>1405</v>
      </c>
      <c r="M257" s="513" t="s">
        <v>6059</v>
      </c>
      <c r="N257" s="513" t="s">
        <v>780</v>
      </c>
      <c r="O257" s="513" t="s">
        <v>1407</v>
      </c>
      <c r="P257" s="518" t="s">
        <v>6114</v>
      </c>
      <c r="Q257" s="152" t="s">
        <v>5873</v>
      </c>
      <c r="R257" s="152" t="s">
        <v>6115</v>
      </c>
      <c r="S257" s="152" t="s">
        <v>6202</v>
      </c>
      <c r="T257" s="152" t="s">
        <v>6116</v>
      </c>
      <c r="U257" s="152" t="s">
        <v>786</v>
      </c>
    </row>
    <row r="258" spans="4:21">
      <c r="D258" s="152" t="s">
        <v>2821</v>
      </c>
      <c r="E258" s="821" t="s">
        <v>676</v>
      </c>
      <c r="F258" s="684" t="str">
        <f>+VLOOKUP(G258,Resumen_Base!$C$8:$G$156,5,0)</f>
        <v>Guides</v>
      </c>
      <c r="G258" s="474" t="s">
        <v>323</v>
      </c>
      <c r="H258" s="210" t="s">
        <v>324</v>
      </c>
      <c r="I258" s="152" t="str">
        <f t="shared" si="3"/>
        <v>CAR5227</v>
      </c>
      <c r="J258" s="513">
        <v>2504412.5</v>
      </c>
      <c r="K258" s="513">
        <v>1782.5</v>
      </c>
      <c r="L258" s="513">
        <v>1405</v>
      </c>
      <c r="M258" s="513" t="s">
        <v>6059</v>
      </c>
      <c r="N258" s="513" t="s">
        <v>780</v>
      </c>
      <c r="O258" s="513" t="s">
        <v>1407</v>
      </c>
      <c r="P258" s="518" t="s">
        <v>6114</v>
      </c>
      <c r="Q258" s="152" t="s">
        <v>5873</v>
      </c>
      <c r="R258" s="152" t="s">
        <v>6115</v>
      </c>
      <c r="S258" s="152" t="s">
        <v>6203</v>
      </c>
      <c r="T258" s="152" t="s">
        <v>6116</v>
      </c>
      <c r="U258" s="152" t="s">
        <v>786</v>
      </c>
    </row>
    <row r="259" spans="4:21">
      <c r="D259" s="152" t="s">
        <v>2821</v>
      </c>
      <c r="E259" s="821" t="s">
        <v>676</v>
      </c>
      <c r="F259" s="684" t="str">
        <f>+VLOOKUP(G259,Resumen_Base!$C$8:$G$156,5,0)</f>
        <v>Guides</v>
      </c>
      <c r="G259" s="474" t="s">
        <v>323</v>
      </c>
      <c r="H259" s="210" t="s">
        <v>324</v>
      </c>
      <c r="I259" s="152" t="str">
        <f t="shared" si="3"/>
        <v>CAR5227</v>
      </c>
      <c r="J259" s="513">
        <v>1475250</v>
      </c>
      <c r="K259" s="513">
        <v>1050</v>
      </c>
      <c r="L259" s="513">
        <v>1405</v>
      </c>
      <c r="M259" s="513" t="s">
        <v>6059</v>
      </c>
      <c r="N259" s="513" t="s">
        <v>780</v>
      </c>
      <c r="O259" s="513" t="s">
        <v>1407</v>
      </c>
      <c r="P259" s="518" t="s">
        <v>6114</v>
      </c>
      <c r="Q259" s="152" t="s">
        <v>5873</v>
      </c>
      <c r="R259" s="152" t="s">
        <v>6115</v>
      </c>
      <c r="S259" s="152" t="s">
        <v>6204</v>
      </c>
      <c r="T259" s="152" t="s">
        <v>6116</v>
      </c>
      <c r="U259" s="152" t="s">
        <v>786</v>
      </c>
    </row>
    <row r="260" spans="4:21">
      <c r="D260" s="152" t="s">
        <v>2821</v>
      </c>
      <c r="E260" s="821" t="s">
        <v>676</v>
      </c>
      <c r="F260" s="684" t="str">
        <f>+VLOOKUP(G260,Resumen_Base!$C$8:$G$156,5,0)</f>
        <v>Guides</v>
      </c>
      <c r="G260" s="474" t="s">
        <v>323</v>
      </c>
      <c r="H260" s="210" t="s">
        <v>324</v>
      </c>
      <c r="I260" s="152" t="str">
        <f t="shared" si="3"/>
        <v>CAR5227</v>
      </c>
      <c r="J260" s="513">
        <v>1545500</v>
      </c>
      <c r="K260" s="513">
        <v>1100</v>
      </c>
      <c r="L260" s="513">
        <v>1405</v>
      </c>
      <c r="M260" s="513" t="s">
        <v>6059</v>
      </c>
      <c r="N260" s="513" t="s">
        <v>780</v>
      </c>
      <c r="O260" s="513" t="s">
        <v>1407</v>
      </c>
      <c r="P260" s="518" t="s">
        <v>6110</v>
      </c>
      <c r="Q260" s="152" t="s">
        <v>5873</v>
      </c>
      <c r="R260" s="152" t="s">
        <v>6111</v>
      </c>
      <c r="S260" s="152" t="s">
        <v>6211</v>
      </c>
      <c r="T260" s="152" t="s">
        <v>6113</v>
      </c>
      <c r="U260" s="152" t="s">
        <v>786</v>
      </c>
    </row>
    <row r="261" spans="4:21">
      <c r="D261" s="152" t="s">
        <v>2821</v>
      </c>
      <c r="E261" s="821" t="s">
        <v>676</v>
      </c>
      <c r="F261" s="684" t="str">
        <f>+VLOOKUP(G261,Resumen_Base!$C$8:$G$156,5,0)</f>
        <v>Guides</v>
      </c>
      <c r="G261" s="474" t="s">
        <v>323</v>
      </c>
      <c r="H261" s="210" t="s">
        <v>324</v>
      </c>
      <c r="I261" s="152" t="str">
        <f t="shared" si="3"/>
        <v>CAR5227</v>
      </c>
      <c r="J261" s="513">
        <v>1334750</v>
      </c>
      <c r="K261" s="513">
        <v>950</v>
      </c>
      <c r="L261" s="513">
        <v>1405</v>
      </c>
      <c r="M261" s="513" t="s">
        <v>6059</v>
      </c>
      <c r="N261" s="513" t="s">
        <v>780</v>
      </c>
      <c r="O261" s="513" t="s">
        <v>1407</v>
      </c>
      <c r="P261" s="518" t="s">
        <v>6110</v>
      </c>
      <c r="Q261" s="152" t="s">
        <v>5873</v>
      </c>
      <c r="R261" s="152" t="s">
        <v>6111</v>
      </c>
      <c r="S261" s="152" t="s">
        <v>6212</v>
      </c>
      <c r="T261" s="152" t="s">
        <v>6113</v>
      </c>
      <c r="U261" s="152" t="s">
        <v>786</v>
      </c>
    </row>
    <row r="262" spans="4:21">
      <c r="D262" s="152" t="s">
        <v>2821</v>
      </c>
      <c r="E262" s="821" t="s">
        <v>676</v>
      </c>
      <c r="F262" s="684" t="str">
        <f>+VLOOKUP(G262,Resumen_Base!$C$8:$G$156,5,0)</f>
        <v>Guides</v>
      </c>
      <c r="G262" s="474" t="s">
        <v>323</v>
      </c>
      <c r="H262" s="210" t="s">
        <v>324</v>
      </c>
      <c r="I262" s="152" t="str">
        <f t="shared" si="3"/>
        <v>CAR5227</v>
      </c>
      <c r="J262" s="513">
        <v>492480.6</v>
      </c>
      <c r="K262" s="513">
        <v>350.52</v>
      </c>
      <c r="L262" s="513">
        <v>1405</v>
      </c>
      <c r="M262" s="513" t="s">
        <v>6303</v>
      </c>
      <c r="N262" s="513" t="s">
        <v>780</v>
      </c>
      <c r="O262" s="513" t="s">
        <v>1407</v>
      </c>
      <c r="P262" s="518" t="s">
        <v>6484</v>
      </c>
      <c r="Q262" s="152" t="s">
        <v>5873</v>
      </c>
      <c r="R262" s="152" t="s">
        <v>6485</v>
      </c>
      <c r="S262" s="152" t="s">
        <v>6486</v>
      </c>
      <c r="T262" s="152" t="s">
        <v>6487</v>
      </c>
      <c r="U262" s="152" t="s">
        <v>786</v>
      </c>
    </row>
    <row r="263" spans="4:21">
      <c r="D263" s="152" t="s">
        <v>2821</v>
      </c>
      <c r="E263" s="821" t="s">
        <v>676</v>
      </c>
      <c r="F263" s="684" t="str">
        <f>+VLOOKUP(G263,Resumen_Base!$C$8:$G$156,5,0)</f>
        <v>Guides</v>
      </c>
      <c r="G263" s="474" t="s">
        <v>323</v>
      </c>
      <c r="H263" s="210" t="s">
        <v>324</v>
      </c>
      <c r="I263" s="152" t="str">
        <f t="shared" si="3"/>
        <v>CAR5227</v>
      </c>
      <c r="J263" s="513">
        <v>123120.15</v>
      </c>
      <c r="K263" s="513">
        <v>87.63</v>
      </c>
      <c r="L263" s="513">
        <v>1405</v>
      </c>
      <c r="M263" s="513" t="s">
        <v>6303</v>
      </c>
      <c r="N263" s="513" t="s">
        <v>780</v>
      </c>
      <c r="O263" s="513" t="s">
        <v>1407</v>
      </c>
      <c r="P263" s="518" t="s">
        <v>6484</v>
      </c>
      <c r="Q263" s="152" t="s">
        <v>5873</v>
      </c>
      <c r="R263" s="152" t="s">
        <v>6485</v>
      </c>
      <c r="S263" s="152" t="s">
        <v>6488</v>
      </c>
      <c r="T263" s="152" t="s">
        <v>6487</v>
      </c>
      <c r="U263" s="152" t="s">
        <v>786</v>
      </c>
    </row>
    <row r="264" spans="4:21">
      <c r="D264" s="152" t="s">
        <v>2821</v>
      </c>
      <c r="E264" s="821" t="s">
        <v>676</v>
      </c>
      <c r="F264" s="684" t="str">
        <f>+VLOOKUP(G264,Resumen_Base!$C$8:$G$156,5,0)</f>
        <v>Guides</v>
      </c>
      <c r="G264" s="474" t="s">
        <v>323</v>
      </c>
      <c r="H264" s="210" t="s">
        <v>324</v>
      </c>
      <c r="I264" s="152" t="str">
        <f t="shared" si="3"/>
        <v>CAR5227</v>
      </c>
      <c r="J264" s="513">
        <v>338576.9</v>
      </c>
      <c r="K264" s="513">
        <v>240.98</v>
      </c>
      <c r="L264" s="513">
        <v>1405</v>
      </c>
      <c r="M264" s="513" t="s">
        <v>6303</v>
      </c>
      <c r="N264" s="513" t="s">
        <v>780</v>
      </c>
      <c r="O264" s="513" t="s">
        <v>1407</v>
      </c>
      <c r="P264" s="518" t="s">
        <v>6484</v>
      </c>
      <c r="Q264" s="152" t="s">
        <v>5873</v>
      </c>
      <c r="R264" s="152" t="s">
        <v>6485</v>
      </c>
      <c r="S264" s="152" t="s">
        <v>6489</v>
      </c>
      <c r="T264" s="152" t="s">
        <v>6487</v>
      </c>
      <c r="U264" s="152" t="s">
        <v>786</v>
      </c>
    </row>
    <row r="265" spans="4:21">
      <c r="D265" s="152" t="s">
        <v>2821</v>
      </c>
      <c r="E265" s="821" t="s">
        <v>676</v>
      </c>
      <c r="F265" s="684" t="str">
        <f>+VLOOKUP(G265,Resumen_Base!$C$8:$G$156,5,0)</f>
        <v>Guides</v>
      </c>
      <c r="G265" s="474" t="s">
        <v>323</v>
      </c>
      <c r="H265" s="210" t="s">
        <v>324</v>
      </c>
      <c r="I265" s="152" t="str">
        <f t="shared" si="3"/>
        <v>CAR5227</v>
      </c>
      <c r="J265" s="513">
        <v>215456.75</v>
      </c>
      <c r="K265" s="513">
        <v>153.35</v>
      </c>
      <c r="L265" s="513">
        <v>1405</v>
      </c>
      <c r="M265" s="513" t="s">
        <v>6303</v>
      </c>
      <c r="N265" s="513" t="s">
        <v>780</v>
      </c>
      <c r="O265" s="513" t="s">
        <v>1407</v>
      </c>
      <c r="P265" s="518" t="s">
        <v>6484</v>
      </c>
      <c r="Q265" s="152" t="s">
        <v>5873</v>
      </c>
      <c r="R265" s="152" t="s">
        <v>6485</v>
      </c>
      <c r="S265" s="152" t="s">
        <v>6490</v>
      </c>
      <c r="T265" s="152" t="s">
        <v>6487</v>
      </c>
      <c r="U265" s="152" t="s">
        <v>786</v>
      </c>
    </row>
    <row r="266" spans="4:21">
      <c r="D266" s="152" t="s">
        <v>2821</v>
      </c>
      <c r="E266" s="821" t="s">
        <v>676</v>
      </c>
      <c r="F266" s="684" t="str">
        <f>+VLOOKUP(G266,Resumen_Base!$C$8:$G$156,5,0)</f>
        <v>Guides</v>
      </c>
      <c r="G266" s="474" t="s">
        <v>323</v>
      </c>
      <c r="H266" s="210" t="s">
        <v>324</v>
      </c>
      <c r="I266" s="152" t="str">
        <f t="shared" si="3"/>
        <v>CAR5227</v>
      </c>
      <c r="J266" s="513">
        <v>769490.4</v>
      </c>
      <c r="K266" s="513">
        <v>547.67999999999995</v>
      </c>
      <c r="L266" s="513">
        <v>1405</v>
      </c>
      <c r="M266" s="513" t="s">
        <v>6303</v>
      </c>
      <c r="N266" s="513" t="s">
        <v>780</v>
      </c>
      <c r="O266" s="513" t="s">
        <v>1407</v>
      </c>
      <c r="P266" s="518" t="s">
        <v>6484</v>
      </c>
      <c r="Q266" s="152" t="s">
        <v>5873</v>
      </c>
      <c r="R266" s="152" t="s">
        <v>6485</v>
      </c>
      <c r="S266" s="152" t="s">
        <v>6491</v>
      </c>
      <c r="T266" s="152" t="s">
        <v>6487</v>
      </c>
      <c r="U266" s="152" t="s">
        <v>786</v>
      </c>
    </row>
    <row r="267" spans="4:21">
      <c r="D267" s="152" t="s">
        <v>2821</v>
      </c>
      <c r="E267" s="821" t="s">
        <v>676</v>
      </c>
      <c r="F267" s="684" t="str">
        <f>+VLOOKUP(G267,Resumen_Base!$C$8:$G$156,5,0)</f>
        <v>Guides</v>
      </c>
      <c r="G267" s="474" t="s">
        <v>323</v>
      </c>
      <c r="H267" s="210" t="s">
        <v>324</v>
      </c>
      <c r="I267" s="152" t="str">
        <f t="shared" si="3"/>
        <v>CAR5227</v>
      </c>
      <c r="J267" s="513">
        <v>369360.45</v>
      </c>
      <c r="K267" s="513">
        <v>262.89</v>
      </c>
      <c r="L267" s="513">
        <v>1405</v>
      </c>
      <c r="M267" s="513" t="s">
        <v>6303</v>
      </c>
      <c r="N267" s="513" t="s">
        <v>780</v>
      </c>
      <c r="O267" s="513" t="s">
        <v>1407</v>
      </c>
      <c r="P267" s="518" t="s">
        <v>6484</v>
      </c>
      <c r="Q267" s="152" t="s">
        <v>5873</v>
      </c>
      <c r="R267" s="152" t="s">
        <v>6485</v>
      </c>
      <c r="S267" s="152" t="s">
        <v>6492</v>
      </c>
      <c r="T267" s="152" t="s">
        <v>6487</v>
      </c>
      <c r="U267" s="152" t="s">
        <v>786</v>
      </c>
    </row>
    <row r="268" spans="4:21">
      <c r="D268" s="152" t="s">
        <v>2821</v>
      </c>
      <c r="E268" s="821" t="s">
        <v>676</v>
      </c>
      <c r="F268" s="684" t="str">
        <f>+VLOOKUP(G268,Resumen_Base!$C$8:$G$156,5,0)</f>
        <v>Guides</v>
      </c>
      <c r="G268" s="474" t="s">
        <v>323</v>
      </c>
      <c r="H268" s="210" t="s">
        <v>324</v>
      </c>
      <c r="I268" s="152" t="str">
        <f t="shared" si="3"/>
        <v>CAR5227</v>
      </c>
      <c r="J268" s="513">
        <v>430913.5</v>
      </c>
      <c r="K268" s="513">
        <v>306.7</v>
      </c>
      <c r="L268" s="513">
        <v>1405</v>
      </c>
      <c r="M268" s="513" t="s">
        <v>6303</v>
      </c>
      <c r="N268" s="513" t="s">
        <v>780</v>
      </c>
      <c r="O268" s="513" t="s">
        <v>1407</v>
      </c>
      <c r="P268" s="518" t="s">
        <v>6484</v>
      </c>
      <c r="Q268" s="152" t="s">
        <v>5873</v>
      </c>
      <c r="R268" s="152" t="s">
        <v>6485</v>
      </c>
      <c r="S268" s="152" t="s">
        <v>6493</v>
      </c>
      <c r="T268" s="152" t="s">
        <v>6487</v>
      </c>
      <c r="U268" s="152" t="s">
        <v>786</v>
      </c>
    </row>
    <row r="269" spans="4:21">
      <c r="D269" s="152" t="s">
        <v>2821</v>
      </c>
      <c r="E269" s="821" t="s">
        <v>676</v>
      </c>
      <c r="F269" s="684" t="str">
        <f>+VLOOKUP(G269,Resumen_Base!$C$8:$G$156,5,0)</f>
        <v>Guides</v>
      </c>
      <c r="G269" s="474" t="s">
        <v>323</v>
      </c>
      <c r="H269" s="210" t="s">
        <v>324</v>
      </c>
      <c r="I269" s="152" t="str">
        <f t="shared" ref="I269:I332" si="4">+E269&amp;G269</f>
        <v>CAR5227</v>
      </c>
      <c r="J269" s="513">
        <v>61553.05</v>
      </c>
      <c r="K269" s="513">
        <v>43.81</v>
      </c>
      <c r="L269" s="513">
        <v>1405</v>
      </c>
      <c r="M269" s="513" t="s">
        <v>6303</v>
      </c>
      <c r="N269" s="513" t="s">
        <v>780</v>
      </c>
      <c r="O269" s="513" t="s">
        <v>1407</v>
      </c>
      <c r="P269" s="518" t="s">
        <v>6484</v>
      </c>
      <c r="Q269" s="152" t="s">
        <v>5873</v>
      </c>
      <c r="R269" s="152" t="s">
        <v>6485</v>
      </c>
      <c r="S269" s="152" t="s">
        <v>6494</v>
      </c>
      <c r="T269" s="152" t="s">
        <v>6487</v>
      </c>
      <c r="U269" s="152" t="s">
        <v>786</v>
      </c>
    </row>
    <row r="270" spans="4:21">
      <c r="D270" s="152" t="s">
        <v>2821</v>
      </c>
      <c r="E270" s="821" t="s">
        <v>676</v>
      </c>
      <c r="F270" s="684" t="str">
        <f>+VLOOKUP(G270,Resumen_Base!$C$8:$G$156,5,0)</f>
        <v>Guides</v>
      </c>
      <c r="G270" s="474" t="s">
        <v>323</v>
      </c>
      <c r="H270" s="210" t="s">
        <v>324</v>
      </c>
      <c r="I270" s="152" t="str">
        <f t="shared" si="4"/>
        <v>CAR5227</v>
      </c>
      <c r="J270" s="513">
        <v>646370.25</v>
      </c>
      <c r="K270" s="513">
        <v>460.05</v>
      </c>
      <c r="L270" s="513">
        <v>1405</v>
      </c>
      <c r="M270" s="513" t="s">
        <v>6303</v>
      </c>
      <c r="N270" s="513" t="s">
        <v>780</v>
      </c>
      <c r="O270" s="513" t="s">
        <v>1407</v>
      </c>
      <c r="P270" s="518" t="s">
        <v>6484</v>
      </c>
      <c r="Q270" s="152" t="s">
        <v>5873</v>
      </c>
      <c r="R270" s="152" t="s">
        <v>6485</v>
      </c>
      <c r="S270" s="152" t="s">
        <v>6495</v>
      </c>
      <c r="T270" s="152" t="s">
        <v>6487</v>
      </c>
      <c r="U270" s="152" t="s">
        <v>786</v>
      </c>
    </row>
    <row r="271" spans="4:21">
      <c r="D271" s="152" t="s">
        <v>2821</v>
      </c>
      <c r="E271" s="821" t="s">
        <v>676</v>
      </c>
      <c r="F271" s="684" t="str">
        <f>+VLOOKUP(G271,Resumen_Base!$C$8:$G$156,5,0)</f>
        <v>Guides</v>
      </c>
      <c r="G271" s="474" t="s">
        <v>323</v>
      </c>
      <c r="H271" s="210" t="s">
        <v>324</v>
      </c>
      <c r="I271" s="152" t="str">
        <f t="shared" si="4"/>
        <v>CAR5227</v>
      </c>
      <c r="J271" s="513">
        <v>2669.5</v>
      </c>
      <c r="K271" s="513">
        <v>1.9</v>
      </c>
      <c r="L271" s="513">
        <v>1405</v>
      </c>
      <c r="M271" s="513" t="s">
        <v>6303</v>
      </c>
      <c r="N271" s="513" t="s">
        <v>780</v>
      </c>
      <c r="O271" s="513" t="s">
        <v>1407</v>
      </c>
      <c r="P271" s="518" t="s">
        <v>6509</v>
      </c>
      <c r="Q271" s="152" t="s">
        <v>5873</v>
      </c>
      <c r="R271" s="152" t="s">
        <v>6510</v>
      </c>
      <c r="S271" s="152" t="s">
        <v>1515</v>
      </c>
      <c r="T271" s="152" t="s">
        <v>6511</v>
      </c>
      <c r="U271" s="152" t="s">
        <v>786</v>
      </c>
    </row>
    <row r="272" spans="4:21">
      <c r="D272" s="152" t="s">
        <v>2821</v>
      </c>
      <c r="E272" s="821" t="s">
        <v>676</v>
      </c>
      <c r="F272" s="684" t="str">
        <f>+VLOOKUP(G272,Resumen_Base!$C$8:$G$156,5,0)</f>
        <v>Guides</v>
      </c>
      <c r="G272" s="474" t="s">
        <v>323</v>
      </c>
      <c r="H272" s="210" t="s">
        <v>324</v>
      </c>
      <c r="I272" s="152" t="str">
        <f t="shared" si="4"/>
        <v>CAR5227</v>
      </c>
      <c r="J272" s="513">
        <v>2669.5</v>
      </c>
      <c r="K272" s="513">
        <v>1.9</v>
      </c>
      <c r="L272" s="513">
        <v>1405</v>
      </c>
      <c r="M272" s="513" t="s">
        <v>6303</v>
      </c>
      <c r="N272" s="513" t="s">
        <v>780</v>
      </c>
      <c r="O272" s="513" t="s">
        <v>1407</v>
      </c>
      <c r="P272" s="518" t="s">
        <v>6509</v>
      </c>
      <c r="Q272" s="152" t="s">
        <v>5873</v>
      </c>
      <c r="R272" s="152" t="s">
        <v>6510</v>
      </c>
      <c r="S272" s="152" t="s">
        <v>1515</v>
      </c>
      <c r="T272" s="152" t="s">
        <v>6511</v>
      </c>
      <c r="U272" s="152" t="s">
        <v>786</v>
      </c>
    </row>
    <row r="273" spans="4:21">
      <c r="D273" s="152" t="s">
        <v>2821</v>
      </c>
      <c r="E273" s="821" t="s">
        <v>676</v>
      </c>
      <c r="F273" s="684" t="str">
        <f>+VLOOKUP(G273,Resumen_Base!$C$8:$G$156,5,0)</f>
        <v>Guides</v>
      </c>
      <c r="G273" s="474" t="s">
        <v>323</v>
      </c>
      <c r="H273" s="210" t="s">
        <v>324</v>
      </c>
      <c r="I273" s="152" t="str">
        <f t="shared" si="4"/>
        <v>CAR5227</v>
      </c>
      <c r="J273" s="513">
        <v>2725.7</v>
      </c>
      <c r="K273" s="513">
        <v>1.94</v>
      </c>
      <c r="L273" s="513">
        <v>1405</v>
      </c>
      <c r="M273" s="513" t="s">
        <v>6303</v>
      </c>
      <c r="N273" s="513" t="s">
        <v>780</v>
      </c>
      <c r="O273" s="513" t="s">
        <v>1407</v>
      </c>
      <c r="P273" s="518" t="s">
        <v>6484</v>
      </c>
      <c r="Q273" s="152" t="s">
        <v>5873</v>
      </c>
      <c r="R273" s="152" t="s">
        <v>6485</v>
      </c>
      <c r="S273" s="152" t="s">
        <v>1515</v>
      </c>
      <c r="T273" s="152" t="s">
        <v>6487</v>
      </c>
      <c r="U273" s="152" t="s">
        <v>786</v>
      </c>
    </row>
    <row r="274" spans="4:21">
      <c r="D274" s="152" t="s">
        <v>2821</v>
      </c>
      <c r="E274" s="821" t="s">
        <v>676</v>
      </c>
      <c r="F274" s="684" t="str">
        <f>+VLOOKUP(G274,Resumen_Base!$C$8:$G$156,5,0)</f>
        <v>Guides</v>
      </c>
      <c r="G274" s="474" t="s">
        <v>323</v>
      </c>
      <c r="H274" s="210" t="s">
        <v>324</v>
      </c>
      <c r="I274" s="152" t="str">
        <f t="shared" si="4"/>
        <v>CAR5227</v>
      </c>
      <c r="J274" s="513">
        <v>2725.7</v>
      </c>
      <c r="K274" s="513">
        <v>1.94</v>
      </c>
      <c r="L274" s="513">
        <v>1405</v>
      </c>
      <c r="M274" s="513" t="s">
        <v>6303</v>
      </c>
      <c r="N274" s="513" t="s">
        <v>780</v>
      </c>
      <c r="O274" s="513" t="s">
        <v>1407</v>
      </c>
      <c r="P274" s="518" t="s">
        <v>6484</v>
      </c>
      <c r="Q274" s="152" t="s">
        <v>5873</v>
      </c>
      <c r="R274" s="152" t="s">
        <v>6485</v>
      </c>
      <c r="S274" s="152" t="s">
        <v>1515</v>
      </c>
      <c r="T274" s="152" t="s">
        <v>6487</v>
      </c>
      <c r="U274" s="152" t="s">
        <v>786</v>
      </c>
    </row>
    <row r="275" spans="4:21">
      <c r="D275" s="152" t="s">
        <v>2821</v>
      </c>
      <c r="E275" s="821" t="s">
        <v>676</v>
      </c>
      <c r="F275" s="684" t="str">
        <f>+VLOOKUP(G275,Resumen_Base!$C$8:$G$156,5,0)</f>
        <v>Guides</v>
      </c>
      <c r="G275" s="474" t="s">
        <v>323</v>
      </c>
      <c r="H275" s="210" t="s">
        <v>324</v>
      </c>
      <c r="I275" s="152" t="str">
        <f t="shared" si="4"/>
        <v>CAR5227</v>
      </c>
      <c r="J275" s="513">
        <v>2725.7</v>
      </c>
      <c r="K275" s="513">
        <v>1.94</v>
      </c>
      <c r="L275" s="513">
        <v>1405</v>
      </c>
      <c r="M275" s="513" t="s">
        <v>6303</v>
      </c>
      <c r="N275" s="513" t="s">
        <v>780</v>
      </c>
      <c r="O275" s="513" t="s">
        <v>1407</v>
      </c>
      <c r="P275" s="518" t="s">
        <v>6484</v>
      </c>
      <c r="Q275" s="152" t="s">
        <v>5873</v>
      </c>
      <c r="R275" s="152" t="s">
        <v>6485</v>
      </c>
      <c r="S275" s="152" t="s">
        <v>1515</v>
      </c>
      <c r="T275" s="152" t="s">
        <v>6487</v>
      </c>
      <c r="U275" s="152" t="s">
        <v>786</v>
      </c>
    </row>
    <row r="276" spans="4:21">
      <c r="D276" s="152" t="s">
        <v>2821</v>
      </c>
      <c r="E276" s="821" t="s">
        <v>676</v>
      </c>
      <c r="F276" s="684" t="str">
        <f>+VLOOKUP(G276,Resumen_Base!$C$8:$G$156,5,0)</f>
        <v>Guides</v>
      </c>
      <c r="G276" s="474" t="s">
        <v>323</v>
      </c>
      <c r="H276" s="210" t="s">
        <v>324</v>
      </c>
      <c r="I276" s="152" t="str">
        <f t="shared" si="4"/>
        <v>CAR5227</v>
      </c>
      <c r="J276" s="513">
        <v>2725.7</v>
      </c>
      <c r="K276" s="513">
        <v>1.94</v>
      </c>
      <c r="L276" s="513">
        <v>1405</v>
      </c>
      <c r="M276" s="513" t="s">
        <v>6303</v>
      </c>
      <c r="N276" s="513" t="s">
        <v>780</v>
      </c>
      <c r="O276" s="513" t="s">
        <v>1407</v>
      </c>
      <c r="P276" s="518" t="s">
        <v>6484</v>
      </c>
      <c r="Q276" s="152" t="s">
        <v>5873</v>
      </c>
      <c r="R276" s="152" t="s">
        <v>6485</v>
      </c>
      <c r="S276" s="152" t="s">
        <v>1515</v>
      </c>
      <c r="T276" s="152" t="s">
        <v>6487</v>
      </c>
      <c r="U276" s="152" t="s">
        <v>786</v>
      </c>
    </row>
    <row r="277" spans="4:21">
      <c r="D277" s="152" t="s">
        <v>2821</v>
      </c>
      <c r="E277" s="821" t="s">
        <v>676</v>
      </c>
      <c r="F277" s="684" t="str">
        <f>+VLOOKUP(G277,Resumen_Base!$C$8:$G$156,5,0)</f>
        <v>Guides</v>
      </c>
      <c r="G277" s="474" t="s">
        <v>323</v>
      </c>
      <c r="H277" s="210" t="s">
        <v>324</v>
      </c>
      <c r="I277" s="152" t="str">
        <f t="shared" si="4"/>
        <v>CAR5227</v>
      </c>
      <c r="J277" s="513">
        <v>2725.7</v>
      </c>
      <c r="K277" s="513">
        <v>1.94</v>
      </c>
      <c r="L277" s="513">
        <v>1405</v>
      </c>
      <c r="M277" s="513" t="s">
        <v>6303</v>
      </c>
      <c r="N277" s="513" t="s">
        <v>780</v>
      </c>
      <c r="O277" s="513" t="s">
        <v>1407</v>
      </c>
      <c r="P277" s="518" t="s">
        <v>6484</v>
      </c>
      <c r="Q277" s="152" t="s">
        <v>5873</v>
      </c>
      <c r="R277" s="152" t="s">
        <v>6485</v>
      </c>
      <c r="S277" s="152" t="s">
        <v>1515</v>
      </c>
      <c r="T277" s="152" t="s">
        <v>6487</v>
      </c>
      <c r="U277" s="152" t="s">
        <v>786</v>
      </c>
    </row>
    <row r="278" spans="4:21">
      <c r="D278" s="152" t="s">
        <v>2821</v>
      </c>
      <c r="E278" s="821" t="s">
        <v>676</v>
      </c>
      <c r="F278" s="684" t="str">
        <f>+VLOOKUP(G278,Resumen_Base!$C$8:$G$156,5,0)</f>
        <v>Guides</v>
      </c>
      <c r="G278" s="474" t="s">
        <v>323</v>
      </c>
      <c r="H278" s="210" t="s">
        <v>324</v>
      </c>
      <c r="I278" s="152" t="str">
        <f t="shared" si="4"/>
        <v>CAR5227</v>
      </c>
      <c r="J278" s="513">
        <v>2725.7</v>
      </c>
      <c r="K278" s="513">
        <v>1.94</v>
      </c>
      <c r="L278" s="513">
        <v>1405</v>
      </c>
      <c r="M278" s="513" t="s">
        <v>6303</v>
      </c>
      <c r="N278" s="513" t="s">
        <v>780</v>
      </c>
      <c r="O278" s="513" t="s">
        <v>1407</v>
      </c>
      <c r="P278" s="518" t="s">
        <v>6484</v>
      </c>
      <c r="Q278" s="152" t="s">
        <v>5873</v>
      </c>
      <c r="R278" s="152" t="s">
        <v>6485</v>
      </c>
      <c r="S278" s="152" t="s">
        <v>1515</v>
      </c>
      <c r="T278" s="152" t="s">
        <v>6487</v>
      </c>
      <c r="U278" s="152" t="s">
        <v>786</v>
      </c>
    </row>
    <row r="279" spans="4:21">
      <c r="D279" s="152" t="s">
        <v>2821</v>
      </c>
      <c r="E279" s="821" t="s">
        <v>676</v>
      </c>
      <c r="F279" s="684" t="str">
        <f>+VLOOKUP(G279,Resumen_Base!$C$8:$G$156,5,0)</f>
        <v>Guides</v>
      </c>
      <c r="G279" s="474" t="s">
        <v>323</v>
      </c>
      <c r="H279" s="210" t="s">
        <v>324</v>
      </c>
      <c r="I279" s="152" t="str">
        <f t="shared" si="4"/>
        <v>CAR5227</v>
      </c>
      <c r="J279" s="513">
        <v>2725.7</v>
      </c>
      <c r="K279" s="513">
        <v>1.94</v>
      </c>
      <c r="L279" s="513">
        <v>1405</v>
      </c>
      <c r="M279" s="513" t="s">
        <v>6303</v>
      </c>
      <c r="N279" s="513" t="s">
        <v>780</v>
      </c>
      <c r="O279" s="513" t="s">
        <v>1407</v>
      </c>
      <c r="P279" s="518" t="s">
        <v>6484</v>
      </c>
      <c r="Q279" s="152" t="s">
        <v>5873</v>
      </c>
      <c r="R279" s="152" t="s">
        <v>6485</v>
      </c>
      <c r="S279" s="152" t="s">
        <v>1515</v>
      </c>
      <c r="T279" s="152" t="s">
        <v>6487</v>
      </c>
      <c r="U279" s="152" t="s">
        <v>786</v>
      </c>
    </row>
    <row r="280" spans="4:21">
      <c r="D280" s="152" t="s">
        <v>2821</v>
      </c>
      <c r="E280" s="821" t="s">
        <v>676</v>
      </c>
      <c r="F280" s="684" t="str">
        <f>+VLOOKUP(G280,Resumen_Base!$C$8:$G$156,5,0)</f>
        <v>Guides</v>
      </c>
      <c r="G280" s="474" t="s">
        <v>323</v>
      </c>
      <c r="H280" s="210" t="s">
        <v>324</v>
      </c>
      <c r="I280" s="152" t="str">
        <f t="shared" si="4"/>
        <v>CAR5227</v>
      </c>
      <c r="J280" s="513">
        <v>2725.7</v>
      </c>
      <c r="K280" s="513">
        <v>1.94</v>
      </c>
      <c r="L280" s="513">
        <v>1405</v>
      </c>
      <c r="M280" s="513" t="s">
        <v>6303</v>
      </c>
      <c r="N280" s="513" t="s">
        <v>780</v>
      </c>
      <c r="O280" s="513" t="s">
        <v>1407</v>
      </c>
      <c r="P280" s="518" t="s">
        <v>6484</v>
      </c>
      <c r="Q280" s="152" t="s">
        <v>5873</v>
      </c>
      <c r="R280" s="152" t="s">
        <v>6485</v>
      </c>
      <c r="S280" s="152" t="s">
        <v>1515</v>
      </c>
      <c r="T280" s="152" t="s">
        <v>6487</v>
      </c>
      <c r="U280" s="152" t="s">
        <v>786</v>
      </c>
    </row>
    <row r="281" spans="4:21">
      <c r="D281" s="152" t="s">
        <v>2821</v>
      </c>
      <c r="E281" s="821" t="s">
        <v>676</v>
      </c>
      <c r="F281" s="684" t="str">
        <f>+VLOOKUP(G281,Resumen_Base!$C$8:$G$156,5,0)</f>
        <v>Guides</v>
      </c>
      <c r="G281" s="474" t="s">
        <v>323</v>
      </c>
      <c r="H281" s="210" t="s">
        <v>324</v>
      </c>
      <c r="I281" s="152" t="str">
        <f t="shared" si="4"/>
        <v>CAR5227</v>
      </c>
      <c r="J281" s="513">
        <v>2725.7</v>
      </c>
      <c r="K281" s="513">
        <v>1.94</v>
      </c>
      <c r="L281" s="513">
        <v>1405</v>
      </c>
      <c r="M281" s="513" t="s">
        <v>6303</v>
      </c>
      <c r="N281" s="513" t="s">
        <v>780</v>
      </c>
      <c r="O281" s="513" t="s">
        <v>1407</v>
      </c>
      <c r="P281" s="518" t="s">
        <v>6484</v>
      </c>
      <c r="Q281" s="152" t="s">
        <v>5873</v>
      </c>
      <c r="R281" s="152" t="s">
        <v>6485</v>
      </c>
      <c r="S281" s="152" t="s">
        <v>1515</v>
      </c>
      <c r="T281" s="152" t="s">
        <v>6487</v>
      </c>
      <c r="U281" s="152" t="s">
        <v>786</v>
      </c>
    </row>
    <row r="282" spans="4:21">
      <c r="D282" s="152" t="s">
        <v>2821</v>
      </c>
      <c r="E282" s="821" t="s">
        <v>676</v>
      </c>
      <c r="F282" s="684" t="str">
        <f>+VLOOKUP(G282,Resumen_Base!$C$8:$G$156,5,0)</f>
        <v>Guides</v>
      </c>
      <c r="G282" s="474" t="s">
        <v>323</v>
      </c>
      <c r="H282" s="210" t="s">
        <v>324</v>
      </c>
      <c r="I282" s="152" t="str">
        <f t="shared" si="4"/>
        <v>CAR5227</v>
      </c>
      <c r="J282" s="513">
        <v>234635</v>
      </c>
      <c r="K282" s="513">
        <v>167</v>
      </c>
      <c r="L282" s="513">
        <v>1405</v>
      </c>
      <c r="M282" s="513" t="s">
        <v>6303</v>
      </c>
      <c r="N282" s="513" t="s">
        <v>780</v>
      </c>
      <c r="O282" s="513" t="s">
        <v>1407</v>
      </c>
      <c r="P282" s="518" t="s">
        <v>6509</v>
      </c>
      <c r="Q282" s="152" t="s">
        <v>5873</v>
      </c>
      <c r="R282" s="152" t="s">
        <v>6510</v>
      </c>
      <c r="S282" s="152" t="s">
        <v>6512</v>
      </c>
      <c r="T282" s="152" t="s">
        <v>6511</v>
      </c>
      <c r="U282" s="152" t="s">
        <v>786</v>
      </c>
    </row>
    <row r="283" spans="4:21">
      <c r="D283" s="152" t="s">
        <v>2821</v>
      </c>
      <c r="E283" s="821" t="s">
        <v>676</v>
      </c>
      <c r="F283" s="684" t="str">
        <f>+VLOOKUP(G283,Resumen_Base!$C$8:$G$156,5,0)</f>
        <v>Guides</v>
      </c>
      <c r="G283" s="474" t="s">
        <v>323</v>
      </c>
      <c r="H283" s="210" t="s">
        <v>324</v>
      </c>
      <c r="I283" s="152" t="str">
        <f t="shared" si="4"/>
        <v>CAR5227</v>
      </c>
      <c r="J283" s="513">
        <v>379350</v>
      </c>
      <c r="K283" s="513">
        <v>270</v>
      </c>
      <c r="L283" s="513">
        <v>1405</v>
      </c>
      <c r="M283" s="513" t="s">
        <v>6303</v>
      </c>
      <c r="N283" s="513" t="s">
        <v>780</v>
      </c>
      <c r="O283" s="513" t="s">
        <v>1407</v>
      </c>
      <c r="P283" s="518" t="s">
        <v>6509</v>
      </c>
      <c r="Q283" s="152" t="s">
        <v>5873</v>
      </c>
      <c r="R283" s="152" t="s">
        <v>6510</v>
      </c>
      <c r="S283" s="152" t="s">
        <v>6513</v>
      </c>
      <c r="T283" s="152" t="s">
        <v>6511</v>
      </c>
      <c r="U283" s="152" t="s">
        <v>786</v>
      </c>
    </row>
    <row r="284" spans="4:21">
      <c r="D284" s="152" t="s">
        <v>2821</v>
      </c>
      <c r="E284" s="821" t="s">
        <v>676</v>
      </c>
      <c r="F284" s="684" t="str">
        <f>+VLOOKUP(G284,Resumen_Base!$C$8:$G$156,5,0)</f>
        <v>Gun Rental</v>
      </c>
      <c r="G284" s="474" t="s">
        <v>303</v>
      </c>
      <c r="H284" s="210" t="s">
        <v>304</v>
      </c>
      <c r="I284" s="152" t="str">
        <f t="shared" si="4"/>
        <v>CAR4120</v>
      </c>
      <c r="J284" s="513">
        <v>1095900</v>
      </c>
      <c r="K284" s="513">
        <v>780</v>
      </c>
      <c r="L284" s="513">
        <v>1405</v>
      </c>
      <c r="M284" s="513" t="s">
        <v>5871</v>
      </c>
      <c r="N284" s="513" t="s">
        <v>780</v>
      </c>
      <c r="O284" s="513" t="s">
        <v>1407</v>
      </c>
      <c r="P284" s="518" t="s">
        <v>5872</v>
      </c>
      <c r="Q284" s="152" t="s">
        <v>5873</v>
      </c>
      <c r="R284" s="152" t="s">
        <v>5874</v>
      </c>
      <c r="S284" s="152" t="s">
        <v>5875</v>
      </c>
      <c r="T284" s="152" t="s">
        <v>5876</v>
      </c>
      <c r="U284" s="152" t="s">
        <v>786</v>
      </c>
    </row>
    <row r="285" spans="4:21">
      <c r="D285" s="152" t="s">
        <v>2821</v>
      </c>
      <c r="E285" s="821" t="s">
        <v>676</v>
      </c>
      <c r="F285" s="684" t="str">
        <f>+VLOOKUP(G285,Resumen_Base!$C$8:$G$156,5,0)</f>
        <v>Gun Rental</v>
      </c>
      <c r="G285" s="474" t="s">
        <v>303</v>
      </c>
      <c r="H285" s="210" t="s">
        <v>304</v>
      </c>
      <c r="I285" s="152" t="str">
        <f t="shared" si="4"/>
        <v>CAR4120</v>
      </c>
      <c r="J285" s="513">
        <v>-547950</v>
      </c>
      <c r="K285" s="513">
        <v>-390</v>
      </c>
      <c r="L285" s="513">
        <v>1405</v>
      </c>
      <c r="M285" s="513" t="s">
        <v>5881</v>
      </c>
      <c r="N285" s="513" t="s">
        <v>1566</v>
      </c>
      <c r="O285" s="513" t="s">
        <v>1407</v>
      </c>
      <c r="P285" s="518" t="s">
        <v>5894</v>
      </c>
      <c r="Q285" s="152" t="s">
        <v>5895</v>
      </c>
      <c r="R285" s="152" t="s">
        <v>5896</v>
      </c>
      <c r="S285" s="152" t="s">
        <v>5897</v>
      </c>
      <c r="T285" s="152" t="s">
        <v>5898</v>
      </c>
      <c r="U285" s="152" t="s">
        <v>786</v>
      </c>
    </row>
    <row r="286" spans="4:21">
      <c r="D286" s="152" t="s">
        <v>2821</v>
      </c>
      <c r="E286" s="821" t="s">
        <v>676</v>
      </c>
      <c r="F286" s="684" t="str">
        <f>+VLOOKUP(G286,Resumen_Base!$C$8:$G$156,5,0)</f>
        <v>Gun Rental</v>
      </c>
      <c r="G286" s="474" t="s">
        <v>303</v>
      </c>
      <c r="H286" s="210" t="s">
        <v>304</v>
      </c>
      <c r="I286" s="152" t="str">
        <f t="shared" si="4"/>
        <v>CAR4120</v>
      </c>
      <c r="J286" s="513">
        <v>-547950</v>
      </c>
      <c r="K286" s="513">
        <v>-390</v>
      </c>
      <c r="L286" s="513">
        <v>1405</v>
      </c>
      <c r="M286" s="513" t="s">
        <v>5881</v>
      </c>
      <c r="N286" s="513" t="s">
        <v>1566</v>
      </c>
      <c r="O286" s="513" t="s">
        <v>1407</v>
      </c>
      <c r="P286" s="518" t="s">
        <v>5899</v>
      </c>
      <c r="Q286" s="152" t="s">
        <v>5895</v>
      </c>
      <c r="R286" s="152" t="s">
        <v>5900</v>
      </c>
      <c r="S286" s="152" t="s">
        <v>5897</v>
      </c>
      <c r="T286" s="152" t="s">
        <v>5901</v>
      </c>
      <c r="U286" s="152" t="s">
        <v>786</v>
      </c>
    </row>
    <row r="287" spans="4:21">
      <c r="D287" s="152" t="s">
        <v>2821</v>
      </c>
      <c r="E287" s="821" t="s">
        <v>676</v>
      </c>
      <c r="F287" s="684" t="str">
        <f>+VLOOKUP(G287,Resumen_Base!$C$8:$G$156,5,0)</f>
        <v>Gun Rental</v>
      </c>
      <c r="G287" s="474" t="s">
        <v>303</v>
      </c>
      <c r="H287" s="210" t="s">
        <v>304</v>
      </c>
      <c r="I287" s="152" t="str">
        <f t="shared" si="4"/>
        <v>CAR4120</v>
      </c>
      <c r="J287" s="513">
        <v>-547950</v>
      </c>
      <c r="K287" s="513">
        <v>-390</v>
      </c>
      <c r="L287" s="513">
        <v>1405</v>
      </c>
      <c r="M287" s="513" t="s">
        <v>5881</v>
      </c>
      <c r="N287" s="513" t="s">
        <v>1566</v>
      </c>
      <c r="O287" s="513" t="s">
        <v>1407</v>
      </c>
      <c r="P287" s="518" t="s">
        <v>5902</v>
      </c>
      <c r="Q287" s="152" t="s">
        <v>5895</v>
      </c>
      <c r="R287" s="152" t="s">
        <v>5903</v>
      </c>
      <c r="S287" s="152" t="s">
        <v>5897</v>
      </c>
      <c r="T287" s="152" t="s">
        <v>5904</v>
      </c>
      <c r="U287" s="152" t="s">
        <v>786</v>
      </c>
    </row>
    <row r="288" spans="4:21">
      <c r="D288" s="152" t="s">
        <v>2821</v>
      </c>
      <c r="E288" s="821" t="s">
        <v>676</v>
      </c>
      <c r="F288" s="684" t="str">
        <f>+VLOOKUP(G288,Resumen_Base!$C$8:$G$156,5,0)</f>
        <v>Gun Rental</v>
      </c>
      <c r="G288" s="474" t="s">
        <v>303</v>
      </c>
      <c r="H288" s="210" t="s">
        <v>304</v>
      </c>
      <c r="I288" s="152" t="str">
        <f t="shared" si="4"/>
        <v>CAR4120</v>
      </c>
      <c r="J288" s="513">
        <v>-547950</v>
      </c>
      <c r="K288" s="513">
        <v>-390</v>
      </c>
      <c r="L288" s="513">
        <v>1405</v>
      </c>
      <c r="M288" s="513" t="s">
        <v>5881</v>
      </c>
      <c r="N288" s="513" t="s">
        <v>1566</v>
      </c>
      <c r="O288" s="513" t="s">
        <v>1407</v>
      </c>
      <c r="P288" s="518" t="s">
        <v>5905</v>
      </c>
      <c r="Q288" s="152" t="s">
        <v>5895</v>
      </c>
      <c r="R288" s="152" t="s">
        <v>5906</v>
      </c>
      <c r="S288" s="152" t="s">
        <v>5897</v>
      </c>
      <c r="T288" s="152" t="s">
        <v>5907</v>
      </c>
      <c r="U288" s="152" t="s">
        <v>786</v>
      </c>
    </row>
    <row r="289" spans="4:21">
      <c r="D289" s="152" t="s">
        <v>2821</v>
      </c>
      <c r="E289" s="821" t="s">
        <v>676</v>
      </c>
      <c r="F289" s="684" t="str">
        <f>+VLOOKUP(G289,Resumen_Base!$C$8:$G$156,5,0)</f>
        <v>Gun Rental</v>
      </c>
      <c r="G289" s="474" t="s">
        <v>303</v>
      </c>
      <c r="H289" s="210" t="s">
        <v>304</v>
      </c>
      <c r="I289" s="152" t="str">
        <f t="shared" si="4"/>
        <v>CAR4120</v>
      </c>
      <c r="J289" s="513">
        <v>-456625</v>
      </c>
      <c r="K289" s="513">
        <v>-325</v>
      </c>
      <c r="L289" s="513">
        <v>1405</v>
      </c>
      <c r="M289" s="513" t="s">
        <v>5881</v>
      </c>
      <c r="N289" s="513" t="s">
        <v>1566</v>
      </c>
      <c r="O289" s="513" t="s">
        <v>1407</v>
      </c>
      <c r="P289" s="518" t="s">
        <v>5908</v>
      </c>
      <c r="Q289" s="152" t="s">
        <v>5895</v>
      </c>
      <c r="R289" s="152" t="s">
        <v>5909</v>
      </c>
      <c r="S289" s="152" t="s">
        <v>5910</v>
      </c>
      <c r="T289" s="152" t="s">
        <v>5911</v>
      </c>
      <c r="U289" s="152" t="s">
        <v>786</v>
      </c>
    </row>
    <row r="290" spans="4:21">
      <c r="D290" s="152" t="s">
        <v>2821</v>
      </c>
      <c r="E290" s="821" t="s">
        <v>676</v>
      </c>
      <c r="F290" s="684" t="str">
        <f>+VLOOKUP(G290,Resumen_Base!$C$8:$G$156,5,0)</f>
        <v>Gun Rental</v>
      </c>
      <c r="G290" s="474" t="s">
        <v>303</v>
      </c>
      <c r="H290" s="210" t="s">
        <v>304</v>
      </c>
      <c r="I290" s="152" t="str">
        <f t="shared" si="4"/>
        <v>CAR4120</v>
      </c>
      <c r="J290" s="513">
        <v>-547950</v>
      </c>
      <c r="K290" s="513">
        <v>-390</v>
      </c>
      <c r="L290" s="513">
        <v>1405</v>
      </c>
      <c r="M290" s="513" t="s">
        <v>5881</v>
      </c>
      <c r="N290" s="513" t="s">
        <v>1566</v>
      </c>
      <c r="O290" s="513" t="s">
        <v>1407</v>
      </c>
      <c r="P290" s="518" t="s">
        <v>5912</v>
      </c>
      <c r="Q290" s="152" t="s">
        <v>5895</v>
      </c>
      <c r="R290" s="152" t="s">
        <v>5913</v>
      </c>
      <c r="S290" s="152" t="s">
        <v>5910</v>
      </c>
      <c r="T290" s="152" t="s">
        <v>5914</v>
      </c>
      <c r="U290" s="152" t="s">
        <v>786</v>
      </c>
    </row>
    <row r="291" spans="4:21">
      <c r="D291" s="152" t="s">
        <v>2821</v>
      </c>
      <c r="E291" s="821" t="s">
        <v>676</v>
      </c>
      <c r="F291" s="684" t="str">
        <f>+VLOOKUP(G291,Resumen_Base!$C$8:$G$156,5,0)</f>
        <v>Gun Rental</v>
      </c>
      <c r="G291" s="474" t="s">
        <v>303</v>
      </c>
      <c r="H291" s="210" t="s">
        <v>304</v>
      </c>
      <c r="I291" s="152" t="str">
        <f t="shared" si="4"/>
        <v>CAR4120</v>
      </c>
      <c r="J291" s="513">
        <v>-547950</v>
      </c>
      <c r="K291" s="513">
        <v>-390</v>
      </c>
      <c r="L291" s="513">
        <v>1405</v>
      </c>
      <c r="M291" s="513" t="s">
        <v>5881</v>
      </c>
      <c r="N291" s="513" t="s">
        <v>1566</v>
      </c>
      <c r="O291" s="513" t="s">
        <v>1407</v>
      </c>
      <c r="P291" s="518" t="s">
        <v>5915</v>
      </c>
      <c r="Q291" s="152" t="s">
        <v>5895</v>
      </c>
      <c r="R291" s="152" t="s">
        <v>5916</v>
      </c>
      <c r="S291" s="152" t="s">
        <v>5910</v>
      </c>
      <c r="T291" s="152" t="s">
        <v>5917</v>
      </c>
      <c r="U291" s="152" t="s">
        <v>786</v>
      </c>
    </row>
    <row r="292" spans="4:21">
      <c r="D292" s="152" t="s">
        <v>2821</v>
      </c>
      <c r="E292" s="821" t="s">
        <v>676</v>
      </c>
      <c r="F292" s="684" t="str">
        <f>+VLOOKUP(G292,Resumen_Base!$C$8:$G$156,5,0)</f>
        <v>Gun Rental</v>
      </c>
      <c r="G292" s="474" t="s">
        <v>303</v>
      </c>
      <c r="H292" s="210" t="s">
        <v>304</v>
      </c>
      <c r="I292" s="152" t="str">
        <f t="shared" si="4"/>
        <v>CAR4120</v>
      </c>
      <c r="J292" s="513">
        <v>-547950</v>
      </c>
      <c r="K292" s="513">
        <v>-390</v>
      </c>
      <c r="L292" s="513">
        <v>1405</v>
      </c>
      <c r="M292" s="513" t="s">
        <v>5881</v>
      </c>
      <c r="N292" s="513" t="s">
        <v>1566</v>
      </c>
      <c r="O292" s="513" t="s">
        <v>1407</v>
      </c>
      <c r="P292" s="518" t="s">
        <v>5918</v>
      </c>
      <c r="Q292" s="152" t="s">
        <v>5895</v>
      </c>
      <c r="R292" s="152" t="s">
        <v>5919</v>
      </c>
      <c r="S292" s="152" t="s">
        <v>5910</v>
      </c>
      <c r="T292" s="152" t="s">
        <v>5920</v>
      </c>
      <c r="U292" s="152" t="s">
        <v>786</v>
      </c>
    </row>
    <row r="293" spans="4:21">
      <c r="D293" s="152" t="s">
        <v>2821</v>
      </c>
      <c r="E293" s="821" t="s">
        <v>676</v>
      </c>
      <c r="F293" s="684" t="str">
        <f>+VLOOKUP(G293,Resumen_Base!$C$8:$G$156,5,0)</f>
        <v>Gun Rental</v>
      </c>
      <c r="G293" s="474" t="s">
        <v>303</v>
      </c>
      <c r="H293" s="210" t="s">
        <v>304</v>
      </c>
      <c r="I293" s="152" t="str">
        <f t="shared" si="4"/>
        <v>CAR4120</v>
      </c>
      <c r="J293" s="513">
        <v>-547950</v>
      </c>
      <c r="K293" s="513">
        <v>-390</v>
      </c>
      <c r="L293" s="513">
        <v>1405</v>
      </c>
      <c r="M293" s="513" t="s">
        <v>5881</v>
      </c>
      <c r="N293" s="513" t="s">
        <v>1566</v>
      </c>
      <c r="O293" s="513" t="s">
        <v>1407</v>
      </c>
      <c r="P293" s="518" t="s">
        <v>5921</v>
      </c>
      <c r="Q293" s="152" t="s">
        <v>5895</v>
      </c>
      <c r="R293" s="152" t="s">
        <v>5922</v>
      </c>
      <c r="S293" s="152" t="s">
        <v>5923</v>
      </c>
      <c r="T293" s="152" t="s">
        <v>5924</v>
      </c>
      <c r="U293" s="152" t="s">
        <v>786</v>
      </c>
    </row>
    <row r="294" spans="4:21">
      <c r="D294" s="152" t="s">
        <v>2821</v>
      </c>
      <c r="E294" s="821" t="s">
        <v>676</v>
      </c>
      <c r="F294" s="684" t="str">
        <f>+VLOOKUP(G294,Resumen_Base!$C$8:$G$156,5,0)</f>
        <v>Gun Rental</v>
      </c>
      <c r="G294" s="474" t="s">
        <v>303</v>
      </c>
      <c r="H294" s="210" t="s">
        <v>304</v>
      </c>
      <c r="I294" s="152" t="str">
        <f t="shared" si="4"/>
        <v>CAR4120</v>
      </c>
      <c r="J294" s="513">
        <v>-547950</v>
      </c>
      <c r="K294" s="513">
        <v>-390</v>
      </c>
      <c r="L294" s="513">
        <v>1405</v>
      </c>
      <c r="M294" s="513" t="s">
        <v>5881</v>
      </c>
      <c r="N294" s="513" t="s">
        <v>1566</v>
      </c>
      <c r="O294" s="513" t="s">
        <v>1407</v>
      </c>
      <c r="P294" s="518" t="s">
        <v>5925</v>
      </c>
      <c r="Q294" s="152" t="s">
        <v>5895</v>
      </c>
      <c r="R294" s="152" t="s">
        <v>5926</v>
      </c>
      <c r="S294" s="152" t="s">
        <v>5923</v>
      </c>
      <c r="T294" s="152" t="s">
        <v>5927</v>
      </c>
      <c r="U294" s="152" t="s">
        <v>786</v>
      </c>
    </row>
    <row r="295" spans="4:21">
      <c r="D295" s="152" t="s">
        <v>2821</v>
      </c>
      <c r="E295" s="821" t="s">
        <v>676</v>
      </c>
      <c r="F295" s="684" t="str">
        <f>+VLOOKUP(G295,Resumen_Base!$C$8:$G$156,5,0)</f>
        <v>Gun Rental</v>
      </c>
      <c r="G295" s="474" t="s">
        <v>303</v>
      </c>
      <c r="H295" s="210" t="s">
        <v>304</v>
      </c>
      <c r="I295" s="152" t="str">
        <f t="shared" si="4"/>
        <v>CAR4120</v>
      </c>
      <c r="J295" s="513">
        <v>-821925</v>
      </c>
      <c r="K295" s="513">
        <v>-585</v>
      </c>
      <c r="L295" s="513">
        <v>1405</v>
      </c>
      <c r="M295" s="513" t="s">
        <v>5881</v>
      </c>
      <c r="N295" s="513" t="s">
        <v>1566</v>
      </c>
      <c r="O295" s="513" t="s">
        <v>1407</v>
      </c>
      <c r="P295" s="518" t="s">
        <v>5928</v>
      </c>
      <c r="Q295" s="152" t="s">
        <v>5895</v>
      </c>
      <c r="R295" s="152" t="s">
        <v>5929</v>
      </c>
      <c r="S295" s="152" t="s">
        <v>5930</v>
      </c>
      <c r="T295" s="152" t="s">
        <v>5931</v>
      </c>
      <c r="U295" s="152" t="s">
        <v>786</v>
      </c>
    </row>
    <row r="296" spans="4:21">
      <c r="D296" s="152" t="s">
        <v>2821</v>
      </c>
      <c r="E296" s="821" t="s">
        <v>676</v>
      </c>
      <c r="F296" s="684" t="str">
        <f>+VLOOKUP(G296,Resumen_Base!$C$8:$G$156,5,0)</f>
        <v>Gun Rental</v>
      </c>
      <c r="G296" s="474" t="s">
        <v>303</v>
      </c>
      <c r="H296" s="210" t="s">
        <v>304</v>
      </c>
      <c r="I296" s="152" t="str">
        <f t="shared" si="4"/>
        <v>CAR4120</v>
      </c>
      <c r="J296" s="513">
        <v>-547950</v>
      </c>
      <c r="K296" s="513">
        <v>-390</v>
      </c>
      <c r="L296" s="513">
        <v>1405</v>
      </c>
      <c r="M296" s="513" t="s">
        <v>5975</v>
      </c>
      <c r="N296" s="513" t="s">
        <v>1566</v>
      </c>
      <c r="O296" s="513" t="s">
        <v>1407</v>
      </c>
      <c r="P296" s="518" t="s">
        <v>5996</v>
      </c>
      <c r="Q296" s="152" t="s">
        <v>5895</v>
      </c>
      <c r="R296" s="152" t="s">
        <v>5997</v>
      </c>
      <c r="S296" s="152" t="s">
        <v>5998</v>
      </c>
      <c r="T296" s="152" t="s">
        <v>5999</v>
      </c>
      <c r="U296" s="152" t="s">
        <v>786</v>
      </c>
    </row>
    <row r="297" spans="4:21">
      <c r="D297" s="152" t="s">
        <v>2821</v>
      </c>
      <c r="E297" s="821" t="s">
        <v>676</v>
      </c>
      <c r="F297" s="684" t="str">
        <f>+VLOOKUP(G297,Resumen_Base!$C$8:$G$156,5,0)</f>
        <v>Gun Rental</v>
      </c>
      <c r="G297" s="474" t="s">
        <v>303</v>
      </c>
      <c r="H297" s="210" t="s">
        <v>304</v>
      </c>
      <c r="I297" s="152" t="str">
        <f t="shared" si="4"/>
        <v>CAR4120</v>
      </c>
      <c r="J297" s="513">
        <v>-1095900</v>
      </c>
      <c r="K297" s="513">
        <v>-780</v>
      </c>
      <c r="L297" s="513">
        <v>1405</v>
      </c>
      <c r="M297" s="513" t="s">
        <v>5975</v>
      </c>
      <c r="N297" s="513" t="s">
        <v>1566</v>
      </c>
      <c r="O297" s="513" t="s">
        <v>1407</v>
      </c>
      <c r="P297" s="518" t="s">
        <v>6000</v>
      </c>
      <c r="Q297" s="152" t="s">
        <v>5895</v>
      </c>
      <c r="R297" s="152" t="s">
        <v>6001</v>
      </c>
      <c r="S297" s="152" t="s">
        <v>5998</v>
      </c>
      <c r="T297" s="152" t="s">
        <v>6002</v>
      </c>
      <c r="U297" s="152" t="s">
        <v>786</v>
      </c>
    </row>
    <row r="298" spans="4:21">
      <c r="D298" s="152" t="s">
        <v>2821</v>
      </c>
      <c r="E298" s="821" t="s">
        <v>676</v>
      </c>
      <c r="F298" s="684" t="str">
        <f>+VLOOKUP(G298,Resumen_Base!$C$8:$G$156,5,0)</f>
        <v>Gun Rental</v>
      </c>
      <c r="G298" s="474" t="s">
        <v>303</v>
      </c>
      <c r="H298" s="210" t="s">
        <v>304</v>
      </c>
      <c r="I298" s="152" t="str">
        <f t="shared" si="4"/>
        <v>CAR4120</v>
      </c>
      <c r="J298" s="513">
        <v>-547950</v>
      </c>
      <c r="K298" s="513">
        <v>-390</v>
      </c>
      <c r="L298" s="513">
        <v>1405</v>
      </c>
      <c r="M298" s="513" t="s">
        <v>5975</v>
      </c>
      <c r="N298" s="513" t="s">
        <v>1566</v>
      </c>
      <c r="O298" s="513" t="s">
        <v>1407</v>
      </c>
      <c r="P298" s="518" t="s">
        <v>6003</v>
      </c>
      <c r="Q298" s="152" t="s">
        <v>5895</v>
      </c>
      <c r="R298" s="152" t="s">
        <v>6004</v>
      </c>
      <c r="S298" s="152" t="s">
        <v>5998</v>
      </c>
      <c r="T298" s="152" t="s">
        <v>6005</v>
      </c>
      <c r="U298" s="152" t="s">
        <v>786</v>
      </c>
    </row>
    <row r="299" spans="4:21">
      <c r="D299" s="152" t="s">
        <v>2821</v>
      </c>
      <c r="E299" s="821" t="s">
        <v>676</v>
      </c>
      <c r="F299" s="684" t="str">
        <f>+VLOOKUP(G299,Resumen_Base!$C$8:$G$156,5,0)</f>
        <v>Gun Rental</v>
      </c>
      <c r="G299" s="474" t="s">
        <v>303</v>
      </c>
      <c r="H299" s="210" t="s">
        <v>304</v>
      </c>
      <c r="I299" s="152" t="str">
        <f t="shared" si="4"/>
        <v>CAR4120</v>
      </c>
      <c r="J299" s="513">
        <v>-456625</v>
      </c>
      <c r="K299" s="513">
        <v>-325</v>
      </c>
      <c r="L299" s="513">
        <v>1405</v>
      </c>
      <c r="M299" s="513" t="s">
        <v>6059</v>
      </c>
      <c r="N299" s="513" t="s">
        <v>1566</v>
      </c>
      <c r="O299" s="513" t="s">
        <v>1407</v>
      </c>
      <c r="P299" s="518" t="s">
        <v>6218</v>
      </c>
      <c r="Q299" s="152" t="s">
        <v>5895</v>
      </c>
      <c r="R299" s="152" t="s">
        <v>6219</v>
      </c>
      <c r="S299" s="152" t="s">
        <v>6220</v>
      </c>
      <c r="T299" s="152" t="s">
        <v>6221</v>
      </c>
      <c r="U299" s="152" t="s">
        <v>786</v>
      </c>
    </row>
    <row r="300" spans="4:21">
      <c r="D300" s="152" t="s">
        <v>2821</v>
      </c>
      <c r="E300" s="821" t="s">
        <v>676</v>
      </c>
      <c r="F300" s="684" t="str">
        <f>+VLOOKUP(G300,Resumen_Base!$C$8:$G$156,5,0)</f>
        <v>Gun Rental</v>
      </c>
      <c r="G300" s="474" t="s">
        <v>303</v>
      </c>
      <c r="H300" s="210" t="s">
        <v>304</v>
      </c>
      <c r="I300" s="152" t="str">
        <f t="shared" si="4"/>
        <v>CAR4120</v>
      </c>
      <c r="J300" s="513">
        <v>-547950</v>
      </c>
      <c r="K300" s="513">
        <v>-390</v>
      </c>
      <c r="L300" s="513">
        <v>1405</v>
      </c>
      <c r="M300" s="513" t="s">
        <v>6059</v>
      </c>
      <c r="N300" s="513" t="s">
        <v>1566</v>
      </c>
      <c r="O300" s="513" t="s">
        <v>1407</v>
      </c>
      <c r="P300" s="518" t="s">
        <v>6222</v>
      </c>
      <c r="Q300" s="152" t="s">
        <v>5895</v>
      </c>
      <c r="R300" s="152" t="s">
        <v>6223</v>
      </c>
      <c r="S300" s="152" t="s">
        <v>6220</v>
      </c>
      <c r="T300" s="152" t="s">
        <v>6224</v>
      </c>
      <c r="U300" s="152" t="s">
        <v>786</v>
      </c>
    </row>
    <row r="301" spans="4:21">
      <c r="D301" s="152" t="s">
        <v>2821</v>
      </c>
      <c r="E301" s="821" t="s">
        <v>676</v>
      </c>
      <c r="F301" s="684" t="str">
        <f>+VLOOKUP(G301,Resumen_Base!$C$8:$G$156,5,0)</f>
        <v>Gun Rental</v>
      </c>
      <c r="G301" s="474" t="s">
        <v>303</v>
      </c>
      <c r="H301" s="210" t="s">
        <v>304</v>
      </c>
      <c r="I301" s="152" t="str">
        <f t="shared" si="4"/>
        <v>CAR4120</v>
      </c>
      <c r="J301" s="513">
        <v>-547950</v>
      </c>
      <c r="K301" s="513">
        <v>-390</v>
      </c>
      <c r="L301" s="513">
        <v>1405</v>
      </c>
      <c r="M301" s="513" t="s">
        <v>6059</v>
      </c>
      <c r="N301" s="513" t="s">
        <v>1566</v>
      </c>
      <c r="O301" s="513" t="s">
        <v>1407</v>
      </c>
      <c r="P301" s="518" t="s">
        <v>6225</v>
      </c>
      <c r="Q301" s="152" t="s">
        <v>5895</v>
      </c>
      <c r="R301" s="152" t="s">
        <v>6226</v>
      </c>
      <c r="S301" s="152" t="s">
        <v>6227</v>
      </c>
      <c r="T301" s="152" t="s">
        <v>6228</v>
      </c>
      <c r="U301" s="152" t="s">
        <v>786</v>
      </c>
    </row>
    <row r="302" spans="4:21">
      <c r="D302" s="152" t="s">
        <v>2821</v>
      </c>
      <c r="E302" s="821" t="s">
        <v>676</v>
      </c>
      <c r="F302" s="684" t="str">
        <f>+VLOOKUP(G302,Resumen_Base!$C$8:$G$156,5,0)</f>
        <v>Gun Rental</v>
      </c>
      <c r="G302" s="474" t="s">
        <v>303</v>
      </c>
      <c r="H302" s="210" t="s">
        <v>304</v>
      </c>
      <c r="I302" s="152" t="str">
        <f t="shared" si="4"/>
        <v>CAR4120</v>
      </c>
      <c r="J302" s="513">
        <v>-547950</v>
      </c>
      <c r="K302" s="513">
        <v>-390</v>
      </c>
      <c r="L302" s="513">
        <v>1405</v>
      </c>
      <c r="M302" s="513" t="s">
        <v>6059</v>
      </c>
      <c r="N302" s="513" t="s">
        <v>1566</v>
      </c>
      <c r="O302" s="513" t="s">
        <v>1407</v>
      </c>
      <c r="P302" s="518" t="s">
        <v>6229</v>
      </c>
      <c r="Q302" s="152" t="s">
        <v>5895</v>
      </c>
      <c r="R302" s="152" t="s">
        <v>6230</v>
      </c>
      <c r="S302" s="152" t="s">
        <v>6227</v>
      </c>
      <c r="T302" s="152" t="s">
        <v>6231</v>
      </c>
      <c r="U302" s="152" t="s">
        <v>786</v>
      </c>
    </row>
    <row r="303" spans="4:21">
      <c r="D303" s="152" t="s">
        <v>2821</v>
      </c>
      <c r="E303" s="821" t="s">
        <v>676</v>
      </c>
      <c r="F303" s="684" t="str">
        <f>+VLOOKUP(G303,Resumen_Base!$C$8:$G$156,5,0)</f>
        <v>Gun Rental</v>
      </c>
      <c r="G303" s="474" t="s">
        <v>303</v>
      </c>
      <c r="H303" s="210" t="s">
        <v>304</v>
      </c>
      <c r="I303" s="152" t="str">
        <f t="shared" si="4"/>
        <v>CAR4120</v>
      </c>
      <c r="J303" s="513">
        <v>-547950</v>
      </c>
      <c r="K303" s="513">
        <v>-390</v>
      </c>
      <c r="L303" s="513">
        <v>1405</v>
      </c>
      <c r="M303" s="513" t="s">
        <v>6059</v>
      </c>
      <c r="N303" s="513" t="s">
        <v>1566</v>
      </c>
      <c r="O303" s="513" t="s">
        <v>1407</v>
      </c>
      <c r="P303" s="518" t="s">
        <v>6232</v>
      </c>
      <c r="Q303" s="152" t="s">
        <v>5895</v>
      </c>
      <c r="R303" s="152" t="s">
        <v>6233</v>
      </c>
      <c r="S303" s="152" t="s">
        <v>6227</v>
      </c>
      <c r="T303" s="152" t="s">
        <v>6234</v>
      </c>
      <c r="U303" s="152" t="s">
        <v>786</v>
      </c>
    </row>
    <row r="304" spans="4:21">
      <c r="D304" s="152" t="s">
        <v>2821</v>
      </c>
      <c r="E304" s="821" t="s">
        <v>676</v>
      </c>
      <c r="F304" s="684" t="str">
        <f>+VLOOKUP(G304,Resumen_Base!$C$8:$G$156,5,0)</f>
        <v>Gun Rental</v>
      </c>
      <c r="G304" s="474" t="s">
        <v>303</v>
      </c>
      <c r="H304" s="210" t="s">
        <v>304</v>
      </c>
      <c r="I304" s="152" t="str">
        <f t="shared" si="4"/>
        <v>CAR4120</v>
      </c>
      <c r="J304" s="513">
        <v>-547950</v>
      </c>
      <c r="K304" s="513">
        <v>-390</v>
      </c>
      <c r="L304" s="513">
        <v>1405</v>
      </c>
      <c r="M304" s="513" t="s">
        <v>6059</v>
      </c>
      <c r="N304" s="513" t="s">
        <v>1566</v>
      </c>
      <c r="O304" s="513" t="s">
        <v>1407</v>
      </c>
      <c r="P304" s="518" t="s">
        <v>6235</v>
      </c>
      <c r="Q304" s="152" t="s">
        <v>5895</v>
      </c>
      <c r="R304" s="152" t="s">
        <v>6236</v>
      </c>
      <c r="S304" s="152" t="s">
        <v>6227</v>
      </c>
      <c r="T304" s="152" t="s">
        <v>6237</v>
      </c>
      <c r="U304" s="152" t="s">
        <v>786</v>
      </c>
    </row>
    <row r="305" spans="4:21">
      <c r="D305" s="152" t="s">
        <v>2821</v>
      </c>
      <c r="E305" s="821" t="s">
        <v>676</v>
      </c>
      <c r="F305" s="684" t="str">
        <f>+VLOOKUP(G305,Resumen_Base!$C$8:$G$156,5,0)</f>
        <v>Gun Rental</v>
      </c>
      <c r="G305" s="474" t="s">
        <v>303</v>
      </c>
      <c r="H305" s="210" t="s">
        <v>304</v>
      </c>
      <c r="I305" s="152" t="str">
        <f t="shared" si="4"/>
        <v>CAR4120</v>
      </c>
      <c r="J305" s="513">
        <v>-365300</v>
      </c>
      <c r="K305" s="513">
        <v>-260</v>
      </c>
      <c r="L305" s="513">
        <v>1405</v>
      </c>
      <c r="M305" s="513" t="s">
        <v>6059</v>
      </c>
      <c r="N305" s="513" t="s">
        <v>1566</v>
      </c>
      <c r="O305" s="513" t="s">
        <v>1407</v>
      </c>
      <c r="P305" s="518" t="s">
        <v>6238</v>
      </c>
      <c r="Q305" s="152" t="s">
        <v>5895</v>
      </c>
      <c r="R305" s="152" t="s">
        <v>6239</v>
      </c>
      <c r="S305" s="152" t="s">
        <v>6240</v>
      </c>
      <c r="T305" s="152" t="s">
        <v>6241</v>
      </c>
      <c r="U305" s="152" t="s">
        <v>786</v>
      </c>
    </row>
    <row r="306" spans="4:21">
      <c r="D306" s="152" t="s">
        <v>2821</v>
      </c>
      <c r="E306" s="821" t="s">
        <v>676</v>
      </c>
      <c r="F306" s="684" t="str">
        <f>+VLOOKUP(G306,Resumen_Base!$C$8:$G$156,5,0)</f>
        <v>Gun Rental</v>
      </c>
      <c r="G306" s="474" t="s">
        <v>303</v>
      </c>
      <c r="H306" s="210" t="s">
        <v>304</v>
      </c>
      <c r="I306" s="152" t="str">
        <f t="shared" si="4"/>
        <v>CAR4120</v>
      </c>
      <c r="J306" s="513">
        <v>-365300</v>
      </c>
      <c r="K306" s="513">
        <v>-260</v>
      </c>
      <c r="L306" s="513">
        <v>1405</v>
      </c>
      <c r="M306" s="513" t="s">
        <v>6059</v>
      </c>
      <c r="N306" s="513" t="s">
        <v>1566</v>
      </c>
      <c r="O306" s="513" t="s">
        <v>1407</v>
      </c>
      <c r="P306" s="518" t="s">
        <v>6242</v>
      </c>
      <c r="Q306" s="152" t="s">
        <v>5895</v>
      </c>
      <c r="R306" s="152" t="s">
        <v>6243</v>
      </c>
      <c r="S306" s="152" t="s">
        <v>6240</v>
      </c>
      <c r="T306" s="152" t="s">
        <v>6244</v>
      </c>
      <c r="U306" s="152" t="s">
        <v>786</v>
      </c>
    </row>
    <row r="307" spans="4:21">
      <c r="D307" s="152" t="s">
        <v>2821</v>
      </c>
      <c r="E307" s="821" t="s">
        <v>676</v>
      </c>
      <c r="F307" s="684" t="str">
        <f>+VLOOKUP(G307,Resumen_Base!$C$8:$G$156,5,0)</f>
        <v>Gun Rental</v>
      </c>
      <c r="G307" s="474" t="s">
        <v>303</v>
      </c>
      <c r="H307" s="210" t="s">
        <v>304</v>
      </c>
      <c r="I307" s="152" t="str">
        <f t="shared" si="4"/>
        <v>CAR4120</v>
      </c>
      <c r="J307" s="513">
        <v>-182650</v>
      </c>
      <c r="K307" s="513">
        <v>-130</v>
      </c>
      <c r="L307" s="513">
        <v>1405</v>
      </c>
      <c r="M307" s="513" t="s">
        <v>6059</v>
      </c>
      <c r="N307" s="513" t="s">
        <v>1566</v>
      </c>
      <c r="O307" s="513" t="s">
        <v>1407</v>
      </c>
      <c r="P307" s="518" t="s">
        <v>6245</v>
      </c>
      <c r="Q307" s="152" t="s">
        <v>5895</v>
      </c>
      <c r="R307" s="152" t="s">
        <v>6246</v>
      </c>
      <c r="S307" s="152" t="s">
        <v>6240</v>
      </c>
      <c r="T307" s="152" t="s">
        <v>6247</v>
      </c>
      <c r="U307" s="152" t="s">
        <v>786</v>
      </c>
    </row>
    <row r="308" spans="4:21">
      <c r="D308" s="152" t="s">
        <v>2821</v>
      </c>
      <c r="E308" s="821" t="s">
        <v>676</v>
      </c>
      <c r="F308" s="684" t="str">
        <f>+VLOOKUP(G308,Resumen_Base!$C$8:$G$156,5,0)</f>
        <v>Gun Rental</v>
      </c>
      <c r="G308" s="474" t="s">
        <v>303</v>
      </c>
      <c r="H308" s="210" t="s">
        <v>304</v>
      </c>
      <c r="I308" s="152" t="str">
        <f t="shared" si="4"/>
        <v>CAR4120</v>
      </c>
      <c r="J308" s="513">
        <v>-365300</v>
      </c>
      <c r="K308" s="513">
        <v>-260</v>
      </c>
      <c r="L308" s="513">
        <v>1405</v>
      </c>
      <c r="M308" s="513" t="s">
        <v>6059</v>
      </c>
      <c r="N308" s="513" t="s">
        <v>1566</v>
      </c>
      <c r="O308" s="513" t="s">
        <v>1407</v>
      </c>
      <c r="P308" s="518" t="s">
        <v>6248</v>
      </c>
      <c r="Q308" s="152" t="s">
        <v>5895</v>
      </c>
      <c r="R308" s="152" t="s">
        <v>6249</v>
      </c>
      <c r="S308" s="152" t="s">
        <v>6240</v>
      </c>
      <c r="T308" s="152" t="s">
        <v>6250</v>
      </c>
      <c r="U308" s="152" t="s">
        <v>786</v>
      </c>
    </row>
    <row r="309" spans="4:21">
      <c r="D309" s="152" t="s">
        <v>2821</v>
      </c>
      <c r="E309" s="821" t="s">
        <v>676</v>
      </c>
      <c r="F309" s="684" t="str">
        <f>+VLOOKUP(G309,Resumen_Base!$C$8:$G$156,5,0)</f>
        <v>Gun Rental</v>
      </c>
      <c r="G309" s="474" t="s">
        <v>303</v>
      </c>
      <c r="H309" s="210" t="s">
        <v>304</v>
      </c>
      <c r="I309" s="152" t="str">
        <f t="shared" si="4"/>
        <v>CAR4120</v>
      </c>
      <c r="J309" s="513">
        <v>-182650</v>
      </c>
      <c r="K309" s="513">
        <v>-130</v>
      </c>
      <c r="L309" s="513">
        <v>1405</v>
      </c>
      <c r="M309" s="513" t="s">
        <v>6059</v>
      </c>
      <c r="N309" s="513" t="s">
        <v>1566</v>
      </c>
      <c r="O309" s="513" t="s">
        <v>1407</v>
      </c>
      <c r="P309" s="518" t="s">
        <v>6251</v>
      </c>
      <c r="Q309" s="152" t="s">
        <v>5895</v>
      </c>
      <c r="R309" s="152" t="s">
        <v>6252</v>
      </c>
      <c r="S309" s="152" t="s">
        <v>6240</v>
      </c>
      <c r="T309" s="152" t="s">
        <v>6253</v>
      </c>
      <c r="U309" s="152" t="s">
        <v>786</v>
      </c>
    </row>
    <row r="310" spans="4:21">
      <c r="D310" s="152" t="s">
        <v>2821</v>
      </c>
      <c r="E310" s="821" t="s">
        <v>676</v>
      </c>
      <c r="F310" s="684" t="str">
        <f>+VLOOKUP(G310,Resumen_Base!$C$8:$G$156,5,0)</f>
        <v>Gun Rental</v>
      </c>
      <c r="G310" s="474" t="s">
        <v>303</v>
      </c>
      <c r="H310" s="210" t="s">
        <v>304</v>
      </c>
      <c r="I310" s="152" t="str">
        <f t="shared" si="4"/>
        <v>CAR4120</v>
      </c>
      <c r="J310" s="513">
        <v>-365300</v>
      </c>
      <c r="K310" s="513">
        <v>-260</v>
      </c>
      <c r="L310" s="513">
        <v>1405</v>
      </c>
      <c r="M310" s="513" t="s">
        <v>6059</v>
      </c>
      <c r="N310" s="513" t="s">
        <v>1566</v>
      </c>
      <c r="O310" s="513" t="s">
        <v>1407</v>
      </c>
      <c r="P310" s="518" t="s">
        <v>6254</v>
      </c>
      <c r="Q310" s="152" t="s">
        <v>5895</v>
      </c>
      <c r="R310" s="152" t="s">
        <v>6255</v>
      </c>
      <c r="S310" s="152" t="s">
        <v>6240</v>
      </c>
      <c r="T310" s="152" t="s">
        <v>6256</v>
      </c>
      <c r="U310" s="152" t="s">
        <v>786</v>
      </c>
    </row>
    <row r="311" spans="4:21">
      <c r="D311" s="152" t="s">
        <v>2821</v>
      </c>
      <c r="E311" s="821" t="s">
        <v>676</v>
      </c>
      <c r="F311" s="684" t="str">
        <f>+VLOOKUP(G311,Resumen_Base!$C$8:$G$156,5,0)</f>
        <v>Gun Rental</v>
      </c>
      <c r="G311" s="474" t="s">
        <v>303</v>
      </c>
      <c r="H311" s="210" t="s">
        <v>304</v>
      </c>
      <c r="I311" s="152" t="str">
        <f t="shared" si="4"/>
        <v>CAR4120</v>
      </c>
      <c r="J311" s="513">
        <v>-273975</v>
      </c>
      <c r="K311" s="513">
        <v>-195</v>
      </c>
      <c r="L311" s="513">
        <v>1405</v>
      </c>
      <c r="M311" s="513" t="s">
        <v>6059</v>
      </c>
      <c r="N311" s="513" t="s">
        <v>1566</v>
      </c>
      <c r="O311" s="513" t="s">
        <v>1407</v>
      </c>
      <c r="P311" s="518" t="s">
        <v>6257</v>
      </c>
      <c r="Q311" s="152" t="s">
        <v>5895</v>
      </c>
      <c r="R311" s="152" t="s">
        <v>6258</v>
      </c>
      <c r="S311" s="152" t="s">
        <v>6259</v>
      </c>
      <c r="T311" s="152" t="s">
        <v>6260</v>
      </c>
      <c r="U311" s="152" t="s">
        <v>786</v>
      </c>
    </row>
    <row r="312" spans="4:21">
      <c r="D312" s="152" t="s">
        <v>2821</v>
      </c>
      <c r="E312" s="821" t="s">
        <v>676</v>
      </c>
      <c r="F312" s="684" t="str">
        <f>+VLOOKUP(G312,Resumen_Base!$C$8:$G$156,5,0)</f>
        <v>Gun Rental</v>
      </c>
      <c r="G312" s="474" t="s">
        <v>303</v>
      </c>
      <c r="H312" s="210" t="s">
        <v>304</v>
      </c>
      <c r="I312" s="152" t="str">
        <f t="shared" si="4"/>
        <v>CAR4120</v>
      </c>
      <c r="J312" s="513">
        <v>-273975</v>
      </c>
      <c r="K312" s="513">
        <v>-195</v>
      </c>
      <c r="L312" s="513">
        <v>1405</v>
      </c>
      <c r="M312" s="513" t="s">
        <v>6059</v>
      </c>
      <c r="N312" s="513" t="s">
        <v>1566</v>
      </c>
      <c r="O312" s="513" t="s">
        <v>1407</v>
      </c>
      <c r="P312" s="518" t="s">
        <v>6261</v>
      </c>
      <c r="Q312" s="152" t="s">
        <v>5895</v>
      </c>
      <c r="R312" s="152" t="s">
        <v>6262</v>
      </c>
      <c r="S312" s="152" t="s">
        <v>6259</v>
      </c>
      <c r="T312" s="152" t="s">
        <v>6263</v>
      </c>
      <c r="U312" s="152" t="s">
        <v>786</v>
      </c>
    </row>
    <row r="313" spans="4:21">
      <c r="D313" s="152" t="s">
        <v>2821</v>
      </c>
      <c r="E313" s="821" t="s">
        <v>676</v>
      </c>
      <c r="F313" s="684" t="str">
        <f>+VLOOKUP(G313,Resumen_Base!$C$8:$G$156,5,0)</f>
        <v>Gun Rental</v>
      </c>
      <c r="G313" s="474" t="s">
        <v>303</v>
      </c>
      <c r="H313" s="210" t="s">
        <v>304</v>
      </c>
      <c r="I313" s="152" t="str">
        <f t="shared" si="4"/>
        <v>CAR4120</v>
      </c>
      <c r="J313" s="513">
        <v>-273975</v>
      </c>
      <c r="K313" s="513">
        <v>-195</v>
      </c>
      <c r="L313" s="513">
        <v>1405</v>
      </c>
      <c r="M313" s="513" t="s">
        <v>6059</v>
      </c>
      <c r="N313" s="513" t="s">
        <v>1566</v>
      </c>
      <c r="O313" s="513" t="s">
        <v>1407</v>
      </c>
      <c r="P313" s="518" t="s">
        <v>6264</v>
      </c>
      <c r="Q313" s="152" t="s">
        <v>5895</v>
      </c>
      <c r="R313" s="152" t="s">
        <v>6265</v>
      </c>
      <c r="S313" s="152" t="s">
        <v>6259</v>
      </c>
      <c r="T313" s="152" t="s">
        <v>6266</v>
      </c>
      <c r="U313" s="152" t="s">
        <v>786</v>
      </c>
    </row>
    <row r="314" spans="4:21">
      <c r="D314" s="152" t="s">
        <v>2821</v>
      </c>
      <c r="E314" s="821" t="s">
        <v>676</v>
      </c>
      <c r="F314" s="684" t="str">
        <f>+VLOOKUP(G314,Resumen_Base!$C$8:$G$156,5,0)</f>
        <v>Gun Rental</v>
      </c>
      <c r="G314" s="474" t="s">
        <v>303</v>
      </c>
      <c r="H314" s="210" t="s">
        <v>304</v>
      </c>
      <c r="I314" s="152" t="str">
        <f t="shared" si="4"/>
        <v>CAR4120</v>
      </c>
      <c r="J314" s="513">
        <v>-273975</v>
      </c>
      <c r="K314" s="513">
        <v>-195</v>
      </c>
      <c r="L314" s="513">
        <v>1405</v>
      </c>
      <c r="M314" s="513" t="s">
        <v>6059</v>
      </c>
      <c r="N314" s="513" t="s">
        <v>1566</v>
      </c>
      <c r="O314" s="513" t="s">
        <v>1407</v>
      </c>
      <c r="P314" s="518" t="s">
        <v>6267</v>
      </c>
      <c r="Q314" s="152" t="s">
        <v>5895</v>
      </c>
      <c r="R314" s="152" t="s">
        <v>6268</v>
      </c>
      <c r="S314" s="152" t="s">
        <v>6259</v>
      </c>
      <c r="T314" s="152" t="s">
        <v>6269</v>
      </c>
      <c r="U314" s="152" t="s">
        <v>786</v>
      </c>
    </row>
    <row r="315" spans="4:21">
      <c r="D315" s="152" t="s">
        <v>2821</v>
      </c>
      <c r="E315" s="821" t="s">
        <v>676</v>
      </c>
      <c r="F315" s="684" t="str">
        <f>+VLOOKUP(G315,Resumen_Base!$C$8:$G$156,5,0)</f>
        <v>Gun Rental</v>
      </c>
      <c r="G315" s="474" t="s">
        <v>303</v>
      </c>
      <c r="H315" s="210" t="s">
        <v>304</v>
      </c>
      <c r="I315" s="152" t="str">
        <f t="shared" si="4"/>
        <v>CAR4120</v>
      </c>
      <c r="J315" s="513">
        <v>-547950</v>
      </c>
      <c r="K315" s="513">
        <v>-390</v>
      </c>
      <c r="L315" s="513">
        <v>1405</v>
      </c>
      <c r="M315" s="513" t="s">
        <v>6303</v>
      </c>
      <c r="N315" s="513" t="s">
        <v>1566</v>
      </c>
      <c r="O315" s="513" t="s">
        <v>1407</v>
      </c>
      <c r="P315" s="518" t="s">
        <v>6574</v>
      </c>
      <c r="Q315" s="152" t="s">
        <v>5895</v>
      </c>
      <c r="R315" s="152" t="s">
        <v>6575</v>
      </c>
      <c r="S315" s="152" t="s">
        <v>6576</v>
      </c>
      <c r="T315" s="152" t="s">
        <v>6577</v>
      </c>
      <c r="U315" s="152" t="s">
        <v>786</v>
      </c>
    </row>
    <row r="316" spans="4:21">
      <c r="D316" s="152" t="s">
        <v>2821</v>
      </c>
      <c r="E316" s="821" t="s">
        <v>676</v>
      </c>
      <c r="F316" s="684" t="str">
        <f>+VLOOKUP(G316,Resumen_Base!$C$8:$G$156,5,0)</f>
        <v>Gun Rental</v>
      </c>
      <c r="G316" s="474" t="s">
        <v>303</v>
      </c>
      <c r="H316" s="210" t="s">
        <v>304</v>
      </c>
      <c r="I316" s="152" t="str">
        <f t="shared" si="4"/>
        <v>CAR4120</v>
      </c>
      <c r="J316" s="513">
        <v>-547950</v>
      </c>
      <c r="K316" s="513">
        <v>-390</v>
      </c>
      <c r="L316" s="513">
        <v>1405</v>
      </c>
      <c r="M316" s="513" t="s">
        <v>6303</v>
      </c>
      <c r="N316" s="513" t="s">
        <v>1566</v>
      </c>
      <c r="O316" s="513" t="s">
        <v>1407</v>
      </c>
      <c r="P316" s="518" t="s">
        <v>6578</v>
      </c>
      <c r="Q316" s="152" t="s">
        <v>5895</v>
      </c>
      <c r="R316" s="152" t="s">
        <v>6579</v>
      </c>
      <c r="S316" s="152" t="s">
        <v>6576</v>
      </c>
      <c r="T316" s="152" t="s">
        <v>6580</v>
      </c>
      <c r="U316" s="152" t="s">
        <v>786</v>
      </c>
    </row>
    <row r="317" spans="4:21">
      <c r="D317" s="152" t="s">
        <v>2821</v>
      </c>
      <c r="E317" s="821" t="s">
        <v>676</v>
      </c>
      <c r="F317" s="684" t="str">
        <f>+VLOOKUP(G317,Resumen_Base!$C$8:$G$156,5,0)</f>
        <v>Gun Rental</v>
      </c>
      <c r="G317" s="474" t="s">
        <v>303</v>
      </c>
      <c r="H317" s="210" t="s">
        <v>304</v>
      </c>
      <c r="I317" s="152" t="str">
        <f t="shared" si="4"/>
        <v>CAR4120</v>
      </c>
      <c r="J317" s="513">
        <v>-547950</v>
      </c>
      <c r="K317" s="513">
        <v>-390</v>
      </c>
      <c r="L317" s="513">
        <v>1405</v>
      </c>
      <c r="M317" s="513" t="s">
        <v>6303</v>
      </c>
      <c r="N317" s="513" t="s">
        <v>1566</v>
      </c>
      <c r="O317" s="513" t="s">
        <v>1407</v>
      </c>
      <c r="P317" s="518" t="s">
        <v>6581</v>
      </c>
      <c r="Q317" s="152" t="s">
        <v>5895</v>
      </c>
      <c r="R317" s="152" t="s">
        <v>6582</v>
      </c>
      <c r="S317" s="152" t="s">
        <v>6576</v>
      </c>
      <c r="T317" s="152" t="s">
        <v>6583</v>
      </c>
      <c r="U317" s="152" t="s">
        <v>786</v>
      </c>
    </row>
    <row r="318" spans="4:21">
      <c r="D318" s="152" t="s">
        <v>2821</v>
      </c>
      <c r="E318" s="821" t="s">
        <v>676</v>
      </c>
      <c r="F318" s="684" t="str">
        <f>+VLOOKUP(G318,Resumen_Base!$C$8:$G$156,5,0)</f>
        <v>Gun Rental</v>
      </c>
      <c r="G318" s="474" t="s">
        <v>303</v>
      </c>
      <c r="H318" s="210" t="s">
        <v>304</v>
      </c>
      <c r="I318" s="152" t="str">
        <f t="shared" si="4"/>
        <v>CAR4120</v>
      </c>
      <c r="J318" s="513">
        <v>-547950</v>
      </c>
      <c r="K318" s="513">
        <v>-390</v>
      </c>
      <c r="L318" s="513">
        <v>1405</v>
      </c>
      <c r="M318" s="513" t="s">
        <v>6303</v>
      </c>
      <c r="N318" s="513" t="s">
        <v>1566</v>
      </c>
      <c r="O318" s="513" t="s">
        <v>1407</v>
      </c>
      <c r="P318" s="518" t="s">
        <v>6584</v>
      </c>
      <c r="Q318" s="152" t="s">
        <v>5895</v>
      </c>
      <c r="R318" s="152" t="s">
        <v>6585</v>
      </c>
      <c r="S318" s="152" t="s">
        <v>6576</v>
      </c>
      <c r="T318" s="152" t="s">
        <v>6586</v>
      </c>
      <c r="U318" s="152" t="s">
        <v>786</v>
      </c>
    </row>
    <row r="319" spans="4:21">
      <c r="D319" s="152" t="s">
        <v>2821</v>
      </c>
      <c r="E319" s="821" t="s">
        <v>676</v>
      </c>
      <c r="F319" s="684" t="str">
        <f>+VLOOKUP(G319,Resumen_Base!$C$8:$G$156,5,0)</f>
        <v>Gun Rental</v>
      </c>
      <c r="G319" s="474" t="s">
        <v>303</v>
      </c>
      <c r="H319" s="210" t="s">
        <v>304</v>
      </c>
      <c r="I319" s="152" t="str">
        <f t="shared" si="4"/>
        <v>CAR4120</v>
      </c>
      <c r="J319" s="513">
        <v>-730600</v>
      </c>
      <c r="K319" s="513">
        <v>-520</v>
      </c>
      <c r="L319" s="513">
        <v>1405</v>
      </c>
      <c r="M319" s="513" t="s">
        <v>6303</v>
      </c>
      <c r="N319" s="513" t="s">
        <v>1566</v>
      </c>
      <c r="O319" s="513" t="s">
        <v>1407</v>
      </c>
      <c r="P319" s="518" t="s">
        <v>6587</v>
      </c>
      <c r="Q319" s="152" t="s">
        <v>5895</v>
      </c>
      <c r="R319" s="152" t="s">
        <v>6588</v>
      </c>
      <c r="S319" s="152" t="s">
        <v>6589</v>
      </c>
      <c r="T319" s="152" t="s">
        <v>6590</v>
      </c>
      <c r="U319" s="152" t="s">
        <v>786</v>
      </c>
    </row>
    <row r="320" spans="4:21">
      <c r="D320" s="152" t="s">
        <v>2821</v>
      </c>
      <c r="E320" s="821" t="s">
        <v>676</v>
      </c>
      <c r="F320" s="684" t="str">
        <f>+VLOOKUP(G320,Resumen_Base!$C$8:$G$156,5,0)</f>
        <v>Gun Rental</v>
      </c>
      <c r="G320" s="474" t="s">
        <v>303</v>
      </c>
      <c r="H320" s="210" t="s">
        <v>304</v>
      </c>
      <c r="I320" s="152" t="str">
        <f t="shared" si="4"/>
        <v>CAR4120</v>
      </c>
      <c r="J320" s="513">
        <v>-730600</v>
      </c>
      <c r="K320" s="513">
        <v>-520</v>
      </c>
      <c r="L320" s="513">
        <v>1405</v>
      </c>
      <c r="M320" s="513" t="s">
        <v>6303</v>
      </c>
      <c r="N320" s="513" t="s">
        <v>1566</v>
      </c>
      <c r="O320" s="513" t="s">
        <v>1407</v>
      </c>
      <c r="P320" s="518" t="s">
        <v>6591</v>
      </c>
      <c r="Q320" s="152" t="s">
        <v>5895</v>
      </c>
      <c r="R320" s="152" t="s">
        <v>6592</v>
      </c>
      <c r="S320" s="152" t="s">
        <v>6589</v>
      </c>
      <c r="T320" s="152" t="s">
        <v>6593</v>
      </c>
      <c r="U320" s="152" t="s">
        <v>786</v>
      </c>
    </row>
    <row r="321" spans="4:21">
      <c r="D321" s="152" t="s">
        <v>2821</v>
      </c>
      <c r="E321" s="821" t="s">
        <v>676</v>
      </c>
      <c r="F321" s="684" t="str">
        <f>+VLOOKUP(G321,Resumen_Base!$C$8:$G$156,5,0)</f>
        <v>Gun Rental</v>
      </c>
      <c r="G321" s="474" t="s">
        <v>303</v>
      </c>
      <c r="H321" s="210" t="s">
        <v>304</v>
      </c>
      <c r="I321" s="152" t="str">
        <f t="shared" si="4"/>
        <v>CAR4120</v>
      </c>
      <c r="J321" s="513">
        <v>-730600</v>
      </c>
      <c r="K321" s="513">
        <v>-520</v>
      </c>
      <c r="L321" s="513">
        <v>1405</v>
      </c>
      <c r="M321" s="513" t="s">
        <v>6303</v>
      </c>
      <c r="N321" s="513" t="s">
        <v>1566</v>
      </c>
      <c r="O321" s="513" t="s">
        <v>1407</v>
      </c>
      <c r="P321" s="518" t="s">
        <v>6594</v>
      </c>
      <c r="Q321" s="152" t="s">
        <v>5895</v>
      </c>
      <c r="R321" s="152" t="s">
        <v>6595</v>
      </c>
      <c r="S321" s="152" t="s">
        <v>6589</v>
      </c>
      <c r="T321" s="152" t="s">
        <v>6596</v>
      </c>
      <c r="U321" s="152" t="s">
        <v>786</v>
      </c>
    </row>
    <row r="322" spans="4:21">
      <c r="D322" s="152" t="s">
        <v>2821</v>
      </c>
      <c r="E322" s="821" t="s">
        <v>676</v>
      </c>
      <c r="F322" s="684" t="str">
        <f>+VLOOKUP(G322,Resumen_Base!$C$8:$G$156,5,0)</f>
        <v>Gun Rental</v>
      </c>
      <c r="G322" s="474" t="s">
        <v>303</v>
      </c>
      <c r="H322" s="210" t="s">
        <v>304</v>
      </c>
      <c r="I322" s="152" t="str">
        <f t="shared" si="4"/>
        <v>CAR4120</v>
      </c>
      <c r="J322" s="513">
        <v>-730600</v>
      </c>
      <c r="K322" s="513">
        <v>-520</v>
      </c>
      <c r="L322" s="513">
        <v>1405</v>
      </c>
      <c r="M322" s="513" t="s">
        <v>6303</v>
      </c>
      <c r="N322" s="513" t="s">
        <v>1566</v>
      </c>
      <c r="O322" s="513" t="s">
        <v>1407</v>
      </c>
      <c r="P322" s="518" t="s">
        <v>6597</v>
      </c>
      <c r="Q322" s="152" t="s">
        <v>5895</v>
      </c>
      <c r="R322" s="152" t="s">
        <v>6598</v>
      </c>
      <c r="S322" s="152" t="s">
        <v>6589</v>
      </c>
      <c r="T322" s="152" t="s">
        <v>6599</v>
      </c>
      <c r="U322" s="152" t="s">
        <v>786</v>
      </c>
    </row>
    <row r="323" spans="4:21">
      <c r="D323" s="152" t="s">
        <v>2821</v>
      </c>
      <c r="E323" s="821" t="s">
        <v>676</v>
      </c>
      <c r="F323" s="684" t="str">
        <f>+VLOOKUP(G323,Resumen_Base!$C$8:$G$156,5,0)</f>
        <v>Gun Rental</v>
      </c>
      <c r="G323" s="474" t="s">
        <v>303</v>
      </c>
      <c r="H323" s="210" t="s">
        <v>304</v>
      </c>
      <c r="I323" s="152" t="str">
        <f t="shared" si="4"/>
        <v>CAR4120</v>
      </c>
      <c r="J323" s="513">
        <v>-730600</v>
      </c>
      <c r="K323" s="513">
        <v>-520</v>
      </c>
      <c r="L323" s="513">
        <v>1405</v>
      </c>
      <c r="M323" s="513" t="s">
        <v>6303</v>
      </c>
      <c r="N323" s="513" t="s">
        <v>1566</v>
      </c>
      <c r="O323" s="513" t="s">
        <v>1407</v>
      </c>
      <c r="P323" s="518" t="s">
        <v>6600</v>
      </c>
      <c r="Q323" s="152" t="s">
        <v>5895</v>
      </c>
      <c r="R323" s="152" t="s">
        <v>6601</v>
      </c>
      <c r="S323" s="152" t="s">
        <v>6589</v>
      </c>
      <c r="T323" s="152" t="s">
        <v>6602</v>
      </c>
      <c r="U323" s="152" t="s">
        <v>786</v>
      </c>
    </row>
    <row r="324" spans="4:21">
      <c r="D324" s="152" t="s">
        <v>2821</v>
      </c>
      <c r="E324" s="821" t="s">
        <v>676</v>
      </c>
      <c r="F324" s="684" t="str">
        <f>+VLOOKUP(G324,Resumen_Base!$C$8:$G$156,5,0)</f>
        <v>Gun Rental</v>
      </c>
      <c r="G324" s="474" t="s">
        <v>303</v>
      </c>
      <c r="H324" s="210" t="s">
        <v>304</v>
      </c>
      <c r="I324" s="152" t="str">
        <f t="shared" si="4"/>
        <v>CAR4120</v>
      </c>
      <c r="J324" s="513">
        <v>-730600</v>
      </c>
      <c r="K324" s="513">
        <v>-520</v>
      </c>
      <c r="L324" s="513">
        <v>1405</v>
      </c>
      <c r="M324" s="513" t="s">
        <v>6303</v>
      </c>
      <c r="N324" s="513" t="s">
        <v>1566</v>
      </c>
      <c r="O324" s="513" t="s">
        <v>1407</v>
      </c>
      <c r="P324" s="518" t="s">
        <v>6610</v>
      </c>
      <c r="Q324" s="152" t="s">
        <v>5895</v>
      </c>
      <c r="R324" s="152" t="s">
        <v>6611</v>
      </c>
      <c r="S324" s="152" t="s">
        <v>6612</v>
      </c>
      <c r="T324" s="152" t="s">
        <v>6613</v>
      </c>
      <c r="U324" s="152" t="s">
        <v>786</v>
      </c>
    </row>
    <row r="325" spans="4:21">
      <c r="D325" s="152" t="s">
        <v>2821</v>
      </c>
      <c r="E325" s="821" t="s">
        <v>676</v>
      </c>
      <c r="F325" s="684" t="str">
        <f>+VLOOKUP(G325,Resumen_Base!$C$8:$G$156,5,0)</f>
        <v>Gun Rental</v>
      </c>
      <c r="G325" s="474" t="s">
        <v>303</v>
      </c>
      <c r="H325" s="210" t="s">
        <v>304</v>
      </c>
      <c r="I325" s="152" t="str">
        <f t="shared" si="4"/>
        <v>CAR4120</v>
      </c>
      <c r="J325" s="513">
        <v>-730600</v>
      </c>
      <c r="K325" s="513">
        <v>-520</v>
      </c>
      <c r="L325" s="513">
        <v>1405</v>
      </c>
      <c r="M325" s="513" t="s">
        <v>6303</v>
      </c>
      <c r="N325" s="513" t="s">
        <v>1566</v>
      </c>
      <c r="O325" s="513" t="s">
        <v>1407</v>
      </c>
      <c r="P325" s="518" t="s">
        <v>6614</v>
      </c>
      <c r="Q325" s="152" t="s">
        <v>5895</v>
      </c>
      <c r="R325" s="152" t="s">
        <v>6615</v>
      </c>
      <c r="S325" s="152" t="s">
        <v>6612</v>
      </c>
      <c r="T325" s="152" t="s">
        <v>6616</v>
      </c>
      <c r="U325" s="152" t="s">
        <v>786</v>
      </c>
    </row>
    <row r="326" spans="4:21">
      <c r="D326" s="152" t="s">
        <v>2821</v>
      </c>
      <c r="E326" s="821" t="s">
        <v>676</v>
      </c>
      <c r="F326" s="684" t="str">
        <f>+VLOOKUP(G326,Resumen_Base!$C$8:$G$156,5,0)</f>
        <v>Gun Rental</v>
      </c>
      <c r="G326" s="474" t="s">
        <v>303</v>
      </c>
      <c r="H326" s="210" t="s">
        <v>304</v>
      </c>
      <c r="I326" s="152" t="str">
        <f t="shared" si="4"/>
        <v>CAR4120</v>
      </c>
      <c r="J326" s="513">
        <v>-157360</v>
      </c>
      <c r="K326" s="513">
        <v>-112</v>
      </c>
      <c r="L326" s="513">
        <v>1405</v>
      </c>
      <c r="M326" s="513" t="s">
        <v>6303</v>
      </c>
      <c r="N326" s="513" t="s">
        <v>1566</v>
      </c>
      <c r="O326" s="513" t="s">
        <v>1407</v>
      </c>
      <c r="P326" s="518" t="s">
        <v>6617</v>
      </c>
      <c r="Q326" s="152" t="s">
        <v>5895</v>
      </c>
      <c r="R326" s="152" t="s">
        <v>6618</v>
      </c>
      <c r="S326" s="152" t="s">
        <v>6612</v>
      </c>
      <c r="T326" s="152" t="s">
        <v>6619</v>
      </c>
      <c r="U326" s="152" t="s">
        <v>786</v>
      </c>
    </row>
    <row r="327" spans="4:21">
      <c r="D327" s="152" t="s">
        <v>2821</v>
      </c>
      <c r="E327" s="821" t="s">
        <v>676</v>
      </c>
      <c r="F327" s="684" t="str">
        <f>+VLOOKUP(G327,Resumen_Base!$C$8:$G$156,5,0)</f>
        <v>Gun Rental</v>
      </c>
      <c r="G327" s="474" t="s">
        <v>303</v>
      </c>
      <c r="H327" s="210" t="s">
        <v>304</v>
      </c>
      <c r="I327" s="152" t="str">
        <f t="shared" si="4"/>
        <v>CAR4120</v>
      </c>
      <c r="J327" s="513">
        <v>-730600</v>
      </c>
      <c r="K327" s="513">
        <v>-520</v>
      </c>
      <c r="L327" s="513">
        <v>1405</v>
      </c>
      <c r="M327" s="513" t="s">
        <v>6303</v>
      </c>
      <c r="N327" s="513" t="s">
        <v>1566</v>
      </c>
      <c r="O327" s="513" t="s">
        <v>1407</v>
      </c>
      <c r="P327" s="518" t="s">
        <v>6620</v>
      </c>
      <c r="Q327" s="152" t="s">
        <v>5895</v>
      </c>
      <c r="R327" s="152" t="s">
        <v>6621</v>
      </c>
      <c r="S327" s="152" t="s">
        <v>6612</v>
      </c>
      <c r="T327" s="152" t="s">
        <v>6622</v>
      </c>
      <c r="U327" s="152" t="s">
        <v>786</v>
      </c>
    </row>
    <row r="328" spans="4:21">
      <c r="D328" s="152" t="s">
        <v>2821</v>
      </c>
      <c r="E328" s="821" t="s">
        <v>676</v>
      </c>
      <c r="F328" s="684" t="str">
        <f>+VLOOKUP(G328,Resumen_Base!$C$8:$G$156,5,0)</f>
        <v>Gun Rental</v>
      </c>
      <c r="G328" s="474" t="s">
        <v>303</v>
      </c>
      <c r="H328" s="210" t="s">
        <v>304</v>
      </c>
      <c r="I328" s="152" t="str">
        <f t="shared" si="4"/>
        <v>CAR4120</v>
      </c>
      <c r="J328" s="513">
        <v>-730600</v>
      </c>
      <c r="K328" s="513">
        <v>-520</v>
      </c>
      <c r="L328" s="513">
        <v>1405</v>
      </c>
      <c r="M328" s="513" t="s">
        <v>6303</v>
      </c>
      <c r="N328" s="513" t="s">
        <v>1566</v>
      </c>
      <c r="O328" s="513" t="s">
        <v>1407</v>
      </c>
      <c r="P328" s="518" t="s">
        <v>6623</v>
      </c>
      <c r="Q328" s="152" t="s">
        <v>5895</v>
      </c>
      <c r="R328" s="152" t="s">
        <v>6624</v>
      </c>
      <c r="S328" s="152" t="s">
        <v>6612</v>
      </c>
      <c r="T328" s="152" t="s">
        <v>6625</v>
      </c>
      <c r="U328" s="152" t="s">
        <v>786</v>
      </c>
    </row>
    <row r="329" spans="4:21">
      <c r="D329" s="152" t="s">
        <v>2821</v>
      </c>
      <c r="E329" s="821" t="s">
        <v>676</v>
      </c>
      <c r="F329" s="684" t="str">
        <f>+VLOOKUP(G329,Resumen_Base!$C$8:$G$156,5,0)</f>
        <v>Gun Rental</v>
      </c>
      <c r="G329" s="474" t="s">
        <v>303</v>
      </c>
      <c r="H329" s="210" t="s">
        <v>304</v>
      </c>
      <c r="I329" s="152" t="str">
        <f t="shared" si="4"/>
        <v>CAR4120</v>
      </c>
      <c r="J329" s="513">
        <v>-730600</v>
      </c>
      <c r="K329" s="513">
        <v>-520</v>
      </c>
      <c r="L329" s="513">
        <v>1405</v>
      </c>
      <c r="M329" s="513" t="s">
        <v>6303</v>
      </c>
      <c r="N329" s="513" t="s">
        <v>1566</v>
      </c>
      <c r="O329" s="513" t="s">
        <v>1407</v>
      </c>
      <c r="P329" s="518" t="s">
        <v>6626</v>
      </c>
      <c r="Q329" s="152" t="s">
        <v>5895</v>
      </c>
      <c r="R329" s="152" t="s">
        <v>6627</v>
      </c>
      <c r="S329" s="152" t="s">
        <v>6612</v>
      </c>
      <c r="T329" s="152" t="s">
        <v>6628</v>
      </c>
      <c r="U329" s="152" t="s">
        <v>786</v>
      </c>
    </row>
    <row r="330" spans="4:21">
      <c r="D330" s="152" t="s">
        <v>2821</v>
      </c>
      <c r="E330" s="821" t="s">
        <v>676</v>
      </c>
      <c r="F330" s="684" t="str">
        <f>+VLOOKUP(G330,Resumen_Base!$C$8:$G$156,5,0)</f>
        <v>Gun Rental</v>
      </c>
      <c r="G330" s="474" t="s">
        <v>303</v>
      </c>
      <c r="H330" s="210" t="s">
        <v>304</v>
      </c>
      <c r="I330" s="152" t="str">
        <f t="shared" si="4"/>
        <v>CAR4120</v>
      </c>
      <c r="J330" s="513">
        <v>-730600</v>
      </c>
      <c r="K330" s="513">
        <v>-520</v>
      </c>
      <c r="L330" s="513">
        <v>1405</v>
      </c>
      <c r="M330" s="513" t="s">
        <v>6303</v>
      </c>
      <c r="N330" s="513" t="s">
        <v>1566</v>
      </c>
      <c r="O330" s="513" t="s">
        <v>1407</v>
      </c>
      <c r="P330" s="518" t="s">
        <v>6629</v>
      </c>
      <c r="Q330" s="152" t="s">
        <v>5895</v>
      </c>
      <c r="R330" s="152" t="s">
        <v>6630</v>
      </c>
      <c r="S330" s="152" t="s">
        <v>6612</v>
      </c>
      <c r="T330" s="152" t="s">
        <v>6631</v>
      </c>
      <c r="U330" s="152" t="s">
        <v>786</v>
      </c>
    </row>
    <row r="331" spans="4:21">
      <c r="D331" s="152" t="s">
        <v>2821</v>
      </c>
      <c r="E331" s="821" t="s">
        <v>676</v>
      </c>
      <c r="F331" s="684" t="str">
        <f>+VLOOKUP(G331,Resumen_Base!$C$8:$G$156,5,0)</f>
        <v>Gun Rental</v>
      </c>
      <c r="G331" s="474" t="s">
        <v>303</v>
      </c>
      <c r="H331" s="210" t="s">
        <v>304</v>
      </c>
      <c r="I331" s="152" t="str">
        <f t="shared" si="4"/>
        <v>CAR4120</v>
      </c>
      <c r="J331" s="513">
        <v>-730600</v>
      </c>
      <c r="K331" s="513">
        <v>-520</v>
      </c>
      <c r="L331" s="513">
        <v>1405</v>
      </c>
      <c r="M331" s="513" t="s">
        <v>6303</v>
      </c>
      <c r="N331" s="513" t="s">
        <v>1566</v>
      </c>
      <c r="O331" s="513" t="s">
        <v>1407</v>
      </c>
      <c r="P331" s="518" t="s">
        <v>6634</v>
      </c>
      <c r="Q331" s="152" t="s">
        <v>5895</v>
      </c>
      <c r="R331" s="152" t="s">
        <v>6635</v>
      </c>
      <c r="S331" s="152" t="s">
        <v>6612</v>
      </c>
      <c r="T331" s="152" t="s">
        <v>6636</v>
      </c>
      <c r="U331" s="152" t="s">
        <v>786</v>
      </c>
    </row>
    <row r="332" spans="4:21">
      <c r="D332" s="152" t="s">
        <v>2821</v>
      </c>
      <c r="E332" s="821" t="s">
        <v>676</v>
      </c>
      <c r="F332" s="684" t="str">
        <f>+VLOOKUP(G332,Resumen_Base!$C$8:$G$156,5,0)</f>
        <v>Gun Rental</v>
      </c>
      <c r="G332" s="474" t="s">
        <v>303</v>
      </c>
      <c r="H332" s="210" t="s">
        <v>304</v>
      </c>
      <c r="I332" s="152" t="str">
        <f t="shared" si="4"/>
        <v>CAR4120</v>
      </c>
      <c r="J332" s="513">
        <v>-730600</v>
      </c>
      <c r="K332" s="513">
        <v>-520</v>
      </c>
      <c r="L332" s="513">
        <v>1405</v>
      </c>
      <c r="M332" s="513" t="s">
        <v>6303</v>
      </c>
      <c r="N332" s="513" t="s">
        <v>1566</v>
      </c>
      <c r="O332" s="513" t="s">
        <v>1407</v>
      </c>
      <c r="P332" s="518" t="s">
        <v>6637</v>
      </c>
      <c r="Q332" s="152" t="s">
        <v>5895</v>
      </c>
      <c r="R332" s="152" t="s">
        <v>6638</v>
      </c>
      <c r="S332" s="152" t="s">
        <v>6612</v>
      </c>
      <c r="T332" s="152" t="s">
        <v>6639</v>
      </c>
      <c r="U332" s="152" t="s">
        <v>786</v>
      </c>
    </row>
    <row r="333" spans="4:21" ht="25">
      <c r="D333" s="152" t="s">
        <v>2821</v>
      </c>
      <c r="E333" s="821" t="s">
        <v>676</v>
      </c>
      <c r="F333" s="684" t="str">
        <f>+VLOOKUP(G333,Resumen_Base!$C$8:$G$156,5,0)</f>
        <v>Insurance for lodge and boats</v>
      </c>
      <c r="G333" s="474" t="s">
        <v>316</v>
      </c>
      <c r="H333" s="210" t="s">
        <v>317</v>
      </c>
      <c r="I333" s="152" t="str">
        <f t="shared" ref="I333:I396" si="5">+E333&amp;G333</f>
        <v>CAR5215</v>
      </c>
      <c r="J333" s="513">
        <v>210539.25</v>
      </c>
      <c r="K333" s="513">
        <v>149.85</v>
      </c>
      <c r="L333" s="513">
        <v>1405</v>
      </c>
      <c r="M333" s="513" t="s">
        <v>6059</v>
      </c>
      <c r="N333" s="513" t="s">
        <v>780</v>
      </c>
      <c r="O333" s="513" t="s">
        <v>1407</v>
      </c>
      <c r="P333" s="518" t="s">
        <v>6114</v>
      </c>
      <c r="Q333" s="152" t="s">
        <v>5873</v>
      </c>
      <c r="R333" s="152" t="s">
        <v>6115</v>
      </c>
      <c r="S333" s="152" t="s">
        <v>6117</v>
      </c>
      <c r="T333" s="152" t="s">
        <v>6116</v>
      </c>
      <c r="U333" s="152" t="s">
        <v>786</v>
      </c>
    </row>
    <row r="334" spans="4:21" ht="25">
      <c r="D334" s="152" t="s">
        <v>2821</v>
      </c>
      <c r="E334" s="821" t="s">
        <v>676</v>
      </c>
      <c r="F334" s="684" t="str">
        <f>+VLOOKUP(G334,Resumen_Base!$C$8:$G$156,5,0)</f>
        <v>Licenses / Permits (Fishing and Shooting)</v>
      </c>
      <c r="G334" s="474" t="s">
        <v>62</v>
      </c>
      <c r="H334" s="210" t="s">
        <v>63</v>
      </c>
      <c r="I334" s="152" t="str">
        <f t="shared" si="5"/>
        <v>CAR5221</v>
      </c>
      <c r="J334" s="513">
        <v>946829.5</v>
      </c>
      <c r="K334" s="513">
        <v>673.9</v>
      </c>
      <c r="L334" s="513">
        <v>1405</v>
      </c>
      <c r="M334" s="513" t="s">
        <v>5881</v>
      </c>
      <c r="N334" s="513" t="s">
        <v>780</v>
      </c>
      <c r="O334" s="513" t="s">
        <v>1407</v>
      </c>
      <c r="P334" s="518" t="s">
        <v>5882</v>
      </c>
      <c r="Q334" s="152" t="s">
        <v>5873</v>
      </c>
      <c r="R334" s="152" t="s">
        <v>5883</v>
      </c>
      <c r="S334" s="152" t="s">
        <v>5892</v>
      </c>
      <c r="T334" s="152" t="s">
        <v>5885</v>
      </c>
      <c r="U334" s="152" t="s">
        <v>786</v>
      </c>
    </row>
    <row r="335" spans="4:21" ht="25">
      <c r="D335" s="152" t="s">
        <v>2821</v>
      </c>
      <c r="E335" s="821" t="s">
        <v>676</v>
      </c>
      <c r="F335" s="684" t="str">
        <f>+VLOOKUP(G335,Resumen_Base!$C$8:$G$156,5,0)</f>
        <v>Licenses / Permits (Fishing and Shooting)</v>
      </c>
      <c r="G335" s="474" t="s">
        <v>62</v>
      </c>
      <c r="H335" s="210" t="s">
        <v>63</v>
      </c>
      <c r="I335" s="152" t="str">
        <f t="shared" si="5"/>
        <v>CAR5221</v>
      </c>
      <c r="J335" s="513">
        <v>905171.25</v>
      </c>
      <c r="K335" s="513">
        <v>644.25</v>
      </c>
      <c r="L335" s="513">
        <v>1405</v>
      </c>
      <c r="M335" s="513" t="s">
        <v>5975</v>
      </c>
      <c r="N335" s="513" t="s">
        <v>780</v>
      </c>
      <c r="O335" s="513" t="s">
        <v>1407</v>
      </c>
      <c r="P335" s="518" t="s">
        <v>5976</v>
      </c>
      <c r="Q335" s="152" t="s">
        <v>5873</v>
      </c>
      <c r="R335" s="152" t="s">
        <v>5977</v>
      </c>
      <c r="S335" s="152" t="s">
        <v>5988</v>
      </c>
      <c r="T335" s="152" t="s">
        <v>5979</v>
      </c>
      <c r="U335" s="152" t="s">
        <v>786</v>
      </c>
    </row>
    <row r="336" spans="4:21" ht="25">
      <c r="D336" s="152" t="s">
        <v>2821</v>
      </c>
      <c r="E336" s="821" t="s">
        <v>676</v>
      </c>
      <c r="F336" s="684" t="str">
        <f>+VLOOKUP(G336,Resumen_Base!$C$8:$G$156,5,0)</f>
        <v>Licenses / Permits (Fishing and Shooting)</v>
      </c>
      <c r="G336" s="474" t="s">
        <v>62</v>
      </c>
      <c r="H336" s="210" t="s">
        <v>63</v>
      </c>
      <c r="I336" s="152" t="str">
        <f t="shared" si="5"/>
        <v>CAR5221</v>
      </c>
      <c r="J336" s="513">
        <v>834359.25</v>
      </c>
      <c r="K336" s="513">
        <v>593.85</v>
      </c>
      <c r="L336" s="513">
        <v>1405</v>
      </c>
      <c r="M336" s="513" t="s">
        <v>5975</v>
      </c>
      <c r="N336" s="513" t="s">
        <v>780</v>
      </c>
      <c r="O336" s="513" t="s">
        <v>1407</v>
      </c>
      <c r="P336" s="518" t="s">
        <v>5976</v>
      </c>
      <c r="Q336" s="152" t="s">
        <v>5873</v>
      </c>
      <c r="R336" s="152" t="s">
        <v>5977</v>
      </c>
      <c r="S336" s="152" t="s">
        <v>5989</v>
      </c>
      <c r="T336" s="152" t="s">
        <v>5979</v>
      </c>
      <c r="U336" s="152" t="s">
        <v>786</v>
      </c>
    </row>
    <row r="337" spans="4:21" ht="25">
      <c r="D337" s="152" t="s">
        <v>2821</v>
      </c>
      <c r="E337" s="821" t="s">
        <v>676</v>
      </c>
      <c r="F337" s="684" t="str">
        <f>+VLOOKUP(G337,Resumen_Base!$C$8:$G$156,5,0)</f>
        <v>Licenses / Permits (Fishing and Shooting)</v>
      </c>
      <c r="G337" s="474" t="s">
        <v>62</v>
      </c>
      <c r="H337" s="210" t="s">
        <v>63</v>
      </c>
      <c r="I337" s="152" t="str">
        <f t="shared" si="5"/>
        <v>CAR5221</v>
      </c>
      <c r="J337" s="513">
        <v>1065734.6499999999</v>
      </c>
      <c r="K337" s="513">
        <v>758.53</v>
      </c>
      <c r="L337" s="513">
        <v>1405</v>
      </c>
      <c r="M337" s="513" t="s">
        <v>6059</v>
      </c>
      <c r="N337" s="513" t="s">
        <v>780</v>
      </c>
      <c r="O337" s="513" t="s">
        <v>1407</v>
      </c>
      <c r="P337" s="518" t="s">
        <v>6114</v>
      </c>
      <c r="Q337" s="152" t="s">
        <v>5873</v>
      </c>
      <c r="R337" s="152" t="s">
        <v>6115</v>
      </c>
      <c r="S337" s="152" t="s">
        <v>3662</v>
      </c>
      <c r="T337" s="152" t="s">
        <v>6116</v>
      </c>
      <c r="U337" s="152" t="s">
        <v>786</v>
      </c>
    </row>
    <row r="338" spans="4:21" ht="25">
      <c r="D338" s="152" t="s">
        <v>2821</v>
      </c>
      <c r="E338" s="821" t="s">
        <v>676</v>
      </c>
      <c r="F338" s="684" t="str">
        <f>+VLOOKUP(G338,Resumen_Base!$C$8:$G$156,5,0)</f>
        <v>Licenses / Permits (Fishing and Shooting)</v>
      </c>
      <c r="G338" s="474" t="s">
        <v>62</v>
      </c>
      <c r="H338" s="210" t="s">
        <v>63</v>
      </c>
      <c r="I338" s="152" t="str">
        <f t="shared" si="5"/>
        <v>CAR5221</v>
      </c>
      <c r="J338" s="513">
        <v>843000</v>
      </c>
      <c r="K338" s="513">
        <v>600</v>
      </c>
      <c r="L338" s="513">
        <v>1405</v>
      </c>
      <c r="M338" s="513" t="s">
        <v>6059</v>
      </c>
      <c r="N338" s="513" t="s">
        <v>780</v>
      </c>
      <c r="O338" s="513" t="s">
        <v>1407</v>
      </c>
      <c r="P338" s="518" t="s">
        <v>6119</v>
      </c>
      <c r="Q338" s="152" t="s">
        <v>5873</v>
      </c>
      <c r="R338" s="152" t="s">
        <v>6120</v>
      </c>
      <c r="S338" s="152" t="s">
        <v>6197</v>
      </c>
      <c r="T338" s="152" t="s">
        <v>6122</v>
      </c>
      <c r="U338" s="152" t="s">
        <v>786</v>
      </c>
    </row>
    <row r="339" spans="4:21" ht="25">
      <c r="D339" s="152" t="s">
        <v>2821</v>
      </c>
      <c r="E339" s="821" t="s">
        <v>676</v>
      </c>
      <c r="F339" s="684" t="str">
        <f>+VLOOKUP(G339,Resumen_Base!$C$8:$G$156,5,0)</f>
        <v>Licenses / Permits (Fishing and Shooting)</v>
      </c>
      <c r="G339" s="474" t="s">
        <v>62</v>
      </c>
      <c r="H339" s="210" t="s">
        <v>63</v>
      </c>
      <c r="I339" s="152" t="str">
        <f t="shared" si="5"/>
        <v>CAR5221</v>
      </c>
      <c r="J339" s="513">
        <v>1351792.65</v>
      </c>
      <c r="K339" s="513">
        <v>962.13</v>
      </c>
      <c r="L339" s="513">
        <v>1405</v>
      </c>
      <c r="M339" s="513" t="s">
        <v>6059</v>
      </c>
      <c r="N339" s="513" t="s">
        <v>780</v>
      </c>
      <c r="O339" s="513" t="s">
        <v>1407</v>
      </c>
      <c r="P339" s="518" t="s">
        <v>6110</v>
      </c>
      <c r="Q339" s="152" t="s">
        <v>5873</v>
      </c>
      <c r="R339" s="152" t="s">
        <v>6111</v>
      </c>
      <c r="S339" s="152" t="s">
        <v>4043</v>
      </c>
      <c r="T339" s="152" t="s">
        <v>6113</v>
      </c>
      <c r="U339" s="152" t="s">
        <v>786</v>
      </c>
    </row>
    <row r="340" spans="4:21" ht="25">
      <c r="D340" s="152" t="s">
        <v>2821</v>
      </c>
      <c r="E340" s="821" t="s">
        <v>676</v>
      </c>
      <c r="F340" s="684" t="str">
        <f>+VLOOKUP(G340,Resumen_Base!$C$8:$G$156,5,0)</f>
        <v>Licenses / Permits (Fishing and Shooting)</v>
      </c>
      <c r="G340" s="474" t="s">
        <v>62</v>
      </c>
      <c r="H340" s="210" t="s">
        <v>63</v>
      </c>
      <c r="I340" s="152" t="str">
        <f t="shared" si="5"/>
        <v>CAR5221</v>
      </c>
      <c r="J340" s="513">
        <v>847791.05</v>
      </c>
      <c r="K340" s="513">
        <v>603.41</v>
      </c>
      <c r="L340" s="513">
        <v>1405</v>
      </c>
      <c r="M340" s="513" t="s">
        <v>6303</v>
      </c>
      <c r="N340" s="513" t="s">
        <v>780</v>
      </c>
      <c r="O340" s="513" t="s">
        <v>1407</v>
      </c>
      <c r="P340" s="518" t="s">
        <v>6345</v>
      </c>
      <c r="Q340" s="152" t="s">
        <v>5873</v>
      </c>
      <c r="R340" s="152" t="s">
        <v>6346</v>
      </c>
      <c r="S340" s="152" t="s">
        <v>3978</v>
      </c>
      <c r="T340" s="152" t="s">
        <v>6348</v>
      </c>
      <c r="U340" s="152" t="s">
        <v>786</v>
      </c>
    </row>
    <row r="341" spans="4:21" ht="25">
      <c r="D341" s="152" t="s">
        <v>2821</v>
      </c>
      <c r="E341" s="821" t="s">
        <v>676</v>
      </c>
      <c r="F341" s="684" t="str">
        <f>+VLOOKUP(G341,Resumen_Base!$C$8:$G$156,5,0)</f>
        <v>Licenses / Permits (Fishing and Shooting)</v>
      </c>
      <c r="G341" s="474" t="s">
        <v>62</v>
      </c>
      <c r="H341" s="210" t="s">
        <v>63</v>
      </c>
      <c r="I341" s="152" t="str">
        <f t="shared" si="5"/>
        <v>CAR5221</v>
      </c>
      <c r="J341" s="513">
        <v>2177750</v>
      </c>
      <c r="K341" s="513">
        <v>1550</v>
      </c>
      <c r="L341" s="513">
        <v>1405</v>
      </c>
      <c r="M341" s="513" t="s">
        <v>6303</v>
      </c>
      <c r="N341" s="513" t="s">
        <v>780</v>
      </c>
      <c r="O341" s="513" t="s">
        <v>1407</v>
      </c>
      <c r="P341" s="518" t="s">
        <v>6509</v>
      </c>
      <c r="Q341" s="152" t="s">
        <v>5873</v>
      </c>
      <c r="R341" s="152" t="s">
        <v>6510</v>
      </c>
      <c r="S341" s="152" t="s">
        <v>6524</v>
      </c>
      <c r="T341" s="152" t="s">
        <v>6511</v>
      </c>
      <c r="U341" s="152" t="s">
        <v>786</v>
      </c>
    </row>
    <row r="342" spans="4:21" ht="25">
      <c r="D342" s="152" t="s">
        <v>2821</v>
      </c>
      <c r="E342" s="821" t="s">
        <v>676</v>
      </c>
      <c r="F342" s="684" t="str">
        <f>+VLOOKUP(G342,Resumen_Base!$C$8:$G$156,5,0)</f>
        <v>Licenses / Permits (Fishing and Shooting)</v>
      </c>
      <c r="G342" s="474" t="s">
        <v>62</v>
      </c>
      <c r="H342" s="210" t="s">
        <v>63</v>
      </c>
      <c r="I342" s="152" t="str">
        <f t="shared" si="5"/>
        <v>CAR5221</v>
      </c>
      <c r="J342" s="513">
        <v>1069682.7</v>
      </c>
      <c r="K342" s="513">
        <v>761.34</v>
      </c>
      <c r="L342" s="513">
        <v>1405</v>
      </c>
      <c r="M342" s="513" t="s">
        <v>6303</v>
      </c>
      <c r="N342" s="513" t="s">
        <v>780</v>
      </c>
      <c r="O342" s="513" t="s">
        <v>1407</v>
      </c>
      <c r="P342" s="518" t="s">
        <v>6345</v>
      </c>
      <c r="Q342" s="152" t="s">
        <v>5873</v>
      </c>
      <c r="R342" s="152" t="s">
        <v>6346</v>
      </c>
      <c r="S342" s="152" t="s">
        <v>4043</v>
      </c>
      <c r="T342" s="152" t="s">
        <v>6348</v>
      </c>
      <c r="U342" s="152" t="s">
        <v>786</v>
      </c>
    </row>
    <row r="343" spans="4:21" ht="25">
      <c r="D343" s="152" t="s">
        <v>2821</v>
      </c>
      <c r="E343" s="821" t="s">
        <v>676</v>
      </c>
      <c r="F343" s="684" t="str">
        <f>+VLOOKUP(G343,Resumen_Base!$C$8:$G$156,5,0)</f>
        <v>Maintenance  Boats / Vehicles</v>
      </c>
      <c r="G343" s="474" t="s">
        <v>66</v>
      </c>
      <c r="H343" s="210" t="s">
        <v>67</v>
      </c>
      <c r="I343" s="152" t="str">
        <f t="shared" si="5"/>
        <v>CAR5253</v>
      </c>
      <c r="J343" s="513">
        <v>237669.8</v>
      </c>
      <c r="K343" s="513">
        <v>169.16</v>
      </c>
      <c r="L343" s="513">
        <v>1405</v>
      </c>
      <c r="M343" s="513" t="s">
        <v>6059</v>
      </c>
      <c r="N343" s="513" t="s">
        <v>780</v>
      </c>
      <c r="O343" s="513" t="s">
        <v>1407</v>
      </c>
      <c r="P343" s="518" t="s">
        <v>6119</v>
      </c>
      <c r="Q343" s="152" t="s">
        <v>5873</v>
      </c>
      <c r="R343" s="152" t="s">
        <v>6120</v>
      </c>
      <c r="S343" s="152" t="s">
        <v>6144</v>
      </c>
      <c r="T343" s="152" t="s">
        <v>6122</v>
      </c>
      <c r="U343" s="152" t="s">
        <v>786</v>
      </c>
    </row>
    <row r="344" spans="4:21" ht="25">
      <c r="D344" s="152" t="s">
        <v>2821</v>
      </c>
      <c r="E344" s="821" t="s">
        <v>676</v>
      </c>
      <c r="F344" s="684" t="str">
        <f>+VLOOKUP(G344,Resumen_Base!$C$8:$G$156,5,0)</f>
        <v>Maintenance  Boats / Vehicles</v>
      </c>
      <c r="G344" s="474" t="s">
        <v>66</v>
      </c>
      <c r="H344" s="210" t="s">
        <v>67</v>
      </c>
      <c r="I344" s="152" t="str">
        <f t="shared" si="5"/>
        <v>CAR5253</v>
      </c>
      <c r="J344" s="513">
        <v>6322.5</v>
      </c>
      <c r="K344" s="513">
        <v>4.5</v>
      </c>
      <c r="L344" s="513">
        <v>1405</v>
      </c>
      <c r="M344" s="513" t="s">
        <v>6059</v>
      </c>
      <c r="N344" s="513" t="s">
        <v>780</v>
      </c>
      <c r="O344" s="513" t="s">
        <v>1407</v>
      </c>
      <c r="P344" s="518" t="s">
        <v>6110</v>
      </c>
      <c r="Q344" s="152" t="s">
        <v>5873</v>
      </c>
      <c r="R344" s="152" t="s">
        <v>6111</v>
      </c>
      <c r="S344" s="152" t="s">
        <v>6160</v>
      </c>
      <c r="T344" s="152" t="s">
        <v>6113</v>
      </c>
      <c r="U344" s="152" t="s">
        <v>786</v>
      </c>
    </row>
    <row r="345" spans="4:21" ht="25">
      <c r="D345" s="152" t="s">
        <v>2821</v>
      </c>
      <c r="E345" s="821" t="s">
        <v>676</v>
      </c>
      <c r="F345" s="684" t="str">
        <f>+VLOOKUP(G345,Resumen_Base!$C$8:$G$156,5,0)</f>
        <v>Maintenance  Boats / Vehicles</v>
      </c>
      <c r="G345" s="474" t="s">
        <v>66</v>
      </c>
      <c r="H345" s="210" t="s">
        <v>67</v>
      </c>
      <c r="I345" s="152" t="str">
        <f t="shared" si="5"/>
        <v>CAR5253</v>
      </c>
      <c r="J345" s="513">
        <v>2669.5</v>
      </c>
      <c r="K345" s="513">
        <v>1.9</v>
      </c>
      <c r="L345" s="513">
        <v>1405</v>
      </c>
      <c r="M345" s="513" t="s">
        <v>6059</v>
      </c>
      <c r="N345" s="513" t="s">
        <v>780</v>
      </c>
      <c r="O345" s="513" t="s">
        <v>1407</v>
      </c>
      <c r="P345" s="518" t="s">
        <v>6119</v>
      </c>
      <c r="Q345" s="152" t="s">
        <v>5873</v>
      </c>
      <c r="R345" s="152" t="s">
        <v>6120</v>
      </c>
      <c r="S345" s="152" t="s">
        <v>1515</v>
      </c>
      <c r="T345" s="152" t="s">
        <v>6122</v>
      </c>
      <c r="U345" s="152" t="s">
        <v>786</v>
      </c>
    </row>
    <row r="346" spans="4:21" ht="25">
      <c r="D346" s="152" t="s">
        <v>2821</v>
      </c>
      <c r="E346" s="821" t="s">
        <v>676</v>
      </c>
      <c r="F346" s="684" t="str">
        <f>+VLOOKUP(G346,Resumen_Base!$C$8:$G$156,5,0)</f>
        <v>Maintenance  Boats / Vehicles</v>
      </c>
      <c r="G346" s="474" t="s">
        <v>66</v>
      </c>
      <c r="H346" s="210" t="s">
        <v>67</v>
      </c>
      <c r="I346" s="152" t="str">
        <f t="shared" si="5"/>
        <v>CAR5253</v>
      </c>
      <c r="J346" s="513">
        <v>2711.65</v>
      </c>
      <c r="K346" s="513">
        <v>1.93</v>
      </c>
      <c r="L346" s="513">
        <v>1405</v>
      </c>
      <c r="M346" s="513" t="s">
        <v>6059</v>
      </c>
      <c r="N346" s="513" t="s">
        <v>780</v>
      </c>
      <c r="O346" s="513" t="s">
        <v>1407</v>
      </c>
      <c r="P346" s="518" t="s">
        <v>6114</v>
      </c>
      <c r="Q346" s="152" t="s">
        <v>5873</v>
      </c>
      <c r="R346" s="152" t="s">
        <v>6115</v>
      </c>
      <c r="S346" s="152" t="s">
        <v>1515</v>
      </c>
      <c r="T346" s="152" t="s">
        <v>6116</v>
      </c>
      <c r="U346" s="152" t="s">
        <v>786</v>
      </c>
    </row>
    <row r="347" spans="4:21" ht="25">
      <c r="D347" s="152" t="s">
        <v>2821</v>
      </c>
      <c r="E347" s="821" t="s">
        <v>676</v>
      </c>
      <c r="F347" s="684" t="str">
        <f>+VLOOKUP(G347,Resumen_Base!$C$8:$G$156,5,0)</f>
        <v>Maintenance  Boats / Vehicles</v>
      </c>
      <c r="G347" s="474" t="s">
        <v>66</v>
      </c>
      <c r="H347" s="210" t="s">
        <v>67</v>
      </c>
      <c r="I347" s="152" t="str">
        <f t="shared" si="5"/>
        <v>CAR5253</v>
      </c>
      <c r="J347" s="513">
        <v>449389.25</v>
      </c>
      <c r="K347" s="513">
        <v>319.85000000000002</v>
      </c>
      <c r="L347" s="513">
        <v>1405</v>
      </c>
      <c r="M347" s="513" t="s">
        <v>6059</v>
      </c>
      <c r="N347" s="513" t="s">
        <v>780</v>
      </c>
      <c r="O347" s="513" t="s">
        <v>1407</v>
      </c>
      <c r="P347" s="518" t="s">
        <v>6114</v>
      </c>
      <c r="Q347" s="152" t="s">
        <v>5873</v>
      </c>
      <c r="R347" s="152" t="s">
        <v>6115</v>
      </c>
      <c r="S347" s="152" t="s">
        <v>6175</v>
      </c>
      <c r="T347" s="152" t="s">
        <v>6116</v>
      </c>
      <c r="U347" s="152" t="s">
        <v>786</v>
      </c>
    </row>
    <row r="348" spans="4:21" ht="25">
      <c r="D348" s="152" t="s">
        <v>2821</v>
      </c>
      <c r="E348" s="821" t="s">
        <v>676</v>
      </c>
      <c r="F348" s="684" t="str">
        <f>+VLOOKUP(G348,Resumen_Base!$C$8:$G$156,5,0)</f>
        <v>Maintenance  Boats / Vehicles</v>
      </c>
      <c r="G348" s="474" t="s">
        <v>66</v>
      </c>
      <c r="H348" s="210" t="s">
        <v>67</v>
      </c>
      <c r="I348" s="152" t="str">
        <f t="shared" si="5"/>
        <v>CAR5253</v>
      </c>
      <c r="J348" s="513">
        <v>388131.25</v>
      </c>
      <c r="K348" s="513">
        <v>276.25</v>
      </c>
      <c r="L348" s="513">
        <v>1405</v>
      </c>
      <c r="M348" s="513" t="s">
        <v>6059</v>
      </c>
      <c r="N348" s="513" t="s">
        <v>780</v>
      </c>
      <c r="O348" s="513" t="s">
        <v>1407</v>
      </c>
      <c r="P348" s="518" t="s">
        <v>6114</v>
      </c>
      <c r="Q348" s="152" t="s">
        <v>5873</v>
      </c>
      <c r="R348" s="152" t="s">
        <v>6115</v>
      </c>
      <c r="S348" s="152" t="s">
        <v>6183</v>
      </c>
      <c r="T348" s="152" t="s">
        <v>6116</v>
      </c>
      <c r="U348" s="152" t="s">
        <v>786</v>
      </c>
    </row>
    <row r="349" spans="4:21" ht="25">
      <c r="D349" s="152" t="s">
        <v>2821</v>
      </c>
      <c r="E349" s="821" t="s">
        <v>676</v>
      </c>
      <c r="F349" s="684" t="str">
        <f>+VLOOKUP(G349,Resumen_Base!$C$8:$G$156,5,0)</f>
        <v>Maintenance  Boats / Vehicles</v>
      </c>
      <c r="G349" s="474" t="s">
        <v>66</v>
      </c>
      <c r="H349" s="210" t="s">
        <v>67</v>
      </c>
      <c r="I349" s="152" t="str">
        <f t="shared" si="5"/>
        <v>CAR5253</v>
      </c>
      <c r="J349" s="513">
        <v>2725.7</v>
      </c>
      <c r="K349" s="513">
        <v>1.94</v>
      </c>
      <c r="L349" s="513">
        <v>1405</v>
      </c>
      <c r="M349" s="513" t="s">
        <v>6303</v>
      </c>
      <c r="N349" s="513" t="s">
        <v>780</v>
      </c>
      <c r="O349" s="513" t="s">
        <v>1407</v>
      </c>
      <c r="P349" s="518" t="s">
        <v>6484</v>
      </c>
      <c r="Q349" s="152" t="s">
        <v>5873</v>
      </c>
      <c r="R349" s="152" t="s">
        <v>6485</v>
      </c>
      <c r="S349" s="152" t="s">
        <v>1515</v>
      </c>
      <c r="T349" s="152" t="s">
        <v>6487</v>
      </c>
      <c r="U349" s="152" t="s">
        <v>786</v>
      </c>
    </row>
    <row r="350" spans="4:21" ht="25">
      <c r="D350" s="152" t="s">
        <v>2821</v>
      </c>
      <c r="E350" s="821" t="s">
        <v>676</v>
      </c>
      <c r="F350" s="684" t="str">
        <f>+VLOOKUP(G350,Resumen_Base!$C$8:$G$156,5,0)</f>
        <v>Maintenance  Boats / Vehicles</v>
      </c>
      <c r="G350" s="474" t="s">
        <v>66</v>
      </c>
      <c r="H350" s="210" t="s">
        <v>67</v>
      </c>
      <c r="I350" s="152" t="str">
        <f t="shared" si="5"/>
        <v>CAR5253</v>
      </c>
      <c r="J350" s="513">
        <v>707937.35</v>
      </c>
      <c r="K350" s="513">
        <v>503.87</v>
      </c>
      <c r="L350" s="513">
        <v>1405</v>
      </c>
      <c r="M350" s="513" t="s">
        <v>6303</v>
      </c>
      <c r="N350" s="513" t="s">
        <v>780</v>
      </c>
      <c r="O350" s="513" t="s">
        <v>1407</v>
      </c>
      <c r="P350" s="518" t="s">
        <v>6484</v>
      </c>
      <c r="Q350" s="152" t="s">
        <v>5873</v>
      </c>
      <c r="R350" s="152" t="s">
        <v>6485</v>
      </c>
      <c r="S350" s="152" t="s">
        <v>6516</v>
      </c>
      <c r="T350" s="152" t="s">
        <v>6487</v>
      </c>
      <c r="U350" s="152" t="s">
        <v>786</v>
      </c>
    </row>
    <row r="351" spans="4:21">
      <c r="D351" s="152" t="s">
        <v>2821</v>
      </c>
      <c r="E351" s="821" t="s">
        <v>676</v>
      </c>
      <c r="F351" s="684" t="str">
        <f>+VLOOKUP(G351,Resumen_Base!$C$8:$G$156,5,0)</f>
        <v>Maintenance  Equipment</v>
      </c>
      <c r="G351" s="474" t="s">
        <v>31</v>
      </c>
      <c r="H351" s="210" t="s">
        <v>335</v>
      </c>
      <c r="I351" s="152" t="str">
        <f t="shared" si="5"/>
        <v>CAR5254</v>
      </c>
      <c r="J351" s="513">
        <v>240114.5</v>
      </c>
      <c r="K351" s="513">
        <v>170.9</v>
      </c>
      <c r="L351" s="513">
        <v>1405</v>
      </c>
      <c r="M351" s="513" t="s">
        <v>6059</v>
      </c>
      <c r="N351" s="513" t="s">
        <v>780</v>
      </c>
      <c r="O351" s="513" t="s">
        <v>1407</v>
      </c>
      <c r="P351" s="518" t="s">
        <v>6114</v>
      </c>
      <c r="Q351" s="152" t="s">
        <v>5873</v>
      </c>
      <c r="R351" s="152" t="s">
        <v>6115</v>
      </c>
      <c r="S351" s="152" t="s">
        <v>6126</v>
      </c>
      <c r="T351" s="152" t="s">
        <v>6116</v>
      </c>
      <c r="U351" s="152" t="s">
        <v>786</v>
      </c>
    </row>
    <row r="352" spans="4:21">
      <c r="D352" s="152" t="s">
        <v>2821</v>
      </c>
      <c r="E352" s="821" t="s">
        <v>676</v>
      </c>
      <c r="F352" s="684" t="str">
        <f>+VLOOKUP(G352,Resumen_Base!$C$8:$G$156,5,0)</f>
        <v>Maintenance  Equipment</v>
      </c>
      <c r="G352" s="474" t="s">
        <v>31</v>
      </c>
      <c r="H352" s="210" t="s">
        <v>335</v>
      </c>
      <c r="I352" s="152" t="str">
        <f t="shared" si="5"/>
        <v>CAR5254</v>
      </c>
      <c r="J352" s="513">
        <v>2683.55</v>
      </c>
      <c r="K352" s="513">
        <v>1.91</v>
      </c>
      <c r="L352" s="513">
        <v>1405</v>
      </c>
      <c r="M352" s="513" t="s">
        <v>6059</v>
      </c>
      <c r="N352" s="513" t="s">
        <v>780</v>
      </c>
      <c r="O352" s="513" t="s">
        <v>1407</v>
      </c>
      <c r="P352" s="518" t="s">
        <v>6114</v>
      </c>
      <c r="Q352" s="152" t="s">
        <v>5873</v>
      </c>
      <c r="R352" s="152" t="s">
        <v>6115</v>
      </c>
      <c r="S352" s="152" t="s">
        <v>1515</v>
      </c>
      <c r="T352" s="152" t="s">
        <v>6116</v>
      </c>
      <c r="U352" s="152" t="s">
        <v>786</v>
      </c>
    </row>
    <row r="353" spans="4:21">
      <c r="D353" s="152" t="s">
        <v>2821</v>
      </c>
      <c r="E353" s="821" t="s">
        <v>676</v>
      </c>
      <c r="F353" s="684" t="str">
        <f>+VLOOKUP(G353,Resumen_Base!$C$8:$G$156,5,0)</f>
        <v>Maintenance  Equipment</v>
      </c>
      <c r="G353" s="474" t="s">
        <v>31</v>
      </c>
      <c r="H353" s="210" t="s">
        <v>335</v>
      </c>
      <c r="I353" s="152" t="str">
        <f t="shared" si="5"/>
        <v>CAR5254</v>
      </c>
      <c r="J353" s="513">
        <v>32933.199999999997</v>
      </c>
      <c r="K353" s="513">
        <v>23.44</v>
      </c>
      <c r="L353" s="513">
        <v>1405</v>
      </c>
      <c r="M353" s="513" t="s">
        <v>6059</v>
      </c>
      <c r="N353" s="513" t="s">
        <v>780</v>
      </c>
      <c r="O353" s="513" t="s">
        <v>1407</v>
      </c>
      <c r="P353" s="518" t="s">
        <v>6114</v>
      </c>
      <c r="Q353" s="152" t="s">
        <v>5873</v>
      </c>
      <c r="R353" s="152" t="s">
        <v>6115</v>
      </c>
      <c r="S353" s="152" t="s">
        <v>6174</v>
      </c>
      <c r="T353" s="152" t="s">
        <v>6116</v>
      </c>
      <c r="U353" s="152" t="s">
        <v>786</v>
      </c>
    </row>
    <row r="354" spans="4:21">
      <c r="D354" s="152" t="s">
        <v>2821</v>
      </c>
      <c r="E354" s="821" t="s">
        <v>676</v>
      </c>
      <c r="F354" s="684" t="str">
        <f>+VLOOKUP(G354,Resumen_Base!$C$8:$G$156,5,0)</f>
        <v>Maintenance  Equipment</v>
      </c>
      <c r="G354" s="474" t="s">
        <v>31</v>
      </c>
      <c r="H354" s="210" t="s">
        <v>335</v>
      </c>
      <c r="I354" s="152" t="str">
        <f t="shared" si="5"/>
        <v>CAR5254</v>
      </c>
      <c r="J354" s="513">
        <v>388131.25</v>
      </c>
      <c r="K354" s="513">
        <v>276.25</v>
      </c>
      <c r="L354" s="513">
        <v>1405</v>
      </c>
      <c r="M354" s="513" t="s">
        <v>6059</v>
      </c>
      <c r="N354" s="513" t="s">
        <v>780</v>
      </c>
      <c r="O354" s="513" t="s">
        <v>1407</v>
      </c>
      <c r="P354" s="518" t="s">
        <v>6114</v>
      </c>
      <c r="Q354" s="152" t="s">
        <v>5873</v>
      </c>
      <c r="R354" s="152" t="s">
        <v>6115</v>
      </c>
      <c r="S354" s="152" t="s">
        <v>6181</v>
      </c>
      <c r="T354" s="152" t="s">
        <v>6116</v>
      </c>
      <c r="U354" s="152" t="s">
        <v>786</v>
      </c>
    </row>
    <row r="355" spans="4:21">
      <c r="D355" s="152" t="s">
        <v>2821</v>
      </c>
      <c r="E355" s="821" t="s">
        <v>676</v>
      </c>
      <c r="F355" s="684" t="str">
        <f>+VLOOKUP(G355,Resumen_Base!$C$8:$G$156,5,0)</f>
        <v>Maintenance Lodge</v>
      </c>
      <c r="G355" s="474" t="s">
        <v>33</v>
      </c>
      <c r="H355" s="210" t="s">
        <v>32</v>
      </c>
      <c r="I355" s="152" t="str">
        <f t="shared" si="5"/>
        <v>CAR5252</v>
      </c>
      <c r="J355" s="513">
        <v>4215</v>
      </c>
      <c r="K355" s="513">
        <v>3</v>
      </c>
      <c r="L355" s="513">
        <v>1405</v>
      </c>
      <c r="M355" s="513" t="s">
        <v>5881</v>
      </c>
      <c r="N355" s="513" t="s">
        <v>780</v>
      </c>
      <c r="O355" s="513" t="s">
        <v>1407</v>
      </c>
      <c r="P355" s="518" t="s">
        <v>5882</v>
      </c>
      <c r="Q355" s="152" t="s">
        <v>5873</v>
      </c>
      <c r="R355" s="152" t="s">
        <v>5883</v>
      </c>
      <c r="S355" s="152" t="s">
        <v>5884</v>
      </c>
      <c r="T355" s="152" t="s">
        <v>5885</v>
      </c>
      <c r="U355" s="152" t="s">
        <v>786</v>
      </c>
    </row>
    <row r="356" spans="4:21">
      <c r="D356" s="152" t="s">
        <v>2821</v>
      </c>
      <c r="E356" s="821" t="s">
        <v>676</v>
      </c>
      <c r="F356" s="684" t="str">
        <f>+VLOOKUP(G356,Resumen_Base!$C$8:$G$156,5,0)</f>
        <v>Maintenance Lodge</v>
      </c>
      <c r="G356" s="474" t="s">
        <v>33</v>
      </c>
      <c r="H356" s="210" t="s">
        <v>32</v>
      </c>
      <c r="I356" s="152" t="str">
        <f t="shared" si="5"/>
        <v>CAR5252</v>
      </c>
      <c r="J356" s="513">
        <v>50088.25</v>
      </c>
      <c r="K356" s="513">
        <v>35.65</v>
      </c>
      <c r="L356" s="513">
        <v>1405</v>
      </c>
      <c r="M356" s="513" t="s">
        <v>5881</v>
      </c>
      <c r="N356" s="513" t="s">
        <v>780</v>
      </c>
      <c r="O356" s="513" t="s">
        <v>1407</v>
      </c>
      <c r="P356" s="518" t="s">
        <v>5882</v>
      </c>
      <c r="Q356" s="152" t="s">
        <v>5873</v>
      </c>
      <c r="R356" s="152" t="s">
        <v>5883</v>
      </c>
      <c r="S356" s="152" t="s">
        <v>5889</v>
      </c>
      <c r="T356" s="152" t="s">
        <v>5885</v>
      </c>
      <c r="U356" s="152" t="s">
        <v>786</v>
      </c>
    </row>
    <row r="357" spans="4:21">
      <c r="D357" s="152" t="s">
        <v>2821</v>
      </c>
      <c r="E357" s="821" t="s">
        <v>676</v>
      </c>
      <c r="F357" s="684" t="str">
        <f>+VLOOKUP(G357,Resumen_Base!$C$8:$G$156,5,0)</f>
        <v>Maintenance Lodge</v>
      </c>
      <c r="G357" s="474" t="s">
        <v>33</v>
      </c>
      <c r="H357" s="210" t="s">
        <v>32</v>
      </c>
      <c r="I357" s="152" t="str">
        <f t="shared" si="5"/>
        <v>CAR5252</v>
      </c>
      <c r="J357" s="513">
        <v>46126.15</v>
      </c>
      <c r="K357" s="513">
        <v>32.83</v>
      </c>
      <c r="L357" s="513">
        <v>1405</v>
      </c>
      <c r="M357" s="513" t="s">
        <v>5881</v>
      </c>
      <c r="N357" s="513" t="s">
        <v>780</v>
      </c>
      <c r="O357" s="513" t="s">
        <v>1407</v>
      </c>
      <c r="P357" s="518" t="s">
        <v>5882</v>
      </c>
      <c r="Q357" s="152" t="s">
        <v>5873</v>
      </c>
      <c r="R357" s="152" t="s">
        <v>5883</v>
      </c>
      <c r="S357" s="152" t="s">
        <v>5890</v>
      </c>
      <c r="T357" s="152" t="s">
        <v>5885</v>
      </c>
      <c r="U357" s="152" t="s">
        <v>786</v>
      </c>
    </row>
    <row r="358" spans="4:21">
      <c r="D358" s="152" t="s">
        <v>2821</v>
      </c>
      <c r="E358" s="821" t="s">
        <v>676</v>
      </c>
      <c r="F358" s="684" t="str">
        <f>+VLOOKUP(G358,Resumen_Base!$C$8:$G$156,5,0)</f>
        <v>Maintenance Lodge</v>
      </c>
      <c r="G358" s="474" t="s">
        <v>33</v>
      </c>
      <c r="H358" s="210" t="s">
        <v>32</v>
      </c>
      <c r="I358" s="152" t="str">
        <f t="shared" si="5"/>
        <v>CAR5252</v>
      </c>
      <c r="J358" s="513">
        <v>518515.25</v>
      </c>
      <c r="K358" s="513">
        <v>369.05</v>
      </c>
      <c r="L358" s="513">
        <v>1405</v>
      </c>
      <c r="M358" s="513" t="s">
        <v>5975</v>
      </c>
      <c r="N358" s="513" t="s">
        <v>780</v>
      </c>
      <c r="O358" s="513" t="s">
        <v>1407</v>
      </c>
      <c r="P358" s="518" t="s">
        <v>5976</v>
      </c>
      <c r="Q358" s="152" t="s">
        <v>5873</v>
      </c>
      <c r="R358" s="152" t="s">
        <v>5977</v>
      </c>
      <c r="S358" s="152" t="s">
        <v>5978</v>
      </c>
      <c r="T358" s="152" t="s">
        <v>5979</v>
      </c>
      <c r="U358" s="152" t="s">
        <v>786</v>
      </c>
    </row>
    <row r="359" spans="4:21">
      <c r="D359" s="152" t="s">
        <v>2821</v>
      </c>
      <c r="E359" s="821" t="s">
        <v>676</v>
      </c>
      <c r="F359" s="684" t="str">
        <f>+VLOOKUP(G359,Resumen_Base!$C$8:$G$156,5,0)</f>
        <v>Maintenance Lodge</v>
      </c>
      <c r="G359" s="474" t="s">
        <v>33</v>
      </c>
      <c r="H359" s="210" t="s">
        <v>32</v>
      </c>
      <c r="I359" s="152" t="str">
        <f t="shared" si="5"/>
        <v>CAR5252</v>
      </c>
      <c r="J359" s="513">
        <v>112400</v>
      </c>
      <c r="K359" s="513">
        <v>80</v>
      </c>
      <c r="L359" s="513">
        <v>1405</v>
      </c>
      <c r="M359" s="513" t="s">
        <v>5975</v>
      </c>
      <c r="N359" s="513" t="s">
        <v>780</v>
      </c>
      <c r="O359" s="513" t="s">
        <v>1407</v>
      </c>
      <c r="P359" s="518" t="s">
        <v>5976</v>
      </c>
      <c r="Q359" s="152" t="s">
        <v>5873</v>
      </c>
      <c r="R359" s="152" t="s">
        <v>5977</v>
      </c>
      <c r="S359" s="152" t="s">
        <v>5981</v>
      </c>
      <c r="T359" s="152" t="s">
        <v>5979</v>
      </c>
      <c r="U359" s="152" t="s">
        <v>786</v>
      </c>
    </row>
    <row r="360" spans="4:21">
      <c r="D360" s="152" t="s">
        <v>2821</v>
      </c>
      <c r="E360" s="821" t="s">
        <v>676</v>
      </c>
      <c r="F360" s="684" t="str">
        <f>+VLOOKUP(G360,Resumen_Base!$C$8:$G$156,5,0)</f>
        <v>Maintenance Lodge</v>
      </c>
      <c r="G360" s="474" t="s">
        <v>33</v>
      </c>
      <c r="H360" s="210" t="s">
        <v>32</v>
      </c>
      <c r="I360" s="152" t="str">
        <f t="shared" si="5"/>
        <v>CAR5252</v>
      </c>
      <c r="J360" s="513">
        <v>112400</v>
      </c>
      <c r="K360" s="513">
        <v>80</v>
      </c>
      <c r="L360" s="513">
        <v>1405</v>
      </c>
      <c r="M360" s="513" t="s">
        <v>5975</v>
      </c>
      <c r="N360" s="513" t="s">
        <v>780</v>
      </c>
      <c r="O360" s="513" t="s">
        <v>1407</v>
      </c>
      <c r="P360" s="518" t="s">
        <v>5976</v>
      </c>
      <c r="Q360" s="152" t="s">
        <v>5873</v>
      </c>
      <c r="R360" s="152" t="s">
        <v>5977</v>
      </c>
      <c r="S360" s="152" t="s">
        <v>5981</v>
      </c>
      <c r="T360" s="152" t="s">
        <v>5979</v>
      </c>
      <c r="U360" s="152" t="s">
        <v>786</v>
      </c>
    </row>
    <row r="361" spans="4:21">
      <c r="D361" s="152" t="s">
        <v>2821</v>
      </c>
      <c r="E361" s="821" t="s">
        <v>676</v>
      </c>
      <c r="F361" s="684" t="str">
        <f>+VLOOKUP(G361,Resumen_Base!$C$8:$G$156,5,0)</f>
        <v>Maintenance Lodge</v>
      </c>
      <c r="G361" s="474" t="s">
        <v>33</v>
      </c>
      <c r="H361" s="210" t="s">
        <v>32</v>
      </c>
      <c r="I361" s="152" t="str">
        <f t="shared" si="5"/>
        <v>CAR5252</v>
      </c>
      <c r="J361" s="513">
        <v>37766.400000000001</v>
      </c>
      <c r="K361" s="513">
        <v>26.88</v>
      </c>
      <c r="L361" s="513">
        <v>1405</v>
      </c>
      <c r="M361" s="513" t="s">
        <v>5975</v>
      </c>
      <c r="N361" s="513" t="s">
        <v>780</v>
      </c>
      <c r="O361" s="513" t="s">
        <v>1407</v>
      </c>
      <c r="P361" s="518" t="s">
        <v>5976</v>
      </c>
      <c r="Q361" s="152" t="s">
        <v>5873</v>
      </c>
      <c r="R361" s="152" t="s">
        <v>5977</v>
      </c>
      <c r="S361" s="152" t="s">
        <v>5985</v>
      </c>
      <c r="T361" s="152" t="s">
        <v>5979</v>
      </c>
      <c r="U361" s="152" t="s">
        <v>786</v>
      </c>
    </row>
    <row r="362" spans="4:21">
      <c r="D362" s="152" t="s">
        <v>2821</v>
      </c>
      <c r="E362" s="821" t="s">
        <v>676</v>
      </c>
      <c r="F362" s="684" t="str">
        <f>+VLOOKUP(G362,Resumen_Base!$C$8:$G$156,5,0)</f>
        <v>Maintenance Lodge</v>
      </c>
      <c r="G362" s="474" t="s">
        <v>33</v>
      </c>
      <c r="H362" s="210" t="s">
        <v>32</v>
      </c>
      <c r="I362" s="152" t="str">
        <f t="shared" si="5"/>
        <v>CAR5252</v>
      </c>
      <c r="J362" s="513">
        <v>110995</v>
      </c>
      <c r="K362" s="513">
        <v>79</v>
      </c>
      <c r="L362" s="513">
        <v>1405</v>
      </c>
      <c r="M362" s="513" t="s">
        <v>5975</v>
      </c>
      <c r="N362" s="513" t="s">
        <v>780</v>
      </c>
      <c r="O362" s="513" t="s">
        <v>1407</v>
      </c>
      <c r="P362" s="518" t="s">
        <v>5976</v>
      </c>
      <c r="Q362" s="152" t="s">
        <v>5873</v>
      </c>
      <c r="R362" s="152" t="s">
        <v>5977</v>
      </c>
      <c r="S362" s="152" t="s">
        <v>5986</v>
      </c>
      <c r="T362" s="152" t="s">
        <v>5979</v>
      </c>
      <c r="U362" s="152" t="s">
        <v>786</v>
      </c>
    </row>
    <row r="363" spans="4:21">
      <c r="D363" s="152" t="s">
        <v>2821</v>
      </c>
      <c r="E363" s="821" t="s">
        <v>676</v>
      </c>
      <c r="F363" s="684" t="str">
        <f>+VLOOKUP(G363,Resumen_Base!$C$8:$G$156,5,0)</f>
        <v>Maintenance Lodge</v>
      </c>
      <c r="G363" s="474" t="s">
        <v>33</v>
      </c>
      <c r="H363" s="210" t="s">
        <v>32</v>
      </c>
      <c r="I363" s="152" t="str">
        <f t="shared" si="5"/>
        <v>CAR5252</v>
      </c>
      <c r="J363" s="513">
        <v>158104.65</v>
      </c>
      <c r="K363" s="513">
        <v>112.53</v>
      </c>
      <c r="L363" s="513">
        <v>1405</v>
      </c>
      <c r="M363" s="513" t="s">
        <v>6059</v>
      </c>
      <c r="N363" s="513" t="s">
        <v>780</v>
      </c>
      <c r="O363" s="513" t="s">
        <v>1407</v>
      </c>
      <c r="P363" s="518" t="s">
        <v>6114</v>
      </c>
      <c r="Q363" s="152" t="s">
        <v>5873</v>
      </c>
      <c r="R363" s="152" t="s">
        <v>6115</v>
      </c>
      <c r="S363" s="152" t="s">
        <v>6146</v>
      </c>
      <c r="T363" s="152" t="s">
        <v>6116</v>
      </c>
      <c r="U363" s="152" t="s">
        <v>786</v>
      </c>
    </row>
    <row r="364" spans="4:21">
      <c r="D364" s="152" t="s">
        <v>2821</v>
      </c>
      <c r="E364" s="821" t="s">
        <v>676</v>
      </c>
      <c r="F364" s="684" t="str">
        <f>+VLOOKUP(G364,Resumen_Base!$C$8:$G$156,5,0)</f>
        <v>Maintenance Lodge</v>
      </c>
      <c r="G364" s="474" t="s">
        <v>33</v>
      </c>
      <c r="H364" s="210" t="s">
        <v>32</v>
      </c>
      <c r="I364" s="152" t="str">
        <f t="shared" si="5"/>
        <v>CAR5252</v>
      </c>
      <c r="J364" s="513">
        <v>31977.8</v>
      </c>
      <c r="K364" s="513">
        <v>22.76</v>
      </c>
      <c r="L364" s="513">
        <v>1405</v>
      </c>
      <c r="M364" s="513" t="s">
        <v>6059</v>
      </c>
      <c r="N364" s="513" t="s">
        <v>780</v>
      </c>
      <c r="O364" s="513" t="s">
        <v>1407</v>
      </c>
      <c r="P364" s="518" t="s">
        <v>6114</v>
      </c>
      <c r="Q364" s="152" t="s">
        <v>5873</v>
      </c>
      <c r="R364" s="152" t="s">
        <v>6115</v>
      </c>
      <c r="S364" s="152" t="s">
        <v>6185</v>
      </c>
      <c r="T364" s="152" t="s">
        <v>6116</v>
      </c>
      <c r="U364" s="152" t="s">
        <v>786</v>
      </c>
    </row>
    <row r="365" spans="4:21">
      <c r="D365" s="152" t="s">
        <v>2821</v>
      </c>
      <c r="E365" s="821" t="s">
        <v>676</v>
      </c>
      <c r="F365" s="684" t="str">
        <f>+VLOOKUP(G365,Resumen_Base!$C$8:$G$156,5,0)</f>
        <v>Maintenance Lodge</v>
      </c>
      <c r="G365" s="474" t="s">
        <v>33</v>
      </c>
      <c r="H365" s="210" t="s">
        <v>32</v>
      </c>
      <c r="I365" s="152" t="str">
        <f t="shared" si="5"/>
        <v>CAR5252</v>
      </c>
      <c r="J365" s="513">
        <v>31612.5</v>
      </c>
      <c r="K365" s="513">
        <v>22.5</v>
      </c>
      <c r="L365" s="513">
        <v>1405</v>
      </c>
      <c r="M365" s="513" t="s">
        <v>6303</v>
      </c>
      <c r="N365" s="513" t="s">
        <v>780</v>
      </c>
      <c r="O365" s="513" t="s">
        <v>1407</v>
      </c>
      <c r="P365" s="518" t="s">
        <v>6345</v>
      </c>
      <c r="Q365" s="152" t="s">
        <v>5873</v>
      </c>
      <c r="R365" s="152" t="s">
        <v>6346</v>
      </c>
      <c r="S365" s="152" t="s">
        <v>6416</v>
      </c>
      <c r="T365" s="152" t="s">
        <v>6348</v>
      </c>
      <c r="U365" s="152" t="s">
        <v>786</v>
      </c>
    </row>
    <row r="366" spans="4:21">
      <c r="D366" s="152" t="s">
        <v>2821</v>
      </c>
      <c r="E366" s="821" t="s">
        <v>676</v>
      </c>
      <c r="F366" s="684" t="str">
        <f>+VLOOKUP(G366,Resumen_Base!$C$8:$G$156,5,0)</f>
        <v>Maintenance Lodge</v>
      </c>
      <c r="G366" s="474" t="s">
        <v>33</v>
      </c>
      <c r="H366" s="210" t="s">
        <v>32</v>
      </c>
      <c r="I366" s="152" t="str">
        <f t="shared" si="5"/>
        <v>CAR5252</v>
      </c>
      <c r="J366" s="513">
        <v>14583.9</v>
      </c>
      <c r="K366" s="513">
        <v>10.38</v>
      </c>
      <c r="L366" s="513">
        <v>1405</v>
      </c>
      <c r="M366" s="513" t="s">
        <v>6303</v>
      </c>
      <c r="N366" s="513" t="s">
        <v>780</v>
      </c>
      <c r="O366" s="513" t="s">
        <v>1407</v>
      </c>
      <c r="P366" s="518" t="s">
        <v>6345</v>
      </c>
      <c r="Q366" s="152" t="s">
        <v>5873</v>
      </c>
      <c r="R366" s="152" t="s">
        <v>6346</v>
      </c>
      <c r="S366" s="152" t="s">
        <v>6496</v>
      </c>
      <c r="T366" s="152" t="s">
        <v>6348</v>
      </c>
      <c r="U366" s="152" t="s">
        <v>786</v>
      </c>
    </row>
    <row r="367" spans="4:21">
      <c r="D367" s="152" t="s">
        <v>2821</v>
      </c>
      <c r="E367" s="821" t="s">
        <v>676</v>
      </c>
      <c r="F367" s="684" t="str">
        <f>+VLOOKUP(G367,Resumen_Base!$C$8:$G$156,5,0)</f>
        <v>Maintenance Lodge</v>
      </c>
      <c r="G367" s="474" t="s">
        <v>33</v>
      </c>
      <c r="H367" s="210" t="s">
        <v>32</v>
      </c>
      <c r="I367" s="152" t="str">
        <f t="shared" si="5"/>
        <v>CAR5252</v>
      </c>
      <c r="J367" s="513">
        <v>128248.4</v>
      </c>
      <c r="K367" s="513">
        <v>91.28</v>
      </c>
      <c r="L367" s="513">
        <v>1405</v>
      </c>
      <c r="M367" s="513" t="s">
        <v>6303</v>
      </c>
      <c r="N367" s="513" t="s">
        <v>780</v>
      </c>
      <c r="O367" s="513" t="s">
        <v>1407</v>
      </c>
      <c r="P367" s="518" t="s">
        <v>6345</v>
      </c>
      <c r="Q367" s="152" t="s">
        <v>5873</v>
      </c>
      <c r="R367" s="152" t="s">
        <v>6346</v>
      </c>
      <c r="S367" s="152" t="s">
        <v>6497</v>
      </c>
      <c r="T367" s="152" t="s">
        <v>6348</v>
      </c>
      <c r="U367" s="152" t="s">
        <v>786</v>
      </c>
    </row>
    <row r="368" spans="4:21">
      <c r="D368" s="152" t="s">
        <v>2821</v>
      </c>
      <c r="E368" s="821" t="s">
        <v>676</v>
      </c>
      <c r="F368" s="684" t="str">
        <f>+VLOOKUP(G368,Resumen_Base!$C$8:$G$156,5,0)</f>
        <v>Maintenance Lodge</v>
      </c>
      <c r="G368" s="474" t="s">
        <v>33</v>
      </c>
      <c r="H368" s="210" t="s">
        <v>32</v>
      </c>
      <c r="I368" s="152" t="str">
        <f t="shared" si="5"/>
        <v>CAR5252</v>
      </c>
      <c r="J368" s="513">
        <v>162108.9</v>
      </c>
      <c r="K368" s="513">
        <v>115.38</v>
      </c>
      <c r="L368" s="513">
        <v>1405</v>
      </c>
      <c r="M368" s="513" t="s">
        <v>6303</v>
      </c>
      <c r="N368" s="513" t="s">
        <v>780</v>
      </c>
      <c r="O368" s="513" t="s">
        <v>1407</v>
      </c>
      <c r="P368" s="518" t="s">
        <v>6345</v>
      </c>
      <c r="Q368" s="152" t="s">
        <v>5873</v>
      </c>
      <c r="R368" s="152" t="s">
        <v>6346</v>
      </c>
      <c r="S368" s="152" t="s">
        <v>6499</v>
      </c>
      <c r="T368" s="152" t="s">
        <v>6348</v>
      </c>
      <c r="U368" s="152" t="s">
        <v>786</v>
      </c>
    </row>
    <row r="369" spans="4:21">
      <c r="D369" s="152" t="s">
        <v>2821</v>
      </c>
      <c r="E369" s="821" t="s">
        <v>676</v>
      </c>
      <c r="F369" s="684" t="str">
        <f>+VLOOKUP(G369,Resumen_Base!$C$8:$G$156,5,0)</f>
        <v>Maintenance Lodge</v>
      </c>
      <c r="G369" s="474" t="s">
        <v>33</v>
      </c>
      <c r="H369" s="210" t="s">
        <v>32</v>
      </c>
      <c r="I369" s="152" t="str">
        <f t="shared" si="5"/>
        <v>CAR5252</v>
      </c>
      <c r="J369" s="513">
        <v>30446.35</v>
      </c>
      <c r="K369" s="513">
        <v>21.67</v>
      </c>
      <c r="L369" s="513">
        <v>1405</v>
      </c>
      <c r="M369" s="513" t="s">
        <v>6303</v>
      </c>
      <c r="N369" s="513" t="s">
        <v>780</v>
      </c>
      <c r="O369" s="513" t="s">
        <v>1407</v>
      </c>
      <c r="P369" s="518" t="s">
        <v>6345</v>
      </c>
      <c r="Q369" s="152" t="s">
        <v>5873</v>
      </c>
      <c r="R369" s="152" t="s">
        <v>6346</v>
      </c>
      <c r="S369" s="152" t="s">
        <v>6500</v>
      </c>
      <c r="T369" s="152" t="s">
        <v>6348</v>
      </c>
      <c r="U369" s="152" t="s">
        <v>786</v>
      </c>
    </row>
    <row r="370" spans="4:21">
      <c r="D370" s="152" t="s">
        <v>2821</v>
      </c>
      <c r="E370" s="821" t="s">
        <v>676</v>
      </c>
      <c r="F370" s="684" t="str">
        <f>+VLOOKUP(G370,Resumen_Base!$C$8:$G$156,5,0)</f>
        <v>Maintenance Lodge</v>
      </c>
      <c r="G370" s="474" t="s">
        <v>33</v>
      </c>
      <c r="H370" s="210" t="s">
        <v>32</v>
      </c>
      <c r="I370" s="152" t="str">
        <f t="shared" si="5"/>
        <v>CAR5252</v>
      </c>
      <c r="J370" s="513">
        <v>119776.25</v>
      </c>
      <c r="K370" s="513">
        <v>85.25</v>
      </c>
      <c r="L370" s="513">
        <v>1405</v>
      </c>
      <c r="M370" s="513" t="s">
        <v>6303</v>
      </c>
      <c r="N370" s="513" t="s">
        <v>780</v>
      </c>
      <c r="O370" s="513" t="s">
        <v>1407</v>
      </c>
      <c r="P370" s="518" t="s">
        <v>6345</v>
      </c>
      <c r="Q370" s="152" t="s">
        <v>5873</v>
      </c>
      <c r="R370" s="152" t="s">
        <v>6346</v>
      </c>
      <c r="S370" s="152" t="s">
        <v>6503</v>
      </c>
      <c r="T370" s="152" t="s">
        <v>6348</v>
      </c>
      <c r="U370" s="152" t="s">
        <v>786</v>
      </c>
    </row>
    <row r="371" spans="4:21">
      <c r="D371" s="152" t="s">
        <v>2821</v>
      </c>
      <c r="E371" s="821" t="s">
        <v>676</v>
      </c>
      <c r="F371" s="684" t="str">
        <f>+VLOOKUP(G371,Resumen_Base!$C$8:$G$156,5,0)</f>
        <v>Maintenance Lodge</v>
      </c>
      <c r="G371" s="474" t="s">
        <v>33</v>
      </c>
      <c r="H371" s="210" t="s">
        <v>32</v>
      </c>
      <c r="I371" s="152" t="str">
        <f t="shared" si="5"/>
        <v>CAR5252</v>
      </c>
      <c r="J371" s="513">
        <v>58223.199999999997</v>
      </c>
      <c r="K371" s="513">
        <v>41.44</v>
      </c>
      <c r="L371" s="513">
        <v>1405</v>
      </c>
      <c r="M371" s="513" t="s">
        <v>6303</v>
      </c>
      <c r="N371" s="513" t="s">
        <v>780</v>
      </c>
      <c r="O371" s="513" t="s">
        <v>1407</v>
      </c>
      <c r="P371" s="518" t="s">
        <v>6345</v>
      </c>
      <c r="Q371" s="152" t="s">
        <v>5873</v>
      </c>
      <c r="R371" s="152" t="s">
        <v>6346</v>
      </c>
      <c r="S371" s="152" t="s">
        <v>6505</v>
      </c>
      <c r="T371" s="152" t="s">
        <v>6348</v>
      </c>
      <c r="U371" s="152" t="s">
        <v>786</v>
      </c>
    </row>
    <row r="372" spans="4:21">
      <c r="D372" s="152" t="s">
        <v>2821</v>
      </c>
      <c r="E372" s="821" t="s">
        <v>676</v>
      </c>
      <c r="F372" s="684" t="str">
        <f>+VLOOKUP(G372,Resumen_Base!$C$8:$G$156,5,0)</f>
        <v>Maintenance Lodge</v>
      </c>
      <c r="G372" s="474" t="s">
        <v>33</v>
      </c>
      <c r="H372" s="210" t="s">
        <v>32</v>
      </c>
      <c r="I372" s="152" t="str">
        <f t="shared" si="5"/>
        <v>CAR5252</v>
      </c>
      <c r="J372" s="513">
        <v>51914.75</v>
      </c>
      <c r="K372" s="513">
        <v>36.950000000000003</v>
      </c>
      <c r="L372" s="513">
        <v>1405</v>
      </c>
      <c r="M372" s="513" t="s">
        <v>6303</v>
      </c>
      <c r="N372" s="513" t="s">
        <v>780</v>
      </c>
      <c r="O372" s="513" t="s">
        <v>1407</v>
      </c>
      <c r="P372" s="518" t="s">
        <v>6345</v>
      </c>
      <c r="Q372" s="152" t="s">
        <v>5873</v>
      </c>
      <c r="R372" s="152" t="s">
        <v>6346</v>
      </c>
      <c r="S372" s="152" t="s">
        <v>6506</v>
      </c>
      <c r="T372" s="152" t="s">
        <v>6348</v>
      </c>
      <c r="U372" s="152" t="s">
        <v>786</v>
      </c>
    </row>
    <row r="373" spans="4:21">
      <c r="D373" s="152" t="s">
        <v>2821</v>
      </c>
      <c r="E373" s="821" t="s">
        <v>676</v>
      </c>
      <c r="F373" s="684" t="str">
        <f>+VLOOKUP(G373,Resumen_Base!$C$8:$G$156,5,0)</f>
        <v>Maintenance Lodge</v>
      </c>
      <c r="G373" s="474" t="s">
        <v>33</v>
      </c>
      <c r="H373" s="210" t="s">
        <v>32</v>
      </c>
      <c r="I373" s="152" t="str">
        <f t="shared" si="5"/>
        <v>CAR5252</v>
      </c>
      <c r="J373" s="513">
        <v>188171.65</v>
      </c>
      <c r="K373" s="513">
        <v>133.93</v>
      </c>
      <c r="L373" s="513">
        <v>1405</v>
      </c>
      <c r="M373" s="513" t="s">
        <v>6303</v>
      </c>
      <c r="N373" s="513" t="s">
        <v>780</v>
      </c>
      <c r="O373" s="513" t="s">
        <v>1407</v>
      </c>
      <c r="P373" s="518" t="s">
        <v>6345</v>
      </c>
      <c r="Q373" s="152" t="s">
        <v>5873</v>
      </c>
      <c r="R373" s="152" t="s">
        <v>6346</v>
      </c>
      <c r="S373" s="152" t="s">
        <v>6508</v>
      </c>
      <c r="T373" s="152" t="s">
        <v>6348</v>
      </c>
      <c r="U373" s="152" t="s">
        <v>786</v>
      </c>
    </row>
    <row r="374" spans="4:21">
      <c r="D374" s="152" t="s">
        <v>2821</v>
      </c>
      <c r="E374" s="821" t="s">
        <v>676</v>
      </c>
      <c r="F374" s="684" t="str">
        <f>+VLOOKUP(G374,Resumen_Base!$C$8:$G$156,5,0)</f>
        <v>Maintenance Lodge</v>
      </c>
      <c r="G374" s="474" t="s">
        <v>33</v>
      </c>
      <c r="H374" s="210" t="s">
        <v>32</v>
      </c>
      <c r="I374" s="152" t="str">
        <f t="shared" si="5"/>
        <v>CAR5252</v>
      </c>
      <c r="J374" s="513">
        <v>105768.4</v>
      </c>
      <c r="K374" s="513">
        <v>75.28</v>
      </c>
      <c r="L374" s="513">
        <v>1405</v>
      </c>
      <c r="M374" s="513" t="s">
        <v>6303</v>
      </c>
      <c r="N374" s="513" t="s">
        <v>780</v>
      </c>
      <c r="O374" s="513" t="s">
        <v>1407</v>
      </c>
      <c r="P374" s="518" t="s">
        <v>6345</v>
      </c>
      <c r="Q374" s="152" t="s">
        <v>5873</v>
      </c>
      <c r="R374" s="152" t="s">
        <v>6346</v>
      </c>
      <c r="S374" s="152" t="s">
        <v>6514</v>
      </c>
      <c r="T374" s="152" t="s">
        <v>6348</v>
      </c>
      <c r="U374" s="152" t="s">
        <v>786</v>
      </c>
    </row>
    <row r="375" spans="4:21">
      <c r="D375" s="152" t="s">
        <v>2821</v>
      </c>
      <c r="E375" s="821" t="s">
        <v>676</v>
      </c>
      <c r="F375" s="684" t="str">
        <f>+VLOOKUP(G375,Resumen_Base!$C$8:$G$156,5,0)</f>
        <v>Maintenance Lodge</v>
      </c>
      <c r="G375" s="474" t="s">
        <v>33</v>
      </c>
      <c r="H375" s="210" t="s">
        <v>32</v>
      </c>
      <c r="I375" s="152" t="str">
        <f t="shared" si="5"/>
        <v>CAR5252</v>
      </c>
      <c r="J375" s="513">
        <v>30376.1</v>
      </c>
      <c r="K375" s="513">
        <v>21.62</v>
      </c>
      <c r="L375" s="513">
        <v>1405</v>
      </c>
      <c r="M375" s="513" t="s">
        <v>6303</v>
      </c>
      <c r="N375" s="513" t="s">
        <v>780</v>
      </c>
      <c r="O375" s="513" t="s">
        <v>1407</v>
      </c>
      <c r="P375" s="518" t="s">
        <v>6345</v>
      </c>
      <c r="Q375" s="152" t="s">
        <v>5873</v>
      </c>
      <c r="R375" s="152" t="s">
        <v>6346</v>
      </c>
      <c r="S375" s="152" t="s">
        <v>6522</v>
      </c>
      <c r="T375" s="152" t="s">
        <v>6348</v>
      </c>
      <c r="U375" s="152" t="s">
        <v>786</v>
      </c>
    </row>
    <row r="376" spans="4:21">
      <c r="D376" s="152" t="s">
        <v>2821</v>
      </c>
      <c r="E376" s="821" t="s">
        <v>676</v>
      </c>
      <c r="F376" s="684" t="str">
        <f>+VLOOKUP(G376,Resumen_Base!$C$8:$G$156,5,0)</f>
        <v>Maintenance Lodge</v>
      </c>
      <c r="G376" s="474" t="s">
        <v>33</v>
      </c>
      <c r="H376" s="210" t="s">
        <v>32</v>
      </c>
      <c r="I376" s="152" t="str">
        <f t="shared" si="5"/>
        <v>CAR5252</v>
      </c>
      <c r="J376" s="513">
        <v>30446.35</v>
      </c>
      <c r="K376" s="513">
        <v>21.67</v>
      </c>
      <c r="L376" s="513">
        <v>1405</v>
      </c>
      <c r="M376" s="513" t="s">
        <v>6303</v>
      </c>
      <c r="N376" s="513" t="s">
        <v>780</v>
      </c>
      <c r="O376" s="513" t="s">
        <v>1407</v>
      </c>
      <c r="P376" s="518" t="s">
        <v>6345</v>
      </c>
      <c r="Q376" s="152" t="s">
        <v>5873</v>
      </c>
      <c r="R376" s="152" t="s">
        <v>6346</v>
      </c>
      <c r="S376" s="152" t="s">
        <v>6525</v>
      </c>
      <c r="T376" s="152" t="s">
        <v>6348</v>
      </c>
      <c r="U376" s="152" t="s">
        <v>786</v>
      </c>
    </row>
    <row r="377" spans="4:21">
      <c r="D377" s="152" t="s">
        <v>2821</v>
      </c>
      <c r="E377" s="821" t="s">
        <v>676</v>
      </c>
      <c r="F377" s="684" t="str">
        <f>+VLOOKUP(G377,Resumen_Base!$C$8:$G$156,5,0)</f>
        <v>Maintenance Lodge</v>
      </c>
      <c r="G377" s="474" t="s">
        <v>33</v>
      </c>
      <c r="H377" s="210" t="s">
        <v>32</v>
      </c>
      <c r="I377" s="152" t="str">
        <f t="shared" si="5"/>
        <v>CAR5252</v>
      </c>
      <c r="J377" s="513">
        <v>88810.05</v>
      </c>
      <c r="K377" s="513">
        <v>63.21</v>
      </c>
      <c r="L377" s="513">
        <v>1405</v>
      </c>
      <c r="M377" s="513" t="s">
        <v>6303</v>
      </c>
      <c r="N377" s="513" t="s">
        <v>780</v>
      </c>
      <c r="O377" s="513" t="s">
        <v>1407</v>
      </c>
      <c r="P377" s="518" t="s">
        <v>6345</v>
      </c>
      <c r="Q377" s="152" t="s">
        <v>5873</v>
      </c>
      <c r="R377" s="152" t="s">
        <v>6346</v>
      </c>
      <c r="S377" s="152" t="s">
        <v>6526</v>
      </c>
      <c r="T377" s="152" t="s">
        <v>6348</v>
      </c>
      <c r="U377" s="152" t="s">
        <v>786</v>
      </c>
    </row>
    <row r="378" spans="4:21">
      <c r="D378" s="152" t="s">
        <v>2821</v>
      </c>
      <c r="E378" s="821" t="s">
        <v>676</v>
      </c>
      <c r="F378" s="684" t="str">
        <f>+VLOOKUP(G378,Resumen_Base!$C$8:$G$156,5,0)</f>
        <v>Maintenance Lodge</v>
      </c>
      <c r="G378" s="474" t="s">
        <v>33</v>
      </c>
      <c r="H378" s="210" t="s">
        <v>32</v>
      </c>
      <c r="I378" s="152" t="str">
        <f t="shared" si="5"/>
        <v>CAR5252</v>
      </c>
      <c r="J378" s="513">
        <v>37822.6</v>
      </c>
      <c r="K378" s="513">
        <v>26.92</v>
      </c>
      <c r="L378" s="513">
        <v>1405</v>
      </c>
      <c r="M378" s="513" t="s">
        <v>6303</v>
      </c>
      <c r="N378" s="513" t="s">
        <v>780</v>
      </c>
      <c r="O378" s="513" t="s">
        <v>1407</v>
      </c>
      <c r="P378" s="518" t="s">
        <v>6345</v>
      </c>
      <c r="Q378" s="152" t="s">
        <v>5873</v>
      </c>
      <c r="R378" s="152" t="s">
        <v>6346</v>
      </c>
      <c r="S378" s="152" t="s">
        <v>6529</v>
      </c>
      <c r="T378" s="152" t="s">
        <v>6348</v>
      </c>
      <c r="U378" s="152" t="s">
        <v>786</v>
      </c>
    </row>
    <row r="379" spans="4:21">
      <c r="D379" s="152" t="s">
        <v>2821</v>
      </c>
      <c r="E379" s="821" t="s">
        <v>676</v>
      </c>
      <c r="F379" s="684" t="str">
        <f>+VLOOKUP(G379,Resumen_Base!$C$8:$G$156,5,0)</f>
        <v>Maintenance Lodge</v>
      </c>
      <c r="G379" s="474" t="s">
        <v>33</v>
      </c>
      <c r="H379" s="210" t="s">
        <v>32</v>
      </c>
      <c r="I379" s="152" t="str">
        <f t="shared" si="5"/>
        <v>CAR5252</v>
      </c>
      <c r="J379" s="513">
        <v>49800</v>
      </c>
      <c r="K379" s="513">
        <v>35.444839857651203</v>
      </c>
      <c r="L379" s="513">
        <v>1405</v>
      </c>
      <c r="M379" s="513" t="s">
        <v>6303</v>
      </c>
      <c r="N379" s="513" t="s">
        <v>780</v>
      </c>
      <c r="O379" s="513" t="s">
        <v>1407</v>
      </c>
      <c r="P379" s="518" t="s">
        <v>6393</v>
      </c>
      <c r="Q379" s="152" t="s">
        <v>5873</v>
      </c>
      <c r="R379" s="152" t="s">
        <v>6394</v>
      </c>
      <c r="S379" s="152" t="s">
        <v>6571</v>
      </c>
      <c r="T379" s="152" t="s">
        <v>6396</v>
      </c>
      <c r="U379" s="152" t="s">
        <v>786</v>
      </c>
    </row>
    <row r="380" spans="4:21">
      <c r="D380" s="152" t="s">
        <v>2821</v>
      </c>
      <c r="E380" s="821" t="s">
        <v>676</v>
      </c>
      <c r="F380" s="684" t="str">
        <f>+VLOOKUP(G380,Resumen_Base!$C$8:$G$156,5,0)</f>
        <v>Manager</v>
      </c>
      <c r="G380" s="474" t="s">
        <v>325</v>
      </c>
      <c r="H380" s="210" t="s">
        <v>326</v>
      </c>
      <c r="I380" s="152" t="str">
        <f t="shared" si="5"/>
        <v>CAR5228</v>
      </c>
      <c r="J380" s="513">
        <v>9784420</v>
      </c>
      <c r="K380" s="513">
        <v>6964</v>
      </c>
      <c r="L380" s="513">
        <v>1405</v>
      </c>
      <c r="M380" s="513" t="s">
        <v>5975</v>
      </c>
      <c r="N380" s="513" t="s">
        <v>780</v>
      </c>
      <c r="O380" s="513" t="s">
        <v>1407</v>
      </c>
      <c r="P380" s="518" t="s">
        <v>5976</v>
      </c>
      <c r="Q380" s="152" t="s">
        <v>5873</v>
      </c>
      <c r="R380" s="152" t="s">
        <v>5977</v>
      </c>
      <c r="S380" s="152" t="s">
        <v>5992</v>
      </c>
      <c r="T380" s="152" t="s">
        <v>5979</v>
      </c>
      <c r="U380" s="152" t="s">
        <v>786</v>
      </c>
    </row>
    <row r="381" spans="4:21">
      <c r="D381" s="152" t="s">
        <v>2821</v>
      </c>
      <c r="E381" s="821" t="s">
        <v>676</v>
      </c>
      <c r="F381" s="684" t="str">
        <f>+VLOOKUP(G381,Resumen_Base!$C$8:$G$156,5,0)</f>
        <v>Miscellaneous &amp; Shipping</v>
      </c>
      <c r="G381" s="474" t="s">
        <v>28</v>
      </c>
      <c r="H381" s="210" t="s">
        <v>336</v>
      </c>
      <c r="I381" s="152" t="str">
        <f t="shared" si="5"/>
        <v>CAR5263</v>
      </c>
      <c r="J381" s="513">
        <v>103200</v>
      </c>
      <c r="K381" s="513">
        <v>73.451957295373703</v>
      </c>
      <c r="L381" s="513">
        <v>1405</v>
      </c>
      <c r="M381" s="513" t="s">
        <v>6023</v>
      </c>
      <c r="N381" s="513" t="s">
        <v>780</v>
      </c>
      <c r="O381" s="513" t="s">
        <v>1407</v>
      </c>
      <c r="P381" s="518" t="s">
        <v>6035</v>
      </c>
      <c r="Q381" s="152" t="s">
        <v>5873</v>
      </c>
      <c r="R381" s="152" t="s">
        <v>6036</v>
      </c>
      <c r="S381" s="152" t="s">
        <v>6053</v>
      </c>
      <c r="T381" s="152" t="s">
        <v>6038</v>
      </c>
      <c r="U381" s="152" t="s">
        <v>786</v>
      </c>
    </row>
    <row r="382" spans="4:21">
      <c r="D382" s="152" t="s">
        <v>2821</v>
      </c>
      <c r="E382" s="821" t="s">
        <v>676</v>
      </c>
      <c r="F382" s="684" t="str">
        <f>+VLOOKUP(G382,Resumen_Base!$C$8:$G$156,5,0)</f>
        <v>Miscellaneous &amp; Shipping</v>
      </c>
      <c r="G382" s="474" t="s">
        <v>58</v>
      </c>
      <c r="H382" s="210" t="s">
        <v>59</v>
      </c>
      <c r="I382" s="152" t="str">
        <f t="shared" si="5"/>
        <v>CAR5219</v>
      </c>
      <c r="J382" s="513">
        <v>36881.25</v>
      </c>
      <c r="K382" s="513">
        <v>26.25</v>
      </c>
      <c r="L382" s="513">
        <v>1405</v>
      </c>
      <c r="M382" s="513" t="s">
        <v>6059</v>
      </c>
      <c r="N382" s="513" t="s">
        <v>780</v>
      </c>
      <c r="O382" s="513" t="s">
        <v>1407</v>
      </c>
      <c r="P382" s="518" t="s">
        <v>6114</v>
      </c>
      <c r="Q382" s="152" t="s">
        <v>5873</v>
      </c>
      <c r="R382" s="152" t="s">
        <v>6115</v>
      </c>
      <c r="S382" s="152" t="s">
        <v>6125</v>
      </c>
      <c r="T382" s="152" t="s">
        <v>6116</v>
      </c>
      <c r="U382" s="152" t="s">
        <v>786</v>
      </c>
    </row>
    <row r="383" spans="4:21">
      <c r="D383" s="152" t="s">
        <v>2821</v>
      </c>
      <c r="E383" s="821" t="s">
        <v>676</v>
      </c>
      <c r="F383" s="684" t="str">
        <f>+VLOOKUP(G383,Resumen_Base!$C$8:$G$156,5,0)</f>
        <v>Miscellaneous &amp; Shipping</v>
      </c>
      <c r="G383" s="474" t="s">
        <v>777</v>
      </c>
      <c r="H383" s="210" t="s">
        <v>908</v>
      </c>
      <c r="I383" s="152" t="str">
        <f t="shared" si="5"/>
        <v>CAR5292</v>
      </c>
      <c r="J383" s="513">
        <v>85705</v>
      </c>
      <c r="K383" s="513">
        <v>61</v>
      </c>
      <c r="L383" s="513">
        <v>1405</v>
      </c>
      <c r="M383" s="513" t="s">
        <v>6059</v>
      </c>
      <c r="N383" s="513" t="s">
        <v>780</v>
      </c>
      <c r="O383" s="513" t="s">
        <v>1407</v>
      </c>
      <c r="P383" s="518" t="s">
        <v>6119</v>
      </c>
      <c r="Q383" s="152" t="s">
        <v>5873</v>
      </c>
      <c r="R383" s="152" t="s">
        <v>6120</v>
      </c>
      <c r="S383" s="152" t="s">
        <v>6142</v>
      </c>
      <c r="T383" s="152" t="s">
        <v>6122</v>
      </c>
      <c r="U383" s="152" t="s">
        <v>786</v>
      </c>
    </row>
    <row r="384" spans="4:21">
      <c r="D384" s="152" t="s">
        <v>2821</v>
      </c>
      <c r="E384" s="821" t="s">
        <v>676</v>
      </c>
      <c r="F384" s="684" t="str">
        <f>+VLOOKUP(G384,Resumen_Base!$C$8:$G$156,5,0)</f>
        <v>Miscellaneous &amp; Shipping</v>
      </c>
      <c r="G384" s="474" t="s">
        <v>58</v>
      </c>
      <c r="H384" s="210" t="s">
        <v>59</v>
      </c>
      <c r="I384" s="152" t="str">
        <f t="shared" si="5"/>
        <v>CAR5219</v>
      </c>
      <c r="J384" s="513">
        <v>140500</v>
      </c>
      <c r="K384" s="513">
        <v>100</v>
      </c>
      <c r="L384" s="513">
        <v>1405</v>
      </c>
      <c r="M384" s="513" t="s">
        <v>6059</v>
      </c>
      <c r="N384" s="513" t="s">
        <v>780</v>
      </c>
      <c r="O384" s="513" t="s">
        <v>1407</v>
      </c>
      <c r="P384" s="518" t="s">
        <v>6114</v>
      </c>
      <c r="Q384" s="152" t="s">
        <v>5873</v>
      </c>
      <c r="R384" s="152" t="s">
        <v>6115</v>
      </c>
      <c r="S384" s="152" t="s">
        <v>6145</v>
      </c>
      <c r="T384" s="152" t="s">
        <v>6116</v>
      </c>
      <c r="U384" s="152" t="s">
        <v>786</v>
      </c>
    </row>
    <row r="385" spans="1:21">
      <c r="D385" s="152" t="s">
        <v>2821</v>
      </c>
      <c r="E385" s="821" t="s">
        <v>676</v>
      </c>
      <c r="F385" s="684" t="str">
        <f>+VLOOKUP(G385,Resumen_Base!$C$8:$G$156,5,0)</f>
        <v>Miscellaneous &amp; Shipping</v>
      </c>
      <c r="G385" s="474" t="s">
        <v>58</v>
      </c>
      <c r="H385" s="210" t="s">
        <v>59</v>
      </c>
      <c r="I385" s="152" t="str">
        <f t="shared" si="5"/>
        <v>CAR5219</v>
      </c>
      <c r="J385" s="513">
        <v>54036.3</v>
      </c>
      <c r="K385" s="513">
        <v>38.46</v>
      </c>
      <c r="L385" s="513">
        <v>1405</v>
      </c>
      <c r="M385" s="513" t="s">
        <v>6059</v>
      </c>
      <c r="N385" s="513" t="s">
        <v>780</v>
      </c>
      <c r="O385" s="513" t="s">
        <v>1407</v>
      </c>
      <c r="P385" s="518" t="s">
        <v>6110</v>
      </c>
      <c r="Q385" s="152" t="s">
        <v>5873</v>
      </c>
      <c r="R385" s="152" t="s">
        <v>6111</v>
      </c>
      <c r="S385" s="152" t="s">
        <v>6153</v>
      </c>
      <c r="T385" s="152" t="s">
        <v>6113</v>
      </c>
      <c r="U385" s="152" t="s">
        <v>786</v>
      </c>
    </row>
    <row r="386" spans="1:21">
      <c r="D386" s="152" t="s">
        <v>2821</v>
      </c>
      <c r="E386" s="821" t="s">
        <v>676</v>
      </c>
      <c r="F386" s="684" t="str">
        <f>+VLOOKUP(G386,Resumen_Base!$C$8:$G$156,5,0)</f>
        <v>Miscellaneous &amp; Shipping</v>
      </c>
      <c r="G386" s="474" t="s">
        <v>58</v>
      </c>
      <c r="H386" s="210" t="s">
        <v>59</v>
      </c>
      <c r="I386" s="152" t="str">
        <f t="shared" si="5"/>
        <v>CAR5219</v>
      </c>
      <c r="J386" s="513">
        <v>15848.4</v>
      </c>
      <c r="K386" s="513">
        <v>11.28</v>
      </c>
      <c r="L386" s="513">
        <v>1405</v>
      </c>
      <c r="M386" s="513" t="s">
        <v>6059</v>
      </c>
      <c r="N386" s="513" t="s">
        <v>780</v>
      </c>
      <c r="O386" s="513" t="s">
        <v>1407</v>
      </c>
      <c r="P386" s="518" t="s">
        <v>6110</v>
      </c>
      <c r="Q386" s="152" t="s">
        <v>5873</v>
      </c>
      <c r="R386" s="152" t="s">
        <v>6111</v>
      </c>
      <c r="S386" s="152" t="s">
        <v>6154</v>
      </c>
      <c r="T386" s="152" t="s">
        <v>6113</v>
      </c>
      <c r="U386" s="152" t="s">
        <v>786</v>
      </c>
    </row>
    <row r="387" spans="1:21">
      <c r="D387" s="152" t="s">
        <v>2821</v>
      </c>
      <c r="E387" s="821" t="s">
        <v>676</v>
      </c>
      <c r="F387" s="684" t="str">
        <f>+VLOOKUP(G387,Resumen_Base!$C$8:$G$156,5,0)</f>
        <v>Miscellaneous &amp; Shipping</v>
      </c>
      <c r="G387" s="474" t="s">
        <v>58</v>
      </c>
      <c r="H387" s="210" t="s">
        <v>59</v>
      </c>
      <c r="I387" s="152" t="str">
        <f t="shared" si="5"/>
        <v>CAR5219</v>
      </c>
      <c r="J387" s="513">
        <v>38609.4</v>
      </c>
      <c r="K387" s="513">
        <v>27.48</v>
      </c>
      <c r="L387" s="513">
        <v>1405</v>
      </c>
      <c r="M387" s="513" t="s">
        <v>6059</v>
      </c>
      <c r="N387" s="513" t="s">
        <v>780</v>
      </c>
      <c r="O387" s="513" t="s">
        <v>1407</v>
      </c>
      <c r="P387" s="518" t="s">
        <v>6110</v>
      </c>
      <c r="Q387" s="152" t="s">
        <v>5873</v>
      </c>
      <c r="R387" s="152" t="s">
        <v>6111</v>
      </c>
      <c r="S387" s="152" t="s">
        <v>6155</v>
      </c>
      <c r="T387" s="152" t="s">
        <v>6113</v>
      </c>
      <c r="U387" s="152" t="s">
        <v>786</v>
      </c>
    </row>
    <row r="388" spans="1:21">
      <c r="D388" s="152" t="s">
        <v>2821</v>
      </c>
      <c r="E388" s="821" t="s">
        <v>676</v>
      </c>
      <c r="F388" s="684" t="str">
        <f>+VLOOKUP(G388,Resumen_Base!$C$8:$G$156,5,0)</f>
        <v>Miscellaneous &amp; Shipping</v>
      </c>
      <c r="G388" s="474" t="s">
        <v>58</v>
      </c>
      <c r="H388" s="210" t="s">
        <v>59</v>
      </c>
      <c r="I388" s="152" t="str">
        <f t="shared" si="5"/>
        <v>CAR5219</v>
      </c>
      <c r="J388" s="513">
        <v>26596.65</v>
      </c>
      <c r="K388" s="513">
        <v>18.93</v>
      </c>
      <c r="L388" s="513">
        <v>1405</v>
      </c>
      <c r="M388" s="513" t="s">
        <v>6059</v>
      </c>
      <c r="N388" s="513" t="s">
        <v>780</v>
      </c>
      <c r="O388" s="513" t="s">
        <v>1407</v>
      </c>
      <c r="P388" s="518" t="s">
        <v>6110</v>
      </c>
      <c r="Q388" s="152" t="s">
        <v>5873</v>
      </c>
      <c r="R388" s="152" t="s">
        <v>6111</v>
      </c>
      <c r="S388" s="152" t="s">
        <v>6156</v>
      </c>
      <c r="T388" s="152" t="s">
        <v>6113</v>
      </c>
      <c r="U388" s="152" t="s">
        <v>786</v>
      </c>
    </row>
    <row r="389" spans="1:21">
      <c r="D389" s="152" t="s">
        <v>2821</v>
      </c>
      <c r="E389" s="821" t="s">
        <v>676</v>
      </c>
      <c r="F389" s="684" t="str">
        <f>+VLOOKUP(G389,Resumen_Base!$C$8:$G$156,5,0)</f>
        <v>Miscellaneous &amp; Shipping</v>
      </c>
      <c r="G389" s="474" t="s">
        <v>58</v>
      </c>
      <c r="H389" s="210" t="s">
        <v>59</v>
      </c>
      <c r="I389" s="152" t="str">
        <f t="shared" si="5"/>
        <v>CAR5219</v>
      </c>
      <c r="J389" s="513">
        <v>57956.25</v>
      </c>
      <c r="K389" s="513">
        <v>41.25</v>
      </c>
      <c r="L389" s="513">
        <v>1405</v>
      </c>
      <c r="M389" s="513" t="s">
        <v>6059</v>
      </c>
      <c r="N389" s="513" t="s">
        <v>780</v>
      </c>
      <c r="O389" s="513" t="s">
        <v>1407</v>
      </c>
      <c r="P389" s="518" t="s">
        <v>6110</v>
      </c>
      <c r="Q389" s="152" t="s">
        <v>5873</v>
      </c>
      <c r="R389" s="152" t="s">
        <v>6111</v>
      </c>
      <c r="S389" s="152" t="s">
        <v>6157</v>
      </c>
      <c r="T389" s="152" t="s">
        <v>6113</v>
      </c>
      <c r="U389" s="152" t="s">
        <v>786</v>
      </c>
    </row>
    <row r="390" spans="1:21">
      <c r="D390" s="152" t="s">
        <v>2821</v>
      </c>
      <c r="E390" s="821" t="s">
        <v>676</v>
      </c>
      <c r="F390" s="684" t="str">
        <f>+VLOOKUP(G390,Resumen_Base!$C$8:$G$156,5,0)</f>
        <v>Miscellaneous &amp; Shipping</v>
      </c>
      <c r="G390" s="474" t="s">
        <v>58</v>
      </c>
      <c r="H390" s="210" t="s">
        <v>59</v>
      </c>
      <c r="I390" s="152" t="str">
        <f t="shared" si="5"/>
        <v>CAR5219</v>
      </c>
      <c r="J390" s="513">
        <v>4215</v>
      </c>
      <c r="K390" s="513">
        <v>3</v>
      </c>
      <c r="L390" s="513">
        <v>1405</v>
      </c>
      <c r="M390" s="513" t="s">
        <v>6059</v>
      </c>
      <c r="N390" s="513" t="s">
        <v>780</v>
      </c>
      <c r="O390" s="513" t="s">
        <v>1407</v>
      </c>
      <c r="P390" s="518" t="s">
        <v>6110</v>
      </c>
      <c r="Q390" s="152" t="s">
        <v>5873</v>
      </c>
      <c r="R390" s="152" t="s">
        <v>6111</v>
      </c>
      <c r="S390" s="152" t="s">
        <v>6159</v>
      </c>
      <c r="T390" s="152" t="s">
        <v>6113</v>
      </c>
      <c r="U390" s="152" t="s">
        <v>786</v>
      </c>
    </row>
    <row r="391" spans="1:21">
      <c r="D391" s="152" t="s">
        <v>2821</v>
      </c>
      <c r="E391" s="821" t="s">
        <v>676</v>
      </c>
      <c r="F391" s="684" t="str">
        <f>+VLOOKUP(G391,Resumen_Base!$C$8:$G$156,5,0)</f>
        <v>Miscellaneous &amp; Shipping</v>
      </c>
      <c r="G391" s="474" t="s">
        <v>58</v>
      </c>
      <c r="H391" s="210" t="s">
        <v>59</v>
      </c>
      <c r="I391" s="152" t="str">
        <f t="shared" si="5"/>
        <v>CAR5219</v>
      </c>
      <c r="J391" s="513">
        <v>2711.65</v>
      </c>
      <c r="K391" s="513">
        <v>1.93</v>
      </c>
      <c r="L391" s="513">
        <v>1405</v>
      </c>
      <c r="M391" s="513" t="s">
        <v>6059</v>
      </c>
      <c r="N391" s="513" t="s">
        <v>780</v>
      </c>
      <c r="O391" s="513" t="s">
        <v>1407</v>
      </c>
      <c r="P391" s="518" t="s">
        <v>6114</v>
      </c>
      <c r="Q391" s="152" t="s">
        <v>5873</v>
      </c>
      <c r="R391" s="152" t="s">
        <v>6115</v>
      </c>
      <c r="S391" s="152" t="s">
        <v>1515</v>
      </c>
      <c r="T391" s="152" t="s">
        <v>6116</v>
      </c>
      <c r="U391" s="152" t="s">
        <v>786</v>
      </c>
    </row>
    <row r="392" spans="1:21">
      <c r="D392" s="152" t="s">
        <v>2821</v>
      </c>
      <c r="E392" s="821" t="s">
        <v>676</v>
      </c>
      <c r="F392" s="684" t="str">
        <f>+VLOOKUP(G392,Resumen_Base!$C$8:$G$156,5,0)</f>
        <v>Miscellaneous &amp; Shipping</v>
      </c>
      <c r="G392" s="474" t="s">
        <v>28</v>
      </c>
      <c r="H392" s="210" t="s">
        <v>336</v>
      </c>
      <c r="I392" s="152" t="str">
        <f t="shared" si="5"/>
        <v>CAR5263</v>
      </c>
      <c r="J392" s="513">
        <v>2683.55</v>
      </c>
      <c r="K392" s="513">
        <v>1.91</v>
      </c>
      <c r="L392" s="513">
        <v>1405</v>
      </c>
      <c r="M392" s="513" t="s">
        <v>6059</v>
      </c>
      <c r="N392" s="513" t="s">
        <v>780</v>
      </c>
      <c r="O392" s="513" t="s">
        <v>1407</v>
      </c>
      <c r="P392" s="518" t="s">
        <v>6114</v>
      </c>
      <c r="Q392" s="152" t="s">
        <v>5873</v>
      </c>
      <c r="R392" s="152" t="s">
        <v>6115</v>
      </c>
      <c r="S392" s="152" t="s">
        <v>1515</v>
      </c>
      <c r="T392" s="152" t="s">
        <v>6116</v>
      </c>
      <c r="U392" s="152" t="s">
        <v>786</v>
      </c>
    </row>
    <row r="393" spans="1:21">
      <c r="D393" s="152" t="s">
        <v>2821</v>
      </c>
      <c r="E393" s="821" t="s">
        <v>676</v>
      </c>
      <c r="F393" s="684" t="str">
        <f>+VLOOKUP(G393,Resumen_Base!$C$8:$G$156,5,0)</f>
        <v>Miscellaneous &amp; Shipping</v>
      </c>
      <c r="G393" s="474" t="s">
        <v>28</v>
      </c>
      <c r="H393" s="210" t="s">
        <v>336</v>
      </c>
      <c r="I393" s="152" t="str">
        <f t="shared" si="5"/>
        <v>CAR5263</v>
      </c>
      <c r="J393" s="513">
        <v>287744</v>
      </c>
      <c r="K393" s="513">
        <v>204.8</v>
      </c>
      <c r="L393" s="513">
        <v>1405</v>
      </c>
      <c r="M393" s="513" t="s">
        <v>6059</v>
      </c>
      <c r="N393" s="513" t="s">
        <v>780</v>
      </c>
      <c r="O393" s="513" t="s">
        <v>1407</v>
      </c>
      <c r="P393" s="518" t="s">
        <v>6114</v>
      </c>
      <c r="Q393" s="152" t="s">
        <v>5873</v>
      </c>
      <c r="R393" s="152" t="s">
        <v>6115</v>
      </c>
      <c r="S393" s="152" t="s">
        <v>6171</v>
      </c>
      <c r="T393" s="152" t="s">
        <v>6116</v>
      </c>
      <c r="U393" s="152" t="s">
        <v>786</v>
      </c>
    </row>
    <row r="394" spans="1:21">
      <c r="A394" s="846" t="s">
        <v>3391</v>
      </c>
      <c r="C394" s="210" t="s">
        <v>5860</v>
      </c>
      <c r="D394" s="152" t="s">
        <v>2821</v>
      </c>
      <c r="E394" s="821" t="s">
        <v>676</v>
      </c>
      <c r="F394" s="684" t="str">
        <f>+VLOOKUP(G394,Resumen_Base!$C$8:$G$156,5,0)</f>
        <v>Extras</v>
      </c>
      <c r="G394" s="607" t="s">
        <v>337</v>
      </c>
      <c r="H394" s="597" t="s">
        <v>447</v>
      </c>
      <c r="I394" s="152" t="str">
        <f t="shared" si="5"/>
        <v>CAR5285</v>
      </c>
      <c r="J394" s="513">
        <v>554975</v>
      </c>
      <c r="K394" s="513">
        <v>395</v>
      </c>
      <c r="L394" s="513">
        <v>1405</v>
      </c>
      <c r="M394" s="513" t="s">
        <v>6059</v>
      </c>
      <c r="N394" s="513" t="s">
        <v>780</v>
      </c>
      <c r="O394" s="513" t="s">
        <v>1407</v>
      </c>
      <c r="P394" s="518" t="s">
        <v>6110</v>
      </c>
      <c r="Q394" s="152" t="s">
        <v>5873</v>
      </c>
      <c r="R394" s="152" t="s">
        <v>6111</v>
      </c>
      <c r="S394" s="152" t="s">
        <v>6173</v>
      </c>
      <c r="T394" s="152" t="s">
        <v>6113</v>
      </c>
      <c r="U394" s="152" t="s">
        <v>786</v>
      </c>
    </row>
    <row r="395" spans="1:21">
      <c r="A395" s="846" t="s">
        <v>3391</v>
      </c>
      <c r="C395" s="210" t="s">
        <v>5860</v>
      </c>
      <c r="D395" s="152" t="s">
        <v>2821</v>
      </c>
      <c r="E395" s="821" t="s">
        <v>676</v>
      </c>
      <c r="F395" s="684" t="str">
        <f>+VLOOKUP(G395,Resumen_Base!$C$8:$G$156,5,0)</f>
        <v>Extras</v>
      </c>
      <c r="G395" s="607" t="s">
        <v>337</v>
      </c>
      <c r="H395" s="597" t="s">
        <v>447</v>
      </c>
      <c r="I395" s="152" t="str">
        <f t="shared" si="5"/>
        <v>CAR5285</v>
      </c>
      <c r="J395" s="513">
        <v>843000</v>
      </c>
      <c r="K395" s="513">
        <v>600</v>
      </c>
      <c r="L395" s="513">
        <v>1405</v>
      </c>
      <c r="M395" s="513" t="s">
        <v>6059</v>
      </c>
      <c r="N395" s="513" t="s">
        <v>780</v>
      </c>
      <c r="O395" s="513" t="s">
        <v>1407</v>
      </c>
      <c r="P395" s="518" t="s">
        <v>6110</v>
      </c>
      <c r="Q395" s="152" t="s">
        <v>5873</v>
      </c>
      <c r="R395" s="152" t="s">
        <v>6111</v>
      </c>
      <c r="S395" s="152" t="s">
        <v>6173</v>
      </c>
      <c r="T395" s="152" t="s">
        <v>6113</v>
      </c>
      <c r="U395" s="152" t="s">
        <v>786</v>
      </c>
    </row>
    <row r="396" spans="1:21">
      <c r="A396" s="846" t="s">
        <v>3390</v>
      </c>
      <c r="C396" s="210" t="s">
        <v>7093</v>
      </c>
      <c r="D396" s="152" t="s">
        <v>2821</v>
      </c>
      <c r="E396" s="821" t="s">
        <v>676</v>
      </c>
      <c r="F396" s="684" t="str">
        <f>+VLOOKUP(G396,Resumen_Base!$C$8:$G$156,5,0)</f>
        <v>Food &amp; Wine</v>
      </c>
      <c r="G396" s="607" t="s">
        <v>37</v>
      </c>
      <c r="H396" s="597" t="s">
        <v>457</v>
      </c>
      <c r="I396" s="152" t="str">
        <f t="shared" si="5"/>
        <v>CAR5250</v>
      </c>
      <c r="J396" s="513">
        <v>1033728.75</v>
      </c>
      <c r="K396" s="513">
        <v>735.75</v>
      </c>
      <c r="L396" s="513">
        <v>1405</v>
      </c>
      <c r="M396" s="513" t="s">
        <v>6059</v>
      </c>
      <c r="N396" s="513" t="s">
        <v>780</v>
      </c>
      <c r="O396" s="513" t="s">
        <v>1407</v>
      </c>
      <c r="P396" s="518" t="s">
        <v>6114</v>
      </c>
      <c r="Q396" s="152" t="s">
        <v>5873</v>
      </c>
      <c r="R396" s="152" t="s">
        <v>6115</v>
      </c>
      <c r="S396" s="152" t="s">
        <v>6190</v>
      </c>
      <c r="T396" s="152" t="s">
        <v>6116</v>
      </c>
      <c r="U396" s="152" t="s">
        <v>786</v>
      </c>
    </row>
    <row r="397" spans="1:21">
      <c r="A397" s="846" t="s">
        <v>3390</v>
      </c>
      <c r="C397" s="210" t="s">
        <v>7093</v>
      </c>
      <c r="D397" s="152" t="s">
        <v>2821</v>
      </c>
      <c r="E397" s="821" t="s">
        <v>676</v>
      </c>
      <c r="F397" s="684" t="str">
        <f>+VLOOKUP(G397,Resumen_Base!$C$8:$G$156,5,0)</f>
        <v>Food &amp; Wine</v>
      </c>
      <c r="G397" s="607" t="s">
        <v>37</v>
      </c>
      <c r="H397" s="597" t="s">
        <v>457</v>
      </c>
      <c r="I397" s="152" t="str">
        <f t="shared" ref="I397:I460" si="6">+E397&amp;G397</f>
        <v>CAR5250</v>
      </c>
      <c r="J397" s="513">
        <v>35125</v>
      </c>
      <c r="K397" s="513">
        <v>25</v>
      </c>
      <c r="L397" s="513">
        <v>1405</v>
      </c>
      <c r="M397" s="513" t="s">
        <v>6059</v>
      </c>
      <c r="N397" s="513" t="s">
        <v>780</v>
      </c>
      <c r="O397" s="513" t="s">
        <v>1407</v>
      </c>
      <c r="P397" s="518" t="s">
        <v>6114</v>
      </c>
      <c r="Q397" s="152" t="s">
        <v>5873</v>
      </c>
      <c r="R397" s="152" t="s">
        <v>6115</v>
      </c>
      <c r="S397" s="152" t="s">
        <v>6191</v>
      </c>
      <c r="T397" s="152" t="s">
        <v>6116</v>
      </c>
      <c r="U397" s="152" t="s">
        <v>786</v>
      </c>
    </row>
    <row r="398" spans="1:21">
      <c r="A398" s="846" t="s">
        <v>3390</v>
      </c>
      <c r="C398" s="210" t="s">
        <v>7093</v>
      </c>
      <c r="D398" s="152" t="s">
        <v>2821</v>
      </c>
      <c r="E398" s="821" t="s">
        <v>676</v>
      </c>
      <c r="F398" s="684" t="str">
        <f>+VLOOKUP(G398,Resumen_Base!$C$8:$G$156,5,0)</f>
        <v>Food &amp; Wine</v>
      </c>
      <c r="G398" s="607" t="s">
        <v>37</v>
      </c>
      <c r="H398" s="597" t="s">
        <v>457</v>
      </c>
      <c r="I398" s="152" t="str">
        <f t="shared" si="6"/>
        <v>CAR5250</v>
      </c>
      <c r="J398" s="513">
        <v>370568.75</v>
      </c>
      <c r="K398" s="513">
        <v>263.75</v>
      </c>
      <c r="L398" s="513">
        <v>1405</v>
      </c>
      <c r="M398" s="513" t="s">
        <v>6059</v>
      </c>
      <c r="N398" s="513" t="s">
        <v>780</v>
      </c>
      <c r="O398" s="513" t="s">
        <v>1407</v>
      </c>
      <c r="P398" s="518" t="s">
        <v>6114</v>
      </c>
      <c r="Q398" s="152" t="s">
        <v>5873</v>
      </c>
      <c r="R398" s="152" t="s">
        <v>6115</v>
      </c>
      <c r="S398" s="152" t="s">
        <v>6192</v>
      </c>
      <c r="T398" s="152" t="s">
        <v>6116</v>
      </c>
      <c r="U398" s="152" t="s">
        <v>786</v>
      </c>
    </row>
    <row r="399" spans="1:21">
      <c r="A399" s="846" t="s">
        <v>3390</v>
      </c>
      <c r="C399" s="210" t="s">
        <v>7093</v>
      </c>
      <c r="D399" s="152" t="s">
        <v>2821</v>
      </c>
      <c r="E399" s="821" t="s">
        <v>676</v>
      </c>
      <c r="F399" s="684" t="str">
        <f>+VLOOKUP(G399,Resumen_Base!$C$8:$G$156,5,0)</f>
        <v>Food &amp; Wine</v>
      </c>
      <c r="G399" s="607" t="s">
        <v>37</v>
      </c>
      <c r="H399" s="597" t="s">
        <v>457</v>
      </c>
      <c r="I399" s="152" t="str">
        <f t="shared" si="6"/>
        <v>CAR5250</v>
      </c>
      <c r="J399" s="513">
        <v>172000.1</v>
      </c>
      <c r="K399" s="513">
        <v>122.42</v>
      </c>
      <c r="L399" s="513">
        <v>1405</v>
      </c>
      <c r="M399" s="513" t="s">
        <v>6303</v>
      </c>
      <c r="N399" s="513" t="s">
        <v>780</v>
      </c>
      <c r="O399" s="513" t="s">
        <v>1407</v>
      </c>
      <c r="P399" s="518" t="s">
        <v>6484</v>
      </c>
      <c r="Q399" s="152" t="s">
        <v>5873</v>
      </c>
      <c r="R399" s="152" t="s">
        <v>6485</v>
      </c>
      <c r="S399" s="152" t="s">
        <v>6521</v>
      </c>
      <c r="T399" s="152" t="s">
        <v>6487</v>
      </c>
      <c r="U399" s="152" t="s">
        <v>786</v>
      </c>
    </row>
    <row r="400" spans="1:21">
      <c r="A400" s="846" t="s">
        <v>3390</v>
      </c>
      <c r="C400" s="210" t="s">
        <v>7093</v>
      </c>
      <c r="D400" s="152" t="s">
        <v>2821</v>
      </c>
      <c r="E400" s="821" t="s">
        <v>676</v>
      </c>
      <c r="F400" s="684" t="str">
        <f>+VLOOKUP(G400,Resumen_Base!$C$8:$G$156,5,0)</f>
        <v>Food &amp; Wine</v>
      </c>
      <c r="G400" s="607" t="s">
        <v>37</v>
      </c>
      <c r="H400" s="597" t="s">
        <v>457</v>
      </c>
      <c r="I400" s="152" t="str">
        <f t="shared" si="6"/>
        <v>CAR5250</v>
      </c>
      <c r="J400" s="513">
        <v>250581.75</v>
      </c>
      <c r="K400" s="513">
        <v>178.35</v>
      </c>
      <c r="L400" s="513">
        <v>1405</v>
      </c>
      <c r="M400" s="513" t="s">
        <v>6303</v>
      </c>
      <c r="N400" s="513" t="s">
        <v>780</v>
      </c>
      <c r="O400" s="513" t="s">
        <v>1407</v>
      </c>
      <c r="P400" s="518" t="s">
        <v>6484</v>
      </c>
      <c r="Q400" s="152" t="s">
        <v>5873</v>
      </c>
      <c r="R400" s="152" t="s">
        <v>6485</v>
      </c>
      <c r="S400" s="152" t="s">
        <v>6523</v>
      </c>
      <c r="T400" s="152" t="s">
        <v>6487</v>
      </c>
      <c r="U400" s="152" t="s">
        <v>786</v>
      </c>
    </row>
    <row r="401" spans="4:21">
      <c r="D401" s="152" t="s">
        <v>2821</v>
      </c>
      <c r="E401" s="821" t="s">
        <v>676</v>
      </c>
      <c r="F401" s="684" t="str">
        <f>+VLOOKUP(G401,Resumen_Base!$C$8:$G$156,5,0)</f>
        <v>Propane</v>
      </c>
      <c r="G401" s="474" t="s">
        <v>39</v>
      </c>
      <c r="H401" s="210" t="s">
        <v>38</v>
      </c>
      <c r="I401" s="152" t="str">
        <f t="shared" si="6"/>
        <v>CAR5249</v>
      </c>
      <c r="J401" s="513">
        <v>43203.75</v>
      </c>
      <c r="K401" s="513">
        <v>30.75</v>
      </c>
      <c r="L401" s="513">
        <v>1405</v>
      </c>
      <c r="M401" s="513" t="s">
        <v>6059</v>
      </c>
      <c r="N401" s="513" t="s">
        <v>780</v>
      </c>
      <c r="O401" s="513" t="s">
        <v>1407</v>
      </c>
      <c r="P401" s="518" t="s">
        <v>6110</v>
      </c>
      <c r="Q401" s="152" t="s">
        <v>5873</v>
      </c>
      <c r="R401" s="152" t="s">
        <v>6111</v>
      </c>
      <c r="S401" s="152" t="s">
        <v>6152</v>
      </c>
      <c r="T401" s="152" t="s">
        <v>6113</v>
      </c>
      <c r="U401" s="152" t="s">
        <v>786</v>
      </c>
    </row>
    <row r="402" spans="4:21">
      <c r="D402" s="152" t="s">
        <v>2821</v>
      </c>
      <c r="E402" s="821" t="s">
        <v>676</v>
      </c>
      <c r="F402" s="684" t="str">
        <f>+VLOOKUP(G402,Resumen_Base!$C$8:$G$156,5,0)</f>
        <v>Services/House</v>
      </c>
      <c r="G402" s="474" t="s">
        <v>321</v>
      </c>
      <c r="H402" s="210" t="s">
        <v>322</v>
      </c>
      <c r="I402" s="152" t="str">
        <f t="shared" si="6"/>
        <v>CAR5226</v>
      </c>
      <c r="J402" s="513">
        <v>1264500</v>
      </c>
      <c r="K402" s="513">
        <v>900</v>
      </c>
      <c r="L402" s="513">
        <v>1405</v>
      </c>
      <c r="M402" s="513" t="s">
        <v>5975</v>
      </c>
      <c r="N402" s="513" t="s">
        <v>780</v>
      </c>
      <c r="O402" s="513" t="s">
        <v>1407</v>
      </c>
      <c r="P402" s="518" t="s">
        <v>5976</v>
      </c>
      <c r="Q402" s="152" t="s">
        <v>5873</v>
      </c>
      <c r="R402" s="152" t="s">
        <v>5977</v>
      </c>
      <c r="S402" s="152" t="s">
        <v>5990</v>
      </c>
      <c r="T402" s="152" t="s">
        <v>5979</v>
      </c>
      <c r="U402" s="152" t="s">
        <v>786</v>
      </c>
    </row>
    <row r="403" spans="4:21">
      <c r="D403" s="152" t="s">
        <v>2821</v>
      </c>
      <c r="E403" s="821" t="s">
        <v>676</v>
      </c>
      <c r="F403" s="684" t="str">
        <f>+VLOOKUP(G403,Resumen_Base!$C$8:$G$156,5,0)</f>
        <v>Services/House</v>
      </c>
      <c r="G403" s="474" t="s">
        <v>321</v>
      </c>
      <c r="H403" s="210" t="s">
        <v>322</v>
      </c>
      <c r="I403" s="152" t="str">
        <f t="shared" si="6"/>
        <v>CAR5226</v>
      </c>
      <c r="J403" s="513">
        <v>930812.5</v>
      </c>
      <c r="K403" s="513">
        <v>662.5</v>
      </c>
      <c r="L403" s="513">
        <v>1405</v>
      </c>
      <c r="M403" s="513" t="s">
        <v>5975</v>
      </c>
      <c r="N403" s="513" t="s">
        <v>780</v>
      </c>
      <c r="O403" s="513" t="s">
        <v>1407</v>
      </c>
      <c r="P403" s="518" t="s">
        <v>5976</v>
      </c>
      <c r="Q403" s="152" t="s">
        <v>5873</v>
      </c>
      <c r="R403" s="152" t="s">
        <v>5977</v>
      </c>
      <c r="S403" s="152" t="s">
        <v>5991</v>
      </c>
      <c r="T403" s="152" t="s">
        <v>5979</v>
      </c>
      <c r="U403" s="152" t="s">
        <v>786</v>
      </c>
    </row>
    <row r="404" spans="4:21">
      <c r="D404" s="152" t="s">
        <v>2821</v>
      </c>
      <c r="E404" s="821" t="s">
        <v>676</v>
      </c>
      <c r="F404" s="684" t="str">
        <f>+VLOOKUP(G404,Resumen_Base!$C$8:$G$156,5,0)</f>
        <v>Services/House</v>
      </c>
      <c r="G404" s="474" t="s">
        <v>321</v>
      </c>
      <c r="H404" s="210" t="s">
        <v>322</v>
      </c>
      <c r="I404" s="152" t="str">
        <f t="shared" si="6"/>
        <v>CAR5226</v>
      </c>
      <c r="J404" s="513">
        <v>1952950</v>
      </c>
      <c r="K404" s="513">
        <v>1390</v>
      </c>
      <c r="L404" s="513">
        <v>1405</v>
      </c>
      <c r="M404" s="513" t="s">
        <v>5975</v>
      </c>
      <c r="N404" s="513" t="s">
        <v>780</v>
      </c>
      <c r="O404" s="513" t="s">
        <v>1407</v>
      </c>
      <c r="P404" s="518" t="s">
        <v>5976</v>
      </c>
      <c r="Q404" s="152" t="s">
        <v>5873</v>
      </c>
      <c r="R404" s="152" t="s">
        <v>5977</v>
      </c>
      <c r="S404" s="152" t="s">
        <v>5993</v>
      </c>
      <c r="T404" s="152" t="s">
        <v>5979</v>
      </c>
      <c r="U404" s="152" t="s">
        <v>786</v>
      </c>
    </row>
    <row r="405" spans="4:21">
      <c r="D405" s="152" t="s">
        <v>2821</v>
      </c>
      <c r="E405" s="821" t="s">
        <v>676</v>
      </c>
      <c r="F405" s="684" t="str">
        <f>+VLOOKUP(G405,Resumen_Base!$C$8:$G$156,5,0)</f>
        <v>Services/House</v>
      </c>
      <c r="G405" s="474" t="s">
        <v>321</v>
      </c>
      <c r="H405" s="210" t="s">
        <v>322</v>
      </c>
      <c r="I405" s="152" t="str">
        <f t="shared" si="6"/>
        <v>CAR5226</v>
      </c>
      <c r="J405" s="513">
        <v>10991315</v>
      </c>
      <c r="K405" s="513">
        <v>7823</v>
      </c>
      <c r="L405" s="513">
        <v>1405</v>
      </c>
      <c r="M405" s="513" t="s">
        <v>5975</v>
      </c>
      <c r="N405" s="513" t="s">
        <v>780</v>
      </c>
      <c r="O405" s="513" t="s">
        <v>1407</v>
      </c>
      <c r="P405" s="518" t="s">
        <v>5976</v>
      </c>
      <c r="Q405" s="152" t="s">
        <v>5873</v>
      </c>
      <c r="R405" s="152" t="s">
        <v>5977</v>
      </c>
      <c r="S405" s="152" t="s">
        <v>5994</v>
      </c>
      <c r="T405" s="152" t="s">
        <v>5979</v>
      </c>
      <c r="U405" s="152" t="s">
        <v>786</v>
      </c>
    </row>
    <row r="406" spans="4:21">
      <c r="D406" s="152" t="s">
        <v>2821</v>
      </c>
      <c r="E406" s="821" t="s">
        <v>676</v>
      </c>
      <c r="F406" s="684" t="str">
        <f>+VLOOKUP(G406,Resumen_Base!$C$8:$G$156,5,0)</f>
        <v>Services/House</v>
      </c>
      <c r="G406" s="474" t="s">
        <v>321</v>
      </c>
      <c r="H406" s="210" t="s">
        <v>322</v>
      </c>
      <c r="I406" s="152" t="str">
        <f t="shared" si="6"/>
        <v>CAR5226</v>
      </c>
      <c r="J406" s="513">
        <v>1957165</v>
      </c>
      <c r="K406" s="513">
        <v>1393</v>
      </c>
      <c r="L406" s="513">
        <v>1405</v>
      </c>
      <c r="M406" s="513" t="s">
        <v>5975</v>
      </c>
      <c r="N406" s="513" t="s">
        <v>780</v>
      </c>
      <c r="O406" s="513" t="s">
        <v>1407</v>
      </c>
      <c r="P406" s="518" t="s">
        <v>5976</v>
      </c>
      <c r="Q406" s="152" t="s">
        <v>5873</v>
      </c>
      <c r="R406" s="152" t="s">
        <v>5977</v>
      </c>
      <c r="S406" s="152" t="s">
        <v>5995</v>
      </c>
      <c r="T406" s="152" t="s">
        <v>5979</v>
      </c>
      <c r="U406" s="152" t="s">
        <v>786</v>
      </c>
    </row>
    <row r="407" spans="4:21">
      <c r="D407" s="152" t="s">
        <v>2821</v>
      </c>
      <c r="E407" s="821" t="s">
        <v>676</v>
      </c>
      <c r="F407" s="684" t="str">
        <f>+VLOOKUP(G407,Resumen_Base!$C$8:$G$156,5,0)</f>
        <v>Services/House</v>
      </c>
      <c r="G407" s="474" t="s">
        <v>321</v>
      </c>
      <c r="H407" s="210" t="s">
        <v>322</v>
      </c>
      <c r="I407" s="152" t="str">
        <f t="shared" si="6"/>
        <v>CAR5226</v>
      </c>
      <c r="J407" s="513">
        <v>-2107500</v>
      </c>
      <c r="K407" s="513">
        <v>-1500</v>
      </c>
      <c r="L407" s="513">
        <v>1405</v>
      </c>
      <c r="M407" s="513" t="s">
        <v>6059</v>
      </c>
      <c r="N407" s="513" t="s">
        <v>780</v>
      </c>
      <c r="O407" s="513" t="s">
        <v>1407</v>
      </c>
      <c r="P407" s="518" t="s">
        <v>6166</v>
      </c>
      <c r="Q407" s="152" t="s">
        <v>5873</v>
      </c>
      <c r="R407" s="152" t="s">
        <v>6167</v>
      </c>
      <c r="S407" s="152" t="s">
        <v>6168</v>
      </c>
      <c r="T407" s="152" t="s">
        <v>6169</v>
      </c>
      <c r="U407" s="152" t="s">
        <v>786</v>
      </c>
    </row>
    <row r="408" spans="4:21">
      <c r="D408" s="152" t="s">
        <v>2821</v>
      </c>
      <c r="E408" s="821" t="s">
        <v>676</v>
      </c>
      <c r="F408" s="684" t="str">
        <f>+VLOOKUP(G408,Resumen_Base!$C$8:$G$156,5,0)</f>
        <v>Services/House</v>
      </c>
      <c r="G408" s="474" t="s">
        <v>321</v>
      </c>
      <c r="H408" s="210" t="s">
        <v>322</v>
      </c>
      <c r="I408" s="152" t="str">
        <f t="shared" si="6"/>
        <v>CAR5226</v>
      </c>
      <c r="J408" s="513">
        <v>263437.5</v>
      </c>
      <c r="K408" s="513">
        <v>187.5</v>
      </c>
      <c r="L408" s="513">
        <v>1405</v>
      </c>
      <c r="M408" s="513" t="s">
        <v>6059</v>
      </c>
      <c r="N408" s="513" t="s">
        <v>780</v>
      </c>
      <c r="O408" s="513" t="s">
        <v>1407</v>
      </c>
      <c r="P408" s="518" t="s">
        <v>6110</v>
      </c>
      <c r="Q408" s="152" t="s">
        <v>5873</v>
      </c>
      <c r="R408" s="152" t="s">
        <v>6111</v>
      </c>
      <c r="S408" s="152" t="s">
        <v>6188</v>
      </c>
      <c r="T408" s="152" t="s">
        <v>6113</v>
      </c>
      <c r="U408" s="152" t="s">
        <v>786</v>
      </c>
    </row>
    <row r="409" spans="4:21">
      <c r="D409" s="152" t="s">
        <v>2821</v>
      </c>
      <c r="E409" s="821" t="s">
        <v>676</v>
      </c>
      <c r="F409" s="684" t="str">
        <f>+VLOOKUP(G409,Resumen_Base!$C$8:$G$156,5,0)</f>
        <v>Services/House</v>
      </c>
      <c r="G409" s="474" t="s">
        <v>321</v>
      </c>
      <c r="H409" s="210" t="s">
        <v>322</v>
      </c>
      <c r="I409" s="152" t="str">
        <f t="shared" si="6"/>
        <v>CAR5226</v>
      </c>
      <c r="J409" s="513">
        <v>1269038.1499999999</v>
      </c>
      <c r="K409" s="513">
        <v>903.23</v>
      </c>
      <c r="L409" s="513">
        <v>1405</v>
      </c>
      <c r="M409" s="513" t="s">
        <v>6059</v>
      </c>
      <c r="N409" s="513" t="s">
        <v>780</v>
      </c>
      <c r="O409" s="513" t="s">
        <v>1407</v>
      </c>
      <c r="P409" s="518" t="s">
        <v>6114</v>
      </c>
      <c r="Q409" s="152" t="s">
        <v>5873</v>
      </c>
      <c r="R409" s="152" t="s">
        <v>6115</v>
      </c>
      <c r="S409" s="152" t="s">
        <v>6205</v>
      </c>
      <c r="T409" s="152" t="s">
        <v>6116</v>
      </c>
      <c r="U409" s="152" t="s">
        <v>786</v>
      </c>
    </row>
    <row r="410" spans="4:21">
      <c r="D410" s="152" t="s">
        <v>2821</v>
      </c>
      <c r="E410" s="821" t="s">
        <v>676</v>
      </c>
      <c r="F410" s="684" t="str">
        <f>+VLOOKUP(G410,Resumen_Base!$C$8:$G$156,5,0)</f>
        <v>Services/House</v>
      </c>
      <c r="G410" s="474" t="s">
        <v>321</v>
      </c>
      <c r="H410" s="210" t="s">
        <v>322</v>
      </c>
      <c r="I410" s="152" t="str">
        <f t="shared" si="6"/>
        <v>CAR5226</v>
      </c>
      <c r="J410" s="513">
        <v>1245363.8999999999</v>
      </c>
      <c r="K410" s="513">
        <v>886.38</v>
      </c>
      <c r="L410" s="513">
        <v>1405</v>
      </c>
      <c r="M410" s="513" t="s">
        <v>6059</v>
      </c>
      <c r="N410" s="513" t="s">
        <v>780</v>
      </c>
      <c r="O410" s="513" t="s">
        <v>1407</v>
      </c>
      <c r="P410" s="518" t="s">
        <v>6114</v>
      </c>
      <c r="Q410" s="152" t="s">
        <v>5873</v>
      </c>
      <c r="R410" s="152" t="s">
        <v>6115</v>
      </c>
      <c r="S410" s="152" t="s">
        <v>6206</v>
      </c>
      <c r="T410" s="152" t="s">
        <v>6116</v>
      </c>
      <c r="U410" s="152" t="s">
        <v>786</v>
      </c>
    </row>
    <row r="411" spans="4:21">
      <c r="D411" s="152" t="s">
        <v>2821</v>
      </c>
      <c r="E411" s="821" t="s">
        <v>676</v>
      </c>
      <c r="F411" s="684" t="str">
        <f>+VLOOKUP(G411,Resumen_Base!$C$8:$G$156,5,0)</f>
        <v>Services/House</v>
      </c>
      <c r="G411" s="474" t="s">
        <v>321</v>
      </c>
      <c r="H411" s="210" t="s">
        <v>322</v>
      </c>
      <c r="I411" s="152" t="str">
        <f t="shared" si="6"/>
        <v>CAR5226</v>
      </c>
      <c r="J411" s="513">
        <v>1269038.1499999999</v>
      </c>
      <c r="K411" s="513">
        <v>903.23</v>
      </c>
      <c r="L411" s="513">
        <v>1405</v>
      </c>
      <c r="M411" s="513" t="s">
        <v>6059</v>
      </c>
      <c r="N411" s="513" t="s">
        <v>780</v>
      </c>
      <c r="O411" s="513" t="s">
        <v>1407</v>
      </c>
      <c r="P411" s="518" t="s">
        <v>6114</v>
      </c>
      <c r="Q411" s="152" t="s">
        <v>5873</v>
      </c>
      <c r="R411" s="152" t="s">
        <v>6115</v>
      </c>
      <c r="S411" s="152" t="s">
        <v>6207</v>
      </c>
      <c r="T411" s="152" t="s">
        <v>6116</v>
      </c>
      <c r="U411" s="152" t="s">
        <v>786</v>
      </c>
    </row>
    <row r="412" spans="4:21">
      <c r="D412" s="152" t="s">
        <v>2821</v>
      </c>
      <c r="E412" s="821" t="s">
        <v>676</v>
      </c>
      <c r="F412" s="684" t="str">
        <f>+VLOOKUP(G412,Resumen_Base!$C$8:$G$156,5,0)</f>
        <v>Services/House</v>
      </c>
      <c r="G412" s="474" t="s">
        <v>321</v>
      </c>
      <c r="H412" s="210" t="s">
        <v>322</v>
      </c>
      <c r="I412" s="152" t="str">
        <f t="shared" si="6"/>
        <v>CAR5226</v>
      </c>
      <c r="J412" s="513">
        <v>1245363.8999999999</v>
      </c>
      <c r="K412" s="513">
        <v>886.38</v>
      </c>
      <c r="L412" s="513">
        <v>1405</v>
      </c>
      <c r="M412" s="513" t="s">
        <v>6059</v>
      </c>
      <c r="N412" s="513" t="s">
        <v>780</v>
      </c>
      <c r="O412" s="513" t="s">
        <v>1407</v>
      </c>
      <c r="P412" s="518" t="s">
        <v>6114</v>
      </c>
      <c r="Q412" s="152" t="s">
        <v>5873</v>
      </c>
      <c r="R412" s="152" t="s">
        <v>6115</v>
      </c>
      <c r="S412" s="152" t="s">
        <v>6208</v>
      </c>
      <c r="T412" s="152" t="s">
        <v>6116</v>
      </c>
      <c r="U412" s="152" t="s">
        <v>786</v>
      </c>
    </row>
    <row r="413" spans="4:21">
      <c r="D413" s="152" t="s">
        <v>2821</v>
      </c>
      <c r="E413" s="821" t="s">
        <v>676</v>
      </c>
      <c r="F413" s="684" t="str">
        <f>+VLOOKUP(G413,Resumen_Base!$C$8:$G$156,5,0)</f>
        <v>Shop</v>
      </c>
      <c r="G413" s="474" t="s">
        <v>293</v>
      </c>
      <c r="H413" s="210" t="s">
        <v>294</v>
      </c>
      <c r="I413" s="152" t="str">
        <f t="shared" si="6"/>
        <v>CAR4104</v>
      </c>
      <c r="J413" s="513">
        <v>-56200</v>
      </c>
      <c r="K413" s="513">
        <v>-40</v>
      </c>
      <c r="L413" s="513">
        <v>1405</v>
      </c>
      <c r="M413" s="513" t="s">
        <v>5881</v>
      </c>
      <c r="N413" s="513" t="s">
        <v>1566</v>
      </c>
      <c r="O413" s="513" t="s">
        <v>1407</v>
      </c>
      <c r="P413" s="518" t="s">
        <v>5894</v>
      </c>
      <c r="Q413" s="152" t="s">
        <v>5895</v>
      </c>
      <c r="R413" s="152" t="s">
        <v>5896</v>
      </c>
      <c r="S413" s="152" t="s">
        <v>5897</v>
      </c>
      <c r="T413" s="152" t="s">
        <v>5898</v>
      </c>
      <c r="U413" s="152" t="s">
        <v>786</v>
      </c>
    </row>
    <row r="414" spans="4:21">
      <c r="D414" s="152" t="s">
        <v>2821</v>
      </c>
      <c r="E414" s="821" t="s">
        <v>676</v>
      </c>
      <c r="F414" s="684" t="str">
        <f>+VLOOKUP(G414,Resumen_Base!$C$8:$G$156,5,0)</f>
        <v>Shop</v>
      </c>
      <c r="G414" s="474" t="s">
        <v>293</v>
      </c>
      <c r="H414" s="210" t="s">
        <v>294</v>
      </c>
      <c r="I414" s="152" t="str">
        <f t="shared" si="6"/>
        <v>CAR4104</v>
      </c>
      <c r="J414" s="513">
        <v>-56200</v>
      </c>
      <c r="K414" s="513">
        <v>-40</v>
      </c>
      <c r="L414" s="513">
        <v>1405</v>
      </c>
      <c r="M414" s="513" t="s">
        <v>5881</v>
      </c>
      <c r="N414" s="513" t="s">
        <v>1566</v>
      </c>
      <c r="O414" s="513" t="s">
        <v>1407</v>
      </c>
      <c r="P414" s="518" t="s">
        <v>5899</v>
      </c>
      <c r="Q414" s="152" t="s">
        <v>5895</v>
      </c>
      <c r="R414" s="152" t="s">
        <v>5900</v>
      </c>
      <c r="S414" s="152" t="s">
        <v>5897</v>
      </c>
      <c r="T414" s="152" t="s">
        <v>5901</v>
      </c>
      <c r="U414" s="152" t="s">
        <v>786</v>
      </c>
    </row>
    <row r="415" spans="4:21">
      <c r="D415" s="152" t="s">
        <v>2821</v>
      </c>
      <c r="E415" s="821" t="s">
        <v>676</v>
      </c>
      <c r="F415" s="684" t="str">
        <f>+VLOOKUP(G415,Resumen_Base!$C$8:$G$156,5,0)</f>
        <v>Shop</v>
      </c>
      <c r="G415" s="474" t="s">
        <v>293</v>
      </c>
      <c r="H415" s="210" t="s">
        <v>294</v>
      </c>
      <c r="I415" s="152" t="str">
        <f t="shared" si="6"/>
        <v>CAR4104</v>
      </c>
      <c r="J415" s="513">
        <v>-56200</v>
      </c>
      <c r="K415" s="513">
        <v>-40</v>
      </c>
      <c r="L415" s="513">
        <v>1405</v>
      </c>
      <c r="M415" s="513" t="s">
        <v>5881</v>
      </c>
      <c r="N415" s="513" t="s">
        <v>1566</v>
      </c>
      <c r="O415" s="513" t="s">
        <v>1407</v>
      </c>
      <c r="P415" s="518" t="s">
        <v>5902</v>
      </c>
      <c r="Q415" s="152" t="s">
        <v>5895</v>
      </c>
      <c r="R415" s="152" t="s">
        <v>5903</v>
      </c>
      <c r="S415" s="152" t="s">
        <v>5897</v>
      </c>
      <c r="T415" s="152" t="s">
        <v>5904</v>
      </c>
      <c r="U415" s="152" t="s">
        <v>786</v>
      </c>
    </row>
    <row r="416" spans="4:21">
      <c r="D416" s="152" t="s">
        <v>2821</v>
      </c>
      <c r="E416" s="821" t="s">
        <v>676</v>
      </c>
      <c r="F416" s="684" t="str">
        <f>+VLOOKUP(G416,Resumen_Base!$C$8:$G$156,5,0)</f>
        <v>Shop</v>
      </c>
      <c r="G416" s="474" t="s">
        <v>293</v>
      </c>
      <c r="H416" s="210" t="s">
        <v>294</v>
      </c>
      <c r="I416" s="152" t="str">
        <f t="shared" si="6"/>
        <v>CAR4104</v>
      </c>
      <c r="J416" s="513">
        <v>-147525</v>
      </c>
      <c r="K416" s="513">
        <v>-105</v>
      </c>
      <c r="L416" s="513">
        <v>1405</v>
      </c>
      <c r="M416" s="513" t="s">
        <v>5881</v>
      </c>
      <c r="N416" s="513" t="s">
        <v>1566</v>
      </c>
      <c r="O416" s="513" t="s">
        <v>1407</v>
      </c>
      <c r="P416" s="518" t="s">
        <v>5912</v>
      </c>
      <c r="Q416" s="152" t="s">
        <v>5895</v>
      </c>
      <c r="R416" s="152" t="s">
        <v>5913</v>
      </c>
      <c r="S416" s="152" t="s">
        <v>5910</v>
      </c>
      <c r="T416" s="152" t="s">
        <v>5914</v>
      </c>
      <c r="U416" s="152" t="s">
        <v>786</v>
      </c>
    </row>
    <row r="417" spans="4:21">
      <c r="D417" s="152" t="s">
        <v>2821</v>
      </c>
      <c r="E417" s="821" t="s">
        <v>676</v>
      </c>
      <c r="F417" s="684" t="str">
        <f>+VLOOKUP(G417,Resumen_Base!$C$8:$G$156,5,0)</f>
        <v>Shop</v>
      </c>
      <c r="G417" s="474" t="s">
        <v>293</v>
      </c>
      <c r="H417" s="210" t="s">
        <v>294</v>
      </c>
      <c r="I417" s="152" t="str">
        <f t="shared" si="6"/>
        <v>CAR4104</v>
      </c>
      <c r="J417" s="513">
        <v>-105375</v>
      </c>
      <c r="K417" s="513">
        <v>-75</v>
      </c>
      <c r="L417" s="513">
        <v>1405</v>
      </c>
      <c r="M417" s="513" t="s">
        <v>5975</v>
      </c>
      <c r="N417" s="513" t="s">
        <v>1566</v>
      </c>
      <c r="O417" s="513" t="s">
        <v>1407</v>
      </c>
      <c r="P417" s="518" t="s">
        <v>5996</v>
      </c>
      <c r="Q417" s="152" t="s">
        <v>5895</v>
      </c>
      <c r="R417" s="152" t="s">
        <v>5997</v>
      </c>
      <c r="S417" s="152" t="s">
        <v>5998</v>
      </c>
      <c r="T417" s="152" t="s">
        <v>5999</v>
      </c>
      <c r="U417" s="152" t="s">
        <v>786</v>
      </c>
    </row>
    <row r="418" spans="4:21">
      <c r="D418" s="152" t="s">
        <v>2821</v>
      </c>
      <c r="E418" s="821" t="s">
        <v>676</v>
      </c>
      <c r="F418" s="684" t="str">
        <f>+VLOOKUP(G418,Resumen_Base!$C$8:$G$156,5,0)</f>
        <v>Shop</v>
      </c>
      <c r="G418" s="474" t="s">
        <v>293</v>
      </c>
      <c r="H418" s="210" t="s">
        <v>294</v>
      </c>
      <c r="I418" s="152" t="str">
        <f t="shared" si="6"/>
        <v>CAR4104</v>
      </c>
      <c r="J418" s="513">
        <v>-56200</v>
      </c>
      <c r="K418" s="513">
        <v>-40</v>
      </c>
      <c r="L418" s="513">
        <v>1405</v>
      </c>
      <c r="M418" s="513" t="s">
        <v>5975</v>
      </c>
      <c r="N418" s="513" t="s">
        <v>1566</v>
      </c>
      <c r="O418" s="513" t="s">
        <v>1407</v>
      </c>
      <c r="P418" s="518" t="s">
        <v>6003</v>
      </c>
      <c r="Q418" s="152" t="s">
        <v>5895</v>
      </c>
      <c r="R418" s="152" t="s">
        <v>6004</v>
      </c>
      <c r="S418" s="152" t="s">
        <v>5998</v>
      </c>
      <c r="T418" s="152" t="s">
        <v>6005</v>
      </c>
      <c r="U418" s="152" t="s">
        <v>786</v>
      </c>
    </row>
    <row r="419" spans="4:21">
      <c r="D419" s="152" t="s">
        <v>2821</v>
      </c>
      <c r="E419" s="821" t="s">
        <v>676</v>
      </c>
      <c r="F419" s="684" t="str">
        <f>+VLOOKUP(G419,Resumen_Base!$C$8:$G$156,5,0)</f>
        <v>Shop</v>
      </c>
      <c r="G419" s="474" t="s">
        <v>293</v>
      </c>
      <c r="H419" s="210" t="s">
        <v>294</v>
      </c>
      <c r="I419" s="152" t="str">
        <f t="shared" si="6"/>
        <v>CAR4104</v>
      </c>
      <c r="J419" s="513">
        <v>-105375</v>
      </c>
      <c r="K419" s="513">
        <v>-75</v>
      </c>
      <c r="L419" s="513">
        <v>1405</v>
      </c>
      <c r="M419" s="513" t="s">
        <v>5975</v>
      </c>
      <c r="N419" s="513" t="s">
        <v>1566</v>
      </c>
      <c r="O419" s="513" t="s">
        <v>1407</v>
      </c>
      <c r="P419" s="518" t="s">
        <v>6003</v>
      </c>
      <c r="Q419" s="152" t="s">
        <v>5895</v>
      </c>
      <c r="R419" s="152" t="s">
        <v>6004</v>
      </c>
      <c r="S419" s="152" t="s">
        <v>5998</v>
      </c>
      <c r="T419" s="152" t="s">
        <v>6005</v>
      </c>
      <c r="U419" s="152" t="s">
        <v>786</v>
      </c>
    </row>
    <row r="420" spans="4:21">
      <c r="D420" s="152" t="s">
        <v>2821</v>
      </c>
      <c r="E420" s="821" t="s">
        <v>676</v>
      </c>
      <c r="F420" s="684" t="str">
        <f>+VLOOKUP(G420,Resumen_Base!$C$8:$G$156,5,0)</f>
        <v>Shop</v>
      </c>
      <c r="G420" s="474" t="s">
        <v>293</v>
      </c>
      <c r="H420" s="210" t="s">
        <v>294</v>
      </c>
      <c r="I420" s="152" t="str">
        <f t="shared" si="6"/>
        <v>CAR4104</v>
      </c>
      <c r="J420" s="513">
        <v>-175625</v>
      </c>
      <c r="K420" s="513">
        <v>-125</v>
      </c>
      <c r="L420" s="513">
        <v>1405</v>
      </c>
      <c r="M420" s="513" t="s">
        <v>5975</v>
      </c>
      <c r="N420" s="513" t="s">
        <v>1566</v>
      </c>
      <c r="O420" s="513" t="s">
        <v>1407</v>
      </c>
      <c r="P420" s="518" t="s">
        <v>6003</v>
      </c>
      <c r="Q420" s="152" t="s">
        <v>5895</v>
      </c>
      <c r="R420" s="152" t="s">
        <v>6004</v>
      </c>
      <c r="S420" s="152" t="s">
        <v>5998</v>
      </c>
      <c r="T420" s="152" t="s">
        <v>6005</v>
      </c>
      <c r="U420" s="152" t="s">
        <v>786</v>
      </c>
    </row>
    <row r="421" spans="4:21">
      <c r="D421" s="152" t="s">
        <v>2821</v>
      </c>
      <c r="E421" s="821" t="s">
        <v>676</v>
      </c>
      <c r="F421" s="684" t="str">
        <f>+VLOOKUP(G421,Resumen_Base!$C$8:$G$156,5,0)</f>
        <v>Shop</v>
      </c>
      <c r="G421" s="474" t="s">
        <v>293</v>
      </c>
      <c r="H421" s="210" t="s">
        <v>294</v>
      </c>
      <c r="I421" s="152" t="str">
        <f t="shared" si="6"/>
        <v>CAR4104</v>
      </c>
      <c r="J421" s="513">
        <v>-14050</v>
      </c>
      <c r="K421" s="513">
        <v>-10</v>
      </c>
      <c r="L421" s="513">
        <v>1405</v>
      </c>
      <c r="M421" s="513" t="s">
        <v>5975</v>
      </c>
      <c r="N421" s="513" t="s">
        <v>1566</v>
      </c>
      <c r="O421" s="513" t="s">
        <v>1407</v>
      </c>
      <c r="P421" s="518" t="s">
        <v>6003</v>
      </c>
      <c r="Q421" s="152" t="s">
        <v>5895</v>
      </c>
      <c r="R421" s="152" t="s">
        <v>6004</v>
      </c>
      <c r="S421" s="152" t="s">
        <v>5998</v>
      </c>
      <c r="T421" s="152" t="s">
        <v>6005</v>
      </c>
      <c r="U421" s="152" t="s">
        <v>786</v>
      </c>
    </row>
    <row r="422" spans="4:21">
      <c r="D422" s="152" t="s">
        <v>2821</v>
      </c>
      <c r="E422" s="821" t="s">
        <v>676</v>
      </c>
      <c r="F422" s="684" t="str">
        <f>+VLOOKUP(G422,Resumen_Base!$C$8:$G$156,5,0)</f>
        <v>Shop</v>
      </c>
      <c r="G422" s="474" t="s">
        <v>293</v>
      </c>
      <c r="H422" s="210" t="s">
        <v>294</v>
      </c>
      <c r="I422" s="152" t="str">
        <f t="shared" si="6"/>
        <v>CAR4104</v>
      </c>
      <c r="J422" s="513">
        <v>-210750</v>
      </c>
      <c r="K422" s="513">
        <v>-150</v>
      </c>
      <c r="L422" s="513">
        <v>1405</v>
      </c>
      <c r="M422" s="513" t="s">
        <v>5975</v>
      </c>
      <c r="N422" s="513" t="s">
        <v>1566</v>
      </c>
      <c r="O422" s="513" t="s">
        <v>1407</v>
      </c>
      <c r="P422" s="518" t="s">
        <v>6003</v>
      </c>
      <c r="Q422" s="152" t="s">
        <v>5895</v>
      </c>
      <c r="R422" s="152" t="s">
        <v>6004</v>
      </c>
      <c r="S422" s="152" t="s">
        <v>5998</v>
      </c>
      <c r="T422" s="152" t="s">
        <v>6005</v>
      </c>
      <c r="U422" s="152" t="s">
        <v>786</v>
      </c>
    </row>
    <row r="423" spans="4:21">
      <c r="D423" s="152" t="s">
        <v>2821</v>
      </c>
      <c r="E423" s="821" t="s">
        <v>676</v>
      </c>
      <c r="F423" s="684" t="str">
        <f>+VLOOKUP(G423,Resumen_Base!$C$8:$G$156,5,0)</f>
        <v>Shop</v>
      </c>
      <c r="G423" s="474" t="s">
        <v>293</v>
      </c>
      <c r="H423" s="210" t="s">
        <v>294</v>
      </c>
      <c r="I423" s="152" t="str">
        <f t="shared" si="6"/>
        <v>CAR4104</v>
      </c>
      <c r="J423" s="513">
        <v>-21075</v>
      </c>
      <c r="K423" s="513">
        <v>-15</v>
      </c>
      <c r="L423" s="513">
        <v>1405</v>
      </c>
      <c r="M423" s="513" t="s">
        <v>5975</v>
      </c>
      <c r="N423" s="513" t="s">
        <v>1566</v>
      </c>
      <c r="O423" s="513" t="s">
        <v>1407</v>
      </c>
      <c r="P423" s="518" t="s">
        <v>6003</v>
      </c>
      <c r="Q423" s="152" t="s">
        <v>5895</v>
      </c>
      <c r="R423" s="152" t="s">
        <v>6004</v>
      </c>
      <c r="S423" s="152" t="s">
        <v>5998</v>
      </c>
      <c r="T423" s="152" t="s">
        <v>6005</v>
      </c>
      <c r="U423" s="152" t="s">
        <v>786</v>
      </c>
    </row>
    <row r="424" spans="4:21">
      <c r="D424" s="152" t="s">
        <v>2821</v>
      </c>
      <c r="E424" s="821" t="s">
        <v>676</v>
      </c>
      <c r="F424" s="684" t="str">
        <f>+VLOOKUP(G424,Resumen_Base!$C$8:$G$156,5,0)</f>
        <v>Shop</v>
      </c>
      <c r="G424" s="474" t="s">
        <v>293</v>
      </c>
      <c r="H424" s="210" t="s">
        <v>294</v>
      </c>
      <c r="I424" s="152" t="str">
        <f t="shared" si="6"/>
        <v>CAR4104</v>
      </c>
      <c r="J424" s="513">
        <v>-98350</v>
      </c>
      <c r="K424" s="513">
        <v>-70</v>
      </c>
      <c r="L424" s="513">
        <v>1405</v>
      </c>
      <c r="M424" s="513" t="s">
        <v>5975</v>
      </c>
      <c r="N424" s="513" t="s">
        <v>1566</v>
      </c>
      <c r="O424" s="513" t="s">
        <v>1407</v>
      </c>
      <c r="P424" s="518" t="s">
        <v>6003</v>
      </c>
      <c r="Q424" s="152" t="s">
        <v>5895</v>
      </c>
      <c r="R424" s="152" t="s">
        <v>6004</v>
      </c>
      <c r="S424" s="152" t="s">
        <v>5998</v>
      </c>
      <c r="T424" s="152" t="s">
        <v>6005</v>
      </c>
      <c r="U424" s="152" t="s">
        <v>786</v>
      </c>
    </row>
    <row r="425" spans="4:21">
      <c r="D425" s="152" t="s">
        <v>2821</v>
      </c>
      <c r="E425" s="821" t="s">
        <v>676</v>
      </c>
      <c r="F425" s="684" t="str">
        <f>+VLOOKUP(G425,Resumen_Base!$C$8:$G$156,5,0)</f>
        <v>Shop</v>
      </c>
      <c r="G425" s="474" t="s">
        <v>293</v>
      </c>
      <c r="H425" s="210" t="s">
        <v>294</v>
      </c>
      <c r="I425" s="152" t="str">
        <f t="shared" si="6"/>
        <v>CAR4104</v>
      </c>
      <c r="J425" s="513">
        <v>-56200</v>
      </c>
      <c r="K425" s="513">
        <v>-40</v>
      </c>
      <c r="L425" s="513">
        <v>1405</v>
      </c>
      <c r="M425" s="513" t="s">
        <v>5975</v>
      </c>
      <c r="N425" s="513" t="s">
        <v>1566</v>
      </c>
      <c r="O425" s="513" t="s">
        <v>1407</v>
      </c>
      <c r="P425" s="518" t="s">
        <v>6003</v>
      </c>
      <c r="Q425" s="152" t="s">
        <v>5895</v>
      </c>
      <c r="R425" s="152" t="s">
        <v>6004</v>
      </c>
      <c r="S425" s="152" t="s">
        <v>5998</v>
      </c>
      <c r="T425" s="152" t="s">
        <v>6005</v>
      </c>
      <c r="U425" s="152" t="s">
        <v>786</v>
      </c>
    </row>
    <row r="426" spans="4:21">
      <c r="D426" s="152" t="s">
        <v>2821</v>
      </c>
      <c r="E426" s="821" t="s">
        <v>676</v>
      </c>
      <c r="F426" s="684" t="str">
        <f>+VLOOKUP(G426,Resumen_Base!$C$8:$G$156,5,0)</f>
        <v>Shop</v>
      </c>
      <c r="G426" s="474" t="s">
        <v>293</v>
      </c>
      <c r="H426" s="210" t="s">
        <v>294</v>
      </c>
      <c r="I426" s="152" t="str">
        <f t="shared" si="6"/>
        <v>CAR4104</v>
      </c>
      <c r="J426" s="513">
        <v>-98350</v>
      </c>
      <c r="K426" s="513">
        <v>-70</v>
      </c>
      <c r="L426" s="513">
        <v>1405</v>
      </c>
      <c r="M426" s="513" t="s">
        <v>5975</v>
      </c>
      <c r="N426" s="513" t="s">
        <v>1566</v>
      </c>
      <c r="O426" s="513" t="s">
        <v>1407</v>
      </c>
      <c r="P426" s="518" t="s">
        <v>6003</v>
      </c>
      <c r="Q426" s="152" t="s">
        <v>5895</v>
      </c>
      <c r="R426" s="152" t="s">
        <v>6004</v>
      </c>
      <c r="S426" s="152" t="s">
        <v>5998</v>
      </c>
      <c r="T426" s="152" t="s">
        <v>6005</v>
      </c>
      <c r="U426" s="152" t="s">
        <v>786</v>
      </c>
    </row>
    <row r="427" spans="4:21">
      <c r="D427" s="152" t="s">
        <v>2821</v>
      </c>
      <c r="E427" s="821" t="s">
        <v>676</v>
      </c>
      <c r="F427" s="684" t="str">
        <f>+VLOOKUP(G427,Resumen_Base!$C$8:$G$156,5,0)</f>
        <v>Shop</v>
      </c>
      <c r="G427" s="474" t="s">
        <v>293</v>
      </c>
      <c r="H427" s="210" t="s">
        <v>294</v>
      </c>
      <c r="I427" s="152" t="str">
        <f t="shared" si="6"/>
        <v>CAR4104</v>
      </c>
      <c r="J427" s="513">
        <v>-70250</v>
      </c>
      <c r="K427" s="513">
        <v>-50</v>
      </c>
      <c r="L427" s="513">
        <v>1405</v>
      </c>
      <c r="M427" s="513" t="s">
        <v>5975</v>
      </c>
      <c r="N427" s="513" t="s">
        <v>1566</v>
      </c>
      <c r="O427" s="513" t="s">
        <v>1407</v>
      </c>
      <c r="P427" s="518" t="s">
        <v>6003</v>
      </c>
      <c r="Q427" s="152" t="s">
        <v>5895</v>
      </c>
      <c r="R427" s="152" t="s">
        <v>6004</v>
      </c>
      <c r="S427" s="152" t="s">
        <v>5998</v>
      </c>
      <c r="T427" s="152" t="s">
        <v>6005</v>
      </c>
      <c r="U427" s="152" t="s">
        <v>786</v>
      </c>
    </row>
    <row r="428" spans="4:21">
      <c r="D428" s="152" t="s">
        <v>2821</v>
      </c>
      <c r="E428" s="821" t="s">
        <v>676</v>
      </c>
      <c r="F428" s="684" t="str">
        <f>+VLOOKUP(G428,Resumen_Base!$C$8:$G$156,5,0)</f>
        <v>Shop</v>
      </c>
      <c r="G428" s="474" t="s">
        <v>293</v>
      </c>
      <c r="H428" s="210" t="s">
        <v>294</v>
      </c>
      <c r="I428" s="152" t="str">
        <f t="shared" si="6"/>
        <v>CAR4104</v>
      </c>
      <c r="J428" s="513">
        <v>-91325</v>
      </c>
      <c r="K428" s="513">
        <v>-65</v>
      </c>
      <c r="L428" s="513">
        <v>1405</v>
      </c>
      <c r="M428" s="513" t="s">
        <v>5975</v>
      </c>
      <c r="N428" s="513" t="s">
        <v>1566</v>
      </c>
      <c r="O428" s="513" t="s">
        <v>1407</v>
      </c>
      <c r="P428" s="518" t="s">
        <v>6003</v>
      </c>
      <c r="Q428" s="152" t="s">
        <v>5895</v>
      </c>
      <c r="R428" s="152" t="s">
        <v>6004</v>
      </c>
      <c r="S428" s="152" t="s">
        <v>5998</v>
      </c>
      <c r="T428" s="152" t="s">
        <v>6005</v>
      </c>
      <c r="U428" s="152" t="s">
        <v>786</v>
      </c>
    </row>
    <row r="429" spans="4:21">
      <c r="D429" s="152" t="s">
        <v>2821</v>
      </c>
      <c r="E429" s="821" t="s">
        <v>676</v>
      </c>
      <c r="F429" s="684" t="str">
        <f>+VLOOKUP(G429,Resumen_Base!$C$8:$G$156,5,0)</f>
        <v>Shop</v>
      </c>
      <c r="G429" s="474" t="s">
        <v>293</v>
      </c>
      <c r="H429" s="210" t="s">
        <v>294</v>
      </c>
      <c r="I429" s="152" t="str">
        <f t="shared" si="6"/>
        <v>CAR4104</v>
      </c>
      <c r="J429" s="513">
        <v>-21075</v>
      </c>
      <c r="K429" s="513">
        <v>-15</v>
      </c>
      <c r="L429" s="513">
        <v>1405</v>
      </c>
      <c r="M429" s="513" t="s">
        <v>5975</v>
      </c>
      <c r="N429" s="513" t="s">
        <v>1566</v>
      </c>
      <c r="O429" s="513" t="s">
        <v>1407</v>
      </c>
      <c r="P429" s="518" t="s">
        <v>6003</v>
      </c>
      <c r="Q429" s="152" t="s">
        <v>5895</v>
      </c>
      <c r="R429" s="152" t="s">
        <v>6004</v>
      </c>
      <c r="S429" s="152" t="s">
        <v>5998</v>
      </c>
      <c r="T429" s="152" t="s">
        <v>6005</v>
      </c>
      <c r="U429" s="152" t="s">
        <v>786</v>
      </c>
    </row>
    <row r="430" spans="4:21">
      <c r="D430" s="152" t="s">
        <v>2821</v>
      </c>
      <c r="E430" s="821" t="s">
        <v>676</v>
      </c>
      <c r="F430" s="684" t="str">
        <f>+VLOOKUP(G430,Resumen_Base!$C$8:$G$156,5,0)</f>
        <v>Shop</v>
      </c>
      <c r="G430" s="474" t="s">
        <v>293</v>
      </c>
      <c r="H430" s="210" t="s">
        <v>294</v>
      </c>
      <c r="I430" s="152" t="str">
        <f t="shared" si="6"/>
        <v>CAR4104</v>
      </c>
      <c r="J430" s="513">
        <v>-56200</v>
      </c>
      <c r="K430" s="513">
        <v>-40</v>
      </c>
      <c r="L430" s="513">
        <v>1405</v>
      </c>
      <c r="M430" s="513" t="s">
        <v>5975</v>
      </c>
      <c r="N430" s="513" t="s">
        <v>1566</v>
      </c>
      <c r="O430" s="513" t="s">
        <v>1407</v>
      </c>
      <c r="P430" s="518" t="s">
        <v>6006</v>
      </c>
      <c r="Q430" s="152" t="s">
        <v>5895</v>
      </c>
      <c r="R430" s="152" t="s">
        <v>6007</v>
      </c>
      <c r="S430" s="152" t="s">
        <v>6008</v>
      </c>
      <c r="T430" s="152" t="s">
        <v>6009</v>
      </c>
      <c r="U430" s="152" t="s">
        <v>786</v>
      </c>
    </row>
    <row r="431" spans="4:21">
      <c r="D431" s="152" t="s">
        <v>2821</v>
      </c>
      <c r="E431" s="821" t="s">
        <v>676</v>
      </c>
      <c r="F431" s="684" t="str">
        <f>+VLOOKUP(G431,Resumen_Base!$C$8:$G$156,5,0)</f>
        <v>Shop</v>
      </c>
      <c r="G431" s="474" t="s">
        <v>293</v>
      </c>
      <c r="H431" s="210" t="s">
        <v>294</v>
      </c>
      <c r="I431" s="152" t="str">
        <f t="shared" si="6"/>
        <v>CAR4104</v>
      </c>
      <c r="J431" s="513">
        <v>-56200</v>
      </c>
      <c r="K431" s="513">
        <v>-40</v>
      </c>
      <c r="L431" s="513">
        <v>1405</v>
      </c>
      <c r="M431" s="513" t="s">
        <v>5975</v>
      </c>
      <c r="N431" s="513" t="s">
        <v>1566</v>
      </c>
      <c r="O431" s="513" t="s">
        <v>1407</v>
      </c>
      <c r="P431" s="518" t="s">
        <v>6006</v>
      </c>
      <c r="Q431" s="152" t="s">
        <v>5895</v>
      </c>
      <c r="R431" s="152" t="s">
        <v>6007</v>
      </c>
      <c r="S431" s="152" t="s">
        <v>6008</v>
      </c>
      <c r="T431" s="152" t="s">
        <v>6009</v>
      </c>
      <c r="U431" s="152" t="s">
        <v>786</v>
      </c>
    </row>
    <row r="432" spans="4:21">
      <c r="D432" s="152" t="s">
        <v>2821</v>
      </c>
      <c r="E432" s="821" t="s">
        <v>676</v>
      </c>
      <c r="F432" s="684" t="str">
        <f>+VLOOKUP(G432,Resumen_Base!$C$8:$G$156,5,0)</f>
        <v>Shop</v>
      </c>
      <c r="G432" s="474" t="s">
        <v>293</v>
      </c>
      <c r="H432" s="210" t="s">
        <v>294</v>
      </c>
      <c r="I432" s="152" t="str">
        <f t="shared" si="6"/>
        <v>CAR4104</v>
      </c>
      <c r="J432" s="513">
        <v>-56200</v>
      </c>
      <c r="K432" s="513">
        <v>-40</v>
      </c>
      <c r="L432" s="513">
        <v>1405</v>
      </c>
      <c r="M432" s="513" t="s">
        <v>5975</v>
      </c>
      <c r="N432" s="513" t="s">
        <v>1566</v>
      </c>
      <c r="O432" s="513" t="s">
        <v>1407</v>
      </c>
      <c r="P432" s="518" t="s">
        <v>6006</v>
      </c>
      <c r="Q432" s="152" t="s">
        <v>5895</v>
      </c>
      <c r="R432" s="152" t="s">
        <v>6007</v>
      </c>
      <c r="S432" s="152" t="s">
        <v>6008</v>
      </c>
      <c r="T432" s="152" t="s">
        <v>6009</v>
      </c>
      <c r="U432" s="152" t="s">
        <v>786</v>
      </c>
    </row>
    <row r="433" spans="4:21">
      <c r="D433" s="152" t="s">
        <v>2821</v>
      </c>
      <c r="E433" s="821" t="s">
        <v>676</v>
      </c>
      <c r="F433" s="684" t="str">
        <f>+VLOOKUP(G433,Resumen_Base!$C$8:$G$156,5,0)</f>
        <v>Shop</v>
      </c>
      <c r="G433" s="474" t="s">
        <v>293</v>
      </c>
      <c r="H433" s="210" t="s">
        <v>294</v>
      </c>
      <c r="I433" s="152" t="str">
        <f t="shared" si="6"/>
        <v>CAR4104</v>
      </c>
      <c r="J433" s="513">
        <v>-168600</v>
      </c>
      <c r="K433" s="513">
        <v>-120</v>
      </c>
      <c r="L433" s="513">
        <v>1405</v>
      </c>
      <c r="M433" s="513" t="s">
        <v>5975</v>
      </c>
      <c r="N433" s="513" t="s">
        <v>1566</v>
      </c>
      <c r="O433" s="513" t="s">
        <v>1407</v>
      </c>
      <c r="P433" s="518" t="s">
        <v>6010</v>
      </c>
      <c r="Q433" s="152" t="s">
        <v>5895</v>
      </c>
      <c r="R433" s="152" t="s">
        <v>6011</v>
      </c>
      <c r="S433" s="152" t="s">
        <v>6008</v>
      </c>
      <c r="T433" s="152" t="s">
        <v>6012</v>
      </c>
      <c r="U433" s="152" t="s">
        <v>786</v>
      </c>
    </row>
    <row r="434" spans="4:21">
      <c r="D434" s="152" t="s">
        <v>2821</v>
      </c>
      <c r="E434" s="821" t="s">
        <v>676</v>
      </c>
      <c r="F434" s="684" t="str">
        <f>+VLOOKUP(G434,Resumen_Base!$C$8:$G$156,5,0)</f>
        <v>Shop</v>
      </c>
      <c r="G434" s="474" t="s">
        <v>293</v>
      </c>
      <c r="H434" s="210" t="s">
        <v>294</v>
      </c>
      <c r="I434" s="152" t="str">
        <f t="shared" si="6"/>
        <v>CAR4104</v>
      </c>
      <c r="J434" s="513">
        <v>-126450</v>
      </c>
      <c r="K434" s="513">
        <v>-90</v>
      </c>
      <c r="L434" s="513">
        <v>1405</v>
      </c>
      <c r="M434" s="513" t="s">
        <v>6059</v>
      </c>
      <c r="N434" s="513" t="s">
        <v>1566</v>
      </c>
      <c r="O434" s="513" t="s">
        <v>1407</v>
      </c>
      <c r="P434" s="518" t="s">
        <v>6238</v>
      </c>
      <c r="Q434" s="152" t="s">
        <v>5895</v>
      </c>
      <c r="R434" s="152" t="s">
        <v>6239</v>
      </c>
      <c r="S434" s="152" t="s">
        <v>6240</v>
      </c>
      <c r="T434" s="152" t="s">
        <v>6241</v>
      </c>
      <c r="U434" s="152" t="s">
        <v>786</v>
      </c>
    </row>
    <row r="435" spans="4:21">
      <c r="D435" s="152" t="s">
        <v>2821</v>
      </c>
      <c r="E435" s="821" t="s">
        <v>676</v>
      </c>
      <c r="F435" s="684" t="str">
        <f>+VLOOKUP(G435,Resumen_Base!$C$8:$G$156,5,0)</f>
        <v>Shop</v>
      </c>
      <c r="G435" s="474" t="s">
        <v>293</v>
      </c>
      <c r="H435" s="210" t="s">
        <v>294</v>
      </c>
      <c r="I435" s="152" t="str">
        <f t="shared" si="6"/>
        <v>CAR4104</v>
      </c>
      <c r="J435" s="513">
        <v>-126450</v>
      </c>
      <c r="K435" s="513">
        <v>-90</v>
      </c>
      <c r="L435" s="513">
        <v>1405</v>
      </c>
      <c r="M435" s="513" t="s">
        <v>6059</v>
      </c>
      <c r="N435" s="513" t="s">
        <v>1566</v>
      </c>
      <c r="O435" s="513" t="s">
        <v>1407</v>
      </c>
      <c r="P435" s="518" t="s">
        <v>6248</v>
      </c>
      <c r="Q435" s="152" t="s">
        <v>5895</v>
      </c>
      <c r="R435" s="152" t="s">
        <v>6249</v>
      </c>
      <c r="S435" s="152" t="s">
        <v>6240</v>
      </c>
      <c r="T435" s="152" t="s">
        <v>6250</v>
      </c>
      <c r="U435" s="152" t="s">
        <v>786</v>
      </c>
    </row>
    <row r="436" spans="4:21">
      <c r="D436" s="152" t="s">
        <v>2821</v>
      </c>
      <c r="E436" s="821" t="s">
        <v>676</v>
      </c>
      <c r="F436" s="684" t="str">
        <f>+VLOOKUP(G436,Resumen_Base!$C$8:$G$156,5,0)</f>
        <v>Shop</v>
      </c>
      <c r="G436" s="474" t="s">
        <v>293</v>
      </c>
      <c r="H436" s="210" t="s">
        <v>294</v>
      </c>
      <c r="I436" s="152" t="str">
        <f t="shared" si="6"/>
        <v>CAR4104</v>
      </c>
      <c r="J436" s="513">
        <v>-126450</v>
      </c>
      <c r="K436" s="513">
        <v>-90</v>
      </c>
      <c r="L436" s="513">
        <v>1405</v>
      </c>
      <c r="M436" s="513" t="s">
        <v>6059</v>
      </c>
      <c r="N436" s="513" t="s">
        <v>1566</v>
      </c>
      <c r="O436" s="513" t="s">
        <v>1407</v>
      </c>
      <c r="P436" s="518" t="s">
        <v>6254</v>
      </c>
      <c r="Q436" s="152" t="s">
        <v>5895</v>
      </c>
      <c r="R436" s="152" t="s">
        <v>6255</v>
      </c>
      <c r="S436" s="152" t="s">
        <v>6240</v>
      </c>
      <c r="T436" s="152" t="s">
        <v>6256</v>
      </c>
      <c r="U436" s="152" t="s">
        <v>786</v>
      </c>
    </row>
    <row r="437" spans="4:21">
      <c r="D437" s="152" t="s">
        <v>2821</v>
      </c>
      <c r="E437" s="821" t="s">
        <v>676</v>
      </c>
      <c r="F437" s="684" t="str">
        <f>+VLOOKUP(G437,Resumen_Base!$C$8:$G$156,5,0)</f>
        <v>Shop</v>
      </c>
      <c r="G437" s="474" t="s">
        <v>293</v>
      </c>
      <c r="H437" s="210" t="s">
        <v>294</v>
      </c>
      <c r="I437" s="152" t="str">
        <f t="shared" si="6"/>
        <v>CAR4104</v>
      </c>
      <c r="J437" s="513">
        <v>-126450</v>
      </c>
      <c r="K437" s="513">
        <v>-90</v>
      </c>
      <c r="L437" s="513">
        <v>1405</v>
      </c>
      <c r="M437" s="513" t="s">
        <v>6059</v>
      </c>
      <c r="N437" s="513" t="s">
        <v>1566</v>
      </c>
      <c r="O437" s="513" t="s">
        <v>1407</v>
      </c>
      <c r="P437" s="518" t="s">
        <v>6254</v>
      </c>
      <c r="Q437" s="152" t="s">
        <v>5895</v>
      </c>
      <c r="R437" s="152" t="s">
        <v>6255</v>
      </c>
      <c r="S437" s="152" t="s">
        <v>6240</v>
      </c>
      <c r="T437" s="152" t="s">
        <v>6256</v>
      </c>
      <c r="U437" s="152" t="s">
        <v>786</v>
      </c>
    </row>
    <row r="438" spans="4:21">
      <c r="D438" s="152" t="s">
        <v>2821</v>
      </c>
      <c r="E438" s="821" t="s">
        <v>676</v>
      </c>
      <c r="F438" s="684" t="str">
        <f>+VLOOKUP(G438,Resumen_Base!$C$8:$G$156,5,0)</f>
        <v>Shop</v>
      </c>
      <c r="G438" s="474" t="s">
        <v>293</v>
      </c>
      <c r="H438" s="210" t="s">
        <v>294</v>
      </c>
      <c r="I438" s="152" t="str">
        <f t="shared" si="6"/>
        <v>CAR4104</v>
      </c>
      <c r="J438" s="513">
        <v>-91325</v>
      </c>
      <c r="K438" s="513">
        <v>-65</v>
      </c>
      <c r="L438" s="513">
        <v>1405</v>
      </c>
      <c r="M438" s="513" t="s">
        <v>6059</v>
      </c>
      <c r="N438" s="513" t="s">
        <v>1566</v>
      </c>
      <c r="O438" s="513" t="s">
        <v>1407</v>
      </c>
      <c r="P438" s="518" t="s">
        <v>6257</v>
      </c>
      <c r="Q438" s="152" t="s">
        <v>5895</v>
      </c>
      <c r="R438" s="152" t="s">
        <v>6258</v>
      </c>
      <c r="S438" s="152" t="s">
        <v>6259</v>
      </c>
      <c r="T438" s="152" t="s">
        <v>6260</v>
      </c>
      <c r="U438" s="152" t="s">
        <v>786</v>
      </c>
    </row>
    <row r="439" spans="4:21">
      <c r="D439" s="152" t="s">
        <v>2821</v>
      </c>
      <c r="E439" s="821" t="s">
        <v>676</v>
      </c>
      <c r="F439" s="684" t="str">
        <f>+VLOOKUP(G439,Resumen_Base!$C$8:$G$156,5,0)</f>
        <v>Shop</v>
      </c>
      <c r="G439" s="474" t="s">
        <v>293</v>
      </c>
      <c r="H439" s="210" t="s">
        <v>294</v>
      </c>
      <c r="I439" s="152" t="str">
        <f t="shared" si="6"/>
        <v>CAR4104</v>
      </c>
      <c r="J439" s="513">
        <v>-56200</v>
      </c>
      <c r="K439" s="513">
        <v>-40</v>
      </c>
      <c r="L439" s="513">
        <v>1405</v>
      </c>
      <c r="M439" s="513" t="s">
        <v>6059</v>
      </c>
      <c r="N439" s="513" t="s">
        <v>1566</v>
      </c>
      <c r="O439" s="513" t="s">
        <v>1407</v>
      </c>
      <c r="P439" s="518" t="s">
        <v>6264</v>
      </c>
      <c r="Q439" s="152" t="s">
        <v>5895</v>
      </c>
      <c r="R439" s="152" t="s">
        <v>6265</v>
      </c>
      <c r="S439" s="152" t="s">
        <v>6259</v>
      </c>
      <c r="T439" s="152" t="s">
        <v>6266</v>
      </c>
      <c r="U439" s="152" t="s">
        <v>786</v>
      </c>
    </row>
    <row r="440" spans="4:21">
      <c r="D440" s="152" t="s">
        <v>2821</v>
      </c>
      <c r="E440" s="821" t="s">
        <v>676</v>
      </c>
      <c r="F440" s="684" t="str">
        <f>+VLOOKUP(G440,Resumen_Base!$C$8:$G$156,5,0)</f>
        <v>Shop</v>
      </c>
      <c r="G440" s="474" t="s">
        <v>293</v>
      </c>
      <c r="H440" s="210" t="s">
        <v>294</v>
      </c>
      <c r="I440" s="152" t="str">
        <f t="shared" si="6"/>
        <v>CAR4104</v>
      </c>
      <c r="J440" s="513">
        <v>-56200</v>
      </c>
      <c r="K440" s="513">
        <v>-40</v>
      </c>
      <c r="L440" s="513">
        <v>1405</v>
      </c>
      <c r="M440" s="513" t="s">
        <v>6059</v>
      </c>
      <c r="N440" s="513" t="s">
        <v>1566</v>
      </c>
      <c r="O440" s="513" t="s">
        <v>1407</v>
      </c>
      <c r="P440" s="518" t="s">
        <v>6264</v>
      </c>
      <c r="Q440" s="152" t="s">
        <v>5895</v>
      </c>
      <c r="R440" s="152" t="s">
        <v>6265</v>
      </c>
      <c r="S440" s="152" t="s">
        <v>6259</v>
      </c>
      <c r="T440" s="152" t="s">
        <v>6266</v>
      </c>
      <c r="U440" s="152" t="s">
        <v>786</v>
      </c>
    </row>
    <row r="441" spans="4:21">
      <c r="D441" s="152" t="s">
        <v>2821</v>
      </c>
      <c r="E441" s="821" t="s">
        <v>676</v>
      </c>
      <c r="F441" s="684" t="str">
        <f>+VLOOKUP(G441,Resumen_Base!$C$8:$G$156,5,0)</f>
        <v>Shop</v>
      </c>
      <c r="G441" s="474" t="s">
        <v>293</v>
      </c>
      <c r="H441" s="210" t="s">
        <v>294</v>
      </c>
      <c r="I441" s="152" t="str">
        <f t="shared" si="6"/>
        <v>CAR4104</v>
      </c>
      <c r="J441" s="513">
        <v>-91325</v>
      </c>
      <c r="K441" s="513">
        <v>-65</v>
      </c>
      <c r="L441" s="513">
        <v>1405</v>
      </c>
      <c r="M441" s="513" t="s">
        <v>6059</v>
      </c>
      <c r="N441" s="513" t="s">
        <v>1566</v>
      </c>
      <c r="O441" s="513" t="s">
        <v>1407</v>
      </c>
      <c r="P441" s="518" t="s">
        <v>6264</v>
      </c>
      <c r="Q441" s="152" t="s">
        <v>5895</v>
      </c>
      <c r="R441" s="152" t="s">
        <v>6265</v>
      </c>
      <c r="S441" s="152" t="s">
        <v>6259</v>
      </c>
      <c r="T441" s="152" t="s">
        <v>6266</v>
      </c>
      <c r="U441" s="152" t="s">
        <v>786</v>
      </c>
    </row>
    <row r="442" spans="4:21">
      <c r="D442" s="152" t="s">
        <v>2821</v>
      </c>
      <c r="E442" s="821" t="s">
        <v>676</v>
      </c>
      <c r="F442" s="684" t="str">
        <f>+VLOOKUP(G442,Resumen_Base!$C$8:$G$156,5,0)</f>
        <v>Shop</v>
      </c>
      <c r="G442" s="474" t="s">
        <v>293</v>
      </c>
      <c r="H442" s="210" t="s">
        <v>294</v>
      </c>
      <c r="I442" s="152" t="str">
        <f t="shared" si="6"/>
        <v>CAR4104</v>
      </c>
      <c r="J442" s="513">
        <v>-126450</v>
      </c>
      <c r="K442" s="513">
        <v>-90</v>
      </c>
      <c r="L442" s="513">
        <v>1405</v>
      </c>
      <c r="M442" s="513" t="s">
        <v>6059</v>
      </c>
      <c r="N442" s="513" t="s">
        <v>1566</v>
      </c>
      <c r="O442" s="513" t="s">
        <v>1407</v>
      </c>
      <c r="P442" s="518" t="s">
        <v>6264</v>
      </c>
      <c r="Q442" s="152" t="s">
        <v>5895</v>
      </c>
      <c r="R442" s="152" t="s">
        <v>6265</v>
      </c>
      <c r="S442" s="152" t="s">
        <v>6259</v>
      </c>
      <c r="T442" s="152" t="s">
        <v>6266</v>
      </c>
      <c r="U442" s="152" t="s">
        <v>786</v>
      </c>
    </row>
    <row r="443" spans="4:21">
      <c r="D443" s="152" t="s">
        <v>2821</v>
      </c>
      <c r="E443" s="821" t="s">
        <v>676</v>
      </c>
      <c r="F443" s="684" t="str">
        <f>+VLOOKUP(G443,Resumen_Base!$C$8:$G$156,5,0)</f>
        <v>Shop</v>
      </c>
      <c r="G443" s="474" t="s">
        <v>293</v>
      </c>
      <c r="H443" s="210" t="s">
        <v>294</v>
      </c>
      <c r="I443" s="152" t="str">
        <f t="shared" si="6"/>
        <v>CAR4104</v>
      </c>
      <c r="J443" s="513">
        <v>-49175</v>
      </c>
      <c r="K443" s="513">
        <v>-35</v>
      </c>
      <c r="L443" s="513">
        <v>1405</v>
      </c>
      <c r="M443" s="513" t="s">
        <v>6059</v>
      </c>
      <c r="N443" s="513" t="s">
        <v>1566</v>
      </c>
      <c r="O443" s="513" t="s">
        <v>1407</v>
      </c>
      <c r="P443" s="518" t="s">
        <v>6264</v>
      </c>
      <c r="Q443" s="152" t="s">
        <v>5895</v>
      </c>
      <c r="R443" s="152" t="s">
        <v>6265</v>
      </c>
      <c r="S443" s="152" t="s">
        <v>6259</v>
      </c>
      <c r="T443" s="152" t="s">
        <v>6266</v>
      </c>
      <c r="U443" s="152" t="s">
        <v>786</v>
      </c>
    </row>
    <row r="444" spans="4:21">
      <c r="D444" s="152" t="s">
        <v>2821</v>
      </c>
      <c r="E444" s="821" t="s">
        <v>676</v>
      </c>
      <c r="F444" s="684" t="str">
        <f>+VLOOKUP(G444,Resumen_Base!$C$8:$G$156,5,0)</f>
        <v>Shop</v>
      </c>
      <c r="G444" s="474" t="s">
        <v>293</v>
      </c>
      <c r="H444" s="210" t="s">
        <v>294</v>
      </c>
      <c r="I444" s="152" t="str">
        <f t="shared" si="6"/>
        <v>CAR4104</v>
      </c>
      <c r="J444" s="513">
        <v>-56200</v>
      </c>
      <c r="K444" s="513">
        <v>-40</v>
      </c>
      <c r="L444" s="513">
        <v>1405</v>
      </c>
      <c r="M444" s="513" t="s">
        <v>6303</v>
      </c>
      <c r="N444" s="513" t="s">
        <v>1566</v>
      </c>
      <c r="O444" s="513" t="s">
        <v>1407</v>
      </c>
      <c r="P444" s="518" t="s">
        <v>6587</v>
      </c>
      <c r="Q444" s="152" t="s">
        <v>5895</v>
      </c>
      <c r="R444" s="152" t="s">
        <v>6588</v>
      </c>
      <c r="S444" s="152" t="s">
        <v>6589</v>
      </c>
      <c r="T444" s="152" t="s">
        <v>6590</v>
      </c>
      <c r="U444" s="152" t="s">
        <v>786</v>
      </c>
    </row>
    <row r="445" spans="4:21">
      <c r="D445" s="152" t="s">
        <v>2821</v>
      </c>
      <c r="E445" s="821" t="s">
        <v>676</v>
      </c>
      <c r="F445" s="684" t="str">
        <f>+VLOOKUP(G445,Resumen_Base!$C$8:$G$156,5,0)</f>
        <v>Shop</v>
      </c>
      <c r="G445" s="474" t="s">
        <v>293</v>
      </c>
      <c r="H445" s="210" t="s">
        <v>294</v>
      </c>
      <c r="I445" s="152" t="str">
        <f t="shared" si="6"/>
        <v>CAR4104</v>
      </c>
      <c r="J445" s="513">
        <v>-112400</v>
      </c>
      <c r="K445" s="513">
        <v>-80</v>
      </c>
      <c r="L445" s="513">
        <v>1405</v>
      </c>
      <c r="M445" s="513" t="s">
        <v>6303</v>
      </c>
      <c r="N445" s="513" t="s">
        <v>1566</v>
      </c>
      <c r="O445" s="513" t="s">
        <v>1407</v>
      </c>
      <c r="P445" s="518" t="s">
        <v>6587</v>
      </c>
      <c r="Q445" s="152" t="s">
        <v>5895</v>
      </c>
      <c r="R445" s="152" t="s">
        <v>6588</v>
      </c>
      <c r="S445" s="152" t="s">
        <v>6589</v>
      </c>
      <c r="T445" s="152" t="s">
        <v>6590</v>
      </c>
      <c r="U445" s="152" t="s">
        <v>786</v>
      </c>
    </row>
    <row r="446" spans="4:21">
      <c r="D446" s="152" t="s">
        <v>2821</v>
      </c>
      <c r="E446" s="821" t="s">
        <v>676</v>
      </c>
      <c r="F446" s="684" t="str">
        <f>+VLOOKUP(G446,Resumen_Base!$C$8:$G$156,5,0)</f>
        <v>Shop</v>
      </c>
      <c r="G446" s="474" t="s">
        <v>293</v>
      </c>
      <c r="H446" s="210" t="s">
        <v>294</v>
      </c>
      <c r="I446" s="152" t="str">
        <f t="shared" si="6"/>
        <v>CAR4104</v>
      </c>
      <c r="J446" s="513">
        <v>-98350</v>
      </c>
      <c r="K446" s="513">
        <v>-70</v>
      </c>
      <c r="L446" s="513">
        <v>1405</v>
      </c>
      <c r="M446" s="513" t="s">
        <v>6303</v>
      </c>
      <c r="N446" s="513" t="s">
        <v>1566</v>
      </c>
      <c r="O446" s="513" t="s">
        <v>1407</v>
      </c>
      <c r="P446" s="518" t="s">
        <v>6610</v>
      </c>
      <c r="Q446" s="152" t="s">
        <v>5895</v>
      </c>
      <c r="R446" s="152" t="s">
        <v>6611</v>
      </c>
      <c r="S446" s="152" t="s">
        <v>6612</v>
      </c>
      <c r="T446" s="152" t="s">
        <v>6613</v>
      </c>
      <c r="U446" s="152" t="s">
        <v>786</v>
      </c>
    </row>
    <row r="447" spans="4:21">
      <c r="D447" s="152" t="s">
        <v>2821</v>
      </c>
      <c r="E447" s="821" t="s">
        <v>676</v>
      </c>
      <c r="F447" s="684" t="str">
        <f>+VLOOKUP(G447,Resumen_Base!$C$8:$G$156,5,0)</f>
        <v>Shop</v>
      </c>
      <c r="G447" s="474" t="s">
        <v>293</v>
      </c>
      <c r="H447" s="210" t="s">
        <v>294</v>
      </c>
      <c r="I447" s="152" t="str">
        <f t="shared" si="6"/>
        <v>CAR4104</v>
      </c>
      <c r="J447" s="513">
        <v>-56200</v>
      </c>
      <c r="K447" s="513">
        <v>-40</v>
      </c>
      <c r="L447" s="513">
        <v>1405</v>
      </c>
      <c r="M447" s="513" t="s">
        <v>6303</v>
      </c>
      <c r="N447" s="513" t="s">
        <v>1566</v>
      </c>
      <c r="O447" s="513" t="s">
        <v>1407</v>
      </c>
      <c r="P447" s="518" t="s">
        <v>6614</v>
      </c>
      <c r="Q447" s="152" t="s">
        <v>5895</v>
      </c>
      <c r="R447" s="152" t="s">
        <v>6615</v>
      </c>
      <c r="S447" s="152" t="s">
        <v>6612</v>
      </c>
      <c r="T447" s="152" t="s">
        <v>6616</v>
      </c>
      <c r="U447" s="152" t="s">
        <v>786</v>
      </c>
    </row>
    <row r="448" spans="4:21">
      <c r="D448" s="152" t="s">
        <v>2821</v>
      </c>
      <c r="E448" s="821" t="s">
        <v>676</v>
      </c>
      <c r="F448" s="684" t="str">
        <f>+VLOOKUP(G448,Resumen_Base!$C$8:$G$156,5,0)</f>
        <v>Shop</v>
      </c>
      <c r="G448" s="474" t="s">
        <v>293</v>
      </c>
      <c r="H448" s="210" t="s">
        <v>294</v>
      </c>
      <c r="I448" s="152" t="str">
        <f t="shared" si="6"/>
        <v>CAR4104</v>
      </c>
      <c r="J448" s="513">
        <v>-56200</v>
      </c>
      <c r="K448" s="513">
        <v>-40</v>
      </c>
      <c r="L448" s="513">
        <v>1405</v>
      </c>
      <c r="M448" s="513" t="s">
        <v>6303</v>
      </c>
      <c r="N448" s="513" t="s">
        <v>1566</v>
      </c>
      <c r="O448" s="513" t="s">
        <v>1407</v>
      </c>
      <c r="P448" s="518" t="s">
        <v>6614</v>
      </c>
      <c r="Q448" s="152" t="s">
        <v>5895</v>
      </c>
      <c r="R448" s="152" t="s">
        <v>6615</v>
      </c>
      <c r="S448" s="152" t="s">
        <v>6612</v>
      </c>
      <c r="T448" s="152" t="s">
        <v>6616</v>
      </c>
      <c r="U448" s="152" t="s">
        <v>786</v>
      </c>
    </row>
    <row r="449" spans="4:21">
      <c r="D449" s="152" t="s">
        <v>2821</v>
      </c>
      <c r="E449" s="821" t="s">
        <v>676</v>
      </c>
      <c r="F449" s="684" t="str">
        <f>+VLOOKUP(G449,Resumen_Base!$C$8:$G$156,5,0)</f>
        <v>Shop</v>
      </c>
      <c r="G449" s="474" t="s">
        <v>293</v>
      </c>
      <c r="H449" s="210" t="s">
        <v>294</v>
      </c>
      <c r="I449" s="152" t="str">
        <f t="shared" si="6"/>
        <v>CAR4104</v>
      </c>
      <c r="J449" s="513">
        <v>-126450</v>
      </c>
      <c r="K449" s="513">
        <v>-90</v>
      </c>
      <c r="L449" s="513">
        <v>1405</v>
      </c>
      <c r="M449" s="513" t="s">
        <v>6303</v>
      </c>
      <c r="N449" s="513" t="s">
        <v>1566</v>
      </c>
      <c r="O449" s="513" t="s">
        <v>1407</v>
      </c>
      <c r="P449" s="518" t="s">
        <v>6614</v>
      </c>
      <c r="Q449" s="152" t="s">
        <v>5895</v>
      </c>
      <c r="R449" s="152" t="s">
        <v>6615</v>
      </c>
      <c r="S449" s="152" t="s">
        <v>6612</v>
      </c>
      <c r="T449" s="152" t="s">
        <v>6616</v>
      </c>
      <c r="U449" s="152" t="s">
        <v>786</v>
      </c>
    </row>
    <row r="450" spans="4:21">
      <c r="D450" s="152" t="s">
        <v>2821</v>
      </c>
      <c r="E450" s="821" t="s">
        <v>676</v>
      </c>
      <c r="F450" s="684" t="str">
        <f>+VLOOKUP(G450,Resumen_Base!$C$8:$G$156,5,0)</f>
        <v>Shop</v>
      </c>
      <c r="G450" s="474" t="s">
        <v>293</v>
      </c>
      <c r="H450" s="210" t="s">
        <v>294</v>
      </c>
      <c r="I450" s="152" t="str">
        <f t="shared" si="6"/>
        <v>CAR4104</v>
      </c>
      <c r="J450" s="513">
        <v>-126450</v>
      </c>
      <c r="K450" s="513">
        <v>-90</v>
      </c>
      <c r="L450" s="513">
        <v>1405</v>
      </c>
      <c r="M450" s="513" t="s">
        <v>6303</v>
      </c>
      <c r="N450" s="513" t="s">
        <v>1566</v>
      </c>
      <c r="O450" s="513" t="s">
        <v>1407</v>
      </c>
      <c r="P450" s="518" t="s">
        <v>6620</v>
      </c>
      <c r="Q450" s="152" t="s">
        <v>5895</v>
      </c>
      <c r="R450" s="152" t="s">
        <v>6621</v>
      </c>
      <c r="S450" s="152" t="s">
        <v>6612</v>
      </c>
      <c r="T450" s="152" t="s">
        <v>6622</v>
      </c>
      <c r="U450" s="152" t="s">
        <v>786</v>
      </c>
    </row>
    <row r="451" spans="4:21">
      <c r="D451" s="152" t="s">
        <v>2821</v>
      </c>
      <c r="E451" s="821" t="s">
        <v>676</v>
      </c>
      <c r="F451" s="684" t="str">
        <f>+VLOOKUP(G451,Resumen_Base!$C$8:$G$156,5,0)</f>
        <v>Shop</v>
      </c>
      <c r="G451" s="474" t="s">
        <v>293</v>
      </c>
      <c r="H451" s="210" t="s">
        <v>294</v>
      </c>
      <c r="I451" s="152" t="str">
        <f t="shared" si="6"/>
        <v>CAR4104</v>
      </c>
      <c r="J451" s="513">
        <v>-44960</v>
      </c>
      <c r="K451" s="513">
        <v>-32</v>
      </c>
      <c r="L451" s="513">
        <v>1405</v>
      </c>
      <c r="M451" s="513" t="s">
        <v>6303</v>
      </c>
      <c r="N451" s="513" t="s">
        <v>1566</v>
      </c>
      <c r="O451" s="513" t="s">
        <v>1407</v>
      </c>
      <c r="P451" s="518" t="s">
        <v>6623</v>
      </c>
      <c r="Q451" s="152" t="s">
        <v>5895</v>
      </c>
      <c r="R451" s="152" t="s">
        <v>6624</v>
      </c>
      <c r="S451" s="152" t="s">
        <v>6612</v>
      </c>
      <c r="T451" s="152" t="s">
        <v>6625</v>
      </c>
      <c r="U451" s="152" t="s">
        <v>786</v>
      </c>
    </row>
    <row r="452" spans="4:21">
      <c r="D452" s="152" t="s">
        <v>2821</v>
      </c>
      <c r="E452" s="821" t="s">
        <v>676</v>
      </c>
      <c r="F452" s="684" t="str">
        <f>+VLOOKUP(G452,Resumen_Base!$C$8:$G$156,5,0)</f>
        <v>Shop</v>
      </c>
      <c r="G452" s="474" t="s">
        <v>293</v>
      </c>
      <c r="H452" s="210" t="s">
        <v>294</v>
      </c>
      <c r="I452" s="152" t="str">
        <f t="shared" si="6"/>
        <v>CAR4104</v>
      </c>
      <c r="J452" s="513">
        <v>-91325</v>
      </c>
      <c r="K452" s="513">
        <v>-65</v>
      </c>
      <c r="L452" s="513">
        <v>1405</v>
      </c>
      <c r="M452" s="513" t="s">
        <v>6303</v>
      </c>
      <c r="N452" s="513" t="s">
        <v>1566</v>
      </c>
      <c r="O452" s="513" t="s">
        <v>1407</v>
      </c>
      <c r="P452" s="518" t="s">
        <v>6626</v>
      </c>
      <c r="Q452" s="152" t="s">
        <v>5895</v>
      </c>
      <c r="R452" s="152" t="s">
        <v>6627</v>
      </c>
      <c r="S452" s="152" t="s">
        <v>6612</v>
      </c>
      <c r="T452" s="152" t="s">
        <v>6628</v>
      </c>
      <c r="U452" s="152" t="s">
        <v>786</v>
      </c>
    </row>
    <row r="453" spans="4:21">
      <c r="D453" s="152" t="s">
        <v>2821</v>
      </c>
      <c r="E453" s="821" t="s">
        <v>676</v>
      </c>
      <c r="F453" s="684" t="str">
        <f>+VLOOKUP(G453,Resumen_Base!$C$8:$G$156,5,0)</f>
        <v>Shop</v>
      </c>
      <c r="G453" s="474" t="s">
        <v>293</v>
      </c>
      <c r="H453" s="210" t="s">
        <v>294</v>
      </c>
      <c r="I453" s="152" t="str">
        <f t="shared" si="6"/>
        <v>CAR4104</v>
      </c>
      <c r="J453" s="513">
        <v>-168600</v>
      </c>
      <c r="K453" s="513">
        <v>-120</v>
      </c>
      <c r="L453" s="513">
        <v>1405</v>
      </c>
      <c r="M453" s="513" t="s">
        <v>6303</v>
      </c>
      <c r="N453" s="513" t="s">
        <v>1566</v>
      </c>
      <c r="O453" s="513" t="s">
        <v>1407</v>
      </c>
      <c r="P453" s="518" t="s">
        <v>6626</v>
      </c>
      <c r="Q453" s="152" t="s">
        <v>5895</v>
      </c>
      <c r="R453" s="152" t="s">
        <v>6627</v>
      </c>
      <c r="S453" s="152" t="s">
        <v>6612</v>
      </c>
      <c r="T453" s="152" t="s">
        <v>6628</v>
      </c>
      <c r="U453" s="152" t="s">
        <v>786</v>
      </c>
    </row>
    <row r="454" spans="4:21">
      <c r="D454" s="152" t="s">
        <v>2821</v>
      </c>
      <c r="E454" s="821" t="s">
        <v>676</v>
      </c>
      <c r="F454" s="684" t="str">
        <f>+VLOOKUP(G454,Resumen_Base!$C$8:$G$156,5,0)</f>
        <v>Shop</v>
      </c>
      <c r="G454" s="474" t="s">
        <v>293</v>
      </c>
      <c r="H454" s="210" t="s">
        <v>294</v>
      </c>
      <c r="I454" s="152" t="str">
        <f t="shared" si="6"/>
        <v>CAR4104</v>
      </c>
      <c r="J454" s="513">
        <v>-140500</v>
      </c>
      <c r="K454" s="513">
        <v>-100</v>
      </c>
      <c r="L454" s="513">
        <v>1405</v>
      </c>
      <c r="M454" s="513" t="s">
        <v>6303</v>
      </c>
      <c r="N454" s="513" t="s">
        <v>1566</v>
      </c>
      <c r="O454" s="513" t="s">
        <v>1407</v>
      </c>
      <c r="P454" s="518" t="s">
        <v>6626</v>
      </c>
      <c r="Q454" s="152" t="s">
        <v>5895</v>
      </c>
      <c r="R454" s="152" t="s">
        <v>6627</v>
      </c>
      <c r="S454" s="152" t="s">
        <v>6612</v>
      </c>
      <c r="T454" s="152" t="s">
        <v>6628</v>
      </c>
      <c r="U454" s="152" t="s">
        <v>786</v>
      </c>
    </row>
    <row r="455" spans="4:21">
      <c r="D455" s="152" t="s">
        <v>2821</v>
      </c>
      <c r="E455" s="821" t="s">
        <v>676</v>
      </c>
      <c r="F455" s="684" t="str">
        <f>+VLOOKUP(G455,Resumen_Base!$C$8:$G$156,5,0)</f>
        <v>Shop</v>
      </c>
      <c r="G455" s="474" t="s">
        <v>293</v>
      </c>
      <c r="H455" s="210" t="s">
        <v>294</v>
      </c>
      <c r="I455" s="152" t="str">
        <f t="shared" si="6"/>
        <v>CAR4104</v>
      </c>
      <c r="J455" s="513">
        <v>-91325</v>
      </c>
      <c r="K455" s="513">
        <v>-65</v>
      </c>
      <c r="L455" s="513">
        <v>1405</v>
      </c>
      <c r="M455" s="513" t="s">
        <v>6303</v>
      </c>
      <c r="N455" s="513" t="s">
        <v>1566</v>
      </c>
      <c r="O455" s="513" t="s">
        <v>1407</v>
      </c>
      <c r="P455" s="518" t="s">
        <v>6629</v>
      </c>
      <c r="Q455" s="152" t="s">
        <v>5895</v>
      </c>
      <c r="R455" s="152" t="s">
        <v>6630</v>
      </c>
      <c r="S455" s="152" t="s">
        <v>6612</v>
      </c>
      <c r="T455" s="152" t="s">
        <v>6631</v>
      </c>
      <c r="U455" s="152" t="s">
        <v>786</v>
      </c>
    </row>
    <row r="456" spans="4:21">
      <c r="D456" s="152" t="s">
        <v>2821</v>
      </c>
      <c r="E456" s="821" t="s">
        <v>676</v>
      </c>
      <c r="F456" s="684" t="str">
        <f>+VLOOKUP(G456,Resumen_Base!$C$8:$G$156,5,0)</f>
        <v>Shop</v>
      </c>
      <c r="G456" s="474" t="s">
        <v>293</v>
      </c>
      <c r="H456" s="210" t="s">
        <v>294</v>
      </c>
      <c r="I456" s="152" t="str">
        <f t="shared" si="6"/>
        <v>CAR4104</v>
      </c>
      <c r="J456" s="513">
        <v>-105375</v>
      </c>
      <c r="K456" s="513">
        <v>-75</v>
      </c>
      <c r="L456" s="513">
        <v>1405</v>
      </c>
      <c r="M456" s="513" t="s">
        <v>6303</v>
      </c>
      <c r="N456" s="513" t="s">
        <v>1566</v>
      </c>
      <c r="O456" s="513" t="s">
        <v>1407</v>
      </c>
      <c r="P456" s="518" t="s">
        <v>6634</v>
      </c>
      <c r="Q456" s="152" t="s">
        <v>5895</v>
      </c>
      <c r="R456" s="152" t="s">
        <v>6635</v>
      </c>
      <c r="S456" s="152" t="s">
        <v>6612</v>
      </c>
      <c r="T456" s="152" t="s">
        <v>6636</v>
      </c>
      <c r="U456" s="152" t="s">
        <v>786</v>
      </c>
    </row>
    <row r="457" spans="4:21">
      <c r="D457" s="152" t="s">
        <v>2821</v>
      </c>
      <c r="E457" s="821" t="s">
        <v>676</v>
      </c>
      <c r="F457" s="684" t="str">
        <f>+VLOOKUP(G457,Resumen_Base!$C$8:$G$156,5,0)</f>
        <v>Shop</v>
      </c>
      <c r="G457" s="474" t="s">
        <v>293</v>
      </c>
      <c r="H457" s="210" t="s">
        <v>294</v>
      </c>
      <c r="I457" s="152" t="str">
        <f t="shared" si="6"/>
        <v>CAR4104</v>
      </c>
      <c r="J457" s="513">
        <v>-168600</v>
      </c>
      <c r="K457" s="513">
        <v>-120</v>
      </c>
      <c r="L457" s="513">
        <v>1405</v>
      </c>
      <c r="M457" s="513" t="s">
        <v>6303</v>
      </c>
      <c r="N457" s="513" t="s">
        <v>1566</v>
      </c>
      <c r="O457" s="513" t="s">
        <v>1407</v>
      </c>
      <c r="P457" s="518" t="s">
        <v>6634</v>
      </c>
      <c r="Q457" s="152" t="s">
        <v>5895</v>
      </c>
      <c r="R457" s="152" t="s">
        <v>6635</v>
      </c>
      <c r="S457" s="152" t="s">
        <v>6612</v>
      </c>
      <c r="T457" s="152" t="s">
        <v>6636</v>
      </c>
      <c r="U457" s="152" t="s">
        <v>786</v>
      </c>
    </row>
    <row r="458" spans="4:21" ht="25">
      <c r="D458" s="152" t="s">
        <v>2821</v>
      </c>
      <c r="E458" s="821" t="s">
        <v>676</v>
      </c>
      <c r="F458" s="684" t="str">
        <f>+VLOOKUP(G458,Resumen_Base!$C$8:$G$156,5,0)</f>
        <v>Social Security Contributions</v>
      </c>
      <c r="G458" s="474" t="s">
        <v>331</v>
      </c>
      <c r="H458" s="210" t="s">
        <v>332</v>
      </c>
      <c r="I458" s="152" t="str">
        <f t="shared" si="6"/>
        <v>CAR5236</v>
      </c>
      <c r="J458" s="513">
        <v>820871.25</v>
      </c>
      <c r="K458" s="513">
        <v>584.25</v>
      </c>
      <c r="L458" s="513">
        <v>1405</v>
      </c>
      <c r="M458" s="513" t="s">
        <v>6059</v>
      </c>
      <c r="N458" s="513" t="s">
        <v>780</v>
      </c>
      <c r="O458" s="513" t="s">
        <v>1407</v>
      </c>
      <c r="P458" s="518" t="s">
        <v>6114</v>
      </c>
      <c r="Q458" s="152" t="s">
        <v>5873</v>
      </c>
      <c r="R458" s="152" t="s">
        <v>6115</v>
      </c>
      <c r="S458" s="152" t="s">
        <v>6179</v>
      </c>
      <c r="T458" s="152" t="s">
        <v>6116</v>
      </c>
      <c r="U458" s="152" t="s">
        <v>786</v>
      </c>
    </row>
    <row r="459" spans="4:21" ht="25">
      <c r="D459" s="152" t="s">
        <v>2821</v>
      </c>
      <c r="E459" s="821" t="s">
        <v>676</v>
      </c>
      <c r="F459" s="684" t="str">
        <f>+VLOOKUP(G459,Resumen_Base!$C$8:$G$156,5,0)</f>
        <v>Social Security Contributions</v>
      </c>
      <c r="G459" s="474" t="s">
        <v>331</v>
      </c>
      <c r="H459" s="210" t="s">
        <v>332</v>
      </c>
      <c r="I459" s="152" t="str">
        <f t="shared" si="6"/>
        <v>CAR5236</v>
      </c>
      <c r="J459" s="513">
        <v>579562.5</v>
      </c>
      <c r="K459" s="513">
        <v>412.5</v>
      </c>
      <c r="L459" s="513">
        <v>1405</v>
      </c>
      <c r="M459" s="513" t="s">
        <v>6059</v>
      </c>
      <c r="N459" s="513" t="s">
        <v>780</v>
      </c>
      <c r="O459" s="513" t="s">
        <v>1407</v>
      </c>
      <c r="P459" s="518" t="s">
        <v>6114</v>
      </c>
      <c r="Q459" s="152" t="s">
        <v>5873</v>
      </c>
      <c r="R459" s="152" t="s">
        <v>6115</v>
      </c>
      <c r="S459" s="152" t="s">
        <v>6180</v>
      </c>
      <c r="T459" s="152" t="s">
        <v>6116</v>
      </c>
      <c r="U459" s="152" t="s">
        <v>786</v>
      </c>
    </row>
    <row r="460" spans="4:21" ht="25">
      <c r="D460" s="152" t="s">
        <v>2821</v>
      </c>
      <c r="E460" s="821" t="s">
        <v>676</v>
      </c>
      <c r="F460" s="684" t="str">
        <f>+VLOOKUP(G460,Resumen_Base!$C$8:$G$156,5,0)</f>
        <v>Social Security Contributions</v>
      </c>
      <c r="G460" s="474" t="s">
        <v>329</v>
      </c>
      <c r="H460" s="210" t="s">
        <v>330</v>
      </c>
      <c r="I460" s="152" t="str">
        <f t="shared" si="6"/>
        <v>CAR5235</v>
      </c>
      <c r="J460" s="513">
        <v>503622.25</v>
      </c>
      <c r="K460" s="513">
        <v>358.45</v>
      </c>
      <c r="L460" s="513">
        <v>1405</v>
      </c>
      <c r="M460" s="513" t="s">
        <v>6303</v>
      </c>
      <c r="N460" s="513" t="s">
        <v>780</v>
      </c>
      <c r="O460" s="513" t="s">
        <v>1407</v>
      </c>
      <c r="P460" s="518" t="s">
        <v>6484</v>
      </c>
      <c r="Q460" s="152" t="s">
        <v>5873</v>
      </c>
      <c r="R460" s="152" t="s">
        <v>6485</v>
      </c>
      <c r="S460" s="152" t="s">
        <v>1513</v>
      </c>
      <c r="T460" s="152" t="s">
        <v>6487</v>
      </c>
      <c r="U460" s="152" t="s">
        <v>786</v>
      </c>
    </row>
    <row r="461" spans="4:21" ht="25">
      <c r="D461" s="152" t="s">
        <v>2821</v>
      </c>
      <c r="E461" s="821" t="s">
        <v>676</v>
      </c>
      <c r="F461" s="684" t="str">
        <f>+VLOOKUP(G461,Resumen_Base!$C$8:$G$156,5,0)</f>
        <v>Social Security Contributions</v>
      </c>
      <c r="G461" s="474" t="s">
        <v>329</v>
      </c>
      <c r="H461" s="210" t="s">
        <v>330</v>
      </c>
      <c r="I461" s="152" t="str">
        <f t="shared" ref="I461:I524" si="7">+E461&amp;G461</f>
        <v>CAR5235</v>
      </c>
      <c r="J461" s="513">
        <v>4793045.0999999996</v>
      </c>
      <c r="K461" s="513">
        <v>3411.42</v>
      </c>
      <c r="L461" s="513">
        <v>1405</v>
      </c>
      <c r="M461" s="513" t="s">
        <v>6303</v>
      </c>
      <c r="N461" s="513" t="s">
        <v>780</v>
      </c>
      <c r="O461" s="513" t="s">
        <v>1407</v>
      </c>
      <c r="P461" s="518" t="s">
        <v>6484</v>
      </c>
      <c r="Q461" s="152" t="s">
        <v>5873</v>
      </c>
      <c r="R461" s="152" t="s">
        <v>6485</v>
      </c>
      <c r="S461" s="152" t="s">
        <v>2218</v>
      </c>
      <c r="T461" s="152" t="s">
        <v>6487</v>
      </c>
      <c r="U461" s="152" t="s">
        <v>786</v>
      </c>
    </row>
    <row r="462" spans="4:21">
      <c r="D462" s="152" t="s">
        <v>2821</v>
      </c>
      <c r="E462" s="821" t="s">
        <v>676</v>
      </c>
      <c r="F462" s="684" t="str">
        <f>+VLOOKUP(G462,Resumen_Base!$C$8:$G$156,5,0)</f>
        <v>Tips</v>
      </c>
      <c r="G462" s="474" t="s">
        <v>366</v>
      </c>
      <c r="H462" s="210" t="s">
        <v>367</v>
      </c>
      <c r="I462" s="152" t="str">
        <f t="shared" si="7"/>
        <v>CAR210609</v>
      </c>
      <c r="J462" s="513">
        <v>-421500</v>
      </c>
      <c r="K462" s="513">
        <v>-300</v>
      </c>
      <c r="L462" s="513">
        <v>1405</v>
      </c>
      <c r="M462" s="513" t="s">
        <v>5881</v>
      </c>
      <c r="N462" s="513" t="s">
        <v>1566</v>
      </c>
      <c r="O462" s="513" t="s">
        <v>1407</v>
      </c>
      <c r="P462" s="518" t="s">
        <v>5894</v>
      </c>
      <c r="Q462" s="152" t="s">
        <v>5895</v>
      </c>
      <c r="R462" s="152" t="s">
        <v>5896</v>
      </c>
      <c r="S462" s="152" t="s">
        <v>5897</v>
      </c>
      <c r="T462" s="152" t="s">
        <v>5898</v>
      </c>
      <c r="U462" s="152" t="s">
        <v>786</v>
      </c>
    </row>
    <row r="463" spans="4:21">
      <c r="D463" s="152" t="s">
        <v>2821</v>
      </c>
      <c r="E463" s="821" t="s">
        <v>676</v>
      </c>
      <c r="F463" s="684" t="str">
        <f>+VLOOKUP(G463,Resumen_Base!$C$8:$G$156,5,0)</f>
        <v>Tips</v>
      </c>
      <c r="G463" s="474" t="s">
        <v>366</v>
      </c>
      <c r="H463" s="210" t="s">
        <v>367</v>
      </c>
      <c r="I463" s="152" t="str">
        <f t="shared" si="7"/>
        <v>CAR210609</v>
      </c>
      <c r="J463" s="513">
        <v>-421500</v>
      </c>
      <c r="K463" s="513">
        <v>-300</v>
      </c>
      <c r="L463" s="513">
        <v>1405</v>
      </c>
      <c r="M463" s="513" t="s">
        <v>5881</v>
      </c>
      <c r="N463" s="513" t="s">
        <v>1566</v>
      </c>
      <c r="O463" s="513" t="s">
        <v>1407</v>
      </c>
      <c r="P463" s="518" t="s">
        <v>5894</v>
      </c>
      <c r="Q463" s="152" t="s">
        <v>5895</v>
      </c>
      <c r="R463" s="152" t="s">
        <v>5896</v>
      </c>
      <c r="S463" s="152" t="s">
        <v>5897</v>
      </c>
      <c r="T463" s="152" t="s">
        <v>5898</v>
      </c>
      <c r="U463" s="152" t="s">
        <v>786</v>
      </c>
    </row>
    <row r="464" spans="4:21">
      <c r="D464" s="152" t="s">
        <v>2821</v>
      </c>
      <c r="E464" s="821" t="s">
        <v>676</v>
      </c>
      <c r="F464" s="684" t="str">
        <f>+VLOOKUP(G464,Resumen_Base!$C$8:$G$156,5,0)</f>
        <v>Tips</v>
      </c>
      <c r="G464" s="474" t="s">
        <v>366</v>
      </c>
      <c r="H464" s="210" t="s">
        <v>367</v>
      </c>
      <c r="I464" s="152" t="str">
        <f t="shared" si="7"/>
        <v>CAR210609</v>
      </c>
      <c r="J464" s="513">
        <v>-491750</v>
      </c>
      <c r="K464" s="513">
        <v>-350</v>
      </c>
      <c r="L464" s="513">
        <v>1405</v>
      </c>
      <c r="M464" s="513" t="s">
        <v>5881</v>
      </c>
      <c r="N464" s="513" t="s">
        <v>1566</v>
      </c>
      <c r="O464" s="513" t="s">
        <v>1407</v>
      </c>
      <c r="P464" s="518" t="s">
        <v>5899</v>
      </c>
      <c r="Q464" s="152" t="s">
        <v>5895</v>
      </c>
      <c r="R464" s="152" t="s">
        <v>5900</v>
      </c>
      <c r="S464" s="152" t="s">
        <v>5897</v>
      </c>
      <c r="T464" s="152" t="s">
        <v>5901</v>
      </c>
      <c r="U464" s="152" t="s">
        <v>786</v>
      </c>
    </row>
    <row r="465" spans="4:21">
      <c r="D465" s="152" t="s">
        <v>2821</v>
      </c>
      <c r="E465" s="821" t="s">
        <v>676</v>
      </c>
      <c r="F465" s="684" t="str">
        <f>+VLOOKUP(G465,Resumen_Base!$C$8:$G$156,5,0)</f>
        <v>Tips</v>
      </c>
      <c r="G465" s="474" t="s">
        <v>366</v>
      </c>
      <c r="H465" s="210" t="s">
        <v>367</v>
      </c>
      <c r="I465" s="152" t="str">
        <f t="shared" si="7"/>
        <v>CAR210609</v>
      </c>
      <c r="J465" s="513">
        <v>-351250</v>
      </c>
      <c r="K465" s="513">
        <v>-250</v>
      </c>
      <c r="L465" s="513">
        <v>1405</v>
      </c>
      <c r="M465" s="513" t="s">
        <v>5881</v>
      </c>
      <c r="N465" s="513" t="s">
        <v>1566</v>
      </c>
      <c r="O465" s="513" t="s">
        <v>1407</v>
      </c>
      <c r="P465" s="518" t="s">
        <v>5899</v>
      </c>
      <c r="Q465" s="152" t="s">
        <v>5895</v>
      </c>
      <c r="R465" s="152" t="s">
        <v>5900</v>
      </c>
      <c r="S465" s="152" t="s">
        <v>5897</v>
      </c>
      <c r="T465" s="152" t="s">
        <v>5901</v>
      </c>
      <c r="U465" s="152" t="s">
        <v>786</v>
      </c>
    </row>
    <row r="466" spans="4:21">
      <c r="D466" s="152" t="s">
        <v>2821</v>
      </c>
      <c r="E466" s="821" t="s">
        <v>676</v>
      </c>
      <c r="F466" s="684" t="str">
        <f>+VLOOKUP(G466,Resumen_Base!$C$8:$G$156,5,0)</f>
        <v>Tips</v>
      </c>
      <c r="G466" s="474" t="s">
        <v>366</v>
      </c>
      <c r="H466" s="210" t="s">
        <v>367</v>
      </c>
      <c r="I466" s="152" t="str">
        <f t="shared" si="7"/>
        <v>CAR210609</v>
      </c>
      <c r="J466" s="513">
        <v>-421500</v>
      </c>
      <c r="K466" s="513">
        <v>-300</v>
      </c>
      <c r="L466" s="513">
        <v>1405</v>
      </c>
      <c r="M466" s="513" t="s">
        <v>5881</v>
      </c>
      <c r="N466" s="513" t="s">
        <v>1566</v>
      </c>
      <c r="O466" s="513" t="s">
        <v>1407</v>
      </c>
      <c r="P466" s="518" t="s">
        <v>5902</v>
      </c>
      <c r="Q466" s="152" t="s">
        <v>5895</v>
      </c>
      <c r="R466" s="152" t="s">
        <v>5903</v>
      </c>
      <c r="S466" s="152" t="s">
        <v>5897</v>
      </c>
      <c r="T466" s="152" t="s">
        <v>5904</v>
      </c>
      <c r="U466" s="152" t="s">
        <v>786</v>
      </c>
    </row>
    <row r="467" spans="4:21">
      <c r="D467" s="152" t="s">
        <v>2821</v>
      </c>
      <c r="E467" s="821" t="s">
        <v>676</v>
      </c>
      <c r="F467" s="684" t="str">
        <f>+VLOOKUP(G467,Resumen_Base!$C$8:$G$156,5,0)</f>
        <v>Tips</v>
      </c>
      <c r="G467" s="474" t="s">
        <v>366</v>
      </c>
      <c r="H467" s="210" t="s">
        <v>367</v>
      </c>
      <c r="I467" s="152" t="str">
        <f t="shared" si="7"/>
        <v>CAR210609</v>
      </c>
      <c r="J467" s="513">
        <v>-421500</v>
      </c>
      <c r="K467" s="513">
        <v>-300</v>
      </c>
      <c r="L467" s="513">
        <v>1405</v>
      </c>
      <c r="M467" s="513" t="s">
        <v>5881</v>
      </c>
      <c r="N467" s="513" t="s">
        <v>1566</v>
      </c>
      <c r="O467" s="513" t="s">
        <v>1407</v>
      </c>
      <c r="P467" s="518" t="s">
        <v>5902</v>
      </c>
      <c r="Q467" s="152" t="s">
        <v>5895</v>
      </c>
      <c r="R467" s="152" t="s">
        <v>5903</v>
      </c>
      <c r="S467" s="152" t="s">
        <v>5897</v>
      </c>
      <c r="T467" s="152" t="s">
        <v>5904</v>
      </c>
      <c r="U467" s="152" t="s">
        <v>786</v>
      </c>
    </row>
    <row r="468" spans="4:21">
      <c r="D468" s="152" t="s">
        <v>2821</v>
      </c>
      <c r="E468" s="821" t="s">
        <v>676</v>
      </c>
      <c r="F468" s="684" t="str">
        <f>+VLOOKUP(G468,Resumen_Base!$C$8:$G$156,5,0)</f>
        <v>Tips</v>
      </c>
      <c r="G468" s="474" t="s">
        <v>366</v>
      </c>
      <c r="H468" s="210" t="s">
        <v>367</v>
      </c>
      <c r="I468" s="152" t="str">
        <f t="shared" si="7"/>
        <v>CAR210609</v>
      </c>
      <c r="J468" s="513">
        <v>-351250</v>
      </c>
      <c r="K468" s="513">
        <v>-250</v>
      </c>
      <c r="L468" s="513">
        <v>1405</v>
      </c>
      <c r="M468" s="513" t="s">
        <v>5881</v>
      </c>
      <c r="N468" s="513" t="s">
        <v>1566</v>
      </c>
      <c r="O468" s="513" t="s">
        <v>1407</v>
      </c>
      <c r="P468" s="518" t="s">
        <v>5905</v>
      </c>
      <c r="Q468" s="152" t="s">
        <v>5895</v>
      </c>
      <c r="R468" s="152" t="s">
        <v>5906</v>
      </c>
      <c r="S468" s="152" t="s">
        <v>5897</v>
      </c>
      <c r="T468" s="152" t="s">
        <v>5907</v>
      </c>
      <c r="U468" s="152" t="s">
        <v>786</v>
      </c>
    </row>
    <row r="469" spans="4:21">
      <c r="D469" s="152" t="s">
        <v>2821</v>
      </c>
      <c r="E469" s="821" t="s">
        <v>676</v>
      </c>
      <c r="F469" s="684" t="str">
        <f>+VLOOKUP(G469,Resumen_Base!$C$8:$G$156,5,0)</f>
        <v>Tips</v>
      </c>
      <c r="G469" s="474" t="s">
        <v>366</v>
      </c>
      <c r="H469" s="210" t="s">
        <v>367</v>
      </c>
      <c r="I469" s="152" t="str">
        <f t="shared" si="7"/>
        <v>CAR210609</v>
      </c>
      <c r="J469" s="513">
        <v>-491750</v>
      </c>
      <c r="K469" s="513">
        <v>-350</v>
      </c>
      <c r="L469" s="513">
        <v>1405</v>
      </c>
      <c r="M469" s="513" t="s">
        <v>5881</v>
      </c>
      <c r="N469" s="513" t="s">
        <v>1566</v>
      </c>
      <c r="O469" s="513" t="s">
        <v>1407</v>
      </c>
      <c r="P469" s="518" t="s">
        <v>5905</v>
      </c>
      <c r="Q469" s="152" t="s">
        <v>5895</v>
      </c>
      <c r="R469" s="152" t="s">
        <v>5906</v>
      </c>
      <c r="S469" s="152" t="s">
        <v>5897</v>
      </c>
      <c r="T469" s="152" t="s">
        <v>5907</v>
      </c>
      <c r="U469" s="152" t="s">
        <v>786</v>
      </c>
    </row>
    <row r="470" spans="4:21">
      <c r="D470" s="152" t="s">
        <v>2821</v>
      </c>
      <c r="E470" s="821" t="s">
        <v>676</v>
      </c>
      <c r="F470" s="684" t="str">
        <f>+VLOOKUP(G470,Resumen_Base!$C$8:$G$156,5,0)</f>
        <v>Tips</v>
      </c>
      <c r="G470" s="474" t="s">
        <v>366</v>
      </c>
      <c r="H470" s="210" t="s">
        <v>367</v>
      </c>
      <c r="I470" s="152" t="str">
        <f t="shared" si="7"/>
        <v>CAR210609</v>
      </c>
      <c r="J470" s="513">
        <v>-491750</v>
      </c>
      <c r="K470" s="513">
        <v>-350</v>
      </c>
      <c r="L470" s="513">
        <v>1405</v>
      </c>
      <c r="M470" s="513" t="s">
        <v>5881</v>
      </c>
      <c r="N470" s="513" t="s">
        <v>1566</v>
      </c>
      <c r="O470" s="513" t="s">
        <v>1407</v>
      </c>
      <c r="P470" s="518" t="s">
        <v>5908</v>
      </c>
      <c r="Q470" s="152" t="s">
        <v>5895</v>
      </c>
      <c r="R470" s="152" t="s">
        <v>5909</v>
      </c>
      <c r="S470" s="152" t="s">
        <v>5910</v>
      </c>
      <c r="T470" s="152" t="s">
        <v>5911</v>
      </c>
      <c r="U470" s="152" t="s">
        <v>786</v>
      </c>
    </row>
    <row r="471" spans="4:21">
      <c r="D471" s="152" t="s">
        <v>2821</v>
      </c>
      <c r="E471" s="821" t="s">
        <v>676</v>
      </c>
      <c r="F471" s="684" t="str">
        <f>+VLOOKUP(G471,Resumen_Base!$C$8:$G$156,5,0)</f>
        <v>Tips</v>
      </c>
      <c r="G471" s="474" t="s">
        <v>366</v>
      </c>
      <c r="H471" s="210" t="s">
        <v>367</v>
      </c>
      <c r="I471" s="152" t="str">
        <f t="shared" si="7"/>
        <v>CAR210609</v>
      </c>
      <c r="J471" s="513">
        <v>-491750</v>
      </c>
      <c r="K471" s="513">
        <v>-350</v>
      </c>
      <c r="L471" s="513">
        <v>1405</v>
      </c>
      <c r="M471" s="513" t="s">
        <v>5881</v>
      </c>
      <c r="N471" s="513" t="s">
        <v>1566</v>
      </c>
      <c r="O471" s="513" t="s">
        <v>1407</v>
      </c>
      <c r="P471" s="518" t="s">
        <v>5908</v>
      </c>
      <c r="Q471" s="152" t="s">
        <v>5895</v>
      </c>
      <c r="R471" s="152" t="s">
        <v>5909</v>
      </c>
      <c r="S471" s="152" t="s">
        <v>5910</v>
      </c>
      <c r="T471" s="152" t="s">
        <v>5911</v>
      </c>
      <c r="U471" s="152" t="s">
        <v>786</v>
      </c>
    </row>
    <row r="472" spans="4:21">
      <c r="D472" s="152" t="s">
        <v>2821</v>
      </c>
      <c r="E472" s="821" t="s">
        <v>676</v>
      </c>
      <c r="F472" s="684" t="str">
        <f>+VLOOKUP(G472,Resumen_Base!$C$8:$G$156,5,0)</f>
        <v>Tips</v>
      </c>
      <c r="G472" s="474" t="s">
        <v>366</v>
      </c>
      <c r="H472" s="210" t="s">
        <v>367</v>
      </c>
      <c r="I472" s="152" t="str">
        <f t="shared" si="7"/>
        <v>CAR210609</v>
      </c>
      <c r="J472" s="513">
        <v>-562000</v>
      </c>
      <c r="K472" s="513">
        <v>-400</v>
      </c>
      <c r="L472" s="513">
        <v>1405</v>
      </c>
      <c r="M472" s="513" t="s">
        <v>5881</v>
      </c>
      <c r="N472" s="513" t="s">
        <v>1566</v>
      </c>
      <c r="O472" s="513" t="s">
        <v>1407</v>
      </c>
      <c r="P472" s="518" t="s">
        <v>5912</v>
      </c>
      <c r="Q472" s="152" t="s">
        <v>5895</v>
      </c>
      <c r="R472" s="152" t="s">
        <v>5913</v>
      </c>
      <c r="S472" s="152" t="s">
        <v>5910</v>
      </c>
      <c r="T472" s="152" t="s">
        <v>5914</v>
      </c>
      <c r="U472" s="152" t="s">
        <v>786</v>
      </c>
    </row>
    <row r="473" spans="4:21">
      <c r="D473" s="152" t="s">
        <v>2821</v>
      </c>
      <c r="E473" s="821" t="s">
        <v>676</v>
      </c>
      <c r="F473" s="684" t="str">
        <f>+VLOOKUP(G473,Resumen_Base!$C$8:$G$156,5,0)</f>
        <v>Tips</v>
      </c>
      <c r="G473" s="474" t="s">
        <v>366</v>
      </c>
      <c r="H473" s="210" t="s">
        <v>367</v>
      </c>
      <c r="I473" s="152" t="str">
        <f t="shared" si="7"/>
        <v>CAR210609</v>
      </c>
      <c r="J473" s="513">
        <v>-562000</v>
      </c>
      <c r="K473" s="513">
        <v>-400</v>
      </c>
      <c r="L473" s="513">
        <v>1405</v>
      </c>
      <c r="M473" s="513" t="s">
        <v>5881</v>
      </c>
      <c r="N473" s="513" t="s">
        <v>1566</v>
      </c>
      <c r="O473" s="513" t="s">
        <v>1407</v>
      </c>
      <c r="P473" s="518" t="s">
        <v>5912</v>
      </c>
      <c r="Q473" s="152" t="s">
        <v>5895</v>
      </c>
      <c r="R473" s="152" t="s">
        <v>5913</v>
      </c>
      <c r="S473" s="152" t="s">
        <v>5910</v>
      </c>
      <c r="T473" s="152" t="s">
        <v>5914</v>
      </c>
      <c r="U473" s="152" t="s">
        <v>786</v>
      </c>
    </row>
    <row r="474" spans="4:21">
      <c r="D474" s="152" t="s">
        <v>2821</v>
      </c>
      <c r="E474" s="821" t="s">
        <v>676</v>
      </c>
      <c r="F474" s="684" t="str">
        <f>+VLOOKUP(G474,Resumen_Base!$C$8:$G$156,5,0)</f>
        <v>Tips</v>
      </c>
      <c r="G474" s="474" t="s">
        <v>366</v>
      </c>
      <c r="H474" s="210" t="s">
        <v>367</v>
      </c>
      <c r="I474" s="152" t="str">
        <f t="shared" si="7"/>
        <v>CAR210609</v>
      </c>
      <c r="J474" s="513">
        <v>-421500</v>
      </c>
      <c r="K474" s="513">
        <v>-300</v>
      </c>
      <c r="L474" s="513">
        <v>1405</v>
      </c>
      <c r="M474" s="513" t="s">
        <v>5881</v>
      </c>
      <c r="N474" s="513" t="s">
        <v>1566</v>
      </c>
      <c r="O474" s="513" t="s">
        <v>1407</v>
      </c>
      <c r="P474" s="518" t="s">
        <v>5915</v>
      </c>
      <c r="Q474" s="152" t="s">
        <v>5895</v>
      </c>
      <c r="R474" s="152" t="s">
        <v>5916</v>
      </c>
      <c r="S474" s="152" t="s">
        <v>5910</v>
      </c>
      <c r="T474" s="152" t="s">
        <v>5917</v>
      </c>
      <c r="U474" s="152" t="s">
        <v>786</v>
      </c>
    </row>
    <row r="475" spans="4:21">
      <c r="D475" s="152" t="s">
        <v>2821</v>
      </c>
      <c r="E475" s="821" t="s">
        <v>676</v>
      </c>
      <c r="F475" s="684" t="str">
        <f>+VLOOKUP(G475,Resumen_Base!$C$8:$G$156,5,0)</f>
        <v>Tips</v>
      </c>
      <c r="G475" s="474" t="s">
        <v>366</v>
      </c>
      <c r="H475" s="210" t="s">
        <v>367</v>
      </c>
      <c r="I475" s="152" t="str">
        <f t="shared" si="7"/>
        <v>CAR210609</v>
      </c>
      <c r="J475" s="513">
        <v>-421500</v>
      </c>
      <c r="K475" s="513">
        <v>-300</v>
      </c>
      <c r="L475" s="513">
        <v>1405</v>
      </c>
      <c r="M475" s="513" t="s">
        <v>5881</v>
      </c>
      <c r="N475" s="513" t="s">
        <v>1566</v>
      </c>
      <c r="O475" s="513" t="s">
        <v>1407</v>
      </c>
      <c r="P475" s="518" t="s">
        <v>5915</v>
      </c>
      <c r="Q475" s="152" t="s">
        <v>5895</v>
      </c>
      <c r="R475" s="152" t="s">
        <v>5916</v>
      </c>
      <c r="S475" s="152" t="s">
        <v>5910</v>
      </c>
      <c r="T475" s="152" t="s">
        <v>5917</v>
      </c>
      <c r="U475" s="152" t="s">
        <v>786</v>
      </c>
    </row>
    <row r="476" spans="4:21">
      <c r="D476" s="152" t="s">
        <v>2821</v>
      </c>
      <c r="E476" s="821" t="s">
        <v>676</v>
      </c>
      <c r="F476" s="684" t="str">
        <f>+VLOOKUP(G476,Resumen_Base!$C$8:$G$156,5,0)</f>
        <v>Tips</v>
      </c>
      <c r="G476" s="474" t="s">
        <v>366</v>
      </c>
      <c r="H476" s="210" t="s">
        <v>367</v>
      </c>
      <c r="I476" s="152" t="str">
        <f t="shared" si="7"/>
        <v>CAR210609</v>
      </c>
      <c r="J476" s="513">
        <v>-351250</v>
      </c>
      <c r="K476" s="513">
        <v>-250</v>
      </c>
      <c r="L476" s="513">
        <v>1405</v>
      </c>
      <c r="M476" s="513" t="s">
        <v>5881</v>
      </c>
      <c r="N476" s="513" t="s">
        <v>1566</v>
      </c>
      <c r="O476" s="513" t="s">
        <v>1407</v>
      </c>
      <c r="P476" s="518" t="s">
        <v>5918</v>
      </c>
      <c r="Q476" s="152" t="s">
        <v>5895</v>
      </c>
      <c r="R476" s="152" t="s">
        <v>5919</v>
      </c>
      <c r="S476" s="152" t="s">
        <v>5910</v>
      </c>
      <c r="T476" s="152" t="s">
        <v>5920</v>
      </c>
      <c r="U476" s="152" t="s">
        <v>786</v>
      </c>
    </row>
    <row r="477" spans="4:21">
      <c r="D477" s="152" t="s">
        <v>2821</v>
      </c>
      <c r="E477" s="821" t="s">
        <v>676</v>
      </c>
      <c r="F477" s="684" t="str">
        <f>+VLOOKUP(G477,Resumen_Base!$C$8:$G$156,5,0)</f>
        <v>Tips</v>
      </c>
      <c r="G477" s="474" t="s">
        <v>366</v>
      </c>
      <c r="H477" s="210" t="s">
        <v>367</v>
      </c>
      <c r="I477" s="152" t="str">
        <f t="shared" si="7"/>
        <v>CAR210609</v>
      </c>
      <c r="J477" s="513">
        <v>-491750</v>
      </c>
      <c r="K477" s="513">
        <v>-350</v>
      </c>
      <c r="L477" s="513">
        <v>1405</v>
      </c>
      <c r="M477" s="513" t="s">
        <v>5881</v>
      </c>
      <c r="N477" s="513" t="s">
        <v>1566</v>
      </c>
      <c r="O477" s="513" t="s">
        <v>1407</v>
      </c>
      <c r="P477" s="518" t="s">
        <v>5918</v>
      </c>
      <c r="Q477" s="152" t="s">
        <v>5895</v>
      </c>
      <c r="R477" s="152" t="s">
        <v>5919</v>
      </c>
      <c r="S477" s="152" t="s">
        <v>5910</v>
      </c>
      <c r="T477" s="152" t="s">
        <v>5920</v>
      </c>
      <c r="U477" s="152" t="s">
        <v>786</v>
      </c>
    </row>
    <row r="478" spans="4:21">
      <c r="D478" s="152" t="s">
        <v>2821</v>
      </c>
      <c r="E478" s="821" t="s">
        <v>676</v>
      </c>
      <c r="F478" s="684" t="str">
        <f>+VLOOKUP(G478,Resumen_Base!$C$8:$G$156,5,0)</f>
        <v>Tips</v>
      </c>
      <c r="G478" s="474" t="s">
        <v>366</v>
      </c>
      <c r="H478" s="210" t="s">
        <v>367</v>
      </c>
      <c r="I478" s="152" t="str">
        <f t="shared" si="7"/>
        <v>CAR210609</v>
      </c>
      <c r="J478" s="513">
        <v>-590100</v>
      </c>
      <c r="K478" s="513">
        <v>-420</v>
      </c>
      <c r="L478" s="513">
        <v>1405</v>
      </c>
      <c r="M478" s="513" t="s">
        <v>5881</v>
      </c>
      <c r="N478" s="513" t="s">
        <v>1566</v>
      </c>
      <c r="O478" s="513" t="s">
        <v>1407</v>
      </c>
      <c r="P478" s="518" t="s">
        <v>5921</v>
      </c>
      <c r="Q478" s="152" t="s">
        <v>5895</v>
      </c>
      <c r="R478" s="152" t="s">
        <v>5922</v>
      </c>
      <c r="S478" s="152" t="s">
        <v>5923</v>
      </c>
      <c r="T478" s="152" t="s">
        <v>5924</v>
      </c>
      <c r="U478" s="152" t="s">
        <v>786</v>
      </c>
    </row>
    <row r="479" spans="4:21">
      <c r="D479" s="152" t="s">
        <v>2821</v>
      </c>
      <c r="E479" s="821" t="s">
        <v>676</v>
      </c>
      <c r="F479" s="684" t="str">
        <f>+VLOOKUP(G479,Resumen_Base!$C$8:$G$156,5,0)</f>
        <v>Tips</v>
      </c>
      <c r="G479" s="474" t="s">
        <v>366</v>
      </c>
      <c r="H479" s="210" t="s">
        <v>367</v>
      </c>
      <c r="I479" s="152" t="str">
        <f t="shared" si="7"/>
        <v>CAR210609</v>
      </c>
      <c r="J479" s="513">
        <v>-421500</v>
      </c>
      <c r="K479" s="513">
        <v>-300</v>
      </c>
      <c r="L479" s="513">
        <v>1405</v>
      </c>
      <c r="M479" s="513" t="s">
        <v>5881</v>
      </c>
      <c r="N479" s="513" t="s">
        <v>1566</v>
      </c>
      <c r="O479" s="513" t="s">
        <v>1407</v>
      </c>
      <c r="P479" s="518" t="s">
        <v>5921</v>
      </c>
      <c r="Q479" s="152" t="s">
        <v>5895</v>
      </c>
      <c r="R479" s="152" t="s">
        <v>5922</v>
      </c>
      <c r="S479" s="152" t="s">
        <v>5923</v>
      </c>
      <c r="T479" s="152" t="s">
        <v>5924</v>
      </c>
      <c r="U479" s="152" t="s">
        <v>786</v>
      </c>
    </row>
    <row r="480" spans="4:21">
      <c r="D480" s="152" t="s">
        <v>2821</v>
      </c>
      <c r="E480" s="821" t="s">
        <v>676</v>
      </c>
      <c r="F480" s="684" t="str">
        <f>+VLOOKUP(G480,Resumen_Base!$C$8:$G$156,5,0)</f>
        <v>Tips</v>
      </c>
      <c r="G480" s="474" t="s">
        <v>366</v>
      </c>
      <c r="H480" s="210" t="s">
        <v>367</v>
      </c>
      <c r="I480" s="152" t="str">
        <f t="shared" si="7"/>
        <v>CAR210609</v>
      </c>
      <c r="J480" s="513">
        <v>-449600</v>
      </c>
      <c r="K480" s="513">
        <v>-320</v>
      </c>
      <c r="L480" s="513">
        <v>1405</v>
      </c>
      <c r="M480" s="513" t="s">
        <v>5881</v>
      </c>
      <c r="N480" s="513" t="s">
        <v>1566</v>
      </c>
      <c r="O480" s="513" t="s">
        <v>1407</v>
      </c>
      <c r="P480" s="518" t="s">
        <v>5925</v>
      </c>
      <c r="Q480" s="152" t="s">
        <v>5895</v>
      </c>
      <c r="R480" s="152" t="s">
        <v>5926</v>
      </c>
      <c r="S480" s="152" t="s">
        <v>5923</v>
      </c>
      <c r="T480" s="152" t="s">
        <v>5927</v>
      </c>
      <c r="U480" s="152" t="s">
        <v>786</v>
      </c>
    </row>
    <row r="481" spans="4:21">
      <c r="D481" s="152" t="s">
        <v>2821</v>
      </c>
      <c r="E481" s="821" t="s">
        <v>676</v>
      </c>
      <c r="F481" s="684" t="str">
        <f>+VLOOKUP(G481,Resumen_Base!$C$8:$G$156,5,0)</f>
        <v>Tips</v>
      </c>
      <c r="G481" s="474" t="s">
        <v>366</v>
      </c>
      <c r="H481" s="210" t="s">
        <v>367</v>
      </c>
      <c r="I481" s="152" t="str">
        <f t="shared" si="7"/>
        <v>CAR210609</v>
      </c>
      <c r="J481" s="513">
        <v>-562000</v>
      </c>
      <c r="K481" s="513">
        <v>-400</v>
      </c>
      <c r="L481" s="513">
        <v>1405</v>
      </c>
      <c r="M481" s="513" t="s">
        <v>5881</v>
      </c>
      <c r="N481" s="513" t="s">
        <v>1566</v>
      </c>
      <c r="O481" s="513" t="s">
        <v>1407</v>
      </c>
      <c r="P481" s="518" t="s">
        <v>5925</v>
      </c>
      <c r="Q481" s="152" t="s">
        <v>5895</v>
      </c>
      <c r="R481" s="152" t="s">
        <v>5926</v>
      </c>
      <c r="S481" s="152" t="s">
        <v>5923</v>
      </c>
      <c r="T481" s="152" t="s">
        <v>5927</v>
      </c>
      <c r="U481" s="152" t="s">
        <v>786</v>
      </c>
    </row>
    <row r="482" spans="4:21">
      <c r="D482" s="152" t="s">
        <v>2821</v>
      </c>
      <c r="E482" s="821" t="s">
        <v>676</v>
      </c>
      <c r="F482" s="684" t="str">
        <f>+VLOOKUP(G482,Resumen_Base!$C$8:$G$156,5,0)</f>
        <v>Tips</v>
      </c>
      <c r="G482" s="474" t="s">
        <v>366</v>
      </c>
      <c r="H482" s="210" t="s">
        <v>367</v>
      </c>
      <c r="I482" s="152" t="str">
        <f t="shared" si="7"/>
        <v>CAR210609</v>
      </c>
      <c r="J482" s="513">
        <v>-595720</v>
      </c>
      <c r="K482" s="513">
        <v>-424</v>
      </c>
      <c r="L482" s="513">
        <v>1405</v>
      </c>
      <c r="M482" s="513" t="s">
        <v>5881</v>
      </c>
      <c r="N482" s="513" t="s">
        <v>1566</v>
      </c>
      <c r="O482" s="513" t="s">
        <v>1407</v>
      </c>
      <c r="P482" s="518" t="s">
        <v>5928</v>
      </c>
      <c r="Q482" s="152" t="s">
        <v>5895</v>
      </c>
      <c r="R482" s="152" t="s">
        <v>5929</v>
      </c>
      <c r="S482" s="152" t="s">
        <v>5930</v>
      </c>
      <c r="T482" s="152" t="s">
        <v>5931</v>
      </c>
      <c r="U482" s="152" t="s">
        <v>786</v>
      </c>
    </row>
    <row r="483" spans="4:21">
      <c r="D483" s="152" t="s">
        <v>2821</v>
      </c>
      <c r="E483" s="821" t="s">
        <v>676</v>
      </c>
      <c r="F483" s="684" t="str">
        <f>+VLOOKUP(G483,Resumen_Base!$C$8:$G$156,5,0)</f>
        <v>Tips</v>
      </c>
      <c r="G483" s="474" t="s">
        <v>366</v>
      </c>
      <c r="H483" s="210" t="s">
        <v>367</v>
      </c>
      <c r="I483" s="152" t="str">
        <f t="shared" si="7"/>
        <v>CAR210609</v>
      </c>
      <c r="J483" s="513">
        <v>-491750</v>
      </c>
      <c r="K483" s="513">
        <v>-350</v>
      </c>
      <c r="L483" s="513">
        <v>1405</v>
      </c>
      <c r="M483" s="513" t="s">
        <v>5881</v>
      </c>
      <c r="N483" s="513" t="s">
        <v>1566</v>
      </c>
      <c r="O483" s="513" t="s">
        <v>1407</v>
      </c>
      <c r="P483" s="518" t="s">
        <v>5928</v>
      </c>
      <c r="Q483" s="152" t="s">
        <v>5895</v>
      </c>
      <c r="R483" s="152" t="s">
        <v>5929</v>
      </c>
      <c r="S483" s="152" t="s">
        <v>5930</v>
      </c>
      <c r="T483" s="152" t="s">
        <v>5931</v>
      </c>
      <c r="U483" s="152" t="s">
        <v>786</v>
      </c>
    </row>
    <row r="484" spans="4:21">
      <c r="D484" s="152" t="s">
        <v>2821</v>
      </c>
      <c r="E484" s="821" t="s">
        <v>676</v>
      </c>
      <c r="F484" s="684" t="str">
        <f>+VLOOKUP(G484,Resumen_Base!$C$8:$G$156,5,0)</f>
        <v>Tips</v>
      </c>
      <c r="G484" s="474" t="s">
        <v>366</v>
      </c>
      <c r="H484" s="210" t="s">
        <v>367</v>
      </c>
      <c r="I484" s="152" t="str">
        <f t="shared" si="7"/>
        <v>CAR210609</v>
      </c>
      <c r="J484" s="513">
        <v>-446087.5</v>
      </c>
      <c r="K484" s="513">
        <v>-317.5</v>
      </c>
      <c r="L484" s="513">
        <v>1405</v>
      </c>
      <c r="M484" s="513" t="s">
        <v>5975</v>
      </c>
      <c r="N484" s="513" t="s">
        <v>1566</v>
      </c>
      <c r="O484" s="513" t="s">
        <v>1407</v>
      </c>
      <c r="P484" s="518" t="s">
        <v>5996</v>
      </c>
      <c r="Q484" s="152" t="s">
        <v>5895</v>
      </c>
      <c r="R484" s="152" t="s">
        <v>5997</v>
      </c>
      <c r="S484" s="152" t="s">
        <v>5998</v>
      </c>
      <c r="T484" s="152" t="s">
        <v>5999</v>
      </c>
      <c r="U484" s="152" t="s">
        <v>786</v>
      </c>
    </row>
    <row r="485" spans="4:21">
      <c r="D485" s="152" t="s">
        <v>2821</v>
      </c>
      <c r="E485" s="821" t="s">
        <v>676</v>
      </c>
      <c r="F485" s="684" t="str">
        <f>+VLOOKUP(G485,Resumen_Base!$C$8:$G$156,5,0)</f>
        <v>Tips</v>
      </c>
      <c r="G485" s="474" t="s">
        <v>366</v>
      </c>
      <c r="H485" s="210" t="s">
        <v>367</v>
      </c>
      <c r="I485" s="152" t="str">
        <f t="shared" si="7"/>
        <v>CAR210609</v>
      </c>
      <c r="J485" s="513">
        <v>-983500</v>
      </c>
      <c r="K485" s="513">
        <v>-700</v>
      </c>
      <c r="L485" s="513">
        <v>1405</v>
      </c>
      <c r="M485" s="513" t="s">
        <v>5975</v>
      </c>
      <c r="N485" s="513" t="s">
        <v>1566</v>
      </c>
      <c r="O485" s="513" t="s">
        <v>1407</v>
      </c>
      <c r="P485" s="518" t="s">
        <v>6000</v>
      </c>
      <c r="Q485" s="152" t="s">
        <v>5895</v>
      </c>
      <c r="R485" s="152" t="s">
        <v>6001</v>
      </c>
      <c r="S485" s="152" t="s">
        <v>5998</v>
      </c>
      <c r="T485" s="152" t="s">
        <v>6002</v>
      </c>
      <c r="U485" s="152" t="s">
        <v>786</v>
      </c>
    </row>
    <row r="486" spans="4:21">
      <c r="D486" s="152" t="s">
        <v>2821</v>
      </c>
      <c r="E486" s="821" t="s">
        <v>676</v>
      </c>
      <c r="F486" s="684" t="str">
        <f>+VLOOKUP(G486,Resumen_Base!$C$8:$G$156,5,0)</f>
        <v>Tips</v>
      </c>
      <c r="G486" s="474" t="s">
        <v>366</v>
      </c>
      <c r="H486" s="210" t="s">
        <v>367</v>
      </c>
      <c r="I486" s="152" t="str">
        <f t="shared" si="7"/>
        <v>CAR210609</v>
      </c>
      <c r="J486" s="513">
        <v>-702500</v>
      </c>
      <c r="K486" s="513">
        <v>-500</v>
      </c>
      <c r="L486" s="513">
        <v>1405</v>
      </c>
      <c r="M486" s="513" t="s">
        <v>5975</v>
      </c>
      <c r="N486" s="513" t="s">
        <v>1566</v>
      </c>
      <c r="O486" s="513" t="s">
        <v>1407</v>
      </c>
      <c r="P486" s="518" t="s">
        <v>6000</v>
      </c>
      <c r="Q486" s="152" t="s">
        <v>5895</v>
      </c>
      <c r="R486" s="152" t="s">
        <v>6001</v>
      </c>
      <c r="S486" s="152" t="s">
        <v>5998</v>
      </c>
      <c r="T486" s="152" t="s">
        <v>6002</v>
      </c>
      <c r="U486" s="152" t="s">
        <v>786</v>
      </c>
    </row>
    <row r="487" spans="4:21">
      <c r="D487" s="152" t="s">
        <v>2821</v>
      </c>
      <c r="E487" s="821" t="s">
        <v>676</v>
      </c>
      <c r="F487" s="684" t="str">
        <f>+VLOOKUP(G487,Resumen_Base!$C$8:$G$156,5,0)</f>
        <v>Tips</v>
      </c>
      <c r="G487" s="474" t="s">
        <v>366</v>
      </c>
      <c r="H487" s="210" t="s">
        <v>367</v>
      </c>
      <c r="I487" s="152" t="str">
        <f t="shared" si="7"/>
        <v>CAR210609</v>
      </c>
      <c r="J487" s="513">
        <v>-421500</v>
      </c>
      <c r="K487" s="513">
        <v>-300</v>
      </c>
      <c r="L487" s="513">
        <v>1405</v>
      </c>
      <c r="M487" s="513" t="s">
        <v>5975</v>
      </c>
      <c r="N487" s="513" t="s">
        <v>1566</v>
      </c>
      <c r="O487" s="513" t="s">
        <v>1407</v>
      </c>
      <c r="P487" s="518" t="s">
        <v>6003</v>
      </c>
      <c r="Q487" s="152" t="s">
        <v>5895</v>
      </c>
      <c r="R487" s="152" t="s">
        <v>6004</v>
      </c>
      <c r="S487" s="152" t="s">
        <v>5998</v>
      </c>
      <c r="T487" s="152" t="s">
        <v>6005</v>
      </c>
      <c r="U487" s="152" t="s">
        <v>786</v>
      </c>
    </row>
    <row r="488" spans="4:21">
      <c r="D488" s="152" t="s">
        <v>2821</v>
      </c>
      <c r="E488" s="821" t="s">
        <v>676</v>
      </c>
      <c r="F488" s="684" t="str">
        <f>+VLOOKUP(G488,Resumen_Base!$C$8:$G$156,5,0)</f>
        <v>Tips</v>
      </c>
      <c r="G488" s="474" t="s">
        <v>366</v>
      </c>
      <c r="H488" s="210" t="s">
        <v>367</v>
      </c>
      <c r="I488" s="152" t="str">
        <f t="shared" si="7"/>
        <v>CAR210609</v>
      </c>
      <c r="J488" s="513">
        <v>-281000</v>
      </c>
      <c r="K488" s="513">
        <v>-200</v>
      </c>
      <c r="L488" s="513">
        <v>1405</v>
      </c>
      <c r="M488" s="513" t="s">
        <v>5975</v>
      </c>
      <c r="N488" s="513" t="s">
        <v>1566</v>
      </c>
      <c r="O488" s="513" t="s">
        <v>1407</v>
      </c>
      <c r="P488" s="518" t="s">
        <v>6003</v>
      </c>
      <c r="Q488" s="152" t="s">
        <v>5895</v>
      </c>
      <c r="R488" s="152" t="s">
        <v>6004</v>
      </c>
      <c r="S488" s="152" t="s">
        <v>5998</v>
      </c>
      <c r="T488" s="152" t="s">
        <v>6005</v>
      </c>
      <c r="U488" s="152" t="s">
        <v>786</v>
      </c>
    </row>
    <row r="489" spans="4:21">
      <c r="D489" s="152" t="s">
        <v>2821</v>
      </c>
      <c r="E489" s="821" t="s">
        <v>676</v>
      </c>
      <c r="F489" s="684" t="str">
        <f>+VLOOKUP(G489,Resumen_Base!$C$8:$G$156,5,0)</f>
        <v>Tips</v>
      </c>
      <c r="G489" s="474" t="s">
        <v>366</v>
      </c>
      <c r="H489" s="210" t="s">
        <v>367</v>
      </c>
      <c r="I489" s="152" t="str">
        <f t="shared" si="7"/>
        <v>CAR210609</v>
      </c>
      <c r="J489" s="513">
        <v>-843000</v>
      </c>
      <c r="K489" s="513">
        <v>-600</v>
      </c>
      <c r="L489" s="513">
        <v>1405</v>
      </c>
      <c r="M489" s="513" t="s">
        <v>6059</v>
      </c>
      <c r="N489" s="513" t="s">
        <v>1566</v>
      </c>
      <c r="O489" s="513" t="s">
        <v>1407</v>
      </c>
      <c r="P489" s="518" t="s">
        <v>6218</v>
      </c>
      <c r="Q489" s="152" t="s">
        <v>5895</v>
      </c>
      <c r="R489" s="152" t="s">
        <v>6219</v>
      </c>
      <c r="S489" s="152" t="s">
        <v>6220</v>
      </c>
      <c r="T489" s="152" t="s">
        <v>6221</v>
      </c>
      <c r="U489" s="152" t="s">
        <v>786</v>
      </c>
    </row>
    <row r="490" spans="4:21">
      <c r="D490" s="152" t="s">
        <v>2821</v>
      </c>
      <c r="E490" s="821" t="s">
        <v>676</v>
      </c>
      <c r="F490" s="684" t="str">
        <f>+VLOOKUP(G490,Resumen_Base!$C$8:$G$156,5,0)</f>
        <v>Tips</v>
      </c>
      <c r="G490" s="474" t="s">
        <v>366</v>
      </c>
      <c r="H490" s="210" t="s">
        <v>367</v>
      </c>
      <c r="I490" s="152" t="str">
        <f t="shared" si="7"/>
        <v>CAR210609</v>
      </c>
      <c r="J490" s="513">
        <v>-843000</v>
      </c>
      <c r="K490" s="513">
        <v>-600</v>
      </c>
      <c r="L490" s="513">
        <v>1405</v>
      </c>
      <c r="M490" s="513" t="s">
        <v>6059</v>
      </c>
      <c r="N490" s="513" t="s">
        <v>1566</v>
      </c>
      <c r="O490" s="513" t="s">
        <v>1407</v>
      </c>
      <c r="P490" s="518" t="s">
        <v>6218</v>
      </c>
      <c r="Q490" s="152" t="s">
        <v>5895</v>
      </c>
      <c r="R490" s="152" t="s">
        <v>6219</v>
      </c>
      <c r="S490" s="152" t="s">
        <v>6220</v>
      </c>
      <c r="T490" s="152" t="s">
        <v>6221</v>
      </c>
      <c r="U490" s="152" t="s">
        <v>786</v>
      </c>
    </row>
    <row r="491" spans="4:21">
      <c r="D491" s="152" t="s">
        <v>2821</v>
      </c>
      <c r="E491" s="821" t="s">
        <v>676</v>
      </c>
      <c r="F491" s="684" t="str">
        <f>+VLOOKUP(G491,Resumen_Base!$C$8:$G$156,5,0)</f>
        <v>Tips</v>
      </c>
      <c r="G491" s="474" t="s">
        <v>366</v>
      </c>
      <c r="H491" s="210" t="s">
        <v>367</v>
      </c>
      <c r="I491" s="152" t="str">
        <f t="shared" si="7"/>
        <v>CAR210609</v>
      </c>
      <c r="J491" s="513">
        <v>-1405000</v>
      </c>
      <c r="K491" s="513">
        <v>-1000</v>
      </c>
      <c r="L491" s="513">
        <v>1405</v>
      </c>
      <c r="M491" s="513" t="s">
        <v>6059</v>
      </c>
      <c r="N491" s="513" t="s">
        <v>1566</v>
      </c>
      <c r="O491" s="513" t="s">
        <v>1407</v>
      </c>
      <c r="P491" s="518" t="s">
        <v>6222</v>
      </c>
      <c r="Q491" s="152" t="s">
        <v>5895</v>
      </c>
      <c r="R491" s="152" t="s">
        <v>6223</v>
      </c>
      <c r="S491" s="152" t="s">
        <v>6220</v>
      </c>
      <c r="T491" s="152" t="s">
        <v>6224</v>
      </c>
      <c r="U491" s="152" t="s">
        <v>786</v>
      </c>
    </row>
    <row r="492" spans="4:21">
      <c r="D492" s="152" t="s">
        <v>2821</v>
      </c>
      <c r="E492" s="821" t="s">
        <v>676</v>
      </c>
      <c r="F492" s="684" t="str">
        <f>+VLOOKUP(G492,Resumen_Base!$C$8:$G$156,5,0)</f>
        <v>Tips</v>
      </c>
      <c r="G492" s="474" t="s">
        <v>366</v>
      </c>
      <c r="H492" s="210" t="s">
        <v>367</v>
      </c>
      <c r="I492" s="152" t="str">
        <f t="shared" si="7"/>
        <v>CAR210609</v>
      </c>
      <c r="J492" s="513">
        <v>-1545500</v>
      </c>
      <c r="K492" s="513">
        <v>-1100</v>
      </c>
      <c r="L492" s="513">
        <v>1405</v>
      </c>
      <c r="M492" s="513" t="s">
        <v>6059</v>
      </c>
      <c r="N492" s="513" t="s">
        <v>1566</v>
      </c>
      <c r="O492" s="513" t="s">
        <v>1407</v>
      </c>
      <c r="P492" s="518" t="s">
        <v>6222</v>
      </c>
      <c r="Q492" s="152" t="s">
        <v>5895</v>
      </c>
      <c r="R492" s="152" t="s">
        <v>6223</v>
      </c>
      <c r="S492" s="152" t="s">
        <v>6220</v>
      </c>
      <c r="T492" s="152" t="s">
        <v>6224</v>
      </c>
      <c r="U492" s="152" t="s">
        <v>786</v>
      </c>
    </row>
    <row r="493" spans="4:21">
      <c r="D493" s="152" t="s">
        <v>2821</v>
      </c>
      <c r="E493" s="821" t="s">
        <v>676</v>
      </c>
      <c r="F493" s="684" t="str">
        <f>+VLOOKUP(G493,Resumen_Base!$C$8:$G$156,5,0)</f>
        <v>Tips</v>
      </c>
      <c r="G493" s="474" t="s">
        <v>366</v>
      </c>
      <c r="H493" s="210" t="s">
        <v>367</v>
      </c>
      <c r="I493" s="152" t="str">
        <f t="shared" si="7"/>
        <v>CAR210609</v>
      </c>
      <c r="J493" s="513">
        <v>-772750</v>
      </c>
      <c r="K493" s="513">
        <v>-550</v>
      </c>
      <c r="L493" s="513">
        <v>1405</v>
      </c>
      <c r="M493" s="513" t="s">
        <v>6059</v>
      </c>
      <c r="N493" s="513" t="s">
        <v>1566</v>
      </c>
      <c r="O493" s="513" t="s">
        <v>1407</v>
      </c>
      <c r="P493" s="518" t="s">
        <v>6225</v>
      </c>
      <c r="Q493" s="152" t="s">
        <v>5895</v>
      </c>
      <c r="R493" s="152" t="s">
        <v>6226</v>
      </c>
      <c r="S493" s="152" t="s">
        <v>6227</v>
      </c>
      <c r="T493" s="152" t="s">
        <v>6228</v>
      </c>
      <c r="U493" s="152" t="s">
        <v>786</v>
      </c>
    </row>
    <row r="494" spans="4:21">
      <c r="D494" s="152" t="s">
        <v>2821</v>
      </c>
      <c r="E494" s="821" t="s">
        <v>676</v>
      </c>
      <c r="F494" s="684" t="str">
        <f>+VLOOKUP(G494,Resumen_Base!$C$8:$G$156,5,0)</f>
        <v>Tips</v>
      </c>
      <c r="G494" s="474" t="s">
        <v>366</v>
      </c>
      <c r="H494" s="210" t="s">
        <v>367</v>
      </c>
      <c r="I494" s="152" t="str">
        <f t="shared" si="7"/>
        <v>CAR210609</v>
      </c>
      <c r="J494" s="513">
        <v>-632250</v>
      </c>
      <c r="K494" s="513">
        <v>-450</v>
      </c>
      <c r="L494" s="513">
        <v>1405</v>
      </c>
      <c r="M494" s="513" t="s">
        <v>6059</v>
      </c>
      <c r="N494" s="513" t="s">
        <v>1566</v>
      </c>
      <c r="O494" s="513" t="s">
        <v>1407</v>
      </c>
      <c r="P494" s="518" t="s">
        <v>6225</v>
      </c>
      <c r="Q494" s="152" t="s">
        <v>5895</v>
      </c>
      <c r="R494" s="152" t="s">
        <v>6226</v>
      </c>
      <c r="S494" s="152" t="s">
        <v>6227</v>
      </c>
      <c r="T494" s="152" t="s">
        <v>6228</v>
      </c>
      <c r="U494" s="152" t="s">
        <v>786</v>
      </c>
    </row>
    <row r="495" spans="4:21">
      <c r="D495" s="152" t="s">
        <v>2821</v>
      </c>
      <c r="E495" s="821" t="s">
        <v>676</v>
      </c>
      <c r="F495" s="684" t="str">
        <f>+VLOOKUP(G495,Resumen_Base!$C$8:$G$156,5,0)</f>
        <v>Tips</v>
      </c>
      <c r="G495" s="474" t="s">
        <v>366</v>
      </c>
      <c r="H495" s="210" t="s">
        <v>367</v>
      </c>
      <c r="I495" s="152" t="str">
        <f t="shared" si="7"/>
        <v>CAR210609</v>
      </c>
      <c r="J495" s="513">
        <v>-467865</v>
      </c>
      <c r="K495" s="513">
        <v>-333</v>
      </c>
      <c r="L495" s="513">
        <v>1405</v>
      </c>
      <c r="M495" s="513" t="s">
        <v>6059</v>
      </c>
      <c r="N495" s="513" t="s">
        <v>1566</v>
      </c>
      <c r="O495" s="513" t="s">
        <v>1407</v>
      </c>
      <c r="P495" s="518" t="s">
        <v>6229</v>
      </c>
      <c r="Q495" s="152" t="s">
        <v>5895</v>
      </c>
      <c r="R495" s="152" t="s">
        <v>6230</v>
      </c>
      <c r="S495" s="152" t="s">
        <v>6227</v>
      </c>
      <c r="T495" s="152" t="s">
        <v>6231</v>
      </c>
      <c r="U495" s="152" t="s">
        <v>786</v>
      </c>
    </row>
    <row r="496" spans="4:21">
      <c r="D496" s="152" t="s">
        <v>2821</v>
      </c>
      <c r="E496" s="821" t="s">
        <v>676</v>
      </c>
      <c r="F496" s="684" t="str">
        <f>+VLOOKUP(G496,Resumen_Base!$C$8:$G$156,5,0)</f>
        <v>Tips</v>
      </c>
      <c r="G496" s="474" t="s">
        <v>366</v>
      </c>
      <c r="H496" s="210" t="s">
        <v>367</v>
      </c>
      <c r="I496" s="152" t="str">
        <f t="shared" si="7"/>
        <v>CAR210609</v>
      </c>
      <c r="J496" s="513">
        <v>-234635</v>
      </c>
      <c r="K496" s="513">
        <v>-167</v>
      </c>
      <c r="L496" s="513">
        <v>1405</v>
      </c>
      <c r="M496" s="513" t="s">
        <v>6059</v>
      </c>
      <c r="N496" s="513" t="s">
        <v>1566</v>
      </c>
      <c r="O496" s="513" t="s">
        <v>1407</v>
      </c>
      <c r="P496" s="518" t="s">
        <v>6229</v>
      </c>
      <c r="Q496" s="152" t="s">
        <v>5895</v>
      </c>
      <c r="R496" s="152" t="s">
        <v>6230</v>
      </c>
      <c r="S496" s="152" t="s">
        <v>6227</v>
      </c>
      <c r="T496" s="152" t="s">
        <v>6231</v>
      </c>
      <c r="U496" s="152" t="s">
        <v>786</v>
      </c>
    </row>
    <row r="497" spans="4:21">
      <c r="D497" s="152" t="s">
        <v>2821</v>
      </c>
      <c r="E497" s="821" t="s">
        <v>676</v>
      </c>
      <c r="F497" s="684" t="str">
        <f>+VLOOKUP(G497,Resumen_Base!$C$8:$G$156,5,0)</f>
        <v>Tips</v>
      </c>
      <c r="G497" s="474" t="s">
        <v>366</v>
      </c>
      <c r="H497" s="210" t="s">
        <v>367</v>
      </c>
      <c r="I497" s="152" t="str">
        <f t="shared" si="7"/>
        <v>CAR210609</v>
      </c>
      <c r="J497" s="513">
        <v>-281000</v>
      </c>
      <c r="K497" s="513">
        <v>-200</v>
      </c>
      <c r="L497" s="513">
        <v>1405</v>
      </c>
      <c r="M497" s="513" t="s">
        <v>6059</v>
      </c>
      <c r="N497" s="513" t="s">
        <v>1566</v>
      </c>
      <c r="O497" s="513" t="s">
        <v>1407</v>
      </c>
      <c r="P497" s="518" t="s">
        <v>6232</v>
      </c>
      <c r="Q497" s="152" t="s">
        <v>5895</v>
      </c>
      <c r="R497" s="152" t="s">
        <v>6233</v>
      </c>
      <c r="S497" s="152" t="s">
        <v>6227</v>
      </c>
      <c r="T497" s="152" t="s">
        <v>6234</v>
      </c>
      <c r="U497" s="152" t="s">
        <v>786</v>
      </c>
    </row>
    <row r="498" spans="4:21">
      <c r="D498" s="152" t="s">
        <v>2821</v>
      </c>
      <c r="E498" s="821" t="s">
        <v>676</v>
      </c>
      <c r="F498" s="684" t="str">
        <f>+VLOOKUP(G498,Resumen_Base!$C$8:$G$156,5,0)</f>
        <v>Tips</v>
      </c>
      <c r="G498" s="474" t="s">
        <v>366</v>
      </c>
      <c r="H498" s="210" t="s">
        <v>367</v>
      </c>
      <c r="I498" s="152" t="str">
        <f t="shared" si="7"/>
        <v>CAR210609</v>
      </c>
      <c r="J498" s="513">
        <v>-843000</v>
      </c>
      <c r="K498" s="513">
        <v>-600</v>
      </c>
      <c r="L498" s="513">
        <v>1405</v>
      </c>
      <c r="M498" s="513" t="s">
        <v>6059</v>
      </c>
      <c r="N498" s="513" t="s">
        <v>1566</v>
      </c>
      <c r="O498" s="513" t="s">
        <v>1407</v>
      </c>
      <c r="P498" s="518" t="s">
        <v>6232</v>
      </c>
      <c r="Q498" s="152" t="s">
        <v>5895</v>
      </c>
      <c r="R498" s="152" t="s">
        <v>6233</v>
      </c>
      <c r="S498" s="152" t="s">
        <v>6227</v>
      </c>
      <c r="T498" s="152" t="s">
        <v>6234</v>
      </c>
      <c r="U498" s="152" t="s">
        <v>786</v>
      </c>
    </row>
    <row r="499" spans="4:21">
      <c r="D499" s="152" t="s">
        <v>2821</v>
      </c>
      <c r="E499" s="821" t="s">
        <v>676</v>
      </c>
      <c r="F499" s="684" t="str">
        <f>+VLOOKUP(G499,Resumen_Base!$C$8:$G$156,5,0)</f>
        <v>Tips</v>
      </c>
      <c r="G499" s="474" t="s">
        <v>366</v>
      </c>
      <c r="H499" s="210" t="s">
        <v>367</v>
      </c>
      <c r="I499" s="152" t="str">
        <f t="shared" si="7"/>
        <v>CAR210609</v>
      </c>
      <c r="J499" s="513">
        <v>-772750</v>
      </c>
      <c r="K499" s="513">
        <v>-550</v>
      </c>
      <c r="L499" s="513">
        <v>1405</v>
      </c>
      <c r="M499" s="513" t="s">
        <v>6059</v>
      </c>
      <c r="N499" s="513" t="s">
        <v>1566</v>
      </c>
      <c r="O499" s="513" t="s">
        <v>1407</v>
      </c>
      <c r="P499" s="518" t="s">
        <v>6235</v>
      </c>
      <c r="Q499" s="152" t="s">
        <v>5895</v>
      </c>
      <c r="R499" s="152" t="s">
        <v>6236</v>
      </c>
      <c r="S499" s="152" t="s">
        <v>6227</v>
      </c>
      <c r="T499" s="152" t="s">
        <v>6237</v>
      </c>
      <c r="U499" s="152" t="s">
        <v>786</v>
      </c>
    </row>
    <row r="500" spans="4:21">
      <c r="D500" s="152" t="s">
        <v>2821</v>
      </c>
      <c r="E500" s="821" t="s">
        <v>676</v>
      </c>
      <c r="F500" s="684" t="str">
        <f>+VLOOKUP(G500,Resumen_Base!$C$8:$G$156,5,0)</f>
        <v>Tips</v>
      </c>
      <c r="G500" s="474" t="s">
        <v>366</v>
      </c>
      <c r="H500" s="210" t="s">
        <v>367</v>
      </c>
      <c r="I500" s="152" t="str">
        <f t="shared" si="7"/>
        <v>CAR210609</v>
      </c>
      <c r="J500" s="513">
        <v>-632250</v>
      </c>
      <c r="K500" s="513">
        <v>-450</v>
      </c>
      <c r="L500" s="513">
        <v>1405</v>
      </c>
      <c r="M500" s="513" t="s">
        <v>6059</v>
      </c>
      <c r="N500" s="513" t="s">
        <v>1566</v>
      </c>
      <c r="O500" s="513" t="s">
        <v>1407</v>
      </c>
      <c r="P500" s="518" t="s">
        <v>6235</v>
      </c>
      <c r="Q500" s="152" t="s">
        <v>5895</v>
      </c>
      <c r="R500" s="152" t="s">
        <v>6236</v>
      </c>
      <c r="S500" s="152" t="s">
        <v>6227</v>
      </c>
      <c r="T500" s="152" t="s">
        <v>6237</v>
      </c>
      <c r="U500" s="152" t="s">
        <v>786</v>
      </c>
    </row>
    <row r="501" spans="4:21">
      <c r="D501" s="152" t="s">
        <v>2821</v>
      </c>
      <c r="E501" s="821" t="s">
        <v>676</v>
      </c>
      <c r="F501" s="684" t="str">
        <f>+VLOOKUP(G501,Resumen_Base!$C$8:$G$156,5,0)</f>
        <v>Tips</v>
      </c>
      <c r="G501" s="474" t="s">
        <v>366</v>
      </c>
      <c r="H501" s="210" t="s">
        <v>367</v>
      </c>
      <c r="I501" s="152" t="str">
        <f t="shared" si="7"/>
        <v>CAR210609</v>
      </c>
      <c r="J501" s="513">
        <v>-281000</v>
      </c>
      <c r="K501" s="513">
        <v>-200</v>
      </c>
      <c r="L501" s="513">
        <v>1405</v>
      </c>
      <c r="M501" s="513" t="s">
        <v>6059</v>
      </c>
      <c r="N501" s="513" t="s">
        <v>1566</v>
      </c>
      <c r="O501" s="513" t="s">
        <v>1407</v>
      </c>
      <c r="P501" s="518" t="s">
        <v>6238</v>
      </c>
      <c r="Q501" s="152" t="s">
        <v>5895</v>
      </c>
      <c r="R501" s="152" t="s">
        <v>6239</v>
      </c>
      <c r="S501" s="152" t="s">
        <v>6240</v>
      </c>
      <c r="T501" s="152" t="s">
        <v>6241</v>
      </c>
      <c r="U501" s="152" t="s">
        <v>786</v>
      </c>
    </row>
    <row r="502" spans="4:21">
      <c r="D502" s="152" t="s">
        <v>2821</v>
      </c>
      <c r="E502" s="821" t="s">
        <v>676</v>
      </c>
      <c r="F502" s="684" t="str">
        <f>+VLOOKUP(G502,Resumen_Base!$C$8:$G$156,5,0)</f>
        <v>Tips</v>
      </c>
      <c r="G502" s="474" t="s">
        <v>366</v>
      </c>
      <c r="H502" s="210" t="s">
        <v>367</v>
      </c>
      <c r="I502" s="152" t="str">
        <f t="shared" si="7"/>
        <v>CAR210609</v>
      </c>
      <c r="J502" s="513">
        <v>-562000</v>
      </c>
      <c r="K502" s="513">
        <v>-400</v>
      </c>
      <c r="L502" s="513">
        <v>1405</v>
      </c>
      <c r="M502" s="513" t="s">
        <v>6059</v>
      </c>
      <c r="N502" s="513" t="s">
        <v>1566</v>
      </c>
      <c r="O502" s="513" t="s">
        <v>1407</v>
      </c>
      <c r="P502" s="518" t="s">
        <v>6238</v>
      </c>
      <c r="Q502" s="152" t="s">
        <v>5895</v>
      </c>
      <c r="R502" s="152" t="s">
        <v>6239</v>
      </c>
      <c r="S502" s="152" t="s">
        <v>6240</v>
      </c>
      <c r="T502" s="152" t="s">
        <v>6241</v>
      </c>
      <c r="U502" s="152" t="s">
        <v>786</v>
      </c>
    </row>
    <row r="503" spans="4:21">
      <c r="D503" s="152" t="s">
        <v>2821</v>
      </c>
      <c r="E503" s="821" t="s">
        <v>676</v>
      </c>
      <c r="F503" s="684" t="str">
        <f>+VLOOKUP(G503,Resumen_Base!$C$8:$G$156,5,0)</f>
        <v>Tips</v>
      </c>
      <c r="G503" s="474" t="s">
        <v>366</v>
      </c>
      <c r="H503" s="210" t="s">
        <v>367</v>
      </c>
      <c r="I503" s="152" t="str">
        <f t="shared" si="7"/>
        <v>CAR210609</v>
      </c>
      <c r="J503" s="513">
        <v>-491750</v>
      </c>
      <c r="K503" s="513">
        <v>-350</v>
      </c>
      <c r="L503" s="513">
        <v>1405</v>
      </c>
      <c r="M503" s="513" t="s">
        <v>6059</v>
      </c>
      <c r="N503" s="513" t="s">
        <v>1566</v>
      </c>
      <c r="O503" s="513" t="s">
        <v>1407</v>
      </c>
      <c r="P503" s="518" t="s">
        <v>6242</v>
      </c>
      <c r="Q503" s="152" t="s">
        <v>5895</v>
      </c>
      <c r="R503" s="152" t="s">
        <v>6243</v>
      </c>
      <c r="S503" s="152" t="s">
        <v>6240</v>
      </c>
      <c r="T503" s="152" t="s">
        <v>6244</v>
      </c>
      <c r="U503" s="152" t="s">
        <v>786</v>
      </c>
    </row>
    <row r="504" spans="4:21">
      <c r="D504" s="152" t="s">
        <v>2821</v>
      </c>
      <c r="E504" s="821" t="s">
        <v>676</v>
      </c>
      <c r="F504" s="684" t="str">
        <f>+VLOOKUP(G504,Resumen_Base!$C$8:$G$156,5,0)</f>
        <v>Tips</v>
      </c>
      <c r="G504" s="474" t="s">
        <v>366</v>
      </c>
      <c r="H504" s="210" t="s">
        <v>367</v>
      </c>
      <c r="I504" s="152" t="str">
        <f t="shared" si="7"/>
        <v>CAR210609</v>
      </c>
      <c r="J504" s="513">
        <v>-351250</v>
      </c>
      <c r="K504" s="513">
        <v>-250</v>
      </c>
      <c r="L504" s="513">
        <v>1405</v>
      </c>
      <c r="M504" s="513" t="s">
        <v>6059</v>
      </c>
      <c r="N504" s="513" t="s">
        <v>1566</v>
      </c>
      <c r="O504" s="513" t="s">
        <v>1407</v>
      </c>
      <c r="P504" s="518" t="s">
        <v>6242</v>
      </c>
      <c r="Q504" s="152" t="s">
        <v>5895</v>
      </c>
      <c r="R504" s="152" t="s">
        <v>6243</v>
      </c>
      <c r="S504" s="152" t="s">
        <v>6240</v>
      </c>
      <c r="T504" s="152" t="s">
        <v>6244</v>
      </c>
      <c r="U504" s="152" t="s">
        <v>786</v>
      </c>
    </row>
    <row r="505" spans="4:21">
      <c r="D505" s="152" t="s">
        <v>2821</v>
      </c>
      <c r="E505" s="821" t="s">
        <v>676</v>
      </c>
      <c r="F505" s="684" t="str">
        <f>+VLOOKUP(G505,Resumen_Base!$C$8:$G$156,5,0)</f>
        <v>Tips</v>
      </c>
      <c r="G505" s="474" t="s">
        <v>366</v>
      </c>
      <c r="H505" s="210" t="s">
        <v>367</v>
      </c>
      <c r="I505" s="152" t="str">
        <f t="shared" si="7"/>
        <v>CAR210609</v>
      </c>
      <c r="J505" s="513">
        <v>-140500</v>
      </c>
      <c r="K505" s="513">
        <v>-100</v>
      </c>
      <c r="L505" s="513">
        <v>1405</v>
      </c>
      <c r="M505" s="513" t="s">
        <v>6059</v>
      </c>
      <c r="N505" s="513" t="s">
        <v>1566</v>
      </c>
      <c r="O505" s="513" t="s">
        <v>1407</v>
      </c>
      <c r="P505" s="518" t="s">
        <v>6245</v>
      </c>
      <c r="Q505" s="152" t="s">
        <v>5895</v>
      </c>
      <c r="R505" s="152" t="s">
        <v>6246</v>
      </c>
      <c r="S505" s="152" t="s">
        <v>6240</v>
      </c>
      <c r="T505" s="152" t="s">
        <v>6247</v>
      </c>
      <c r="U505" s="152" t="s">
        <v>786</v>
      </c>
    </row>
    <row r="506" spans="4:21">
      <c r="D506" s="152" t="s">
        <v>2821</v>
      </c>
      <c r="E506" s="821" t="s">
        <v>676</v>
      </c>
      <c r="F506" s="684" t="str">
        <f>+VLOOKUP(G506,Resumen_Base!$C$8:$G$156,5,0)</f>
        <v>Tips</v>
      </c>
      <c r="G506" s="474" t="s">
        <v>366</v>
      </c>
      <c r="H506" s="210" t="s">
        <v>367</v>
      </c>
      <c r="I506" s="152" t="str">
        <f t="shared" si="7"/>
        <v>CAR210609</v>
      </c>
      <c r="J506" s="513">
        <v>-210750</v>
      </c>
      <c r="K506" s="513">
        <v>-150</v>
      </c>
      <c r="L506" s="513">
        <v>1405</v>
      </c>
      <c r="M506" s="513" t="s">
        <v>6059</v>
      </c>
      <c r="N506" s="513" t="s">
        <v>1566</v>
      </c>
      <c r="O506" s="513" t="s">
        <v>1407</v>
      </c>
      <c r="P506" s="518" t="s">
        <v>6245</v>
      </c>
      <c r="Q506" s="152" t="s">
        <v>5895</v>
      </c>
      <c r="R506" s="152" t="s">
        <v>6246</v>
      </c>
      <c r="S506" s="152" t="s">
        <v>6240</v>
      </c>
      <c r="T506" s="152" t="s">
        <v>6247</v>
      </c>
      <c r="U506" s="152" t="s">
        <v>786</v>
      </c>
    </row>
    <row r="507" spans="4:21">
      <c r="D507" s="152" t="s">
        <v>2821</v>
      </c>
      <c r="E507" s="821" t="s">
        <v>676</v>
      </c>
      <c r="F507" s="684" t="str">
        <f>+VLOOKUP(G507,Resumen_Base!$C$8:$G$156,5,0)</f>
        <v>Tips</v>
      </c>
      <c r="G507" s="474" t="s">
        <v>366</v>
      </c>
      <c r="H507" s="210" t="s">
        <v>367</v>
      </c>
      <c r="I507" s="152" t="str">
        <f t="shared" si="7"/>
        <v>CAR210609</v>
      </c>
      <c r="J507" s="513">
        <v>-281000</v>
      </c>
      <c r="K507" s="513">
        <v>-200</v>
      </c>
      <c r="L507" s="513">
        <v>1405</v>
      </c>
      <c r="M507" s="513" t="s">
        <v>6059</v>
      </c>
      <c r="N507" s="513" t="s">
        <v>1566</v>
      </c>
      <c r="O507" s="513" t="s">
        <v>1407</v>
      </c>
      <c r="P507" s="518" t="s">
        <v>6248</v>
      </c>
      <c r="Q507" s="152" t="s">
        <v>5895</v>
      </c>
      <c r="R507" s="152" t="s">
        <v>6249</v>
      </c>
      <c r="S507" s="152" t="s">
        <v>6240</v>
      </c>
      <c r="T507" s="152" t="s">
        <v>6250</v>
      </c>
      <c r="U507" s="152" t="s">
        <v>786</v>
      </c>
    </row>
    <row r="508" spans="4:21">
      <c r="D508" s="152" t="s">
        <v>2821</v>
      </c>
      <c r="E508" s="821" t="s">
        <v>676</v>
      </c>
      <c r="F508" s="684" t="str">
        <f>+VLOOKUP(G508,Resumen_Base!$C$8:$G$156,5,0)</f>
        <v>Tips</v>
      </c>
      <c r="G508" s="474" t="s">
        <v>366</v>
      </c>
      <c r="H508" s="210" t="s">
        <v>367</v>
      </c>
      <c r="I508" s="152" t="str">
        <f t="shared" si="7"/>
        <v>CAR210609</v>
      </c>
      <c r="J508" s="513">
        <v>-210750</v>
      </c>
      <c r="K508" s="513">
        <v>-150</v>
      </c>
      <c r="L508" s="513">
        <v>1405</v>
      </c>
      <c r="M508" s="513" t="s">
        <v>6059</v>
      </c>
      <c r="N508" s="513" t="s">
        <v>1566</v>
      </c>
      <c r="O508" s="513" t="s">
        <v>1407</v>
      </c>
      <c r="P508" s="518" t="s">
        <v>6248</v>
      </c>
      <c r="Q508" s="152" t="s">
        <v>5895</v>
      </c>
      <c r="R508" s="152" t="s">
        <v>6249</v>
      </c>
      <c r="S508" s="152" t="s">
        <v>6240</v>
      </c>
      <c r="T508" s="152" t="s">
        <v>6250</v>
      </c>
      <c r="U508" s="152" t="s">
        <v>786</v>
      </c>
    </row>
    <row r="509" spans="4:21">
      <c r="D509" s="152" t="s">
        <v>2821</v>
      </c>
      <c r="E509" s="821" t="s">
        <v>676</v>
      </c>
      <c r="F509" s="684" t="str">
        <f>+VLOOKUP(G509,Resumen_Base!$C$8:$G$156,5,0)</f>
        <v>Tips</v>
      </c>
      <c r="G509" s="474" t="s">
        <v>366</v>
      </c>
      <c r="H509" s="210" t="s">
        <v>367</v>
      </c>
      <c r="I509" s="152" t="str">
        <f t="shared" si="7"/>
        <v>CAR210609</v>
      </c>
      <c r="J509" s="513">
        <v>-562000</v>
      </c>
      <c r="K509" s="513">
        <v>-400</v>
      </c>
      <c r="L509" s="513">
        <v>1405</v>
      </c>
      <c r="M509" s="513" t="s">
        <v>6059</v>
      </c>
      <c r="N509" s="513" t="s">
        <v>1566</v>
      </c>
      <c r="O509" s="513" t="s">
        <v>1407</v>
      </c>
      <c r="P509" s="518" t="s">
        <v>6251</v>
      </c>
      <c r="Q509" s="152" t="s">
        <v>5895</v>
      </c>
      <c r="R509" s="152" t="s">
        <v>6252</v>
      </c>
      <c r="S509" s="152" t="s">
        <v>6240</v>
      </c>
      <c r="T509" s="152" t="s">
        <v>6253</v>
      </c>
      <c r="U509" s="152" t="s">
        <v>786</v>
      </c>
    </row>
    <row r="510" spans="4:21">
      <c r="D510" s="152" t="s">
        <v>2821</v>
      </c>
      <c r="E510" s="821" t="s">
        <v>676</v>
      </c>
      <c r="F510" s="684" t="str">
        <f>+VLOOKUP(G510,Resumen_Base!$C$8:$G$156,5,0)</f>
        <v>Tips</v>
      </c>
      <c r="G510" s="474" t="s">
        <v>366</v>
      </c>
      <c r="H510" s="210" t="s">
        <v>367</v>
      </c>
      <c r="I510" s="152" t="str">
        <f t="shared" si="7"/>
        <v>CAR210609</v>
      </c>
      <c r="J510" s="513">
        <v>-140500</v>
      </c>
      <c r="K510" s="513">
        <v>-100</v>
      </c>
      <c r="L510" s="513">
        <v>1405</v>
      </c>
      <c r="M510" s="513" t="s">
        <v>6059</v>
      </c>
      <c r="N510" s="513" t="s">
        <v>1566</v>
      </c>
      <c r="O510" s="513" t="s">
        <v>1407</v>
      </c>
      <c r="P510" s="518" t="s">
        <v>6251</v>
      </c>
      <c r="Q510" s="152" t="s">
        <v>5895</v>
      </c>
      <c r="R510" s="152" t="s">
        <v>6252</v>
      </c>
      <c r="S510" s="152" t="s">
        <v>6240</v>
      </c>
      <c r="T510" s="152" t="s">
        <v>6253</v>
      </c>
      <c r="U510" s="152" t="s">
        <v>786</v>
      </c>
    </row>
    <row r="511" spans="4:21">
      <c r="D511" s="152" t="s">
        <v>2821</v>
      </c>
      <c r="E511" s="821" t="s">
        <v>676</v>
      </c>
      <c r="F511" s="684" t="str">
        <f>+VLOOKUP(G511,Resumen_Base!$C$8:$G$156,5,0)</f>
        <v>Tips</v>
      </c>
      <c r="G511" s="474" t="s">
        <v>366</v>
      </c>
      <c r="H511" s="210" t="s">
        <v>367</v>
      </c>
      <c r="I511" s="152" t="str">
        <f t="shared" si="7"/>
        <v>CAR210609</v>
      </c>
      <c r="J511" s="513">
        <v>-421500</v>
      </c>
      <c r="K511" s="513">
        <v>-300</v>
      </c>
      <c r="L511" s="513">
        <v>1405</v>
      </c>
      <c r="M511" s="513" t="s">
        <v>6059</v>
      </c>
      <c r="N511" s="513" t="s">
        <v>1566</v>
      </c>
      <c r="O511" s="513" t="s">
        <v>1407</v>
      </c>
      <c r="P511" s="518" t="s">
        <v>6254</v>
      </c>
      <c r="Q511" s="152" t="s">
        <v>5895</v>
      </c>
      <c r="R511" s="152" t="s">
        <v>6255</v>
      </c>
      <c r="S511" s="152" t="s">
        <v>6240</v>
      </c>
      <c r="T511" s="152" t="s">
        <v>6256</v>
      </c>
      <c r="U511" s="152" t="s">
        <v>786</v>
      </c>
    </row>
    <row r="512" spans="4:21">
      <c r="D512" s="152" t="s">
        <v>2821</v>
      </c>
      <c r="E512" s="821" t="s">
        <v>676</v>
      </c>
      <c r="F512" s="684" t="str">
        <f>+VLOOKUP(G512,Resumen_Base!$C$8:$G$156,5,0)</f>
        <v>Tips</v>
      </c>
      <c r="G512" s="474" t="s">
        <v>366</v>
      </c>
      <c r="H512" s="210" t="s">
        <v>367</v>
      </c>
      <c r="I512" s="152" t="str">
        <f t="shared" si="7"/>
        <v>CAR210609</v>
      </c>
      <c r="J512" s="513">
        <v>-281000</v>
      </c>
      <c r="K512" s="513">
        <v>-200</v>
      </c>
      <c r="L512" s="513">
        <v>1405</v>
      </c>
      <c r="M512" s="513" t="s">
        <v>6059</v>
      </c>
      <c r="N512" s="513" t="s">
        <v>1566</v>
      </c>
      <c r="O512" s="513" t="s">
        <v>1407</v>
      </c>
      <c r="P512" s="518" t="s">
        <v>6254</v>
      </c>
      <c r="Q512" s="152" t="s">
        <v>5895</v>
      </c>
      <c r="R512" s="152" t="s">
        <v>6255</v>
      </c>
      <c r="S512" s="152" t="s">
        <v>6240</v>
      </c>
      <c r="T512" s="152" t="s">
        <v>6256</v>
      </c>
      <c r="U512" s="152" t="s">
        <v>786</v>
      </c>
    </row>
    <row r="513" spans="4:21">
      <c r="D513" s="152" t="s">
        <v>2821</v>
      </c>
      <c r="E513" s="821" t="s">
        <v>676</v>
      </c>
      <c r="F513" s="684" t="str">
        <f>+VLOOKUP(G513,Resumen_Base!$C$8:$G$156,5,0)</f>
        <v>Tips</v>
      </c>
      <c r="G513" s="474" t="s">
        <v>366</v>
      </c>
      <c r="H513" s="210" t="s">
        <v>367</v>
      </c>
      <c r="I513" s="152" t="str">
        <f t="shared" si="7"/>
        <v>CAR210609</v>
      </c>
      <c r="J513" s="513">
        <v>-224800</v>
      </c>
      <c r="K513" s="513">
        <v>-160</v>
      </c>
      <c r="L513" s="513">
        <v>1405</v>
      </c>
      <c r="M513" s="513" t="s">
        <v>6059</v>
      </c>
      <c r="N513" s="513" t="s">
        <v>1566</v>
      </c>
      <c r="O513" s="513" t="s">
        <v>1407</v>
      </c>
      <c r="P513" s="518" t="s">
        <v>6257</v>
      </c>
      <c r="Q513" s="152" t="s">
        <v>5895</v>
      </c>
      <c r="R513" s="152" t="s">
        <v>6258</v>
      </c>
      <c r="S513" s="152" t="s">
        <v>6259</v>
      </c>
      <c r="T513" s="152" t="s">
        <v>6260</v>
      </c>
      <c r="U513" s="152" t="s">
        <v>786</v>
      </c>
    </row>
    <row r="514" spans="4:21">
      <c r="D514" s="152" t="s">
        <v>2821</v>
      </c>
      <c r="E514" s="821" t="s">
        <v>676</v>
      </c>
      <c r="F514" s="684" t="str">
        <f>+VLOOKUP(G514,Resumen_Base!$C$8:$G$156,5,0)</f>
        <v>Tips</v>
      </c>
      <c r="G514" s="474" t="s">
        <v>366</v>
      </c>
      <c r="H514" s="210" t="s">
        <v>367</v>
      </c>
      <c r="I514" s="152" t="str">
        <f t="shared" si="7"/>
        <v>CAR210609</v>
      </c>
      <c r="J514" s="513">
        <v>-337200</v>
      </c>
      <c r="K514" s="513">
        <v>-240</v>
      </c>
      <c r="L514" s="513">
        <v>1405</v>
      </c>
      <c r="M514" s="513" t="s">
        <v>6059</v>
      </c>
      <c r="N514" s="513" t="s">
        <v>1566</v>
      </c>
      <c r="O514" s="513" t="s">
        <v>1407</v>
      </c>
      <c r="P514" s="518" t="s">
        <v>6257</v>
      </c>
      <c r="Q514" s="152" t="s">
        <v>5895</v>
      </c>
      <c r="R514" s="152" t="s">
        <v>6258</v>
      </c>
      <c r="S514" s="152" t="s">
        <v>6259</v>
      </c>
      <c r="T514" s="152" t="s">
        <v>6260</v>
      </c>
      <c r="U514" s="152" t="s">
        <v>786</v>
      </c>
    </row>
    <row r="515" spans="4:21">
      <c r="D515" s="152" t="s">
        <v>2821</v>
      </c>
      <c r="E515" s="821" t="s">
        <v>676</v>
      </c>
      <c r="F515" s="684" t="str">
        <f>+VLOOKUP(G515,Resumen_Base!$C$8:$G$156,5,0)</f>
        <v>Tips</v>
      </c>
      <c r="G515" s="474" t="s">
        <v>366</v>
      </c>
      <c r="H515" s="210" t="s">
        <v>367</v>
      </c>
      <c r="I515" s="152" t="str">
        <f t="shared" si="7"/>
        <v>CAR210609</v>
      </c>
      <c r="J515" s="513">
        <v>-224800</v>
      </c>
      <c r="K515" s="513">
        <v>-160</v>
      </c>
      <c r="L515" s="513">
        <v>1405</v>
      </c>
      <c r="M515" s="513" t="s">
        <v>6059</v>
      </c>
      <c r="N515" s="513" t="s">
        <v>1566</v>
      </c>
      <c r="O515" s="513" t="s">
        <v>1407</v>
      </c>
      <c r="P515" s="518" t="s">
        <v>6261</v>
      </c>
      <c r="Q515" s="152" t="s">
        <v>5895</v>
      </c>
      <c r="R515" s="152" t="s">
        <v>6262</v>
      </c>
      <c r="S515" s="152" t="s">
        <v>6259</v>
      </c>
      <c r="T515" s="152" t="s">
        <v>6263</v>
      </c>
      <c r="U515" s="152" t="s">
        <v>786</v>
      </c>
    </row>
    <row r="516" spans="4:21">
      <c r="D516" s="152" t="s">
        <v>2821</v>
      </c>
      <c r="E516" s="821" t="s">
        <v>676</v>
      </c>
      <c r="F516" s="684" t="str">
        <f>+VLOOKUP(G516,Resumen_Base!$C$8:$G$156,5,0)</f>
        <v>Tips</v>
      </c>
      <c r="G516" s="474" t="s">
        <v>366</v>
      </c>
      <c r="H516" s="210" t="s">
        <v>367</v>
      </c>
      <c r="I516" s="152" t="str">
        <f t="shared" si="7"/>
        <v>CAR210609</v>
      </c>
      <c r="J516" s="513">
        <v>-337200</v>
      </c>
      <c r="K516" s="513">
        <v>-240</v>
      </c>
      <c r="L516" s="513">
        <v>1405</v>
      </c>
      <c r="M516" s="513" t="s">
        <v>6059</v>
      </c>
      <c r="N516" s="513" t="s">
        <v>1566</v>
      </c>
      <c r="O516" s="513" t="s">
        <v>1407</v>
      </c>
      <c r="P516" s="518" t="s">
        <v>6261</v>
      </c>
      <c r="Q516" s="152" t="s">
        <v>5895</v>
      </c>
      <c r="R516" s="152" t="s">
        <v>6262</v>
      </c>
      <c r="S516" s="152" t="s">
        <v>6259</v>
      </c>
      <c r="T516" s="152" t="s">
        <v>6263</v>
      </c>
      <c r="U516" s="152" t="s">
        <v>786</v>
      </c>
    </row>
    <row r="517" spans="4:21">
      <c r="D517" s="152" t="s">
        <v>2821</v>
      </c>
      <c r="E517" s="821" t="s">
        <v>676</v>
      </c>
      <c r="F517" s="684" t="str">
        <f>+VLOOKUP(G517,Resumen_Base!$C$8:$G$156,5,0)</f>
        <v>Tips</v>
      </c>
      <c r="G517" s="474" t="s">
        <v>366</v>
      </c>
      <c r="H517" s="210" t="s">
        <v>367</v>
      </c>
      <c r="I517" s="152" t="str">
        <f t="shared" si="7"/>
        <v>CAR210609</v>
      </c>
      <c r="J517" s="513">
        <v>-337200</v>
      </c>
      <c r="K517" s="513">
        <v>-240</v>
      </c>
      <c r="L517" s="513">
        <v>1405</v>
      </c>
      <c r="M517" s="513" t="s">
        <v>6059</v>
      </c>
      <c r="N517" s="513" t="s">
        <v>1566</v>
      </c>
      <c r="O517" s="513" t="s">
        <v>1407</v>
      </c>
      <c r="P517" s="518" t="s">
        <v>6264</v>
      </c>
      <c r="Q517" s="152" t="s">
        <v>5895</v>
      </c>
      <c r="R517" s="152" t="s">
        <v>6265</v>
      </c>
      <c r="S517" s="152" t="s">
        <v>6259</v>
      </c>
      <c r="T517" s="152" t="s">
        <v>6266</v>
      </c>
      <c r="U517" s="152" t="s">
        <v>786</v>
      </c>
    </row>
    <row r="518" spans="4:21">
      <c r="D518" s="152" t="s">
        <v>2821</v>
      </c>
      <c r="E518" s="821" t="s">
        <v>676</v>
      </c>
      <c r="F518" s="684" t="str">
        <f>+VLOOKUP(G518,Resumen_Base!$C$8:$G$156,5,0)</f>
        <v>Tips</v>
      </c>
      <c r="G518" s="474" t="s">
        <v>366</v>
      </c>
      <c r="H518" s="210" t="s">
        <v>367</v>
      </c>
      <c r="I518" s="152" t="str">
        <f t="shared" si="7"/>
        <v>CAR210609</v>
      </c>
      <c r="J518" s="513">
        <v>-224800</v>
      </c>
      <c r="K518" s="513">
        <v>-160</v>
      </c>
      <c r="L518" s="513">
        <v>1405</v>
      </c>
      <c r="M518" s="513" t="s">
        <v>6059</v>
      </c>
      <c r="N518" s="513" t="s">
        <v>1566</v>
      </c>
      <c r="O518" s="513" t="s">
        <v>1407</v>
      </c>
      <c r="P518" s="518" t="s">
        <v>6264</v>
      </c>
      <c r="Q518" s="152" t="s">
        <v>5895</v>
      </c>
      <c r="R518" s="152" t="s">
        <v>6265</v>
      </c>
      <c r="S518" s="152" t="s">
        <v>6259</v>
      </c>
      <c r="T518" s="152" t="s">
        <v>6266</v>
      </c>
      <c r="U518" s="152" t="s">
        <v>786</v>
      </c>
    </row>
    <row r="519" spans="4:21">
      <c r="D519" s="152" t="s">
        <v>2821</v>
      </c>
      <c r="E519" s="821" t="s">
        <v>676</v>
      </c>
      <c r="F519" s="684" t="str">
        <f>+VLOOKUP(G519,Resumen_Base!$C$8:$G$156,5,0)</f>
        <v>Tips</v>
      </c>
      <c r="G519" s="474" t="s">
        <v>366</v>
      </c>
      <c r="H519" s="210" t="s">
        <v>367</v>
      </c>
      <c r="I519" s="152" t="str">
        <f t="shared" si="7"/>
        <v>CAR210609</v>
      </c>
      <c r="J519" s="513">
        <v>-224800</v>
      </c>
      <c r="K519" s="513">
        <v>-160</v>
      </c>
      <c r="L519" s="513">
        <v>1405</v>
      </c>
      <c r="M519" s="513" t="s">
        <v>6059</v>
      </c>
      <c r="N519" s="513" t="s">
        <v>1566</v>
      </c>
      <c r="O519" s="513" t="s">
        <v>1407</v>
      </c>
      <c r="P519" s="518" t="s">
        <v>6267</v>
      </c>
      <c r="Q519" s="152" t="s">
        <v>5895</v>
      </c>
      <c r="R519" s="152" t="s">
        <v>6268</v>
      </c>
      <c r="S519" s="152" t="s">
        <v>6259</v>
      </c>
      <c r="T519" s="152" t="s">
        <v>6269</v>
      </c>
      <c r="U519" s="152" t="s">
        <v>786</v>
      </c>
    </row>
    <row r="520" spans="4:21">
      <c r="D520" s="152" t="s">
        <v>2821</v>
      </c>
      <c r="E520" s="821" t="s">
        <v>676</v>
      </c>
      <c r="F520" s="684" t="str">
        <f>+VLOOKUP(G520,Resumen_Base!$C$8:$G$156,5,0)</f>
        <v>Tips</v>
      </c>
      <c r="G520" s="474" t="s">
        <v>366</v>
      </c>
      <c r="H520" s="210" t="s">
        <v>367</v>
      </c>
      <c r="I520" s="152" t="str">
        <f t="shared" si="7"/>
        <v>CAR210609</v>
      </c>
      <c r="J520" s="513">
        <v>-337200</v>
      </c>
      <c r="K520" s="513">
        <v>-240</v>
      </c>
      <c r="L520" s="513">
        <v>1405</v>
      </c>
      <c r="M520" s="513" t="s">
        <v>6059</v>
      </c>
      <c r="N520" s="513" t="s">
        <v>1566</v>
      </c>
      <c r="O520" s="513" t="s">
        <v>1407</v>
      </c>
      <c r="P520" s="518" t="s">
        <v>6267</v>
      </c>
      <c r="Q520" s="152" t="s">
        <v>5895</v>
      </c>
      <c r="R520" s="152" t="s">
        <v>6268</v>
      </c>
      <c r="S520" s="152" t="s">
        <v>6259</v>
      </c>
      <c r="T520" s="152" t="s">
        <v>6269</v>
      </c>
      <c r="U520" s="152" t="s">
        <v>786</v>
      </c>
    </row>
    <row r="521" spans="4:21">
      <c r="D521" s="152" t="s">
        <v>2821</v>
      </c>
      <c r="E521" s="821" t="s">
        <v>676</v>
      </c>
      <c r="F521" s="684" t="str">
        <f>+VLOOKUP(G521,Resumen_Base!$C$8:$G$156,5,0)</f>
        <v>Tips</v>
      </c>
      <c r="G521" s="474" t="s">
        <v>366</v>
      </c>
      <c r="H521" s="210" t="s">
        <v>367</v>
      </c>
      <c r="I521" s="152" t="str">
        <f t="shared" si="7"/>
        <v>CAR210609</v>
      </c>
      <c r="J521" s="513">
        <v>-421500</v>
      </c>
      <c r="K521" s="513">
        <v>-300</v>
      </c>
      <c r="L521" s="513">
        <v>1405</v>
      </c>
      <c r="M521" s="513" t="s">
        <v>6303</v>
      </c>
      <c r="N521" s="513" t="s">
        <v>1566</v>
      </c>
      <c r="O521" s="513" t="s">
        <v>1407</v>
      </c>
      <c r="P521" s="518" t="s">
        <v>6574</v>
      </c>
      <c r="Q521" s="152" t="s">
        <v>5895</v>
      </c>
      <c r="R521" s="152" t="s">
        <v>6575</v>
      </c>
      <c r="S521" s="152" t="s">
        <v>6576</v>
      </c>
      <c r="T521" s="152" t="s">
        <v>6577</v>
      </c>
      <c r="U521" s="152" t="s">
        <v>786</v>
      </c>
    </row>
    <row r="522" spans="4:21">
      <c r="D522" s="152" t="s">
        <v>2821</v>
      </c>
      <c r="E522" s="821" t="s">
        <v>676</v>
      </c>
      <c r="F522" s="684" t="str">
        <f>+VLOOKUP(G522,Resumen_Base!$C$8:$G$156,5,0)</f>
        <v>Tips</v>
      </c>
      <c r="G522" s="474" t="s">
        <v>366</v>
      </c>
      <c r="H522" s="210" t="s">
        <v>367</v>
      </c>
      <c r="I522" s="152" t="str">
        <f t="shared" si="7"/>
        <v>CAR210609</v>
      </c>
      <c r="J522" s="513">
        <v>-281000</v>
      </c>
      <c r="K522" s="513">
        <v>-200</v>
      </c>
      <c r="L522" s="513">
        <v>1405</v>
      </c>
      <c r="M522" s="513" t="s">
        <v>6303</v>
      </c>
      <c r="N522" s="513" t="s">
        <v>1566</v>
      </c>
      <c r="O522" s="513" t="s">
        <v>1407</v>
      </c>
      <c r="P522" s="518" t="s">
        <v>6574</v>
      </c>
      <c r="Q522" s="152" t="s">
        <v>5895</v>
      </c>
      <c r="R522" s="152" t="s">
        <v>6575</v>
      </c>
      <c r="S522" s="152" t="s">
        <v>6576</v>
      </c>
      <c r="T522" s="152" t="s">
        <v>6577</v>
      </c>
      <c r="U522" s="152" t="s">
        <v>786</v>
      </c>
    </row>
    <row r="523" spans="4:21">
      <c r="D523" s="152" t="s">
        <v>2821</v>
      </c>
      <c r="E523" s="821" t="s">
        <v>676</v>
      </c>
      <c r="F523" s="684" t="str">
        <f>+VLOOKUP(G523,Resumen_Base!$C$8:$G$156,5,0)</f>
        <v>Tips</v>
      </c>
      <c r="G523" s="474" t="s">
        <v>366</v>
      </c>
      <c r="H523" s="210" t="s">
        <v>367</v>
      </c>
      <c r="I523" s="152" t="str">
        <f t="shared" si="7"/>
        <v>CAR210609</v>
      </c>
      <c r="J523" s="513">
        <v>-316125</v>
      </c>
      <c r="K523" s="513">
        <v>-225</v>
      </c>
      <c r="L523" s="513">
        <v>1405</v>
      </c>
      <c r="M523" s="513" t="s">
        <v>6303</v>
      </c>
      <c r="N523" s="513" t="s">
        <v>1566</v>
      </c>
      <c r="O523" s="513" t="s">
        <v>1407</v>
      </c>
      <c r="P523" s="518" t="s">
        <v>6578</v>
      </c>
      <c r="Q523" s="152" t="s">
        <v>5895</v>
      </c>
      <c r="R523" s="152" t="s">
        <v>6579</v>
      </c>
      <c r="S523" s="152" t="s">
        <v>6576</v>
      </c>
      <c r="T523" s="152" t="s">
        <v>6580</v>
      </c>
      <c r="U523" s="152" t="s">
        <v>786</v>
      </c>
    </row>
    <row r="524" spans="4:21">
      <c r="D524" s="152" t="s">
        <v>2821</v>
      </c>
      <c r="E524" s="821" t="s">
        <v>676</v>
      </c>
      <c r="F524" s="684" t="str">
        <f>+VLOOKUP(G524,Resumen_Base!$C$8:$G$156,5,0)</f>
        <v>Tips</v>
      </c>
      <c r="G524" s="474" t="s">
        <v>366</v>
      </c>
      <c r="H524" s="210" t="s">
        <v>367</v>
      </c>
      <c r="I524" s="152" t="str">
        <f t="shared" si="7"/>
        <v>CAR210609</v>
      </c>
      <c r="J524" s="513">
        <v>-526875</v>
      </c>
      <c r="K524" s="513">
        <v>-375</v>
      </c>
      <c r="L524" s="513">
        <v>1405</v>
      </c>
      <c r="M524" s="513" t="s">
        <v>6303</v>
      </c>
      <c r="N524" s="513" t="s">
        <v>1566</v>
      </c>
      <c r="O524" s="513" t="s">
        <v>1407</v>
      </c>
      <c r="P524" s="518" t="s">
        <v>6578</v>
      </c>
      <c r="Q524" s="152" t="s">
        <v>5895</v>
      </c>
      <c r="R524" s="152" t="s">
        <v>6579</v>
      </c>
      <c r="S524" s="152" t="s">
        <v>6576</v>
      </c>
      <c r="T524" s="152" t="s">
        <v>6580</v>
      </c>
      <c r="U524" s="152" t="s">
        <v>786</v>
      </c>
    </row>
    <row r="525" spans="4:21">
      <c r="D525" s="152" t="s">
        <v>2821</v>
      </c>
      <c r="E525" s="821" t="s">
        <v>676</v>
      </c>
      <c r="F525" s="684" t="str">
        <f>+VLOOKUP(G525,Resumen_Base!$C$8:$G$156,5,0)</f>
        <v>Tips</v>
      </c>
      <c r="G525" s="474" t="s">
        <v>366</v>
      </c>
      <c r="H525" s="210" t="s">
        <v>367</v>
      </c>
      <c r="I525" s="152" t="str">
        <f t="shared" ref="I525:I588" si="8">+E525&amp;G525</f>
        <v>CAR210609</v>
      </c>
      <c r="J525" s="513">
        <v>-421500</v>
      </c>
      <c r="K525" s="513">
        <v>-300</v>
      </c>
      <c r="L525" s="513">
        <v>1405</v>
      </c>
      <c r="M525" s="513" t="s">
        <v>6303</v>
      </c>
      <c r="N525" s="513" t="s">
        <v>1566</v>
      </c>
      <c r="O525" s="513" t="s">
        <v>1407</v>
      </c>
      <c r="P525" s="518" t="s">
        <v>6581</v>
      </c>
      <c r="Q525" s="152" t="s">
        <v>5895</v>
      </c>
      <c r="R525" s="152" t="s">
        <v>6582</v>
      </c>
      <c r="S525" s="152" t="s">
        <v>6576</v>
      </c>
      <c r="T525" s="152" t="s">
        <v>6583</v>
      </c>
      <c r="U525" s="152" t="s">
        <v>786</v>
      </c>
    </row>
    <row r="526" spans="4:21">
      <c r="D526" s="152" t="s">
        <v>2821</v>
      </c>
      <c r="E526" s="821" t="s">
        <v>676</v>
      </c>
      <c r="F526" s="684" t="str">
        <f>+VLOOKUP(G526,Resumen_Base!$C$8:$G$156,5,0)</f>
        <v>Tips</v>
      </c>
      <c r="G526" s="474" t="s">
        <v>366</v>
      </c>
      <c r="H526" s="210" t="s">
        <v>367</v>
      </c>
      <c r="I526" s="152" t="str">
        <f t="shared" si="8"/>
        <v>CAR210609</v>
      </c>
      <c r="J526" s="513">
        <v>-562000</v>
      </c>
      <c r="K526" s="513">
        <v>-400</v>
      </c>
      <c r="L526" s="513">
        <v>1405</v>
      </c>
      <c r="M526" s="513" t="s">
        <v>6303</v>
      </c>
      <c r="N526" s="513" t="s">
        <v>1566</v>
      </c>
      <c r="O526" s="513" t="s">
        <v>1407</v>
      </c>
      <c r="P526" s="518" t="s">
        <v>6581</v>
      </c>
      <c r="Q526" s="152" t="s">
        <v>5895</v>
      </c>
      <c r="R526" s="152" t="s">
        <v>6582</v>
      </c>
      <c r="S526" s="152" t="s">
        <v>6576</v>
      </c>
      <c r="T526" s="152" t="s">
        <v>6583</v>
      </c>
      <c r="U526" s="152" t="s">
        <v>786</v>
      </c>
    </row>
    <row r="527" spans="4:21">
      <c r="D527" s="152" t="s">
        <v>2821</v>
      </c>
      <c r="E527" s="821" t="s">
        <v>676</v>
      </c>
      <c r="F527" s="684" t="str">
        <f>+VLOOKUP(G527,Resumen_Base!$C$8:$G$156,5,0)</f>
        <v>Tips</v>
      </c>
      <c r="G527" s="474" t="s">
        <v>366</v>
      </c>
      <c r="H527" s="210" t="s">
        <v>367</v>
      </c>
      <c r="I527" s="152" t="str">
        <f t="shared" si="8"/>
        <v>CAR210609</v>
      </c>
      <c r="J527" s="513">
        <v>-421500</v>
      </c>
      <c r="K527" s="513">
        <v>-300</v>
      </c>
      <c r="L527" s="513">
        <v>1405</v>
      </c>
      <c r="M527" s="513" t="s">
        <v>6303</v>
      </c>
      <c r="N527" s="513" t="s">
        <v>1566</v>
      </c>
      <c r="O527" s="513" t="s">
        <v>1407</v>
      </c>
      <c r="P527" s="518" t="s">
        <v>6584</v>
      </c>
      <c r="Q527" s="152" t="s">
        <v>5895</v>
      </c>
      <c r="R527" s="152" t="s">
        <v>6585</v>
      </c>
      <c r="S527" s="152" t="s">
        <v>6576</v>
      </c>
      <c r="T527" s="152" t="s">
        <v>6586</v>
      </c>
      <c r="U527" s="152" t="s">
        <v>786</v>
      </c>
    </row>
    <row r="528" spans="4:21">
      <c r="D528" s="152" t="s">
        <v>2821</v>
      </c>
      <c r="E528" s="821" t="s">
        <v>676</v>
      </c>
      <c r="F528" s="684" t="str">
        <f>+VLOOKUP(G528,Resumen_Base!$C$8:$G$156,5,0)</f>
        <v>Tips</v>
      </c>
      <c r="G528" s="474" t="s">
        <v>366</v>
      </c>
      <c r="H528" s="210" t="s">
        <v>367</v>
      </c>
      <c r="I528" s="152" t="str">
        <f t="shared" si="8"/>
        <v>CAR210609</v>
      </c>
      <c r="J528" s="513">
        <v>-281000</v>
      </c>
      <c r="K528" s="513">
        <v>-200</v>
      </c>
      <c r="L528" s="513">
        <v>1405</v>
      </c>
      <c r="M528" s="513" t="s">
        <v>6303</v>
      </c>
      <c r="N528" s="513" t="s">
        <v>1566</v>
      </c>
      <c r="O528" s="513" t="s">
        <v>1407</v>
      </c>
      <c r="P528" s="518" t="s">
        <v>6584</v>
      </c>
      <c r="Q528" s="152" t="s">
        <v>5895</v>
      </c>
      <c r="R528" s="152" t="s">
        <v>6585</v>
      </c>
      <c r="S528" s="152" t="s">
        <v>6576</v>
      </c>
      <c r="T528" s="152" t="s">
        <v>6586</v>
      </c>
      <c r="U528" s="152" t="s">
        <v>786</v>
      </c>
    </row>
    <row r="529" spans="4:21">
      <c r="D529" s="152" t="s">
        <v>2821</v>
      </c>
      <c r="E529" s="821" t="s">
        <v>676</v>
      </c>
      <c r="F529" s="684" t="str">
        <f>+VLOOKUP(G529,Resumen_Base!$C$8:$G$156,5,0)</f>
        <v>Tips</v>
      </c>
      <c r="G529" s="474" t="s">
        <v>366</v>
      </c>
      <c r="H529" s="210" t="s">
        <v>367</v>
      </c>
      <c r="I529" s="152" t="str">
        <f t="shared" si="8"/>
        <v>CAR210609</v>
      </c>
      <c r="J529" s="513">
        <v>-421500</v>
      </c>
      <c r="K529" s="513">
        <v>-300</v>
      </c>
      <c r="L529" s="513">
        <v>1405</v>
      </c>
      <c r="M529" s="513" t="s">
        <v>6303</v>
      </c>
      <c r="N529" s="513" t="s">
        <v>1566</v>
      </c>
      <c r="O529" s="513" t="s">
        <v>1407</v>
      </c>
      <c r="P529" s="518" t="s">
        <v>6587</v>
      </c>
      <c r="Q529" s="152" t="s">
        <v>5895</v>
      </c>
      <c r="R529" s="152" t="s">
        <v>6588</v>
      </c>
      <c r="S529" s="152" t="s">
        <v>6589</v>
      </c>
      <c r="T529" s="152" t="s">
        <v>6590</v>
      </c>
      <c r="U529" s="152" t="s">
        <v>786</v>
      </c>
    </row>
    <row r="530" spans="4:21">
      <c r="D530" s="152" t="s">
        <v>2821</v>
      </c>
      <c r="E530" s="821" t="s">
        <v>676</v>
      </c>
      <c r="F530" s="684" t="str">
        <f>+VLOOKUP(G530,Resumen_Base!$C$8:$G$156,5,0)</f>
        <v>Tips</v>
      </c>
      <c r="G530" s="474" t="s">
        <v>366</v>
      </c>
      <c r="H530" s="210" t="s">
        <v>367</v>
      </c>
      <c r="I530" s="152" t="str">
        <f t="shared" si="8"/>
        <v>CAR210609</v>
      </c>
      <c r="J530" s="513">
        <v>-843000</v>
      </c>
      <c r="K530" s="513">
        <v>-600</v>
      </c>
      <c r="L530" s="513">
        <v>1405</v>
      </c>
      <c r="M530" s="513" t="s">
        <v>6303</v>
      </c>
      <c r="N530" s="513" t="s">
        <v>1566</v>
      </c>
      <c r="O530" s="513" t="s">
        <v>1407</v>
      </c>
      <c r="P530" s="518" t="s">
        <v>6587</v>
      </c>
      <c r="Q530" s="152" t="s">
        <v>5895</v>
      </c>
      <c r="R530" s="152" t="s">
        <v>6588</v>
      </c>
      <c r="S530" s="152" t="s">
        <v>6589</v>
      </c>
      <c r="T530" s="152" t="s">
        <v>6590</v>
      </c>
      <c r="U530" s="152" t="s">
        <v>786</v>
      </c>
    </row>
    <row r="531" spans="4:21">
      <c r="D531" s="152" t="s">
        <v>2821</v>
      </c>
      <c r="E531" s="821" t="s">
        <v>676</v>
      </c>
      <c r="F531" s="684" t="str">
        <f>+VLOOKUP(G531,Resumen_Base!$C$8:$G$156,5,0)</f>
        <v>Tips</v>
      </c>
      <c r="G531" s="474" t="s">
        <v>366</v>
      </c>
      <c r="H531" s="210" t="s">
        <v>367</v>
      </c>
      <c r="I531" s="152" t="str">
        <f t="shared" si="8"/>
        <v>CAR210609</v>
      </c>
      <c r="J531" s="513">
        <v>-188270</v>
      </c>
      <c r="K531" s="513">
        <v>-134</v>
      </c>
      <c r="L531" s="513">
        <v>1405</v>
      </c>
      <c r="M531" s="513" t="s">
        <v>6303</v>
      </c>
      <c r="N531" s="513" t="s">
        <v>1566</v>
      </c>
      <c r="O531" s="513" t="s">
        <v>1407</v>
      </c>
      <c r="P531" s="518" t="s">
        <v>6591</v>
      </c>
      <c r="Q531" s="152" t="s">
        <v>5895</v>
      </c>
      <c r="R531" s="152" t="s">
        <v>6592</v>
      </c>
      <c r="S531" s="152" t="s">
        <v>6589</v>
      </c>
      <c r="T531" s="152" t="s">
        <v>6593</v>
      </c>
      <c r="U531" s="152" t="s">
        <v>786</v>
      </c>
    </row>
    <row r="532" spans="4:21">
      <c r="D532" s="152" t="s">
        <v>2821</v>
      </c>
      <c r="E532" s="821" t="s">
        <v>676</v>
      </c>
      <c r="F532" s="684" t="str">
        <f>+VLOOKUP(G532,Resumen_Base!$C$8:$G$156,5,0)</f>
        <v>Tips</v>
      </c>
      <c r="G532" s="474" t="s">
        <v>366</v>
      </c>
      <c r="H532" s="210" t="s">
        <v>367</v>
      </c>
      <c r="I532" s="152" t="str">
        <f t="shared" si="8"/>
        <v>CAR210609</v>
      </c>
      <c r="J532" s="513">
        <v>-373730</v>
      </c>
      <c r="K532" s="513">
        <v>-266</v>
      </c>
      <c r="L532" s="513">
        <v>1405</v>
      </c>
      <c r="M532" s="513" t="s">
        <v>6303</v>
      </c>
      <c r="N532" s="513" t="s">
        <v>1566</v>
      </c>
      <c r="O532" s="513" t="s">
        <v>1407</v>
      </c>
      <c r="P532" s="518" t="s">
        <v>6591</v>
      </c>
      <c r="Q532" s="152" t="s">
        <v>5895</v>
      </c>
      <c r="R532" s="152" t="s">
        <v>6592</v>
      </c>
      <c r="S532" s="152" t="s">
        <v>6589</v>
      </c>
      <c r="T532" s="152" t="s">
        <v>6593</v>
      </c>
      <c r="U532" s="152" t="s">
        <v>786</v>
      </c>
    </row>
    <row r="533" spans="4:21">
      <c r="D533" s="152" t="s">
        <v>2821</v>
      </c>
      <c r="E533" s="821" t="s">
        <v>676</v>
      </c>
      <c r="F533" s="684" t="str">
        <f>+VLOOKUP(G533,Resumen_Base!$C$8:$G$156,5,0)</f>
        <v>Tips</v>
      </c>
      <c r="G533" s="474" t="s">
        <v>366</v>
      </c>
      <c r="H533" s="210" t="s">
        <v>367</v>
      </c>
      <c r="I533" s="152" t="str">
        <f t="shared" si="8"/>
        <v>CAR210609</v>
      </c>
      <c r="J533" s="513">
        <v>-234635</v>
      </c>
      <c r="K533" s="513">
        <v>-167</v>
      </c>
      <c r="L533" s="513">
        <v>1405</v>
      </c>
      <c r="M533" s="513" t="s">
        <v>6303</v>
      </c>
      <c r="N533" s="513" t="s">
        <v>1566</v>
      </c>
      <c r="O533" s="513" t="s">
        <v>1407</v>
      </c>
      <c r="P533" s="518" t="s">
        <v>6594</v>
      </c>
      <c r="Q533" s="152" t="s">
        <v>5895</v>
      </c>
      <c r="R533" s="152" t="s">
        <v>6595</v>
      </c>
      <c r="S533" s="152" t="s">
        <v>6589</v>
      </c>
      <c r="T533" s="152" t="s">
        <v>6596</v>
      </c>
      <c r="U533" s="152" t="s">
        <v>786</v>
      </c>
    </row>
    <row r="534" spans="4:21">
      <c r="D534" s="152" t="s">
        <v>2821</v>
      </c>
      <c r="E534" s="821" t="s">
        <v>676</v>
      </c>
      <c r="F534" s="684" t="str">
        <f>+VLOOKUP(G534,Resumen_Base!$C$8:$G$156,5,0)</f>
        <v>Tips</v>
      </c>
      <c r="G534" s="474" t="s">
        <v>366</v>
      </c>
      <c r="H534" s="210" t="s">
        <v>367</v>
      </c>
      <c r="I534" s="152" t="str">
        <f t="shared" si="8"/>
        <v>CAR210609</v>
      </c>
      <c r="J534" s="513">
        <v>-467865</v>
      </c>
      <c r="K534" s="513">
        <v>-333</v>
      </c>
      <c r="L534" s="513">
        <v>1405</v>
      </c>
      <c r="M534" s="513" t="s">
        <v>6303</v>
      </c>
      <c r="N534" s="513" t="s">
        <v>1566</v>
      </c>
      <c r="O534" s="513" t="s">
        <v>1407</v>
      </c>
      <c r="P534" s="518" t="s">
        <v>6594</v>
      </c>
      <c r="Q534" s="152" t="s">
        <v>5895</v>
      </c>
      <c r="R534" s="152" t="s">
        <v>6595</v>
      </c>
      <c r="S534" s="152" t="s">
        <v>6589</v>
      </c>
      <c r="T534" s="152" t="s">
        <v>6596</v>
      </c>
      <c r="U534" s="152" t="s">
        <v>786</v>
      </c>
    </row>
    <row r="535" spans="4:21">
      <c r="D535" s="152" t="s">
        <v>2821</v>
      </c>
      <c r="E535" s="821" t="s">
        <v>676</v>
      </c>
      <c r="F535" s="684" t="str">
        <f>+VLOOKUP(G535,Resumen_Base!$C$8:$G$156,5,0)</f>
        <v>Tips</v>
      </c>
      <c r="G535" s="474" t="s">
        <v>366</v>
      </c>
      <c r="H535" s="210" t="s">
        <v>367</v>
      </c>
      <c r="I535" s="152" t="str">
        <f t="shared" si="8"/>
        <v>CAR210609</v>
      </c>
      <c r="J535" s="513">
        <v>-421500</v>
      </c>
      <c r="K535" s="513">
        <v>-300</v>
      </c>
      <c r="L535" s="513">
        <v>1405</v>
      </c>
      <c r="M535" s="513" t="s">
        <v>6303</v>
      </c>
      <c r="N535" s="513" t="s">
        <v>1566</v>
      </c>
      <c r="O535" s="513" t="s">
        <v>1407</v>
      </c>
      <c r="P535" s="518" t="s">
        <v>6597</v>
      </c>
      <c r="Q535" s="152" t="s">
        <v>5895</v>
      </c>
      <c r="R535" s="152" t="s">
        <v>6598</v>
      </c>
      <c r="S535" s="152" t="s">
        <v>6589</v>
      </c>
      <c r="T535" s="152" t="s">
        <v>6599</v>
      </c>
      <c r="U535" s="152" t="s">
        <v>786</v>
      </c>
    </row>
    <row r="536" spans="4:21">
      <c r="D536" s="152" t="s">
        <v>2821</v>
      </c>
      <c r="E536" s="821" t="s">
        <v>676</v>
      </c>
      <c r="F536" s="684" t="str">
        <f>+VLOOKUP(G536,Resumen_Base!$C$8:$G$156,5,0)</f>
        <v>Tips</v>
      </c>
      <c r="G536" s="474" t="s">
        <v>366</v>
      </c>
      <c r="H536" s="210" t="s">
        <v>367</v>
      </c>
      <c r="I536" s="152" t="str">
        <f t="shared" si="8"/>
        <v>CAR210609</v>
      </c>
      <c r="J536" s="513">
        <v>-843000</v>
      </c>
      <c r="K536" s="513">
        <v>-600</v>
      </c>
      <c r="L536" s="513">
        <v>1405</v>
      </c>
      <c r="M536" s="513" t="s">
        <v>6303</v>
      </c>
      <c r="N536" s="513" t="s">
        <v>1566</v>
      </c>
      <c r="O536" s="513" t="s">
        <v>1407</v>
      </c>
      <c r="P536" s="518" t="s">
        <v>6597</v>
      </c>
      <c r="Q536" s="152" t="s">
        <v>5895</v>
      </c>
      <c r="R536" s="152" t="s">
        <v>6598</v>
      </c>
      <c r="S536" s="152" t="s">
        <v>6589</v>
      </c>
      <c r="T536" s="152" t="s">
        <v>6599</v>
      </c>
      <c r="U536" s="152" t="s">
        <v>786</v>
      </c>
    </row>
    <row r="537" spans="4:21">
      <c r="D537" s="152" t="s">
        <v>2821</v>
      </c>
      <c r="E537" s="821" t="s">
        <v>676</v>
      </c>
      <c r="F537" s="684" t="str">
        <f>+VLOOKUP(G537,Resumen_Base!$C$8:$G$156,5,0)</f>
        <v>Tips</v>
      </c>
      <c r="G537" s="474" t="s">
        <v>366</v>
      </c>
      <c r="H537" s="210" t="s">
        <v>367</v>
      </c>
      <c r="I537" s="152" t="str">
        <f t="shared" si="8"/>
        <v>CAR210609</v>
      </c>
      <c r="J537" s="513">
        <v>-188270</v>
      </c>
      <c r="K537" s="513">
        <v>-134</v>
      </c>
      <c r="L537" s="513">
        <v>1405</v>
      </c>
      <c r="M537" s="513" t="s">
        <v>6303</v>
      </c>
      <c r="N537" s="513" t="s">
        <v>1566</v>
      </c>
      <c r="O537" s="513" t="s">
        <v>1407</v>
      </c>
      <c r="P537" s="518" t="s">
        <v>6600</v>
      </c>
      <c r="Q537" s="152" t="s">
        <v>5895</v>
      </c>
      <c r="R537" s="152" t="s">
        <v>6601</v>
      </c>
      <c r="S537" s="152" t="s">
        <v>6589</v>
      </c>
      <c r="T537" s="152" t="s">
        <v>6602</v>
      </c>
      <c r="U537" s="152" t="s">
        <v>786</v>
      </c>
    </row>
    <row r="538" spans="4:21">
      <c r="D538" s="152" t="s">
        <v>2821</v>
      </c>
      <c r="E538" s="821" t="s">
        <v>676</v>
      </c>
      <c r="F538" s="684" t="str">
        <f>+VLOOKUP(G538,Resumen_Base!$C$8:$G$156,5,0)</f>
        <v>Tips</v>
      </c>
      <c r="G538" s="474" t="s">
        <v>366</v>
      </c>
      <c r="H538" s="210" t="s">
        <v>367</v>
      </c>
      <c r="I538" s="152" t="str">
        <f t="shared" si="8"/>
        <v>CAR210609</v>
      </c>
      <c r="J538" s="513">
        <v>-373730</v>
      </c>
      <c r="K538" s="513">
        <v>-266</v>
      </c>
      <c r="L538" s="513">
        <v>1405</v>
      </c>
      <c r="M538" s="513" t="s">
        <v>6303</v>
      </c>
      <c r="N538" s="513" t="s">
        <v>1566</v>
      </c>
      <c r="O538" s="513" t="s">
        <v>1407</v>
      </c>
      <c r="P538" s="518" t="s">
        <v>6600</v>
      </c>
      <c r="Q538" s="152" t="s">
        <v>5895</v>
      </c>
      <c r="R538" s="152" t="s">
        <v>6601</v>
      </c>
      <c r="S538" s="152" t="s">
        <v>6589</v>
      </c>
      <c r="T538" s="152" t="s">
        <v>6602</v>
      </c>
      <c r="U538" s="152" t="s">
        <v>786</v>
      </c>
    </row>
    <row r="539" spans="4:21">
      <c r="D539" s="152" t="s">
        <v>2821</v>
      </c>
      <c r="E539" s="821" t="s">
        <v>676</v>
      </c>
      <c r="F539" s="684" t="str">
        <f>+VLOOKUP(G539,Resumen_Base!$C$8:$G$156,5,0)</f>
        <v>Tips</v>
      </c>
      <c r="G539" s="474" t="s">
        <v>366</v>
      </c>
      <c r="H539" s="210" t="s">
        <v>367</v>
      </c>
      <c r="I539" s="152" t="str">
        <f t="shared" si="8"/>
        <v>CAR210609</v>
      </c>
      <c r="J539" s="513">
        <v>-913250</v>
      </c>
      <c r="K539" s="513">
        <v>-650</v>
      </c>
      <c r="L539" s="513">
        <v>1405</v>
      </c>
      <c r="M539" s="513" t="s">
        <v>6303</v>
      </c>
      <c r="N539" s="513" t="s">
        <v>1566</v>
      </c>
      <c r="O539" s="513" t="s">
        <v>1407</v>
      </c>
      <c r="P539" s="518" t="s">
        <v>6603</v>
      </c>
      <c r="Q539" s="152" t="s">
        <v>5895</v>
      </c>
      <c r="R539" s="152" t="s">
        <v>6604</v>
      </c>
      <c r="S539" s="152" t="s">
        <v>6605</v>
      </c>
      <c r="T539" s="152" t="s">
        <v>6606</v>
      </c>
      <c r="U539" s="152" t="s">
        <v>786</v>
      </c>
    </row>
    <row r="540" spans="4:21">
      <c r="D540" s="152" t="s">
        <v>2821</v>
      </c>
      <c r="E540" s="821" t="s">
        <v>676</v>
      </c>
      <c r="F540" s="684" t="str">
        <f>+VLOOKUP(G540,Resumen_Base!$C$8:$G$156,5,0)</f>
        <v>Tips</v>
      </c>
      <c r="G540" s="474" t="s">
        <v>366</v>
      </c>
      <c r="H540" s="210" t="s">
        <v>367</v>
      </c>
      <c r="I540" s="152" t="str">
        <f t="shared" si="8"/>
        <v>CAR210609</v>
      </c>
      <c r="J540" s="513">
        <v>-491750</v>
      </c>
      <c r="K540" s="513">
        <v>-350</v>
      </c>
      <c r="L540" s="513">
        <v>1405</v>
      </c>
      <c r="M540" s="513" t="s">
        <v>6303</v>
      </c>
      <c r="N540" s="513" t="s">
        <v>1566</v>
      </c>
      <c r="O540" s="513" t="s">
        <v>1407</v>
      </c>
      <c r="P540" s="518" t="s">
        <v>6603</v>
      </c>
      <c r="Q540" s="152" t="s">
        <v>5895</v>
      </c>
      <c r="R540" s="152" t="s">
        <v>6604</v>
      </c>
      <c r="S540" s="152" t="s">
        <v>6605</v>
      </c>
      <c r="T540" s="152" t="s">
        <v>6606</v>
      </c>
      <c r="U540" s="152" t="s">
        <v>786</v>
      </c>
    </row>
    <row r="541" spans="4:21">
      <c r="D541" s="152" t="s">
        <v>2821</v>
      </c>
      <c r="E541" s="821" t="s">
        <v>676</v>
      </c>
      <c r="F541" s="684" t="str">
        <f>+VLOOKUP(G541,Resumen_Base!$C$8:$G$156,5,0)</f>
        <v>Tips</v>
      </c>
      <c r="G541" s="474" t="s">
        <v>366</v>
      </c>
      <c r="H541" s="210" t="s">
        <v>367</v>
      </c>
      <c r="I541" s="152" t="str">
        <f t="shared" si="8"/>
        <v>CAR210609</v>
      </c>
      <c r="J541" s="513">
        <v>-491750</v>
      </c>
      <c r="K541" s="513">
        <v>-350</v>
      </c>
      <c r="L541" s="513">
        <v>1405</v>
      </c>
      <c r="M541" s="513" t="s">
        <v>6303</v>
      </c>
      <c r="N541" s="513" t="s">
        <v>1566</v>
      </c>
      <c r="O541" s="513" t="s">
        <v>1407</v>
      </c>
      <c r="P541" s="518" t="s">
        <v>6607</v>
      </c>
      <c r="Q541" s="152" t="s">
        <v>5895</v>
      </c>
      <c r="R541" s="152" t="s">
        <v>6608</v>
      </c>
      <c r="S541" s="152" t="s">
        <v>6605</v>
      </c>
      <c r="T541" s="152" t="s">
        <v>6609</v>
      </c>
      <c r="U541" s="152" t="s">
        <v>786</v>
      </c>
    </row>
    <row r="542" spans="4:21">
      <c r="D542" s="152" t="s">
        <v>2821</v>
      </c>
      <c r="E542" s="821" t="s">
        <v>676</v>
      </c>
      <c r="F542" s="684" t="str">
        <f>+VLOOKUP(G542,Resumen_Base!$C$8:$G$156,5,0)</f>
        <v>Tips</v>
      </c>
      <c r="G542" s="474" t="s">
        <v>366</v>
      </c>
      <c r="H542" s="210" t="s">
        <v>367</v>
      </c>
      <c r="I542" s="152" t="str">
        <f t="shared" si="8"/>
        <v>CAR210609</v>
      </c>
      <c r="J542" s="513">
        <v>-913250</v>
      </c>
      <c r="K542" s="513">
        <v>-650</v>
      </c>
      <c r="L542" s="513">
        <v>1405</v>
      </c>
      <c r="M542" s="513" t="s">
        <v>6303</v>
      </c>
      <c r="N542" s="513" t="s">
        <v>1566</v>
      </c>
      <c r="O542" s="513" t="s">
        <v>1407</v>
      </c>
      <c r="P542" s="518" t="s">
        <v>6607</v>
      </c>
      <c r="Q542" s="152" t="s">
        <v>5895</v>
      </c>
      <c r="R542" s="152" t="s">
        <v>6608</v>
      </c>
      <c r="S542" s="152" t="s">
        <v>6605</v>
      </c>
      <c r="T542" s="152" t="s">
        <v>6609</v>
      </c>
      <c r="U542" s="152" t="s">
        <v>786</v>
      </c>
    </row>
    <row r="543" spans="4:21">
      <c r="D543" s="152" t="s">
        <v>2821</v>
      </c>
      <c r="E543" s="821" t="s">
        <v>676</v>
      </c>
      <c r="F543" s="684" t="str">
        <f>+VLOOKUP(G543,Resumen_Base!$C$8:$G$156,5,0)</f>
        <v>Tips</v>
      </c>
      <c r="G543" s="474" t="s">
        <v>366</v>
      </c>
      <c r="H543" s="210" t="s">
        <v>367</v>
      </c>
      <c r="I543" s="152" t="str">
        <f t="shared" si="8"/>
        <v>CAR210609</v>
      </c>
      <c r="J543" s="513">
        <v>-421500</v>
      </c>
      <c r="K543" s="513">
        <v>-300</v>
      </c>
      <c r="L543" s="513">
        <v>1405</v>
      </c>
      <c r="M543" s="513" t="s">
        <v>6303</v>
      </c>
      <c r="N543" s="513" t="s">
        <v>1566</v>
      </c>
      <c r="O543" s="513" t="s">
        <v>1407</v>
      </c>
      <c r="P543" s="518" t="s">
        <v>6610</v>
      </c>
      <c r="Q543" s="152" t="s">
        <v>5895</v>
      </c>
      <c r="R543" s="152" t="s">
        <v>6611</v>
      </c>
      <c r="S543" s="152" t="s">
        <v>6612</v>
      </c>
      <c r="T543" s="152" t="s">
        <v>6613</v>
      </c>
      <c r="U543" s="152" t="s">
        <v>786</v>
      </c>
    </row>
    <row r="544" spans="4:21">
      <c r="D544" s="152" t="s">
        <v>2821</v>
      </c>
      <c r="E544" s="821" t="s">
        <v>676</v>
      </c>
      <c r="F544" s="684" t="str">
        <f>+VLOOKUP(G544,Resumen_Base!$C$8:$G$156,5,0)</f>
        <v>Tips</v>
      </c>
      <c r="G544" s="474" t="s">
        <v>366</v>
      </c>
      <c r="H544" s="210" t="s">
        <v>367</v>
      </c>
      <c r="I544" s="152" t="str">
        <f t="shared" si="8"/>
        <v>CAR210609</v>
      </c>
      <c r="J544" s="513">
        <v>-843000</v>
      </c>
      <c r="K544" s="513">
        <v>-600</v>
      </c>
      <c r="L544" s="513">
        <v>1405</v>
      </c>
      <c r="M544" s="513" t="s">
        <v>6303</v>
      </c>
      <c r="N544" s="513" t="s">
        <v>1566</v>
      </c>
      <c r="O544" s="513" t="s">
        <v>1407</v>
      </c>
      <c r="P544" s="518" t="s">
        <v>6610</v>
      </c>
      <c r="Q544" s="152" t="s">
        <v>5895</v>
      </c>
      <c r="R544" s="152" t="s">
        <v>6611</v>
      </c>
      <c r="S544" s="152" t="s">
        <v>6612</v>
      </c>
      <c r="T544" s="152" t="s">
        <v>6613</v>
      </c>
      <c r="U544" s="152" t="s">
        <v>786</v>
      </c>
    </row>
    <row r="545" spans="4:21">
      <c r="D545" s="152" t="s">
        <v>2821</v>
      </c>
      <c r="E545" s="821" t="s">
        <v>676</v>
      </c>
      <c r="F545" s="684" t="str">
        <f>+VLOOKUP(G545,Resumen_Base!$C$8:$G$156,5,0)</f>
        <v>Tips</v>
      </c>
      <c r="G545" s="474" t="s">
        <v>366</v>
      </c>
      <c r="H545" s="210" t="s">
        <v>367</v>
      </c>
      <c r="I545" s="152" t="str">
        <f t="shared" si="8"/>
        <v>CAR210609</v>
      </c>
      <c r="J545" s="513">
        <v>-469270</v>
      </c>
      <c r="K545" s="513">
        <v>-334</v>
      </c>
      <c r="L545" s="513">
        <v>1405</v>
      </c>
      <c r="M545" s="513" t="s">
        <v>6303</v>
      </c>
      <c r="N545" s="513" t="s">
        <v>1566</v>
      </c>
      <c r="O545" s="513" t="s">
        <v>1407</v>
      </c>
      <c r="P545" s="518" t="s">
        <v>6614</v>
      </c>
      <c r="Q545" s="152" t="s">
        <v>5895</v>
      </c>
      <c r="R545" s="152" t="s">
        <v>6615</v>
      </c>
      <c r="S545" s="152" t="s">
        <v>6612</v>
      </c>
      <c r="T545" s="152" t="s">
        <v>6616</v>
      </c>
      <c r="U545" s="152" t="s">
        <v>786</v>
      </c>
    </row>
    <row r="546" spans="4:21">
      <c r="D546" s="152" t="s">
        <v>2821</v>
      </c>
      <c r="E546" s="821" t="s">
        <v>676</v>
      </c>
      <c r="F546" s="684" t="str">
        <f>+VLOOKUP(G546,Resumen_Base!$C$8:$G$156,5,0)</f>
        <v>Tips</v>
      </c>
      <c r="G546" s="474" t="s">
        <v>366</v>
      </c>
      <c r="H546" s="210" t="s">
        <v>367</v>
      </c>
      <c r="I546" s="152" t="str">
        <f t="shared" si="8"/>
        <v>CAR210609</v>
      </c>
      <c r="J546" s="513">
        <v>-935730</v>
      </c>
      <c r="K546" s="513">
        <v>-666</v>
      </c>
      <c r="L546" s="513">
        <v>1405</v>
      </c>
      <c r="M546" s="513" t="s">
        <v>6303</v>
      </c>
      <c r="N546" s="513" t="s">
        <v>1566</v>
      </c>
      <c r="O546" s="513" t="s">
        <v>1407</v>
      </c>
      <c r="P546" s="518" t="s">
        <v>6614</v>
      </c>
      <c r="Q546" s="152" t="s">
        <v>5895</v>
      </c>
      <c r="R546" s="152" t="s">
        <v>6615</v>
      </c>
      <c r="S546" s="152" t="s">
        <v>6612</v>
      </c>
      <c r="T546" s="152" t="s">
        <v>6616</v>
      </c>
      <c r="U546" s="152" t="s">
        <v>786</v>
      </c>
    </row>
    <row r="547" spans="4:21">
      <c r="D547" s="152" t="s">
        <v>2821</v>
      </c>
      <c r="E547" s="821" t="s">
        <v>676</v>
      </c>
      <c r="F547" s="684" t="str">
        <f>+VLOOKUP(G547,Resumen_Base!$C$8:$G$156,5,0)</f>
        <v>Tips</v>
      </c>
      <c r="G547" s="474" t="s">
        <v>366</v>
      </c>
      <c r="H547" s="210" t="s">
        <v>367</v>
      </c>
      <c r="I547" s="152" t="str">
        <f t="shared" si="8"/>
        <v>CAR210609</v>
      </c>
      <c r="J547" s="513">
        <v>-469270</v>
      </c>
      <c r="K547" s="513">
        <v>-334</v>
      </c>
      <c r="L547" s="513">
        <v>1405</v>
      </c>
      <c r="M547" s="513" t="s">
        <v>6303</v>
      </c>
      <c r="N547" s="513" t="s">
        <v>1566</v>
      </c>
      <c r="O547" s="513" t="s">
        <v>1407</v>
      </c>
      <c r="P547" s="518" t="s">
        <v>6617</v>
      </c>
      <c r="Q547" s="152" t="s">
        <v>5895</v>
      </c>
      <c r="R547" s="152" t="s">
        <v>6618</v>
      </c>
      <c r="S547" s="152" t="s">
        <v>6612</v>
      </c>
      <c r="T547" s="152" t="s">
        <v>6619</v>
      </c>
      <c r="U547" s="152" t="s">
        <v>786</v>
      </c>
    </row>
    <row r="548" spans="4:21">
      <c r="D548" s="152" t="s">
        <v>2821</v>
      </c>
      <c r="E548" s="821" t="s">
        <v>676</v>
      </c>
      <c r="F548" s="684" t="str">
        <f>+VLOOKUP(G548,Resumen_Base!$C$8:$G$156,5,0)</f>
        <v>Tips</v>
      </c>
      <c r="G548" s="474" t="s">
        <v>366</v>
      </c>
      <c r="H548" s="210" t="s">
        <v>367</v>
      </c>
      <c r="I548" s="152" t="str">
        <f t="shared" si="8"/>
        <v>CAR210609</v>
      </c>
      <c r="J548" s="513">
        <v>-935730</v>
      </c>
      <c r="K548" s="513">
        <v>-666</v>
      </c>
      <c r="L548" s="513">
        <v>1405</v>
      </c>
      <c r="M548" s="513" t="s">
        <v>6303</v>
      </c>
      <c r="N548" s="513" t="s">
        <v>1566</v>
      </c>
      <c r="O548" s="513" t="s">
        <v>1407</v>
      </c>
      <c r="P548" s="518" t="s">
        <v>6617</v>
      </c>
      <c r="Q548" s="152" t="s">
        <v>5895</v>
      </c>
      <c r="R548" s="152" t="s">
        <v>6618</v>
      </c>
      <c r="S548" s="152" t="s">
        <v>6612</v>
      </c>
      <c r="T548" s="152" t="s">
        <v>6619</v>
      </c>
      <c r="U548" s="152" t="s">
        <v>786</v>
      </c>
    </row>
    <row r="549" spans="4:21">
      <c r="D549" s="152" t="s">
        <v>2821</v>
      </c>
      <c r="E549" s="821" t="s">
        <v>676</v>
      </c>
      <c r="F549" s="684" t="str">
        <f>+VLOOKUP(G549,Resumen_Base!$C$8:$G$156,5,0)</f>
        <v>Tips</v>
      </c>
      <c r="G549" s="474" t="s">
        <v>366</v>
      </c>
      <c r="H549" s="210" t="s">
        <v>367</v>
      </c>
      <c r="I549" s="152" t="str">
        <f t="shared" si="8"/>
        <v>CAR210609</v>
      </c>
      <c r="J549" s="513">
        <v>-469270</v>
      </c>
      <c r="K549" s="513">
        <v>-334</v>
      </c>
      <c r="L549" s="513">
        <v>1405</v>
      </c>
      <c r="M549" s="513" t="s">
        <v>6303</v>
      </c>
      <c r="N549" s="513" t="s">
        <v>1566</v>
      </c>
      <c r="O549" s="513" t="s">
        <v>1407</v>
      </c>
      <c r="P549" s="518" t="s">
        <v>6620</v>
      </c>
      <c r="Q549" s="152" t="s">
        <v>5895</v>
      </c>
      <c r="R549" s="152" t="s">
        <v>6621</v>
      </c>
      <c r="S549" s="152" t="s">
        <v>6612</v>
      </c>
      <c r="T549" s="152" t="s">
        <v>6622</v>
      </c>
      <c r="U549" s="152" t="s">
        <v>786</v>
      </c>
    </row>
    <row r="550" spans="4:21">
      <c r="D550" s="152" t="s">
        <v>2821</v>
      </c>
      <c r="E550" s="821" t="s">
        <v>676</v>
      </c>
      <c r="F550" s="684" t="str">
        <f>+VLOOKUP(G550,Resumen_Base!$C$8:$G$156,5,0)</f>
        <v>Tips</v>
      </c>
      <c r="G550" s="474" t="s">
        <v>366</v>
      </c>
      <c r="H550" s="210" t="s">
        <v>367</v>
      </c>
      <c r="I550" s="152" t="str">
        <f t="shared" si="8"/>
        <v>CAR210609</v>
      </c>
      <c r="J550" s="513">
        <v>-935730</v>
      </c>
      <c r="K550" s="513">
        <v>-666</v>
      </c>
      <c r="L550" s="513">
        <v>1405</v>
      </c>
      <c r="M550" s="513" t="s">
        <v>6303</v>
      </c>
      <c r="N550" s="513" t="s">
        <v>1566</v>
      </c>
      <c r="O550" s="513" t="s">
        <v>1407</v>
      </c>
      <c r="P550" s="518" t="s">
        <v>6620</v>
      </c>
      <c r="Q550" s="152" t="s">
        <v>5895</v>
      </c>
      <c r="R550" s="152" t="s">
        <v>6621</v>
      </c>
      <c r="S550" s="152" t="s">
        <v>6612</v>
      </c>
      <c r="T550" s="152" t="s">
        <v>6622</v>
      </c>
      <c r="U550" s="152" t="s">
        <v>786</v>
      </c>
    </row>
    <row r="551" spans="4:21">
      <c r="D551" s="152" t="s">
        <v>2821</v>
      </c>
      <c r="E551" s="821" t="s">
        <v>676</v>
      </c>
      <c r="F551" s="684" t="str">
        <f>+VLOOKUP(G551,Resumen_Base!$C$8:$G$156,5,0)</f>
        <v>Tips</v>
      </c>
      <c r="G551" s="474" t="s">
        <v>366</v>
      </c>
      <c r="H551" s="210" t="s">
        <v>367</v>
      </c>
      <c r="I551" s="152" t="str">
        <f t="shared" si="8"/>
        <v>CAR210609</v>
      </c>
      <c r="J551" s="513">
        <v>-935730</v>
      </c>
      <c r="K551" s="513">
        <v>-666</v>
      </c>
      <c r="L551" s="513">
        <v>1405</v>
      </c>
      <c r="M551" s="513" t="s">
        <v>6303</v>
      </c>
      <c r="N551" s="513" t="s">
        <v>1566</v>
      </c>
      <c r="O551" s="513" t="s">
        <v>1407</v>
      </c>
      <c r="P551" s="518" t="s">
        <v>6623</v>
      </c>
      <c r="Q551" s="152" t="s">
        <v>5895</v>
      </c>
      <c r="R551" s="152" t="s">
        <v>6624</v>
      </c>
      <c r="S551" s="152" t="s">
        <v>6612</v>
      </c>
      <c r="T551" s="152" t="s">
        <v>6625</v>
      </c>
      <c r="U551" s="152" t="s">
        <v>786</v>
      </c>
    </row>
    <row r="552" spans="4:21">
      <c r="D552" s="152" t="s">
        <v>2821</v>
      </c>
      <c r="E552" s="821" t="s">
        <v>676</v>
      </c>
      <c r="F552" s="684" t="str">
        <f>+VLOOKUP(G552,Resumen_Base!$C$8:$G$156,5,0)</f>
        <v>Tips</v>
      </c>
      <c r="G552" s="474" t="s">
        <v>366</v>
      </c>
      <c r="H552" s="210" t="s">
        <v>367</v>
      </c>
      <c r="I552" s="152" t="str">
        <f t="shared" si="8"/>
        <v>CAR210609</v>
      </c>
      <c r="J552" s="513">
        <v>-483320</v>
      </c>
      <c r="K552" s="513">
        <v>-344</v>
      </c>
      <c r="L552" s="513">
        <v>1405</v>
      </c>
      <c r="M552" s="513" t="s">
        <v>6303</v>
      </c>
      <c r="N552" s="513" t="s">
        <v>1566</v>
      </c>
      <c r="O552" s="513" t="s">
        <v>1407</v>
      </c>
      <c r="P552" s="518" t="s">
        <v>6623</v>
      </c>
      <c r="Q552" s="152" t="s">
        <v>5895</v>
      </c>
      <c r="R552" s="152" t="s">
        <v>6624</v>
      </c>
      <c r="S552" s="152" t="s">
        <v>6612</v>
      </c>
      <c r="T552" s="152" t="s">
        <v>6625</v>
      </c>
      <c r="U552" s="152" t="s">
        <v>786</v>
      </c>
    </row>
    <row r="553" spans="4:21">
      <c r="D553" s="152" t="s">
        <v>2821</v>
      </c>
      <c r="E553" s="821" t="s">
        <v>676</v>
      </c>
      <c r="F553" s="684" t="str">
        <f>+VLOOKUP(G553,Resumen_Base!$C$8:$G$156,5,0)</f>
        <v>Tips</v>
      </c>
      <c r="G553" s="474" t="s">
        <v>366</v>
      </c>
      <c r="H553" s="210" t="s">
        <v>367</v>
      </c>
      <c r="I553" s="152" t="str">
        <f t="shared" si="8"/>
        <v>CAR210609</v>
      </c>
      <c r="J553" s="513">
        <v>-935730</v>
      </c>
      <c r="K553" s="513">
        <v>-666</v>
      </c>
      <c r="L553" s="513">
        <v>1405</v>
      </c>
      <c r="M553" s="513" t="s">
        <v>6303</v>
      </c>
      <c r="N553" s="513" t="s">
        <v>1566</v>
      </c>
      <c r="O553" s="513" t="s">
        <v>1407</v>
      </c>
      <c r="P553" s="518" t="s">
        <v>6626</v>
      </c>
      <c r="Q553" s="152" t="s">
        <v>5895</v>
      </c>
      <c r="R553" s="152" t="s">
        <v>6627</v>
      </c>
      <c r="S553" s="152" t="s">
        <v>6612</v>
      </c>
      <c r="T553" s="152" t="s">
        <v>6628</v>
      </c>
      <c r="U553" s="152" t="s">
        <v>786</v>
      </c>
    </row>
    <row r="554" spans="4:21">
      <c r="D554" s="152" t="s">
        <v>2821</v>
      </c>
      <c r="E554" s="821" t="s">
        <v>676</v>
      </c>
      <c r="F554" s="684" t="str">
        <f>+VLOOKUP(G554,Resumen_Base!$C$8:$G$156,5,0)</f>
        <v>Tips</v>
      </c>
      <c r="G554" s="474" t="s">
        <v>366</v>
      </c>
      <c r="H554" s="210" t="s">
        <v>367</v>
      </c>
      <c r="I554" s="152" t="str">
        <f t="shared" si="8"/>
        <v>CAR210609</v>
      </c>
      <c r="J554" s="513">
        <v>-469270</v>
      </c>
      <c r="K554" s="513">
        <v>-334</v>
      </c>
      <c r="L554" s="513">
        <v>1405</v>
      </c>
      <c r="M554" s="513" t="s">
        <v>6303</v>
      </c>
      <c r="N554" s="513" t="s">
        <v>1566</v>
      </c>
      <c r="O554" s="513" t="s">
        <v>1407</v>
      </c>
      <c r="P554" s="518" t="s">
        <v>6626</v>
      </c>
      <c r="Q554" s="152" t="s">
        <v>5895</v>
      </c>
      <c r="R554" s="152" t="s">
        <v>6627</v>
      </c>
      <c r="S554" s="152" t="s">
        <v>6612</v>
      </c>
      <c r="T554" s="152" t="s">
        <v>6628</v>
      </c>
      <c r="U554" s="152" t="s">
        <v>786</v>
      </c>
    </row>
    <row r="555" spans="4:21">
      <c r="D555" s="152" t="s">
        <v>2821</v>
      </c>
      <c r="E555" s="821" t="s">
        <v>676</v>
      </c>
      <c r="F555" s="684" t="str">
        <f>+VLOOKUP(G555,Resumen_Base!$C$8:$G$156,5,0)</f>
        <v>Tips</v>
      </c>
      <c r="G555" s="474" t="s">
        <v>366</v>
      </c>
      <c r="H555" s="210" t="s">
        <v>367</v>
      </c>
      <c r="I555" s="152" t="str">
        <f t="shared" si="8"/>
        <v>CAR210609</v>
      </c>
      <c r="J555" s="513">
        <v>-469270</v>
      </c>
      <c r="K555" s="513">
        <v>-334</v>
      </c>
      <c r="L555" s="513">
        <v>1405</v>
      </c>
      <c r="M555" s="513" t="s">
        <v>6303</v>
      </c>
      <c r="N555" s="513" t="s">
        <v>1566</v>
      </c>
      <c r="O555" s="513" t="s">
        <v>1407</v>
      </c>
      <c r="P555" s="518" t="s">
        <v>6629</v>
      </c>
      <c r="Q555" s="152" t="s">
        <v>5895</v>
      </c>
      <c r="R555" s="152" t="s">
        <v>6630</v>
      </c>
      <c r="S555" s="152" t="s">
        <v>6612</v>
      </c>
      <c r="T555" s="152" t="s">
        <v>6631</v>
      </c>
      <c r="U555" s="152" t="s">
        <v>786</v>
      </c>
    </row>
    <row r="556" spans="4:21">
      <c r="D556" s="152" t="s">
        <v>2821</v>
      </c>
      <c r="E556" s="821" t="s">
        <v>676</v>
      </c>
      <c r="F556" s="684" t="str">
        <f>+VLOOKUP(G556,Resumen_Base!$C$8:$G$156,5,0)</f>
        <v>Tips</v>
      </c>
      <c r="G556" s="474" t="s">
        <v>366</v>
      </c>
      <c r="H556" s="210" t="s">
        <v>367</v>
      </c>
      <c r="I556" s="152" t="str">
        <f t="shared" si="8"/>
        <v>CAR210609</v>
      </c>
      <c r="J556" s="513">
        <v>-935730</v>
      </c>
      <c r="K556" s="513">
        <v>-666</v>
      </c>
      <c r="L556" s="513">
        <v>1405</v>
      </c>
      <c r="M556" s="513" t="s">
        <v>6303</v>
      </c>
      <c r="N556" s="513" t="s">
        <v>1566</v>
      </c>
      <c r="O556" s="513" t="s">
        <v>1407</v>
      </c>
      <c r="P556" s="518" t="s">
        <v>6629</v>
      </c>
      <c r="Q556" s="152" t="s">
        <v>5895</v>
      </c>
      <c r="R556" s="152" t="s">
        <v>6630</v>
      </c>
      <c r="S556" s="152" t="s">
        <v>6612</v>
      </c>
      <c r="T556" s="152" t="s">
        <v>6631</v>
      </c>
      <c r="U556" s="152" t="s">
        <v>786</v>
      </c>
    </row>
    <row r="557" spans="4:21">
      <c r="D557" s="152" t="s">
        <v>2821</v>
      </c>
      <c r="E557" s="821" t="s">
        <v>676</v>
      </c>
      <c r="F557" s="684" t="str">
        <f>+VLOOKUP(G557,Resumen_Base!$C$8:$G$156,5,0)</f>
        <v>Tips</v>
      </c>
      <c r="G557" s="474" t="s">
        <v>366</v>
      </c>
      <c r="H557" s="210" t="s">
        <v>367</v>
      </c>
      <c r="I557" s="152" t="str">
        <f t="shared" si="8"/>
        <v>CAR210609</v>
      </c>
      <c r="J557" s="513">
        <v>-935730</v>
      </c>
      <c r="K557" s="513">
        <v>-666</v>
      </c>
      <c r="L557" s="513">
        <v>1405</v>
      </c>
      <c r="M557" s="513" t="s">
        <v>6303</v>
      </c>
      <c r="N557" s="513" t="s">
        <v>1566</v>
      </c>
      <c r="O557" s="513" t="s">
        <v>1407</v>
      </c>
      <c r="P557" s="518" t="s">
        <v>6634</v>
      </c>
      <c r="Q557" s="152" t="s">
        <v>5895</v>
      </c>
      <c r="R557" s="152" t="s">
        <v>6635</v>
      </c>
      <c r="S557" s="152" t="s">
        <v>6612</v>
      </c>
      <c r="T557" s="152" t="s">
        <v>6636</v>
      </c>
      <c r="U557" s="152" t="s">
        <v>786</v>
      </c>
    </row>
    <row r="558" spans="4:21">
      <c r="D558" s="152" t="s">
        <v>2821</v>
      </c>
      <c r="E558" s="821" t="s">
        <v>676</v>
      </c>
      <c r="F558" s="684" t="str">
        <f>+VLOOKUP(G558,Resumen_Base!$C$8:$G$156,5,0)</f>
        <v>Tips</v>
      </c>
      <c r="G558" s="474" t="s">
        <v>366</v>
      </c>
      <c r="H558" s="210" t="s">
        <v>367</v>
      </c>
      <c r="I558" s="152" t="str">
        <f t="shared" si="8"/>
        <v>CAR210609</v>
      </c>
      <c r="J558" s="513">
        <v>-469270</v>
      </c>
      <c r="K558" s="513">
        <v>-334</v>
      </c>
      <c r="L558" s="513">
        <v>1405</v>
      </c>
      <c r="M558" s="513" t="s">
        <v>6303</v>
      </c>
      <c r="N558" s="513" t="s">
        <v>1566</v>
      </c>
      <c r="O558" s="513" t="s">
        <v>1407</v>
      </c>
      <c r="P558" s="518" t="s">
        <v>6634</v>
      </c>
      <c r="Q558" s="152" t="s">
        <v>5895</v>
      </c>
      <c r="R558" s="152" t="s">
        <v>6635</v>
      </c>
      <c r="S558" s="152" t="s">
        <v>6612</v>
      </c>
      <c r="T558" s="152" t="s">
        <v>6636</v>
      </c>
      <c r="U558" s="152" t="s">
        <v>786</v>
      </c>
    </row>
    <row r="559" spans="4:21">
      <c r="D559" s="152" t="s">
        <v>2821</v>
      </c>
      <c r="E559" s="821" t="s">
        <v>676</v>
      </c>
      <c r="F559" s="684" t="str">
        <f>+VLOOKUP(G559,Resumen_Base!$C$8:$G$156,5,0)</f>
        <v>Tips</v>
      </c>
      <c r="G559" s="474" t="s">
        <v>366</v>
      </c>
      <c r="H559" s="210" t="s">
        <v>367</v>
      </c>
      <c r="I559" s="152" t="str">
        <f t="shared" si="8"/>
        <v>CAR210609</v>
      </c>
      <c r="J559" s="513">
        <v>-469270</v>
      </c>
      <c r="K559" s="513">
        <v>-334</v>
      </c>
      <c r="L559" s="513">
        <v>1405</v>
      </c>
      <c r="M559" s="513" t="s">
        <v>6303</v>
      </c>
      <c r="N559" s="513" t="s">
        <v>1566</v>
      </c>
      <c r="O559" s="513" t="s">
        <v>1407</v>
      </c>
      <c r="P559" s="518" t="s">
        <v>6637</v>
      </c>
      <c r="Q559" s="152" t="s">
        <v>5895</v>
      </c>
      <c r="R559" s="152" t="s">
        <v>6638</v>
      </c>
      <c r="S559" s="152" t="s">
        <v>6612</v>
      </c>
      <c r="T559" s="152" t="s">
        <v>6639</v>
      </c>
      <c r="U559" s="152" t="s">
        <v>786</v>
      </c>
    </row>
    <row r="560" spans="4:21">
      <c r="D560" s="152" t="s">
        <v>2821</v>
      </c>
      <c r="E560" s="821" t="s">
        <v>676</v>
      </c>
      <c r="F560" s="684" t="str">
        <f>+VLOOKUP(G560,Resumen_Base!$C$8:$G$156,5,0)</f>
        <v>Tips</v>
      </c>
      <c r="G560" s="474" t="s">
        <v>366</v>
      </c>
      <c r="H560" s="210" t="s">
        <v>367</v>
      </c>
      <c r="I560" s="152" t="str">
        <f t="shared" si="8"/>
        <v>CAR210609</v>
      </c>
      <c r="J560" s="513">
        <v>-935730</v>
      </c>
      <c r="K560" s="513">
        <v>-666</v>
      </c>
      <c r="L560" s="513">
        <v>1405</v>
      </c>
      <c r="M560" s="513" t="s">
        <v>6303</v>
      </c>
      <c r="N560" s="513" t="s">
        <v>1566</v>
      </c>
      <c r="O560" s="513" t="s">
        <v>1407</v>
      </c>
      <c r="P560" s="518" t="s">
        <v>6637</v>
      </c>
      <c r="Q560" s="152" t="s">
        <v>5895</v>
      </c>
      <c r="R560" s="152" t="s">
        <v>6638</v>
      </c>
      <c r="S560" s="152" t="s">
        <v>6612</v>
      </c>
      <c r="T560" s="152" t="s">
        <v>6639</v>
      </c>
      <c r="U560" s="152" t="s">
        <v>786</v>
      </c>
    </row>
    <row r="561" spans="4:21" ht="37.5">
      <c r="D561" s="152" t="s">
        <v>2821</v>
      </c>
      <c r="E561" s="821" t="s">
        <v>676</v>
      </c>
      <c r="F561" s="684" t="str">
        <f>+VLOOKUP(G561,Resumen_Base!$C$8:$G$156,5,0)</f>
        <v>Transfer to and from the airport (local taxi) - Vehicle Rental</v>
      </c>
      <c r="G561" s="474" t="s">
        <v>138</v>
      </c>
      <c r="H561" s="210" t="s">
        <v>202</v>
      </c>
      <c r="I561" s="152" t="str">
        <f t="shared" si="8"/>
        <v>CAR5225</v>
      </c>
      <c r="J561" s="513">
        <v>4397650</v>
      </c>
      <c r="K561" s="513">
        <v>3130</v>
      </c>
      <c r="L561" s="513">
        <v>1405</v>
      </c>
      <c r="M561" s="513" t="s">
        <v>6059</v>
      </c>
      <c r="N561" s="513" t="s">
        <v>780</v>
      </c>
      <c r="O561" s="513" t="s">
        <v>1407</v>
      </c>
      <c r="P561" s="518" t="s">
        <v>6119</v>
      </c>
      <c r="Q561" s="152" t="s">
        <v>5873</v>
      </c>
      <c r="R561" s="152" t="s">
        <v>6120</v>
      </c>
      <c r="S561" s="152" t="s">
        <v>6124</v>
      </c>
      <c r="T561" s="152" t="s">
        <v>6122</v>
      </c>
      <c r="U561" s="152" t="s">
        <v>786</v>
      </c>
    </row>
    <row r="562" spans="4:21" ht="25">
      <c r="D562" s="152" t="s">
        <v>2821</v>
      </c>
      <c r="E562" s="821" t="s">
        <v>676</v>
      </c>
      <c r="F562" s="684" t="str">
        <f>+VLOOKUP(G562,Resumen_Base!$C$8:$G$156,5,0)</f>
        <v>Travel for personnel (employees)</v>
      </c>
      <c r="G562" s="474" t="s">
        <v>68</v>
      </c>
      <c r="H562" s="210" t="s">
        <v>69</v>
      </c>
      <c r="I562" s="152" t="str">
        <f t="shared" si="8"/>
        <v>CAR5255</v>
      </c>
      <c r="J562" s="513">
        <v>189675</v>
      </c>
      <c r="K562" s="513">
        <v>135</v>
      </c>
      <c r="L562" s="513">
        <v>1405</v>
      </c>
      <c r="M562" s="513" t="s">
        <v>6023</v>
      </c>
      <c r="N562" s="513" t="s">
        <v>780</v>
      </c>
      <c r="O562" s="513" t="s">
        <v>1407</v>
      </c>
      <c r="P562" s="518" t="s">
        <v>6024</v>
      </c>
      <c r="Q562" s="152" t="s">
        <v>5873</v>
      </c>
      <c r="R562" s="152" t="s">
        <v>6025</v>
      </c>
      <c r="S562" s="152" t="s">
        <v>6048</v>
      </c>
      <c r="T562" s="152" t="s">
        <v>6027</v>
      </c>
      <c r="U562" s="152" t="s">
        <v>786</v>
      </c>
    </row>
    <row r="563" spans="4:21" ht="25">
      <c r="D563" s="152" t="s">
        <v>2821</v>
      </c>
      <c r="E563" s="821" t="s">
        <v>676</v>
      </c>
      <c r="F563" s="684" t="str">
        <f>+VLOOKUP(G563,Resumen_Base!$C$8:$G$156,5,0)</f>
        <v>Travel for personnel (employees)</v>
      </c>
      <c r="G563" s="474" t="s">
        <v>68</v>
      </c>
      <c r="H563" s="210" t="s">
        <v>69</v>
      </c>
      <c r="I563" s="152" t="str">
        <f t="shared" si="8"/>
        <v>CAR5255</v>
      </c>
      <c r="J563" s="513">
        <v>189675</v>
      </c>
      <c r="K563" s="513">
        <v>135</v>
      </c>
      <c r="L563" s="513">
        <v>1405</v>
      </c>
      <c r="M563" s="513" t="s">
        <v>6023</v>
      </c>
      <c r="N563" s="513" t="s">
        <v>780</v>
      </c>
      <c r="O563" s="513" t="s">
        <v>1407</v>
      </c>
      <c r="P563" s="518" t="s">
        <v>6024</v>
      </c>
      <c r="Q563" s="152" t="s">
        <v>5873</v>
      </c>
      <c r="R563" s="152" t="s">
        <v>6025</v>
      </c>
      <c r="S563" s="152" t="s">
        <v>6049</v>
      </c>
      <c r="T563" s="152" t="s">
        <v>6027</v>
      </c>
      <c r="U563" s="152" t="s">
        <v>786</v>
      </c>
    </row>
    <row r="564" spans="4:21" ht="25">
      <c r="D564" s="152" t="s">
        <v>2821</v>
      </c>
      <c r="E564" s="821" t="s">
        <v>676</v>
      </c>
      <c r="F564" s="684" t="str">
        <f>+VLOOKUP(G564,Resumen_Base!$C$8:$G$156,5,0)</f>
        <v>Travel for personnel (employees)</v>
      </c>
      <c r="G564" s="474" t="s">
        <v>68</v>
      </c>
      <c r="H564" s="210" t="s">
        <v>69</v>
      </c>
      <c r="I564" s="152" t="str">
        <f t="shared" si="8"/>
        <v>CAR5255</v>
      </c>
      <c r="J564" s="513">
        <v>299265</v>
      </c>
      <c r="K564" s="513">
        <v>213</v>
      </c>
      <c r="L564" s="513">
        <v>1405</v>
      </c>
      <c r="M564" s="513" t="s">
        <v>6023</v>
      </c>
      <c r="N564" s="513" t="s">
        <v>780</v>
      </c>
      <c r="O564" s="513" t="s">
        <v>1407</v>
      </c>
      <c r="P564" s="518" t="s">
        <v>6024</v>
      </c>
      <c r="Q564" s="152" t="s">
        <v>5873</v>
      </c>
      <c r="R564" s="152" t="s">
        <v>6025</v>
      </c>
      <c r="S564" s="152" t="s">
        <v>6050</v>
      </c>
      <c r="T564" s="152" t="s">
        <v>6027</v>
      </c>
      <c r="U564" s="152" t="s">
        <v>786</v>
      </c>
    </row>
    <row r="565" spans="4:21" ht="25">
      <c r="D565" s="152" t="s">
        <v>2821</v>
      </c>
      <c r="E565" s="821" t="s">
        <v>676</v>
      </c>
      <c r="F565" s="684" t="str">
        <f>+VLOOKUP(G565,Resumen_Base!$C$8:$G$156,5,0)</f>
        <v>Travel for personnel (employees)</v>
      </c>
      <c r="G565" s="474" t="s">
        <v>68</v>
      </c>
      <c r="H565" s="210" t="s">
        <v>69</v>
      </c>
      <c r="I565" s="152" t="str">
        <f t="shared" si="8"/>
        <v>CAR5255</v>
      </c>
      <c r="J565" s="513">
        <v>328770</v>
      </c>
      <c r="K565" s="513">
        <v>234</v>
      </c>
      <c r="L565" s="513">
        <v>1405</v>
      </c>
      <c r="M565" s="513" t="s">
        <v>6023</v>
      </c>
      <c r="N565" s="513" t="s">
        <v>780</v>
      </c>
      <c r="O565" s="513" t="s">
        <v>1407</v>
      </c>
      <c r="P565" s="518" t="s">
        <v>6024</v>
      </c>
      <c r="Q565" s="152" t="s">
        <v>5873</v>
      </c>
      <c r="R565" s="152" t="s">
        <v>6025</v>
      </c>
      <c r="S565" s="152" t="s">
        <v>6051</v>
      </c>
      <c r="T565" s="152" t="s">
        <v>6027</v>
      </c>
      <c r="U565" s="152" t="s">
        <v>786</v>
      </c>
    </row>
    <row r="566" spans="4:21" ht="25">
      <c r="D566" s="152" t="s">
        <v>2821</v>
      </c>
      <c r="E566" s="821" t="s">
        <v>676</v>
      </c>
      <c r="F566" s="684" t="str">
        <f>+VLOOKUP(G566,Resumen_Base!$C$8:$G$156,5,0)</f>
        <v>Travel for personnel (employees)</v>
      </c>
      <c r="G566" s="474" t="s">
        <v>68</v>
      </c>
      <c r="H566" s="210" t="s">
        <v>69</v>
      </c>
      <c r="I566" s="152" t="str">
        <f t="shared" si="8"/>
        <v>CAR5255</v>
      </c>
      <c r="J566" s="513">
        <v>95540</v>
      </c>
      <c r="K566" s="513">
        <v>68</v>
      </c>
      <c r="L566" s="513">
        <v>1405</v>
      </c>
      <c r="M566" s="513" t="s">
        <v>6023</v>
      </c>
      <c r="N566" s="513" t="s">
        <v>780</v>
      </c>
      <c r="O566" s="513" t="s">
        <v>1407</v>
      </c>
      <c r="P566" s="518" t="s">
        <v>6024</v>
      </c>
      <c r="Q566" s="152" t="s">
        <v>5873</v>
      </c>
      <c r="R566" s="152" t="s">
        <v>6025</v>
      </c>
      <c r="S566" s="152" t="s">
        <v>6052</v>
      </c>
      <c r="T566" s="152" t="s">
        <v>6027</v>
      </c>
      <c r="U566" s="152" t="s">
        <v>786</v>
      </c>
    </row>
    <row r="567" spans="4:21" ht="25">
      <c r="D567" s="152" t="s">
        <v>2821</v>
      </c>
      <c r="E567" s="821" t="s">
        <v>676</v>
      </c>
      <c r="F567" s="684" t="str">
        <f>+VLOOKUP(G567,Resumen_Base!$C$8:$G$156,5,0)</f>
        <v>Travel for personnel (employees)</v>
      </c>
      <c r="G567" s="474" t="s">
        <v>68</v>
      </c>
      <c r="H567" s="210" t="s">
        <v>69</v>
      </c>
      <c r="I567" s="152" t="str">
        <f t="shared" si="8"/>
        <v>CAR5255</v>
      </c>
      <c r="J567" s="513">
        <v>10000</v>
      </c>
      <c r="K567" s="513">
        <v>7.1174377224199299</v>
      </c>
      <c r="L567" s="513">
        <v>1405</v>
      </c>
      <c r="M567" s="513" t="s">
        <v>6023</v>
      </c>
      <c r="N567" s="513" t="s">
        <v>780</v>
      </c>
      <c r="O567" s="513" t="s">
        <v>1407</v>
      </c>
      <c r="P567" s="518" t="s">
        <v>6035</v>
      </c>
      <c r="Q567" s="152" t="s">
        <v>5873</v>
      </c>
      <c r="R567" s="152" t="s">
        <v>6036</v>
      </c>
      <c r="S567" s="152" t="s">
        <v>6054</v>
      </c>
      <c r="T567" s="152" t="s">
        <v>6038</v>
      </c>
      <c r="U567" s="152" t="s">
        <v>786</v>
      </c>
    </row>
    <row r="568" spans="4:21" ht="25">
      <c r="D568" s="152" t="s">
        <v>2821</v>
      </c>
      <c r="E568" s="821" t="s">
        <v>676</v>
      </c>
      <c r="F568" s="684" t="str">
        <f>+VLOOKUP(G568,Resumen_Base!$C$8:$G$156,5,0)</f>
        <v>Travel for personnel (employees)</v>
      </c>
      <c r="G568" s="474" t="s">
        <v>68</v>
      </c>
      <c r="H568" s="210" t="s">
        <v>69</v>
      </c>
      <c r="I568" s="152" t="str">
        <f t="shared" si="8"/>
        <v>CAR5255</v>
      </c>
      <c r="J568" s="513">
        <v>14387.2</v>
      </c>
      <c r="K568" s="513">
        <v>10.24</v>
      </c>
      <c r="L568" s="513">
        <v>1405</v>
      </c>
      <c r="M568" s="513" t="s">
        <v>6059</v>
      </c>
      <c r="N568" s="513" t="s">
        <v>780</v>
      </c>
      <c r="O568" s="513" t="s">
        <v>1407</v>
      </c>
      <c r="P568" s="518" t="s">
        <v>6114</v>
      </c>
      <c r="Q568" s="152" t="s">
        <v>5873</v>
      </c>
      <c r="R568" s="152" t="s">
        <v>6115</v>
      </c>
      <c r="S568" s="152" t="s">
        <v>6187</v>
      </c>
      <c r="T568" s="152" t="s">
        <v>6116</v>
      </c>
      <c r="U568" s="152" t="s">
        <v>786</v>
      </c>
    </row>
    <row r="569" spans="4:21" ht="25">
      <c r="D569" s="152" t="s">
        <v>2821</v>
      </c>
      <c r="E569" s="821" t="s">
        <v>676</v>
      </c>
      <c r="F569" s="684" t="str">
        <f>+VLOOKUP(G569,Resumen_Base!$C$8:$G$156,5,0)</f>
        <v>Travel for personnel (employees)</v>
      </c>
      <c r="G569" s="474" t="s">
        <v>68</v>
      </c>
      <c r="H569" s="210" t="s">
        <v>69</v>
      </c>
      <c r="I569" s="152" t="str">
        <f t="shared" si="8"/>
        <v>CAR5255</v>
      </c>
      <c r="J569" s="513">
        <v>189675</v>
      </c>
      <c r="K569" s="513">
        <v>135</v>
      </c>
      <c r="L569" s="513">
        <v>1405</v>
      </c>
      <c r="M569" s="513" t="s">
        <v>6059</v>
      </c>
      <c r="N569" s="513" t="s">
        <v>780</v>
      </c>
      <c r="O569" s="513" t="s">
        <v>1407</v>
      </c>
      <c r="P569" s="518" t="s">
        <v>6119</v>
      </c>
      <c r="Q569" s="152" t="s">
        <v>5873</v>
      </c>
      <c r="R569" s="152" t="s">
        <v>6120</v>
      </c>
      <c r="S569" s="152" t="s">
        <v>6189</v>
      </c>
      <c r="T569" s="152" t="s">
        <v>6122</v>
      </c>
      <c r="U569" s="152" t="s">
        <v>786</v>
      </c>
    </row>
    <row r="570" spans="4:21" ht="25">
      <c r="D570" s="152" t="s">
        <v>2821</v>
      </c>
      <c r="E570" s="821" t="s">
        <v>676</v>
      </c>
      <c r="F570" s="684" t="str">
        <f>+VLOOKUP(G570,Resumen_Base!$C$8:$G$156,5,0)</f>
        <v>Travel for personnel (employees)</v>
      </c>
      <c r="G570" s="474" t="s">
        <v>68</v>
      </c>
      <c r="H570" s="210" t="s">
        <v>69</v>
      </c>
      <c r="I570" s="152" t="str">
        <f t="shared" si="8"/>
        <v>CAR5255</v>
      </c>
      <c r="J570" s="513">
        <v>72427.75</v>
      </c>
      <c r="K570" s="513">
        <v>51.55</v>
      </c>
      <c r="L570" s="513">
        <v>1405</v>
      </c>
      <c r="M570" s="513" t="s">
        <v>6303</v>
      </c>
      <c r="N570" s="513" t="s">
        <v>780</v>
      </c>
      <c r="O570" s="513" t="s">
        <v>1407</v>
      </c>
      <c r="P570" s="518" t="s">
        <v>6345</v>
      </c>
      <c r="Q570" s="152" t="s">
        <v>5873</v>
      </c>
      <c r="R570" s="152" t="s">
        <v>6346</v>
      </c>
      <c r="S570" s="152" t="s">
        <v>6515</v>
      </c>
      <c r="T570" s="152" t="s">
        <v>6348</v>
      </c>
      <c r="U570" s="152" t="s">
        <v>786</v>
      </c>
    </row>
    <row r="571" spans="4:21" ht="25">
      <c r="D571" s="152" t="s">
        <v>2821</v>
      </c>
      <c r="E571" s="821" t="s">
        <v>676</v>
      </c>
      <c r="F571" s="684" t="str">
        <f>+VLOOKUP(G571,Resumen_Base!$C$8:$G$156,5,0)</f>
        <v>Travel for personnel (employees)</v>
      </c>
      <c r="G571" s="474" t="s">
        <v>68</v>
      </c>
      <c r="H571" s="210" t="s">
        <v>69</v>
      </c>
      <c r="I571" s="152" t="str">
        <f t="shared" si="8"/>
        <v>CAR5255</v>
      </c>
      <c r="J571" s="513">
        <v>223395</v>
      </c>
      <c r="K571" s="513">
        <v>159</v>
      </c>
      <c r="L571" s="513">
        <v>1405</v>
      </c>
      <c r="M571" s="513" t="s">
        <v>6303</v>
      </c>
      <c r="N571" s="513" t="s">
        <v>780</v>
      </c>
      <c r="O571" s="513" t="s">
        <v>1407</v>
      </c>
      <c r="P571" s="518" t="s">
        <v>6369</v>
      </c>
      <c r="Q571" s="152" t="s">
        <v>5873</v>
      </c>
      <c r="R571" s="152" t="s">
        <v>6370</v>
      </c>
      <c r="S571" s="152" t="s">
        <v>6572</v>
      </c>
      <c r="T571" s="152" t="s">
        <v>6372</v>
      </c>
      <c r="U571" s="152" t="s">
        <v>786</v>
      </c>
    </row>
    <row r="572" spans="4:21" ht="25">
      <c r="D572" s="152" t="s">
        <v>2821</v>
      </c>
      <c r="E572" s="821" t="s">
        <v>676</v>
      </c>
      <c r="F572" s="684" t="str">
        <f>+VLOOKUP(G572,Resumen_Base!$C$8:$G$156,5,0)</f>
        <v>Travel for personnel (employees)</v>
      </c>
      <c r="G572" s="474" t="s">
        <v>68</v>
      </c>
      <c r="H572" s="210" t="s">
        <v>69</v>
      </c>
      <c r="I572" s="152" t="str">
        <f t="shared" si="8"/>
        <v>CAR5255</v>
      </c>
      <c r="J572" s="513">
        <v>95540</v>
      </c>
      <c r="K572" s="513">
        <v>68</v>
      </c>
      <c r="L572" s="513">
        <v>1405</v>
      </c>
      <c r="M572" s="513" t="s">
        <v>6303</v>
      </c>
      <c r="N572" s="513" t="s">
        <v>780</v>
      </c>
      <c r="O572" s="513" t="s">
        <v>1407</v>
      </c>
      <c r="P572" s="518" t="s">
        <v>6369</v>
      </c>
      <c r="Q572" s="152" t="s">
        <v>5873</v>
      </c>
      <c r="R572" s="152" t="s">
        <v>6370</v>
      </c>
      <c r="S572" s="152" t="s">
        <v>6052</v>
      </c>
      <c r="T572" s="152" t="s">
        <v>6372</v>
      </c>
      <c r="U572" s="152" t="s">
        <v>786</v>
      </c>
    </row>
    <row r="573" spans="4:21" ht="25">
      <c r="D573" s="152" t="s">
        <v>2821</v>
      </c>
      <c r="E573" s="821" t="s">
        <v>676</v>
      </c>
      <c r="F573" s="684" t="str">
        <f>+VLOOKUP(G573,Resumen_Base!$C$8:$G$156,5,0)</f>
        <v>Work uniforms for personnel (employees)</v>
      </c>
      <c r="G573" s="474" t="s">
        <v>60</v>
      </c>
      <c r="H573" s="210" t="s">
        <v>61</v>
      </c>
      <c r="I573" s="152" t="str">
        <f t="shared" si="8"/>
        <v>CAR5220</v>
      </c>
      <c r="J573" s="513">
        <v>27678.5</v>
      </c>
      <c r="K573" s="513">
        <v>19.7</v>
      </c>
      <c r="L573" s="513">
        <v>1405</v>
      </c>
      <c r="M573" s="513" t="s">
        <v>6059</v>
      </c>
      <c r="N573" s="513" t="s">
        <v>780</v>
      </c>
      <c r="O573" s="513" t="s">
        <v>1407</v>
      </c>
      <c r="P573" s="518" t="s">
        <v>6110</v>
      </c>
      <c r="Q573" s="152" t="s">
        <v>5873</v>
      </c>
      <c r="R573" s="152" t="s">
        <v>6111</v>
      </c>
      <c r="S573" s="152" t="s">
        <v>6150</v>
      </c>
      <c r="T573" s="152" t="s">
        <v>6113</v>
      </c>
      <c r="U573" s="152" t="s">
        <v>786</v>
      </c>
    </row>
    <row r="574" spans="4:21" ht="25">
      <c r="D574" s="152" t="s">
        <v>2821</v>
      </c>
      <c r="E574" s="821" t="s">
        <v>676</v>
      </c>
      <c r="F574" s="684" t="str">
        <f>+VLOOKUP(G574,Resumen_Base!$C$8:$G$156,5,0)</f>
        <v>Work uniforms for personnel (employees)</v>
      </c>
      <c r="G574" s="474" t="s">
        <v>60</v>
      </c>
      <c r="H574" s="210" t="s">
        <v>61</v>
      </c>
      <c r="I574" s="152" t="str">
        <f t="shared" si="8"/>
        <v>CAR5220</v>
      </c>
      <c r="J574" s="513">
        <v>52968.5</v>
      </c>
      <c r="K574" s="513">
        <v>37.700000000000003</v>
      </c>
      <c r="L574" s="513">
        <v>1405</v>
      </c>
      <c r="M574" s="513" t="s">
        <v>6059</v>
      </c>
      <c r="N574" s="513" t="s">
        <v>780</v>
      </c>
      <c r="O574" s="513" t="s">
        <v>1407</v>
      </c>
      <c r="P574" s="518" t="s">
        <v>6110</v>
      </c>
      <c r="Q574" s="152" t="s">
        <v>5873</v>
      </c>
      <c r="R574" s="152" t="s">
        <v>6111</v>
      </c>
      <c r="S574" s="152" t="s">
        <v>6151</v>
      </c>
      <c r="T574" s="152" t="s">
        <v>6113</v>
      </c>
      <c r="U574" s="152" t="s">
        <v>786</v>
      </c>
    </row>
    <row r="575" spans="4:21" ht="25">
      <c r="D575" s="152" t="s">
        <v>2821</v>
      </c>
      <c r="E575" s="821" t="s">
        <v>676</v>
      </c>
      <c r="F575" s="684" t="str">
        <f>+VLOOKUP(G575,Resumen_Base!$C$8:$G$156,5,0)</f>
        <v>Work uniforms for personnel (employees)</v>
      </c>
      <c r="G575" s="474" t="s">
        <v>60</v>
      </c>
      <c r="H575" s="210" t="s">
        <v>61</v>
      </c>
      <c r="I575" s="152" t="str">
        <f t="shared" si="8"/>
        <v>CAR5220</v>
      </c>
      <c r="J575" s="513">
        <v>54036.3</v>
      </c>
      <c r="K575" s="513">
        <v>38.46</v>
      </c>
      <c r="L575" s="513">
        <v>1405</v>
      </c>
      <c r="M575" s="513" t="s">
        <v>6303</v>
      </c>
      <c r="N575" s="513" t="s">
        <v>780</v>
      </c>
      <c r="O575" s="513" t="s">
        <v>1407</v>
      </c>
      <c r="P575" s="518" t="s">
        <v>6345</v>
      </c>
      <c r="Q575" s="152" t="s">
        <v>5873</v>
      </c>
      <c r="R575" s="152" t="s">
        <v>6346</v>
      </c>
      <c r="S575" s="152" t="s">
        <v>6527</v>
      </c>
      <c r="T575" s="152" t="s">
        <v>6348</v>
      </c>
      <c r="U575" s="152" t="s">
        <v>786</v>
      </c>
    </row>
    <row r="576" spans="4:21" ht="25">
      <c r="D576" s="152" t="s">
        <v>2821</v>
      </c>
      <c r="E576" s="821" t="s">
        <v>676</v>
      </c>
      <c r="F576" s="684" t="str">
        <f>+VLOOKUP(G576,Resumen_Base!$C$8:$G$156,5,0)</f>
        <v>Work uniforms for personnel (employees)</v>
      </c>
      <c r="G576" s="474" t="s">
        <v>60</v>
      </c>
      <c r="H576" s="210" t="s">
        <v>61</v>
      </c>
      <c r="I576" s="152" t="str">
        <f t="shared" si="8"/>
        <v>CAR5220</v>
      </c>
      <c r="J576" s="513">
        <v>242000</v>
      </c>
      <c r="K576" s="513">
        <v>172.24199288256199</v>
      </c>
      <c r="L576" s="513">
        <v>1405</v>
      </c>
      <c r="M576" s="513" t="s">
        <v>6303</v>
      </c>
      <c r="N576" s="513" t="s">
        <v>780</v>
      </c>
      <c r="O576" s="513" t="s">
        <v>1407</v>
      </c>
      <c r="P576" s="518" t="s">
        <v>6378</v>
      </c>
      <c r="Q576" s="152" t="s">
        <v>5873</v>
      </c>
      <c r="R576" s="152" t="s">
        <v>6379</v>
      </c>
      <c r="S576" s="152" t="s">
        <v>6566</v>
      </c>
      <c r="T576" s="152" t="s">
        <v>6381</v>
      </c>
      <c r="U576" s="152" t="s">
        <v>786</v>
      </c>
    </row>
    <row r="578" spans="2:21" ht="39">
      <c r="B578" s="753" t="s">
        <v>5839</v>
      </c>
      <c r="C578" s="750"/>
      <c r="D578" s="751"/>
      <c r="E578" s="792" t="s">
        <v>676</v>
      </c>
      <c r="F578" s="753" t="s">
        <v>406</v>
      </c>
      <c r="G578" s="754" t="s">
        <v>64</v>
      </c>
      <c r="H578" s="755" t="s">
        <v>461</v>
      </c>
      <c r="I578" s="751" t="str">
        <f t="shared" si="8"/>
        <v>CAR5248</v>
      </c>
      <c r="J578" s="470"/>
      <c r="K578" s="789">
        <v>-2781.0250000000001</v>
      </c>
      <c r="L578" s="470"/>
      <c r="M578" s="790">
        <v>46112</v>
      </c>
      <c r="N578" s="751"/>
      <c r="O578" s="751"/>
      <c r="P578" s="790"/>
      <c r="Q578" s="788" t="s">
        <v>5811</v>
      </c>
      <c r="R578" s="788" t="s">
        <v>5811</v>
      </c>
      <c r="S578" s="788" t="s">
        <v>5811</v>
      </c>
      <c r="T578" s="788"/>
      <c r="U578" s="788"/>
    </row>
    <row r="579" spans="2:21" ht="39">
      <c r="B579" s="753" t="s">
        <v>5839</v>
      </c>
      <c r="C579" s="750"/>
      <c r="D579" s="751"/>
      <c r="E579" s="792" t="s">
        <v>676</v>
      </c>
      <c r="F579" s="753" t="s">
        <v>406</v>
      </c>
      <c r="G579" s="754" t="s">
        <v>64</v>
      </c>
      <c r="H579" s="755" t="s">
        <v>461</v>
      </c>
      <c r="I579" s="751" t="str">
        <f t="shared" si="8"/>
        <v>CAR5248</v>
      </c>
      <c r="J579" s="470"/>
      <c r="K579" s="789">
        <v>-1.9289999999999998</v>
      </c>
      <c r="L579" s="470"/>
      <c r="M579" s="790">
        <v>46112</v>
      </c>
      <c r="N579" s="751"/>
      <c r="O579" s="751"/>
      <c r="P579" s="790"/>
      <c r="Q579" s="788" t="s">
        <v>2797</v>
      </c>
      <c r="R579" s="788" t="s">
        <v>2797</v>
      </c>
      <c r="S579" s="788" t="s">
        <v>2797</v>
      </c>
      <c r="T579" s="788"/>
      <c r="U579" s="788"/>
    </row>
    <row r="580" spans="2:21" ht="39">
      <c r="B580" s="753" t="s">
        <v>5839</v>
      </c>
      <c r="C580" s="750"/>
      <c r="D580" s="751"/>
      <c r="E580" s="792" t="s">
        <v>676</v>
      </c>
      <c r="F580" s="753" t="s">
        <v>403</v>
      </c>
      <c r="G580" s="754" t="s">
        <v>37</v>
      </c>
      <c r="H580" s="755" t="s">
        <v>457</v>
      </c>
      <c r="I580" s="751" t="str">
        <f t="shared" si="8"/>
        <v>CAR5250</v>
      </c>
      <c r="J580" s="470"/>
      <c r="K580" s="789">
        <v>-1890.9</v>
      </c>
      <c r="L580" s="470"/>
      <c r="M580" s="790">
        <v>46112</v>
      </c>
      <c r="N580" s="751"/>
      <c r="O580" s="751"/>
      <c r="P580" s="790"/>
      <c r="Q580" s="788" t="s">
        <v>5812</v>
      </c>
      <c r="R580" s="788" t="s">
        <v>5812</v>
      </c>
      <c r="S580" s="788" t="s">
        <v>5812</v>
      </c>
      <c r="T580" s="788"/>
      <c r="U580" s="788"/>
    </row>
    <row r="581" spans="2:21" ht="39">
      <c r="B581" s="753" t="s">
        <v>5839</v>
      </c>
      <c r="C581" s="750"/>
      <c r="D581" s="751"/>
      <c r="E581" s="792" t="s">
        <v>676</v>
      </c>
      <c r="F581" s="753" t="s">
        <v>403</v>
      </c>
      <c r="G581" s="754" t="s">
        <v>37</v>
      </c>
      <c r="H581" s="755" t="s">
        <v>457</v>
      </c>
      <c r="I581" s="751" t="str">
        <f t="shared" si="8"/>
        <v>CAR5250</v>
      </c>
      <c r="J581" s="470"/>
      <c r="K581" s="789">
        <v>-542.57500000000005</v>
      </c>
      <c r="L581" s="470"/>
      <c r="M581" s="790">
        <v>46112</v>
      </c>
      <c r="N581" s="751"/>
      <c r="O581" s="751"/>
      <c r="P581" s="790"/>
      <c r="Q581" s="788" t="s">
        <v>5813</v>
      </c>
      <c r="R581" s="788" t="s">
        <v>5813</v>
      </c>
      <c r="S581" s="788" t="s">
        <v>5813</v>
      </c>
      <c r="T581" s="788"/>
      <c r="U581" s="788"/>
    </row>
    <row r="582" spans="2:21" ht="39">
      <c r="B582" s="753" t="s">
        <v>5839</v>
      </c>
      <c r="C582" s="750"/>
      <c r="D582" s="751"/>
      <c r="E582" s="792" t="s">
        <v>676</v>
      </c>
      <c r="F582" s="753" t="s">
        <v>403</v>
      </c>
      <c r="G582" s="754" t="s">
        <v>37</v>
      </c>
      <c r="H582" s="755" t="s">
        <v>457</v>
      </c>
      <c r="I582" s="751" t="str">
        <f t="shared" si="8"/>
        <v>CAR5250</v>
      </c>
      <c r="J582" s="470"/>
      <c r="K582" s="789">
        <v>-5.7869999999999999</v>
      </c>
      <c r="L582" s="470"/>
      <c r="M582" s="790">
        <v>46112</v>
      </c>
      <c r="N582" s="751"/>
      <c r="O582" s="751"/>
      <c r="P582" s="790"/>
      <c r="Q582" s="788" t="s">
        <v>2797</v>
      </c>
      <c r="R582" s="788" t="s">
        <v>2797</v>
      </c>
      <c r="S582" s="788" t="s">
        <v>2797</v>
      </c>
      <c r="T582" s="788"/>
      <c r="U582" s="788"/>
    </row>
    <row r="583" spans="2:21" ht="39">
      <c r="B583" s="753" t="s">
        <v>5839</v>
      </c>
      <c r="C583" s="750"/>
      <c r="D583" s="751"/>
      <c r="E583" s="792" t="s">
        <v>676</v>
      </c>
      <c r="F583" s="753" t="s">
        <v>403</v>
      </c>
      <c r="G583" s="754" t="s">
        <v>37</v>
      </c>
      <c r="H583" s="755" t="s">
        <v>457</v>
      </c>
      <c r="I583" s="751" t="str">
        <f t="shared" si="8"/>
        <v>CAR5250</v>
      </c>
      <c r="J583" s="470"/>
      <c r="K583" s="789">
        <v>-4923.3</v>
      </c>
      <c r="L583" s="470"/>
      <c r="M583" s="790">
        <v>46112</v>
      </c>
      <c r="N583" s="751"/>
      <c r="O583" s="751"/>
      <c r="P583" s="790"/>
      <c r="Q583" s="788" t="s">
        <v>5814</v>
      </c>
      <c r="R583" s="788" t="s">
        <v>5814</v>
      </c>
      <c r="S583" s="788" t="s">
        <v>5814</v>
      </c>
      <c r="T583" s="788"/>
      <c r="U583" s="788"/>
    </row>
    <row r="584" spans="2:21" ht="39">
      <c r="B584" s="753" t="s">
        <v>5839</v>
      </c>
      <c r="C584" s="750"/>
      <c r="D584" s="751"/>
      <c r="E584" s="792" t="s">
        <v>676</v>
      </c>
      <c r="F584" s="753" t="s">
        <v>403</v>
      </c>
      <c r="G584" s="754" t="s">
        <v>37</v>
      </c>
      <c r="H584" s="755" t="s">
        <v>457</v>
      </c>
      <c r="I584" s="751" t="str">
        <f t="shared" si="8"/>
        <v>CAR5250</v>
      </c>
      <c r="J584" s="470"/>
      <c r="K584" s="789">
        <v>-2775.0749999999998</v>
      </c>
      <c r="L584" s="470"/>
      <c r="M584" s="790">
        <v>46112</v>
      </c>
      <c r="N584" s="751"/>
      <c r="O584" s="751"/>
      <c r="P584" s="790"/>
      <c r="Q584" s="788" t="s">
        <v>5815</v>
      </c>
      <c r="R584" s="788" t="s">
        <v>5815</v>
      </c>
      <c r="S584" s="788" t="s">
        <v>5815</v>
      </c>
      <c r="T584" s="788"/>
      <c r="U584" s="788"/>
    </row>
    <row r="585" spans="2:21" ht="39">
      <c r="B585" s="753" t="s">
        <v>5839</v>
      </c>
      <c r="C585" s="750"/>
      <c r="D585" s="751"/>
      <c r="E585" s="792" t="s">
        <v>676</v>
      </c>
      <c r="F585" s="753" t="s">
        <v>399</v>
      </c>
      <c r="G585" s="754" t="s">
        <v>323</v>
      </c>
      <c r="H585" s="755" t="s">
        <v>453</v>
      </c>
      <c r="I585" s="751" t="str">
        <f t="shared" si="8"/>
        <v>CAR5227</v>
      </c>
      <c r="J585" s="470"/>
      <c r="K585" s="789">
        <v>-377.35</v>
      </c>
      <c r="L585" s="470"/>
      <c r="M585" s="790">
        <v>46112</v>
      </c>
      <c r="N585" s="751"/>
      <c r="O585" s="751"/>
      <c r="P585" s="790"/>
      <c r="Q585" s="788" t="s">
        <v>5767</v>
      </c>
      <c r="R585" s="788" t="s">
        <v>5767</v>
      </c>
      <c r="S585" s="788" t="s">
        <v>5767</v>
      </c>
      <c r="T585" s="788"/>
      <c r="U585" s="788"/>
    </row>
    <row r="586" spans="2:21" ht="39">
      <c r="B586" s="753" t="s">
        <v>5839</v>
      </c>
      <c r="C586" s="750"/>
      <c r="D586" s="751"/>
      <c r="E586" s="792" t="s">
        <v>676</v>
      </c>
      <c r="F586" s="753" t="s">
        <v>399</v>
      </c>
      <c r="G586" s="754" t="s">
        <v>323</v>
      </c>
      <c r="H586" s="755" t="s">
        <v>453</v>
      </c>
      <c r="I586" s="751" t="str">
        <f t="shared" si="8"/>
        <v>CAR5227</v>
      </c>
      <c r="J586" s="470"/>
      <c r="K586" s="789">
        <v>-446.25</v>
      </c>
      <c r="L586" s="470"/>
      <c r="M586" s="790">
        <v>46112</v>
      </c>
      <c r="N586" s="751"/>
      <c r="O586" s="751"/>
      <c r="P586" s="790"/>
      <c r="Q586" s="788" t="s">
        <v>5787</v>
      </c>
      <c r="R586" s="788" t="s">
        <v>5787</v>
      </c>
      <c r="S586" s="788" t="s">
        <v>5787</v>
      </c>
      <c r="T586" s="788"/>
      <c r="U586" s="788"/>
    </row>
    <row r="587" spans="2:21" ht="39">
      <c r="B587" s="753" t="s">
        <v>5839</v>
      </c>
      <c r="C587" s="750"/>
      <c r="D587" s="751"/>
      <c r="E587" s="792" t="s">
        <v>676</v>
      </c>
      <c r="F587" s="753" t="s">
        <v>399</v>
      </c>
      <c r="G587" s="754" t="s">
        <v>323</v>
      </c>
      <c r="H587" s="755" t="s">
        <v>453</v>
      </c>
      <c r="I587" s="751" t="str">
        <f t="shared" si="8"/>
        <v>CAR5227</v>
      </c>
      <c r="J587" s="470"/>
      <c r="K587" s="789">
        <v>-85</v>
      </c>
      <c r="L587" s="470"/>
      <c r="M587" s="790">
        <v>46112</v>
      </c>
      <c r="N587" s="751"/>
      <c r="O587" s="751"/>
      <c r="P587" s="790"/>
      <c r="Q587" s="788" t="s">
        <v>5788</v>
      </c>
      <c r="R587" s="788" t="s">
        <v>5788</v>
      </c>
      <c r="S587" s="788" t="s">
        <v>5788</v>
      </c>
      <c r="T587" s="788"/>
      <c r="U587" s="788"/>
    </row>
    <row r="588" spans="2:21" ht="39">
      <c r="B588" s="753" t="s">
        <v>5839</v>
      </c>
      <c r="C588" s="750"/>
      <c r="D588" s="751"/>
      <c r="E588" s="792" t="s">
        <v>676</v>
      </c>
      <c r="F588" s="753" t="s">
        <v>399</v>
      </c>
      <c r="G588" s="754" t="s">
        <v>323</v>
      </c>
      <c r="H588" s="755" t="s">
        <v>453</v>
      </c>
      <c r="I588" s="751" t="str">
        <f t="shared" si="8"/>
        <v>CAR5227</v>
      </c>
      <c r="J588" s="470"/>
      <c r="K588" s="789">
        <v>-276.25</v>
      </c>
      <c r="L588" s="470"/>
      <c r="M588" s="790">
        <v>46112</v>
      </c>
      <c r="N588" s="751"/>
      <c r="O588" s="751"/>
      <c r="P588" s="790"/>
      <c r="Q588" s="788" t="s">
        <v>5789</v>
      </c>
      <c r="R588" s="788" t="s">
        <v>5789</v>
      </c>
      <c r="S588" s="788" t="s">
        <v>5789</v>
      </c>
      <c r="T588" s="788"/>
      <c r="U588" s="788"/>
    </row>
    <row r="589" spans="2:21" ht="39">
      <c r="B589" s="753" t="s">
        <v>5839</v>
      </c>
      <c r="C589" s="750"/>
      <c r="D589" s="751"/>
      <c r="E589" s="792" t="s">
        <v>676</v>
      </c>
      <c r="F589" s="753" t="s">
        <v>399</v>
      </c>
      <c r="G589" s="754" t="s">
        <v>323</v>
      </c>
      <c r="H589" s="755" t="s">
        <v>453</v>
      </c>
      <c r="I589" s="751" t="str">
        <f t="shared" ref="I589:I652" si="9">+E589&amp;G589</f>
        <v>CAR5227</v>
      </c>
      <c r="J589" s="470"/>
      <c r="K589" s="789">
        <v>-68.375</v>
      </c>
      <c r="L589" s="470"/>
      <c r="M589" s="790">
        <v>46112</v>
      </c>
      <c r="N589" s="751"/>
      <c r="O589" s="751"/>
      <c r="P589" s="790"/>
      <c r="Q589" s="788" t="s">
        <v>5790</v>
      </c>
      <c r="R589" s="788" t="s">
        <v>5790</v>
      </c>
      <c r="S589" s="788" t="s">
        <v>5790</v>
      </c>
      <c r="T589" s="788"/>
      <c r="U589" s="788"/>
    </row>
    <row r="590" spans="2:21" ht="39">
      <c r="B590" s="753" t="s">
        <v>5839</v>
      </c>
      <c r="C590" s="750"/>
      <c r="D590" s="751"/>
      <c r="E590" s="792" t="s">
        <v>676</v>
      </c>
      <c r="F590" s="753" t="s">
        <v>399</v>
      </c>
      <c r="G590" s="754" t="s">
        <v>323</v>
      </c>
      <c r="H590" s="755" t="s">
        <v>453</v>
      </c>
      <c r="I590" s="751" t="str">
        <f t="shared" si="9"/>
        <v>CAR5227</v>
      </c>
      <c r="J590" s="470"/>
      <c r="K590" s="789">
        <v>-297.5</v>
      </c>
      <c r="L590" s="470"/>
      <c r="M590" s="790">
        <v>46112</v>
      </c>
      <c r="N590" s="751"/>
      <c r="O590" s="751"/>
      <c r="P590" s="790"/>
      <c r="Q590" s="788" t="s">
        <v>5791</v>
      </c>
      <c r="R590" s="788" t="s">
        <v>5791</v>
      </c>
      <c r="S590" s="788" t="s">
        <v>5791</v>
      </c>
      <c r="T590" s="788"/>
      <c r="U590" s="788"/>
    </row>
    <row r="591" spans="2:21" ht="39">
      <c r="B591" s="753" t="s">
        <v>5839</v>
      </c>
      <c r="C591" s="750"/>
      <c r="D591" s="751"/>
      <c r="E591" s="792" t="s">
        <v>676</v>
      </c>
      <c r="F591" s="753" t="s">
        <v>399</v>
      </c>
      <c r="G591" s="754" t="s">
        <v>323</v>
      </c>
      <c r="H591" s="755" t="s">
        <v>453</v>
      </c>
      <c r="I591" s="751" t="str">
        <f t="shared" si="9"/>
        <v>CAR5227</v>
      </c>
      <c r="J591" s="470"/>
      <c r="K591" s="789">
        <v>-340</v>
      </c>
      <c r="L591" s="470"/>
      <c r="M591" s="790">
        <v>46112</v>
      </c>
      <c r="N591" s="751"/>
      <c r="O591" s="751"/>
      <c r="P591" s="790"/>
      <c r="Q591" s="788" t="s">
        <v>5792</v>
      </c>
      <c r="R591" s="788" t="s">
        <v>5792</v>
      </c>
      <c r="S591" s="788" t="s">
        <v>5792</v>
      </c>
      <c r="T591" s="788"/>
      <c r="U591" s="788"/>
    </row>
    <row r="592" spans="2:21" ht="39">
      <c r="B592" s="753" t="s">
        <v>5839</v>
      </c>
      <c r="C592" s="750"/>
      <c r="D592" s="751"/>
      <c r="E592" s="792" t="s">
        <v>676</v>
      </c>
      <c r="F592" s="753" t="s">
        <v>399</v>
      </c>
      <c r="G592" s="754" t="s">
        <v>323</v>
      </c>
      <c r="H592" s="755" t="s">
        <v>453</v>
      </c>
      <c r="I592" s="751" t="str">
        <f t="shared" si="9"/>
        <v>CAR5227</v>
      </c>
      <c r="J592" s="470"/>
      <c r="K592" s="789">
        <v>-191.25</v>
      </c>
      <c r="L592" s="470"/>
      <c r="M592" s="790">
        <v>46112</v>
      </c>
      <c r="N592" s="751"/>
      <c r="O592" s="751"/>
      <c r="P592" s="790"/>
      <c r="Q592" s="788" t="s">
        <v>5793</v>
      </c>
      <c r="R592" s="788" t="s">
        <v>5793</v>
      </c>
      <c r="S592" s="788" t="s">
        <v>5793</v>
      </c>
      <c r="T592" s="788"/>
      <c r="U592" s="788"/>
    </row>
    <row r="593" spans="2:21" ht="39">
      <c r="B593" s="753" t="s">
        <v>5839</v>
      </c>
      <c r="C593" s="750"/>
      <c r="D593" s="751"/>
      <c r="E593" s="792" t="s">
        <v>676</v>
      </c>
      <c r="F593" s="753" t="s">
        <v>399</v>
      </c>
      <c r="G593" s="754" t="s">
        <v>323</v>
      </c>
      <c r="H593" s="755" t="s">
        <v>453</v>
      </c>
      <c r="I593" s="751" t="str">
        <f t="shared" si="9"/>
        <v>CAR5227</v>
      </c>
      <c r="J593" s="470"/>
      <c r="K593" s="789">
        <v>-85</v>
      </c>
      <c r="L593" s="470"/>
      <c r="M593" s="790">
        <v>46112</v>
      </c>
      <c r="N593" s="751"/>
      <c r="O593" s="751"/>
      <c r="P593" s="790"/>
      <c r="Q593" s="788" t="s">
        <v>5794</v>
      </c>
      <c r="R593" s="788" t="s">
        <v>5794</v>
      </c>
      <c r="S593" s="788" t="s">
        <v>5794</v>
      </c>
      <c r="T593" s="788"/>
      <c r="U593" s="788"/>
    </row>
    <row r="594" spans="2:21" ht="39">
      <c r="B594" s="753" t="s">
        <v>5839</v>
      </c>
      <c r="C594" s="750"/>
      <c r="D594" s="751"/>
      <c r="E594" s="792" t="s">
        <v>676</v>
      </c>
      <c r="F594" s="753" t="s">
        <v>399</v>
      </c>
      <c r="G594" s="754" t="s">
        <v>323</v>
      </c>
      <c r="H594" s="755" t="s">
        <v>453</v>
      </c>
      <c r="I594" s="751" t="str">
        <f t="shared" si="9"/>
        <v>CAR5227</v>
      </c>
      <c r="J594" s="470"/>
      <c r="K594" s="789">
        <v>-127.5</v>
      </c>
      <c r="L594" s="470"/>
      <c r="M594" s="790">
        <v>46112</v>
      </c>
      <c r="N594" s="751"/>
      <c r="O594" s="751"/>
      <c r="P594" s="790"/>
      <c r="Q594" s="788" t="s">
        <v>5795</v>
      </c>
      <c r="R594" s="788" t="s">
        <v>5795</v>
      </c>
      <c r="S594" s="788" t="s">
        <v>5795</v>
      </c>
      <c r="T594" s="788"/>
      <c r="U594" s="788"/>
    </row>
    <row r="595" spans="2:21" ht="39">
      <c r="B595" s="753" t="s">
        <v>5839</v>
      </c>
      <c r="C595" s="750"/>
      <c r="D595" s="751"/>
      <c r="E595" s="792" t="s">
        <v>676</v>
      </c>
      <c r="F595" s="753" t="s">
        <v>399</v>
      </c>
      <c r="G595" s="754" t="s">
        <v>323</v>
      </c>
      <c r="H595" s="755" t="s">
        <v>453</v>
      </c>
      <c r="I595" s="751" t="str">
        <f t="shared" si="9"/>
        <v>CAR5227</v>
      </c>
      <c r="J595" s="470"/>
      <c r="K595" s="789">
        <v>-318.75</v>
      </c>
      <c r="L595" s="470"/>
      <c r="M595" s="790">
        <v>46112</v>
      </c>
      <c r="N595" s="751"/>
      <c r="O595" s="751"/>
      <c r="P595" s="790"/>
      <c r="Q595" s="788" t="s">
        <v>5796</v>
      </c>
      <c r="R595" s="788" t="s">
        <v>5796</v>
      </c>
      <c r="S595" s="788" t="s">
        <v>5796</v>
      </c>
      <c r="T595" s="788"/>
      <c r="U595" s="788"/>
    </row>
    <row r="596" spans="2:21" ht="39">
      <c r="B596" s="753" t="s">
        <v>5839</v>
      </c>
      <c r="C596" s="750"/>
      <c r="D596" s="751"/>
      <c r="E596" s="792" t="s">
        <v>676</v>
      </c>
      <c r="F596" s="753" t="s">
        <v>399</v>
      </c>
      <c r="G596" s="754" t="s">
        <v>323</v>
      </c>
      <c r="H596" s="755" t="s">
        <v>453</v>
      </c>
      <c r="I596" s="751" t="str">
        <f t="shared" si="9"/>
        <v>CAR5227</v>
      </c>
      <c r="J596" s="470"/>
      <c r="K596" s="789">
        <v>-255</v>
      </c>
      <c r="L596" s="470"/>
      <c r="M596" s="790">
        <v>46112</v>
      </c>
      <c r="N596" s="751"/>
      <c r="O596" s="751"/>
      <c r="P596" s="790"/>
      <c r="Q596" s="788" t="s">
        <v>5797</v>
      </c>
      <c r="R596" s="788" t="s">
        <v>5797</v>
      </c>
      <c r="S596" s="788" t="s">
        <v>5797</v>
      </c>
      <c r="T596" s="788"/>
      <c r="U596" s="788"/>
    </row>
    <row r="597" spans="2:21" ht="39">
      <c r="B597" s="753" t="s">
        <v>5839</v>
      </c>
      <c r="C597" s="750"/>
      <c r="D597" s="751"/>
      <c r="E597" s="792" t="s">
        <v>676</v>
      </c>
      <c r="F597" s="753" t="s">
        <v>399</v>
      </c>
      <c r="G597" s="754" t="s">
        <v>323</v>
      </c>
      <c r="H597" s="755" t="s">
        <v>453</v>
      </c>
      <c r="I597" s="751" t="str">
        <f t="shared" si="9"/>
        <v>CAR5227</v>
      </c>
      <c r="J597" s="470"/>
      <c r="K597" s="789">
        <v>-148.75</v>
      </c>
      <c r="L597" s="470"/>
      <c r="M597" s="790">
        <v>46112</v>
      </c>
      <c r="N597" s="751"/>
      <c r="O597" s="751"/>
      <c r="P597" s="790"/>
      <c r="Q597" s="788" t="s">
        <v>5798</v>
      </c>
      <c r="R597" s="788" t="s">
        <v>5798</v>
      </c>
      <c r="S597" s="788" t="s">
        <v>5798</v>
      </c>
      <c r="T597" s="788"/>
      <c r="U597" s="788"/>
    </row>
    <row r="598" spans="2:21" ht="39">
      <c r="B598" s="753" t="s">
        <v>5839</v>
      </c>
      <c r="C598" s="750"/>
      <c r="D598" s="751"/>
      <c r="E598" s="792" t="s">
        <v>676</v>
      </c>
      <c r="F598" s="753" t="s">
        <v>399</v>
      </c>
      <c r="G598" s="754" t="s">
        <v>323</v>
      </c>
      <c r="H598" s="755" t="s">
        <v>453</v>
      </c>
      <c r="I598" s="751" t="str">
        <f t="shared" si="9"/>
        <v>CAR5227</v>
      </c>
      <c r="J598" s="470"/>
      <c r="K598" s="789">
        <v>-312.5</v>
      </c>
      <c r="L598" s="470"/>
      <c r="M598" s="790">
        <v>46112</v>
      </c>
      <c r="N598" s="751"/>
      <c r="O598" s="751"/>
      <c r="P598" s="790"/>
      <c r="Q598" s="788" t="s">
        <v>5799</v>
      </c>
      <c r="R598" s="788" t="s">
        <v>5799</v>
      </c>
      <c r="S598" s="788" t="s">
        <v>5799</v>
      </c>
      <c r="T598" s="788"/>
      <c r="U598" s="788"/>
    </row>
    <row r="599" spans="2:21" ht="39">
      <c r="B599" s="753" t="s">
        <v>5839</v>
      </c>
      <c r="C599" s="750"/>
      <c r="D599" s="751"/>
      <c r="E599" s="792" t="s">
        <v>676</v>
      </c>
      <c r="F599" s="753" t="s">
        <v>399</v>
      </c>
      <c r="G599" s="754" t="s">
        <v>323</v>
      </c>
      <c r="H599" s="755" t="s">
        <v>453</v>
      </c>
      <c r="I599" s="751" t="str">
        <f t="shared" si="9"/>
        <v>CAR5227</v>
      </c>
      <c r="J599" s="470"/>
      <c r="K599" s="789">
        <v>-1125</v>
      </c>
      <c r="L599" s="470"/>
      <c r="M599" s="790">
        <v>46112</v>
      </c>
      <c r="N599" s="751"/>
      <c r="O599" s="751"/>
      <c r="P599" s="790"/>
      <c r="Q599" s="788" t="s">
        <v>5800</v>
      </c>
      <c r="R599" s="788" t="s">
        <v>5800</v>
      </c>
      <c r="S599" s="788" t="s">
        <v>5800</v>
      </c>
      <c r="T599" s="788"/>
      <c r="U599" s="788"/>
    </row>
    <row r="600" spans="2:21" ht="39">
      <c r="B600" s="753" t="s">
        <v>5839</v>
      </c>
      <c r="C600" s="750"/>
      <c r="D600" s="751"/>
      <c r="E600" s="792" t="s">
        <v>676</v>
      </c>
      <c r="F600" s="753" t="s">
        <v>399</v>
      </c>
      <c r="G600" s="754" t="s">
        <v>323</v>
      </c>
      <c r="H600" s="755" t="s">
        <v>453</v>
      </c>
      <c r="I600" s="751" t="str">
        <f t="shared" si="9"/>
        <v>CAR5227</v>
      </c>
      <c r="J600" s="470"/>
      <c r="K600" s="789">
        <v>-25.077249999999999</v>
      </c>
      <c r="L600" s="470"/>
      <c r="M600" s="790">
        <v>46112</v>
      </c>
      <c r="N600" s="751"/>
      <c r="O600" s="751"/>
      <c r="P600" s="790"/>
      <c r="Q600" s="788" t="s">
        <v>2797</v>
      </c>
      <c r="R600" s="788" t="s">
        <v>2797</v>
      </c>
      <c r="S600" s="788" t="s">
        <v>2797</v>
      </c>
      <c r="T600" s="788"/>
      <c r="U600" s="788"/>
    </row>
    <row r="601" spans="2:21" ht="39">
      <c r="B601" s="753" t="s">
        <v>5839</v>
      </c>
      <c r="C601" s="750"/>
      <c r="D601" s="751"/>
      <c r="E601" s="792" t="s">
        <v>676</v>
      </c>
      <c r="F601" s="753" t="s">
        <v>399</v>
      </c>
      <c r="G601" s="754" t="s">
        <v>323</v>
      </c>
      <c r="H601" s="755" t="s">
        <v>453</v>
      </c>
      <c r="I601" s="751" t="str">
        <f t="shared" si="9"/>
        <v>CAR5227</v>
      </c>
      <c r="J601" s="470"/>
      <c r="K601" s="789">
        <v>-1.9289999999999998</v>
      </c>
      <c r="L601" s="470"/>
      <c r="M601" s="790">
        <v>46112</v>
      </c>
      <c r="N601" s="751"/>
      <c r="O601" s="751"/>
      <c r="P601" s="790"/>
      <c r="Q601" s="788" t="s">
        <v>5801</v>
      </c>
      <c r="R601" s="788" t="s">
        <v>5801</v>
      </c>
      <c r="S601" s="788" t="s">
        <v>5801</v>
      </c>
      <c r="T601" s="788"/>
      <c r="U601" s="788"/>
    </row>
    <row r="602" spans="2:21" ht="39">
      <c r="B602" s="753" t="s">
        <v>5839</v>
      </c>
      <c r="C602" s="750"/>
      <c r="D602" s="751"/>
      <c r="E602" s="792" t="s">
        <v>676</v>
      </c>
      <c r="F602" s="753" t="s">
        <v>399</v>
      </c>
      <c r="G602" s="754" t="s">
        <v>323</v>
      </c>
      <c r="H602" s="755" t="s">
        <v>453</v>
      </c>
      <c r="I602" s="751" t="str">
        <f t="shared" si="9"/>
        <v>CAR5227</v>
      </c>
      <c r="J602" s="470"/>
      <c r="K602" s="789">
        <v>-1968.75</v>
      </c>
      <c r="L602" s="470"/>
      <c r="M602" s="790">
        <v>46112</v>
      </c>
      <c r="N602" s="751"/>
      <c r="O602" s="751"/>
      <c r="P602" s="790"/>
      <c r="Q602" s="788" t="s">
        <v>5802</v>
      </c>
      <c r="R602" s="788" t="s">
        <v>5802</v>
      </c>
      <c r="S602" s="788" t="s">
        <v>5802</v>
      </c>
      <c r="T602" s="788"/>
      <c r="U602" s="788"/>
    </row>
    <row r="603" spans="2:21" ht="39">
      <c r="B603" s="753" t="s">
        <v>5839</v>
      </c>
      <c r="C603" s="750"/>
      <c r="D603" s="751"/>
      <c r="E603" s="792" t="s">
        <v>676</v>
      </c>
      <c r="F603" s="753" t="s">
        <v>399</v>
      </c>
      <c r="G603" s="754" t="s">
        <v>323</v>
      </c>
      <c r="H603" s="755" t="s">
        <v>453</v>
      </c>
      <c r="I603" s="751" t="str">
        <f t="shared" si="9"/>
        <v>CAR5227</v>
      </c>
      <c r="J603" s="470"/>
      <c r="K603" s="789">
        <v>-2600</v>
      </c>
      <c r="L603" s="470"/>
      <c r="M603" s="790">
        <v>46112</v>
      </c>
      <c r="N603" s="751"/>
      <c r="O603" s="751"/>
      <c r="P603" s="790"/>
      <c r="Q603" s="788" t="s">
        <v>5803</v>
      </c>
      <c r="R603" s="788" t="s">
        <v>5803</v>
      </c>
      <c r="S603" s="788" t="s">
        <v>5803</v>
      </c>
      <c r="T603" s="788"/>
      <c r="U603" s="788"/>
    </row>
    <row r="604" spans="2:21" ht="39">
      <c r="B604" s="753" t="s">
        <v>5839</v>
      </c>
      <c r="C604" s="750"/>
      <c r="D604" s="751"/>
      <c r="E604" s="792" t="s">
        <v>676</v>
      </c>
      <c r="F604" s="753" t="s">
        <v>399</v>
      </c>
      <c r="G604" s="754" t="s">
        <v>323</v>
      </c>
      <c r="H604" s="755" t="s">
        <v>453</v>
      </c>
      <c r="I604" s="751" t="str">
        <f t="shared" si="9"/>
        <v>CAR5227</v>
      </c>
      <c r="J604" s="470"/>
      <c r="K604" s="789">
        <v>-950</v>
      </c>
      <c r="L604" s="470"/>
      <c r="M604" s="790">
        <v>46112</v>
      </c>
      <c r="N604" s="751"/>
      <c r="O604" s="751"/>
      <c r="P604" s="790"/>
      <c r="Q604" s="788" t="s">
        <v>5804</v>
      </c>
      <c r="R604" s="788" t="s">
        <v>5804</v>
      </c>
      <c r="S604" s="788" t="s">
        <v>5804</v>
      </c>
      <c r="T604" s="788"/>
      <c r="U604" s="788"/>
    </row>
    <row r="605" spans="2:21" ht="39">
      <c r="B605" s="753" t="s">
        <v>5839</v>
      </c>
      <c r="C605" s="750"/>
      <c r="D605" s="751"/>
      <c r="E605" s="792" t="s">
        <v>676</v>
      </c>
      <c r="F605" s="753" t="s">
        <v>399</v>
      </c>
      <c r="G605" s="754" t="s">
        <v>323</v>
      </c>
      <c r="H605" s="755" t="s">
        <v>453</v>
      </c>
      <c r="I605" s="751" t="str">
        <f t="shared" si="9"/>
        <v>CAR5227</v>
      </c>
      <c r="J605" s="470"/>
      <c r="K605" s="789">
        <v>-1550</v>
      </c>
      <c r="L605" s="470"/>
      <c r="M605" s="790">
        <v>46112</v>
      </c>
      <c r="N605" s="751"/>
      <c r="O605" s="751"/>
      <c r="P605" s="790"/>
      <c r="Q605" s="788" t="s">
        <v>5805</v>
      </c>
      <c r="R605" s="788" t="s">
        <v>5805</v>
      </c>
      <c r="S605" s="788" t="s">
        <v>5805</v>
      </c>
      <c r="T605" s="788"/>
      <c r="U605" s="788"/>
    </row>
    <row r="606" spans="2:21" ht="39">
      <c r="B606" s="753" t="s">
        <v>5839</v>
      </c>
      <c r="C606" s="750"/>
      <c r="D606" s="751"/>
      <c r="E606" s="792" t="s">
        <v>676</v>
      </c>
      <c r="F606" s="753" t="s">
        <v>399</v>
      </c>
      <c r="G606" s="754" t="s">
        <v>323</v>
      </c>
      <c r="H606" s="755" t="s">
        <v>453</v>
      </c>
      <c r="I606" s="751" t="str">
        <f t="shared" si="9"/>
        <v>CAR5227</v>
      </c>
      <c r="J606" s="470"/>
      <c r="K606" s="789">
        <v>-1782.5</v>
      </c>
      <c r="L606" s="470"/>
      <c r="M606" s="790">
        <v>46112</v>
      </c>
      <c r="N606" s="751"/>
      <c r="O606" s="751"/>
      <c r="P606" s="790"/>
      <c r="Q606" s="788" t="s">
        <v>5807</v>
      </c>
      <c r="R606" s="788" t="s">
        <v>5807</v>
      </c>
      <c r="S606" s="788" t="s">
        <v>5807</v>
      </c>
      <c r="T606" s="788"/>
      <c r="U606" s="788"/>
    </row>
    <row r="607" spans="2:21" ht="39">
      <c r="B607" s="753" t="s">
        <v>5839</v>
      </c>
      <c r="C607" s="750"/>
      <c r="D607" s="751"/>
      <c r="E607" s="792" t="s">
        <v>676</v>
      </c>
      <c r="F607" s="753" t="s">
        <v>399</v>
      </c>
      <c r="G607" s="754" t="s">
        <v>323</v>
      </c>
      <c r="H607" s="755" t="s">
        <v>453</v>
      </c>
      <c r="I607" s="751" t="str">
        <f t="shared" si="9"/>
        <v>CAR5227</v>
      </c>
      <c r="J607" s="470"/>
      <c r="K607" s="789">
        <v>-1050</v>
      </c>
      <c r="L607" s="470"/>
      <c r="M607" s="790">
        <v>46112</v>
      </c>
      <c r="N607" s="751"/>
      <c r="O607" s="751"/>
      <c r="P607" s="790"/>
      <c r="Q607" s="788" t="s">
        <v>5808</v>
      </c>
      <c r="R607" s="788" t="s">
        <v>5808</v>
      </c>
      <c r="S607" s="788" t="s">
        <v>5808</v>
      </c>
      <c r="T607" s="788"/>
      <c r="U607" s="788"/>
    </row>
    <row r="608" spans="2:21" ht="39">
      <c r="B608" s="753" t="s">
        <v>5839</v>
      </c>
      <c r="C608" s="750"/>
      <c r="D608" s="751"/>
      <c r="E608" s="792" t="s">
        <v>676</v>
      </c>
      <c r="F608" s="753" t="s">
        <v>414</v>
      </c>
      <c r="G608" s="754" t="s">
        <v>66</v>
      </c>
      <c r="H608" s="755" t="s">
        <v>469</v>
      </c>
      <c r="I608" s="751" t="str">
        <f t="shared" si="9"/>
        <v>CAR5253</v>
      </c>
      <c r="J608" s="470"/>
      <c r="K608" s="789">
        <v>-1.9289999999999998</v>
      </c>
      <c r="L608" s="470"/>
      <c r="M608" s="790">
        <v>46112</v>
      </c>
      <c r="N608" s="751"/>
      <c r="O608" s="751"/>
      <c r="P608" s="790"/>
      <c r="Q608" s="788" t="s">
        <v>2797</v>
      </c>
      <c r="R608" s="788" t="s">
        <v>2797</v>
      </c>
      <c r="S608" s="788" t="s">
        <v>2797</v>
      </c>
      <c r="T608" s="788"/>
      <c r="U608" s="788"/>
    </row>
    <row r="609" spans="2:21" ht="39">
      <c r="B609" s="753" t="s">
        <v>5839</v>
      </c>
      <c r="C609" s="750"/>
      <c r="D609" s="751"/>
      <c r="E609" s="792" t="s">
        <v>676</v>
      </c>
      <c r="F609" s="753" t="s">
        <v>414</v>
      </c>
      <c r="G609" s="754" t="s">
        <v>66</v>
      </c>
      <c r="H609" s="755" t="s">
        <v>469</v>
      </c>
      <c r="I609" s="751" t="str">
        <f t="shared" si="9"/>
        <v>CAR5253</v>
      </c>
      <c r="J609" s="470"/>
      <c r="K609" s="789">
        <v>-276.25</v>
      </c>
      <c r="L609" s="470"/>
      <c r="M609" s="790">
        <v>46112</v>
      </c>
      <c r="N609" s="751"/>
      <c r="O609" s="751"/>
      <c r="P609" s="790"/>
      <c r="Q609" s="788" t="s">
        <v>5817</v>
      </c>
      <c r="R609" s="788" t="s">
        <v>5817</v>
      </c>
      <c r="S609" s="788" t="s">
        <v>5817</v>
      </c>
      <c r="T609" s="788"/>
      <c r="U609" s="788"/>
    </row>
    <row r="610" spans="2:21" ht="39">
      <c r="B610" s="753" t="s">
        <v>5839</v>
      </c>
      <c r="C610" s="750"/>
      <c r="D610" s="751"/>
      <c r="E610" s="792" t="s">
        <v>676</v>
      </c>
      <c r="F610" s="753" t="s">
        <v>415</v>
      </c>
      <c r="G610" s="754" t="s">
        <v>31</v>
      </c>
      <c r="H610" s="755" t="s">
        <v>470</v>
      </c>
      <c r="I610" s="751" t="str">
        <f t="shared" si="9"/>
        <v>CAR5254</v>
      </c>
      <c r="J610" s="470"/>
      <c r="K610" s="789">
        <v>-276.25</v>
      </c>
      <c r="L610" s="470"/>
      <c r="M610" s="790">
        <v>46112</v>
      </c>
      <c r="N610" s="751"/>
      <c r="O610" s="751"/>
      <c r="P610" s="790"/>
      <c r="Q610" s="788" t="s">
        <v>5818</v>
      </c>
      <c r="R610" s="788" t="s">
        <v>5818</v>
      </c>
      <c r="S610" s="788" t="s">
        <v>5818</v>
      </c>
      <c r="T610" s="788"/>
      <c r="U610" s="788"/>
    </row>
    <row r="611" spans="2:21" ht="39">
      <c r="B611" s="753" t="s">
        <v>5839</v>
      </c>
      <c r="C611" s="750"/>
      <c r="D611" s="751"/>
      <c r="E611" s="792" t="s">
        <v>676</v>
      </c>
      <c r="F611" s="753" t="s">
        <v>413</v>
      </c>
      <c r="G611" s="754" t="s">
        <v>33</v>
      </c>
      <c r="H611" s="755" t="s">
        <v>468</v>
      </c>
      <c r="I611" s="751" t="str">
        <f t="shared" si="9"/>
        <v>CAR5252</v>
      </c>
      <c r="J611" s="470"/>
      <c r="K611" s="789">
        <v>-112.52500000000001</v>
      </c>
      <c r="L611" s="470"/>
      <c r="M611" s="790">
        <v>46112</v>
      </c>
      <c r="N611" s="751"/>
      <c r="O611" s="751"/>
      <c r="P611" s="790"/>
      <c r="Q611" s="788" t="s">
        <v>5816</v>
      </c>
      <c r="R611" s="788" t="s">
        <v>5816</v>
      </c>
      <c r="S611" s="788" t="s">
        <v>5816</v>
      </c>
      <c r="T611" s="788"/>
      <c r="U611" s="788"/>
    </row>
    <row r="612" spans="2:21" ht="39">
      <c r="B612" s="753" t="s">
        <v>5839</v>
      </c>
      <c r="C612" s="750"/>
      <c r="D612" s="751"/>
      <c r="E612" s="792" t="s">
        <v>676</v>
      </c>
      <c r="F612" s="753" t="s">
        <v>398</v>
      </c>
      <c r="G612" s="754" t="s">
        <v>325</v>
      </c>
      <c r="H612" s="755" t="s">
        <v>452</v>
      </c>
      <c r="I612" s="751" t="str">
        <f t="shared" si="9"/>
        <v>CAR5228</v>
      </c>
      <c r="J612" s="470"/>
      <c r="K612" s="789">
        <v>-6964</v>
      </c>
      <c r="L612" s="470"/>
      <c r="M612" s="790">
        <v>46119</v>
      </c>
      <c r="N612" s="751"/>
      <c r="O612" s="751"/>
      <c r="P612" s="790"/>
      <c r="Q612" s="788" t="s">
        <v>5836</v>
      </c>
      <c r="R612" s="788" t="s">
        <v>5836</v>
      </c>
      <c r="S612" s="788" t="s">
        <v>5836</v>
      </c>
      <c r="T612" s="788"/>
      <c r="U612" s="788"/>
    </row>
    <row r="613" spans="2:21" ht="39">
      <c r="B613" s="753" t="s">
        <v>5839</v>
      </c>
      <c r="C613" s="750"/>
      <c r="D613" s="751"/>
      <c r="E613" s="792" t="s">
        <v>676</v>
      </c>
      <c r="F613" s="753" t="s">
        <v>419</v>
      </c>
      <c r="G613" s="754" t="s">
        <v>58</v>
      </c>
      <c r="H613" s="755" t="s">
        <v>59</v>
      </c>
      <c r="I613" s="751" t="str">
        <f t="shared" si="9"/>
        <v>CAR5219</v>
      </c>
      <c r="J613" s="470"/>
      <c r="K613" s="789">
        <v>-26.25</v>
      </c>
      <c r="L613" s="470"/>
      <c r="M613" s="790">
        <v>46112</v>
      </c>
      <c r="N613" s="751"/>
      <c r="O613" s="751"/>
      <c r="P613" s="790"/>
      <c r="Q613" s="788" t="s">
        <v>5781</v>
      </c>
      <c r="R613" s="788" t="s">
        <v>5781</v>
      </c>
      <c r="S613" s="788" t="s">
        <v>5781</v>
      </c>
      <c r="T613" s="788"/>
      <c r="U613" s="788"/>
    </row>
    <row r="614" spans="2:21" ht="39">
      <c r="B614" s="753" t="s">
        <v>5839</v>
      </c>
      <c r="C614" s="750"/>
      <c r="D614" s="751"/>
      <c r="E614" s="792" t="s">
        <v>676</v>
      </c>
      <c r="F614" s="753" t="s">
        <v>419</v>
      </c>
      <c r="G614" s="754" t="s">
        <v>58</v>
      </c>
      <c r="H614" s="755" t="s">
        <v>59</v>
      </c>
      <c r="I614" s="751" t="str">
        <f t="shared" si="9"/>
        <v>CAR5219</v>
      </c>
      <c r="J614" s="470"/>
      <c r="K614" s="789">
        <v>-100</v>
      </c>
      <c r="L614" s="470"/>
      <c r="M614" s="790">
        <v>46112</v>
      </c>
      <c r="N614" s="751"/>
      <c r="O614" s="751"/>
      <c r="P614" s="790"/>
      <c r="Q614" s="788" t="s">
        <v>5782</v>
      </c>
      <c r="R614" s="788" t="s">
        <v>5782</v>
      </c>
      <c r="S614" s="788" t="s">
        <v>5782</v>
      </c>
      <c r="T614" s="788"/>
      <c r="U614" s="788"/>
    </row>
    <row r="615" spans="2:21" ht="39">
      <c r="B615" s="753" t="s">
        <v>5839</v>
      </c>
      <c r="C615" s="750"/>
      <c r="D615" s="751"/>
      <c r="E615" s="792" t="s">
        <v>676</v>
      </c>
      <c r="F615" s="753" t="s">
        <v>419</v>
      </c>
      <c r="G615" s="754" t="s">
        <v>58</v>
      </c>
      <c r="H615" s="755" t="s">
        <v>59</v>
      </c>
      <c r="I615" s="751" t="str">
        <f t="shared" si="9"/>
        <v>CAR5219</v>
      </c>
      <c r="J615" s="470"/>
      <c r="K615" s="789">
        <v>-1.9295000000000002</v>
      </c>
      <c r="L615" s="470"/>
      <c r="M615" s="790">
        <v>46112</v>
      </c>
      <c r="N615" s="751"/>
      <c r="O615" s="751"/>
      <c r="P615" s="790"/>
      <c r="Q615" s="788" t="s">
        <v>2797</v>
      </c>
      <c r="R615" s="788" t="s">
        <v>2797</v>
      </c>
      <c r="S615" s="788" t="s">
        <v>2797</v>
      </c>
      <c r="T615" s="788"/>
      <c r="U615" s="788"/>
    </row>
    <row r="616" spans="2:21" ht="52">
      <c r="B616" s="753" t="s">
        <v>5856</v>
      </c>
      <c r="C616" s="750" t="s">
        <v>5862</v>
      </c>
      <c r="D616" s="751"/>
      <c r="E616" s="792" t="s">
        <v>676</v>
      </c>
      <c r="F616" s="753" t="s">
        <v>403</v>
      </c>
      <c r="G616" s="754" t="s">
        <v>37</v>
      </c>
      <c r="H616" s="755" t="s">
        <v>457</v>
      </c>
      <c r="I616" s="751" t="str">
        <f t="shared" si="9"/>
        <v>CAR5250</v>
      </c>
      <c r="J616" s="470"/>
      <c r="K616" s="789">
        <v>-735.75</v>
      </c>
      <c r="L616" s="470"/>
      <c r="M616" s="790">
        <v>46112</v>
      </c>
      <c r="N616" s="751"/>
      <c r="O616" s="751"/>
      <c r="P616" s="790"/>
      <c r="Q616" s="788" t="s">
        <v>5819</v>
      </c>
      <c r="R616" s="788" t="s">
        <v>5819</v>
      </c>
      <c r="S616" s="788" t="s">
        <v>5819</v>
      </c>
      <c r="T616" s="788"/>
      <c r="U616" s="788"/>
    </row>
    <row r="617" spans="2:21" ht="52">
      <c r="B617" s="753" t="s">
        <v>5856</v>
      </c>
      <c r="C617" s="750" t="s">
        <v>5862</v>
      </c>
      <c r="D617" s="751"/>
      <c r="E617" s="792" t="s">
        <v>676</v>
      </c>
      <c r="F617" s="753" t="s">
        <v>403</v>
      </c>
      <c r="G617" s="754" t="s">
        <v>37</v>
      </c>
      <c r="H617" s="755" t="s">
        <v>457</v>
      </c>
      <c r="I617" s="751" t="str">
        <f t="shared" si="9"/>
        <v>CAR5250</v>
      </c>
      <c r="J617" s="470"/>
      <c r="K617" s="789">
        <v>-25</v>
      </c>
      <c r="L617" s="470"/>
      <c r="M617" s="790">
        <v>46112</v>
      </c>
      <c r="N617" s="751"/>
      <c r="O617" s="751"/>
      <c r="P617" s="790"/>
      <c r="Q617" s="788" t="s">
        <v>5820</v>
      </c>
      <c r="R617" s="788" t="s">
        <v>5820</v>
      </c>
      <c r="S617" s="788" t="s">
        <v>5820</v>
      </c>
      <c r="T617" s="788"/>
      <c r="U617" s="788"/>
    </row>
    <row r="618" spans="2:21" ht="52">
      <c r="B618" s="753" t="s">
        <v>5856</v>
      </c>
      <c r="C618" s="750" t="s">
        <v>5862</v>
      </c>
      <c r="D618" s="751"/>
      <c r="E618" s="792" t="s">
        <v>676</v>
      </c>
      <c r="F618" s="753" t="s">
        <v>403</v>
      </c>
      <c r="G618" s="754" t="s">
        <v>37</v>
      </c>
      <c r="H618" s="755" t="s">
        <v>457</v>
      </c>
      <c r="I618" s="751" t="str">
        <f t="shared" si="9"/>
        <v>CAR5250</v>
      </c>
      <c r="J618" s="470"/>
      <c r="K618" s="789">
        <v>-263.75</v>
      </c>
      <c r="L618" s="470"/>
      <c r="M618" s="790">
        <v>46112</v>
      </c>
      <c r="N618" s="751"/>
      <c r="O618" s="751"/>
      <c r="P618" s="790"/>
      <c r="Q618" s="788" t="s">
        <v>5821</v>
      </c>
      <c r="R618" s="788" t="s">
        <v>5821</v>
      </c>
      <c r="S618" s="788" t="s">
        <v>5821</v>
      </c>
      <c r="T618" s="788"/>
      <c r="U618" s="788"/>
    </row>
    <row r="619" spans="2:21" ht="39">
      <c r="B619" s="753" t="s">
        <v>5839</v>
      </c>
      <c r="C619" s="750"/>
      <c r="D619" s="751"/>
      <c r="E619" s="792" t="s">
        <v>676</v>
      </c>
      <c r="F619" s="753" t="s">
        <v>400</v>
      </c>
      <c r="G619" s="754" t="s">
        <v>321</v>
      </c>
      <c r="H619" s="755" t="s">
        <v>455</v>
      </c>
      <c r="I619" s="751" t="str">
        <f t="shared" si="9"/>
        <v>CAR5226</v>
      </c>
      <c r="J619" s="470"/>
      <c r="K619" s="789">
        <v>-903.22500000000002</v>
      </c>
      <c r="L619" s="470"/>
      <c r="M619" s="790">
        <v>46112</v>
      </c>
      <c r="N619" s="751"/>
      <c r="O619" s="751"/>
      <c r="P619" s="790"/>
      <c r="Q619" s="788" t="s">
        <v>5783</v>
      </c>
      <c r="R619" s="788" t="s">
        <v>5783</v>
      </c>
      <c r="S619" s="788" t="s">
        <v>5783</v>
      </c>
      <c r="T619" s="788"/>
      <c r="U619" s="788"/>
    </row>
    <row r="620" spans="2:21" ht="39">
      <c r="B620" s="753" t="s">
        <v>5839</v>
      </c>
      <c r="C620" s="750"/>
      <c r="D620" s="751"/>
      <c r="E620" s="792" t="s">
        <v>676</v>
      </c>
      <c r="F620" s="753" t="s">
        <v>400</v>
      </c>
      <c r="G620" s="754" t="s">
        <v>321</v>
      </c>
      <c r="H620" s="755" t="s">
        <v>455</v>
      </c>
      <c r="I620" s="751" t="str">
        <f t="shared" si="9"/>
        <v>CAR5226</v>
      </c>
      <c r="J620" s="470"/>
      <c r="K620" s="789">
        <v>-886.375</v>
      </c>
      <c r="L620" s="470"/>
      <c r="M620" s="790">
        <v>46112</v>
      </c>
      <c r="N620" s="751"/>
      <c r="O620" s="751"/>
      <c r="P620" s="790"/>
      <c r="Q620" s="788" t="s">
        <v>5784</v>
      </c>
      <c r="R620" s="788" t="s">
        <v>5784</v>
      </c>
      <c r="S620" s="788" t="s">
        <v>5784</v>
      </c>
      <c r="T620" s="788"/>
      <c r="U620" s="788"/>
    </row>
    <row r="621" spans="2:21" ht="39">
      <c r="B621" s="753" t="s">
        <v>5839</v>
      </c>
      <c r="C621" s="750"/>
      <c r="D621" s="751"/>
      <c r="E621" s="792" t="s">
        <v>676</v>
      </c>
      <c r="F621" s="753" t="s">
        <v>400</v>
      </c>
      <c r="G621" s="754" t="s">
        <v>321</v>
      </c>
      <c r="H621" s="755" t="s">
        <v>455</v>
      </c>
      <c r="I621" s="751" t="str">
        <f t="shared" si="9"/>
        <v>CAR5226</v>
      </c>
      <c r="J621" s="470"/>
      <c r="K621" s="789">
        <v>-903.22500000000002</v>
      </c>
      <c r="L621" s="470"/>
      <c r="M621" s="790">
        <v>46112</v>
      </c>
      <c r="N621" s="751"/>
      <c r="O621" s="751"/>
      <c r="P621" s="790"/>
      <c r="Q621" s="788" t="s">
        <v>5785</v>
      </c>
      <c r="R621" s="788" t="s">
        <v>5785</v>
      </c>
      <c r="S621" s="788" t="s">
        <v>5785</v>
      </c>
      <c r="T621" s="788"/>
      <c r="U621" s="788"/>
    </row>
    <row r="622" spans="2:21" ht="39">
      <c r="B622" s="753" t="s">
        <v>5839</v>
      </c>
      <c r="C622" s="750"/>
      <c r="D622" s="751"/>
      <c r="E622" s="792" t="s">
        <v>676</v>
      </c>
      <c r="F622" s="753" t="s">
        <v>400</v>
      </c>
      <c r="G622" s="754" t="s">
        <v>321</v>
      </c>
      <c r="H622" s="755" t="s">
        <v>455</v>
      </c>
      <c r="I622" s="751" t="str">
        <f t="shared" si="9"/>
        <v>CAR5226</v>
      </c>
      <c r="J622" s="470"/>
      <c r="K622" s="789">
        <v>-886.375</v>
      </c>
      <c r="L622" s="470"/>
      <c r="M622" s="790">
        <v>46112</v>
      </c>
      <c r="N622" s="751"/>
      <c r="O622" s="751"/>
      <c r="P622" s="790"/>
      <c r="Q622" s="788" t="s">
        <v>5786</v>
      </c>
      <c r="R622" s="788" t="s">
        <v>5786</v>
      </c>
      <c r="S622" s="788" t="s">
        <v>5786</v>
      </c>
      <c r="T622" s="788"/>
      <c r="U622" s="788"/>
    </row>
    <row r="623" spans="2:21" ht="39">
      <c r="B623" s="753" t="s">
        <v>5839</v>
      </c>
      <c r="C623" s="750"/>
      <c r="D623" s="751"/>
      <c r="E623" s="792" t="s">
        <v>676</v>
      </c>
      <c r="F623" s="753" t="s">
        <v>400</v>
      </c>
      <c r="G623" s="754" t="s">
        <v>321</v>
      </c>
      <c r="H623" s="755" t="s">
        <v>455</v>
      </c>
      <c r="I623" s="751" t="str">
        <f t="shared" si="9"/>
        <v>CAR5226</v>
      </c>
      <c r="J623" s="470"/>
      <c r="K623" s="789">
        <v>-1390</v>
      </c>
      <c r="L623" s="470"/>
      <c r="M623" s="790">
        <v>46120</v>
      </c>
      <c r="N623" s="751"/>
      <c r="O623" s="751"/>
      <c r="P623" s="790"/>
      <c r="Q623" s="788" t="s">
        <v>5833</v>
      </c>
      <c r="R623" s="788" t="s">
        <v>5833</v>
      </c>
      <c r="S623" s="788" t="s">
        <v>5833</v>
      </c>
      <c r="T623" s="788"/>
      <c r="U623" s="788"/>
    </row>
    <row r="624" spans="2:21" ht="39">
      <c r="B624" s="753" t="s">
        <v>5839</v>
      </c>
      <c r="C624" s="750"/>
      <c r="D624" s="751"/>
      <c r="E624" s="792" t="s">
        <v>676</v>
      </c>
      <c r="F624" s="753" t="s">
        <v>400</v>
      </c>
      <c r="G624" s="754" t="s">
        <v>321</v>
      </c>
      <c r="H624" s="755" t="s">
        <v>455</v>
      </c>
      <c r="I624" s="751" t="str">
        <f t="shared" si="9"/>
        <v>CAR5226</v>
      </c>
      <c r="J624" s="470"/>
      <c r="K624" s="789">
        <v>-1393</v>
      </c>
      <c r="L624" s="470"/>
      <c r="M624" s="790">
        <v>46120</v>
      </c>
      <c r="N624" s="751"/>
      <c r="O624" s="751"/>
      <c r="P624" s="790"/>
      <c r="Q624" s="788" t="s">
        <v>5834</v>
      </c>
      <c r="R624" s="788" t="s">
        <v>5834</v>
      </c>
      <c r="S624" s="788" t="s">
        <v>5834</v>
      </c>
      <c r="T624" s="788"/>
      <c r="U624" s="788"/>
    </row>
    <row r="625" spans="2:21" ht="39">
      <c r="B625" s="753" t="s">
        <v>5839</v>
      </c>
      <c r="C625" s="750"/>
      <c r="D625" s="751"/>
      <c r="E625" s="792" t="s">
        <v>676</v>
      </c>
      <c r="F625" s="753" t="s">
        <v>400</v>
      </c>
      <c r="G625" s="754" t="s">
        <v>321</v>
      </c>
      <c r="H625" s="755" t="s">
        <v>455</v>
      </c>
      <c r="I625" s="751" t="str">
        <f t="shared" si="9"/>
        <v>CAR5226</v>
      </c>
      <c r="J625" s="470"/>
      <c r="K625" s="789">
        <v>-7823</v>
      </c>
      <c r="L625" s="470"/>
      <c r="M625" s="790">
        <v>46119</v>
      </c>
      <c r="N625" s="751"/>
      <c r="O625" s="751"/>
      <c r="P625" s="790"/>
      <c r="Q625" s="788" t="s">
        <v>5835</v>
      </c>
      <c r="R625" s="788" t="s">
        <v>5835</v>
      </c>
      <c r="S625" s="788" t="s">
        <v>5835</v>
      </c>
      <c r="T625" s="788"/>
      <c r="U625" s="788"/>
    </row>
    <row r="626" spans="2:21" ht="39">
      <c r="B626" s="753" t="s">
        <v>5839</v>
      </c>
      <c r="C626" s="750"/>
      <c r="D626" s="751"/>
      <c r="E626" s="792" t="s">
        <v>676</v>
      </c>
      <c r="F626" s="753" t="s">
        <v>400</v>
      </c>
      <c r="G626" s="754" t="s">
        <v>321</v>
      </c>
      <c r="H626" s="755" t="s">
        <v>455</v>
      </c>
      <c r="I626" s="751" t="str">
        <f t="shared" si="9"/>
        <v>CAR5226</v>
      </c>
      <c r="J626" s="470"/>
      <c r="K626" s="789">
        <v>-900</v>
      </c>
      <c r="L626" s="470"/>
      <c r="M626" s="790">
        <v>46118</v>
      </c>
      <c r="N626" s="751"/>
      <c r="O626" s="751"/>
      <c r="P626" s="790"/>
      <c r="Q626" s="788" t="s">
        <v>5837</v>
      </c>
      <c r="R626" s="788" t="s">
        <v>5837</v>
      </c>
      <c r="S626" s="788" t="s">
        <v>5837</v>
      </c>
      <c r="T626" s="788"/>
      <c r="U626" s="788"/>
    </row>
    <row r="627" spans="2:21" ht="39">
      <c r="B627" s="753" t="s">
        <v>5839</v>
      </c>
      <c r="C627" s="750"/>
      <c r="D627" s="751"/>
      <c r="E627" s="792" t="s">
        <v>676</v>
      </c>
      <c r="F627" s="753" t="s">
        <v>400</v>
      </c>
      <c r="G627" s="754" t="s">
        <v>321</v>
      </c>
      <c r="H627" s="755" t="s">
        <v>455</v>
      </c>
      <c r="I627" s="751" t="str">
        <f t="shared" si="9"/>
        <v>CAR5226</v>
      </c>
      <c r="J627" s="470"/>
      <c r="K627" s="789">
        <v>-662.5</v>
      </c>
      <c r="L627" s="470"/>
      <c r="M627" s="790">
        <v>46120</v>
      </c>
      <c r="N627" s="751"/>
      <c r="O627" s="751"/>
      <c r="P627" s="790"/>
      <c r="Q627" s="788" t="s">
        <v>5838</v>
      </c>
      <c r="R627" s="788" t="s">
        <v>5838</v>
      </c>
      <c r="S627" s="788" t="s">
        <v>5838</v>
      </c>
      <c r="T627" s="788"/>
      <c r="U627" s="788"/>
    </row>
    <row r="628" spans="2:21" ht="39">
      <c r="B628" s="753" t="s">
        <v>5839</v>
      </c>
      <c r="C628" s="750"/>
      <c r="D628" s="751"/>
      <c r="E628" s="792" t="s">
        <v>676</v>
      </c>
      <c r="F628" s="753" t="s">
        <v>401</v>
      </c>
      <c r="G628" s="754" t="s">
        <v>331</v>
      </c>
      <c r="H628" s="755" t="s">
        <v>332</v>
      </c>
      <c r="I628" s="751" t="str">
        <f t="shared" si="9"/>
        <v>CAR5236</v>
      </c>
      <c r="J628" s="470"/>
      <c r="K628" s="789">
        <v>-584.25</v>
      </c>
      <c r="L628" s="470"/>
      <c r="M628" s="790">
        <v>46112</v>
      </c>
      <c r="N628" s="751"/>
      <c r="O628" s="751"/>
      <c r="P628" s="790"/>
      <c r="Q628" s="788" t="s">
        <v>5809</v>
      </c>
      <c r="R628" s="788" t="s">
        <v>5809</v>
      </c>
      <c r="S628" s="788" t="s">
        <v>5809</v>
      </c>
      <c r="T628" s="788"/>
      <c r="U628" s="788"/>
    </row>
    <row r="629" spans="2:21" ht="39">
      <c r="B629" s="753" t="s">
        <v>5839</v>
      </c>
      <c r="C629" s="750"/>
      <c r="D629" s="751"/>
      <c r="E629" s="792" t="s">
        <v>676</v>
      </c>
      <c r="F629" s="753" t="s">
        <v>401</v>
      </c>
      <c r="G629" s="754" t="s">
        <v>331</v>
      </c>
      <c r="H629" s="755" t="s">
        <v>332</v>
      </c>
      <c r="I629" s="751" t="str">
        <f t="shared" si="9"/>
        <v>CAR5236</v>
      </c>
      <c r="J629" s="470"/>
      <c r="K629" s="789">
        <v>-412.5</v>
      </c>
      <c r="L629" s="470"/>
      <c r="M629" s="790">
        <v>46112</v>
      </c>
      <c r="N629" s="751"/>
      <c r="O629" s="751"/>
      <c r="P629" s="790"/>
      <c r="Q629" s="788" t="s">
        <v>5810</v>
      </c>
      <c r="R629" s="788" t="s">
        <v>5810</v>
      </c>
      <c r="S629" s="788" t="s">
        <v>5810</v>
      </c>
      <c r="T629" s="788"/>
      <c r="U629" s="788"/>
    </row>
    <row r="630" spans="2:21" ht="39">
      <c r="B630" s="753" t="s">
        <v>5839</v>
      </c>
      <c r="C630" s="750"/>
      <c r="D630" s="751"/>
      <c r="E630" s="792" t="s">
        <v>670</v>
      </c>
      <c r="F630" s="753" t="s">
        <v>406</v>
      </c>
      <c r="G630" s="754" t="s">
        <v>64</v>
      </c>
      <c r="H630" s="755" t="s">
        <v>461</v>
      </c>
      <c r="I630" s="751" t="str">
        <f t="shared" si="9"/>
        <v>SJ5248</v>
      </c>
      <c r="J630" s="470"/>
      <c r="K630" s="789">
        <v>-100</v>
      </c>
      <c r="L630" s="470"/>
      <c r="M630" s="790">
        <v>46112</v>
      </c>
      <c r="N630" s="751"/>
      <c r="O630" s="751"/>
      <c r="P630" s="790"/>
      <c r="Q630" s="788" t="s">
        <v>5824</v>
      </c>
      <c r="R630" s="788" t="s">
        <v>5824</v>
      </c>
      <c r="S630" s="788" t="s">
        <v>5824</v>
      </c>
      <c r="T630" s="788"/>
      <c r="U630" s="788"/>
    </row>
    <row r="631" spans="2:21" ht="39">
      <c r="B631" s="753" t="s">
        <v>5839</v>
      </c>
      <c r="C631" s="750"/>
      <c r="D631" s="751"/>
      <c r="E631" s="792" t="s">
        <v>670</v>
      </c>
      <c r="F631" s="753" t="s">
        <v>406</v>
      </c>
      <c r="G631" s="754" t="s">
        <v>64</v>
      </c>
      <c r="H631" s="755" t="s">
        <v>461</v>
      </c>
      <c r="I631" s="751" t="str">
        <f t="shared" si="9"/>
        <v>SJ5248</v>
      </c>
      <c r="J631" s="470"/>
      <c r="K631" s="789">
        <v>-1.9155000000000002</v>
      </c>
      <c r="L631" s="470"/>
      <c r="M631" s="790">
        <v>46112</v>
      </c>
      <c r="N631" s="751"/>
      <c r="O631" s="751"/>
      <c r="P631" s="790"/>
      <c r="Q631" s="788" t="s">
        <v>2797</v>
      </c>
      <c r="R631" s="788" t="s">
        <v>2797</v>
      </c>
      <c r="S631" s="788" t="s">
        <v>2797</v>
      </c>
      <c r="T631" s="788"/>
      <c r="U631" s="788"/>
    </row>
    <row r="632" spans="2:21" ht="39">
      <c r="B632" s="753" t="s">
        <v>5839</v>
      </c>
      <c r="C632" s="750"/>
      <c r="D632" s="751"/>
      <c r="E632" s="792" t="s">
        <v>670</v>
      </c>
      <c r="F632" s="753" t="s">
        <v>413</v>
      </c>
      <c r="G632" s="754" t="s">
        <v>261</v>
      </c>
      <c r="H632" s="755" t="s">
        <v>262</v>
      </c>
      <c r="I632" s="751" t="str">
        <f t="shared" si="9"/>
        <v>SJ5282</v>
      </c>
      <c r="J632" s="470"/>
      <c r="K632" s="789">
        <v>-1.9155000000000002</v>
      </c>
      <c r="L632" s="470"/>
      <c r="M632" s="790">
        <v>46112</v>
      </c>
      <c r="N632" s="751"/>
      <c r="O632" s="751"/>
      <c r="P632" s="790"/>
      <c r="Q632" s="788" t="s">
        <v>2797</v>
      </c>
      <c r="R632" s="788" t="s">
        <v>2797</v>
      </c>
      <c r="S632" s="788" t="s">
        <v>2797</v>
      </c>
      <c r="T632" s="788"/>
      <c r="U632" s="788"/>
    </row>
    <row r="633" spans="2:21" ht="39">
      <c r="B633" s="753" t="s">
        <v>5839</v>
      </c>
      <c r="C633" s="750"/>
      <c r="D633" s="751"/>
      <c r="E633" s="792" t="s">
        <v>670</v>
      </c>
      <c r="F633" s="753" t="s">
        <v>413</v>
      </c>
      <c r="G633" s="754" t="s">
        <v>261</v>
      </c>
      <c r="H633" s="755" t="s">
        <v>262</v>
      </c>
      <c r="I633" s="751" t="str">
        <f t="shared" si="9"/>
        <v>SJ5282</v>
      </c>
      <c r="J633" s="470"/>
      <c r="K633" s="789">
        <v>-450</v>
      </c>
      <c r="L633" s="470"/>
      <c r="M633" s="790">
        <v>46112</v>
      </c>
      <c r="N633" s="751"/>
      <c r="O633" s="751"/>
      <c r="P633" s="790"/>
      <c r="Q633" s="788" t="s">
        <v>5826</v>
      </c>
      <c r="R633" s="788" t="s">
        <v>5826</v>
      </c>
      <c r="S633" s="788" t="s">
        <v>5826</v>
      </c>
      <c r="T633" s="788"/>
      <c r="U633" s="788"/>
    </row>
    <row r="634" spans="2:21" ht="52">
      <c r="B634" s="753" t="s">
        <v>5850</v>
      </c>
      <c r="C634" s="750"/>
      <c r="D634" s="751"/>
      <c r="E634" s="792" t="s">
        <v>670</v>
      </c>
      <c r="F634" s="753" t="s">
        <v>398</v>
      </c>
      <c r="G634" s="754" t="s">
        <v>325</v>
      </c>
      <c r="H634" s="755" t="s">
        <v>452</v>
      </c>
      <c r="I634" s="751" t="str">
        <f t="shared" si="9"/>
        <v>SJ5228</v>
      </c>
      <c r="J634" s="470"/>
      <c r="K634" s="789">
        <v>-350</v>
      </c>
      <c r="L634" s="470"/>
      <c r="M634" s="790">
        <v>46112</v>
      </c>
      <c r="N634" s="751"/>
      <c r="O634" s="751"/>
      <c r="P634" s="790"/>
      <c r="Q634" s="788" t="s">
        <v>5769</v>
      </c>
      <c r="R634" s="788" t="s">
        <v>5769</v>
      </c>
      <c r="S634" s="788" t="s">
        <v>5769</v>
      </c>
      <c r="T634" s="788"/>
      <c r="U634" s="788"/>
    </row>
    <row r="635" spans="2:21" ht="52">
      <c r="B635" s="753" t="s">
        <v>5850</v>
      </c>
      <c r="C635" s="750"/>
      <c r="D635" s="751"/>
      <c r="E635" s="792" t="s">
        <v>676</v>
      </c>
      <c r="F635" s="753" t="s">
        <v>398</v>
      </c>
      <c r="G635" s="754" t="s">
        <v>325</v>
      </c>
      <c r="H635" s="755" t="s">
        <v>452</v>
      </c>
      <c r="I635" s="751" t="str">
        <f t="shared" si="9"/>
        <v>CAR5228</v>
      </c>
      <c r="J635" s="470"/>
      <c r="K635" s="789">
        <v>-350</v>
      </c>
      <c r="L635" s="470"/>
      <c r="M635" s="790">
        <v>46112</v>
      </c>
      <c r="N635" s="751"/>
      <c r="O635" s="751"/>
      <c r="P635" s="790"/>
      <c r="Q635" s="788" t="s">
        <v>5769</v>
      </c>
      <c r="R635" s="788" t="s">
        <v>5769</v>
      </c>
      <c r="S635" s="788" t="s">
        <v>5769</v>
      </c>
      <c r="T635" s="788"/>
      <c r="U635" s="788"/>
    </row>
    <row r="636" spans="2:21" ht="52">
      <c r="B636" s="753" t="s">
        <v>5850</v>
      </c>
      <c r="C636" s="750"/>
      <c r="D636" s="751"/>
      <c r="E636" s="792" t="s">
        <v>670</v>
      </c>
      <c r="F636" s="753" t="s">
        <v>398</v>
      </c>
      <c r="G636" s="754" t="s">
        <v>325</v>
      </c>
      <c r="H636" s="755" t="s">
        <v>452</v>
      </c>
      <c r="I636" s="751" t="str">
        <f t="shared" si="9"/>
        <v>SJ5228</v>
      </c>
      <c r="J636" s="470"/>
      <c r="K636" s="789">
        <v>-500</v>
      </c>
      <c r="L636" s="470"/>
      <c r="M636" s="790">
        <v>46112</v>
      </c>
      <c r="N636" s="751"/>
      <c r="O636" s="751"/>
      <c r="P636" s="790"/>
      <c r="Q636" s="788" t="s">
        <v>5770</v>
      </c>
      <c r="R636" s="788" t="s">
        <v>5770</v>
      </c>
      <c r="S636" s="788" t="s">
        <v>5770</v>
      </c>
      <c r="T636" s="788"/>
      <c r="U636" s="788"/>
    </row>
    <row r="637" spans="2:21" ht="52">
      <c r="B637" s="753" t="s">
        <v>5850</v>
      </c>
      <c r="C637" s="750"/>
      <c r="D637" s="751"/>
      <c r="E637" s="792" t="s">
        <v>676</v>
      </c>
      <c r="F637" s="753" t="s">
        <v>398</v>
      </c>
      <c r="G637" s="754" t="s">
        <v>325</v>
      </c>
      <c r="H637" s="755" t="s">
        <v>452</v>
      </c>
      <c r="I637" s="751" t="str">
        <f t="shared" si="9"/>
        <v>CAR5228</v>
      </c>
      <c r="J637" s="470"/>
      <c r="K637" s="789">
        <v>-500</v>
      </c>
      <c r="L637" s="470"/>
      <c r="M637" s="790">
        <v>46112</v>
      </c>
      <c r="N637" s="751"/>
      <c r="O637" s="751"/>
      <c r="P637" s="790"/>
      <c r="Q637" s="788" t="s">
        <v>5770</v>
      </c>
      <c r="R637" s="788" t="s">
        <v>5770</v>
      </c>
      <c r="S637" s="788" t="s">
        <v>5770</v>
      </c>
      <c r="T637" s="788"/>
      <c r="U637" s="788"/>
    </row>
    <row r="638" spans="2:21" ht="52">
      <c r="B638" s="753" t="s">
        <v>5850</v>
      </c>
      <c r="C638" s="750"/>
      <c r="D638" s="751"/>
      <c r="E638" s="792" t="s">
        <v>670</v>
      </c>
      <c r="F638" s="753" t="s">
        <v>398</v>
      </c>
      <c r="G638" s="754" t="s">
        <v>325</v>
      </c>
      <c r="H638" s="755" t="s">
        <v>452</v>
      </c>
      <c r="I638" s="751" t="str">
        <f t="shared" si="9"/>
        <v>SJ5228</v>
      </c>
      <c r="J638" s="470"/>
      <c r="K638" s="814">
        <v>-1040</v>
      </c>
      <c r="L638" s="470"/>
      <c r="M638" s="790">
        <v>46112</v>
      </c>
      <c r="N638" s="751"/>
      <c r="O638" s="751"/>
      <c r="P638" s="790"/>
      <c r="Q638" s="788" t="s">
        <v>5822</v>
      </c>
      <c r="R638" s="788" t="s">
        <v>5822</v>
      </c>
      <c r="S638" s="788" t="s">
        <v>5822</v>
      </c>
      <c r="T638" s="788"/>
      <c r="U638" s="788"/>
    </row>
    <row r="639" spans="2:21" ht="52">
      <c r="B639" s="753" t="s">
        <v>5850</v>
      </c>
      <c r="C639" s="750"/>
      <c r="D639" s="751"/>
      <c r="E639" s="792" t="s">
        <v>676</v>
      </c>
      <c r="F639" s="753" t="s">
        <v>398</v>
      </c>
      <c r="G639" s="754" t="s">
        <v>325</v>
      </c>
      <c r="H639" s="755" t="s">
        <v>452</v>
      </c>
      <c r="I639" s="751" t="str">
        <f t="shared" si="9"/>
        <v>CAR5228</v>
      </c>
      <c r="J639" s="470"/>
      <c r="K639" s="814">
        <v>-1040</v>
      </c>
      <c r="L639" s="470"/>
      <c r="M639" s="790">
        <v>46112</v>
      </c>
      <c r="N639" s="751"/>
      <c r="O639" s="751"/>
      <c r="P639" s="790"/>
      <c r="Q639" s="788" t="s">
        <v>5822</v>
      </c>
      <c r="R639" s="788" t="s">
        <v>5822</v>
      </c>
      <c r="S639" s="788" t="s">
        <v>5822</v>
      </c>
      <c r="T639" s="788"/>
      <c r="U639" s="788"/>
    </row>
    <row r="640" spans="2:21" ht="39">
      <c r="B640" s="753" t="s">
        <v>5839</v>
      </c>
      <c r="C640" s="750"/>
      <c r="D640" s="751"/>
      <c r="E640" s="792" t="s">
        <v>670</v>
      </c>
      <c r="F640" s="753" t="s">
        <v>401</v>
      </c>
      <c r="G640" s="754" t="s">
        <v>333</v>
      </c>
      <c r="H640" s="755" t="s">
        <v>334</v>
      </c>
      <c r="I640" s="751" t="str">
        <f t="shared" si="9"/>
        <v>SJ5237</v>
      </c>
      <c r="J640" s="470"/>
      <c r="K640" s="789">
        <v>-697.95</v>
      </c>
      <c r="L640" s="470"/>
      <c r="M640" s="790">
        <v>46112</v>
      </c>
      <c r="N640" s="751"/>
      <c r="O640" s="751"/>
      <c r="P640" s="790"/>
      <c r="Q640" s="788" t="s">
        <v>5823</v>
      </c>
      <c r="R640" s="788" t="s">
        <v>5823</v>
      </c>
      <c r="S640" s="788" t="s">
        <v>5823</v>
      </c>
      <c r="T640" s="788"/>
      <c r="U640" s="788"/>
    </row>
    <row r="641" spans="2:21" ht="39">
      <c r="B641" s="753" t="s">
        <v>5839</v>
      </c>
      <c r="C641" s="750"/>
      <c r="D641" s="751"/>
      <c r="E641" s="792" t="s">
        <v>676</v>
      </c>
      <c r="F641" s="753" t="s">
        <v>399</v>
      </c>
      <c r="G641" s="754" t="s">
        <v>323</v>
      </c>
      <c r="H641" s="755" t="s">
        <v>453</v>
      </c>
      <c r="I641" s="751" t="str">
        <f t="shared" si="9"/>
        <v>CAR5227</v>
      </c>
      <c r="J641" s="470"/>
      <c r="K641" s="789">
        <v>-1500</v>
      </c>
      <c r="L641" s="470"/>
      <c r="M641" s="790">
        <v>46112</v>
      </c>
      <c r="N641" s="751"/>
      <c r="O641" s="751"/>
      <c r="P641" s="790"/>
      <c r="Q641" s="788" t="s">
        <v>5806</v>
      </c>
      <c r="R641" s="788" t="s">
        <v>5806</v>
      </c>
      <c r="S641" s="788" t="s">
        <v>5806</v>
      </c>
      <c r="T641" s="788"/>
      <c r="U641" s="788"/>
    </row>
    <row r="642" spans="2:21" ht="39">
      <c r="B642" s="753" t="s">
        <v>5839</v>
      </c>
      <c r="C642" s="750"/>
      <c r="D642" s="751"/>
      <c r="E642" s="792" t="s">
        <v>676</v>
      </c>
      <c r="F642" s="753" t="s">
        <v>399</v>
      </c>
      <c r="G642" s="754" t="s">
        <v>323</v>
      </c>
      <c r="H642" s="755" t="s">
        <v>453</v>
      </c>
      <c r="I642" s="751" t="str">
        <f t="shared" si="9"/>
        <v>CAR5227</v>
      </c>
      <c r="J642" s="470"/>
      <c r="K642" s="789">
        <v>1500</v>
      </c>
      <c r="L642" s="470"/>
      <c r="M642" s="790">
        <v>46112</v>
      </c>
      <c r="N642" s="751"/>
      <c r="O642" s="751"/>
      <c r="P642" s="790"/>
      <c r="Q642" s="788" t="s">
        <v>5846</v>
      </c>
      <c r="R642" s="788" t="s">
        <v>5806</v>
      </c>
      <c r="S642" s="788" t="s">
        <v>5806</v>
      </c>
      <c r="T642" s="788"/>
      <c r="U642" s="788"/>
    </row>
    <row r="643" spans="2:21" ht="39">
      <c r="B643" s="753" t="s">
        <v>5839</v>
      </c>
      <c r="C643" s="750" t="s">
        <v>5840</v>
      </c>
      <c r="D643" s="751"/>
      <c r="E643" s="792" t="s">
        <v>676</v>
      </c>
      <c r="F643" s="753" t="s">
        <v>406</v>
      </c>
      <c r="G643" s="754" t="s">
        <v>64</v>
      </c>
      <c r="H643" s="755" t="s">
        <v>461</v>
      </c>
      <c r="I643" s="751" t="str">
        <f t="shared" si="9"/>
        <v>CAR5248</v>
      </c>
      <c r="J643" s="470"/>
      <c r="K643" s="789">
        <v>-436.52499999999998</v>
      </c>
      <c r="L643" s="470"/>
      <c r="M643" s="790">
        <v>46112</v>
      </c>
      <c r="N643" s="751"/>
      <c r="O643" s="751"/>
      <c r="P643" s="790"/>
      <c r="Q643" s="788" t="s">
        <v>5827</v>
      </c>
      <c r="R643" s="788" t="s">
        <v>5827</v>
      </c>
      <c r="S643" s="788" t="s">
        <v>5827</v>
      </c>
      <c r="T643" s="788"/>
      <c r="U643" s="788"/>
    </row>
    <row r="644" spans="2:21" ht="39">
      <c r="B644" s="753" t="s">
        <v>5839</v>
      </c>
      <c r="C644" s="750" t="s">
        <v>5840</v>
      </c>
      <c r="D644" s="751"/>
      <c r="E644" s="792" t="s">
        <v>676</v>
      </c>
      <c r="F644" s="753" t="s">
        <v>395</v>
      </c>
      <c r="G644" s="754" t="s">
        <v>133</v>
      </c>
      <c r="H644" s="755" t="s">
        <v>451</v>
      </c>
      <c r="I644" s="751" t="str">
        <f t="shared" si="9"/>
        <v>CAR5207</v>
      </c>
      <c r="J644" s="470"/>
      <c r="K644" s="789">
        <v>-350</v>
      </c>
      <c r="L644" s="470"/>
      <c r="M644" s="790">
        <v>46112</v>
      </c>
      <c r="N644" s="751"/>
      <c r="O644" s="751"/>
      <c r="P644" s="790"/>
      <c r="Q644" s="788" t="s">
        <v>5772</v>
      </c>
      <c r="R644" s="788" t="s">
        <v>5772</v>
      </c>
      <c r="S644" s="788" t="s">
        <v>5772</v>
      </c>
      <c r="T644" s="788"/>
      <c r="U644" s="788"/>
    </row>
    <row r="645" spans="2:21" ht="39">
      <c r="B645" s="753" t="s">
        <v>5839</v>
      </c>
      <c r="C645" s="750" t="s">
        <v>5840</v>
      </c>
      <c r="D645" s="751"/>
      <c r="E645" s="792" t="s">
        <v>676</v>
      </c>
      <c r="F645" s="753" t="s">
        <v>395</v>
      </c>
      <c r="G645" s="754" t="s">
        <v>133</v>
      </c>
      <c r="H645" s="755" t="s">
        <v>451</v>
      </c>
      <c r="I645" s="751" t="str">
        <f t="shared" si="9"/>
        <v>CAR5207</v>
      </c>
      <c r="J645" s="470"/>
      <c r="K645" s="789">
        <v>-1950</v>
      </c>
      <c r="L645" s="470"/>
      <c r="M645" s="790">
        <v>46112</v>
      </c>
      <c r="N645" s="751"/>
      <c r="O645" s="751"/>
      <c r="P645" s="790"/>
      <c r="Q645" s="788" t="s">
        <v>5773</v>
      </c>
      <c r="R645" s="788" t="s">
        <v>5773</v>
      </c>
      <c r="S645" s="788" t="s">
        <v>5773</v>
      </c>
      <c r="T645" s="788"/>
      <c r="U645" s="788"/>
    </row>
    <row r="646" spans="2:21" ht="39">
      <c r="B646" s="753" t="s">
        <v>5839</v>
      </c>
      <c r="C646" s="750" t="s">
        <v>5840</v>
      </c>
      <c r="D646" s="751"/>
      <c r="E646" s="792" t="s">
        <v>676</v>
      </c>
      <c r="F646" s="753" t="s">
        <v>395</v>
      </c>
      <c r="G646" s="754" t="s">
        <v>133</v>
      </c>
      <c r="H646" s="755" t="s">
        <v>451</v>
      </c>
      <c r="I646" s="751" t="str">
        <f t="shared" si="9"/>
        <v>CAR5207</v>
      </c>
      <c r="J646" s="470"/>
      <c r="K646" s="789">
        <v>-450</v>
      </c>
      <c r="L646" s="470"/>
      <c r="M646" s="790">
        <v>46112</v>
      </c>
      <c r="N646" s="751"/>
      <c r="O646" s="751"/>
      <c r="P646" s="790"/>
      <c r="Q646" s="788" t="s">
        <v>5775</v>
      </c>
      <c r="R646" s="788" t="s">
        <v>5775</v>
      </c>
      <c r="S646" s="788" t="s">
        <v>5775</v>
      </c>
      <c r="T646" s="788"/>
      <c r="U646" s="788"/>
    </row>
    <row r="647" spans="2:21" ht="39">
      <c r="B647" s="753" t="s">
        <v>5839</v>
      </c>
      <c r="C647" s="750" t="s">
        <v>5840</v>
      </c>
      <c r="D647" s="751"/>
      <c r="E647" s="792" t="s">
        <v>676</v>
      </c>
      <c r="F647" s="753" t="s">
        <v>395</v>
      </c>
      <c r="G647" s="754" t="s">
        <v>133</v>
      </c>
      <c r="H647" s="755" t="s">
        <v>451</v>
      </c>
      <c r="I647" s="751" t="str">
        <f t="shared" si="9"/>
        <v>CAR5207</v>
      </c>
      <c r="J647" s="470"/>
      <c r="K647" s="789">
        <v>-950</v>
      </c>
      <c r="L647" s="470"/>
      <c r="M647" s="790">
        <v>46112</v>
      </c>
      <c r="N647" s="751"/>
      <c r="O647" s="751"/>
      <c r="P647" s="790"/>
      <c r="Q647" s="788" t="s">
        <v>5776</v>
      </c>
      <c r="R647" s="788" t="s">
        <v>5776</v>
      </c>
      <c r="S647" s="788" t="s">
        <v>5776</v>
      </c>
      <c r="T647" s="788"/>
      <c r="U647" s="788"/>
    </row>
    <row r="648" spans="2:21" ht="39">
      <c r="B648" s="753" t="s">
        <v>5839</v>
      </c>
      <c r="C648" s="750" t="s">
        <v>5840</v>
      </c>
      <c r="D648" s="751"/>
      <c r="E648" s="792" t="s">
        <v>676</v>
      </c>
      <c r="F648" s="753" t="s">
        <v>395</v>
      </c>
      <c r="G648" s="754" t="s">
        <v>133</v>
      </c>
      <c r="H648" s="755" t="s">
        <v>451</v>
      </c>
      <c r="I648" s="751" t="str">
        <f t="shared" si="9"/>
        <v>CAR5207</v>
      </c>
      <c r="J648" s="470"/>
      <c r="K648" s="789">
        <v>-250</v>
      </c>
      <c r="L648" s="470"/>
      <c r="M648" s="790">
        <v>46112</v>
      </c>
      <c r="N648" s="751"/>
      <c r="O648" s="751"/>
      <c r="P648" s="790"/>
      <c r="Q648" s="788" t="s">
        <v>5777</v>
      </c>
      <c r="R648" s="788" t="s">
        <v>5777</v>
      </c>
      <c r="S648" s="788" t="s">
        <v>5777</v>
      </c>
      <c r="T648" s="788"/>
      <c r="U648" s="788"/>
    </row>
    <row r="649" spans="2:21" ht="39">
      <c r="B649" s="753" t="s">
        <v>5839</v>
      </c>
      <c r="C649" s="750" t="s">
        <v>5840</v>
      </c>
      <c r="D649" s="751"/>
      <c r="E649" s="792" t="s">
        <v>676</v>
      </c>
      <c r="F649" s="753" t="s">
        <v>395</v>
      </c>
      <c r="G649" s="754" t="s">
        <v>133</v>
      </c>
      <c r="H649" s="755" t="s">
        <v>451</v>
      </c>
      <c r="I649" s="751" t="str">
        <f t="shared" si="9"/>
        <v>CAR5207</v>
      </c>
      <c r="J649" s="470"/>
      <c r="K649" s="789">
        <v>-1550</v>
      </c>
      <c r="L649" s="470"/>
      <c r="M649" s="790">
        <v>46112</v>
      </c>
      <c r="N649" s="751"/>
      <c r="O649" s="751"/>
      <c r="P649" s="790"/>
      <c r="Q649" s="788" t="s">
        <v>5778</v>
      </c>
      <c r="R649" s="788" t="s">
        <v>5778</v>
      </c>
      <c r="S649" s="788" t="s">
        <v>5778</v>
      </c>
      <c r="T649" s="788"/>
      <c r="U649" s="788"/>
    </row>
    <row r="650" spans="2:21" ht="39">
      <c r="B650" s="753" t="s">
        <v>5839</v>
      </c>
      <c r="C650" s="750" t="s">
        <v>5840</v>
      </c>
      <c r="D650" s="751"/>
      <c r="E650" s="792" t="s">
        <v>676</v>
      </c>
      <c r="F650" s="753" t="s">
        <v>395</v>
      </c>
      <c r="G650" s="754" t="s">
        <v>133</v>
      </c>
      <c r="H650" s="755" t="s">
        <v>451</v>
      </c>
      <c r="I650" s="751" t="str">
        <f t="shared" si="9"/>
        <v>CAR5207</v>
      </c>
      <c r="J650" s="470"/>
      <c r="K650" s="789">
        <v>-750</v>
      </c>
      <c r="L650" s="470"/>
      <c r="M650" s="790">
        <v>46112</v>
      </c>
      <c r="N650" s="751"/>
      <c r="O650" s="751"/>
      <c r="P650" s="790"/>
      <c r="Q650" s="788" t="s">
        <v>5779</v>
      </c>
      <c r="R650" s="788" t="s">
        <v>5779</v>
      </c>
      <c r="S650" s="788" t="s">
        <v>5779</v>
      </c>
      <c r="T650" s="788"/>
      <c r="U650" s="788"/>
    </row>
    <row r="651" spans="2:21" ht="39">
      <c r="B651" s="753" t="s">
        <v>5839</v>
      </c>
      <c r="C651" s="750" t="s">
        <v>5840</v>
      </c>
      <c r="D651" s="751"/>
      <c r="E651" s="792" t="s">
        <v>676</v>
      </c>
      <c r="F651" s="753" t="s">
        <v>395</v>
      </c>
      <c r="G651" s="754" t="s">
        <v>133</v>
      </c>
      <c r="H651" s="755" t="s">
        <v>451</v>
      </c>
      <c r="I651" s="751" t="str">
        <f t="shared" si="9"/>
        <v>CAR5207</v>
      </c>
      <c r="J651" s="470"/>
      <c r="K651" s="789">
        <v>-100</v>
      </c>
      <c r="L651" s="470"/>
      <c r="M651" s="790">
        <v>46112</v>
      </c>
      <c r="N651" s="751"/>
      <c r="O651" s="751"/>
      <c r="P651" s="790"/>
      <c r="Q651" s="788" t="s">
        <v>5780</v>
      </c>
      <c r="R651" s="788" t="s">
        <v>5780</v>
      </c>
      <c r="S651" s="788" t="s">
        <v>5780</v>
      </c>
      <c r="T651" s="788"/>
      <c r="U651" s="788"/>
    </row>
    <row r="652" spans="2:21" ht="39">
      <c r="B652" s="753" t="s">
        <v>5839</v>
      </c>
      <c r="C652" s="750" t="s">
        <v>5840</v>
      </c>
      <c r="D652" s="751"/>
      <c r="E652" s="792" t="s">
        <v>676</v>
      </c>
      <c r="F652" s="753" t="s">
        <v>403</v>
      </c>
      <c r="G652" s="754" t="s">
        <v>37</v>
      </c>
      <c r="H652" s="755" t="s">
        <v>457</v>
      </c>
      <c r="I652" s="751" t="str">
        <f t="shared" si="9"/>
        <v>CAR5250</v>
      </c>
      <c r="J652" s="470"/>
      <c r="K652" s="789">
        <v>-438.42500000000001</v>
      </c>
      <c r="L652" s="470"/>
      <c r="M652" s="790">
        <v>46112</v>
      </c>
      <c r="N652" s="751"/>
      <c r="O652" s="751"/>
      <c r="P652" s="790"/>
      <c r="Q652" s="788" t="s">
        <v>5831</v>
      </c>
      <c r="R652" s="788" t="s">
        <v>5831</v>
      </c>
      <c r="S652" s="788" t="s">
        <v>5831</v>
      </c>
      <c r="T652" s="788"/>
      <c r="U652" s="788"/>
    </row>
    <row r="653" spans="2:21" ht="39">
      <c r="B653" s="753" t="s">
        <v>5839</v>
      </c>
      <c r="C653" s="750" t="s">
        <v>5840</v>
      </c>
      <c r="D653" s="751"/>
      <c r="E653" s="792" t="s">
        <v>676</v>
      </c>
      <c r="F653" s="753" t="s">
        <v>414</v>
      </c>
      <c r="G653" s="754" t="s">
        <v>66</v>
      </c>
      <c r="H653" s="755" t="s">
        <v>469</v>
      </c>
      <c r="I653" s="751" t="str">
        <f t="shared" ref="I653:I716" si="10">+E653&amp;G653</f>
        <v>CAR5253</v>
      </c>
      <c r="J653" s="470"/>
      <c r="K653" s="789">
        <v>-456.57499999999999</v>
      </c>
      <c r="L653" s="470"/>
      <c r="M653" s="790">
        <v>46112</v>
      </c>
      <c r="N653" s="751"/>
      <c r="O653" s="751"/>
      <c r="P653" s="790"/>
      <c r="Q653" s="788" t="s">
        <v>5829</v>
      </c>
      <c r="R653" s="788" t="s">
        <v>5829</v>
      </c>
      <c r="S653" s="788" t="s">
        <v>5829</v>
      </c>
      <c r="T653" s="788"/>
      <c r="U653" s="788"/>
    </row>
    <row r="654" spans="2:21" ht="39">
      <c r="B654" s="753" t="s">
        <v>5839</v>
      </c>
      <c r="C654" s="750" t="s">
        <v>5840</v>
      </c>
      <c r="D654" s="751"/>
      <c r="E654" s="792" t="s">
        <v>676</v>
      </c>
      <c r="F654" s="753" t="s">
        <v>415</v>
      </c>
      <c r="G654" s="754" t="s">
        <v>31</v>
      </c>
      <c r="H654" s="755" t="s">
        <v>470</v>
      </c>
      <c r="I654" s="751" t="str">
        <f t="shared" si="10"/>
        <v>CAR5254</v>
      </c>
      <c r="J654" s="470"/>
      <c r="K654" s="789">
        <v>-243.6</v>
      </c>
      <c r="L654" s="470"/>
      <c r="M654" s="790">
        <v>46112</v>
      </c>
      <c r="N654" s="751"/>
      <c r="O654" s="751"/>
      <c r="P654" s="790"/>
      <c r="Q654" s="788" t="s">
        <v>5828</v>
      </c>
      <c r="R654" s="788" t="s">
        <v>5828</v>
      </c>
      <c r="S654" s="788" t="s">
        <v>5828</v>
      </c>
      <c r="T654" s="788"/>
      <c r="U654" s="788"/>
    </row>
    <row r="656" spans="2:21" ht="39">
      <c r="B656" s="750" t="s">
        <v>7075</v>
      </c>
      <c r="C656" s="750"/>
      <c r="D656" s="751"/>
      <c r="E656" s="792" t="s">
        <v>676</v>
      </c>
      <c r="F656" s="753" t="str">
        <f>+VLOOKUP(G656,Resumen_Base!$C$8:$G$156,5,0)</f>
        <v>Field:</v>
      </c>
      <c r="G656" s="754" t="s">
        <v>133</v>
      </c>
      <c r="H656" s="755" t="s">
        <v>451</v>
      </c>
      <c r="I656" s="751" t="str">
        <f t="shared" si="10"/>
        <v>CAR5207</v>
      </c>
      <c r="J656" s="470"/>
      <c r="K656" s="825">
        <v>150</v>
      </c>
      <c r="L656" s="470"/>
      <c r="M656" s="790">
        <v>46142</v>
      </c>
      <c r="N656" s="751"/>
      <c r="O656" s="788" t="s">
        <v>2771</v>
      </c>
      <c r="P656" s="790">
        <v>46157</v>
      </c>
      <c r="S656" t="s">
        <v>6997</v>
      </c>
      <c r="U656" t="s">
        <v>6912</v>
      </c>
    </row>
    <row r="657" spans="2:21" ht="39">
      <c r="B657" s="750" t="s">
        <v>7075</v>
      </c>
      <c r="C657" s="750"/>
      <c r="D657" s="751"/>
      <c r="E657" s="792" t="s">
        <v>676</v>
      </c>
      <c r="F657" s="753" t="str">
        <f>+VLOOKUP(G657,Resumen_Base!$C$8:$G$156,5,0)</f>
        <v>Field:</v>
      </c>
      <c r="G657" s="754" t="s">
        <v>133</v>
      </c>
      <c r="H657" s="755" t="s">
        <v>451</v>
      </c>
      <c r="I657" s="751" t="str">
        <f t="shared" si="10"/>
        <v>CAR5207</v>
      </c>
      <c r="J657" s="470"/>
      <c r="K657" s="825">
        <v>2800</v>
      </c>
      <c r="L657" s="470"/>
      <c r="M657" s="790">
        <v>46142</v>
      </c>
      <c r="N657" s="751"/>
      <c r="O657" s="788" t="s">
        <v>2771</v>
      </c>
      <c r="P657" s="790">
        <v>46157</v>
      </c>
      <c r="S657" t="s">
        <v>6998</v>
      </c>
      <c r="U657" t="s">
        <v>6912</v>
      </c>
    </row>
    <row r="658" spans="2:21" ht="39">
      <c r="B658" s="750" t="s">
        <v>7075</v>
      </c>
      <c r="C658" s="750"/>
      <c r="D658" s="751"/>
      <c r="E658" s="792" t="s">
        <v>676</v>
      </c>
      <c r="F658" s="753" t="str">
        <f>+VLOOKUP(G658,Resumen_Base!$C$8:$G$156,5,0)</f>
        <v>Field:</v>
      </c>
      <c r="G658" s="754" t="s">
        <v>133</v>
      </c>
      <c r="H658" s="755" t="s">
        <v>451</v>
      </c>
      <c r="I658" s="751" t="str">
        <f t="shared" si="10"/>
        <v>CAR5207</v>
      </c>
      <c r="J658" s="470"/>
      <c r="K658" s="825">
        <v>7.6</v>
      </c>
      <c r="L658" s="470"/>
      <c r="M658" s="790">
        <v>46142</v>
      </c>
      <c r="N658" s="751"/>
      <c r="O658" s="788" t="s">
        <v>2771</v>
      </c>
      <c r="P658" s="790">
        <v>46157</v>
      </c>
      <c r="S658" t="s">
        <v>2797</v>
      </c>
      <c r="U658" t="s">
        <v>6912</v>
      </c>
    </row>
    <row r="659" spans="2:21" ht="39">
      <c r="B659" s="750" t="s">
        <v>7075</v>
      </c>
      <c r="C659" s="750"/>
      <c r="D659" s="751"/>
      <c r="E659" s="792" t="s">
        <v>676</v>
      </c>
      <c r="F659" s="753" t="str">
        <f>+VLOOKUP(G659,Resumen_Base!$C$8:$G$156,5,0)</f>
        <v>Field:</v>
      </c>
      <c r="G659" s="754" t="s">
        <v>133</v>
      </c>
      <c r="H659" s="755" t="s">
        <v>451</v>
      </c>
      <c r="I659" s="751" t="str">
        <f t="shared" si="10"/>
        <v>CAR5207</v>
      </c>
      <c r="J659" s="470"/>
      <c r="K659" s="825">
        <v>2000</v>
      </c>
      <c r="L659" s="470"/>
      <c r="M659" s="790">
        <v>46142</v>
      </c>
      <c r="N659" s="751"/>
      <c r="O659" s="788" t="s">
        <v>2771</v>
      </c>
      <c r="P659" s="790">
        <v>46157</v>
      </c>
      <c r="S659" t="s">
        <v>6999</v>
      </c>
      <c r="U659" t="s">
        <v>6912</v>
      </c>
    </row>
    <row r="660" spans="2:21" ht="39">
      <c r="B660" s="750" t="s">
        <v>7075</v>
      </c>
      <c r="C660" s="750"/>
      <c r="D660" s="751"/>
      <c r="E660" s="792" t="s">
        <v>676</v>
      </c>
      <c r="F660" s="753" t="str">
        <f>+VLOOKUP(G660,Resumen_Base!$C$8:$G$156,5,0)</f>
        <v>Work uniforms for personnel (employees)</v>
      </c>
      <c r="G660" s="754" t="s">
        <v>60</v>
      </c>
      <c r="H660" s="755" t="s">
        <v>61</v>
      </c>
      <c r="I660" s="751" t="str">
        <f t="shared" si="10"/>
        <v>CAR5220</v>
      </c>
      <c r="J660" s="826"/>
      <c r="K660" s="470">
        <v>564.10256410256409</v>
      </c>
      <c r="L660" s="470"/>
      <c r="M660" s="790">
        <v>46141</v>
      </c>
      <c r="N660" s="751"/>
      <c r="O660" s="788" t="s">
        <v>2771</v>
      </c>
      <c r="P660" s="790">
        <v>46143</v>
      </c>
      <c r="S660" t="s">
        <v>7030</v>
      </c>
      <c r="U660" t="s">
        <v>6915</v>
      </c>
    </row>
    <row r="661" spans="2:21" ht="39">
      <c r="B661" s="750" t="s">
        <v>7075</v>
      </c>
      <c r="C661" s="750"/>
      <c r="D661" s="751"/>
      <c r="E661" s="792" t="s">
        <v>676</v>
      </c>
      <c r="F661" s="753" t="str">
        <f>+VLOOKUP(G661,Resumen_Base!$C$8:$G$156,5,0)</f>
        <v>Licenses / Permits (Fishing and Shooting)</v>
      </c>
      <c r="G661" s="754" t="s">
        <v>62</v>
      </c>
      <c r="H661" s="755" t="s">
        <v>63</v>
      </c>
      <c r="I661" s="751" t="str">
        <f t="shared" si="10"/>
        <v>CAR5221</v>
      </c>
      <c r="J661" s="470"/>
      <c r="K661" s="825">
        <v>880</v>
      </c>
      <c r="L661" s="470"/>
      <c r="M661" s="790">
        <v>46142</v>
      </c>
      <c r="N661" s="751"/>
      <c r="O661" s="788" t="s">
        <v>2771</v>
      </c>
      <c r="P661" s="790">
        <v>46157</v>
      </c>
      <c r="S661" t="s">
        <v>7000</v>
      </c>
      <c r="U661" t="s">
        <v>6912</v>
      </c>
    </row>
    <row r="662" spans="2:21" ht="39">
      <c r="B662" s="750" t="s">
        <v>7075</v>
      </c>
      <c r="C662" s="750"/>
      <c r="D662" s="751"/>
      <c r="E662" s="792" t="s">
        <v>676</v>
      </c>
      <c r="F662" s="753" t="str">
        <f>+VLOOKUP(G662,Resumen_Base!$C$8:$G$156,5,0)</f>
        <v>Transfer to and from the airport (local taxi) - Vehicle Rental</v>
      </c>
      <c r="G662" s="754" t="s">
        <v>138</v>
      </c>
      <c r="H662" s="755" t="s">
        <v>202</v>
      </c>
      <c r="I662" s="751" t="str">
        <f t="shared" si="10"/>
        <v>CAR5225</v>
      </c>
      <c r="J662" s="470"/>
      <c r="K662" s="825">
        <v>3712</v>
      </c>
      <c r="L662" s="470"/>
      <c r="M662" s="790">
        <v>46142</v>
      </c>
      <c r="N662" s="751"/>
      <c r="O662" s="788" t="s">
        <v>2771</v>
      </c>
      <c r="P662" s="790">
        <v>46159</v>
      </c>
      <c r="S662" t="s">
        <v>6913</v>
      </c>
      <c r="U662" t="s">
        <v>6912</v>
      </c>
    </row>
    <row r="663" spans="2:21" ht="39">
      <c r="B663" s="750" t="s">
        <v>7075</v>
      </c>
      <c r="C663" s="750"/>
      <c r="D663" s="751"/>
      <c r="E663" s="792" t="s">
        <v>676</v>
      </c>
      <c r="F663" s="753" t="str">
        <f>+VLOOKUP(G663,Resumen_Base!$C$8:$G$156,5,0)</f>
        <v>Services/House</v>
      </c>
      <c r="G663" s="754" t="s">
        <v>321</v>
      </c>
      <c r="H663" s="755" t="s">
        <v>455</v>
      </c>
      <c r="I663" s="751" t="str">
        <f t="shared" si="10"/>
        <v>CAR5226</v>
      </c>
      <c r="J663" s="826"/>
      <c r="K663" s="470">
        <v>926.38461538461536</v>
      </c>
      <c r="L663" s="470"/>
      <c r="M663" s="790">
        <v>46142</v>
      </c>
      <c r="N663" s="751"/>
      <c r="O663" s="788" t="s">
        <v>2771</v>
      </c>
      <c r="P663" s="790">
        <v>46158</v>
      </c>
      <c r="S663" t="s">
        <v>6964</v>
      </c>
      <c r="U663" t="s">
        <v>6915</v>
      </c>
    </row>
    <row r="664" spans="2:21" ht="39">
      <c r="B664" s="750" t="s">
        <v>7075</v>
      </c>
      <c r="C664" s="750"/>
      <c r="D664" s="751"/>
      <c r="E664" s="792" t="s">
        <v>676</v>
      </c>
      <c r="F664" s="753" t="str">
        <f>+VLOOKUP(G664,Resumen_Base!$C$8:$G$156,5,0)</f>
        <v>Services/House</v>
      </c>
      <c r="G664" s="754" t="s">
        <v>321</v>
      </c>
      <c r="H664" s="755" t="s">
        <v>455</v>
      </c>
      <c r="I664" s="751" t="str">
        <f t="shared" si="10"/>
        <v>CAR5226</v>
      </c>
      <c r="J664" s="826"/>
      <c r="K664" s="470">
        <v>909.10256410256409</v>
      </c>
      <c r="L664" s="470"/>
      <c r="M664" s="790">
        <v>46142</v>
      </c>
      <c r="N664" s="751"/>
      <c r="O664" s="788" t="s">
        <v>2771</v>
      </c>
      <c r="P664" s="790">
        <v>46158</v>
      </c>
      <c r="S664" t="s">
        <v>6965</v>
      </c>
      <c r="U664" t="s">
        <v>6915</v>
      </c>
    </row>
    <row r="665" spans="2:21" ht="39">
      <c r="B665" s="750" t="s">
        <v>7075</v>
      </c>
      <c r="C665" s="750"/>
      <c r="D665" s="751"/>
      <c r="E665" s="792" t="s">
        <v>676</v>
      </c>
      <c r="F665" s="753" t="str">
        <f>+VLOOKUP(G665,Resumen_Base!$C$8:$G$156,5,0)</f>
        <v>Services/House</v>
      </c>
      <c r="G665" s="754" t="s">
        <v>321</v>
      </c>
      <c r="H665" s="755" t="s">
        <v>455</v>
      </c>
      <c r="I665" s="751" t="str">
        <f t="shared" si="10"/>
        <v>CAR5226</v>
      </c>
      <c r="J665" s="826"/>
      <c r="K665" s="470">
        <v>926.38461538461536</v>
      </c>
      <c r="L665" s="470"/>
      <c r="M665" s="790">
        <v>46142</v>
      </c>
      <c r="N665" s="751"/>
      <c r="O665" s="788" t="s">
        <v>2771</v>
      </c>
      <c r="P665" s="790">
        <v>46158</v>
      </c>
      <c r="S665" t="s">
        <v>6966</v>
      </c>
      <c r="U665" t="s">
        <v>6915</v>
      </c>
    </row>
    <row r="666" spans="2:21" ht="39">
      <c r="B666" s="750" t="s">
        <v>7075</v>
      </c>
      <c r="C666" s="750"/>
      <c r="D666" s="751"/>
      <c r="E666" s="792" t="s">
        <v>676</v>
      </c>
      <c r="F666" s="753" t="str">
        <f>+VLOOKUP(G666,Resumen_Base!$C$8:$G$156,5,0)</f>
        <v>Services/House</v>
      </c>
      <c r="G666" s="754" t="s">
        <v>321</v>
      </c>
      <c r="H666" s="755" t="s">
        <v>455</v>
      </c>
      <c r="I666" s="751" t="str">
        <f t="shared" si="10"/>
        <v>CAR5226</v>
      </c>
      <c r="J666" s="826"/>
      <c r="K666" s="470">
        <v>909.10256410256409</v>
      </c>
      <c r="L666" s="470"/>
      <c r="M666" s="790">
        <v>46142</v>
      </c>
      <c r="N666" s="751"/>
      <c r="O666" s="788" t="s">
        <v>2771</v>
      </c>
      <c r="P666" s="790">
        <v>46158</v>
      </c>
      <c r="S666" t="s">
        <v>6967</v>
      </c>
      <c r="U666" t="s">
        <v>6915</v>
      </c>
    </row>
    <row r="667" spans="2:21" ht="39">
      <c r="B667" s="750" t="s">
        <v>7075</v>
      </c>
      <c r="C667" s="750"/>
      <c r="D667" s="751"/>
      <c r="E667" s="792" t="s">
        <v>676</v>
      </c>
      <c r="F667" s="753" t="str">
        <f>+VLOOKUP(G667,Resumen_Base!$C$8:$G$156,5,0)</f>
        <v>Guides</v>
      </c>
      <c r="G667" s="754" t="s">
        <v>323</v>
      </c>
      <c r="H667" s="755" t="s">
        <v>453</v>
      </c>
      <c r="I667" s="751" t="str">
        <f t="shared" si="10"/>
        <v>CAR5227</v>
      </c>
      <c r="J667" s="826"/>
      <c r="K667" s="470">
        <v>457.69230769230768</v>
      </c>
      <c r="L667" s="470"/>
      <c r="M667" s="790">
        <v>46142</v>
      </c>
      <c r="N667" s="751"/>
      <c r="O667" s="788" t="s">
        <v>2771</v>
      </c>
      <c r="P667" s="790">
        <v>46158</v>
      </c>
      <c r="S667" t="s">
        <v>6968</v>
      </c>
      <c r="U667" t="s">
        <v>6915</v>
      </c>
    </row>
    <row r="668" spans="2:21" ht="39">
      <c r="B668" s="750" t="s">
        <v>7075</v>
      </c>
      <c r="C668" s="750"/>
      <c r="D668" s="751"/>
      <c r="E668" s="792" t="s">
        <v>676</v>
      </c>
      <c r="F668" s="753" t="str">
        <f>+VLOOKUP(G668,Resumen_Base!$C$8:$G$156,5,0)</f>
        <v>Guides</v>
      </c>
      <c r="G668" s="754" t="s">
        <v>323</v>
      </c>
      <c r="H668" s="755" t="s">
        <v>453</v>
      </c>
      <c r="I668" s="751" t="str">
        <f t="shared" si="10"/>
        <v>CAR5227</v>
      </c>
      <c r="J668" s="826"/>
      <c r="K668" s="470">
        <v>1.9420512820512819</v>
      </c>
      <c r="L668" s="470"/>
      <c r="M668" s="790">
        <v>46142</v>
      </c>
      <c r="N668" s="751"/>
      <c r="O668" s="788" t="s">
        <v>2771</v>
      </c>
      <c r="P668" s="790">
        <v>46158</v>
      </c>
      <c r="S668" t="s">
        <v>2797</v>
      </c>
      <c r="U668" t="s">
        <v>6915</v>
      </c>
    </row>
    <row r="669" spans="2:21" ht="39">
      <c r="B669" s="750" t="s">
        <v>7075</v>
      </c>
      <c r="C669" s="750"/>
      <c r="D669" s="751"/>
      <c r="E669" s="792" t="s">
        <v>676</v>
      </c>
      <c r="F669" s="753" t="str">
        <f>+VLOOKUP(G669,Resumen_Base!$C$8:$G$156,5,0)</f>
        <v>Guides</v>
      </c>
      <c r="G669" s="754" t="s">
        <v>323</v>
      </c>
      <c r="H669" s="755" t="s">
        <v>453</v>
      </c>
      <c r="I669" s="751" t="str">
        <f t="shared" si="10"/>
        <v>CAR5227</v>
      </c>
      <c r="J669" s="826"/>
      <c r="K669" s="470">
        <v>589.74358974358972</v>
      </c>
      <c r="L669" s="470"/>
      <c r="M669" s="790">
        <v>46142</v>
      </c>
      <c r="N669" s="751"/>
      <c r="O669" s="788" t="s">
        <v>2771</v>
      </c>
      <c r="P669" s="790">
        <v>46158</v>
      </c>
      <c r="S669" t="s">
        <v>6969</v>
      </c>
      <c r="U669" t="s">
        <v>6915</v>
      </c>
    </row>
    <row r="670" spans="2:21" ht="39">
      <c r="B670" s="750" t="s">
        <v>7075</v>
      </c>
      <c r="C670" s="750"/>
      <c r="D670" s="751"/>
      <c r="E670" s="792" t="s">
        <v>676</v>
      </c>
      <c r="F670" s="753" t="str">
        <f>+VLOOKUP(G670,Resumen_Base!$C$8:$G$156,5,0)</f>
        <v>Guides</v>
      </c>
      <c r="G670" s="754" t="s">
        <v>323</v>
      </c>
      <c r="H670" s="755" t="s">
        <v>453</v>
      </c>
      <c r="I670" s="751" t="str">
        <f t="shared" si="10"/>
        <v>CAR5227</v>
      </c>
      <c r="J670" s="826"/>
      <c r="K670" s="470">
        <v>2666.6666666666665</v>
      </c>
      <c r="L670" s="470"/>
      <c r="M670" s="790">
        <v>46142</v>
      </c>
      <c r="N670" s="751"/>
      <c r="O670" s="788" t="s">
        <v>2771</v>
      </c>
      <c r="P670" s="790">
        <v>46158</v>
      </c>
      <c r="S670" t="s">
        <v>6970</v>
      </c>
      <c r="U670" t="s">
        <v>6915</v>
      </c>
    </row>
    <row r="671" spans="2:21" ht="39">
      <c r="B671" s="750" t="s">
        <v>7075</v>
      </c>
      <c r="C671" s="750"/>
      <c r="D671" s="751"/>
      <c r="E671" s="792" t="s">
        <v>676</v>
      </c>
      <c r="F671" s="753" t="str">
        <f>+VLOOKUP(G671,Resumen_Base!$C$8:$G$156,5,0)</f>
        <v>Guides</v>
      </c>
      <c r="G671" s="754" t="s">
        <v>323</v>
      </c>
      <c r="H671" s="755" t="s">
        <v>453</v>
      </c>
      <c r="I671" s="751" t="str">
        <f t="shared" si="10"/>
        <v>CAR5227</v>
      </c>
      <c r="J671" s="826"/>
      <c r="K671" s="470">
        <v>897.43589743589746</v>
      </c>
      <c r="L671" s="470"/>
      <c r="M671" s="790">
        <v>46142</v>
      </c>
      <c r="N671" s="751"/>
      <c r="O671" s="788" t="s">
        <v>2771</v>
      </c>
      <c r="P671" s="790">
        <v>46158</v>
      </c>
      <c r="S671" t="s">
        <v>6971</v>
      </c>
      <c r="U671" t="s">
        <v>6915</v>
      </c>
    </row>
    <row r="672" spans="2:21" ht="39">
      <c r="B672" s="750" t="s">
        <v>7075</v>
      </c>
      <c r="C672" s="750"/>
      <c r="D672" s="751"/>
      <c r="E672" s="792" t="s">
        <v>676</v>
      </c>
      <c r="F672" s="753" t="str">
        <f>+VLOOKUP(G672,Resumen_Base!$C$8:$G$156,5,0)</f>
        <v>Guides</v>
      </c>
      <c r="G672" s="754" t="s">
        <v>323</v>
      </c>
      <c r="H672" s="755" t="s">
        <v>453</v>
      </c>
      <c r="I672" s="751" t="str">
        <f t="shared" si="10"/>
        <v>CAR5227</v>
      </c>
      <c r="J672" s="826"/>
      <c r="K672" s="470">
        <v>136.74358974358975</v>
      </c>
      <c r="L672" s="470"/>
      <c r="M672" s="790">
        <v>46142</v>
      </c>
      <c r="N672" s="751"/>
      <c r="O672" s="788" t="s">
        <v>2771</v>
      </c>
      <c r="P672" s="790">
        <v>46158</v>
      </c>
      <c r="S672" t="s">
        <v>6972</v>
      </c>
      <c r="U672" t="s">
        <v>6915</v>
      </c>
    </row>
    <row r="673" spans="2:21" ht="39">
      <c r="B673" s="750" t="s">
        <v>7075</v>
      </c>
      <c r="C673" s="750"/>
      <c r="D673" s="751"/>
      <c r="E673" s="792" t="s">
        <v>676</v>
      </c>
      <c r="F673" s="753" t="str">
        <f>+VLOOKUP(G673,Resumen_Base!$C$8:$G$156,5,0)</f>
        <v>Guides</v>
      </c>
      <c r="G673" s="754" t="s">
        <v>323</v>
      </c>
      <c r="H673" s="755" t="s">
        <v>453</v>
      </c>
      <c r="I673" s="751" t="str">
        <f t="shared" si="10"/>
        <v>CAR5227</v>
      </c>
      <c r="J673" s="826"/>
      <c r="K673" s="470">
        <v>897.43589743589746</v>
      </c>
      <c r="L673" s="470"/>
      <c r="M673" s="790">
        <v>46142</v>
      </c>
      <c r="N673" s="751"/>
      <c r="O673" s="788" t="s">
        <v>2771</v>
      </c>
      <c r="P673" s="790">
        <v>46158</v>
      </c>
      <c r="S673" t="s">
        <v>6973</v>
      </c>
      <c r="U673" t="s">
        <v>6915</v>
      </c>
    </row>
    <row r="674" spans="2:21" ht="39">
      <c r="B674" s="750" t="s">
        <v>7075</v>
      </c>
      <c r="C674" s="750"/>
      <c r="D674" s="751"/>
      <c r="E674" s="792" t="s">
        <v>676</v>
      </c>
      <c r="F674" s="753" t="str">
        <f>+VLOOKUP(G674,Resumen_Base!$C$8:$G$156,5,0)</f>
        <v>Guides</v>
      </c>
      <c r="G674" s="754" t="s">
        <v>323</v>
      </c>
      <c r="H674" s="755" t="s">
        <v>453</v>
      </c>
      <c r="I674" s="751" t="str">
        <f t="shared" si="10"/>
        <v>CAR5227</v>
      </c>
      <c r="J674" s="826"/>
      <c r="K674" s="470">
        <v>512.82051282051282</v>
      </c>
      <c r="L674" s="470"/>
      <c r="M674" s="790">
        <v>46142</v>
      </c>
      <c r="N674" s="751"/>
      <c r="O674" s="788" t="s">
        <v>2771</v>
      </c>
      <c r="P674" s="790">
        <v>46158</v>
      </c>
      <c r="S674" t="s">
        <v>6974</v>
      </c>
      <c r="U674" t="s">
        <v>6915</v>
      </c>
    </row>
    <row r="675" spans="2:21" ht="39">
      <c r="B675" s="750" t="s">
        <v>7075</v>
      </c>
      <c r="C675" s="750"/>
      <c r="D675" s="751"/>
      <c r="E675" s="792" t="s">
        <v>676</v>
      </c>
      <c r="F675" s="753" t="str">
        <f>+VLOOKUP(G675,Resumen_Base!$C$8:$G$156,5,0)</f>
        <v>Guides</v>
      </c>
      <c r="G675" s="754" t="s">
        <v>323</v>
      </c>
      <c r="H675" s="755" t="s">
        <v>453</v>
      </c>
      <c r="I675" s="751" t="str">
        <f t="shared" si="10"/>
        <v>CAR5227</v>
      </c>
      <c r="J675" s="826"/>
      <c r="K675" s="470">
        <v>512.82051282051282</v>
      </c>
      <c r="L675" s="470"/>
      <c r="M675" s="790">
        <v>46142</v>
      </c>
      <c r="N675" s="751"/>
      <c r="O675" s="788" t="s">
        <v>2771</v>
      </c>
      <c r="P675" s="790">
        <v>46157</v>
      </c>
      <c r="S675" t="s">
        <v>7001</v>
      </c>
      <c r="U675" t="s">
        <v>6915</v>
      </c>
    </row>
    <row r="676" spans="2:21" ht="39">
      <c r="B676" s="750" t="s">
        <v>7075</v>
      </c>
      <c r="C676" s="750"/>
      <c r="D676" s="751"/>
      <c r="E676" s="792" t="s">
        <v>676</v>
      </c>
      <c r="F676" s="753" t="str">
        <f>+VLOOKUP(G676,Resumen_Base!$C$8:$G$156,5,0)</f>
        <v>Guides</v>
      </c>
      <c r="G676" s="754" t="s">
        <v>323</v>
      </c>
      <c r="H676" s="755" t="s">
        <v>453</v>
      </c>
      <c r="I676" s="751" t="str">
        <f t="shared" si="10"/>
        <v>CAR5227</v>
      </c>
      <c r="J676" s="826"/>
      <c r="K676" s="470">
        <v>479.4871794871795</v>
      </c>
      <c r="L676" s="470"/>
      <c r="M676" s="790">
        <v>46142</v>
      </c>
      <c r="N676" s="751"/>
      <c r="O676" s="788" t="s">
        <v>2771</v>
      </c>
      <c r="P676" s="790">
        <v>46157</v>
      </c>
      <c r="S676" t="s">
        <v>7002</v>
      </c>
      <c r="U676" t="s">
        <v>6915</v>
      </c>
    </row>
    <row r="677" spans="2:21" ht="39">
      <c r="B677" s="750" t="s">
        <v>7075</v>
      </c>
      <c r="C677" s="750"/>
      <c r="D677" s="751"/>
      <c r="E677" s="792" t="s">
        <v>676</v>
      </c>
      <c r="F677" s="753" t="str">
        <f>+VLOOKUP(G677,Resumen_Base!$C$8:$G$156,5,0)</f>
        <v>Guides</v>
      </c>
      <c r="G677" s="754" t="s">
        <v>323</v>
      </c>
      <c r="H677" s="755" t="s">
        <v>453</v>
      </c>
      <c r="I677" s="751" t="str">
        <f t="shared" si="10"/>
        <v>CAR5227</v>
      </c>
      <c r="J677" s="826"/>
      <c r="K677" s="470">
        <v>348.71794871794873</v>
      </c>
      <c r="L677" s="470"/>
      <c r="M677" s="790">
        <v>46142</v>
      </c>
      <c r="N677" s="751"/>
      <c r="O677" s="788" t="s">
        <v>2771</v>
      </c>
      <c r="P677" s="790">
        <v>46157</v>
      </c>
      <c r="S677" t="s">
        <v>7003</v>
      </c>
      <c r="U677" t="s">
        <v>6915</v>
      </c>
    </row>
    <row r="678" spans="2:21" ht="39">
      <c r="B678" s="750" t="s">
        <v>7075</v>
      </c>
      <c r="C678" s="750"/>
      <c r="D678" s="751"/>
      <c r="E678" s="792" t="s">
        <v>676</v>
      </c>
      <c r="F678" s="753" t="str">
        <f>+VLOOKUP(G678,Resumen_Base!$C$8:$G$156,5,0)</f>
        <v>Guides</v>
      </c>
      <c r="G678" s="754" t="s">
        <v>323</v>
      </c>
      <c r="H678" s="755" t="s">
        <v>453</v>
      </c>
      <c r="I678" s="751" t="str">
        <f t="shared" si="10"/>
        <v>CAR5227</v>
      </c>
      <c r="J678" s="826"/>
      <c r="K678" s="470">
        <v>348.71794871794873</v>
      </c>
      <c r="L678" s="470"/>
      <c r="M678" s="790">
        <v>46142</v>
      </c>
      <c r="N678" s="751"/>
      <c r="O678" s="788" t="s">
        <v>2771</v>
      </c>
      <c r="P678" s="790">
        <v>46157</v>
      </c>
      <c r="S678" t="s">
        <v>7004</v>
      </c>
      <c r="U678" t="s">
        <v>6915</v>
      </c>
    </row>
    <row r="679" spans="2:21" ht="39">
      <c r="B679" s="750" t="s">
        <v>7075</v>
      </c>
      <c r="C679" s="750"/>
      <c r="D679" s="751"/>
      <c r="E679" s="792" t="s">
        <v>676</v>
      </c>
      <c r="F679" s="753" t="str">
        <f>+VLOOKUP(G679,Resumen_Base!$C$8:$G$156,5,0)</f>
        <v>Guides</v>
      </c>
      <c r="G679" s="754" t="s">
        <v>323</v>
      </c>
      <c r="H679" s="755" t="s">
        <v>453</v>
      </c>
      <c r="I679" s="751" t="str">
        <f t="shared" si="10"/>
        <v>CAR5227</v>
      </c>
      <c r="J679" s="826"/>
      <c r="K679" s="470">
        <v>668.71794871794873</v>
      </c>
      <c r="L679" s="470"/>
      <c r="M679" s="790">
        <v>46142</v>
      </c>
      <c r="N679" s="751"/>
      <c r="O679" s="788" t="s">
        <v>2771</v>
      </c>
      <c r="P679" s="790">
        <v>46157</v>
      </c>
      <c r="S679" t="s">
        <v>7005</v>
      </c>
      <c r="U679" t="s">
        <v>6915</v>
      </c>
    </row>
    <row r="680" spans="2:21" ht="39">
      <c r="B680" s="750" t="s">
        <v>7075</v>
      </c>
      <c r="C680" s="750"/>
      <c r="D680" s="751"/>
      <c r="E680" s="792" t="s">
        <v>676</v>
      </c>
      <c r="F680" s="753" t="str">
        <f>+VLOOKUP(G680,Resumen_Base!$C$8:$G$156,5,0)</f>
        <v>Guides</v>
      </c>
      <c r="G680" s="754" t="s">
        <v>323</v>
      </c>
      <c r="H680" s="755" t="s">
        <v>453</v>
      </c>
      <c r="I680" s="751" t="str">
        <f t="shared" si="10"/>
        <v>CAR5227</v>
      </c>
      <c r="J680" s="826"/>
      <c r="K680" s="470">
        <v>457.69230769230768</v>
      </c>
      <c r="L680" s="470"/>
      <c r="M680" s="790">
        <v>46142</v>
      </c>
      <c r="N680" s="751"/>
      <c r="O680" s="788" t="s">
        <v>2771</v>
      </c>
      <c r="P680" s="790">
        <v>46157</v>
      </c>
      <c r="S680" t="s">
        <v>7006</v>
      </c>
      <c r="U680" t="s">
        <v>6915</v>
      </c>
    </row>
    <row r="681" spans="2:21" ht="39">
      <c r="B681" s="750" t="s">
        <v>7075</v>
      </c>
      <c r="C681" s="750"/>
      <c r="D681" s="751"/>
      <c r="E681" s="792" t="s">
        <v>676</v>
      </c>
      <c r="F681" s="753" t="str">
        <f>+VLOOKUP(G681,Resumen_Base!$C$8:$G$156,5,0)</f>
        <v>Guides</v>
      </c>
      <c r="G681" s="754" t="s">
        <v>323</v>
      </c>
      <c r="H681" s="755" t="s">
        <v>453</v>
      </c>
      <c r="I681" s="751" t="str">
        <f t="shared" si="10"/>
        <v>CAR5227</v>
      </c>
      <c r="J681" s="826"/>
      <c r="K681" s="470">
        <v>435.89743589743591</v>
      </c>
      <c r="L681" s="470"/>
      <c r="M681" s="790">
        <v>46142</v>
      </c>
      <c r="N681" s="751"/>
      <c r="O681" s="788" t="s">
        <v>2771</v>
      </c>
      <c r="P681" s="790">
        <v>46157</v>
      </c>
      <c r="S681" t="s">
        <v>7007</v>
      </c>
      <c r="U681" t="s">
        <v>6915</v>
      </c>
    </row>
    <row r="682" spans="2:21" ht="39">
      <c r="B682" s="750" t="s">
        <v>7075</v>
      </c>
      <c r="C682" s="750"/>
      <c r="D682" s="751"/>
      <c r="E682" s="792" t="s">
        <v>676</v>
      </c>
      <c r="F682" s="753" t="str">
        <f>+VLOOKUP(G682,Resumen_Base!$C$8:$G$156,5,0)</f>
        <v>Guides</v>
      </c>
      <c r="G682" s="754" t="s">
        <v>323</v>
      </c>
      <c r="H682" s="755" t="s">
        <v>453</v>
      </c>
      <c r="I682" s="751" t="str">
        <f t="shared" si="10"/>
        <v>CAR5227</v>
      </c>
      <c r="J682" s="826"/>
      <c r="K682" s="470">
        <v>21.794871794871796</v>
      </c>
      <c r="L682" s="470"/>
      <c r="M682" s="790">
        <v>46142</v>
      </c>
      <c r="N682" s="751"/>
      <c r="O682" s="788" t="s">
        <v>2771</v>
      </c>
      <c r="P682" s="790">
        <v>46157</v>
      </c>
      <c r="S682" t="s">
        <v>7008</v>
      </c>
      <c r="U682" t="s">
        <v>6915</v>
      </c>
    </row>
    <row r="683" spans="2:21" ht="39">
      <c r="B683" s="750" t="s">
        <v>7075</v>
      </c>
      <c r="C683" s="750"/>
      <c r="D683" s="751"/>
      <c r="E683" s="792" t="s">
        <v>676</v>
      </c>
      <c r="F683" s="753" t="str">
        <f>+VLOOKUP(G683,Resumen_Base!$C$8:$G$156,5,0)</f>
        <v>Guides</v>
      </c>
      <c r="G683" s="754" t="s">
        <v>323</v>
      </c>
      <c r="H683" s="755" t="s">
        <v>453</v>
      </c>
      <c r="I683" s="751" t="str">
        <f t="shared" si="10"/>
        <v>CAR5227</v>
      </c>
      <c r="J683" s="826"/>
      <c r="K683" s="470">
        <v>130.76923076923077</v>
      </c>
      <c r="L683" s="470"/>
      <c r="M683" s="790">
        <v>46142</v>
      </c>
      <c r="N683" s="751"/>
      <c r="O683" s="788" t="s">
        <v>2771</v>
      </c>
      <c r="P683" s="790">
        <v>46157</v>
      </c>
      <c r="S683" t="s">
        <v>7009</v>
      </c>
      <c r="U683" t="s">
        <v>6915</v>
      </c>
    </row>
    <row r="684" spans="2:21" ht="39">
      <c r="B684" s="750" t="s">
        <v>7075</v>
      </c>
      <c r="C684" s="750"/>
      <c r="D684" s="751"/>
      <c r="E684" s="792" t="s">
        <v>676</v>
      </c>
      <c r="F684" s="753" t="str">
        <f>+VLOOKUP(G684,Resumen_Base!$C$8:$G$156,5,0)</f>
        <v>Guides</v>
      </c>
      <c r="G684" s="754" t="s">
        <v>323</v>
      </c>
      <c r="H684" s="755" t="s">
        <v>453</v>
      </c>
      <c r="I684" s="751" t="str">
        <f t="shared" si="10"/>
        <v>CAR5227</v>
      </c>
      <c r="J684" s="826"/>
      <c r="K684" s="470">
        <v>152.56410256410257</v>
      </c>
      <c r="L684" s="470"/>
      <c r="M684" s="790">
        <v>46142</v>
      </c>
      <c r="N684" s="751"/>
      <c r="O684" s="788" t="s">
        <v>2771</v>
      </c>
      <c r="P684" s="790">
        <v>46157</v>
      </c>
      <c r="S684" t="s">
        <v>7010</v>
      </c>
      <c r="U684" t="s">
        <v>6915</v>
      </c>
    </row>
    <row r="685" spans="2:21" ht="39">
      <c r="B685" s="750" t="s">
        <v>7075</v>
      </c>
      <c r="C685" s="750"/>
      <c r="D685" s="751"/>
      <c r="E685" s="792" t="s">
        <v>676</v>
      </c>
      <c r="F685" s="753" t="str">
        <f>+VLOOKUP(G685,Resumen_Base!$C$8:$G$156,5,0)</f>
        <v>Guides</v>
      </c>
      <c r="G685" s="754" t="s">
        <v>323</v>
      </c>
      <c r="H685" s="755" t="s">
        <v>453</v>
      </c>
      <c r="I685" s="751" t="str">
        <f t="shared" si="10"/>
        <v>CAR5227</v>
      </c>
      <c r="J685" s="826"/>
      <c r="K685" s="470">
        <v>370.5128205128205</v>
      </c>
      <c r="L685" s="470"/>
      <c r="M685" s="790">
        <v>46142</v>
      </c>
      <c r="N685" s="751"/>
      <c r="O685" s="788" t="s">
        <v>2771</v>
      </c>
      <c r="P685" s="790">
        <v>46157</v>
      </c>
      <c r="S685" t="s">
        <v>7011</v>
      </c>
      <c r="U685" t="s">
        <v>6915</v>
      </c>
    </row>
    <row r="686" spans="2:21" ht="39">
      <c r="B686" s="750" t="s">
        <v>7075</v>
      </c>
      <c r="C686" s="750"/>
      <c r="D686" s="751"/>
      <c r="E686" s="792" t="s">
        <v>676</v>
      </c>
      <c r="F686" s="753" t="str">
        <f>+VLOOKUP(G686,Resumen_Base!$C$8:$G$156,5,0)</f>
        <v>Guides</v>
      </c>
      <c r="G686" s="754" t="s">
        <v>323</v>
      </c>
      <c r="H686" s="755" t="s">
        <v>453</v>
      </c>
      <c r="I686" s="751" t="str">
        <f t="shared" si="10"/>
        <v>CAR5227</v>
      </c>
      <c r="J686" s="826"/>
      <c r="K686" s="470">
        <v>571.79487179487182</v>
      </c>
      <c r="L686" s="470"/>
      <c r="M686" s="790">
        <v>46142</v>
      </c>
      <c r="N686" s="751"/>
      <c r="O686" s="788" t="s">
        <v>2771</v>
      </c>
      <c r="P686" s="790">
        <v>46157</v>
      </c>
      <c r="S686" t="s">
        <v>7012</v>
      </c>
      <c r="U686" t="s">
        <v>6915</v>
      </c>
    </row>
    <row r="687" spans="2:21" ht="39">
      <c r="B687" s="750" t="s">
        <v>7075</v>
      </c>
      <c r="C687" s="750"/>
      <c r="D687" s="751"/>
      <c r="E687" s="792" t="s">
        <v>676</v>
      </c>
      <c r="F687" s="753" t="str">
        <f>+VLOOKUP(G687,Resumen_Base!$C$8:$G$156,5,0)</f>
        <v>Guides</v>
      </c>
      <c r="G687" s="754" t="s">
        <v>323</v>
      </c>
      <c r="H687" s="755" t="s">
        <v>453</v>
      </c>
      <c r="I687" s="751" t="str">
        <f t="shared" si="10"/>
        <v>CAR5227</v>
      </c>
      <c r="J687" s="826"/>
      <c r="K687" s="470">
        <v>21.381538461538462</v>
      </c>
      <c r="L687" s="470"/>
      <c r="M687" s="790">
        <v>46142</v>
      </c>
      <c r="N687" s="751"/>
      <c r="O687" s="788" t="s">
        <v>2771</v>
      </c>
      <c r="P687" s="790">
        <v>46157</v>
      </c>
      <c r="S687" t="s">
        <v>2797</v>
      </c>
      <c r="U687" t="s">
        <v>6915</v>
      </c>
    </row>
    <row r="688" spans="2:21" ht="39">
      <c r="B688" s="750" t="s">
        <v>7075</v>
      </c>
      <c r="C688" s="750"/>
      <c r="D688" s="751"/>
      <c r="E688" s="792" t="s">
        <v>676</v>
      </c>
      <c r="F688" s="753" t="str">
        <f>+VLOOKUP(G688,Resumen_Base!$C$8:$G$156,5,0)</f>
        <v>Guides</v>
      </c>
      <c r="G688" s="754" t="s">
        <v>323</v>
      </c>
      <c r="H688" s="755" t="s">
        <v>453</v>
      </c>
      <c r="I688" s="751" t="str">
        <f t="shared" si="10"/>
        <v>CAR5227</v>
      </c>
      <c r="J688" s="826"/>
      <c r="K688" s="470">
        <v>673.07692307692309</v>
      </c>
      <c r="L688" s="470"/>
      <c r="M688" s="790">
        <v>46142</v>
      </c>
      <c r="N688" s="751"/>
      <c r="O688" s="788" t="s">
        <v>2771</v>
      </c>
      <c r="P688" s="790">
        <v>46157</v>
      </c>
      <c r="S688" t="s">
        <v>7013</v>
      </c>
      <c r="U688" t="s">
        <v>6915</v>
      </c>
    </row>
    <row r="689" spans="1:21" ht="39">
      <c r="B689" s="750" t="s">
        <v>7075</v>
      </c>
      <c r="C689" s="750"/>
      <c r="D689" s="751"/>
      <c r="E689" s="792" t="s">
        <v>676</v>
      </c>
      <c r="F689" s="753" t="str">
        <f>+VLOOKUP(G689,Resumen_Base!$C$8:$G$156,5,0)</f>
        <v>Social Security Contributions</v>
      </c>
      <c r="G689" s="754" t="s">
        <v>331</v>
      </c>
      <c r="H689" s="755" t="s">
        <v>332</v>
      </c>
      <c r="I689" s="751" t="str">
        <f t="shared" si="10"/>
        <v>CAR5236</v>
      </c>
      <c r="J689" s="826"/>
      <c r="K689" s="470">
        <v>669.58974358974353</v>
      </c>
      <c r="L689" s="470"/>
      <c r="M689" s="790">
        <v>46142</v>
      </c>
      <c r="N689" s="751"/>
      <c r="O689" s="788" t="s">
        <v>2771</v>
      </c>
      <c r="P689" s="790">
        <v>46158</v>
      </c>
      <c r="S689" t="s">
        <v>6975</v>
      </c>
      <c r="U689" t="s">
        <v>6915</v>
      </c>
    </row>
    <row r="690" spans="1:21" ht="39">
      <c r="B690" s="750" t="s">
        <v>7075</v>
      </c>
      <c r="C690" s="750"/>
      <c r="D690" s="751"/>
      <c r="E690" s="792" t="s">
        <v>676</v>
      </c>
      <c r="F690" s="753" t="str">
        <f>+VLOOKUP(G690,Resumen_Base!$C$8:$G$156,5,0)</f>
        <v>Social Security Contributions</v>
      </c>
      <c r="G690" s="754" t="s">
        <v>331</v>
      </c>
      <c r="H690" s="755" t="s">
        <v>332</v>
      </c>
      <c r="I690" s="751" t="str">
        <f t="shared" si="10"/>
        <v>CAR5236</v>
      </c>
      <c r="J690" s="826"/>
      <c r="K690" s="470">
        <v>394.58974358974359</v>
      </c>
      <c r="L690" s="470"/>
      <c r="M690" s="790">
        <v>46142</v>
      </c>
      <c r="N690" s="751"/>
      <c r="O690" s="788" t="s">
        <v>2771</v>
      </c>
      <c r="P690" s="790">
        <v>46157</v>
      </c>
      <c r="S690" t="s">
        <v>7014</v>
      </c>
      <c r="U690" t="s">
        <v>6915</v>
      </c>
    </row>
    <row r="691" spans="1:21" ht="39">
      <c r="B691" s="750" t="s">
        <v>7075</v>
      </c>
      <c r="C691" s="750"/>
      <c r="D691" s="751"/>
      <c r="E691" s="792" t="s">
        <v>676</v>
      </c>
      <c r="F691" s="753" t="str">
        <f>+VLOOKUP(G691,Resumen_Base!$C$8:$G$156,5,0)</f>
        <v>Electricity - Gas for Boats &amp; Vehicles</v>
      </c>
      <c r="G691" s="754" t="s">
        <v>64</v>
      </c>
      <c r="H691" s="755" t="s">
        <v>461</v>
      </c>
      <c r="I691" s="751" t="str">
        <f t="shared" si="10"/>
        <v>CAR5248</v>
      </c>
      <c r="J691" s="826"/>
      <c r="K691" s="470">
        <v>5391.4358974358975</v>
      </c>
      <c r="L691" s="470"/>
      <c r="M691" s="790">
        <v>46142</v>
      </c>
      <c r="N691" s="751"/>
      <c r="O691" s="788" t="s">
        <v>2771</v>
      </c>
      <c r="P691" s="790">
        <v>46158</v>
      </c>
      <c r="S691" t="s">
        <v>6976</v>
      </c>
      <c r="U691" t="s">
        <v>6915</v>
      </c>
    </row>
    <row r="692" spans="1:21" ht="39">
      <c r="B692" s="750" t="s">
        <v>7075</v>
      </c>
      <c r="C692" s="750"/>
      <c r="D692" s="751"/>
      <c r="E692" s="792" t="s">
        <v>676</v>
      </c>
      <c r="F692" s="753" t="str">
        <f>+VLOOKUP(G692,Resumen_Base!$C$8:$G$156,5,0)</f>
        <v>Electricity - Gas for Boats &amp; Vehicles</v>
      </c>
      <c r="G692" s="754" t="s">
        <v>64</v>
      </c>
      <c r="H692" s="755" t="s">
        <v>461</v>
      </c>
      <c r="I692" s="751" t="str">
        <f t="shared" si="10"/>
        <v>CAR5248</v>
      </c>
      <c r="J692" s="826"/>
      <c r="K692" s="470">
        <v>1.9420512820512819</v>
      </c>
      <c r="L692" s="470"/>
      <c r="M692" s="790">
        <v>46142</v>
      </c>
      <c r="N692" s="751"/>
      <c r="O692" s="788" t="s">
        <v>2771</v>
      </c>
      <c r="P692" s="790">
        <v>46158</v>
      </c>
      <c r="S692" t="s">
        <v>2797</v>
      </c>
      <c r="U692" t="s">
        <v>6915</v>
      </c>
    </row>
    <row r="693" spans="1:21" ht="39">
      <c r="B693" s="750" t="s">
        <v>7075</v>
      </c>
      <c r="C693" s="750"/>
      <c r="D693" s="751"/>
      <c r="E693" s="792" t="s">
        <v>676</v>
      </c>
      <c r="F693" s="753" t="str">
        <f>+VLOOKUP(G693,Resumen_Base!$C$8:$G$156,5,0)</f>
        <v>Electricity - Gas for Boats &amp; Vehicles</v>
      </c>
      <c r="G693" s="754" t="s">
        <v>64</v>
      </c>
      <c r="H693" s="755" t="s">
        <v>461</v>
      </c>
      <c r="I693" s="751" t="str">
        <f t="shared" si="10"/>
        <v>CAR5248</v>
      </c>
      <c r="J693" s="826"/>
      <c r="K693" s="470">
        <v>12.820512820512821</v>
      </c>
      <c r="L693" s="470"/>
      <c r="M693" s="790">
        <v>46141</v>
      </c>
      <c r="N693" s="751"/>
      <c r="O693" s="788" t="s">
        <v>2771</v>
      </c>
      <c r="P693" s="790">
        <v>46143</v>
      </c>
      <c r="S693" t="s">
        <v>7031</v>
      </c>
      <c r="U693" t="s">
        <v>6915</v>
      </c>
    </row>
    <row r="694" spans="1:21" ht="39">
      <c r="B694" s="750" t="s">
        <v>7075</v>
      </c>
      <c r="C694" s="750"/>
      <c r="D694" s="751"/>
      <c r="E694" s="792" t="s">
        <v>676</v>
      </c>
      <c r="F694" s="753" t="str">
        <f>+VLOOKUP(G694,Resumen_Base!$C$8:$G$156,5,0)</f>
        <v>Electricity - Gas for Boats &amp; Vehicles</v>
      </c>
      <c r="G694" s="754" t="s">
        <v>64</v>
      </c>
      <c r="H694" s="755" t="s">
        <v>461</v>
      </c>
      <c r="I694" s="751" t="str">
        <f t="shared" si="10"/>
        <v>CAR5248</v>
      </c>
      <c r="J694" s="826"/>
      <c r="K694" s="470">
        <v>1.9625641025641027</v>
      </c>
      <c r="L694" s="470"/>
      <c r="M694" s="790">
        <v>46141</v>
      </c>
      <c r="N694" s="751"/>
      <c r="O694" s="788" t="s">
        <v>2771</v>
      </c>
      <c r="P694" s="790">
        <v>46143</v>
      </c>
      <c r="S694" t="s">
        <v>2797</v>
      </c>
      <c r="U694" t="s">
        <v>6915</v>
      </c>
    </row>
    <row r="695" spans="1:21" ht="39">
      <c r="B695" s="750" t="s">
        <v>7075</v>
      </c>
      <c r="C695" s="750"/>
      <c r="D695" s="751"/>
      <c r="E695" s="792" t="s">
        <v>676</v>
      </c>
      <c r="F695" s="753" t="str">
        <f>+VLOOKUP(G695,Resumen_Base!$C$8:$G$156,5,0)</f>
        <v>Food &amp; Wine</v>
      </c>
      <c r="G695" s="754" t="s">
        <v>37</v>
      </c>
      <c r="H695" s="755" t="s">
        <v>457</v>
      </c>
      <c r="I695" s="751" t="str">
        <f t="shared" si="10"/>
        <v>CAR5250</v>
      </c>
      <c r="J695" s="826"/>
      <c r="K695" s="470">
        <v>691.20512820512818</v>
      </c>
      <c r="L695" s="470"/>
      <c r="M695" s="790">
        <v>46142</v>
      </c>
      <c r="N695" s="751"/>
      <c r="O695" s="788" t="s">
        <v>2771</v>
      </c>
      <c r="P695" s="790">
        <v>46158</v>
      </c>
      <c r="S695" t="s">
        <v>6977</v>
      </c>
      <c r="U695" t="s">
        <v>6915</v>
      </c>
    </row>
    <row r="696" spans="1:21" ht="39">
      <c r="B696" s="750" t="s">
        <v>7075</v>
      </c>
      <c r="C696" s="750"/>
      <c r="D696" s="751"/>
      <c r="E696" s="792" t="s">
        <v>676</v>
      </c>
      <c r="F696" s="753" t="str">
        <f>+VLOOKUP(G696,Resumen_Base!$C$8:$G$156,5,0)</f>
        <v>Food &amp; Wine</v>
      </c>
      <c r="G696" s="754" t="s">
        <v>37</v>
      </c>
      <c r="H696" s="755" t="s">
        <v>457</v>
      </c>
      <c r="I696" s="751" t="str">
        <f t="shared" si="10"/>
        <v>CAR5250</v>
      </c>
      <c r="J696" s="826"/>
      <c r="K696" s="470">
        <v>1258.2051282051282</v>
      </c>
      <c r="L696" s="470"/>
      <c r="M696" s="790">
        <v>46142</v>
      </c>
      <c r="N696" s="751"/>
      <c r="O696" s="788" t="s">
        <v>2771</v>
      </c>
      <c r="P696" s="790">
        <v>46158</v>
      </c>
      <c r="S696" t="s">
        <v>6978</v>
      </c>
      <c r="U696" t="s">
        <v>6915</v>
      </c>
    </row>
    <row r="697" spans="1:21" ht="39">
      <c r="B697" s="750" t="s">
        <v>7075</v>
      </c>
      <c r="C697" s="750"/>
      <c r="D697" s="751"/>
      <c r="E697" s="792" t="s">
        <v>676</v>
      </c>
      <c r="F697" s="753" t="str">
        <f>+VLOOKUP(G697,Resumen_Base!$C$8:$G$156,5,0)</f>
        <v>Food &amp; Wine</v>
      </c>
      <c r="G697" s="754" t="s">
        <v>37</v>
      </c>
      <c r="H697" s="755" t="s">
        <v>457</v>
      </c>
      <c r="I697" s="751" t="str">
        <f t="shared" si="10"/>
        <v>CAR5250</v>
      </c>
      <c r="J697" s="826"/>
      <c r="K697" s="470">
        <v>537.61538461538464</v>
      </c>
      <c r="L697" s="470"/>
      <c r="M697" s="790">
        <v>46142</v>
      </c>
      <c r="N697" s="751"/>
      <c r="O697" s="788" t="s">
        <v>2771</v>
      </c>
      <c r="P697" s="790">
        <v>46158</v>
      </c>
      <c r="S697" t="s">
        <v>6979</v>
      </c>
      <c r="U697" t="s">
        <v>6915</v>
      </c>
    </row>
    <row r="698" spans="1:21" ht="39">
      <c r="B698" s="750" t="s">
        <v>7075</v>
      </c>
      <c r="C698" s="750"/>
      <c r="D698" s="751"/>
      <c r="E698" s="792" t="s">
        <v>676</v>
      </c>
      <c r="F698" s="753" t="str">
        <f>+VLOOKUP(G698,Resumen_Base!$C$8:$G$156,5,0)</f>
        <v>Food &amp; Wine</v>
      </c>
      <c r="G698" s="754" t="s">
        <v>37</v>
      </c>
      <c r="H698" s="755" t="s">
        <v>457</v>
      </c>
      <c r="I698" s="751" t="str">
        <f t="shared" si="10"/>
        <v>CAR5250</v>
      </c>
      <c r="J698" s="826"/>
      <c r="K698" s="470">
        <v>3.8841025641025637</v>
      </c>
      <c r="L698" s="470"/>
      <c r="M698" s="790">
        <v>46142</v>
      </c>
      <c r="N698" s="751"/>
      <c r="O698" s="788" t="s">
        <v>2771</v>
      </c>
      <c r="P698" s="790">
        <v>46158</v>
      </c>
      <c r="S698" t="s">
        <v>2797</v>
      </c>
      <c r="U698" t="s">
        <v>6915</v>
      </c>
    </row>
    <row r="699" spans="1:21" ht="39">
      <c r="B699" s="750" t="s">
        <v>7075</v>
      </c>
      <c r="C699" s="750"/>
      <c r="D699" s="751"/>
      <c r="E699" s="792" t="s">
        <v>676</v>
      </c>
      <c r="F699" s="753" t="str">
        <f>+VLOOKUP(G699,Resumen_Base!$C$8:$G$156,5,0)</f>
        <v>Food &amp; Wine</v>
      </c>
      <c r="G699" s="754" t="s">
        <v>37</v>
      </c>
      <c r="H699" s="755" t="s">
        <v>457</v>
      </c>
      <c r="I699" s="751" t="str">
        <f t="shared" si="10"/>
        <v>CAR5250</v>
      </c>
      <c r="J699" s="826"/>
      <c r="K699" s="470">
        <v>3034.1794871794873</v>
      </c>
      <c r="L699" s="470"/>
      <c r="M699" s="790">
        <v>46142</v>
      </c>
      <c r="N699" s="751"/>
      <c r="O699" s="788" t="s">
        <v>2771</v>
      </c>
      <c r="P699" s="790">
        <v>46158</v>
      </c>
      <c r="S699" t="s">
        <v>6980</v>
      </c>
      <c r="U699" t="s">
        <v>6915</v>
      </c>
    </row>
    <row r="700" spans="1:21" ht="39">
      <c r="B700" s="750" t="s">
        <v>7075</v>
      </c>
      <c r="C700" s="750"/>
      <c r="D700" s="751"/>
      <c r="E700" s="792" t="s">
        <v>676</v>
      </c>
      <c r="F700" s="753" t="str">
        <f>+VLOOKUP(G700,Resumen_Base!$C$8:$G$156,5,0)</f>
        <v>Maintenance Lodge</v>
      </c>
      <c r="G700" s="754" t="s">
        <v>33</v>
      </c>
      <c r="H700" s="755" t="s">
        <v>468</v>
      </c>
      <c r="I700" s="751" t="str">
        <f t="shared" si="10"/>
        <v>CAR5252</v>
      </c>
      <c r="J700" s="826"/>
      <c r="K700" s="470">
        <v>277.97435897435895</v>
      </c>
      <c r="L700" s="470"/>
      <c r="M700" s="790">
        <v>46142</v>
      </c>
      <c r="N700" s="751"/>
      <c r="O700" s="788" t="s">
        <v>2771</v>
      </c>
      <c r="P700" s="790">
        <v>46158</v>
      </c>
      <c r="S700" t="s">
        <v>6981</v>
      </c>
      <c r="U700" t="s">
        <v>6915</v>
      </c>
    </row>
    <row r="701" spans="1:21" ht="52">
      <c r="A701" s="846" t="s">
        <v>5849</v>
      </c>
      <c r="B701" s="750" t="s">
        <v>7075</v>
      </c>
      <c r="C701" s="210" t="s">
        <v>7094</v>
      </c>
      <c r="D701" s="751"/>
      <c r="E701" s="792" t="s">
        <v>676</v>
      </c>
      <c r="F701" s="753" t="str">
        <f>+VLOOKUP(G701,Resumen_Base!$C$8:$G$156,5,0)</f>
        <v>Fixed Asset's Payments (Investments) Mejoras/equipamiento Lodge</v>
      </c>
      <c r="G701" s="607" t="s">
        <v>6</v>
      </c>
      <c r="H701" s="597" t="s">
        <v>5</v>
      </c>
      <c r="I701" s="751" t="str">
        <f t="shared" si="10"/>
        <v>CAR12020301</v>
      </c>
      <c r="J701" s="826"/>
      <c r="K701" s="470">
        <v>212.71794871794873</v>
      </c>
      <c r="L701" s="470"/>
      <c r="M701" s="790">
        <v>46142</v>
      </c>
      <c r="N701" s="751"/>
      <c r="O701" s="788" t="s">
        <v>2771</v>
      </c>
      <c r="P701" s="790">
        <v>46157</v>
      </c>
      <c r="S701" t="s">
        <v>7015</v>
      </c>
      <c r="U701" t="s">
        <v>6915</v>
      </c>
    </row>
    <row r="702" spans="1:21" ht="39">
      <c r="B702" s="750" t="s">
        <v>7075</v>
      </c>
      <c r="C702" s="750"/>
      <c r="D702" s="751"/>
      <c r="E702" s="792" t="s">
        <v>676</v>
      </c>
      <c r="F702" s="753" t="str">
        <f>+VLOOKUP(G702,Resumen_Base!$C$8:$G$156,5,0)</f>
        <v>Maintenance  Boats / Vehicles</v>
      </c>
      <c r="G702" s="754" t="s">
        <v>66</v>
      </c>
      <c r="H702" s="755" t="s">
        <v>469</v>
      </c>
      <c r="I702" s="751" t="str">
        <f t="shared" si="10"/>
        <v>CAR5253</v>
      </c>
      <c r="J702" s="826"/>
      <c r="K702" s="470">
        <v>1.9420512820512819</v>
      </c>
      <c r="L702" s="470"/>
      <c r="M702" s="790">
        <v>46142</v>
      </c>
      <c r="N702" s="751"/>
      <c r="O702" s="788" t="s">
        <v>2771</v>
      </c>
      <c r="P702" s="790">
        <v>46158</v>
      </c>
      <c r="S702" t="s">
        <v>2797</v>
      </c>
      <c r="U702" t="s">
        <v>6915</v>
      </c>
    </row>
    <row r="703" spans="1:21" ht="39">
      <c r="B703" s="750" t="s">
        <v>7075</v>
      </c>
      <c r="C703" s="750"/>
      <c r="D703" s="751"/>
      <c r="E703" s="792" t="s">
        <v>676</v>
      </c>
      <c r="F703" s="753" t="str">
        <f>+VLOOKUP(G703,Resumen_Base!$C$8:$G$156,5,0)</f>
        <v>Maintenance  Boats / Vehicles</v>
      </c>
      <c r="G703" s="754" t="s">
        <v>66</v>
      </c>
      <c r="H703" s="755" t="s">
        <v>469</v>
      </c>
      <c r="I703" s="751" t="str">
        <f t="shared" si="10"/>
        <v>CAR5253</v>
      </c>
      <c r="J703" s="826"/>
      <c r="K703" s="470">
        <v>13.923076923076923</v>
      </c>
      <c r="L703" s="470"/>
      <c r="M703" s="790">
        <v>46142</v>
      </c>
      <c r="N703" s="751"/>
      <c r="O703" s="788" t="s">
        <v>2771</v>
      </c>
      <c r="P703" s="790">
        <v>46158</v>
      </c>
      <c r="S703" t="s">
        <v>6982</v>
      </c>
      <c r="U703" t="s">
        <v>6915</v>
      </c>
    </row>
    <row r="704" spans="1:21" ht="39">
      <c r="B704" s="750" t="s">
        <v>7075</v>
      </c>
      <c r="C704" s="750"/>
      <c r="D704" s="751"/>
      <c r="E704" s="792" t="s">
        <v>676</v>
      </c>
      <c r="F704" s="753" t="str">
        <f>+VLOOKUP(G704,Resumen_Base!$C$8:$G$156,5,0)</f>
        <v>Maintenance  Boats / Vehicles</v>
      </c>
      <c r="G704" s="754" t="s">
        <v>66</v>
      </c>
      <c r="H704" s="755" t="s">
        <v>469</v>
      </c>
      <c r="I704" s="751" t="str">
        <f t="shared" si="10"/>
        <v>CAR5253</v>
      </c>
      <c r="J704" s="826"/>
      <c r="K704" s="470">
        <v>1.9420512820512819</v>
      </c>
      <c r="L704" s="470"/>
      <c r="M704" s="790">
        <v>46142</v>
      </c>
      <c r="N704" s="751"/>
      <c r="O704" s="788" t="s">
        <v>2771</v>
      </c>
      <c r="P704" s="790">
        <v>46157</v>
      </c>
      <c r="S704" t="s">
        <v>2797</v>
      </c>
      <c r="U704" t="s">
        <v>6915</v>
      </c>
    </row>
    <row r="705" spans="1:21" ht="39">
      <c r="B705" s="750" t="s">
        <v>7075</v>
      </c>
      <c r="C705" s="750"/>
      <c r="D705" s="751"/>
      <c r="E705" s="792" t="s">
        <v>676</v>
      </c>
      <c r="F705" s="753" t="str">
        <f>+VLOOKUP(G705,Resumen_Base!$C$8:$G$156,5,0)</f>
        <v>Maintenance  Boats / Vehicles</v>
      </c>
      <c r="G705" s="754" t="s">
        <v>66</v>
      </c>
      <c r="H705" s="755" t="s">
        <v>469</v>
      </c>
      <c r="I705" s="751" t="str">
        <f t="shared" si="10"/>
        <v>CAR5253</v>
      </c>
      <c r="J705" s="826"/>
      <c r="K705" s="470">
        <v>549.35897435897436</v>
      </c>
      <c r="L705" s="470"/>
      <c r="M705" s="790">
        <v>46142</v>
      </c>
      <c r="N705" s="751"/>
      <c r="O705" s="788" t="s">
        <v>2771</v>
      </c>
      <c r="P705" s="790">
        <v>46157</v>
      </c>
      <c r="S705" t="s">
        <v>7016</v>
      </c>
      <c r="U705" t="s">
        <v>6915</v>
      </c>
    </row>
    <row r="706" spans="1:21" ht="39">
      <c r="B706" s="750" t="s">
        <v>7075</v>
      </c>
      <c r="C706" s="750"/>
      <c r="D706" s="751"/>
      <c r="E706" s="792" t="s">
        <v>676</v>
      </c>
      <c r="F706" s="753" t="str">
        <f>+VLOOKUP(G706,Resumen_Base!$C$8:$G$156,5,0)</f>
        <v>Maintenance  Equipment</v>
      </c>
      <c r="G706" s="754" t="s">
        <v>31</v>
      </c>
      <c r="H706" s="755" t="s">
        <v>470</v>
      </c>
      <c r="I706" s="751" t="str">
        <f t="shared" si="10"/>
        <v>CAR5254</v>
      </c>
      <c r="J706" s="470"/>
      <c r="K706" s="825">
        <v>94.64</v>
      </c>
      <c r="L706" s="470"/>
      <c r="M706" s="790">
        <v>46112</v>
      </c>
      <c r="N706" s="751"/>
      <c r="O706" s="788" t="s">
        <v>2771</v>
      </c>
      <c r="P706" s="790">
        <v>46157</v>
      </c>
      <c r="S706" t="s">
        <v>6994</v>
      </c>
      <c r="U706" t="s">
        <v>6912</v>
      </c>
    </row>
    <row r="707" spans="1:21" ht="39">
      <c r="B707" s="750" t="s">
        <v>7075</v>
      </c>
      <c r="C707" s="750"/>
      <c r="D707" s="751"/>
      <c r="E707" s="792" t="s">
        <v>676</v>
      </c>
      <c r="F707" s="753" t="str">
        <f>+VLOOKUP(G707,Resumen_Base!$C$8:$G$156,5,0)</f>
        <v>Maintenance  Equipment</v>
      </c>
      <c r="G707" s="754" t="s">
        <v>31</v>
      </c>
      <c r="H707" s="755" t="s">
        <v>470</v>
      </c>
      <c r="I707" s="751" t="str">
        <f t="shared" si="10"/>
        <v>CAR5254</v>
      </c>
      <c r="J707" s="470"/>
      <c r="K707" s="825">
        <v>3616</v>
      </c>
      <c r="L707" s="470"/>
      <c r="M707" s="790">
        <v>46112</v>
      </c>
      <c r="N707" s="751"/>
      <c r="O707" s="788" t="s">
        <v>2771</v>
      </c>
      <c r="P707" s="790">
        <v>46157</v>
      </c>
      <c r="S707" t="s">
        <v>6995</v>
      </c>
      <c r="U707" t="s">
        <v>6912</v>
      </c>
    </row>
    <row r="708" spans="1:21" ht="39">
      <c r="B708" s="750" t="s">
        <v>7075</v>
      </c>
      <c r="C708" s="750"/>
      <c r="D708" s="751"/>
      <c r="E708" s="792" t="s">
        <v>676</v>
      </c>
      <c r="F708" s="753" t="str">
        <f>+VLOOKUP(G708,Resumen_Base!$C$8:$G$156,5,0)</f>
        <v>Maintenance  Equipment</v>
      </c>
      <c r="G708" s="754" t="s">
        <v>31</v>
      </c>
      <c r="H708" s="755" t="s">
        <v>470</v>
      </c>
      <c r="I708" s="751" t="str">
        <f t="shared" si="10"/>
        <v>CAR5254</v>
      </c>
      <c r="J708" s="470"/>
      <c r="K708" s="825">
        <v>1.9</v>
      </c>
      <c r="L708" s="470"/>
      <c r="M708" s="790">
        <v>46112</v>
      </c>
      <c r="N708" s="751"/>
      <c r="O708" s="788" t="s">
        <v>2771</v>
      </c>
      <c r="P708" s="790">
        <v>46157</v>
      </c>
      <c r="S708" t="s">
        <v>2797</v>
      </c>
      <c r="U708" t="s">
        <v>6912</v>
      </c>
    </row>
    <row r="709" spans="1:21" ht="39">
      <c r="B709" s="750" t="s">
        <v>7075</v>
      </c>
      <c r="C709" s="750"/>
      <c r="D709" s="751"/>
      <c r="E709" s="792" t="s">
        <v>676</v>
      </c>
      <c r="F709" s="753" t="str">
        <f>+VLOOKUP(G709,Resumen_Base!$C$8:$G$156,5,0)</f>
        <v>Maintenance  Equipment</v>
      </c>
      <c r="G709" s="754" t="s">
        <v>31</v>
      </c>
      <c r="H709" s="755" t="s">
        <v>470</v>
      </c>
      <c r="I709" s="751" t="str">
        <f t="shared" si="10"/>
        <v>CAR5254</v>
      </c>
      <c r="J709" s="470"/>
      <c r="K709" s="825">
        <v>1.9</v>
      </c>
      <c r="L709" s="470"/>
      <c r="M709" s="790">
        <v>46112</v>
      </c>
      <c r="N709" s="751"/>
      <c r="O709" s="788" t="s">
        <v>2771</v>
      </c>
      <c r="P709" s="790">
        <v>46157</v>
      </c>
      <c r="S709" t="s">
        <v>6996</v>
      </c>
      <c r="U709" t="s">
        <v>6912</v>
      </c>
    </row>
    <row r="710" spans="1:21" ht="39">
      <c r="B710" s="750" t="s">
        <v>7075</v>
      </c>
      <c r="C710" s="750"/>
      <c r="D710" s="751"/>
      <c r="E710" s="792" t="s">
        <v>676</v>
      </c>
      <c r="F710" s="753" t="str">
        <f>+VLOOKUP(G710,Resumen_Base!$C$8:$G$156,5,0)</f>
        <v>Travel for personnel (employees)</v>
      </c>
      <c r="G710" s="754" t="s">
        <v>68</v>
      </c>
      <c r="H710" s="755" t="s">
        <v>464</v>
      </c>
      <c r="I710" s="751" t="str">
        <f t="shared" si="10"/>
        <v>CAR5255</v>
      </c>
      <c r="J710" s="470"/>
      <c r="K710" s="825">
        <v>117</v>
      </c>
      <c r="L710" s="470"/>
      <c r="M710" s="790">
        <v>46142</v>
      </c>
      <c r="N710" s="751"/>
      <c r="O710" s="788" t="s">
        <v>2771</v>
      </c>
      <c r="P710" s="790">
        <v>46159</v>
      </c>
      <c r="S710" t="s">
        <v>6914</v>
      </c>
      <c r="U710" t="s">
        <v>6912</v>
      </c>
    </row>
    <row r="711" spans="1:21" ht="39">
      <c r="A711" s="846" t="s">
        <v>3390</v>
      </c>
      <c r="B711" s="750" t="s">
        <v>7075</v>
      </c>
      <c r="C711" s="210" t="s">
        <v>7093</v>
      </c>
      <c r="D711" s="751"/>
      <c r="E711" s="792" t="s">
        <v>676</v>
      </c>
      <c r="F711" s="753" t="str">
        <f>+VLOOKUP(G711,Resumen_Base!$C$8:$G$156,5,0)</f>
        <v>Food &amp; Wine</v>
      </c>
      <c r="G711" s="607" t="s">
        <v>37</v>
      </c>
      <c r="H711" s="597" t="s">
        <v>457</v>
      </c>
      <c r="I711" s="751" t="str">
        <f t="shared" si="10"/>
        <v>CAR5250</v>
      </c>
      <c r="J711" s="826"/>
      <c r="K711" s="470">
        <v>177.43589743589743</v>
      </c>
      <c r="L711" s="470"/>
      <c r="M711" s="790">
        <v>46142</v>
      </c>
      <c r="N711" s="751"/>
      <c r="O711" s="788" t="s">
        <v>2771</v>
      </c>
      <c r="P711" s="790">
        <v>46157</v>
      </c>
      <c r="S711" t="s">
        <v>7017</v>
      </c>
      <c r="U711" t="s">
        <v>6915</v>
      </c>
    </row>
    <row r="712" spans="1:21" ht="39">
      <c r="A712" s="846" t="s">
        <v>3390</v>
      </c>
      <c r="B712" s="750" t="s">
        <v>7075</v>
      </c>
      <c r="C712" s="210" t="s">
        <v>7093</v>
      </c>
      <c r="D712" s="751"/>
      <c r="E712" s="792" t="s">
        <v>676</v>
      </c>
      <c r="F712" s="753" t="str">
        <f>+VLOOKUP(G712,Resumen_Base!$C$8:$G$156,5,0)</f>
        <v>Food &amp; Wine</v>
      </c>
      <c r="G712" s="607" t="s">
        <v>37</v>
      </c>
      <c r="H712" s="597" t="s">
        <v>457</v>
      </c>
      <c r="I712" s="751" t="str">
        <f t="shared" si="10"/>
        <v>CAR5250</v>
      </c>
      <c r="J712" s="826"/>
      <c r="K712" s="470">
        <v>121.7948717948718</v>
      </c>
      <c r="L712" s="470"/>
      <c r="M712" s="790">
        <v>46142</v>
      </c>
      <c r="N712" s="751"/>
      <c r="O712" s="788" t="s">
        <v>2771</v>
      </c>
      <c r="P712" s="790">
        <v>46157</v>
      </c>
      <c r="S712" t="s">
        <v>7018</v>
      </c>
      <c r="U712" t="s">
        <v>6915</v>
      </c>
    </row>
    <row r="713" spans="1:21" ht="39">
      <c r="B713" s="750" t="s">
        <v>7075</v>
      </c>
      <c r="C713" s="750"/>
      <c r="D713" s="751"/>
      <c r="E713" s="792" t="s">
        <v>670</v>
      </c>
      <c r="F713" s="753" t="str">
        <f>+VLOOKUP(G713,Resumen_Base!$C$8:$G$156,5,0)</f>
        <v>Miscellaneous &amp; Shipping</v>
      </c>
      <c r="G713" s="754" t="s">
        <v>58</v>
      </c>
      <c r="H713" s="755" t="s">
        <v>59</v>
      </c>
      <c r="I713" s="751" t="str">
        <f t="shared" si="10"/>
        <v>SJ5219</v>
      </c>
      <c r="J713" s="470"/>
      <c r="K713" s="825">
        <v>153.41</v>
      </c>
      <c r="L713" s="470"/>
      <c r="M713" s="790">
        <v>46142</v>
      </c>
      <c r="N713" s="751"/>
      <c r="O713" s="788" t="s">
        <v>5763</v>
      </c>
      <c r="P713" s="790">
        <v>46158</v>
      </c>
      <c r="S713" t="s">
        <v>6983</v>
      </c>
      <c r="U713" t="s">
        <v>6912</v>
      </c>
    </row>
    <row r="714" spans="1:21" ht="39">
      <c r="B714" s="750" t="s">
        <v>7075</v>
      </c>
      <c r="C714" s="750"/>
      <c r="D714" s="751"/>
      <c r="E714" s="792" t="s">
        <v>670</v>
      </c>
      <c r="F714" s="753" t="str">
        <f>+VLOOKUP(G714,Resumen_Base!$C$8:$G$156,5,0)</f>
        <v>Miscellaneous &amp; Shipping</v>
      </c>
      <c r="G714" s="754" t="s">
        <v>58</v>
      </c>
      <c r="H714" s="755" t="s">
        <v>59</v>
      </c>
      <c r="I714" s="751" t="str">
        <f t="shared" si="10"/>
        <v>SJ5219</v>
      </c>
      <c r="J714" s="826"/>
      <c r="K714" s="470">
        <v>41.948717948717949</v>
      </c>
      <c r="L714" s="470"/>
      <c r="M714" s="790">
        <v>46126</v>
      </c>
      <c r="N714" s="751"/>
      <c r="O714" s="788" t="s">
        <v>5763</v>
      </c>
      <c r="P714" s="790">
        <v>46147</v>
      </c>
      <c r="S714" t="s">
        <v>7020</v>
      </c>
      <c r="U714" t="s">
        <v>7019</v>
      </c>
    </row>
    <row r="715" spans="1:21" ht="39">
      <c r="B715" s="750" t="s">
        <v>7075</v>
      </c>
      <c r="C715" s="750"/>
      <c r="D715" s="751"/>
      <c r="E715" s="792" t="s">
        <v>670</v>
      </c>
      <c r="F715" s="753" t="str">
        <f>+VLOOKUP(G715,Resumen_Base!$C$8:$G$156,5,0)</f>
        <v>Work uniforms for personnel (employees)</v>
      </c>
      <c r="G715" s="754" t="s">
        <v>60</v>
      </c>
      <c r="H715" s="755" t="s">
        <v>61</v>
      </c>
      <c r="I715" s="751" t="str">
        <f t="shared" si="10"/>
        <v>SJ5220</v>
      </c>
      <c r="J715" s="826"/>
      <c r="K715" s="470">
        <v>313.84615384615387</v>
      </c>
      <c r="L715" s="470"/>
      <c r="M715" s="790">
        <v>46142</v>
      </c>
      <c r="N715" s="751"/>
      <c r="O715" s="788" t="s">
        <v>5763</v>
      </c>
      <c r="P715" s="790">
        <v>46159</v>
      </c>
      <c r="S715" t="s">
        <v>6917</v>
      </c>
      <c r="U715" t="s">
        <v>6915</v>
      </c>
    </row>
    <row r="716" spans="1:21" ht="39">
      <c r="B716" s="750" t="s">
        <v>7075</v>
      </c>
      <c r="C716" s="750"/>
      <c r="D716" s="751"/>
      <c r="E716" s="792" t="s">
        <v>670</v>
      </c>
      <c r="F716" s="753" t="str">
        <f>+VLOOKUP(G716,Resumen_Base!$C$8:$G$156,5,0)</f>
        <v>Work uniforms for personnel (employees)</v>
      </c>
      <c r="G716" s="754" t="s">
        <v>60</v>
      </c>
      <c r="H716" s="755" t="s">
        <v>61</v>
      </c>
      <c r="I716" s="751" t="str">
        <f t="shared" si="10"/>
        <v>SJ5220</v>
      </c>
      <c r="J716" s="826"/>
      <c r="K716" s="470">
        <v>3.8925641025641027</v>
      </c>
      <c r="L716" s="470"/>
      <c r="M716" s="790">
        <v>46142</v>
      </c>
      <c r="N716" s="751"/>
      <c r="O716" s="788" t="s">
        <v>5763</v>
      </c>
      <c r="P716" s="790">
        <v>46159</v>
      </c>
      <c r="S716" t="s">
        <v>2797</v>
      </c>
      <c r="U716" t="s">
        <v>6915</v>
      </c>
    </row>
    <row r="717" spans="1:21" ht="39">
      <c r="B717" s="750" t="s">
        <v>7075</v>
      </c>
      <c r="C717" s="750"/>
      <c r="D717" s="751"/>
      <c r="E717" s="792" t="s">
        <v>670</v>
      </c>
      <c r="F717" s="753" t="str">
        <f>+VLOOKUP(G717,Resumen_Base!$C$8:$G$156,5,0)</f>
        <v>Work uniforms for personnel (employees)</v>
      </c>
      <c r="G717" s="754" t="s">
        <v>60</v>
      </c>
      <c r="H717" s="755" t="s">
        <v>61</v>
      </c>
      <c r="I717" s="751" t="str">
        <f t="shared" ref="I717:I779" si="11">+E717&amp;G717</f>
        <v>SJ5220</v>
      </c>
      <c r="J717" s="826"/>
      <c r="K717" s="470">
        <v>259</v>
      </c>
      <c r="L717" s="470"/>
      <c r="M717" s="790">
        <v>46142</v>
      </c>
      <c r="N717" s="751"/>
      <c r="O717" s="788" t="s">
        <v>5763</v>
      </c>
      <c r="P717" s="790">
        <v>46159</v>
      </c>
      <c r="S717" t="s">
        <v>6918</v>
      </c>
      <c r="U717" t="s">
        <v>6915</v>
      </c>
    </row>
    <row r="718" spans="1:21" ht="39">
      <c r="B718" s="750" t="s">
        <v>7075</v>
      </c>
      <c r="C718" s="750"/>
      <c r="D718" s="751"/>
      <c r="E718" s="792" t="s">
        <v>670</v>
      </c>
      <c r="F718" s="753" t="str">
        <f>+VLOOKUP(G718,Resumen_Base!$C$8:$G$156,5,0)</f>
        <v>Work uniforms for personnel (employees)</v>
      </c>
      <c r="G718" s="754" t="s">
        <v>60</v>
      </c>
      <c r="H718" s="755" t="s">
        <v>61</v>
      </c>
      <c r="I718" s="751" t="str">
        <f t="shared" si="11"/>
        <v>SJ5220</v>
      </c>
      <c r="J718" s="826"/>
      <c r="K718" s="470">
        <v>94.92307692307692</v>
      </c>
      <c r="L718" s="470"/>
      <c r="M718" s="790">
        <v>46140</v>
      </c>
      <c r="N718" s="751"/>
      <c r="O718" s="788" t="s">
        <v>5763</v>
      </c>
      <c r="P718" s="790">
        <v>46143</v>
      </c>
      <c r="S718" t="s">
        <v>7034</v>
      </c>
      <c r="U718" t="s">
        <v>6915</v>
      </c>
    </row>
    <row r="719" spans="1:21" ht="39">
      <c r="B719" s="750" t="s">
        <v>7075</v>
      </c>
      <c r="C719" s="750"/>
      <c r="D719" s="751"/>
      <c r="E719" s="792" t="s">
        <v>670</v>
      </c>
      <c r="F719" s="753" t="str">
        <f>+VLOOKUP(G719,Resumen_Base!$C$8:$G$156,5,0)</f>
        <v>Work uniforms for personnel (employees)</v>
      </c>
      <c r="G719" s="754" t="s">
        <v>60</v>
      </c>
      <c r="H719" s="755" t="s">
        <v>61</v>
      </c>
      <c r="I719" s="751" t="str">
        <f t="shared" si="11"/>
        <v>SJ5220</v>
      </c>
      <c r="J719" s="826"/>
      <c r="K719" s="470">
        <v>1.9379487179487178</v>
      </c>
      <c r="L719" s="470"/>
      <c r="M719" s="790">
        <v>46140</v>
      </c>
      <c r="N719" s="751"/>
      <c r="O719" s="788" t="s">
        <v>5763</v>
      </c>
      <c r="P719" s="790">
        <v>46143</v>
      </c>
      <c r="S719" t="s">
        <v>2797</v>
      </c>
      <c r="U719" t="s">
        <v>6915</v>
      </c>
    </row>
    <row r="720" spans="1:21" ht="39">
      <c r="B720" s="750" t="s">
        <v>7075</v>
      </c>
      <c r="C720" s="750"/>
      <c r="D720" s="751"/>
      <c r="E720" s="792" t="s">
        <v>670</v>
      </c>
      <c r="F720" s="753" t="str">
        <f>+VLOOKUP(G720,Resumen_Base!$C$8:$G$156,5,0)</f>
        <v>Work uniforms for personnel (employees)</v>
      </c>
      <c r="G720" s="754" t="s">
        <v>60</v>
      </c>
      <c r="H720" s="755" t="s">
        <v>61</v>
      </c>
      <c r="I720" s="751" t="str">
        <f t="shared" si="11"/>
        <v>SJ5220</v>
      </c>
      <c r="J720" s="826"/>
      <c r="K720" s="470">
        <v>97.230769230769226</v>
      </c>
      <c r="L720" s="470"/>
      <c r="M720" s="790">
        <v>46140</v>
      </c>
      <c r="N720" s="751"/>
      <c r="O720" s="788" t="s">
        <v>5763</v>
      </c>
      <c r="P720" s="790">
        <v>46143</v>
      </c>
      <c r="S720" t="s">
        <v>7035</v>
      </c>
      <c r="U720" t="s">
        <v>6915</v>
      </c>
    </row>
    <row r="721" spans="2:21" ht="39">
      <c r="B721" s="750" t="s">
        <v>7075</v>
      </c>
      <c r="C721" s="750"/>
      <c r="D721" s="751"/>
      <c r="E721" s="792" t="s">
        <v>670</v>
      </c>
      <c r="F721" s="753" t="str">
        <f>+VLOOKUP(G721,Resumen_Base!$C$8:$G$156,5,0)</f>
        <v>Work uniforms for personnel (employees)</v>
      </c>
      <c r="G721" s="754" t="s">
        <v>60</v>
      </c>
      <c r="H721" s="755" t="s">
        <v>61</v>
      </c>
      <c r="I721" s="751" t="str">
        <f t="shared" si="11"/>
        <v>SJ5220</v>
      </c>
      <c r="J721" s="826"/>
      <c r="K721" s="470">
        <v>45.897435897435898</v>
      </c>
      <c r="L721" s="470"/>
      <c r="M721" s="790">
        <v>46141</v>
      </c>
      <c r="N721" s="751"/>
      <c r="O721" s="788" t="s">
        <v>5763</v>
      </c>
      <c r="P721" s="790">
        <v>46143</v>
      </c>
      <c r="S721" t="s">
        <v>7042</v>
      </c>
      <c r="U721" t="s">
        <v>6915</v>
      </c>
    </row>
    <row r="722" spans="2:21" ht="39">
      <c r="B722" s="750" t="s">
        <v>7075</v>
      </c>
      <c r="C722" s="750"/>
      <c r="D722" s="751"/>
      <c r="E722" s="792" t="s">
        <v>670</v>
      </c>
      <c r="F722" s="753" t="str">
        <f>+VLOOKUP(G722,Resumen_Base!$C$8:$G$156,5,0)</f>
        <v>Work uniforms for personnel (employees)</v>
      </c>
      <c r="G722" s="754" t="s">
        <v>60</v>
      </c>
      <c r="H722" s="755" t="s">
        <v>61</v>
      </c>
      <c r="I722" s="751" t="str">
        <f t="shared" si="11"/>
        <v>SJ5220</v>
      </c>
      <c r="J722" s="826"/>
      <c r="K722" s="470">
        <v>28.448717948717949</v>
      </c>
      <c r="L722" s="470"/>
      <c r="M722" s="790">
        <v>46141</v>
      </c>
      <c r="N722" s="751"/>
      <c r="O722" s="788" t="s">
        <v>5763</v>
      </c>
      <c r="P722" s="790">
        <v>46143</v>
      </c>
      <c r="S722" t="s">
        <v>7043</v>
      </c>
      <c r="U722" t="s">
        <v>6915</v>
      </c>
    </row>
    <row r="723" spans="2:21" ht="39">
      <c r="B723" s="750" t="s">
        <v>7075</v>
      </c>
      <c r="C723" s="750"/>
      <c r="D723" s="751"/>
      <c r="E723" s="792" t="s">
        <v>670</v>
      </c>
      <c r="F723" s="753" t="str">
        <f>+VLOOKUP(G723,Resumen_Base!$C$8:$G$156,5,0)</f>
        <v>Work uniforms for personnel (employees)</v>
      </c>
      <c r="G723" s="754" t="s">
        <v>60</v>
      </c>
      <c r="H723" s="755" t="s">
        <v>61</v>
      </c>
      <c r="I723" s="751" t="str">
        <f t="shared" si="11"/>
        <v>SJ5220</v>
      </c>
      <c r="J723" s="826"/>
      <c r="K723" s="470">
        <v>705.12820512820508</v>
      </c>
      <c r="L723" s="470"/>
      <c r="M723" s="790">
        <v>46141</v>
      </c>
      <c r="N723" s="751"/>
      <c r="O723" s="788" t="s">
        <v>5763</v>
      </c>
      <c r="P723" s="790">
        <v>46143</v>
      </c>
      <c r="S723" t="s">
        <v>7044</v>
      </c>
      <c r="U723" t="s">
        <v>6915</v>
      </c>
    </row>
    <row r="724" spans="2:21" ht="39">
      <c r="B724" s="750" t="s">
        <v>7075</v>
      </c>
      <c r="C724" s="750"/>
      <c r="D724" s="751"/>
      <c r="E724" s="792" t="s">
        <v>670</v>
      </c>
      <c r="F724" s="753" t="str">
        <f>+VLOOKUP(G724,Resumen_Base!$C$8:$G$156,5,0)</f>
        <v>Work uniforms for personnel (employees)</v>
      </c>
      <c r="G724" s="754" t="s">
        <v>60</v>
      </c>
      <c r="H724" s="755" t="s">
        <v>61</v>
      </c>
      <c r="I724" s="751" t="str">
        <f t="shared" si="11"/>
        <v>SJ5220</v>
      </c>
      <c r="J724" s="826"/>
      <c r="K724" s="470">
        <v>65.897435897435898</v>
      </c>
      <c r="L724" s="470"/>
      <c r="M724" s="790">
        <v>46142</v>
      </c>
      <c r="N724" s="751"/>
      <c r="O724" s="788" t="s">
        <v>5763</v>
      </c>
      <c r="P724" s="790">
        <v>46143</v>
      </c>
      <c r="S724" t="s">
        <v>7053</v>
      </c>
      <c r="U724" t="s">
        <v>6915</v>
      </c>
    </row>
    <row r="725" spans="2:21" ht="39">
      <c r="B725" s="750" t="s">
        <v>7075</v>
      </c>
      <c r="C725" s="750"/>
      <c r="D725" s="751"/>
      <c r="E725" s="792" t="s">
        <v>670</v>
      </c>
      <c r="F725" s="753" t="str">
        <f>+VLOOKUP(G725,Resumen_Base!$C$8:$G$156,5,0)</f>
        <v>Work uniforms for personnel (employees)</v>
      </c>
      <c r="G725" s="754" t="s">
        <v>60</v>
      </c>
      <c r="H725" s="755" t="s">
        <v>61</v>
      </c>
      <c r="I725" s="751" t="str">
        <f t="shared" si="11"/>
        <v>SJ5220</v>
      </c>
      <c r="J725" s="826"/>
      <c r="K725" s="470">
        <v>341.53846153846155</v>
      </c>
      <c r="L725" s="470"/>
      <c r="M725" s="790">
        <v>46142</v>
      </c>
      <c r="N725" s="751"/>
      <c r="O725" s="788" t="s">
        <v>5763</v>
      </c>
      <c r="P725" s="790">
        <v>46143</v>
      </c>
      <c r="S725" t="s">
        <v>7054</v>
      </c>
      <c r="U725" t="s">
        <v>6915</v>
      </c>
    </row>
    <row r="726" spans="2:21" ht="39">
      <c r="B726" s="750" t="s">
        <v>7075</v>
      </c>
      <c r="C726" s="750"/>
      <c r="D726" s="751"/>
      <c r="E726" s="792" t="s">
        <v>670</v>
      </c>
      <c r="F726" s="753" t="str">
        <f>+VLOOKUP(G726,Resumen_Base!$C$8:$G$156,5,0)</f>
        <v>Work uniforms for personnel (employees)</v>
      </c>
      <c r="G726" s="754" t="s">
        <v>60</v>
      </c>
      <c r="H726" s="755" t="s">
        <v>61</v>
      </c>
      <c r="I726" s="751" t="str">
        <f t="shared" si="11"/>
        <v>SJ5220</v>
      </c>
      <c r="J726" s="826"/>
      <c r="K726" s="470">
        <v>3.9251282051282055</v>
      </c>
      <c r="L726" s="470"/>
      <c r="M726" s="790">
        <v>46142</v>
      </c>
      <c r="N726" s="751"/>
      <c r="O726" s="788" t="s">
        <v>5763</v>
      </c>
      <c r="P726" s="790">
        <v>46143</v>
      </c>
      <c r="S726" t="s">
        <v>2797</v>
      </c>
      <c r="U726" t="s">
        <v>6915</v>
      </c>
    </row>
    <row r="727" spans="2:21" ht="39">
      <c r="B727" s="750" t="s">
        <v>7075</v>
      </c>
      <c r="C727" s="750"/>
      <c r="D727" s="751"/>
      <c r="E727" s="792" t="s">
        <v>670</v>
      </c>
      <c r="F727" s="753" t="str">
        <f>+VLOOKUP(G727,Resumen_Base!$C$8:$G$156,5,0)</f>
        <v>Work uniforms for personnel (employees)</v>
      </c>
      <c r="G727" s="754" t="s">
        <v>60</v>
      </c>
      <c r="H727" s="755" t="s">
        <v>61</v>
      </c>
      <c r="I727" s="751" t="str">
        <f t="shared" si="11"/>
        <v>SJ5220</v>
      </c>
      <c r="J727" s="826"/>
      <c r="K727" s="470">
        <v>184.71794871794873</v>
      </c>
      <c r="L727" s="470"/>
      <c r="M727" s="790">
        <v>46142</v>
      </c>
      <c r="N727" s="751"/>
      <c r="O727" s="788" t="s">
        <v>5763</v>
      </c>
      <c r="P727" s="790">
        <v>46143</v>
      </c>
      <c r="S727" t="s">
        <v>7055</v>
      </c>
      <c r="U727" t="s">
        <v>6915</v>
      </c>
    </row>
    <row r="728" spans="2:21" ht="39">
      <c r="B728" s="750" t="s">
        <v>7075</v>
      </c>
      <c r="C728" s="750"/>
      <c r="D728" s="751"/>
      <c r="E728" s="792" t="s">
        <v>670</v>
      </c>
      <c r="F728" s="753" t="str">
        <f>+VLOOKUP(G728,Resumen_Base!$C$8:$G$156,5,0)</f>
        <v>Licenses / Permits (Fishing and Shooting)</v>
      </c>
      <c r="G728" s="754" t="s">
        <v>62</v>
      </c>
      <c r="H728" s="755" t="s">
        <v>63</v>
      </c>
      <c r="I728" s="751" t="str">
        <f t="shared" si="11"/>
        <v>SJ5221</v>
      </c>
      <c r="J728" s="826"/>
      <c r="K728" s="470">
        <v>25.641025641025642</v>
      </c>
      <c r="L728" s="470"/>
      <c r="M728" s="790">
        <v>46142</v>
      </c>
      <c r="N728" s="751"/>
      <c r="O728" s="788" t="s">
        <v>5763</v>
      </c>
      <c r="P728" s="790">
        <v>46159</v>
      </c>
      <c r="S728" t="s">
        <v>6919</v>
      </c>
      <c r="U728" t="s">
        <v>6915</v>
      </c>
    </row>
    <row r="729" spans="2:21" ht="39">
      <c r="B729" s="750" t="s">
        <v>7075</v>
      </c>
      <c r="C729" s="750"/>
      <c r="D729" s="751"/>
      <c r="E729" s="792" t="s">
        <v>670</v>
      </c>
      <c r="F729" s="753" t="str">
        <f>+VLOOKUP(G729,Resumen_Base!$C$8:$G$156,5,0)</f>
        <v>Transfer to and from the airport (local taxi) - Vehicle Rental</v>
      </c>
      <c r="G729" s="754" t="s">
        <v>138</v>
      </c>
      <c r="H729" s="755" t="s">
        <v>202</v>
      </c>
      <c r="I729" s="751" t="str">
        <f t="shared" si="11"/>
        <v>SJ5225</v>
      </c>
      <c r="J729" s="470"/>
      <c r="K729" s="825">
        <v>3701</v>
      </c>
      <c r="L729" s="470"/>
      <c r="M729" s="790">
        <v>46142</v>
      </c>
      <c r="N729" s="751"/>
      <c r="O729" s="788" t="s">
        <v>5763</v>
      </c>
      <c r="P729" s="790">
        <v>46158</v>
      </c>
      <c r="S729" t="s">
        <v>6984</v>
      </c>
      <c r="U729" t="s">
        <v>6912</v>
      </c>
    </row>
    <row r="730" spans="2:21" ht="39">
      <c r="B730" s="750" t="s">
        <v>7075</v>
      </c>
      <c r="C730" s="750"/>
      <c r="D730" s="751"/>
      <c r="E730" s="792" t="s">
        <v>670</v>
      </c>
      <c r="F730" s="753" t="str">
        <f>+VLOOKUP(G730,Resumen_Base!$C$8:$G$156,5,0)</f>
        <v>Transfer to and from the airport (local taxi) - Vehicle Rental</v>
      </c>
      <c r="G730" s="754" t="s">
        <v>138</v>
      </c>
      <c r="H730" s="755" t="s">
        <v>202</v>
      </c>
      <c r="I730" s="751" t="str">
        <f t="shared" si="11"/>
        <v>SJ5225</v>
      </c>
      <c r="J730" s="470"/>
      <c r="K730" s="825">
        <v>440</v>
      </c>
      <c r="L730" s="470"/>
      <c r="M730" s="790">
        <v>46142</v>
      </c>
      <c r="N730" s="751"/>
      <c r="O730" s="788" t="s">
        <v>5763</v>
      </c>
      <c r="P730" s="790">
        <v>46158</v>
      </c>
      <c r="S730" t="s">
        <v>6985</v>
      </c>
      <c r="U730" t="s">
        <v>6912</v>
      </c>
    </row>
    <row r="731" spans="2:21" ht="39">
      <c r="B731" s="750" t="s">
        <v>7075</v>
      </c>
      <c r="C731" s="750"/>
      <c r="D731" s="751"/>
      <c r="E731" s="792" t="s">
        <v>670</v>
      </c>
      <c r="F731" s="753" t="str">
        <f>+VLOOKUP(G731,Resumen_Base!$C$8:$G$156,5,0)</f>
        <v>Transfer to and from the airport (local taxi) - Vehicle Rental</v>
      </c>
      <c r="G731" s="754" t="s">
        <v>138</v>
      </c>
      <c r="H731" s="755" t="s">
        <v>202</v>
      </c>
      <c r="I731" s="751" t="str">
        <f t="shared" si="11"/>
        <v>SJ5225</v>
      </c>
      <c r="J731" s="470"/>
      <c r="K731" s="825">
        <v>1.9</v>
      </c>
      <c r="L731" s="470"/>
      <c r="M731" s="790">
        <v>46142</v>
      </c>
      <c r="N731" s="751"/>
      <c r="O731" s="788" t="s">
        <v>5763</v>
      </c>
      <c r="P731" s="790">
        <v>46158</v>
      </c>
      <c r="S731" t="s">
        <v>2797</v>
      </c>
      <c r="U731" t="s">
        <v>6912</v>
      </c>
    </row>
    <row r="732" spans="2:21" ht="39">
      <c r="B732" s="750" t="s">
        <v>7075</v>
      </c>
      <c r="C732" s="750"/>
      <c r="D732" s="751"/>
      <c r="E732" s="792" t="s">
        <v>670</v>
      </c>
      <c r="F732" s="753" t="str">
        <f>+VLOOKUP(G732,Resumen_Base!$C$8:$G$156,5,0)</f>
        <v>Services/House</v>
      </c>
      <c r="G732" s="754" t="s">
        <v>321</v>
      </c>
      <c r="H732" s="755" t="s">
        <v>455</v>
      </c>
      <c r="I732" s="751" t="str">
        <f t="shared" si="11"/>
        <v>SJ5226</v>
      </c>
      <c r="J732" s="826"/>
      <c r="K732" s="470">
        <v>170.94871794871796</v>
      </c>
      <c r="L732" s="470"/>
      <c r="M732" s="790">
        <v>46142</v>
      </c>
      <c r="N732" s="751"/>
      <c r="O732" s="788" t="s">
        <v>5763</v>
      </c>
      <c r="P732" s="790">
        <v>46159</v>
      </c>
      <c r="S732" t="s">
        <v>6920</v>
      </c>
      <c r="U732" t="s">
        <v>6915</v>
      </c>
    </row>
    <row r="733" spans="2:21" ht="39">
      <c r="B733" s="750" t="s">
        <v>7075</v>
      </c>
      <c r="C733" s="750"/>
      <c r="D733" s="751"/>
      <c r="E733" s="792" t="s">
        <v>670</v>
      </c>
      <c r="F733" s="753" t="str">
        <f>+VLOOKUP(G733,Resumen_Base!$C$8:$G$156,5,0)</f>
        <v>Services/House</v>
      </c>
      <c r="G733" s="754" t="s">
        <v>321</v>
      </c>
      <c r="H733" s="755" t="s">
        <v>455</v>
      </c>
      <c r="I733" s="751" t="str">
        <f t="shared" si="11"/>
        <v>SJ5226</v>
      </c>
      <c r="J733" s="826"/>
      <c r="K733" s="470">
        <v>211.97435897435898</v>
      </c>
      <c r="L733" s="470"/>
      <c r="M733" s="790">
        <v>46142</v>
      </c>
      <c r="N733" s="751"/>
      <c r="O733" s="788" t="s">
        <v>5763</v>
      </c>
      <c r="P733" s="790">
        <v>46159</v>
      </c>
      <c r="S733" t="s">
        <v>6921</v>
      </c>
      <c r="U733" t="s">
        <v>6915</v>
      </c>
    </row>
    <row r="734" spans="2:21" ht="39">
      <c r="B734" s="750" t="s">
        <v>7075</v>
      </c>
      <c r="C734" s="750"/>
      <c r="D734" s="751"/>
      <c r="E734" s="792" t="s">
        <v>670</v>
      </c>
      <c r="F734" s="753" t="str">
        <f>+VLOOKUP(G734,Resumen_Base!$C$8:$G$156,5,0)</f>
        <v>Services/House</v>
      </c>
      <c r="G734" s="754" t="s">
        <v>321</v>
      </c>
      <c r="H734" s="755" t="s">
        <v>455</v>
      </c>
      <c r="I734" s="751" t="str">
        <f t="shared" si="11"/>
        <v>SJ5226</v>
      </c>
      <c r="J734" s="826"/>
      <c r="K734" s="470">
        <v>150.43589743589743</v>
      </c>
      <c r="L734" s="470"/>
      <c r="M734" s="790">
        <v>46142</v>
      </c>
      <c r="N734" s="751"/>
      <c r="O734" s="788" t="s">
        <v>5763</v>
      </c>
      <c r="P734" s="790">
        <v>46159</v>
      </c>
      <c r="S734" t="s">
        <v>6922</v>
      </c>
      <c r="U734" t="s">
        <v>6915</v>
      </c>
    </row>
    <row r="735" spans="2:21" ht="39">
      <c r="B735" s="750" t="s">
        <v>7075</v>
      </c>
      <c r="C735" s="750"/>
      <c r="D735" s="751"/>
      <c r="E735" s="792" t="s">
        <v>670</v>
      </c>
      <c r="F735" s="753" t="str">
        <f>+VLOOKUP(G735,Resumen_Base!$C$8:$G$156,5,0)</f>
        <v>Guides</v>
      </c>
      <c r="G735" s="754" t="s">
        <v>323</v>
      </c>
      <c r="H735" s="755" t="s">
        <v>453</v>
      </c>
      <c r="I735" s="751" t="str">
        <f t="shared" si="11"/>
        <v>SJ5227</v>
      </c>
      <c r="J735" s="470"/>
      <c r="K735" s="825">
        <v>400</v>
      </c>
      <c r="L735" s="470"/>
      <c r="M735" s="790">
        <v>46142</v>
      </c>
      <c r="N735" s="751"/>
      <c r="O735" s="788" t="s">
        <v>5763</v>
      </c>
      <c r="P735" s="790">
        <v>46158</v>
      </c>
      <c r="S735" t="s">
        <v>6986</v>
      </c>
      <c r="U735" t="s">
        <v>6912</v>
      </c>
    </row>
    <row r="736" spans="2:21" ht="39">
      <c r="B736" s="750" t="s">
        <v>7075</v>
      </c>
      <c r="C736" s="750"/>
      <c r="D736" s="751"/>
      <c r="E736" s="792" t="s">
        <v>670</v>
      </c>
      <c r="F736" s="753" t="str">
        <f>+VLOOKUP(G736,Resumen_Base!$C$8:$G$156,5,0)</f>
        <v>Guides</v>
      </c>
      <c r="G736" s="754" t="s">
        <v>323</v>
      </c>
      <c r="H736" s="755" t="s">
        <v>453</v>
      </c>
      <c r="I736" s="751" t="str">
        <f t="shared" si="11"/>
        <v>SJ5227</v>
      </c>
      <c r="J736" s="826"/>
      <c r="K736" s="470">
        <v>230.76923076923077</v>
      </c>
      <c r="L736" s="470"/>
      <c r="M736" s="790">
        <v>46142</v>
      </c>
      <c r="N736" s="751"/>
      <c r="O736" s="788" t="s">
        <v>5763</v>
      </c>
      <c r="P736" s="790">
        <v>46159</v>
      </c>
      <c r="S736" t="s">
        <v>6923</v>
      </c>
      <c r="U736" t="s">
        <v>6915</v>
      </c>
    </row>
    <row r="737" spans="2:21" ht="39">
      <c r="B737" s="750" t="s">
        <v>7075</v>
      </c>
      <c r="C737" s="750"/>
      <c r="D737" s="751"/>
      <c r="E737" s="792" t="s">
        <v>670</v>
      </c>
      <c r="F737" s="753" t="str">
        <f>+VLOOKUP(G737,Resumen_Base!$C$8:$G$156,5,0)</f>
        <v>Guides</v>
      </c>
      <c r="G737" s="754" t="s">
        <v>323</v>
      </c>
      <c r="H737" s="755" t="s">
        <v>453</v>
      </c>
      <c r="I737" s="751" t="str">
        <f t="shared" si="11"/>
        <v>SJ5227</v>
      </c>
      <c r="J737" s="826"/>
      <c r="K737" s="470">
        <v>7.7476923076923088</v>
      </c>
      <c r="L737" s="470"/>
      <c r="M737" s="790">
        <v>46142</v>
      </c>
      <c r="N737" s="751"/>
      <c r="O737" s="788" t="s">
        <v>5763</v>
      </c>
      <c r="P737" s="790">
        <v>46159</v>
      </c>
      <c r="S737" t="s">
        <v>2797</v>
      </c>
      <c r="U737" t="s">
        <v>6915</v>
      </c>
    </row>
    <row r="738" spans="2:21" ht="39">
      <c r="B738" s="750" t="s">
        <v>7075</v>
      </c>
      <c r="C738" s="750"/>
      <c r="D738" s="751"/>
      <c r="E738" s="792" t="s">
        <v>670</v>
      </c>
      <c r="F738" s="753" t="str">
        <f>+VLOOKUP(G738,Resumen_Base!$C$8:$G$156,5,0)</f>
        <v>Guides</v>
      </c>
      <c r="G738" s="754" t="s">
        <v>323</v>
      </c>
      <c r="H738" s="755" t="s">
        <v>453</v>
      </c>
      <c r="I738" s="751" t="str">
        <f t="shared" si="11"/>
        <v>SJ5227</v>
      </c>
      <c r="J738" s="826"/>
      <c r="K738" s="470">
        <v>769.23076923076928</v>
      </c>
      <c r="L738" s="470"/>
      <c r="M738" s="790">
        <v>46142</v>
      </c>
      <c r="N738" s="751"/>
      <c r="O738" s="788" t="s">
        <v>5763</v>
      </c>
      <c r="P738" s="790">
        <v>46159</v>
      </c>
      <c r="S738" t="s">
        <v>6924</v>
      </c>
      <c r="U738" t="s">
        <v>6915</v>
      </c>
    </row>
    <row r="739" spans="2:21" ht="39">
      <c r="B739" s="750" t="s">
        <v>7075</v>
      </c>
      <c r="C739" s="750"/>
      <c r="D739" s="751"/>
      <c r="E739" s="792" t="s">
        <v>670</v>
      </c>
      <c r="F739" s="753" t="str">
        <f>+VLOOKUP(G739,Resumen_Base!$C$8:$G$156,5,0)</f>
        <v>Guides</v>
      </c>
      <c r="G739" s="754" t="s">
        <v>323</v>
      </c>
      <c r="H739" s="755" t="s">
        <v>453</v>
      </c>
      <c r="I739" s="751" t="str">
        <f t="shared" si="11"/>
        <v>SJ5227</v>
      </c>
      <c r="J739" s="826"/>
      <c r="K739" s="470">
        <v>384.61538461538464</v>
      </c>
      <c r="L739" s="470"/>
      <c r="M739" s="790">
        <v>46142</v>
      </c>
      <c r="N739" s="751"/>
      <c r="O739" s="788" t="s">
        <v>5763</v>
      </c>
      <c r="P739" s="790">
        <v>46159</v>
      </c>
      <c r="S739" t="s">
        <v>6925</v>
      </c>
      <c r="U739" t="s">
        <v>6915</v>
      </c>
    </row>
    <row r="740" spans="2:21" ht="39">
      <c r="B740" s="750" t="s">
        <v>7075</v>
      </c>
      <c r="C740" s="750"/>
      <c r="D740" s="751"/>
      <c r="E740" s="792" t="s">
        <v>670</v>
      </c>
      <c r="F740" s="753" t="str">
        <f>+VLOOKUP(G740,Resumen_Base!$C$8:$G$156,5,0)</f>
        <v>Guides</v>
      </c>
      <c r="G740" s="754" t="s">
        <v>323</v>
      </c>
      <c r="H740" s="755" t="s">
        <v>453</v>
      </c>
      <c r="I740" s="751" t="str">
        <f t="shared" si="11"/>
        <v>SJ5227</v>
      </c>
      <c r="J740" s="826"/>
      <c r="K740" s="470">
        <v>269.23076923076923</v>
      </c>
      <c r="L740" s="470"/>
      <c r="M740" s="790">
        <v>46142</v>
      </c>
      <c r="N740" s="751"/>
      <c r="O740" s="788" t="s">
        <v>5763</v>
      </c>
      <c r="P740" s="790">
        <v>46159</v>
      </c>
      <c r="S740" t="s">
        <v>6926</v>
      </c>
      <c r="U740" t="s">
        <v>6915</v>
      </c>
    </row>
    <row r="741" spans="2:21" ht="39">
      <c r="B741" s="750" t="s">
        <v>7075</v>
      </c>
      <c r="C741" s="750"/>
      <c r="D741" s="751"/>
      <c r="E741" s="792" t="s">
        <v>670</v>
      </c>
      <c r="F741" s="753" t="str">
        <f>+VLOOKUP(G741,Resumen_Base!$C$8:$G$156,5,0)</f>
        <v>Guides</v>
      </c>
      <c r="G741" s="754" t="s">
        <v>323</v>
      </c>
      <c r="H741" s="755" t="s">
        <v>453</v>
      </c>
      <c r="I741" s="751" t="str">
        <f t="shared" si="11"/>
        <v>SJ5227</v>
      </c>
      <c r="J741" s="826"/>
      <c r="K741" s="470">
        <v>1282.051282051282</v>
      </c>
      <c r="L741" s="470"/>
      <c r="M741" s="790">
        <v>46142</v>
      </c>
      <c r="N741" s="751"/>
      <c r="O741" s="788" t="s">
        <v>5763</v>
      </c>
      <c r="P741" s="790">
        <v>46159</v>
      </c>
      <c r="S741" t="s">
        <v>6927</v>
      </c>
      <c r="U741" t="s">
        <v>6915</v>
      </c>
    </row>
    <row r="742" spans="2:21" ht="39">
      <c r="B742" s="750" t="s">
        <v>7075</v>
      </c>
      <c r="C742" s="750"/>
      <c r="D742" s="751"/>
      <c r="E742" s="792" t="s">
        <v>670</v>
      </c>
      <c r="F742" s="753" t="str">
        <f>+VLOOKUP(G742,Resumen_Base!$C$8:$G$156,5,0)</f>
        <v>Guides</v>
      </c>
      <c r="G742" s="754" t="s">
        <v>323</v>
      </c>
      <c r="H742" s="755" t="s">
        <v>453</v>
      </c>
      <c r="I742" s="751" t="str">
        <f t="shared" si="11"/>
        <v>SJ5227</v>
      </c>
      <c r="J742" s="826"/>
      <c r="K742" s="470">
        <v>384.61538461538464</v>
      </c>
      <c r="L742" s="470"/>
      <c r="M742" s="790">
        <v>46142</v>
      </c>
      <c r="N742" s="751"/>
      <c r="O742" s="788" t="s">
        <v>5763</v>
      </c>
      <c r="P742" s="790">
        <v>46159</v>
      </c>
      <c r="S742" t="s">
        <v>6928</v>
      </c>
      <c r="U742" t="s">
        <v>6915</v>
      </c>
    </row>
    <row r="743" spans="2:21" ht="39">
      <c r="B743" s="750" t="s">
        <v>7075</v>
      </c>
      <c r="C743" s="750"/>
      <c r="D743" s="751"/>
      <c r="E743" s="792" t="s">
        <v>670</v>
      </c>
      <c r="F743" s="753" t="str">
        <f>+VLOOKUP(G743,Resumen_Base!$C$8:$G$156,5,0)</f>
        <v>Guides</v>
      </c>
      <c r="G743" s="754" t="s">
        <v>323</v>
      </c>
      <c r="H743" s="755" t="s">
        <v>453</v>
      </c>
      <c r="I743" s="751" t="str">
        <f t="shared" si="11"/>
        <v>SJ5227</v>
      </c>
      <c r="J743" s="826"/>
      <c r="K743" s="470">
        <v>1025.6410256410256</v>
      </c>
      <c r="L743" s="470"/>
      <c r="M743" s="790">
        <v>46142</v>
      </c>
      <c r="N743" s="751"/>
      <c r="O743" s="788" t="s">
        <v>5763</v>
      </c>
      <c r="P743" s="790">
        <v>46159</v>
      </c>
      <c r="S743" t="s">
        <v>6929</v>
      </c>
      <c r="U743" t="s">
        <v>6915</v>
      </c>
    </row>
    <row r="744" spans="2:21" ht="39">
      <c r="B744" s="750" t="s">
        <v>7075</v>
      </c>
      <c r="C744" s="750"/>
      <c r="D744" s="751"/>
      <c r="E744" s="792" t="s">
        <v>670</v>
      </c>
      <c r="F744" s="753" t="str">
        <f>+VLOOKUP(G744,Resumen_Base!$C$8:$G$156,5,0)</f>
        <v>Guides</v>
      </c>
      <c r="G744" s="754" t="s">
        <v>323</v>
      </c>
      <c r="H744" s="755" t="s">
        <v>453</v>
      </c>
      <c r="I744" s="751" t="str">
        <f t="shared" si="11"/>
        <v>SJ5227</v>
      </c>
      <c r="J744" s="826"/>
      <c r="K744" s="470">
        <v>470.07692307692309</v>
      </c>
      <c r="L744" s="470"/>
      <c r="M744" s="790">
        <v>46142</v>
      </c>
      <c r="N744" s="751"/>
      <c r="O744" s="788" t="s">
        <v>5763</v>
      </c>
      <c r="P744" s="790">
        <v>46159</v>
      </c>
      <c r="S744" t="s">
        <v>6930</v>
      </c>
      <c r="U744" t="s">
        <v>6915</v>
      </c>
    </row>
    <row r="745" spans="2:21" ht="39">
      <c r="B745" s="750" t="s">
        <v>7075</v>
      </c>
      <c r="C745" s="750"/>
      <c r="D745" s="751"/>
      <c r="E745" s="792" t="s">
        <v>670</v>
      </c>
      <c r="F745" s="753" t="str">
        <f>+VLOOKUP(G745,Resumen_Base!$C$8:$G$156,5,0)</f>
        <v>Guides</v>
      </c>
      <c r="G745" s="754" t="s">
        <v>323</v>
      </c>
      <c r="H745" s="755" t="s">
        <v>453</v>
      </c>
      <c r="I745" s="751" t="str">
        <f t="shared" si="11"/>
        <v>SJ5227</v>
      </c>
      <c r="J745" s="826"/>
      <c r="K745" s="470">
        <v>203.41025641025641</v>
      </c>
      <c r="L745" s="470"/>
      <c r="M745" s="790">
        <v>46142</v>
      </c>
      <c r="N745" s="751"/>
      <c r="O745" s="788" t="s">
        <v>5763</v>
      </c>
      <c r="P745" s="790">
        <v>46159</v>
      </c>
      <c r="S745" t="s">
        <v>6931</v>
      </c>
      <c r="U745" t="s">
        <v>6915</v>
      </c>
    </row>
    <row r="746" spans="2:21" ht="39">
      <c r="B746" s="750" t="s">
        <v>7075</v>
      </c>
      <c r="C746" s="750"/>
      <c r="D746" s="751"/>
      <c r="E746" s="792" t="s">
        <v>670</v>
      </c>
      <c r="F746" s="753" t="str">
        <f>+VLOOKUP(G746,Resumen_Base!$C$8:$G$156,5,0)</f>
        <v>Manager</v>
      </c>
      <c r="G746" s="754" t="s">
        <v>325</v>
      </c>
      <c r="H746" s="755" t="s">
        <v>452</v>
      </c>
      <c r="I746" s="751" t="str">
        <f t="shared" si="11"/>
        <v>SJ5228</v>
      </c>
      <c r="J746" s="470"/>
      <c r="K746" s="825">
        <v>1300</v>
      </c>
      <c r="L746" s="470"/>
      <c r="M746" s="790">
        <v>46142</v>
      </c>
      <c r="N746" s="751"/>
      <c r="O746" s="788" t="s">
        <v>5763</v>
      </c>
      <c r="P746" s="790">
        <v>46158</v>
      </c>
      <c r="S746" t="s">
        <v>6987</v>
      </c>
      <c r="U746" t="s">
        <v>6912</v>
      </c>
    </row>
    <row r="747" spans="2:21" ht="39">
      <c r="B747" s="750" t="s">
        <v>7075</v>
      </c>
      <c r="C747" s="750"/>
      <c r="D747" s="751"/>
      <c r="E747" s="792" t="s">
        <v>670</v>
      </c>
      <c r="F747" s="753" t="str">
        <f>+VLOOKUP(G747,Resumen_Base!$C$8:$G$156,5,0)</f>
        <v>Manager</v>
      </c>
      <c r="G747" s="754" t="s">
        <v>325</v>
      </c>
      <c r="H747" s="755" t="s">
        <v>452</v>
      </c>
      <c r="I747" s="751" t="str">
        <f t="shared" si="11"/>
        <v>SJ5228</v>
      </c>
      <c r="J747" s="470"/>
      <c r="K747" s="825">
        <v>280</v>
      </c>
      <c r="L747" s="470"/>
      <c r="M747" s="790">
        <v>46142</v>
      </c>
      <c r="N747" s="751"/>
      <c r="O747" s="788" t="s">
        <v>5763</v>
      </c>
      <c r="P747" s="790">
        <v>46158</v>
      </c>
      <c r="S747" t="s">
        <v>6988</v>
      </c>
      <c r="U747" t="s">
        <v>6912</v>
      </c>
    </row>
    <row r="748" spans="2:21" ht="39">
      <c r="B748" s="750" t="s">
        <v>7075</v>
      </c>
      <c r="C748" s="750"/>
      <c r="D748" s="751"/>
      <c r="E748" s="792" t="s">
        <v>670</v>
      </c>
      <c r="F748" s="753" t="str">
        <f>+VLOOKUP(G748,Resumen_Base!$C$8:$G$156,5,0)</f>
        <v>Manager</v>
      </c>
      <c r="G748" s="754" t="s">
        <v>325</v>
      </c>
      <c r="H748" s="755" t="s">
        <v>452</v>
      </c>
      <c r="I748" s="751" t="str">
        <f t="shared" si="11"/>
        <v>SJ5228</v>
      </c>
      <c r="J748" s="826"/>
      <c r="K748" s="470">
        <v>454.4871794871795</v>
      </c>
      <c r="L748" s="470"/>
      <c r="M748" s="790">
        <v>46142</v>
      </c>
      <c r="N748" s="751"/>
      <c r="O748" s="788" t="s">
        <v>5763</v>
      </c>
      <c r="P748" s="790">
        <v>46159</v>
      </c>
      <c r="S748" t="s">
        <v>6932</v>
      </c>
      <c r="U748" t="s">
        <v>6915</v>
      </c>
    </row>
    <row r="749" spans="2:21" ht="39">
      <c r="B749" s="750" t="s">
        <v>7075</v>
      </c>
      <c r="C749" s="750"/>
      <c r="D749" s="751"/>
      <c r="E749" s="792" t="s">
        <v>670</v>
      </c>
      <c r="F749" s="753" t="str">
        <f>+VLOOKUP(G749,Resumen_Base!$C$8:$G$156,5,0)</f>
        <v>Manager</v>
      </c>
      <c r="G749" s="754" t="s">
        <v>325</v>
      </c>
      <c r="H749" s="755" t="s">
        <v>452</v>
      </c>
      <c r="I749" s="751" t="str">
        <f t="shared" si="11"/>
        <v>SJ5228</v>
      </c>
      <c r="J749" s="826"/>
      <c r="K749" s="470">
        <v>2133.3333333333335</v>
      </c>
      <c r="L749" s="470"/>
      <c r="M749" s="790">
        <v>46142</v>
      </c>
      <c r="N749" s="751"/>
      <c r="O749" s="788" t="s">
        <v>5763</v>
      </c>
      <c r="P749" s="790">
        <v>46159</v>
      </c>
      <c r="S749" t="s">
        <v>6933</v>
      </c>
      <c r="U749" t="s">
        <v>6915</v>
      </c>
    </row>
    <row r="750" spans="2:21" ht="39">
      <c r="B750" s="750" t="s">
        <v>7075</v>
      </c>
      <c r="C750" s="750"/>
      <c r="D750" s="751"/>
      <c r="E750" s="792" t="s">
        <v>670</v>
      </c>
      <c r="F750" s="753" t="str">
        <f>+VLOOKUP(G750,Resumen_Base!$C$8:$G$156,5,0)</f>
        <v>Social Security Contributions</v>
      </c>
      <c r="G750" s="754" t="s">
        <v>331</v>
      </c>
      <c r="H750" s="755" t="s">
        <v>332</v>
      </c>
      <c r="I750" s="751" t="str">
        <f t="shared" si="11"/>
        <v>SJ5236</v>
      </c>
      <c r="J750" s="826"/>
      <c r="K750" s="470">
        <v>225.64102564102564</v>
      </c>
      <c r="L750" s="470"/>
      <c r="M750" s="790">
        <v>46142</v>
      </c>
      <c r="N750" s="751"/>
      <c r="O750" s="788" t="s">
        <v>5763</v>
      </c>
      <c r="P750" s="790">
        <v>46159</v>
      </c>
      <c r="S750" t="s">
        <v>6934</v>
      </c>
      <c r="U750" t="s">
        <v>6915</v>
      </c>
    </row>
    <row r="751" spans="2:21" ht="39">
      <c r="B751" s="750" t="s">
        <v>7075</v>
      </c>
      <c r="C751" s="750"/>
      <c r="D751" s="751"/>
      <c r="E751" s="792" t="s">
        <v>670</v>
      </c>
      <c r="F751" s="753" t="str">
        <f>+VLOOKUP(G751,Resumen_Base!$C$8:$G$156,5,0)</f>
        <v>Social Security Contributions</v>
      </c>
      <c r="G751" s="754" t="s">
        <v>333</v>
      </c>
      <c r="H751" s="755" t="s">
        <v>334</v>
      </c>
      <c r="I751" s="751" t="str">
        <f t="shared" si="11"/>
        <v>SJ5237</v>
      </c>
      <c r="J751" s="826"/>
      <c r="K751" s="470">
        <v>246.51282051282053</v>
      </c>
      <c r="L751" s="470"/>
      <c r="M751" s="790">
        <v>46142</v>
      </c>
      <c r="N751" s="751"/>
      <c r="O751" s="788" t="s">
        <v>5763</v>
      </c>
      <c r="P751" s="790">
        <v>46159</v>
      </c>
      <c r="S751" t="s">
        <v>6935</v>
      </c>
      <c r="U751" t="s">
        <v>6915</v>
      </c>
    </row>
    <row r="752" spans="2:21" ht="39">
      <c r="B752" s="750" t="s">
        <v>7075</v>
      </c>
      <c r="C752" s="750"/>
      <c r="D752" s="751"/>
      <c r="E752" s="792" t="s">
        <v>670</v>
      </c>
      <c r="F752" s="753" t="str">
        <f>+VLOOKUP(G752,Resumen_Base!$C$8:$G$156,5,0)</f>
        <v>Social Security Contributions</v>
      </c>
      <c r="G752" s="754" t="s">
        <v>333</v>
      </c>
      <c r="H752" s="755" t="s">
        <v>334</v>
      </c>
      <c r="I752" s="751" t="str">
        <f t="shared" si="11"/>
        <v>SJ5237</v>
      </c>
      <c r="J752" s="826"/>
      <c r="K752" s="470">
        <v>1.9346153846153846</v>
      </c>
      <c r="L752" s="470"/>
      <c r="M752" s="790">
        <v>46142</v>
      </c>
      <c r="N752" s="751"/>
      <c r="O752" s="788" t="s">
        <v>5763</v>
      </c>
      <c r="P752" s="790">
        <v>46159</v>
      </c>
      <c r="S752" t="s">
        <v>2797</v>
      </c>
      <c r="U752" t="s">
        <v>6915</v>
      </c>
    </row>
    <row r="753" spans="1:21" ht="39">
      <c r="A753" s="846" t="s">
        <v>7082</v>
      </c>
      <c r="B753" s="750" t="s">
        <v>7075</v>
      </c>
      <c r="C753" s="210" t="s">
        <v>7092</v>
      </c>
      <c r="D753" s="751"/>
      <c r="E753" s="792" t="s">
        <v>670</v>
      </c>
      <c r="F753" s="753" t="str">
        <f>+VLOOKUP(G753,Resumen_Base!$C$8:$G$156,5,0)</f>
        <v>Canon Lodge/Labor Permits:</v>
      </c>
      <c r="G753" s="4" t="s">
        <v>313</v>
      </c>
      <c r="H753" s="4" t="s">
        <v>314</v>
      </c>
      <c r="I753" s="751" t="str">
        <f t="shared" si="11"/>
        <v>SJ5208</v>
      </c>
      <c r="J753" s="826"/>
      <c r="K753" s="470">
        <v>411.56410256410254</v>
      </c>
      <c r="L753" s="470"/>
      <c r="M753" s="790">
        <v>46112</v>
      </c>
      <c r="N753" s="751"/>
      <c r="O753" s="788" t="s">
        <v>5763</v>
      </c>
      <c r="P753" s="790">
        <v>46159</v>
      </c>
      <c r="S753" t="s">
        <v>6916</v>
      </c>
      <c r="U753" t="s">
        <v>6915</v>
      </c>
    </row>
    <row r="754" spans="1:21" ht="39">
      <c r="B754" s="750" t="s">
        <v>7075</v>
      </c>
      <c r="C754" s="750"/>
      <c r="D754" s="751"/>
      <c r="E754" s="792" t="s">
        <v>670</v>
      </c>
      <c r="F754" s="753" t="str">
        <f>+VLOOKUP(G754,Resumen_Base!$C$8:$G$156,5,0)</f>
        <v>Electricity</v>
      </c>
      <c r="G754" s="754" t="s">
        <v>41</v>
      </c>
      <c r="H754" s="755" t="s">
        <v>459</v>
      </c>
      <c r="I754" s="751" t="str">
        <f t="shared" si="11"/>
        <v>SJ5247</v>
      </c>
      <c r="J754" s="826"/>
      <c r="K754" s="470">
        <v>416.58974358974359</v>
      </c>
      <c r="L754" s="470"/>
      <c r="M754" s="790">
        <v>46142</v>
      </c>
      <c r="N754" s="751"/>
      <c r="O754" s="788" t="s">
        <v>5763</v>
      </c>
      <c r="P754" s="790">
        <v>46159</v>
      </c>
      <c r="S754" t="s">
        <v>6936</v>
      </c>
      <c r="U754" t="s">
        <v>6915</v>
      </c>
    </row>
    <row r="755" spans="1:21" ht="39">
      <c r="B755" s="750" t="s">
        <v>7075</v>
      </c>
      <c r="C755" s="750"/>
      <c r="D755" s="751"/>
      <c r="E755" s="792" t="s">
        <v>670</v>
      </c>
      <c r="F755" s="753" t="str">
        <f>+VLOOKUP(G755,Resumen_Base!$C$8:$G$156,5,0)</f>
        <v>Electricity - Gas for Boats &amp; Vehicles</v>
      </c>
      <c r="G755" s="754" t="s">
        <v>64</v>
      </c>
      <c r="H755" s="755" t="s">
        <v>461</v>
      </c>
      <c r="I755" s="751" t="str">
        <f t="shared" si="11"/>
        <v>SJ5248</v>
      </c>
      <c r="J755" s="470"/>
      <c r="K755" s="825">
        <v>38.85</v>
      </c>
      <c r="L755" s="470"/>
      <c r="M755" s="790">
        <v>46142</v>
      </c>
      <c r="N755" s="751"/>
      <c r="O755" s="788" t="s">
        <v>5763</v>
      </c>
      <c r="P755" s="790">
        <v>46143</v>
      </c>
      <c r="S755" t="s">
        <v>7056</v>
      </c>
      <c r="U755" t="s">
        <v>6912</v>
      </c>
    </row>
    <row r="756" spans="1:21" ht="39">
      <c r="B756" s="750" t="s">
        <v>7075</v>
      </c>
      <c r="C756" s="750"/>
      <c r="D756" s="751"/>
      <c r="E756" s="792" t="s">
        <v>670</v>
      </c>
      <c r="F756" s="753" t="str">
        <f>+VLOOKUP(G756,Resumen_Base!$C$8:$G$156,5,0)</f>
        <v>Electricity - Gas for Boats &amp; Vehicles</v>
      </c>
      <c r="G756" s="754" t="s">
        <v>64</v>
      </c>
      <c r="H756" s="755" t="s">
        <v>461</v>
      </c>
      <c r="I756" s="751" t="str">
        <f t="shared" si="11"/>
        <v>SJ5248</v>
      </c>
      <c r="J756" s="826"/>
      <c r="K756" s="470">
        <v>5627.4871794871797</v>
      </c>
      <c r="L756" s="470"/>
      <c r="M756" s="790">
        <v>46142</v>
      </c>
      <c r="N756" s="751"/>
      <c r="O756" s="788" t="s">
        <v>5763</v>
      </c>
      <c r="P756" s="790">
        <v>46159</v>
      </c>
      <c r="S756" t="s">
        <v>6937</v>
      </c>
      <c r="U756" t="s">
        <v>6915</v>
      </c>
    </row>
    <row r="757" spans="1:21" ht="39">
      <c r="B757" s="750" t="s">
        <v>7075</v>
      </c>
      <c r="C757" s="750"/>
      <c r="D757" s="751"/>
      <c r="E757" s="792" t="s">
        <v>670</v>
      </c>
      <c r="F757" s="753" t="str">
        <f>+VLOOKUP(G757,Resumen_Base!$C$8:$G$156,5,0)</f>
        <v>Electricity - Gas for Boats &amp; Vehicles</v>
      </c>
      <c r="G757" s="754" t="s">
        <v>64</v>
      </c>
      <c r="H757" s="755" t="s">
        <v>461</v>
      </c>
      <c r="I757" s="751" t="str">
        <f t="shared" si="11"/>
        <v>SJ5248</v>
      </c>
      <c r="J757" s="826"/>
      <c r="K757" s="470">
        <v>1.9505128205128204</v>
      </c>
      <c r="L757" s="470"/>
      <c r="M757" s="790">
        <v>46142</v>
      </c>
      <c r="N757" s="751"/>
      <c r="O757" s="788" t="s">
        <v>5763</v>
      </c>
      <c r="P757" s="790">
        <v>46159</v>
      </c>
      <c r="S757" t="s">
        <v>2797</v>
      </c>
      <c r="U757" t="s">
        <v>6915</v>
      </c>
    </row>
    <row r="758" spans="1:21" ht="39">
      <c r="B758" s="750" t="s">
        <v>7075</v>
      </c>
      <c r="C758" s="750"/>
      <c r="D758" s="751"/>
      <c r="E758" s="792" t="s">
        <v>670</v>
      </c>
      <c r="F758" s="753" t="str">
        <f>+VLOOKUP(G758,Resumen_Base!$C$8:$G$156,5,0)</f>
        <v>Electricity - Gas for Boats &amp; Vehicles</v>
      </c>
      <c r="G758" s="754" t="s">
        <v>64</v>
      </c>
      <c r="H758" s="755" t="s">
        <v>461</v>
      </c>
      <c r="I758" s="751" t="str">
        <f t="shared" si="11"/>
        <v>SJ5248</v>
      </c>
      <c r="J758" s="826"/>
      <c r="K758" s="470">
        <v>102.56410256410257</v>
      </c>
      <c r="L758" s="470"/>
      <c r="M758" s="790">
        <v>46142</v>
      </c>
      <c r="N758" s="751"/>
      <c r="O758" s="788" t="s">
        <v>5763</v>
      </c>
      <c r="P758" s="790">
        <v>46159</v>
      </c>
      <c r="S758" t="s">
        <v>6938</v>
      </c>
      <c r="U758" t="s">
        <v>6915</v>
      </c>
    </row>
    <row r="759" spans="1:21" ht="39">
      <c r="B759" s="750" t="s">
        <v>7075</v>
      </c>
      <c r="C759" s="750"/>
      <c r="D759" s="751"/>
      <c r="E759" s="792" t="s">
        <v>670</v>
      </c>
      <c r="F759" s="753" t="str">
        <f>+VLOOKUP(G759,Resumen_Base!$C$8:$G$156,5,0)</f>
        <v>Electricity - Gas for Boats &amp; Vehicles</v>
      </c>
      <c r="G759" s="754" t="s">
        <v>64</v>
      </c>
      <c r="H759" s="755" t="s">
        <v>461</v>
      </c>
      <c r="I759" s="751" t="str">
        <f t="shared" si="11"/>
        <v>SJ5248</v>
      </c>
      <c r="J759" s="826"/>
      <c r="K759" s="470">
        <v>249.44102564102565</v>
      </c>
      <c r="L759" s="470"/>
      <c r="M759" s="790">
        <v>46142</v>
      </c>
      <c r="N759" s="751"/>
      <c r="O759" s="788" t="s">
        <v>5763</v>
      </c>
      <c r="P759" s="790">
        <v>46159</v>
      </c>
      <c r="S759" t="s">
        <v>6939</v>
      </c>
      <c r="U759" t="s">
        <v>6915</v>
      </c>
    </row>
    <row r="760" spans="1:21" ht="39">
      <c r="B760" s="750" t="s">
        <v>7075</v>
      </c>
      <c r="C760" s="750"/>
      <c r="D760" s="751"/>
      <c r="E760" s="792" t="s">
        <v>670</v>
      </c>
      <c r="F760" s="753" t="str">
        <f>+VLOOKUP(G760,Resumen_Base!$C$8:$G$156,5,0)</f>
        <v>Electricity - Gas for Boats &amp; Vehicles</v>
      </c>
      <c r="G760" s="754" t="s">
        <v>64</v>
      </c>
      <c r="H760" s="755" t="s">
        <v>461</v>
      </c>
      <c r="I760" s="751" t="str">
        <f t="shared" si="11"/>
        <v>SJ5248</v>
      </c>
      <c r="J760" s="826"/>
      <c r="K760" s="470">
        <v>38.46153846153846</v>
      </c>
      <c r="L760" s="470"/>
      <c r="M760" s="790">
        <v>46126</v>
      </c>
      <c r="N760" s="751"/>
      <c r="O760" s="788" t="s">
        <v>5763</v>
      </c>
      <c r="P760" s="790">
        <v>46147</v>
      </c>
      <c r="S760" t="s">
        <v>7021</v>
      </c>
      <c r="U760" t="s">
        <v>7019</v>
      </c>
    </row>
    <row r="761" spans="1:21" ht="39">
      <c r="B761" s="750" t="s">
        <v>7075</v>
      </c>
      <c r="C761" s="750"/>
      <c r="D761" s="751"/>
      <c r="E761" s="792" t="s">
        <v>670</v>
      </c>
      <c r="F761" s="753" t="str">
        <f>+VLOOKUP(G761,Resumen_Base!$C$8:$G$156,5,0)</f>
        <v>Electricity - Gas for Boats &amp; Vehicles</v>
      </c>
      <c r="G761" s="754" t="s">
        <v>64</v>
      </c>
      <c r="H761" s="755" t="s">
        <v>461</v>
      </c>
      <c r="I761" s="751" t="str">
        <f t="shared" si="11"/>
        <v>SJ5248</v>
      </c>
      <c r="J761" s="826"/>
      <c r="K761" s="470">
        <v>119.69230769230769</v>
      </c>
      <c r="L761" s="470"/>
      <c r="M761" s="790">
        <v>46142</v>
      </c>
      <c r="N761" s="751"/>
      <c r="O761" s="788" t="s">
        <v>5763</v>
      </c>
      <c r="P761" s="790">
        <v>46143</v>
      </c>
      <c r="S761" t="s">
        <v>7057</v>
      </c>
      <c r="U761" t="s">
        <v>6915</v>
      </c>
    </row>
    <row r="762" spans="1:21" ht="39">
      <c r="B762" s="750" t="s">
        <v>7075</v>
      </c>
      <c r="C762" s="750"/>
      <c r="D762" s="751"/>
      <c r="E762" s="792" t="s">
        <v>670</v>
      </c>
      <c r="F762" s="753" t="str">
        <f>+VLOOKUP(G762,Resumen_Base!$C$8:$G$156,5,0)</f>
        <v>Electricity - Gas for Boats &amp; Vehicles</v>
      </c>
      <c r="G762" s="754" t="s">
        <v>64</v>
      </c>
      <c r="H762" s="755" t="s">
        <v>461</v>
      </c>
      <c r="I762" s="751" t="str">
        <f t="shared" si="11"/>
        <v>SJ5248</v>
      </c>
      <c r="J762" s="826"/>
      <c r="K762" s="470">
        <v>604.64102564102564</v>
      </c>
      <c r="L762" s="470"/>
      <c r="M762" s="790">
        <v>46142</v>
      </c>
      <c r="N762" s="751"/>
      <c r="O762" s="788" t="s">
        <v>5763</v>
      </c>
      <c r="P762" s="790">
        <v>46143</v>
      </c>
      <c r="S762" t="s">
        <v>7058</v>
      </c>
      <c r="U762" t="s">
        <v>6915</v>
      </c>
    </row>
    <row r="763" spans="1:21" ht="39">
      <c r="B763" s="750" t="s">
        <v>7075</v>
      </c>
      <c r="C763" s="750"/>
      <c r="D763" s="751"/>
      <c r="E763" s="792" t="s">
        <v>670</v>
      </c>
      <c r="F763" s="753" t="str">
        <f>+VLOOKUP(G763,Resumen_Base!$C$8:$G$156,5,0)</f>
        <v>Food &amp; Wine</v>
      </c>
      <c r="G763" s="754" t="s">
        <v>37</v>
      </c>
      <c r="H763" s="755" t="s">
        <v>457</v>
      </c>
      <c r="I763" s="751" t="str">
        <f t="shared" si="11"/>
        <v>SJ5250</v>
      </c>
      <c r="J763" s="470"/>
      <c r="K763" s="825">
        <v>146</v>
      </c>
      <c r="L763" s="470"/>
      <c r="M763" s="790">
        <v>46142</v>
      </c>
      <c r="N763" s="751"/>
      <c r="O763" s="788" t="s">
        <v>5763</v>
      </c>
      <c r="P763" s="790">
        <v>46158</v>
      </c>
      <c r="S763" t="s">
        <v>6989</v>
      </c>
      <c r="U763" t="s">
        <v>6912</v>
      </c>
    </row>
    <row r="764" spans="1:21" ht="39">
      <c r="B764" s="750" t="s">
        <v>7075</v>
      </c>
      <c r="C764" s="750"/>
      <c r="D764" s="751"/>
      <c r="E764" s="792" t="s">
        <v>670</v>
      </c>
      <c r="F764" s="753" t="str">
        <f>+VLOOKUP(G764,Resumen_Base!$C$8:$G$156,5,0)</f>
        <v>Food &amp; Wine</v>
      </c>
      <c r="G764" s="754" t="s">
        <v>37</v>
      </c>
      <c r="H764" s="755" t="s">
        <v>457</v>
      </c>
      <c r="I764" s="751" t="str">
        <f t="shared" si="11"/>
        <v>SJ5250</v>
      </c>
      <c r="J764" s="470"/>
      <c r="K764" s="825">
        <v>1.9</v>
      </c>
      <c r="L764" s="470"/>
      <c r="M764" s="790">
        <v>46142</v>
      </c>
      <c r="N764" s="751"/>
      <c r="O764" s="788" t="s">
        <v>5763</v>
      </c>
      <c r="P764" s="790">
        <v>46158</v>
      </c>
      <c r="S764" t="s">
        <v>2797</v>
      </c>
      <c r="U764" t="s">
        <v>6912</v>
      </c>
    </row>
    <row r="765" spans="1:21" ht="39">
      <c r="B765" s="750" t="s">
        <v>7075</v>
      </c>
      <c r="C765" s="750"/>
      <c r="D765" s="751"/>
      <c r="E765" s="792" t="s">
        <v>670</v>
      </c>
      <c r="F765" s="753" t="str">
        <f>+VLOOKUP(G765,Resumen_Base!$C$8:$G$156,5,0)</f>
        <v>Food &amp; Wine</v>
      </c>
      <c r="G765" s="754" t="s">
        <v>37</v>
      </c>
      <c r="H765" s="755" t="s">
        <v>457</v>
      </c>
      <c r="I765" s="751" t="str">
        <f t="shared" si="11"/>
        <v>SJ5250</v>
      </c>
      <c r="J765" s="826"/>
      <c r="K765" s="470">
        <v>1712.3076923076924</v>
      </c>
      <c r="L765" s="470"/>
      <c r="M765" s="790">
        <v>46142</v>
      </c>
      <c r="N765" s="751"/>
      <c r="O765" s="788" t="s">
        <v>5763</v>
      </c>
      <c r="P765" s="790">
        <v>46159</v>
      </c>
      <c r="S765" t="s">
        <v>6940</v>
      </c>
      <c r="U765" t="s">
        <v>6915</v>
      </c>
    </row>
    <row r="766" spans="1:21" ht="39">
      <c r="B766" s="750" t="s">
        <v>7075</v>
      </c>
      <c r="C766" s="750"/>
      <c r="D766" s="751"/>
      <c r="E766" s="792" t="s">
        <v>670</v>
      </c>
      <c r="F766" s="753" t="str">
        <f>+VLOOKUP(G766,Resumen_Base!$C$8:$G$156,5,0)</f>
        <v>Food &amp; Wine</v>
      </c>
      <c r="G766" s="754" t="s">
        <v>37</v>
      </c>
      <c r="H766" s="755" t="s">
        <v>457</v>
      </c>
      <c r="I766" s="751" t="str">
        <f t="shared" si="11"/>
        <v>SJ5250</v>
      </c>
      <c r="J766" s="826"/>
      <c r="K766" s="470">
        <v>551.51282051282055</v>
      </c>
      <c r="L766" s="470"/>
      <c r="M766" s="790">
        <v>46142</v>
      </c>
      <c r="N766" s="751"/>
      <c r="O766" s="788" t="s">
        <v>5763</v>
      </c>
      <c r="P766" s="790">
        <v>46159</v>
      </c>
      <c r="S766" t="s">
        <v>6941</v>
      </c>
      <c r="U766" t="s">
        <v>6915</v>
      </c>
    </row>
    <row r="767" spans="1:21" ht="39">
      <c r="B767" s="750" t="s">
        <v>7075</v>
      </c>
      <c r="C767" s="750"/>
      <c r="D767" s="751"/>
      <c r="E767" s="792" t="s">
        <v>670</v>
      </c>
      <c r="F767" s="753" t="str">
        <f>+VLOOKUP(G767,Resumen_Base!$C$8:$G$156,5,0)</f>
        <v>Food &amp; Wine</v>
      </c>
      <c r="G767" s="754" t="s">
        <v>37</v>
      </c>
      <c r="H767" s="755" t="s">
        <v>457</v>
      </c>
      <c r="I767" s="751" t="str">
        <f t="shared" si="11"/>
        <v>SJ5250</v>
      </c>
      <c r="J767" s="826"/>
      <c r="K767" s="470">
        <v>4.3076923076923075</v>
      </c>
      <c r="L767" s="470"/>
      <c r="M767" s="790">
        <v>46142</v>
      </c>
      <c r="N767" s="751"/>
      <c r="O767" s="788" t="s">
        <v>5763</v>
      </c>
      <c r="P767" s="790">
        <v>46159</v>
      </c>
      <c r="S767" t="s">
        <v>6942</v>
      </c>
      <c r="U767" t="s">
        <v>6915</v>
      </c>
    </row>
    <row r="768" spans="1:21" ht="39">
      <c r="B768" s="750" t="s">
        <v>7075</v>
      </c>
      <c r="C768" s="750"/>
      <c r="D768" s="751"/>
      <c r="E768" s="792" t="s">
        <v>670</v>
      </c>
      <c r="F768" s="753" t="str">
        <f>+VLOOKUP(G768,Resumen_Base!$C$8:$G$156,5,0)</f>
        <v>Food &amp; Wine</v>
      </c>
      <c r="G768" s="754" t="s">
        <v>37</v>
      </c>
      <c r="H768" s="755" t="s">
        <v>457</v>
      </c>
      <c r="I768" s="751" t="str">
        <f t="shared" si="11"/>
        <v>SJ5250</v>
      </c>
      <c r="J768" s="826"/>
      <c r="K768" s="470">
        <v>74.128205128205124</v>
      </c>
      <c r="L768" s="470"/>
      <c r="M768" s="790">
        <v>46142</v>
      </c>
      <c r="N768" s="751"/>
      <c r="O768" s="788" t="s">
        <v>5763</v>
      </c>
      <c r="P768" s="790">
        <v>46159</v>
      </c>
      <c r="S768" t="s">
        <v>6943</v>
      </c>
      <c r="U768" t="s">
        <v>6915</v>
      </c>
    </row>
    <row r="769" spans="2:21" ht="39">
      <c r="B769" s="750" t="s">
        <v>7075</v>
      </c>
      <c r="C769" s="750"/>
      <c r="D769" s="751"/>
      <c r="E769" s="792" t="s">
        <v>670</v>
      </c>
      <c r="F769" s="753" t="str">
        <f>+VLOOKUP(G769,Resumen_Base!$C$8:$G$156,5,0)</f>
        <v>Food &amp; Wine</v>
      </c>
      <c r="G769" s="754" t="s">
        <v>37</v>
      </c>
      <c r="H769" s="755" t="s">
        <v>457</v>
      </c>
      <c r="I769" s="751" t="str">
        <f t="shared" si="11"/>
        <v>SJ5250</v>
      </c>
      <c r="J769" s="826"/>
      <c r="K769" s="470">
        <v>295.4871794871795</v>
      </c>
      <c r="L769" s="470"/>
      <c r="M769" s="790">
        <v>46142</v>
      </c>
      <c r="N769" s="751"/>
      <c r="O769" s="788" t="s">
        <v>5763</v>
      </c>
      <c r="P769" s="790">
        <v>46159</v>
      </c>
      <c r="S769" t="s">
        <v>6944</v>
      </c>
      <c r="U769" t="s">
        <v>6915</v>
      </c>
    </row>
    <row r="770" spans="2:21" ht="39">
      <c r="B770" s="750" t="s">
        <v>7075</v>
      </c>
      <c r="C770" s="750"/>
      <c r="D770" s="751"/>
      <c r="E770" s="792" t="s">
        <v>670</v>
      </c>
      <c r="F770" s="753" t="str">
        <f>+VLOOKUP(G770,Resumen_Base!$C$8:$G$156,5,0)</f>
        <v>Food &amp; Wine</v>
      </c>
      <c r="G770" s="754" t="s">
        <v>37</v>
      </c>
      <c r="H770" s="755" t="s">
        <v>457</v>
      </c>
      <c r="I770" s="751" t="str">
        <f t="shared" si="11"/>
        <v>SJ5250</v>
      </c>
      <c r="J770" s="826"/>
      <c r="K770" s="470">
        <v>171.76923076923077</v>
      </c>
      <c r="L770" s="470"/>
      <c r="M770" s="790">
        <v>46142</v>
      </c>
      <c r="N770" s="751"/>
      <c r="O770" s="788" t="s">
        <v>5763</v>
      </c>
      <c r="P770" s="790">
        <v>46159</v>
      </c>
      <c r="S770" t="s">
        <v>6945</v>
      </c>
      <c r="U770" t="s">
        <v>6915</v>
      </c>
    </row>
    <row r="771" spans="2:21" ht="39">
      <c r="B771" s="750" t="s">
        <v>7075</v>
      </c>
      <c r="C771" s="750"/>
      <c r="D771" s="751"/>
      <c r="E771" s="792" t="s">
        <v>670</v>
      </c>
      <c r="F771" s="753" t="str">
        <f>+VLOOKUP(G771,Resumen_Base!$C$8:$G$156,5,0)</f>
        <v>Food &amp; Wine</v>
      </c>
      <c r="G771" s="754" t="s">
        <v>37</v>
      </c>
      <c r="H771" s="755" t="s">
        <v>457</v>
      </c>
      <c r="I771" s="751" t="str">
        <f t="shared" si="11"/>
        <v>SJ5250</v>
      </c>
      <c r="J771" s="826"/>
      <c r="K771" s="470">
        <v>56.676923076923082</v>
      </c>
      <c r="L771" s="470"/>
      <c r="M771" s="790">
        <v>46142</v>
      </c>
      <c r="N771" s="751"/>
      <c r="O771" s="788" t="s">
        <v>5763</v>
      </c>
      <c r="P771" s="790">
        <v>46159</v>
      </c>
      <c r="S771" t="s">
        <v>6946</v>
      </c>
      <c r="U771" t="s">
        <v>6915</v>
      </c>
    </row>
    <row r="772" spans="2:21" ht="39">
      <c r="B772" s="750" t="s">
        <v>7075</v>
      </c>
      <c r="C772" s="750"/>
      <c r="D772" s="751"/>
      <c r="E772" s="792" t="s">
        <v>670</v>
      </c>
      <c r="F772" s="753" t="str">
        <f>+VLOOKUP(G772,Resumen_Base!$C$8:$G$156,5,0)</f>
        <v>Food &amp; Wine</v>
      </c>
      <c r="G772" s="754" t="s">
        <v>37</v>
      </c>
      <c r="H772" s="755" t="s">
        <v>457</v>
      </c>
      <c r="I772" s="751" t="str">
        <f t="shared" si="11"/>
        <v>SJ5250</v>
      </c>
      <c r="J772" s="826"/>
      <c r="K772" s="470">
        <v>5.8056410256410249</v>
      </c>
      <c r="L772" s="470"/>
      <c r="M772" s="790">
        <v>46142</v>
      </c>
      <c r="N772" s="751"/>
      <c r="O772" s="788" t="s">
        <v>5763</v>
      </c>
      <c r="P772" s="790">
        <v>46159</v>
      </c>
      <c r="S772" t="s">
        <v>2797</v>
      </c>
      <c r="U772" t="s">
        <v>6915</v>
      </c>
    </row>
    <row r="773" spans="2:21" ht="39">
      <c r="B773" s="750" t="s">
        <v>7075</v>
      </c>
      <c r="C773" s="750"/>
      <c r="D773" s="751"/>
      <c r="E773" s="792" t="s">
        <v>670</v>
      </c>
      <c r="F773" s="753" t="str">
        <f>+VLOOKUP(G773,Resumen_Base!$C$8:$G$156,5,0)</f>
        <v>Food &amp; Wine</v>
      </c>
      <c r="G773" s="754" t="s">
        <v>37</v>
      </c>
      <c r="H773" s="755" t="s">
        <v>457</v>
      </c>
      <c r="I773" s="751" t="str">
        <f t="shared" si="11"/>
        <v>SJ5250</v>
      </c>
      <c r="J773" s="826"/>
      <c r="K773" s="470">
        <v>89.743589743589737</v>
      </c>
      <c r="L773" s="470"/>
      <c r="M773" s="790">
        <v>46142</v>
      </c>
      <c r="N773" s="751"/>
      <c r="O773" s="788" t="s">
        <v>5763</v>
      </c>
      <c r="P773" s="790">
        <v>46159</v>
      </c>
      <c r="S773" t="s">
        <v>6947</v>
      </c>
      <c r="U773" t="s">
        <v>6915</v>
      </c>
    </row>
    <row r="774" spans="2:21" ht="39">
      <c r="B774" s="750" t="s">
        <v>7075</v>
      </c>
      <c r="C774" s="750"/>
      <c r="D774" s="751"/>
      <c r="E774" s="792" t="s">
        <v>670</v>
      </c>
      <c r="F774" s="753" t="str">
        <f>+VLOOKUP(G774,Resumen_Base!$C$8:$G$156,5,0)</f>
        <v>Food &amp; Wine</v>
      </c>
      <c r="G774" s="754" t="s">
        <v>37</v>
      </c>
      <c r="H774" s="755" t="s">
        <v>457</v>
      </c>
      <c r="I774" s="751" t="str">
        <f t="shared" si="11"/>
        <v>SJ5250</v>
      </c>
      <c r="J774" s="826"/>
      <c r="K774" s="470">
        <v>124.61538461538461</v>
      </c>
      <c r="L774" s="470"/>
      <c r="M774" s="790">
        <v>46142</v>
      </c>
      <c r="N774" s="751"/>
      <c r="O774" s="788" t="s">
        <v>5763</v>
      </c>
      <c r="P774" s="790">
        <v>46159</v>
      </c>
      <c r="S774" t="s">
        <v>6948</v>
      </c>
      <c r="U774" t="s">
        <v>6915</v>
      </c>
    </row>
    <row r="775" spans="2:21" ht="39">
      <c r="B775" s="750" t="s">
        <v>7075</v>
      </c>
      <c r="C775" s="750"/>
      <c r="D775" s="751"/>
      <c r="E775" s="792" t="s">
        <v>670</v>
      </c>
      <c r="F775" s="753" t="str">
        <f>+VLOOKUP(G775,Resumen_Base!$C$8:$G$156,5,0)</f>
        <v>Food &amp; Wine</v>
      </c>
      <c r="G775" s="754" t="s">
        <v>37</v>
      </c>
      <c r="H775" s="755" t="s">
        <v>457</v>
      </c>
      <c r="I775" s="751" t="str">
        <f t="shared" si="11"/>
        <v>SJ5250</v>
      </c>
      <c r="J775" s="826"/>
      <c r="K775" s="470">
        <v>11.666666666666666</v>
      </c>
      <c r="L775" s="470"/>
      <c r="M775" s="790">
        <v>46142</v>
      </c>
      <c r="N775" s="751"/>
      <c r="O775" s="788" t="s">
        <v>5763</v>
      </c>
      <c r="P775" s="790">
        <v>46159</v>
      </c>
      <c r="S775" t="s">
        <v>6949</v>
      </c>
      <c r="U775" t="s">
        <v>6915</v>
      </c>
    </row>
    <row r="776" spans="2:21" ht="39">
      <c r="B776" s="750" t="s">
        <v>7075</v>
      </c>
      <c r="C776" s="750"/>
      <c r="D776" s="751"/>
      <c r="E776" s="792" t="s">
        <v>670</v>
      </c>
      <c r="F776" s="753" t="str">
        <f>+VLOOKUP(G776,Resumen_Base!$C$8:$G$156,5,0)</f>
        <v>Food &amp; Wine</v>
      </c>
      <c r="G776" s="754" t="s">
        <v>37</v>
      </c>
      <c r="H776" s="755" t="s">
        <v>457</v>
      </c>
      <c r="I776" s="751" t="str">
        <f t="shared" si="11"/>
        <v>SJ5250</v>
      </c>
      <c r="J776" s="826"/>
      <c r="K776" s="470">
        <v>18.871794871794872</v>
      </c>
      <c r="L776" s="470"/>
      <c r="M776" s="790">
        <v>46126</v>
      </c>
      <c r="N776" s="751"/>
      <c r="O776" s="788" t="s">
        <v>5763</v>
      </c>
      <c r="P776" s="790">
        <v>46147</v>
      </c>
      <c r="S776" t="s">
        <v>7022</v>
      </c>
      <c r="U776" t="s">
        <v>7019</v>
      </c>
    </row>
    <row r="777" spans="2:21" ht="39">
      <c r="B777" s="750" t="s">
        <v>7075</v>
      </c>
      <c r="C777" s="750"/>
      <c r="D777" s="751"/>
      <c r="E777" s="792" t="s">
        <v>670</v>
      </c>
      <c r="F777" s="753" t="str">
        <f>+VLOOKUP(G777,Resumen_Base!$C$8:$G$156,5,0)</f>
        <v>Food &amp; Wine</v>
      </c>
      <c r="G777" s="754" t="s">
        <v>37</v>
      </c>
      <c r="H777" s="755" t="s">
        <v>457</v>
      </c>
      <c r="I777" s="751" t="str">
        <f t="shared" si="11"/>
        <v>SJ5250</v>
      </c>
      <c r="J777" s="826"/>
      <c r="K777" s="470">
        <v>1.1538461538461537</v>
      </c>
      <c r="L777" s="470"/>
      <c r="M777" s="790">
        <v>46141</v>
      </c>
      <c r="N777" s="751"/>
      <c r="O777" s="788" t="s">
        <v>5763</v>
      </c>
      <c r="P777" s="790">
        <v>46143</v>
      </c>
      <c r="S777" t="s">
        <v>2797</v>
      </c>
      <c r="U777" t="s">
        <v>6915</v>
      </c>
    </row>
    <row r="778" spans="2:21" ht="39">
      <c r="B778" s="750" t="s">
        <v>7075</v>
      </c>
      <c r="C778" s="750"/>
      <c r="D778" s="751"/>
      <c r="E778" s="792" t="s">
        <v>670</v>
      </c>
      <c r="F778" s="753" t="str">
        <f>+VLOOKUP(G778,Resumen_Base!$C$8:$G$156,5,0)</f>
        <v>Food &amp; Wine</v>
      </c>
      <c r="G778" s="754" t="s">
        <v>37</v>
      </c>
      <c r="H778" s="755" t="s">
        <v>457</v>
      </c>
      <c r="I778" s="751" t="str">
        <f t="shared" si="11"/>
        <v>SJ5250</v>
      </c>
      <c r="J778" s="826"/>
      <c r="K778" s="470">
        <v>17.53846153846154</v>
      </c>
      <c r="L778" s="470"/>
      <c r="M778" s="790">
        <v>46141</v>
      </c>
      <c r="N778" s="751"/>
      <c r="O778" s="788" t="s">
        <v>5763</v>
      </c>
      <c r="P778" s="790">
        <v>46143</v>
      </c>
      <c r="S778" t="s">
        <v>7046</v>
      </c>
      <c r="U778" t="s">
        <v>6915</v>
      </c>
    </row>
    <row r="779" spans="2:21" ht="39">
      <c r="B779" s="750" t="s">
        <v>7075</v>
      </c>
      <c r="C779" s="750"/>
      <c r="D779" s="751"/>
      <c r="E779" s="792" t="s">
        <v>670</v>
      </c>
      <c r="F779" s="753" t="str">
        <f>+VLOOKUP(G779,Resumen_Base!$C$8:$G$156,5,0)</f>
        <v>Food &amp; Wine</v>
      </c>
      <c r="G779" s="754" t="s">
        <v>37</v>
      </c>
      <c r="H779" s="755" t="s">
        <v>457</v>
      </c>
      <c r="I779" s="751" t="str">
        <f t="shared" si="11"/>
        <v>SJ5250</v>
      </c>
      <c r="J779" s="826"/>
      <c r="K779" s="470">
        <v>198</v>
      </c>
      <c r="L779" s="470"/>
      <c r="M779" s="790">
        <v>46141</v>
      </c>
      <c r="N779" s="751"/>
      <c r="O779" s="788" t="s">
        <v>5763</v>
      </c>
      <c r="P779" s="790">
        <v>46143</v>
      </c>
      <c r="S779" t="s">
        <v>7047</v>
      </c>
      <c r="U779" t="s">
        <v>6915</v>
      </c>
    </row>
    <row r="780" spans="2:21" ht="39">
      <c r="B780" s="750" t="s">
        <v>7075</v>
      </c>
      <c r="C780" s="750"/>
      <c r="D780" s="751"/>
      <c r="E780" s="792" t="s">
        <v>670</v>
      </c>
      <c r="F780" s="753" t="str">
        <f>+VLOOKUP(G780,Resumen_Base!$C$8:$G$156,5,0)</f>
        <v>Food &amp; Wine</v>
      </c>
      <c r="G780" s="754" t="s">
        <v>37</v>
      </c>
      <c r="H780" s="755" t="s">
        <v>457</v>
      </c>
      <c r="I780" s="751" t="str">
        <f t="shared" ref="I780:I842" si="12">+E780&amp;G780</f>
        <v>SJ5250</v>
      </c>
      <c r="J780" s="826"/>
      <c r="K780" s="470">
        <v>412.71794871794873</v>
      </c>
      <c r="L780" s="470"/>
      <c r="M780" s="790">
        <v>46142</v>
      </c>
      <c r="N780" s="751"/>
      <c r="O780" s="788" t="s">
        <v>5763</v>
      </c>
      <c r="P780" s="790">
        <v>46143</v>
      </c>
      <c r="S780" t="s">
        <v>7059</v>
      </c>
      <c r="U780" t="s">
        <v>6915</v>
      </c>
    </row>
    <row r="781" spans="2:21" ht="39">
      <c r="B781" s="750" t="s">
        <v>7075</v>
      </c>
      <c r="C781" s="750"/>
      <c r="D781" s="751"/>
      <c r="E781" s="792" t="s">
        <v>670</v>
      </c>
      <c r="F781" s="753" t="str">
        <f>+VLOOKUP(G781,Resumen_Base!$C$8:$G$156,5,0)</f>
        <v>Food &amp; Wine</v>
      </c>
      <c r="G781" s="754" t="s">
        <v>37</v>
      </c>
      <c r="H781" s="755" t="s">
        <v>457</v>
      </c>
      <c r="I781" s="751" t="str">
        <f t="shared" si="12"/>
        <v>SJ5250</v>
      </c>
      <c r="J781" s="826"/>
      <c r="K781" s="470">
        <v>915.38461538461536</v>
      </c>
      <c r="L781" s="470"/>
      <c r="M781" s="790">
        <v>46142</v>
      </c>
      <c r="N781" s="751"/>
      <c r="O781" s="788" t="s">
        <v>5763</v>
      </c>
      <c r="P781" s="790">
        <v>46143</v>
      </c>
      <c r="S781" t="s">
        <v>7060</v>
      </c>
      <c r="U781" t="s">
        <v>6915</v>
      </c>
    </row>
    <row r="782" spans="2:21" ht="39">
      <c r="B782" s="750" t="s">
        <v>7075</v>
      </c>
      <c r="C782" s="750"/>
      <c r="D782" s="751"/>
      <c r="E782" s="792" t="s">
        <v>670</v>
      </c>
      <c r="F782" s="753" t="str">
        <f>+VLOOKUP(G782,Resumen_Base!$C$8:$G$156,5,0)</f>
        <v>Food &amp; Wine</v>
      </c>
      <c r="G782" s="754" t="s">
        <v>37</v>
      </c>
      <c r="H782" s="755" t="s">
        <v>457</v>
      </c>
      <c r="I782" s="751" t="str">
        <f t="shared" si="12"/>
        <v>SJ5250</v>
      </c>
      <c r="J782" s="826"/>
      <c r="K782" s="470">
        <v>1.9625641025641027</v>
      </c>
      <c r="L782" s="470"/>
      <c r="M782" s="790">
        <v>46142</v>
      </c>
      <c r="N782" s="751"/>
      <c r="O782" s="788" t="s">
        <v>5763</v>
      </c>
      <c r="P782" s="790">
        <v>46143</v>
      </c>
      <c r="S782" t="s">
        <v>2797</v>
      </c>
      <c r="U782" t="s">
        <v>6915</v>
      </c>
    </row>
    <row r="783" spans="2:21" ht="39">
      <c r="B783" s="750" t="s">
        <v>7075</v>
      </c>
      <c r="C783" s="750"/>
      <c r="D783" s="751"/>
      <c r="E783" s="792" t="s">
        <v>670</v>
      </c>
      <c r="F783" s="753" t="str">
        <f>+VLOOKUP(G783,Resumen_Base!$C$8:$G$156,5,0)</f>
        <v>Food &amp; Wine</v>
      </c>
      <c r="G783" s="754" t="s">
        <v>37</v>
      </c>
      <c r="H783" s="755" t="s">
        <v>457</v>
      </c>
      <c r="I783" s="751" t="str">
        <f t="shared" si="12"/>
        <v>SJ5250</v>
      </c>
      <c r="J783" s="826"/>
      <c r="K783" s="470">
        <v>570.35897435897436</v>
      </c>
      <c r="L783" s="470"/>
      <c r="M783" s="790">
        <v>46142</v>
      </c>
      <c r="N783" s="751"/>
      <c r="O783" s="788" t="s">
        <v>5763</v>
      </c>
      <c r="P783" s="790">
        <v>46143</v>
      </c>
      <c r="S783" t="s">
        <v>7061</v>
      </c>
      <c r="U783" t="s">
        <v>6915</v>
      </c>
    </row>
    <row r="784" spans="2:21" ht="39">
      <c r="B784" s="750" t="s">
        <v>7075</v>
      </c>
      <c r="C784" s="750"/>
      <c r="D784" s="751"/>
      <c r="E784" s="792" t="s">
        <v>670</v>
      </c>
      <c r="F784" s="753" t="str">
        <f>+VLOOKUP(G784,Resumen_Base!$C$8:$G$156,5,0)</f>
        <v>Food &amp; Wine</v>
      </c>
      <c r="G784" s="754" t="s">
        <v>35</v>
      </c>
      <c r="H784" s="755" t="s">
        <v>458</v>
      </c>
      <c r="I784" s="751" t="str">
        <f t="shared" si="12"/>
        <v>SJ5251</v>
      </c>
      <c r="J784" s="826"/>
      <c r="K784" s="470">
        <v>1.9420512820512819</v>
      </c>
      <c r="L784" s="470"/>
      <c r="M784" s="790">
        <v>46142</v>
      </c>
      <c r="N784" s="751"/>
      <c r="O784" s="788" t="s">
        <v>5763</v>
      </c>
      <c r="P784" s="790">
        <v>46159</v>
      </c>
      <c r="S784" t="s">
        <v>6950</v>
      </c>
      <c r="U784" t="s">
        <v>6915</v>
      </c>
    </row>
    <row r="785" spans="2:21" ht="39">
      <c r="B785" s="750" t="s">
        <v>7075</v>
      </c>
      <c r="C785" s="750"/>
      <c r="D785" s="751"/>
      <c r="E785" s="792" t="s">
        <v>670</v>
      </c>
      <c r="F785" s="753" t="str">
        <f>+VLOOKUP(G785,Resumen_Base!$C$8:$G$156,5,0)</f>
        <v>Food &amp; Wine</v>
      </c>
      <c r="G785" s="754" t="s">
        <v>35</v>
      </c>
      <c r="H785" s="755" t="s">
        <v>458</v>
      </c>
      <c r="I785" s="751" t="str">
        <f t="shared" si="12"/>
        <v>SJ5251</v>
      </c>
      <c r="J785" s="826"/>
      <c r="K785" s="470">
        <v>616.48717948717945</v>
      </c>
      <c r="L785" s="470"/>
      <c r="M785" s="790">
        <v>46142</v>
      </c>
      <c r="N785" s="751"/>
      <c r="O785" s="788" t="s">
        <v>5763</v>
      </c>
      <c r="P785" s="790">
        <v>46159</v>
      </c>
      <c r="S785" t="s">
        <v>6951</v>
      </c>
      <c r="U785" t="s">
        <v>6915</v>
      </c>
    </row>
    <row r="786" spans="2:21" ht="39">
      <c r="B786" s="750" t="s">
        <v>7075</v>
      </c>
      <c r="C786" s="750"/>
      <c r="D786" s="751"/>
      <c r="E786" s="792" t="s">
        <v>670</v>
      </c>
      <c r="F786" s="753" t="str">
        <f>+VLOOKUP(G786,Resumen_Base!$C$8:$G$156,5,0)</f>
        <v>Maintenance Lodge</v>
      </c>
      <c r="G786" s="754" t="s">
        <v>33</v>
      </c>
      <c r="H786" s="755" t="s">
        <v>468</v>
      </c>
      <c r="I786" s="751" t="str">
        <f t="shared" si="12"/>
        <v>SJ5252</v>
      </c>
      <c r="J786" s="470"/>
      <c r="K786" s="825">
        <v>300</v>
      </c>
      <c r="L786" s="470"/>
      <c r="M786" s="790">
        <v>46142</v>
      </c>
      <c r="N786" s="751"/>
      <c r="O786" s="788" t="s">
        <v>5763</v>
      </c>
      <c r="P786" s="790">
        <v>46158</v>
      </c>
      <c r="S786" t="s">
        <v>6990</v>
      </c>
      <c r="U786" t="s">
        <v>6912</v>
      </c>
    </row>
    <row r="787" spans="2:21" ht="39">
      <c r="B787" s="750" t="s">
        <v>7075</v>
      </c>
      <c r="C787" s="750"/>
      <c r="D787" s="751"/>
      <c r="E787" s="792" t="s">
        <v>670</v>
      </c>
      <c r="F787" s="753" t="str">
        <f>+VLOOKUP(G787,Resumen_Base!$C$8:$G$156,5,0)</f>
        <v>Maintenance Lodge</v>
      </c>
      <c r="G787" s="754" t="s">
        <v>33</v>
      </c>
      <c r="H787" s="755" t="s">
        <v>468</v>
      </c>
      <c r="I787" s="751" t="str">
        <f t="shared" si="12"/>
        <v>SJ5252</v>
      </c>
      <c r="J787" s="470"/>
      <c r="K787" s="825">
        <v>3.8</v>
      </c>
      <c r="L787" s="470"/>
      <c r="M787" s="790">
        <v>46142</v>
      </c>
      <c r="N787" s="751"/>
      <c r="O787" s="788" t="s">
        <v>5763</v>
      </c>
      <c r="P787" s="790">
        <v>46158</v>
      </c>
      <c r="S787" t="s">
        <v>2797</v>
      </c>
      <c r="U787" t="s">
        <v>6912</v>
      </c>
    </row>
    <row r="788" spans="2:21" ht="39">
      <c r="B788" s="750" t="s">
        <v>7075</v>
      </c>
      <c r="C788" s="750"/>
      <c r="D788" s="751"/>
      <c r="E788" s="792" t="s">
        <v>670</v>
      </c>
      <c r="F788" s="753" t="str">
        <f>+VLOOKUP(G788,Resumen_Base!$C$8:$G$156,5,0)</f>
        <v>Maintenance Lodge</v>
      </c>
      <c r="G788" s="754" t="s">
        <v>33</v>
      </c>
      <c r="H788" s="755" t="s">
        <v>468</v>
      </c>
      <c r="I788" s="751" t="str">
        <f t="shared" si="12"/>
        <v>SJ5252</v>
      </c>
      <c r="J788" s="470"/>
      <c r="K788" s="825">
        <v>191</v>
      </c>
      <c r="L788" s="470"/>
      <c r="M788" s="790">
        <v>46142</v>
      </c>
      <c r="N788" s="751"/>
      <c r="O788" s="788" t="s">
        <v>5763</v>
      </c>
      <c r="P788" s="790">
        <v>46158</v>
      </c>
      <c r="S788" t="s">
        <v>6991</v>
      </c>
      <c r="U788" t="s">
        <v>6912</v>
      </c>
    </row>
    <row r="789" spans="2:21" ht="39">
      <c r="B789" s="750" t="s">
        <v>7075</v>
      </c>
      <c r="C789" s="750"/>
      <c r="D789" s="751"/>
      <c r="E789" s="792" t="s">
        <v>670</v>
      </c>
      <c r="F789" s="753" t="str">
        <f>+VLOOKUP(G789,Resumen_Base!$C$8:$G$156,5,0)</f>
        <v>Maintenance Lodge</v>
      </c>
      <c r="G789" s="754" t="s">
        <v>33</v>
      </c>
      <c r="H789" s="755" t="s">
        <v>468</v>
      </c>
      <c r="I789" s="751" t="str">
        <f t="shared" si="12"/>
        <v>SJ5252</v>
      </c>
      <c r="J789" s="470"/>
      <c r="K789" s="825">
        <v>11</v>
      </c>
      <c r="L789" s="470"/>
      <c r="M789" s="790">
        <v>46142</v>
      </c>
      <c r="N789" s="751"/>
      <c r="O789" s="788" t="s">
        <v>5763</v>
      </c>
      <c r="P789" s="790">
        <v>46158</v>
      </c>
      <c r="S789" t="s">
        <v>6992</v>
      </c>
      <c r="U789" t="s">
        <v>6912</v>
      </c>
    </row>
    <row r="790" spans="2:21" ht="39">
      <c r="B790" s="750" t="s">
        <v>7075</v>
      </c>
      <c r="C790" s="750"/>
      <c r="D790" s="751"/>
      <c r="E790" s="792" t="s">
        <v>670</v>
      </c>
      <c r="F790" s="753" t="str">
        <f>+VLOOKUP(G790,Resumen_Base!$C$8:$G$156,5,0)</f>
        <v>Maintenance Lodge</v>
      </c>
      <c r="G790" s="754" t="s">
        <v>33</v>
      </c>
      <c r="H790" s="755" t="s">
        <v>468</v>
      </c>
      <c r="I790" s="751" t="str">
        <f t="shared" si="12"/>
        <v>SJ5252</v>
      </c>
      <c r="J790" s="826"/>
      <c r="K790" s="470">
        <v>65.897435897435898</v>
      </c>
      <c r="L790" s="470"/>
      <c r="M790" s="790">
        <v>46142</v>
      </c>
      <c r="N790" s="751"/>
      <c r="O790" s="788" t="s">
        <v>5763</v>
      </c>
      <c r="P790" s="790">
        <v>46159</v>
      </c>
      <c r="S790" t="s">
        <v>6952</v>
      </c>
      <c r="U790" t="s">
        <v>6915</v>
      </c>
    </row>
    <row r="791" spans="2:21" ht="39">
      <c r="B791" s="750" t="s">
        <v>7075</v>
      </c>
      <c r="C791" s="750"/>
      <c r="D791" s="751"/>
      <c r="E791" s="792" t="s">
        <v>670</v>
      </c>
      <c r="F791" s="753" t="str">
        <f>+VLOOKUP(G791,Resumen_Base!$C$8:$G$156,5,0)</f>
        <v>Maintenance Lodge</v>
      </c>
      <c r="G791" s="754" t="s">
        <v>33</v>
      </c>
      <c r="H791" s="755" t="s">
        <v>468</v>
      </c>
      <c r="I791" s="751" t="str">
        <f t="shared" si="12"/>
        <v>SJ5252</v>
      </c>
      <c r="J791" s="826"/>
      <c r="K791" s="470">
        <v>364.17948717948718</v>
      </c>
      <c r="L791" s="470"/>
      <c r="M791" s="790">
        <v>46142</v>
      </c>
      <c r="N791" s="751"/>
      <c r="O791" s="788" t="s">
        <v>5763</v>
      </c>
      <c r="P791" s="790">
        <v>46159</v>
      </c>
      <c r="S791" t="s">
        <v>6953</v>
      </c>
      <c r="U791" t="s">
        <v>6915</v>
      </c>
    </row>
    <row r="792" spans="2:21" ht="39">
      <c r="B792" s="750" t="s">
        <v>7075</v>
      </c>
      <c r="C792" s="750"/>
      <c r="D792" s="751"/>
      <c r="E792" s="792" t="s">
        <v>670</v>
      </c>
      <c r="F792" s="753" t="str">
        <f>+VLOOKUP(G792,Resumen_Base!$C$8:$G$156,5,0)</f>
        <v>Maintenance Lodge</v>
      </c>
      <c r="G792" s="754" t="s">
        <v>33</v>
      </c>
      <c r="H792" s="755" t="s">
        <v>468</v>
      </c>
      <c r="I792" s="751" t="str">
        <f t="shared" si="12"/>
        <v>SJ5252</v>
      </c>
      <c r="J792" s="826"/>
      <c r="K792" s="470">
        <v>57.692307692307693</v>
      </c>
      <c r="L792" s="470"/>
      <c r="M792" s="790">
        <v>46142</v>
      </c>
      <c r="N792" s="751"/>
      <c r="O792" s="788" t="s">
        <v>5763</v>
      </c>
      <c r="P792" s="790">
        <v>46159</v>
      </c>
      <c r="S792" t="s">
        <v>6954</v>
      </c>
      <c r="U792" t="s">
        <v>6915</v>
      </c>
    </row>
    <row r="793" spans="2:21" ht="39">
      <c r="B793" s="750" t="s">
        <v>7075</v>
      </c>
      <c r="C793" s="750"/>
      <c r="D793" s="751"/>
      <c r="E793" s="792" t="s">
        <v>670</v>
      </c>
      <c r="F793" s="753" t="str">
        <f>+VLOOKUP(G793,Resumen_Base!$C$8:$G$156,5,0)</f>
        <v>Maintenance Lodge</v>
      </c>
      <c r="G793" s="754" t="s">
        <v>33</v>
      </c>
      <c r="H793" s="755" t="s">
        <v>468</v>
      </c>
      <c r="I793" s="751" t="str">
        <f t="shared" si="12"/>
        <v>SJ5252</v>
      </c>
      <c r="J793" s="826"/>
      <c r="K793" s="470">
        <v>163.48717948717947</v>
      </c>
      <c r="L793" s="470"/>
      <c r="M793" s="790">
        <v>46142</v>
      </c>
      <c r="N793" s="751"/>
      <c r="O793" s="788" t="s">
        <v>5763</v>
      </c>
      <c r="P793" s="790">
        <v>46159</v>
      </c>
      <c r="S793" t="s">
        <v>6955</v>
      </c>
      <c r="U793" t="s">
        <v>6915</v>
      </c>
    </row>
    <row r="794" spans="2:21" ht="39">
      <c r="B794" s="750" t="s">
        <v>7075</v>
      </c>
      <c r="C794" s="750"/>
      <c r="D794" s="751"/>
      <c r="E794" s="792" t="s">
        <v>670</v>
      </c>
      <c r="F794" s="753" t="str">
        <f>+VLOOKUP(G794,Resumen_Base!$C$8:$G$156,5,0)</f>
        <v>Maintenance Lodge</v>
      </c>
      <c r="G794" s="754" t="s">
        <v>33</v>
      </c>
      <c r="H794" s="755" t="s">
        <v>468</v>
      </c>
      <c r="I794" s="751" t="str">
        <f t="shared" si="12"/>
        <v>SJ5252</v>
      </c>
      <c r="J794" s="826"/>
      <c r="K794" s="470">
        <v>35.282051282051285</v>
      </c>
      <c r="L794" s="470"/>
      <c r="M794" s="790">
        <v>46142</v>
      </c>
      <c r="N794" s="751"/>
      <c r="O794" s="788" t="s">
        <v>5763</v>
      </c>
      <c r="P794" s="790">
        <v>46159</v>
      </c>
      <c r="S794" t="s">
        <v>6956</v>
      </c>
      <c r="U794" t="s">
        <v>6915</v>
      </c>
    </row>
    <row r="795" spans="2:21" ht="39">
      <c r="B795" s="750" t="s">
        <v>7075</v>
      </c>
      <c r="C795" s="750"/>
      <c r="D795" s="751"/>
      <c r="E795" s="792" t="s">
        <v>670</v>
      </c>
      <c r="F795" s="753" t="str">
        <f>+VLOOKUP(G795,Resumen_Base!$C$8:$G$156,5,0)</f>
        <v>Maintenance Lodge</v>
      </c>
      <c r="G795" s="754" t="s">
        <v>33</v>
      </c>
      <c r="H795" s="755" t="s">
        <v>468</v>
      </c>
      <c r="I795" s="751" t="str">
        <f t="shared" si="12"/>
        <v>SJ5252</v>
      </c>
      <c r="J795" s="826"/>
      <c r="K795" s="470">
        <v>220.51282051282053</v>
      </c>
      <c r="L795" s="470"/>
      <c r="M795" s="790">
        <v>46142</v>
      </c>
      <c r="N795" s="751"/>
      <c r="O795" s="788" t="s">
        <v>5763</v>
      </c>
      <c r="P795" s="790">
        <v>46159</v>
      </c>
      <c r="S795" t="s">
        <v>6957</v>
      </c>
      <c r="U795" t="s">
        <v>6915</v>
      </c>
    </row>
    <row r="796" spans="2:21" ht="39">
      <c r="B796" s="750" t="s">
        <v>7075</v>
      </c>
      <c r="C796" s="750"/>
      <c r="D796" s="751"/>
      <c r="E796" s="792" t="s">
        <v>670</v>
      </c>
      <c r="F796" s="753" t="str">
        <f>+VLOOKUP(G796,Resumen_Base!$C$8:$G$156,5,0)</f>
        <v>Maintenance Lodge</v>
      </c>
      <c r="G796" s="754" t="s">
        <v>33</v>
      </c>
      <c r="H796" s="755" t="s">
        <v>468</v>
      </c>
      <c r="I796" s="751" t="str">
        <f t="shared" si="12"/>
        <v>SJ5252</v>
      </c>
      <c r="J796" s="826"/>
      <c r="K796" s="470">
        <v>5.8148717948717952</v>
      </c>
      <c r="L796" s="470"/>
      <c r="M796" s="790">
        <v>46142</v>
      </c>
      <c r="N796" s="751"/>
      <c r="O796" s="788" t="s">
        <v>5763</v>
      </c>
      <c r="P796" s="790">
        <v>46159</v>
      </c>
      <c r="S796" t="s">
        <v>2797</v>
      </c>
      <c r="U796" t="s">
        <v>6915</v>
      </c>
    </row>
    <row r="797" spans="2:21" ht="39">
      <c r="B797" s="750" t="s">
        <v>7075</v>
      </c>
      <c r="C797" s="750"/>
      <c r="D797" s="751"/>
      <c r="E797" s="792" t="s">
        <v>670</v>
      </c>
      <c r="F797" s="753" t="str">
        <f>+VLOOKUP(G797,Resumen_Base!$C$8:$G$156,5,0)</f>
        <v>Maintenance Lodge</v>
      </c>
      <c r="G797" s="754" t="s">
        <v>33</v>
      </c>
      <c r="H797" s="755" t="s">
        <v>468</v>
      </c>
      <c r="I797" s="751" t="str">
        <f t="shared" si="12"/>
        <v>SJ5252</v>
      </c>
      <c r="J797" s="826"/>
      <c r="K797" s="470">
        <v>108.82051282051282</v>
      </c>
      <c r="L797" s="470"/>
      <c r="M797" s="790">
        <v>46142</v>
      </c>
      <c r="N797" s="751"/>
      <c r="O797" s="788" t="s">
        <v>5763</v>
      </c>
      <c r="P797" s="790">
        <v>46159</v>
      </c>
      <c r="S797" t="s">
        <v>6958</v>
      </c>
      <c r="U797" t="s">
        <v>6915</v>
      </c>
    </row>
    <row r="798" spans="2:21" ht="39">
      <c r="B798" s="750" t="s">
        <v>7075</v>
      </c>
      <c r="C798" s="750"/>
      <c r="D798" s="751"/>
      <c r="E798" s="792" t="s">
        <v>670</v>
      </c>
      <c r="F798" s="753" t="str">
        <f>+VLOOKUP(G798,Resumen_Base!$C$8:$G$156,5,0)</f>
        <v>Maintenance Lodge</v>
      </c>
      <c r="G798" s="754" t="s">
        <v>33</v>
      </c>
      <c r="H798" s="755" t="s">
        <v>468</v>
      </c>
      <c r="I798" s="751" t="str">
        <f t="shared" si="12"/>
        <v>SJ5252</v>
      </c>
      <c r="J798" s="826"/>
      <c r="K798" s="470">
        <v>179.48717948717947</v>
      </c>
      <c r="L798" s="470"/>
      <c r="M798" s="790">
        <v>46126</v>
      </c>
      <c r="N798" s="751"/>
      <c r="O798" s="788" t="s">
        <v>5763</v>
      </c>
      <c r="P798" s="790">
        <v>46147</v>
      </c>
      <c r="S798" t="s">
        <v>7023</v>
      </c>
      <c r="U798" t="s">
        <v>7019</v>
      </c>
    </row>
    <row r="799" spans="2:21" ht="39">
      <c r="B799" s="750" t="s">
        <v>7075</v>
      </c>
      <c r="C799" s="750"/>
      <c r="D799" s="751"/>
      <c r="E799" s="792" t="s">
        <v>670</v>
      </c>
      <c r="F799" s="753" t="str">
        <f>+VLOOKUP(G799,Resumen_Base!$C$8:$G$156,5,0)</f>
        <v>Maintenance Lodge</v>
      </c>
      <c r="G799" s="754" t="s">
        <v>33</v>
      </c>
      <c r="H799" s="755" t="s">
        <v>468</v>
      </c>
      <c r="I799" s="751" t="str">
        <f t="shared" si="12"/>
        <v>SJ5252</v>
      </c>
      <c r="J799" s="826"/>
      <c r="K799" s="470">
        <v>12.256410256410257</v>
      </c>
      <c r="L799" s="470"/>
      <c r="M799" s="790">
        <v>46126</v>
      </c>
      <c r="N799" s="751"/>
      <c r="O799" s="788" t="s">
        <v>5763</v>
      </c>
      <c r="P799" s="790">
        <v>46147</v>
      </c>
      <c r="S799" t="s">
        <v>7024</v>
      </c>
      <c r="U799" t="s">
        <v>7019</v>
      </c>
    </row>
    <row r="800" spans="2:21" ht="39">
      <c r="B800" s="750" t="s">
        <v>7075</v>
      </c>
      <c r="C800" s="750"/>
      <c r="D800" s="751"/>
      <c r="E800" s="792" t="s">
        <v>670</v>
      </c>
      <c r="F800" s="753" t="str">
        <f>+VLOOKUP(G800,Resumen_Base!$C$8:$G$156,5,0)</f>
        <v>Maintenance Lodge</v>
      </c>
      <c r="G800" s="754" t="s">
        <v>33</v>
      </c>
      <c r="H800" s="755" t="s">
        <v>468</v>
      </c>
      <c r="I800" s="751" t="str">
        <f t="shared" si="12"/>
        <v>SJ5252</v>
      </c>
      <c r="J800" s="826"/>
      <c r="K800" s="470">
        <v>76.92307692307692</v>
      </c>
      <c r="L800" s="470"/>
      <c r="M800" s="790">
        <v>46139</v>
      </c>
      <c r="N800" s="751"/>
      <c r="O800" s="788" t="s">
        <v>5763</v>
      </c>
      <c r="P800" s="790">
        <v>46143</v>
      </c>
      <c r="S800" t="s">
        <v>7032</v>
      </c>
      <c r="U800" t="s">
        <v>6915</v>
      </c>
    </row>
    <row r="801" spans="2:21" ht="39">
      <c r="B801" s="750" t="s">
        <v>7075</v>
      </c>
      <c r="C801" s="750"/>
      <c r="D801" s="751"/>
      <c r="E801" s="792" t="s">
        <v>670</v>
      </c>
      <c r="F801" s="753" t="str">
        <f>+VLOOKUP(G801,Resumen_Base!$C$8:$G$156,5,0)</f>
        <v>Maintenance Lodge</v>
      </c>
      <c r="G801" s="754" t="s">
        <v>33</v>
      </c>
      <c r="H801" s="755" t="s">
        <v>468</v>
      </c>
      <c r="I801" s="751" t="str">
        <f t="shared" si="12"/>
        <v>SJ5252</v>
      </c>
      <c r="J801" s="826"/>
      <c r="K801" s="470">
        <v>91.538461538461533</v>
      </c>
      <c r="L801" s="470"/>
      <c r="M801" s="790">
        <v>46139</v>
      </c>
      <c r="N801" s="751"/>
      <c r="O801" s="788" t="s">
        <v>5763</v>
      </c>
      <c r="P801" s="790">
        <v>46143</v>
      </c>
      <c r="S801" t="s">
        <v>7033</v>
      </c>
      <c r="U801" t="s">
        <v>6915</v>
      </c>
    </row>
    <row r="802" spans="2:21" ht="39">
      <c r="B802" s="750" t="s">
        <v>7075</v>
      </c>
      <c r="C802" s="750"/>
      <c r="D802" s="751"/>
      <c r="E802" s="792" t="s">
        <v>670</v>
      </c>
      <c r="F802" s="753" t="str">
        <f>+VLOOKUP(G802,Resumen_Base!$C$8:$G$156,5,0)</f>
        <v>Maintenance Lodge</v>
      </c>
      <c r="G802" s="754" t="s">
        <v>33</v>
      </c>
      <c r="H802" s="755" t="s">
        <v>468</v>
      </c>
      <c r="I802" s="751" t="str">
        <f t="shared" si="12"/>
        <v>SJ5252</v>
      </c>
      <c r="J802" s="826"/>
      <c r="K802" s="470">
        <v>21.435897435897434</v>
      </c>
      <c r="L802" s="470"/>
      <c r="M802" s="790">
        <v>46140</v>
      </c>
      <c r="N802" s="751"/>
      <c r="O802" s="788" t="s">
        <v>5763</v>
      </c>
      <c r="P802" s="790">
        <v>46143</v>
      </c>
      <c r="S802" t="s">
        <v>7036</v>
      </c>
      <c r="U802" t="s">
        <v>6915</v>
      </c>
    </row>
    <row r="803" spans="2:21" ht="39">
      <c r="B803" s="750" t="s">
        <v>7075</v>
      </c>
      <c r="C803" s="750"/>
      <c r="D803" s="751"/>
      <c r="E803" s="792" t="s">
        <v>670</v>
      </c>
      <c r="F803" s="753" t="str">
        <f>+VLOOKUP(G803,Resumen_Base!$C$8:$G$156,5,0)</f>
        <v>Maintenance Lodge</v>
      </c>
      <c r="G803" s="754" t="s">
        <v>33</v>
      </c>
      <c r="H803" s="755" t="s">
        <v>468</v>
      </c>
      <c r="I803" s="751" t="str">
        <f t="shared" si="12"/>
        <v>SJ5252</v>
      </c>
      <c r="J803" s="826"/>
      <c r="K803" s="470">
        <v>41.025641025641029</v>
      </c>
      <c r="L803" s="470"/>
      <c r="M803" s="790">
        <v>46140</v>
      </c>
      <c r="N803" s="751"/>
      <c r="O803" s="788" t="s">
        <v>5763</v>
      </c>
      <c r="P803" s="790">
        <v>46143</v>
      </c>
      <c r="S803" t="s">
        <v>7037</v>
      </c>
      <c r="U803" t="s">
        <v>6915</v>
      </c>
    </row>
    <row r="804" spans="2:21" ht="39">
      <c r="B804" s="750" t="s">
        <v>7075</v>
      </c>
      <c r="C804" s="750"/>
      <c r="D804" s="751"/>
      <c r="E804" s="792" t="s">
        <v>670</v>
      </c>
      <c r="F804" s="753" t="str">
        <f>+VLOOKUP(G804,Resumen_Base!$C$8:$G$156,5,0)</f>
        <v>Maintenance Lodge</v>
      </c>
      <c r="G804" s="754" t="s">
        <v>33</v>
      </c>
      <c r="H804" s="755" t="s">
        <v>468</v>
      </c>
      <c r="I804" s="751" t="str">
        <f t="shared" si="12"/>
        <v>SJ5252</v>
      </c>
      <c r="J804" s="826"/>
      <c r="K804" s="470">
        <v>233.82051282051282</v>
      </c>
      <c r="L804" s="470"/>
      <c r="M804" s="790">
        <v>46141</v>
      </c>
      <c r="N804" s="751"/>
      <c r="O804" s="788" t="s">
        <v>5763</v>
      </c>
      <c r="P804" s="790">
        <v>46143</v>
      </c>
      <c r="S804" t="s">
        <v>7048</v>
      </c>
      <c r="U804" t="s">
        <v>6915</v>
      </c>
    </row>
    <row r="805" spans="2:21" ht="39">
      <c r="B805" s="750" t="s">
        <v>7075</v>
      </c>
      <c r="C805" s="750"/>
      <c r="D805" s="751"/>
      <c r="E805" s="792" t="s">
        <v>670</v>
      </c>
      <c r="F805" s="753" t="str">
        <f>+VLOOKUP(G805,Resumen_Base!$C$8:$G$156,5,0)</f>
        <v>Maintenance Lodge</v>
      </c>
      <c r="G805" s="754" t="s">
        <v>33</v>
      </c>
      <c r="H805" s="755" t="s">
        <v>468</v>
      </c>
      <c r="I805" s="751" t="str">
        <f t="shared" si="12"/>
        <v>SJ5252</v>
      </c>
      <c r="J805" s="826"/>
      <c r="K805" s="470">
        <v>1.0628205128205128</v>
      </c>
      <c r="L805" s="470"/>
      <c r="M805" s="790">
        <v>46141</v>
      </c>
      <c r="N805" s="751"/>
      <c r="O805" s="788" t="s">
        <v>5763</v>
      </c>
      <c r="P805" s="790">
        <v>46143</v>
      </c>
      <c r="S805" t="s">
        <v>2797</v>
      </c>
      <c r="U805" t="s">
        <v>6915</v>
      </c>
    </row>
    <row r="806" spans="2:21" ht="39">
      <c r="B806" s="750" t="s">
        <v>7075</v>
      </c>
      <c r="C806" s="750"/>
      <c r="D806" s="751"/>
      <c r="E806" s="792" t="s">
        <v>670</v>
      </c>
      <c r="F806" s="753" t="str">
        <f>+VLOOKUP(G806,Resumen_Base!$C$8:$G$156,5,0)</f>
        <v>Maintenance Lodge</v>
      </c>
      <c r="G806" s="754" t="s">
        <v>33</v>
      </c>
      <c r="H806" s="755" t="s">
        <v>468</v>
      </c>
      <c r="I806" s="751" t="str">
        <f t="shared" si="12"/>
        <v>SJ5252</v>
      </c>
      <c r="J806" s="826"/>
      <c r="K806" s="470">
        <v>24.820512820512821</v>
      </c>
      <c r="L806" s="470"/>
      <c r="M806" s="790">
        <v>46141</v>
      </c>
      <c r="N806" s="751"/>
      <c r="O806" s="788" t="s">
        <v>5763</v>
      </c>
      <c r="P806" s="790">
        <v>46143</v>
      </c>
      <c r="S806" t="s">
        <v>7049</v>
      </c>
      <c r="U806" t="s">
        <v>6915</v>
      </c>
    </row>
    <row r="807" spans="2:21" ht="39">
      <c r="B807" s="750" t="s">
        <v>7075</v>
      </c>
      <c r="C807" s="750"/>
      <c r="D807" s="751"/>
      <c r="E807" s="792" t="s">
        <v>670</v>
      </c>
      <c r="F807" s="753" t="str">
        <f>+VLOOKUP(G807,Resumen_Base!$C$8:$G$156,5,0)</f>
        <v>Maintenance Lodge</v>
      </c>
      <c r="G807" s="754" t="s">
        <v>33</v>
      </c>
      <c r="H807" s="755" t="s">
        <v>468</v>
      </c>
      <c r="I807" s="751" t="str">
        <f t="shared" si="12"/>
        <v>SJ5252</v>
      </c>
      <c r="J807" s="826"/>
      <c r="K807" s="470">
        <v>6.666666666666667</v>
      </c>
      <c r="L807" s="470"/>
      <c r="M807" s="790">
        <v>46141</v>
      </c>
      <c r="N807" s="751"/>
      <c r="O807" s="788" t="s">
        <v>5763</v>
      </c>
      <c r="P807" s="790">
        <v>46143</v>
      </c>
      <c r="S807" t="s">
        <v>7050</v>
      </c>
      <c r="U807" t="s">
        <v>6915</v>
      </c>
    </row>
    <row r="808" spans="2:21" ht="39">
      <c r="B808" s="750" t="s">
        <v>7075</v>
      </c>
      <c r="C808" s="750"/>
      <c r="D808" s="751"/>
      <c r="E808" s="792" t="s">
        <v>670</v>
      </c>
      <c r="F808" s="753" t="str">
        <f>+VLOOKUP(G808,Resumen_Base!$C$8:$G$156,5,0)</f>
        <v>Maintenance Lodge</v>
      </c>
      <c r="G808" s="754" t="s">
        <v>33</v>
      </c>
      <c r="H808" s="755" t="s">
        <v>468</v>
      </c>
      <c r="I808" s="751" t="str">
        <f t="shared" si="12"/>
        <v>SJ5252</v>
      </c>
      <c r="J808" s="826"/>
      <c r="K808" s="470">
        <v>198.33333333333334</v>
      </c>
      <c r="L808" s="470"/>
      <c r="M808" s="790">
        <v>46142</v>
      </c>
      <c r="N808" s="751"/>
      <c r="O808" s="788" t="s">
        <v>5763</v>
      </c>
      <c r="P808" s="790">
        <v>46143</v>
      </c>
      <c r="S808" t="s">
        <v>7062</v>
      </c>
      <c r="U808" t="s">
        <v>6915</v>
      </c>
    </row>
    <row r="809" spans="2:21" ht="39">
      <c r="B809" s="750" t="s">
        <v>7075</v>
      </c>
      <c r="C809" s="750"/>
      <c r="D809" s="751"/>
      <c r="E809" s="792" t="s">
        <v>670</v>
      </c>
      <c r="F809" s="753" t="str">
        <f>+VLOOKUP(G809,Resumen_Base!$C$8:$G$156,5,0)</f>
        <v>Maintenance Lodge</v>
      </c>
      <c r="G809" s="754" t="s">
        <v>33</v>
      </c>
      <c r="H809" s="755" t="s">
        <v>468</v>
      </c>
      <c r="I809" s="751" t="str">
        <f t="shared" si="12"/>
        <v>SJ5252</v>
      </c>
      <c r="J809" s="826"/>
      <c r="K809" s="470">
        <v>1.9625641025641027</v>
      </c>
      <c r="L809" s="470"/>
      <c r="M809" s="790">
        <v>46142</v>
      </c>
      <c r="N809" s="751"/>
      <c r="O809" s="788" t="s">
        <v>5763</v>
      </c>
      <c r="P809" s="790">
        <v>46143</v>
      </c>
      <c r="S809" t="s">
        <v>2797</v>
      </c>
      <c r="U809" t="s">
        <v>6915</v>
      </c>
    </row>
    <row r="810" spans="2:21" ht="39">
      <c r="B810" s="750" t="s">
        <v>7075</v>
      </c>
      <c r="C810" s="750"/>
      <c r="D810" s="751"/>
      <c r="E810" s="792" t="s">
        <v>670</v>
      </c>
      <c r="F810" s="753" t="str">
        <f>+VLOOKUP(G810,Resumen_Base!$C$8:$G$156,5,0)</f>
        <v>Maintenance Lodge</v>
      </c>
      <c r="G810" s="754" t="s">
        <v>33</v>
      </c>
      <c r="H810" s="755" t="s">
        <v>468</v>
      </c>
      <c r="I810" s="751" t="str">
        <f t="shared" si="12"/>
        <v>SJ5252</v>
      </c>
      <c r="J810" s="826"/>
      <c r="K810" s="470">
        <v>615.38461538461536</v>
      </c>
      <c r="L810" s="470"/>
      <c r="M810" s="790">
        <v>46142</v>
      </c>
      <c r="N810" s="751"/>
      <c r="O810" s="788" t="s">
        <v>5763</v>
      </c>
      <c r="P810" s="790">
        <v>46143</v>
      </c>
      <c r="S810" t="s">
        <v>7063</v>
      </c>
      <c r="U810" t="s">
        <v>6915</v>
      </c>
    </row>
    <row r="811" spans="2:21" ht="39">
      <c r="B811" s="750" t="s">
        <v>7075</v>
      </c>
      <c r="C811" s="750"/>
      <c r="D811" s="751"/>
      <c r="E811" s="792" t="s">
        <v>670</v>
      </c>
      <c r="F811" s="753" t="str">
        <f>+VLOOKUP(G811,Resumen_Base!$C$8:$G$156,5,0)</f>
        <v>Maintenance Lodge</v>
      </c>
      <c r="G811" s="754" t="s">
        <v>33</v>
      </c>
      <c r="H811" s="755" t="s">
        <v>468</v>
      </c>
      <c r="I811" s="751" t="str">
        <f t="shared" si="12"/>
        <v>SJ5252</v>
      </c>
      <c r="J811" s="826"/>
      <c r="K811" s="470">
        <v>328.46153846153845</v>
      </c>
      <c r="L811" s="470"/>
      <c r="M811" s="790">
        <v>46142</v>
      </c>
      <c r="N811" s="751"/>
      <c r="O811" s="788" t="s">
        <v>5763</v>
      </c>
      <c r="P811" s="790">
        <v>46143</v>
      </c>
      <c r="S811" t="s">
        <v>7064</v>
      </c>
      <c r="U811" t="s">
        <v>6915</v>
      </c>
    </row>
    <row r="812" spans="2:21" ht="39">
      <c r="B812" s="750" t="s">
        <v>7075</v>
      </c>
      <c r="C812" s="750"/>
      <c r="D812" s="751"/>
      <c r="E812" s="792" t="s">
        <v>670</v>
      </c>
      <c r="F812" s="753" t="str">
        <f>+VLOOKUP(G812,Resumen_Base!$C$8:$G$156,5,0)</f>
        <v>Maintenance Lodge</v>
      </c>
      <c r="G812" s="754" t="s">
        <v>33</v>
      </c>
      <c r="H812" s="755" t="s">
        <v>468</v>
      </c>
      <c r="I812" s="751" t="str">
        <f t="shared" si="12"/>
        <v>SJ5252</v>
      </c>
      <c r="J812" s="826"/>
      <c r="K812" s="470">
        <v>114.1025641025641</v>
      </c>
      <c r="L812" s="470"/>
      <c r="M812" s="790">
        <v>46142</v>
      </c>
      <c r="N812" s="751"/>
      <c r="O812" s="788" t="s">
        <v>5763</v>
      </c>
      <c r="P812" s="790">
        <v>46143</v>
      </c>
      <c r="S812" t="s">
        <v>7065</v>
      </c>
      <c r="U812" t="s">
        <v>6915</v>
      </c>
    </row>
    <row r="813" spans="2:21" ht="39">
      <c r="B813" s="750" t="s">
        <v>7075</v>
      </c>
      <c r="C813" s="750"/>
      <c r="D813" s="751"/>
      <c r="E813" s="792" t="s">
        <v>670</v>
      </c>
      <c r="F813" s="753" t="str">
        <f>+VLOOKUP(G813,Resumen_Base!$C$8:$G$156,5,0)</f>
        <v>Maintenance Lodge</v>
      </c>
      <c r="G813" s="754" t="s">
        <v>33</v>
      </c>
      <c r="H813" s="755" t="s">
        <v>468</v>
      </c>
      <c r="I813" s="751" t="str">
        <f t="shared" si="12"/>
        <v>SJ5252</v>
      </c>
      <c r="J813" s="826"/>
      <c r="K813" s="470">
        <v>90.666666666666671</v>
      </c>
      <c r="L813" s="470"/>
      <c r="M813" s="790">
        <v>46142</v>
      </c>
      <c r="N813" s="751"/>
      <c r="O813" s="788" t="s">
        <v>5763</v>
      </c>
      <c r="P813" s="790">
        <v>46143</v>
      </c>
      <c r="S813" t="s">
        <v>7066</v>
      </c>
      <c r="U813" t="s">
        <v>6915</v>
      </c>
    </row>
    <row r="814" spans="2:21" ht="39">
      <c r="B814" s="750" t="s">
        <v>7075</v>
      </c>
      <c r="C814" s="750"/>
      <c r="D814" s="751"/>
      <c r="E814" s="792" t="s">
        <v>670</v>
      </c>
      <c r="F814" s="753" t="str">
        <f>+VLOOKUP(G814,Resumen_Base!$C$8:$G$156,5,0)</f>
        <v>Maintenance Lodge</v>
      </c>
      <c r="G814" s="754" t="s">
        <v>33</v>
      </c>
      <c r="H814" s="755" t="s">
        <v>468</v>
      </c>
      <c r="I814" s="751" t="str">
        <f t="shared" si="12"/>
        <v>SJ5252</v>
      </c>
      <c r="J814" s="826"/>
      <c r="K814" s="470">
        <v>334.89743589743591</v>
      </c>
      <c r="L814" s="470"/>
      <c r="M814" s="790">
        <v>46142</v>
      </c>
      <c r="N814" s="751"/>
      <c r="O814" s="788" t="s">
        <v>5763</v>
      </c>
      <c r="P814" s="790">
        <v>46143</v>
      </c>
      <c r="S814" t="s">
        <v>7067</v>
      </c>
      <c r="U814" t="s">
        <v>6915</v>
      </c>
    </row>
    <row r="815" spans="2:21" ht="39">
      <c r="B815" s="750" t="s">
        <v>7075</v>
      </c>
      <c r="C815" s="750"/>
      <c r="D815" s="751"/>
      <c r="E815" s="792" t="s">
        <v>670</v>
      </c>
      <c r="F815" s="753" t="str">
        <f>+VLOOKUP(G815,Resumen_Base!$C$8:$G$156,5,0)</f>
        <v>Maintenance Lodge</v>
      </c>
      <c r="G815" s="754" t="s">
        <v>33</v>
      </c>
      <c r="H815" s="755" t="s">
        <v>468</v>
      </c>
      <c r="I815" s="751" t="str">
        <f t="shared" si="12"/>
        <v>SJ5252</v>
      </c>
      <c r="J815" s="826"/>
      <c r="K815" s="470">
        <v>490.17948717948718</v>
      </c>
      <c r="L815" s="470"/>
      <c r="M815" s="790">
        <v>46142</v>
      </c>
      <c r="N815" s="751"/>
      <c r="O815" s="788" t="s">
        <v>5763</v>
      </c>
      <c r="P815" s="790">
        <v>46143</v>
      </c>
      <c r="S815" t="s">
        <v>7068</v>
      </c>
      <c r="U815" t="s">
        <v>6915</v>
      </c>
    </row>
    <row r="816" spans="2:21" ht="39">
      <c r="B816" s="750" t="s">
        <v>7075</v>
      </c>
      <c r="C816" s="750"/>
      <c r="D816" s="751"/>
      <c r="E816" s="792" t="s">
        <v>670</v>
      </c>
      <c r="F816" s="753" t="str">
        <f>+VLOOKUP(G816,Resumen_Base!$C$8:$G$156,5,0)</f>
        <v>Maintenance  Boats / Vehicles</v>
      </c>
      <c r="G816" s="754" t="s">
        <v>66</v>
      </c>
      <c r="H816" s="755" t="s">
        <v>469</v>
      </c>
      <c r="I816" s="751" t="str">
        <f t="shared" si="12"/>
        <v>SJ5253</v>
      </c>
      <c r="J816" s="826"/>
      <c r="K816" s="470">
        <v>7.5641025641025639</v>
      </c>
      <c r="L816" s="470"/>
      <c r="M816" s="790">
        <v>46126</v>
      </c>
      <c r="N816" s="751"/>
      <c r="O816" s="788" t="s">
        <v>5763</v>
      </c>
      <c r="P816" s="790">
        <v>46147</v>
      </c>
      <c r="S816" t="s">
        <v>7025</v>
      </c>
      <c r="U816" t="s">
        <v>7019</v>
      </c>
    </row>
    <row r="817" spans="1:21" ht="39">
      <c r="B817" s="750" t="s">
        <v>7075</v>
      </c>
      <c r="C817" s="750"/>
      <c r="D817" s="751"/>
      <c r="E817" s="792" t="s">
        <v>670</v>
      </c>
      <c r="F817" s="753" t="str">
        <f>+VLOOKUP(G817,Resumen_Base!$C$8:$G$156,5,0)</f>
        <v>Maintenance  Equipment</v>
      </c>
      <c r="G817" s="754" t="s">
        <v>31</v>
      </c>
      <c r="H817" s="755" t="s">
        <v>470</v>
      </c>
      <c r="I817" s="751" t="str">
        <f t="shared" si="12"/>
        <v>SJ5254</v>
      </c>
      <c r="J817" s="470"/>
      <c r="K817" s="825">
        <v>100.72</v>
      </c>
      <c r="L817" s="470"/>
      <c r="M817" s="790">
        <v>46142</v>
      </c>
      <c r="N817" s="751"/>
      <c r="O817" s="788" t="s">
        <v>5763</v>
      </c>
      <c r="P817" s="790">
        <v>46143</v>
      </c>
      <c r="S817" t="s">
        <v>7069</v>
      </c>
      <c r="U817" t="s">
        <v>6912</v>
      </c>
    </row>
    <row r="818" spans="1:21" ht="39">
      <c r="B818" s="750" t="s">
        <v>7075</v>
      </c>
      <c r="C818" s="750"/>
      <c r="D818" s="751"/>
      <c r="E818" s="792" t="s">
        <v>670</v>
      </c>
      <c r="F818" s="753" t="str">
        <f>+VLOOKUP(G818,Resumen_Base!$C$8:$G$156,5,0)</f>
        <v>Maintenance  Equipment</v>
      </c>
      <c r="G818" s="754" t="s">
        <v>31</v>
      </c>
      <c r="H818" s="755" t="s">
        <v>470</v>
      </c>
      <c r="I818" s="751" t="str">
        <f t="shared" si="12"/>
        <v>SJ5254</v>
      </c>
      <c r="J818" s="470"/>
      <c r="K818" s="825">
        <v>51.67</v>
      </c>
      <c r="L818" s="470"/>
      <c r="M818" s="790">
        <v>46142</v>
      </c>
      <c r="N818" s="751"/>
      <c r="O818" s="788" t="s">
        <v>5763</v>
      </c>
      <c r="P818" s="790">
        <v>46143</v>
      </c>
      <c r="S818" t="s">
        <v>7070</v>
      </c>
      <c r="U818" t="s">
        <v>6912</v>
      </c>
    </row>
    <row r="819" spans="1:21" ht="39">
      <c r="B819" s="750" t="s">
        <v>7075</v>
      </c>
      <c r="C819" s="750"/>
      <c r="D819" s="751"/>
      <c r="E819" s="792" t="s">
        <v>670</v>
      </c>
      <c r="F819" s="753" t="str">
        <f>+VLOOKUP(G819,Resumen_Base!$C$8:$G$156,5,0)</f>
        <v>Maintenance  Equipment</v>
      </c>
      <c r="G819" s="754" t="s">
        <v>31</v>
      </c>
      <c r="H819" s="755" t="s">
        <v>470</v>
      </c>
      <c r="I819" s="751" t="str">
        <f t="shared" si="12"/>
        <v>SJ5254</v>
      </c>
      <c r="J819" s="470"/>
      <c r="K819" s="825">
        <v>425.67</v>
      </c>
      <c r="L819" s="470"/>
      <c r="M819" s="790">
        <v>46142</v>
      </c>
      <c r="N819" s="751"/>
      <c r="O819" s="788" t="s">
        <v>5763</v>
      </c>
      <c r="P819" s="790">
        <v>46143</v>
      </c>
      <c r="S819" t="s">
        <v>7071</v>
      </c>
      <c r="U819" t="s">
        <v>6912</v>
      </c>
    </row>
    <row r="820" spans="1:21" ht="39">
      <c r="B820" s="750" t="s">
        <v>7075</v>
      </c>
      <c r="C820" s="750"/>
      <c r="D820" s="751"/>
      <c r="E820" s="792" t="s">
        <v>670</v>
      </c>
      <c r="F820" s="753" t="str">
        <f>+VLOOKUP(G820,Resumen_Base!$C$8:$G$156,5,0)</f>
        <v>Maintenance  Equipment</v>
      </c>
      <c r="G820" s="754" t="s">
        <v>31</v>
      </c>
      <c r="H820" s="755" t="s">
        <v>470</v>
      </c>
      <c r="I820" s="751" t="str">
        <f t="shared" si="12"/>
        <v>SJ5254</v>
      </c>
      <c r="J820" s="826"/>
      <c r="K820" s="470">
        <v>68.512820512820511</v>
      </c>
      <c r="L820" s="470"/>
      <c r="M820" s="790">
        <v>46142</v>
      </c>
      <c r="N820" s="751"/>
      <c r="O820" s="788" t="s">
        <v>5763</v>
      </c>
      <c r="P820" s="790">
        <v>46159</v>
      </c>
      <c r="S820" t="s">
        <v>6959</v>
      </c>
      <c r="U820" t="s">
        <v>6915</v>
      </c>
    </row>
    <row r="821" spans="1:21" ht="39">
      <c r="B821" s="750" t="s">
        <v>7075</v>
      </c>
      <c r="C821" s="750"/>
      <c r="D821" s="751"/>
      <c r="E821" s="792" t="s">
        <v>670</v>
      </c>
      <c r="F821" s="753" t="str">
        <f>+VLOOKUP(G821,Resumen_Base!$C$8:$G$156,5,0)</f>
        <v>Maintenance  Equipment</v>
      </c>
      <c r="G821" s="754" t="s">
        <v>31</v>
      </c>
      <c r="H821" s="755" t="s">
        <v>470</v>
      </c>
      <c r="I821" s="751" t="str">
        <f t="shared" si="12"/>
        <v>SJ5254</v>
      </c>
      <c r="J821" s="826"/>
      <c r="K821" s="470">
        <v>129.74358974358975</v>
      </c>
      <c r="L821" s="470"/>
      <c r="M821" s="790">
        <v>46126</v>
      </c>
      <c r="N821" s="751"/>
      <c r="O821" s="788" t="s">
        <v>5763</v>
      </c>
      <c r="P821" s="790">
        <v>46147</v>
      </c>
      <c r="S821" t="s">
        <v>7026</v>
      </c>
      <c r="U821" t="s">
        <v>7019</v>
      </c>
    </row>
    <row r="822" spans="1:21" ht="39">
      <c r="B822" s="750" t="s">
        <v>7075</v>
      </c>
      <c r="C822" s="750"/>
      <c r="D822" s="751"/>
      <c r="E822" s="792" t="s">
        <v>670</v>
      </c>
      <c r="F822" s="753" t="str">
        <f>+VLOOKUP(G822,Resumen_Base!$C$8:$G$156,5,0)</f>
        <v>Maintenance  Equipment</v>
      </c>
      <c r="G822" s="754" t="s">
        <v>31</v>
      </c>
      <c r="H822" s="755" t="s">
        <v>470</v>
      </c>
      <c r="I822" s="751" t="str">
        <f t="shared" si="12"/>
        <v>SJ5254</v>
      </c>
      <c r="J822" s="826"/>
      <c r="K822" s="470">
        <v>51.282051282051285</v>
      </c>
      <c r="L822" s="470"/>
      <c r="M822" s="790">
        <v>46126</v>
      </c>
      <c r="N822" s="751"/>
      <c r="O822" s="788" t="s">
        <v>5763</v>
      </c>
      <c r="P822" s="790">
        <v>46147</v>
      </c>
      <c r="S822" t="s">
        <v>7027</v>
      </c>
      <c r="U822" t="s">
        <v>7019</v>
      </c>
    </row>
    <row r="823" spans="1:21" ht="39">
      <c r="B823" s="750" t="s">
        <v>7075</v>
      </c>
      <c r="C823" s="750"/>
      <c r="D823" s="751"/>
      <c r="E823" s="792" t="s">
        <v>670</v>
      </c>
      <c r="F823" s="753" t="str">
        <f>+VLOOKUP(G823,Resumen_Base!$C$8:$G$156,5,0)</f>
        <v>Maintenance  Equipment</v>
      </c>
      <c r="G823" s="754" t="s">
        <v>31</v>
      </c>
      <c r="H823" s="755" t="s">
        <v>470</v>
      </c>
      <c r="I823" s="751" t="str">
        <f t="shared" si="12"/>
        <v>SJ5254</v>
      </c>
      <c r="J823" s="826"/>
      <c r="K823" s="470">
        <v>153.84615384615384</v>
      </c>
      <c r="L823" s="470"/>
      <c r="M823" s="790">
        <v>46140</v>
      </c>
      <c r="N823" s="751"/>
      <c r="O823" s="788" t="s">
        <v>5763</v>
      </c>
      <c r="P823" s="790">
        <v>46143</v>
      </c>
      <c r="S823" t="s">
        <v>7038</v>
      </c>
      <c r="U823" t="s">
        <v>6915</v>
      </c>
    </row>
    <row r="824" spans="1:21" ht="39">
      <c r="B824" s="750" t="s">
        <v>7075</v>
      </c>
      <c r="C824" s="750"/>
      <c r="D824" s="751"/>
      <c r="E824" s="792" t="s">
        <v>670</v>
      </c>
      <c r="F824" s="753" t="str">
        <f>+VLOOKUP(G824,Resumen_Base!$C$8:$G$156,5,0)</f>
        <v>Maintenance  Equipment</v>
      </c>
      <c r="G824" s="754" t="s">
        <v>31</v>
      </c>
      <c r="H824" s="755" t="s">
        <v>470</v>
      </c>
      <c r="I824" s="751" t="str">
        <f t="shared" si="12"/>
        <v>SJ5254</v>
      </c>
      <c r="J824" s="826"/>
      <c r="K824" s="470">
        <v>1.9379487179487178</v>
      </c>
      <c r="L824" s="470"/>
      <c r="M824" s="790">
        <v>46140</v>
      </c>
      <c r="N824" s="751"/>
      <c r="O824" s="788" t="s">
        <v>5763</v>
      </c>
      <c r="P824" s="790">
        <v>46143</v>
      </c>
      <c r="S824" t="s">
        <v>2797</v>
      </c>
      <c r="U824" t="s">
        <v>6915</v>
      </c>
    </row>
    <row r="825" spans="1:21" ht="39">
      <c r="B825" s="750" t="s">
        <v>7075</v>
      </c>
      <c r="C825" s="750"/>
      <c r="D825" s="751"/>
      <c r="E825" s="792" t="s">
        <v>670</v>
      </c>
      <c r="F825" s="753" t="str">
        <f>+VLOOKUP(G825,Resumen_Base!$C$8:$G$156,5,0)</f>
        <v>Maintenance  Equipment</v>
      </c>
      <c r="G825" s="754" t="s">
        <v>31</v>
      </c>
      <c r="H825" s="755" t="s">
        <v>470</v>
      </c>
      <c r="I825" s="751" t="str">
        <f t="shared" si="12"/>
        <v>SJ5254</v>
      </c>
      <c r="J825" s="826"/>
      <c r="K825" s="470">
        <v>76</v>
      </c>
      <c r="L825" s="470"/>
      <c r="M825" s="790">
        <v>46140</v>
      </c>
      <c r="N825" s="751"/>
      <c r="O825" s="788" t="s">
        <v>5763</v>
      </c>
      <c r="P825" s="790">
        <v>46143</v>
      </c>
      <c r="S825" t="s">
        <v>7039</v>
      </c>
      <c r="U825" t="s">
        <v>6915</v>
      </c>
    </row>
    <row r="826" spans="1:21" ht="52">
      <c r="A826" s="846" t="s">
        <v>7083</v>
      </c>
      <c r="B826" s="750" t="s">
        <v>7075</v>
      </c>
      <c r="C826" s="210" t="s">
        <v>7095</v>
      </c>
      <c r="D826" s="751"/>
      <c r="E826" s="792" t="s">
        <v>670</v>
      </c>
      <c r="F826" s="753" t="str">
        <f>+VLOOKUP(G826,Resumen_Base!$C$8:$G$156,5,0)</f>
        <v>Fixed Asset's Payments (Investments) Mejoras/equipamiento Lodge</v>
      </c>
      <c r="G826" s="607" t="s">
        <v>6</v>
      </c>
      <c r="H826" s="597" t="s">
        <v>5</v>
      </c>
      <c r="I826" s="751" t="str">
        <f t="shared" si="12"/>
        <v>SJ12020301</v>
      </c>
      <c r="J826" s="826"/>
      <c r="K826" s="470">
        <v>710.15384615384619</v>
      </c>
      <c r="L826" s="470"/>
      <c r="M826" s="790">
        <v>46141</v>
      </c>
      <c r="N826" s="751"/>
      <c r="O826" s="788" t="s">
        <v>5763</v>
      </c>
      <c r="P826" s="790">
        <v>46143</v>
      </c>
      <c r="S826" t="s">
        <v>7051</v>
      </c>
      <c r="U826" t="s">
        <v>6915</v>
      </c>
    </row>
    <row r="827" spans="1:21" ht="39">
      <c r="B827" s="750" t="s">
        <v>7075</v>
      </c>
      <c r="C827" s="750"/>
      <c r="D827" s="751"/>
      <c r="E827" s="792" t="s">
        <v>670</v>
      </c>
      <c r="F827" s="753" t="str">
        <f>+VLOOKUP(G827,Resumen_Base!$C$8:$G$156,5,0)</f>
        <v>Travel for personnel (employees)</v>
      </c>
      <c r="G827" s="754" t="s">
        <v>68</v>
      </c>
      <c r="H827" s="755" t="s">
        <v>464</v>
      </c>
      <c r="I827" s="751" t="str">
        <f t="shared" si="12"/>
        <v>SJ5255</v>
      </c>
      <c r="J827" s="470"/>
      <c r="K827" s="825">
        <v>159</v>
      </c>
      <c r="L827" s="470"/>
      <c r="M827" s="790">
        <v>46142</v>
      </c>
      <c r="N827" s="751"/>
      <c r="O827" s="788" t="s">
        <v>5763</v>
      </c>
      <c r="P827" s="790">
        <v>46158</v>
      </c>
      <c r="S827" t="s">
        <v>6993</v>
      </c>
      <c r="U827" t="s">
        <v>6912</v>
      </c>
    </row>
    <row r="828" spans="1:21" ht="39">
      <c r="B828" s="750" t="s">
        <v>7075</v>
      </c>
      <c r="C828" s="750"/>
      <c r="D828" s="751"/>
      <c r="E828" s="792" t="s">
        <v>670</v>
      </c>
      <c r="F828" s="753" t="str">
        <f>+VLOOKUP(G828,Resumen_Base!$C$8:$G$156,5,0)</f>
        <v>Travel for personnel (employees)</v>
      </c>
      <c r="G828" s="754" t="s">
        <v>68</v>
      </c>
      <c r="H828" s="755" t="s">
        <v>464</v>
      </c>
      <c r="I828" s="751" t="str">
        <f t="shared" si="12"/>
        <v>SJ5255</v>
      </c>
      <c r="J828" s="826"/>
      <c r="K828" s="470">
        <v>1.9564102564102563</v>
      </c>
      <c r="L828" s="470"/>
      <c r="M828" s="790">
        <v>46142</v>
      </c>
      <c r="N828" s="751"/>
      <c r="O828" s="788" t="s">
        <v>5763</v>
      </c>
      <c r="P828" s="790">
        <v>46159</v>
      </c>
      <c r="S828" t="s">
        <v>2797</v>
      </c>
      <c r="U828" t="s">
        <v>6915</v>
      </c>
    </row>
    <row r="829" spans="1:21" ht="39">
      <c r="B829" s="750" t="s">
        <v>7075</v>
      </c>
      <c r="C829" s="750"/>
      <c r="D829" s="751"/>
      <c r="E829" s="792" t="s">
        <v>670</v>
      </c>
      <c r="F829" s="753" t="str">
        <f>+VLOOKUP(G829,Resumen_Base!$C$8:$G$156,5,0)</f>
        <v>Travel for personnel (employees)</v>
      </c>
      <c r="G829" s="754" t="s">
        <v>68</v>
      </c>
      <c r="H829" s="755" t="s">
        <v>464</v>
      </c>
      <c r="I829" s="751" t="str">
        <f t="shared" si="12"/>
        <v>SJ5255</v>
      </c>
      <c r="J829" s="826"/>
      <c r="K829" s="470">
        <v>15.333333333333334</v>
      </c>
      <c r="L829" s="470"/>
      <c r="M829" s="790">
        <v>46142</v>
      </c>
      <c r="N829" s="751"/>
      <c r="O829" s="788" t="s">
        <v>5763</v>
      </c>
      <c r="P829" s="790">
        <v>46159</v>
      </c>
      <c r="S829" t="s">
        <v>6960</v>
      </c>
      <c r="U829" t="s">
        <v>6915</v>
      </c>
    </row>
    <row r="830" spans="1:21" ht="39">
      <c r="B830" s="750" t="s">
        <v>7075</v>
      </c>
      <c r="C830" s="750"/>
      <c r="D830" s="751"/>
      <c r="E830" s="792" t="s">
        <v>670</v>
      </c>
      <c r="F830" s="753" t="str">
        <f>+VLOOKUP(G830,Resumen_Base!$C$8:$G$156,5,0)</f>
        <v>Travel for personnel (employees)</v>
      </c>
      <c r="G830" s="754" t="s">
        <v>68</v>
      </c>
      <c r="H830" s="755" t="s">
        <v>464</v>
      </c>
      <c r="I830" s="751" t="str">
        <f t="shared" si="12"/>
        <v>SJ5255</v>
      </c>
      <c r="J830" s="826"/>
      <c r="K830" s="470">
        <v>42.46153846153846</v>
      </c>
      <c r="L830" s="470"/>
      <c r="M830" s="790">
        <v>46142</v>
      </c>
      <c r="N830" s="751"/>
      <c r="O830" s="788" t="s">
        <v>5763</v>
      </c>
      <c r="P830" s="790">
        <v>46159</v>
      </c>
      <c r="S830" t="s">
        <v>6961</v>
      </c>
      <c r="U830" t="s">
        <v>6915</v>
      </c>
    </row>
    <row r="831" spans="1:21" ht="39">
      <c r="B831" s="750" t="s">
        <v>7075</v>
      </c>
      <c r="C831" s="750"/>
      <c r="D831" s="751"/>
      <c r="E831" s="792" t="s">
        <v>670</v>
      </c>
      <c r="F831" s="753" t="str">
        <f>+VLOOKUP(G831,Resumen_Base!$C$8:$G$156,5,0)</f>
        <v>Travel for personnel (employees)</v>
      </c>
      <c r="G831" s="754" t="s">
        <v>68</v>
      </c>
      <c r="H831" s="755" t="s">
        <v>464</v>
      </c>
      <c r="I831" s="751" t="str">
        <f t="shared" si="12"/>
        <v>SJ5255</v>
      </c>
      <c r="J831" s="826"/>
      <c r="K831" s="470">
        <v>16.871794871794872</v>
      </c>
      <c r="L831" s="470"/>
      <c r="M831" s="790">
        <v>46126</v>
      </c>
      <c r="N831" s="751"/>
      <c r="O831" s="788" t="s">
        <v>5763</v>
      </c>
      <c r="P831" s="790">
        <v>46147</v>
      </c>
      <c r="S831" t="s">
        <v>7028</v>
      </c>
      <c r="U831" t="s">
        <v>7019</v>
      </c>
    </row>
    <row r="832" spans="1:21" ht="39">
      <c r="B832" s="750" t="s">
        <v>7075</v>
      </c>
      <c r="C832" s="750"/>
      <c r="D832" s="751"/>
      <c r="E832" s="792" t="s">
        <v>670</v>
      </c>
      <c r="F832" s="753" t="str">
        <f>+VLOOKUP(G832,Resumen_Base!$C$8:$G$156,5,0)</f>
        <v>Travel for personnel (employees)</v>
      </c>
      <c r="G832" s="754" t="s">
        <v>68</v>
      </c>
      <c r="H832" s="755" t="s">
        <v>464</v>
      </c>
      <c r="I832" s="751" t="str">
        <f t="shared" si="12"/>
        <v>SJ5255</v>
      </c>
      <c r="J832" s="826"/>
      <c r="K832" s="470">
        <v>17.153846153846153</v>
      </c>
      <c r="L832" s="470"/>
      <c r="M832" s="790">
        <v>46126</v>
      </c>
      <c r="N832" s="751"/>
      <c r="O832" s="788" t="s">
        <v>5763</v>
      </c>
      <c r="P832" s="790">
        <v>46147</v>
      </c>
      <c r="S832" t="s">
        <v>7029</v>
      </c>
      <c r="U832" t="s">
        <v>7019</v>
      </c>
    </row>
    <row r="833" spans="1:21" ht="39">
      <c r="B833" s="750" t="s">
        <v>7075</v>
      </c>
      <c r="C833" s="750"/>
      <c r="D833" s="751"/>
      <c r="E833" s="792" t="s">
        <v>670</v>
      </c>
      <c r="F833" s="753" t="str">
        <f>+VLOOKUP(G833,Resumen_Base!$C$8:$G$156,5,0)</f>
        <v>Travel for personnel (employees)</v>
      </c>
      <c r="G833" s="754" t="s">
        <v>68</v>
      </c>
      <c r="H833" s="755" t="s">
        <v>464</v>
      </c>
      <c r="I833" s="751" t="str">
        <f t="shared" si="12"/>
        <v>SJ5255</v>
      </c>
      <c r="J833" s="826"/>
      <c r="K833" s="470">
        <v>8.615384615384615</v>
      </c>
      <c r="L833" s="470"/>
      <c r="M833" s="790">
        <v>46140</v>
      </c>
      <c r="N833" s="751"/>
      <c r="O833" s="788" t="s">
        <v>5763</v>
      </c>
      <c r="P833" s="790">
        <v>46143</v>
      </c>
      <c r="S833" t="s">
        <v>7040</v>
      </c>
      <c r="U833" t="s">
        <v>6915</v>
      </c>
    </row>
    <row r="834" spans="1:21" ht="39">
      <c r="B834" s="750" t="s">
        <v>7075</v>
      </c>
      <c r="C834" s="750"/>
      <c r="D834" s="751"/>
      <c r="E834" s="792" t="s">
        <v>670</v>
      </c>
      <c r="F834" s="753" t="str">
        <f>+VLOOKUP(G834,Resumen_Base!$C$8:$G$156,5,0)</f>
        <v>Food &amp; Wine</v>
      </c>
      <c r="G834" s="754" t="s">
        <v>1718</v>
      </c>
      <c r="H834" s="755" t="s">
        <v>1719</v>
      </c>
      <c r="I834" s="751" t="str">
        <f t="shared" si="12"/>
        <v>SJ5257</v>
      </c>
      <c r="J834" s="826"/>
      <c r="K834" s="470">
        <v>962.23076923076928</v>
      </c>
      <c r="L834" s="470"/>
      <c r="M834" s="790">
        <v>46141</v>
      </c>
      <c r="N834" s="751"/>
      <c r="O834" s="788" t="s">
        <v>5763</v>
      </c>
      <c r="P834" s="790">
        <v>46143</v>
      </c>
      <c r="S834" t="s">
        <v>7052</v>
      </c>
      <c r="U834" t="s">
        <v>6915</v>
      </c>
    </row>
    <row r="835" spans="1:21" ht="39">
      <c r="B835" s="750" t="s">
        <v>7075</v>
      </c>
      <c r="C835" s="750"/>
      <c r="D835" s="751"/>
      <c r="E835" s="792" t="s">
        <v>670</v>
      </c>
      <c r="F835" s="753" t="str">
        <f>+VLOOKUP(G835,Resumen_Base!$C$8:$G$156,5,0)</f>
        <v>Food &amp; Wine</v>
      </c>
      <c r="G835" s="754" t="s">
        <v>1718</v>
      </c>
      <c r="H835" s="755" t="s">
        <v>1719</v>
      </c>
      <c r="I835" s="751" t="str">
        <f t="shared" si="12"/>
        <v>SJ5257</v>
      </c>
      <c r="J835" s="826"/>
      <c r="K835" s="470">
        <v>1.9423076923076923</v>
      </c>
      <c r="L835" s="470"/>
      <c r="M835" s="790">
        <v>46141</v>
      </c>
      <c r="N835" s="751"/>
      <c r="O835" s="788" t="s">
        <v>5763</v>
      </c>
      <c r="P835" s="790">
        <v>46143</v>
      </c>
      <c r="S835" t="s">
        <v>2797</v>
      </c>
      <c r="U835" t="s">
        <v>6915</v>
      </c>
    </row>
    <row r="836" spans="1:21" ht="39">
      <c r="B836" s="750" t="s">
        <v>7075</v>
      </c>
      <c r="C836" s="750"/>
      <c r="D836" s="751"/>
      <c r="E836" s="792" t="s">
        <v>670</v>
      </c>
      <c r="F836" s="753" t="str">
        <f>+VLOOKUP(G836,Resumen_Base!$C$8:$G$156,5,0)</f>
        <v>Electricity</v>
      </c>
      <c r="G836" s="754" t="s">
        <v>70</v>
      </c>
      <c r="H836" s="755" t="s">
        <v>460</v>
      </c>
      <c r="I836" s="751" t="str">
        <f t="shared" si="12"/>
        <v>SJ5259</v>
      </c>
      <c r="J836" s="826"/>
      <c r="K836" s="470">
        <v>1.9625641025641027</v>
      </c>
      <c r="L836" s="470"/>
      <c r="M836" s="790">
        <v>46142</v>
      </c>
      <c r="N836" s="751"/>
      <c r="O836" s="788" t="s">
        <v>5763</v>
      </c>
      <c r="P836" s="790">
        <v>46143</v>
      </c>
      <c r="S836" t="s">
        <v>2797</v>
      </c>
      <c r="U836" t="s">
        <v>6915</v>
      </c>
    </row>
    <row r="837" spans="1:21" ht="39">
      <c r="B837" s="750" t="s">
        <v>7075</v>
      </c>
      <c r="C837" s="750"/>
      <c r="D837" s="751"/>
      <c r="E837" s="792" t="s">
        <v>670</v>
      </c>
      <c r="F837" s="753" t="str">
        <f>+VLOOKUP(G837,Resumen_Base!$C$8:$G$156,5,0)</f>
        <v>Electricity</v>
      </c>
      <c r="G837" s="754" t="s">
        <v>70</v>
      </c>
      <c r="H837" s="755" t="s">
        <v>460</v>
      </c>
      <c r="I837" s="751" t="str">
        <f t="shared" si="12"/>
        <v>SJ5259</v>
      </c>
      <c r="J837" s="826"/>
      <c r="K837" s="470">
        <v>1472.3076923076924</v>
      </c>
      <c r="L837" s="470"/>
      <c r="M837" s="790">
        <v>46142</v>
      </c>
      <c r="N837" s="751"/>
      <c r="O837" s="788" t="s">
        <v>5763</v>
      </c>
      <c r="P837" s="790">
        <v>46143</v>
      </c>
      <c r="S837" t="s">
        <v>7072</v>
      </c>
      <c r="U837" t="s">
        <v>6915</v>
      </c>
    </row>
    <row r="838" spans="1:21" ht="52">
      <c r="A838" s="846" t="s">
        <v>7084</v>
      </c>
      <c r="B838" s="750" t="s">
        <v>7075</v>
      </c>
      <c r="C838" s="210" t="s">
        <v>7093</v>
      </c>
      <c r="D838" s="751"/>
      <c r="E838" s="792" t="s">
        <v>670</v>
      </c>
      <c r="F838" s="753" t="str">
        <f>+VLOOKUP(G838,Resumen_Base!$C$8:$G$156,5,0)</f>
        <v>Fixed Asset's Payments (Investments) Mejoras/equipamiento Lodge</v>
      </c>
      <c r="G838" s="607" t="s">
        <v>6</v>
      </c>
      <c r="H838" s="597" t="s">
        <v>5</v>
      </c>
      <c r="I838" s="751" t="str">
        <f t="shared" si="12"/>
        <v>SJ12020301</v>
      </c>
      <c r="J838" s="826"/>
      <c r="K838" s="470">
        <v>650.66666666666663</v>
      </c>
      <c r="L838" s="470"/>
      <c r="M838" s="790">
        <v>46140</v>
      </c>
      <c r="N838" s="751"/>
      <c r="O838" s="788" t="s">
        <v>5763</v>
      </c>
      <c r="P838" s="790">
        <v>46143</v>
      </c>
      <c r="S838" t="s">
        <v>7041</v>
      </c>
      <c r="U838" t="s">
        <v>6915</v>
      </c>
    </row>
    <row r="839" spans="1:21" ht="52">
      <c r="B839" s="750" t="s">
        <v>7075</v>
      </c>
      <c r="C839" s="750"/>
      <c r="D839" s="751"/>
      <c r="E839" s="792" t="s">
        <v>670</v>
      </c>
      <c r="F839" s="753" t="str">
        <f>+VLOOKUP(G839,Resumen_Base!$C$8:$G$156,5,0)</f>
        <v>Fixed Asset's Payments (Investments) Mejoras/equipamiento Lodge</v>
      </c>
      <c r="G839" s="754" t="s">
        <v>50</v>
      </c>
      <c r="H839" s="755" t="s">
        <v>51</v>
      </c>
      <c r="I839" s="751" t="str">
        <f t="shared" si="12"/>
        <v>SJ12020103</v>
      </c>
      <c r="J839" s="470"/>
      <c r="K839" s="825">
        <v>35.33</v>
      </c>
      <c r="L839" s="470"/>
      <c r="M839" s="790">
        <v>46142</v>
      </c>
      <c r="N839" s="751"/>
      <c r="O839" s="788" t="s">
        <v>5763</v>
      </c>
      <c r="P839" s="790">
        <v>46143</v>
      </c>
      <c r="S839" t="s">
        <v>7073</v>
      </c>
      <c r="U839" t="s">
        <v>6912</v>
      </c>
    </row>
    <row r="840" spans="1:21" ht="52">
      <c r="B840" s="750" t="s">
        <v>7075</v>
      </c>
      <c r="C840" s="750"/>
      <c r="D840" s="751"/>
      <c r="E840" s="792" t="s">
        <v>670</v>
      </c>
      <c r="F840" s="753" t="str">
        <f>+VLOOKUP(G840,Resumen_Base!$C$8:$G$156,5,0)</f>
        <v>Fixed Asset's Payments (Investments) Mejoras/equipamiento Lodge</v>
      </c>
      <c r="G840" s="754" t="s">
        <v>50</v>
      </c>
      <c r="H840" s="755" t="s">
        <v>51</v>
      </c>
      <c r="I840" s="751" t="str">
        <f t="shared" si="12"/>
        <v>SJ12020103</v>
      </c>
      <c r="J840" s="470"/>
      <c r="K840" s="825">
        <v>198.87</v>
      </c>
      <c r="L840" s="470"/>
      <c r="M840" s="790">
        <v>46142</v>
      </c>
      <c r="N840" s="751"/>
      <c r="O840" s="788" t="s">
        <v>5763</v>
      </c>
      <c r="P840" s="790">
        <v>46143</v>
      </c>
      <c r="S840" t="s">
        <v>7074</v>
      </c>
      <c r="U840" t="s">
        <v>6912</v>
      </c>
    </row>
    <row r="841" spans="1:21" ht="52">
      <c r="B841" s="750" t="s">
        <v>7075</v>
      </c>
      <c r="C841" s="750"/>
      <c r="D841" s="751"/>
      <c r="E841" s="792" t="s">
        <v>670</v>
      </c>
      <c r="F841" s="753" t="str">
        <f>+VLOOKUP(G841,Resumen_Base!$C$8:$G$156,5,0)</f>
        <v>Fixed Asset's Payments (Investments) Mejoras/equipamiento Lodge</v>
      </c>
      <c r="G841" s="754" t="s">
        <v>6</v>
      </c>
      <c r="H841" s="755" t="s">
        <v>5</v>
      </c>
      <c r="I841" s="751" t="str">
        <f t="shared" si="12"/>
        <v>SJ12020301</v>
      </c>
      <c r="J841" s="826"/>
      <c r="K841" s="470">
        <v>108.82051282051282</v>
      </c>
      <c r="L841" s="470"/>
      <c r="M841" s="790">
        <v>46142</v>
      </c>
      <c r="N841" s="751"/>
      <c r="O841" s="788" t="s">
        <v>5763</v>
      </c>
      <c r="P841" s="790">
        <v>46159</v>
      </c>
      <c r="S841" t="s">
        <v>6962</v>
      </c>
      <c r="U841" t="s">
        <v>6915</v>
      </c>
    </row>
    <row r="842" spans="1:21" ht="52">
      <c r="B842" s="750" t="s">
        <v>7075</v>
      </c>
      <c r="C842" s="750"/>
      <c r="D842" s="751"/>
      <c r="E842" s="792" t="s">
        <v>670</v>
      </c>
      <c r="F842" s="753" t="str">
        <f>+VLOOKUP(G842,Resumen_Base!$C$8:$G$156,5,0)</f>
        <v>Fixed Asset's Payments (Investments) Mejoras/equipamiento Lodge</v>
      </c>
      <c r="G842" s="754" t="s">
        <v>6</v>
      </c>
      <c r="H842" s="755" t="s">
        <v>5</v>
      </c>
      <c r="I842" s="751" t="str">
        <f t="shared" si="12"/>
        <v>SJ12020301</v>
      </c>
      <c r="J842" s="826"/>
      <c r="K842" s="470">
        <v>242.66666666666666</v>
      </c>
      <c r="L842" s="470"/>
      <c r="M842" s="790">
        <v>46142</v>
      </c>
      <c r="N842" s="751"/>
      <c r="O842" s="788" t="s">
        <v>5763</v>
      </c>
      <c r="P842" s="790">
        <v>46159</v>
      </c>
      <c r="S842" t="s">
        <v>6963</v>
      </c>
      <c r="U842" t="s">
        <v>6915</v>
      </c>
    </row>
    <row r="843" spans="1:21">
      <c r="E843"/>
      <c r="G843" s="823"/>
      <c r="H843"/>
      <c r="I843"/>
      <c r="J843" s="152"/>
      <c r="K843" s="1"/>
      <c r="M843" s="2"/>
      <c r="P843" s="2"/>
      <c r="R843"/>
      <c r="S843"/>
      <c r="U843"/>
    </row>
    <row r="844" spans="1:21">
      <c r="G844" s="474"/>
      <c r="H844" s="210"/>
      <c r="I844" s="827"/>
      <c r="M844" s="513"/>
      <c r="N844" s="513"/>
      <c r="O844" s="513"/>
      <c r="P844" s="518"/>
    </row>
    <row r="845" spans="1:21" ht="26">
      <c r="B845" s="750" t="s">
        <v>7078</v>
      </c>
      <c r="C845" s="750" t="s">
        <v>7077</v>
      </c>
      <c r="D845" s="751" t="s">
        <v>2821</v>
      </c>
      <c r="E845" s="752" t="s">
        <v>676</v>
      </c>
      <c r="F845" s="753" t="str">
        <f>+VLOOKUP(G845,Resumen_Base!$C$8:$G$156,5,0)</f>
        <v>Field:</v>
      </c>
      <c r="G845" s="754" t="s">
        <v>133</v>
      </c>
      <c r="H845" s="755" t="s">
        <v>451</v>
      </c>
      <c r="I845" s="751" t="str">
        <f t="shared" ref="I845:I858" si="13">+E845&amp;G845</f>
        <v>CAR5207</v>
      </c>
      <c r="J845" s="470">
        <v>140500</v>
      </c>
      <c r="K845" s="470">
        <v>100</v>
      </c>
      <c r="L845" s="470">
        <v>1405</v>
      </c>
      <c r="M845" s="470" t="s">
        <v>6059</v>
      </c>
      <c r="N845" s="470" t="s">
        <v>780</v>
      </c>
      <c r="O845" s="470" t="s">
        <v>781</v>
      </c>
      <c r="P845" s="756" t="s">
        <v>6060</v>
      </c>
      <c r="Q845" s="751" t="s">
        <v>5873</v>
      </c>
      <c r="R845" s="751" t="s">
        <v>6061</v>
      </c>
      <c r="S845" s="751" t="s">
        <v>6078</v>
      </c>
      <c r="T845" s="751" t="s">
        <v>6063</v>
      </c>
      <c r="U845" s="751" t="s">
        <v>786</v>
      </c>
    </row>
    <row r="846" spans="1:21" ht="26">
      <c r="B846" s="750" t="s">
        <v>7078</v>
      </c>
      <c r="C846" s="750" t="s">
        <v>7077</v>
      </c>
      <c r="D846" s="751" t="s">
        <v>2821</v>
      </c>
      <c r="E846" s="752" t="s">
        <v>676</v>
      </c>
      <c r="F846" s="753" t="str">
        <f>+VLOOKUP(G846,Resumen_Base!$C$8:$G$156,5,0)</f>
        <v>Maintenance  Equipment</v>
      </c>
      <c r="G846" s="754" t="s">
        <v>31</v>
      </c>
      <c r="H846" s="755" t="s">
        <v>470</v>
      </c>
      <c r="I846" s="751" t="str">
        <f t="shared" si="13"/>
        <v>CAR5254</v>
      </c>
      <c r="J846" s="470">
        <v>342258</v>
      </c>
      <c r="K846" s="470">
        <v>243.6</v>
      </c>
      <c r="L846" s="470">
        <v>1405</v>
      </c>
      <c r="M846" s="470" t="s">
        <v>6059</v>
      </c>
      <c r="N846" s="470" t="s">
        <v>780</v>
      </c>
      <c r="O846" s="470" t="s">
        <v>781</v>
      </c>
      <c r="P846" s="756" t="s">
        <v>6065</v>
      </c>
      <c r="Q846" s="751" t="s">
        <v>5873</v>
      </c>
      <c r="R846" s="751" t="s">
        <v>6066</v>
      </c>
      <c r="S846" s="751" t="s">
        <v>6081</v>
      </c>
      <c r="T846" s="751" t="s">
        <v>6068</v>
      </c>
      <c r="U846" s="751" t="s">
        <v>786</v>
      </c>
    </row>
    <row r="847" spans="1:21" ht="26">
      <c r="B847" s="750" t="s">
        <v>7078</v>
      </c>
      <c r="C847" s="750" t="s">
        <v>7077</v>
      </c>
      <c r="D847" s="751" t="s">
        <v>2821</v>
      </c>
      <c r="E847" s="752" t="s">
        <v>676</v>
      </c>
      <c r="F847" s="753" t="str">
        <f>+VLOOKUP(G847,Resumen_Base!$C$8:$G$156,5,0)</f>
        <v>Field:</v>
      </c>
      <c r="G847" s="754" t="s">
        <v>133</v>
      </c>
      <c r="H847" s="755" t="s">
        <v>451</v>
      </c>
      <c r="I847" s="751" t="str">
        <f t="shared" si="13"/>
        <v>CAR5207</v>
      </c>
      <c r="J847" s="470">
        <v>351250</v>
      </c>
      <c r="K847" s="470">
        <v>250</v>
      </c>
      <c r="L847" s="470">
        <v>1405</v>
      </c>
      <c r="M847" s="470" t="s">
        <v>6059</v>
      </c>
      <c r="N847" s="470" t="s">
        <v>780</v>
      </c>
      <c r="O847" s="470" t="s">
        <v>781</v>
      </c>
      <c r="P847" s="756" t="s">
        <v>6060</v>
      </c>
      <c r="Q847" s="751" t="s">
        <v>5873</v>
      </c>
      <c r="R847" s="751" t="s">
        <v>6061</v>
      </c>
      <c r="S847" s="751" t="s">
        <v>6075</v>
      </c>
      <c r="T847" s="751" t="s">
        <v>6063</v>
      </c>
      <c r="U847" s="751" t="s">
        <v>786</v>
      </c>
    </row>
    <row r="848" spans="1:21" ht="26">
      <c r="B848" s="750" t="s">
        <v>7078</v>
      </c>
      <c r="C848" s="750" t="s">
        <v>7077</v>
      </c>
      <c r="D848" s="751" t="s">
        <v>2821</v>
      </c>
      <c r="E848" s="752" t="s">
        <v>676</v>
      </c>
      <c r="F848" s="753" t="str">
        <f>+VLOOKUP(G848,Resumen_Base!$C$8:$G$156,5,0)</f>
        <v>Field:</v>
      </c>
      <c r="G848" s="754" t="s">
        <v>133</v>
      </c>
      <c r="H848" s="755" t="s">
        <v>451</v>
      </c>
      <c r="I848" s="751" t="str">
        <f t="shared" si="13"/>
        <v>CAR5207</v>
      </c>
      <c r="J848" s="470">
        <v>491750</v>
      </c>
      <c r="K848" s="470">
        <v>350</v>
      </c>
      <c r="L848" s="470">
        <v>1405</v>
      </c>
      <c r="M848" s="470" t="s">
        <v>6059</v>
      </c>
      <c r="N848" s="470" t="s">
        <v>780</v>
      </c>
      <c r="O848" s="470" t="s">
        <v>781</v>
      </c>
      <c r="P848" s="756" t="s">
        <v>6060</v>
      </c>
      <c r="Q848" s="751" t="s">
        <v>5873</v>
      </c>
      <c r="R848" s="751" t="s">
        <v>6061</v>
      </c>
      <c r="S848" s="751" t="s">
        <v>6062</v>
      </c>
      <c r="T848" s="751" t="s">
        <v>6063</v>
      </c>
      <c r="U848" s="751" t="s">
        <v>786</v>
      </c>
    </row>
    <row r="849" spans="1:24" ht="26">
      <c r="B849" s="750" t="s">
        <v>7078</v>
      </c>
      <c r="C849" s="750" t="s">
        <v>7077</v>
      </c>
      <c r="D849" s="751" t="s">
        <v>2821</v>
      </c>
      <c r="E849" s="752" t="s">
        <v>676</v>
      </c>
      <c r="F849" s="753" t="str">
        <f>+VLOOKUP(G849,Resumen_Base!$C$8:$G$156,5,0)</f>
        <v>Electricity - Gas for Boats &amp; Vehicles</v>
      </c>
      <c r="G849" s="754" t="s">
        <v>64</v>
      </c>
      <c r="H849" s="755" t="s">
        <v>461</v>
      </c>
      <c r="I849" s="751" t="str">
        <f t="shared" si="13"/>
        <v>CAR5248</v>
      </c>
      <c r="J849" s="470">
        <v>613324.65</v>
      </c>
      <c r="K849" s="470">
        <v>436.53</v>
      </c>
      <c r="L849" s="470">
        <v>1405</v>
      </c>
      <c r="M849" s="470" t="s">
        <v>6059</v>
      </c>
      <c r="N849" s="470" t="s">
        <v>780</v>
      </c>
      <c r="O849" s="470" t="s">
        <v>781</v>
      </c>
      <c r="P849" s="756" t="s">
        <v>6065</v>
      </c>
      <c r="Q849" s="751" t="s">
        <v>5873</v>
      </c>
      <c r="R849" s="751" t="s">
        <v>6066</v>
      </c>
      <c r="S849" s="751" t="s">
        <v>6069</v>
      </c>
      <c r="T849" s="751" t="s">
        <v>6068</v>
      </c>
      <c r="U849" s="751" t="s">
        <v>786</v>
      </c>
    </row>
    <row r="850" spans="1:24" ht="26">
      <c r="B850" s="750" t="s">
        <v>7078</v>
      </c>
      <c r="C850" s="750" t="s">
        <v>7077</v>
      </c>
      <c r="D850" s="751" t="s">
        <v>2821</v>
      </c>
      <c r="E850" s="752" t="s">
        <v>676</v>
      </c>
      <c r="F850" s="753" t="str">
        <f>+VLOOKUP(G850,Resumen_Base!$C$8:$G$156,5,0)</f>
        <v>Food &amp; Wine</v>
      </c>
      <c r="G850" s="754" t="s">
        <v>37</v>
      </c>
      <c r="H850" s="755" t="s">
        <v>457</v>
      </c>
      <c r="I850" s="751" t="str">
        <f t="shared" si="13"/>
        <v>CAR5250</v>
      </c>
      <c r="J850" s="470">
        <v>615994.15</v>
      </c>
      <c r="K850" s="470">
        <v>438.43</v>
      </c>
      <c r="L850" s="470">
        <v>1405</v>
      </c>
      <c r="M850" s="470" t="s">
        <v>6059</v>
      </c>
      <c r="N850" s="470" t="s">
        <v>780</v>
      </c>
      <c r="O850" s="470" t="s">
        <v>781</v>
      </c>
      <c r="P850" s="756" t="s">
        <v>6065</v>
      </c>
      <c r="Q850" s="751" t="s">
        <v>5873</v>
      </c>
      <c r="R850" s="751" t="s">
        <v>6066</v>
      </c>
      <c r="S850" s="751" t="s">
        <v>6096</v>
      </c>
      <c r="T850" s="751" t="s">
        <v>6068</v>
      </c>
      <c r="U850" s="751" t="s">
        <v>786</v>
      </c>
    </row>
    <row r="851" spans="1:24" ht="26">
      <c r="B851" s="750" t="s">
        <v>7078</v>
      </c>
      <c r="C851" s="750" t="s">
        <v>7077</v>
      </c>
      <c r="D851" s="751" t="s">
        <v>2821</v>
      </c>
      <c r="E851" s="752" t="s">
        <v>676</v>
      </c>
      <c r="F851" s="753" t="str">
        <f>+VLOOKUP(G851,Resumen_Base!$C$8:$G$156,5,0)</f>
        <v>Field:</v>
      </c>
      <c r="G851" s="754" t="s">
        <v>133</v>
      </c>
      <c r="H851" s="755" t="s">
        <v>451</v>
      </c>
      <c r="I851" s="751" t="str">
        <f t="shared" si="13"/>
        <v>CAR5207</v>
      </c>
      <c r="J851" s="470">
        <v>632250</v>
      </c>
      <c r="K851" s="470">
        <v>450</v>
      </c>
      <c r="L851" s="470">
        <v>1405</v>
      </c>
      <c r="M851" s="470" t="s">
        <v>6059</v>
      </c>
      <c r="N851" s="470" t="s">
        <v>780</v>
      </c>
      <c r="O851" s="470" t="s">
        <v>781</v>
      </c>
      <c r="P851" s="756" t="s">
        <v>6060</v>
      </c>
      <c r="Q851" s="751" t="s">
        <v>5873</v>
      </c>
      <c r="R851" s="751" t="s">
        <v>6061</v>
      </c>
      <c r="S851" s="751" t="s">
        <v>6073</v>
      </c>
      <c r="T851" s="751" t="s">
        <v>6063</v>
      </c>
      <c r="U851" s="751" t="s">
        <v>786</v>
      </c>
    </row>
    <row r="852" spans="1:24" ht="26">
      <c r="B852" s="750" t="s">
        <v>7078</v>
      </c>
      <c r="C852" s="750" t="s">
        <v>7077</v>
      </c>
      <c r="D852" s="751" t="s">
        <v>2821</v>
      </c>
      <c r="E852" s="752" t="s">
        <v>676</v>
      </c>
      <c r="F852" s="753" t="str">
        <f>+VLOOKUP(G852,Resumen_Base!$C$8:$G$156,5,0)</f>
        <v>Maintenance  Boats / Vehicles</v>
      </c>
      <c r="G852" s="754" t="s">
        <v>66</v>
      </c>
      <c r="H852" s="755" t="s">
        <v>469</v>
      </c>
      <c r="I852" s="751" t="str">
        <f t="shared" si="13"/>
        <v>CAR5253</v>
      </c>
      <c r="J852" s="470">
        <v>641494.9</v>
      </c>
      <c r="K852" s="470">
        <v>456.58</v>
      </c>
      <c r="L852" s="470">
        <v>1405</v>
      </c>
      <c r="M852" s="470" t="s">
        <v>6059</v>
      </c>
      <c r="N852" s="470" t="s">
        <v>780</v>
      </c>
      <c r="O852" s="470" t="s">
        <v>781</v>
      </c>
      <c r="P852" s="756" t="s">
        <v>6065</v>
      </c>
      <c r="Q852" s="751" t="s">
        <v>5873</v>
      </c>
      <c r="R852" s="751" t="s">
        <v>6066</v>
      </c>
      <c r="S852" s="751" t="s">
        <v>6090</v>
      </c>
      <c r="T852" s="751" t="s">
        <v>6068</v>
      </c>
      <c r="U852" s="751" t="s">
        <v>786</v>
      </c>
    </row>
    <row r="853" spans="1:24" ht="26">
      <c r="B853" s="750" t="s">
        <v>7078</v>
      </c>
      <c r="C853" s="750" t="s">
        <v>7077</v>
      </c>
      <c r="D853" s="751" t="s">
        <v>2821</v>
      </c>
      <c r="E853" s="752" t="s">
        <v>676</v>
      </c>
      <c r="F853" s="753" t="str">
        <f>+VLOOKUP(G853,Resumen_Base!$C$8:$G$156,5,0)</f>
        <v>Field:</v>
      </c>
      <c r="G853" s="754" t="s">
        <v>133</v>
      </c>
      <c r="H853" s="755" t="s">
        <v>451</v>
      </c>
      <c r="I853" s="751" t="str">
        <f t="shared" si="13"/>
        <v>CAR5207</v>
      </c>
      <c r="J853" s="470">
        <v>1053750</v>
      </c>
      <c r="K853" s="470">
        <v>750</v>
      </c>
      <c r="L853" s="470">
        <v>1405</v>
      </c>
      <c r="M853" s="470" t="s">
        <v>6059</v>
      </c>
      <c r="N853" s="470" t="s">
        <v>780</v>
      </c>
      <c r="O853" s="470" t="s">
        <v>781</v>
      </c>
      <c r="P853" s="756" t="s">
        <v>6060</v>
      </c>
      <c r="Q853" s="751" t="s">
        <v>5873</v>
      </c>
      <c r="R853" s="751" t="s">
        <v>6061</v>
      </c>
      <c r="S853" s="751" t="s">
        <v>6077</v>
      </c>
      <c r="T853" s="751" t="s">
        <v>6063</v>
      </c>
      <c r="U853" s="751" t="s">
        <v>786</v>
      </c>
    </row>
    <row r="854" spans="1:24" ht="26">
      <c r="B854" s="750" t="s">
        <v>7078</v>
      </c>
      <c r="C854" s="750" t="s">
        <v>7077</v>
      </c>
      <c r="D854" s="751" t="s">
        <v>2821</v>
      </c>
      <c r="E854" s="752" t="s">
        <v>676</v>
      </c>
      <c r="F854" s="753" t="str">
        <f>+VLOOKUP(G854,Resumen_Base!$C$8:$G$156,5,0)</f>
        <v>Field:</v>
      </c>
      <c r="G854" s="754" t="s">
        <v>133</v>
      </c>
      <c r="H854" s="755" t="s">
        <v>451</v>
      </c>
      <c r="I854" s="751" t="str">
        <f t="shared" si="13"/>
        <v>CAR5207</v>
      </c>
      <c r="J854" s="470">
        <v>1334750</v>
      </c>
      <c r="K854" s="470">
        <v>950</v>
      </c>
      <c r="L854" s="470">
        <v>1405</v>
      </c>
      <c r="M854" s="470" t="s">
        <v>6059</v>
      </c>
      <c r="N854" s="470" t="s">
        <v>780</v>
      </c>
      <c r="O854" s="470" t="s">
        <v>781</v>
      </c>
      <c r="P854" s="756" t="s">
        <v>6060</v>
      </c>
      <c r="Q854" s="751" t="s">
        <v>5873</v>
      </c>
      <c r="R854" s="751" t="s">
        <v>6061</v>
      </c>
      <c r="S854" s="751" t="s">
        <v>6074</v>
      </c>
      <c r="T854" s="751" t="s">
        <v>6063</v>
      </c>
      <c r="U854" s="751" t="s">
        <v>786</v>
      </c>
    </row>
    <row r="855" spans="1:24" ht="26">
      <c r="B855" s="750" t="s">
        <v>7078</v>
      </c>
      <c r="C855" s="750" t="s">
        <v>7077</v>
      </c>
      <c r="D855" s="751" t="s">
        <v>2821</v>
      </c>
      <c r="E855" s="752" t="s">
        <v>676</v>
      </c>
      <c r="F855" s="753" t="str">
        <f>+VLOOKUP(G855,Resumen_Base!$C$8:$G$156,5,0)</f>
        <v>Licenses / Permits (Fishing and Shooting)</v>
      </c>
      <c r="G855" s="754" t="s">
        <v>62</v>
      </c>
      <c r="H855" s="755" t="s">
        <v>63</v>
      </c>
      <c r="I855" s="751" t="str">
        <f t="shared" si="13"/>
        <v>CAR5221</v>
      </c>
      <c r="J855" s="470">
        <v>1405000</v>
      </c>
      <c r="K855" s="470">
        <v>1000</v>
      </c>
      <c r="L855" s="470">
        <v>1405</v>
      </c>
      <c r="M855" s="470" t="s">
        <v>6303</v>
      </c>
      <c r="N855" s="470" t="s">
        <v>780</v>
      </c>
      <c r="O855" s="470" t="s">
        <v>781</v>
      </c>
      <c r="P855" s="756" t="s">
        <v>6310</v>
      </c>
      <c r="Q855" s="751" t="s">
        <v>5873</v>
      </c>
      <c r="R855" s="751" t="s">
        <v>6311</v>
      </c>
      <c r="S855" s="751" t="s">
        <v>6341</v>
      </c>
      <c r="T855" s="751" t="s">
        <v>6313</v>
      </c>
      <c r="U855" s="751" t="s">
        <v>786</v>
      </c>
    </row>
    <row r="856" spans="1:24" ht="26">
      <c r="B856" s="750" t="s">
        <v>7078</v>
      </c>
      <c r="C856" s="750" t="s">
        <v>7077</v>
      </c>
      <c r="D856" s="751" t="s">
        <v>2821</v>
      </c>
      <c r="E856" s="752" t="s">
        <v>676</v>
      </c>
      <c r="F856" s="753" t="str">
        <f>+VLOOKUP(G856,Resumen_Base!$C$8:$G$156,5,0)</f>
        <v>Field:</v>
      </c>
      <c r="G856" s="754" t="s">
        <v>133</v>
      </c>
      <c r="H856" s="755" t="s">
        <v>451</v>
      </c>
      <c r="I856" s="751" t="str">
        <f t="shared" si="13"/>
        <v>CAR5207</v>
      </c>
      <c r="J856" s="470">
        <v>2177750</v>
      </c>
      <c r="K856" s="470">
        <v>1550</v>
      </c>
      <c r="L856" s="470">
        <v>1405</v>
      </c>
      <c r="M856" s="470" t="s">
        <v>6059</v>
      </c>
      <c r="N856" s="470" t="s">
        <v>780</v>
      </c>
      <c r="O856" s="470" t="s">
        <v>781</v>
      </c>
      <c r="P856" s="756" t="s">
        <v>6060</v>
      </c>
      <c r="Q856" s="751" t="s">
        <v>5873</v>
      </c>
      <c r="R856" s="751" t="s">
        <v>6061</v>
      </c>
      <c r="S856" s="751" t="s">
        <v>6076</v>
      </c>
      <c r="T856" s="751" t="s">
        <v>6063</v>
      </c>
      <c r="U856" s="751" t="s">
        <v>786</v>
      </c>
    </row>
    <row r="857" spans="1:24" ht="52">
      <c r="B857" s="750" t="s">
        <v>7078</v>
      </c>
      <c r="C857" s="750" t="s">
        <v>7077</v>
      </c>
      <c r="D857" s="751" t="s">
        <v>2821</v>
      </c>
      <c r="E857" s="752" t="s">
        <v>676</v>
      </c>
      <c r="F857" s="753" t="str">
        <f>+VLOOKUP(G857,Resumen_Base!$C$8:$G$156,5,0)</f>
        <v>Fixed Asset's Payments (Investments) Mejoras/equipamiento Lodge</v>
      </c>
      <c r="G857" s="754" t="s">
        <v>6</v>
      </c>
      <c r="H857" s="755" t="s">
        <v>5</v>
      </c>
      <c r="I857" s="751" t="str">
        <f t="shared" si="13"/>
        <v>CAR12020301</v>
      </c>
      <c r="J857" s="470">
        <v>2539397</v>
      </c>
      <c r="K857" s="470">
        <v>1807.4</v>
      </c>
      <c r="L857" s="470">
        <v>1405</v>
      </c>
      <c r="M857" s="470" t="s">
        <v>6059</v>
      </c>
      <c r="N857" s="470" t="s">
        <v>780</v>
      </c>
      <c r="O857" s="470" t="s">
        <v>781</v>
      </c>
      <c r="P857" s="756" t="s">
        <v>6060</v>
      </c>
      <c r="Q857" s="751" t="s">
        <v>5873</v>
      </c>
      <c r="R857" s="751" t="s">
        <v>6061</v>
      </c>
      <c r="S857" s="751" t="s">
        <v>6091</v>
      </c>
      <c r="T857" s="751" t="s">
        <v>6063</v>
      </c>
      <c r="U857" s="751" t="s">
        <v>786</v>
      </c>
    </row>
    <row r="858" spans="1:24" ht="26">
      <c r="B858" s="750" t="s">
        <v>7078</v>
      </c>
      <c r="C858" s="750" t="s">
        <v>7077</v>
      </c>
      <c r="D858" s="751" t="s">
        <v>2821</v>
      </c>
      <c r="E858" s="752" t="s">
        <v>676</v>
      </c>
      <c r="F858" s="753" t="str">
        <f>+VLOOKUP(G858,Resumen_Base!$C$8:$G$156,5,0)</f>
        <v>Field:</v>
      </c>
      <c r="G858" s="754" t="s">
        <v>133</v>
      </c>
      <c r="H858" s="755" t="s">
        <v>451</v>
      </c>
      <c r="I858" s="751" t="str">
        <f t="shared" si="13"/>
        <v>CAR5207</v>
      </c>
      <c r="J858" s="470">
        <v>2739750</v>
      </c>
      <c r="K858" s="470">
        <v>1950</v>
      </c>
      <c r="L858" s="470">
        <v>1405</v>
      </c>
      <c r="M858" s="470" t="s">
        <v>6059</v>
      </c>
      <c r="N858" s="470" t="s">
        <v>780</v>
      </c>
      <c r="O858" s="470" t="s">
        <v>781</v>
      </c>
      <c r="P858" s="756" t="s">
        <v>6060</v>
      </c>
      <c r="Q858" s="751" t="s">
        <v>5873</v>
      </c>
      <c r="R858" s="751" t="s">
        <v>6061</v>
      </c>
      <c r="S858" s="751" t="s">
        <v>6064</v>
      </c>
      <c r="T858" s="751" t="s">
        <v>6063</v>
      </c>
      <c r="U858" s="751" t="s">
        <v>786</v>
      </c>
    </row>
    <row r="859" spans="1:24">
      <c r="G859" s="474"/>
      <c r="H859" s="210"/>
      <c r="I859" s="827"/>
      <c r="M859" s="513"/>
      <c r="N859" s="513"/>
      <c r="O859" s="513"/>
      <c r="P859" s="518"/>
    </row>
    <row r="862" spans="1:24">
      <c r="A862" s="452" t="s">
        <v>84</v>
      </c>
      <c r="B862" s="452" t="s">
        <v>84</v>
      </c>
      <c r="C862" s="452" t="s">
        <v>84</v>
      </c>
      <c r="D862" s="452" t="s">
        <v>84</v>
      </c>
      <c r="E862" s="11" t="s">
        <v>84</v>
      </c>
      <c r="F862" s="452" t="s">
        <v>84</v>
      </c>
      <c r="G862" s="453" t="s">
        <v>84</v>
      </c>
      <c r="H862" s="453" t="s">
        <v>84</v>
      </c>
      <c r="I862" s="453" t="s">
        <v>84</v>
      </c>
      <c r="J862" s="187" t="s">
        <v>84</v>
      </c>
      <c r="K862" s="187" t="s">
        <v>84</v>
      </c>
      <c r="L862" s="187" t="s">
        <v>84</v>
      </c>
      <c r="M862" s="457" t="s">
        <v>84</v>
      </c>
      <c r="N862" s="453" t="s">
        <v>84</v>
      </c>
      <c r="O862" s="453" t="s">
        <v>84</v>
      </c>
      <c r="P862" s="453" t="s">
        <v>84</v>
      </c>
      <c r="Q862" s="453" t="s">
        <v>84</v>
      </c>
      <c r="R862" s="453" t="s">
        <v>84</v>
      </c>
      <c r="S862" s="453" t="s">
        <v>84</v>
      </c>
      <c r="T862" s="453" t="s">
        <v>84</v>
      </c>
      <c r="U862" s="453" t="s">
        <v>84</v>
      </c>
      <c r="V862" s="453" t="s">
        <v>84</v>
      </c>
      <c r="W862" s="453" t="s">
        <v>84</v>
      </c>
      <c r="X862" s="453" t="s">
        <v>84</v>
      </c>
    </row>
    <row r="864" spans="1:24" ht="50">
      <c r="A864" s="736" t="s">
        <v>7096</v>
      </c>
      <c r="B864" s="750" t="s">
        <v>7075</v>
      </c>
      <c r="C864" s="750"/>
      <c r="D864" s="751"/>
      <c r="E864" s="792" t="s">
        <v>670</v>
      </c>
      <c r="F864" s="753" t="str">
        <f>+VLOOKUP(G864,Resumen_Base!$C$8:$G$156,5,0)</f>
        <v>Licenses / Permits (Fishing and Shooting)</v>
      </c>
      <c r="G864" s="754" t="s">
        <v>62</v>
      </c>
      <c r="H864" s="755" t="s">
        <v>63</v>
      </c>
      <c r="I864" s="751" t="str">
        <f>+E864&amp;G864</f>
        <v>SJ5221</v>
      </c>
      <c r="J864" s="826"/>
      <c r="K864" s="470">
        <v>1538.4615384615386</v>
      </c>
      <c r="L864" s="470"/>
      <c r="M864" s="790">
        <v>46141</v>
      </c>
      <c r="N864" s="751"/>
      <c r="O864" s="788" t="s">
        <v>5763</v>
      </c>
      <c r="P864" s="790">
        <v>46143</v>
      </c>
      <c r="S864" t="s">
        <v>7045</v>
      </c>
      <c r="U864" t="s">
        <v>6915</v>
      </c>
    </row>
    <row r="865" spans="1:21" ht="13">
      <c r="A865" s="210"/>
      <c r="B865" s="750"/>
      <c r="C865" s="750"/>
      <c r="D865" s="751"/>
      <c r="E865" s="792"/>
      <c r="F865" s="753"/>
      <c r="G865" s="754"/>
      <c r="H865" s="755"/>
      <c r="I865" s="751"/>
      <c r="J865" s="826"/>
      <c r="K865" s="470"/>
      <c r="L865" s="470"/>
      <c r="M865" s="790"/>
      <c r="N865" s="751"/>
      <c r="O865" s="788"/>
      <c r="P865" s="790"/>
      <c r="S865"/>
      <c r="U865"/>
    </row>
    <row r="866" spans="1:21" ht="26">
      <c r="B866" s="750" t="s">
        <v>7078</v>
      </c>
      <c r="C866" s="750" t="s">
        <v>7077</v>
      </c>
      <c r="D866" s="751" t="s">
        <v>2821</v>
      </c>
      <c r="E866" s="752" t="s">
        <v>676</v>
      </c>
      <c r="G866" s="791">
        <v>110305</v>
      </c>
      <c r="H866" s="788" t="s">
        <v>5766</v>
      </c>
      <c r="I866" s="829"/>
      <c r="J866" s="470">
        <v>49737</v>
      </c>
      <c r="K866" s="470">
        <v>35.4</v>
      </c>
      <c r="L866" s="470">
        <v>1405</v>
      </c>
      <c r="M866" s="470" t="s">
        <v>6059</v>
      </c>
      <c r="N866" s="470" t="s">
        <v>780</v>
      </c>
      <c r="O866" s="470" t="s">
        <v>781</v>
      </c>
      <c r="P866" s="756" t="s">
        <v>6065</v>
      </c>
      <c r="Q866" s="751" t="s">
        <v>5873</v>
      </c>
      <c r="R866" s="751" t="s">
        <v>6066</v>
      </c>
      <c r="S866" s="751" t="s">
        <v>6092</v>
      </c>
      <c r="T866" s="751" t="s">
        <v>6068</v>
      </c>
      <c r="U866" s="751" t="s">
        <v>786</v>
      </c>
    </row>
    <row r="867" spans="1:21" ht="39">
      <c r="B867" s="750" t="s">
        <v>7075</v>
      </c>
      <c r="C867" s="750"/>
      <c r="D867" s="751"/>
      <c r="E867" s="752"/>
      <c r="F867" s="750"/>
      <c r="G867" s="751"/>
      <c r="H867" s="751"/>
      <c r="I867" s="751"/>
      <c r="J867" s="470"/>
      <c r="K867" s="470">
        <v>-84691.845897435851</v>
      </c>
      <c r="L867" s="470"/>
      <c r="M867" s="790">
        <v>46142</v>
      </c>
      <c r="N867" s="751"/>
      <c r="O867" s="751"/>
      <c r="P867" s="751"/>
    </row>
    <row r="868" spans="1:21" ht="39">
      <c r="B868" s="750" t="s">
        <v>5839</v>
      </c>
      <c r="C868" s="750"/>
      <c r="D868" s="751"/>
      <c r="E868" s="752"/>
      <c r="F868" s="750"/>
      <c r="G868" s="751"/>
      <c r="H868" s="751"/>
      <c r="I868" s="751"/>
      <c r="J868" s="470"/>
      <c r="K868" s="470">
        <v>66881</v>
      </c>
      <c r="L868" s="470"/>
      <c r="M868" s="790">
        <v>46112</v>
      </c>
      <c r="N868" s="751"/>
      <c r="O868" s="751"/>
      <c r="P868" s="751"/>
      <c r="Q868" s="751"/>
      <c r="R868" s="751"/>
      <c r="S868" s="751"/>
      <c r="T868" s="751"/>
      <c r="U868" s="751"/>
    </row>
    <row r="869" spans="1:21" ht="65">
      <c r="B869" s="753" t="s">
        <v>5848</v>
      </c>
      <c r="C869" s="210" t="s">
        <v>5863</v>
      </c>
      <c r="D869" s="751"/>
      <c r="G869" s="791">
        <v>110305</v>
      </c>
      <c r="H869" s="788" t="s">
        <v>5766</v>
      </c>
      <c r="J869" s="470"/>
      <c r="K869" s="789">
        <v>-253.375</v>
      </c>
      <c r="L869" s="470"/>
      <c r="M869" s="790">
        <v>46112</v>
      </c>
      <c r="N869" s="751"/>
      <c r="O869" s="751"/>
      <c r="P869" s="790"/>
      <c r="Q869" s="788" t="s">
        <v>5825</v>
      </c>
      <c r="R869" s="788" t="s">
        <v>5825</v>
      </c>
      <c r="S869" s="788" t="s">
        <v>5825</v>
      </c>
      <c r="T869" s="788"/>
      <c r="U869" s="788"/>
    </row>
    <row r="870" spans="1:21" ht="39">
      <c r="B870" s="750" t="s">
        <v>5839</v>
      </c>
      <c r="C870" s="750"/>
      <c r="D870" s="751"/>
      <c r="E870" s="788" t="s">
        <v>5763</v>
      </c>
      <c r="G870" s="791">
        <v>8101</v>
      </c>
      <c r="H870" s="788" t="s">
        <v>5764</v>
      </c>
      <c r="I870" s="751"/>
      <c r="J870" s="470"/>
      <c r="K870" s="789">
        <v>-35.4</v>
      </c>
      <c r="L870" s="470"/>
      <c r="M870" s="790">
        <v>46112</v>
      </c>
      <c r="N870" s="751"/>
      <c r="O870" s="751"/>
      <c r="P870" s="790"/>
      <c r="Q870" s="788" t="s">
        <v>5830</v>
      </c>
      <c r="R870" s="788" t="s">
        <v>5830</v>
      </c>
      <c r="S870" s="788" t="s">
        <v>5830</v>
      </c>
      <c r="T870" s="788"/>
      <c r="U870" s="788"/>
    </row>
    <row r="871" spans="1:21" ht="39">
      <c r="B871" s="750" t="s">
        <v>5839</v>
      </c>
      <c r="C871" s="750"/>
      <c r="D871" s="751"/>
      <c r="E871" s="788" t="s">
        <v>5763</v>
      </c>
      <c r="G871" s="791">
        <v>5313</v>
      </c>
      <c r="H871" s="788" t="s">
        <v>5765</v>
      </c>
      <c r="I871" s="751"/>
      <c r="J871" s="470"/>
      <c r="K871" s="789">
        <v>-20</v>
      </c>
      <c r="L871" s="470"/>
      <c r="M871" s="790">
        <v>46112</v>
      </c>
      <c r="N871" s="751"/>
      <c r="O871" s="751"/>
      <c r="P871" s="790"/>
      <c r="Q871" s="788" t="s">
        <v>5771</v>
      </c>
      <c r="R871" s="788" t="s">
        <v>5771</v>
      </c>
      <c r="S871" s="788" t="s">
        <v>5771</v>
      </c>
      <c r="T871" s="788"/>
      <c r="U871" s="788"/>
    </row>
    <row r="872" spans="1:21" ht="39">
      <c r="B872" s="750" t="s">
        <v>5839</v>
      </c>
      <c r="C872" s="750"/>
      <c r="D872" s="751"/>
      <c r="E872" s="788" t="s">
        <v>2771</v>
      </c>
      <c r="G872" s="791">
        <v>8101</v>
      </c>
      <c r="H872" s="788" t="s">
        <v>5764</v>
      </c>
      <c r="I872" s="751"/>
      <c r="J872" s="470"/>
      <c r="K872" s="789">
        <v>-44.94</v>
      </c>
      <c r="L872" s="470"/>
      <c r="M872" s="790">
        <v>46112</v>
      </c>
      <c r="N872" s="751"/>
      <c r="O872" s="751"/>
      <c r="P872" s="790"/>
      <c r="Q872" s="788" t="s">
        <v>5768</v>
      </c>
      <c r="R872" s="788" t="s">
        <v>5768</v>
      </c>
      <c r="S872" s="788" t="s">
        <v>5768</v>
      </c>
      <c r="T872" s="788"/>
      <c r="U872" s="788"/>
    </row>
    <row r="873" spans="1:21" ht="39">
      <c r="B873" s="750" t="s">
        <v>5839</v>
      </c>
      <c r="C873" s="750"/>
      <c r="D873" s="751"/>
      <c r="E873" s="788" t="s">
        <v>5763</v>
      </c>
      <c r="G873" s="791">
        <v>8101</v>
      </c>
      <c r="H873" s="788" t="s">
        <v>5764</v>
      </c>
      <c r="I873" s="751"/>
      <c r="J873" s="470"/>
      <c r="K873" s="789">
        <v>-13.3</v>
      </c>
      <c r="L873" s="470"/>
      <c r="M873" s="790">
        <v>46112</v>
      </c>
      <c r="N873" s="751"/>
      <c r="O873" s="751"/>
      <c r="P873" s="790"/>
      <c r="Q873" s="788" t="s">
        <v>2797</v>
      </c>
      <c r="R873" s="788" t="s">
        <v>2797</v>
      </c>
      <c r="S873" s="788" t="s">
        <v>2797</v>
      </c>
      <c r="T873" s="788"/>
      <c r="U873" s="788"/>
    </row>
    <row r="874" spans="1:21" ht="39">
      <c r="B874" s="750" t="s">
        <v>5839</v>
      </c>
      <c r="C874" s="750"/>
      <c r="D874" s="751"/>
      <c r="E874" s="788" t="s">
        <v>5763</v>
      </c>
      <c r="G874" s="791">
        <v>8101</v>
      </c>
      <c r="H874" s="788" t="s">
        <v>5764</v>
      </c>
      <c r="I874" s="751"/>
      <c r="J874" s="470"/>
      <c r="K874" s="789">
        <v>-1.9</v>
      </c>
      <c r="L874" s="470"/>
      <c r="M874" s="790">
        <v>46112</v>
      </c>
      <c r="N874" s="751"/>
      <c r="O874" s="751"/>
      <c r="P874" s="790"/>
      <c r="Q874" s="788" t="s">
        <v>5774</v>
      </c>
      <c r="R874" s="788" t="s">
        <v>5774</v>
      </c>
      <c r="S874" s="788" t="s">
        <v>5774</v>
      </c>
      <c r="T874" s="788"/>
      <c r="U874" s="788"/>
    </row>
    <row r="875" spans="1:21" ht="39">
      <c r="B875" s="750" t="s">
        <v>5839</v>
      </c>
      <c r="C875" s="750"/>
      <c r="D875" s="751"/>
      <c r="E875" s="788" t="s">
        <v>5763</v>
      </c>
      <c r="G875" s="791">
        <v>8101</v>
      </c>
      <c r="H875" s="788" t="s">
        <v>5764</v>
      </c>
      <c r="I875" s="751"/>
      <c r="J875" s="470"/>
      <c r="K875" s="789">
        <v>-1.9289999999999998</v>
      </c>
      <c r="L875" s="470"/>
      <c r="M875" s="790">
        <v>46112</v>
      </c>
      <c r="N875" s="751"/>
      <c r="O875" s="751"/>
      <c r="P875" s="790"/>
      <c r="Q875" s="788" t="s">
        <v>2797</v>
      </c>
      <c r="R875" s="788" t="s">
        <v>2797</v>
      </c>
      <c r="S875" s="788" t="s">
        <v>2797</v>
      </c>
      <c r="T875" s="788"/>
      <c r="U875" s="788"/>
    </row>
    <row r="876" spans="1:21" ht="39">
      <c r="B876" s="750" t="s">
        <v>5839</v>
      </c>
      <c r="C876" s="750"/>
      <c r="D876" s="751"/>
      <c r="E876" s="788" t="s">
        <v>5763</v>
      </c>
      <c r="G876" s="791">
        <v>110305</v>
      </c>
      <c r="H876" s="788" t="s">
        <v>5766</v>
      </c>
      <c r="I876" s="751"/>
      <c r="J876" s="470"/>
      <c r="K876" s="789">
        <v>-1.9155000000000002</v>
      </c>
      <c r="L876" s="470"/>
      <c r="M876" s="790">
        <v>46112</v>
      </c>
      <c r="N876" s="751"/>
      <c r="O876" s="751"/>
      <c r="P876" s="790"/>
      <c r="Q876" s="788" t="s">
        <v>2797</v>
      </c>
      <c r="R876" s="788" t="s">
        <v>2797</v>
      </c>
      <c r="S876" s="788" t="s">
        <v>2797</v>
      </c>
      <c r="T876" s="788"/>
      <c r="U876" s="788"/>
    </row>
    <row r="877" spans="1:21" ht="39">
      <c r="B877" s="750" t="s">
        <v>5839</v>
      </c>
      <c r="C877" s="750"/>
      <c r="D877" s="751"/>
      <c r="E877" s="788" t="s">
        <v>5763</v>
      </c>
      <c r="G877" s="791">
        <v>110305</v>
      </c>
      <c r="H877" s="788" t="s">
        <v>5766</v>
      </c>
      <c r="I877" s="751"/>
      <c r="J877" s="470"/>
      <c r="K877" s="789">
        <v>-720</v>
      </c>
      <c r="L877" s="470"/>
      <c r="M877" s="790">
        <v>46112</v>
      </c>
      <c r="N877" s="751"/>
      <c r="O877" s="751"/>
      <c r="P877" s="790"/>
      <c r="Q877" s="788" t="s">
        <v>5832</v>
      </c>
      <c r="R877" s="788" t="s">
        <v>5832</v>
      </c>
      <c r="S877" s="788" t="s">
        <v>5832</v>
      </c>
      <c r="T877" s="788"/>
      <c r="U877" s="788"/>
    </row>
    <row r="879" spans="1:21">
      <c r="D879" s="152" t="s">
        <v>2821</v>
      </c>
      <c r="G879" s="474" t="s">
        <v>370</v>
      </c>
      <c r="H879" s="210" t="s">
        <v>320</v>
      </c>
      <c r="I879" s="210"/>
      <c r="J879" s="513">
        <v>-5600</v>
      </c>
      <c r="K879" s="513">
        <v>-3.9857651245551602</v>
      </c>
      <c r="L879" s="513">
        <v>1405</v>
      </c>
      <c r="M879" s="513" t="s">
        <v>6270</v>
      </c>
      <c r="N879" s="513" t="s">
        <v>780</v>
      </c>
      <c r="O879" s="513" t="s">
        <v>781</v>
      </c>
      <c r="P879" s="518" t="s">
        <v>6285</v>
      </c>
      <c r="Q879" s="152" t="s">
        <v>5873</v>
      </c>
      <c r="R879" s="152" t="s">
        <v>6286</v>
      </c>
      <c r="S879" s="152" t="s">
        <v>6287</v>
      </c>
      <c r="T879" s="152" t="s">
        <v>6288</v>
      </c>
      <c r="U879" s="152" t="s">
        <v>786</v>
      </c>
    </row>
    <row r="880" spans="1:21">
      <c r="D880" s="152" t="s">
        <v>2821</v>
      </c>
      <c r="G880" s="474" t="s">
        <v>370</v>
      </c>
      <c r="H880" s="210" t="s">
        <v>320</v>
      </c>
      <c r="I880" s="210"/>
      <c r="J880" s="513">
        <v>-160000</v>
      </c>
      <c r="K880" s="513">
        <v>-113.87900355871901</v>
      </c>
      <c r="L880" s="513">
        <v>1405</v>
      </c>
      <c r="M880" s="513" t="s">
        <v>6303</v>
      </c>
      <c r="N880" s="513" t="s">
        <v>780</v>
      </c>
      <c r="O880" s="513" t="s">
        <v>781</v>
      </c>
      <c r="P880" s="518" t="s">
        <v>6378</v>
      </c>
      <c r="Q880" s="152" t="s">
        <v>5873</v>
      </c>
      <c r="R880" s="152" t="s">
        <v>6379</v>
      </c>
      <c r="S880" s="152" t="s">
        <v>6380</v>
      </c>
      <c r="T880" s="152" t="s">
        <v>6381</v>
      </c>
      <c r="U880" s="152" t="s">
        <v>786</v>
      </c>
    </row>
    <row r="881" spans="4:21">
      <c r="D881" s="152" t="s">
        <v>2821</v>
      </c>
      <c r="G881" s="474" t="s">
        <v>370</v>
      </c>
      <c r="H881" s="210" t="s">
        <v>320</v>
      </c>
      <c r="I881" s="210"/>
      <c r="J881" s="513">
        <v>-165112.5</v>
      </c>
      <c r="K881" s="513">
        <v>-117.517793594306</v>
      </c>
      <c r="L881" s="513">
        <v>1405</v>
      </c>
      <c r="M881" s="513" t="s">
        <v>6303</v>
      </c>
      <c r="N881" s="513" t="s">
        <v>780</v>
      </c>
      <c r="O881" s="513" t="s">
        <v>781</v>
      </c>
      <c r="P881" s="518" t="s">
        <v>6393</v>
      </c>
      <c r="Q881" s="152" t="s">
        <v>5873</v>
      </c>
      <c r="R881" s="152" t="s">
        <v>6394</v>
      </c>
      <c r="S881" s="152" t="s">
        <v>6395</v>
      </c>
      <c r="T881" s="152" t="s">
        <v>6396</v>
      </c>
      <c r="U881" s="152" t="s">
        <v>786</v>
      </c>
    </row>
    <row r="882" spans="4:21">
      <c r="D882" s="152" t="s">
        <v>2821</v>
      </c>
      <c r="G882" s="474" t="s">
        <v>370</v>
      </c>
      <c r="H882" s="210" t="s">
        <v>320</v>
      </c>
      <c r="I882" s="210"/>
      <c r="J882" s="513">
        <v>-69000</v>
      </c>
      <c r="K882" s="513">
        <v>-49.110320284697501</v>
      </c>
      <c r="L882" s="513">
        <v>1405</v>
      </c>
      <c r="M882" s="513" t="s">
        <v>6303</v>
      </c>
      <c r="N882" s="513" t="s">
        <v>780</v>
      </c>
      <c r="O882" s="513" t="s">
        <v>781</v>
      </c>
      <c r="P882" s="518" t="s">
        <v>6378</v>
      </c>
      <c r="Q882" s="152" t="s">
        <v>5873</v>
      </c>
      <c r="R882" s="152" t="s">
        <v>6379</v>
      </c>
      <c r="S882" s="152" t="s">
        <v>6397</v>
      </c>
      <c r="T882" s="152" t="s">
        <v>6381</v>
      </c>
      <c r="U882" s="152" t="s">
        <v>786</v>
      </c>
    </row>
    <row r="883" spans="4:21">
      <c r="D883" s="152" t="s">
        <v>2821</v>
      </c>
      <c r="G883" s="474" t="s">
        <v>370</v>
      </c>
      <c r="H883" s="210" t="s">
        <v>320</v>
      </c>
      <c r="I883" s="210"/>
      <c r="J883" s="513">
        <v>-20000</v>
      </c>
      <c r="K883" s="513">
        <v>-14.234875444839901</v>
      </c>
      <c r="L883" s="513">
        <v>1405</v>
      </c>
      <c r="M883" s="513" t="s">
        <v>5951</v>
      </c>
      <c r="N883" s="513" t="s">
        <v>780</v>
      </c>
      <c r="O883" s="513" t="s">
        <v>1272</v>
      </c>
      <c r="P883" s="518" t="s">
        <v>5966</v>
      </c>
      <c r="Q883" s="152" t="s">
        <v>5873</v>
      </c>
      <c r="R883" s="152" t="s">
        <v>5967</v>
      </c>
      <c r="S883" s="152" t="s">
        <v>5968</v>
      </c>
      <c r="T883" s="152" t="s">
        <v>5969</v>
      </c>
      <c r="U883" s="152" t="s">
        <v>786</v>
      </c>
    </row>
    <row r="884" spans="4:21">
      <c r="D884" s="152" t="s">
        <v>2821</v>
      </c>
      <c r="G884" s="474" t="s">
        <v>370</v>
      </c>
      <c r="H884" s="210" t="s">
        <v>320</v>
      </c>
      <c r="I884" s="210"/>
      <c r="J884" s="513">
        <v>-380000</v>
      </c>
      <c r="K884" s="513">
        <v>-270.462633451957</v>
      </c>
      <c r="L884" s="513">
        <v>1405</v>
      </c>
      <c r="M884" s="513" t="s">
        <v>6023</v>
      </c>
      <c r="N884" s="513" t="s">
        <v>780</v>
      </c>
      <c r="O884" s="513" t="s">
        <v>1272</v>
      </c>
      <c r="P884" s="518" t="s">
        <v>6035</v>
      </c>
      <c r="Q884" s="152" t="s">
        <v>5873</v>
      </c>
      <c r="R884" s="152" t="s">
        <v>6036</v>
      </c>
      <c r="S884" s="152" t="s">
        <v>6037</v>
      </c>
      <c r="T884" s="152" t="s">
        <v>6038</v>
      </c>
      <c r="U884" s="152" t="s">
        <v>786</v>
      </c>
    </row>
    <row r="885" spans="4:21">
      <c r="D885" s="152" t="s">
        <v>2821</v>
      </c>
      <c r="G885" s="474" t="s">
        <v>370</v>
      </c>
      <c r="H885" s="210" t="s">
        <v>320</v>
      </c>
      <c r="I885" s="210"/>
      <c r="J885" s="513">
        <v>-5600</v>
      </c>
      <c r="K885" s="513">
        <v>-3.9857651245551602</v>
      </c>
      <c r="L885" s="513">
        <v>1405</v>
      </c>
      <c r="M885" s="513" t="s">
        <v>6270</v>
      </c>
      <c r="N885" s="513" t="s">
        <v>780</v>
      </c>
      <c r="O885" s="513" t="s">
        <v>1272</v>
      </c>
      <c r="P885" s="518" t="s">
        <v>6285</v>
      </c>
      <c r="Q885" s="152" t="s">
        <v>5873</v>
      </c>
      <c r="R885" s="152" t="s">
        <v>6286</v>
      </c>
      <c r="S885" s="152" t="s">
        <v>6289</v>
      </c>
      <c r="T885" s="152" t="s">
        <v>6288</v>
      </c>
      <c r="U885" s="152" t="s">
        <v>786</v>
      </c>
    </row>
    <row r="886" spans="4:21">
      <c r="D886" s="152" t="s">
        <v>2821</v>
      </c>
      <c r="G886" s="474" t="s">
        <v>370</v>
      </c>
      <c r="H886" s="210" t="s">
        <v>320</v>
      </c>
      <c r="I886" s="210"/>
      <c r="J886" s="513">
        <v>-165112.5</v>
      </c>
      <c r="K886" s="513">
        <v>-117.517793594306</v>
      </c>
      <c r="L886" s="513">
        <v>1405</v>
      </c>
      <c r="M886" s="513" t="s">
        <v>6303</v>
      </c>
      <c r="N886" s="513" t="s">
        <v>780</v>
      </c>
      <c r="O886" s="513" t="s">
        <v>1272</v>
      </c>
      <c r="P886" s="518" t="s">
        <v>6393</v>
      </c>
      <c r="Q886" s="152" t="s">
        <v>5873</v>
      </c>
      <c r="R886" s="152" t="s">
        <v>6394</v>
      </c>
      <c r="S886" s="152" t="s">
        <v>6405</v>
      </c>
      <c r="T886" s="152" t="s">
        <v>6396</v>
      </c>
      <c r="U886" s="152" t="s">
        <v>786</v>
      </c>
    </row>
    <row r="887" spans="4:21">
      <c r="D887" s="152" t="s">
        <v>2821</v>
      </c>
      <c r="G887" s="474" t="s">
        <v>370</v>
      </c>
      <c r="H887" s="210" t="s">
        <v>320</v>
      </c>
      <c r="I887" s="210"/>
      <c r="J887" s="513">
        <v>-280800</v>
      </c>
      <c r="K887" s="513">
        <v>-199.85765124555201</v>
      </c>
      <c r="L887" s="513">
        <v>1405</v>
      </c>
      <c r="M887" s="513" t="s">
        <v>6023</v>
      </c>
      <c r="N887" s="513" t="s">
        <v>780</v>
      </c>
      <c r="O887" s="513" t="s">
        <v>1407</v>
      </c>
      <c r="P887" s="518" t="s">
        <v>6035</v>
      </c>
      <c r="Q887" s="152" t="s">
        <v>5873</v>
      </c>
      <c r="R887" s="152" t="s">
        <v>6036</v>
      </c>
      <c r="S887" s="152" t="s">
        <v>6045</v>
      </c>
      <c r="T887" s="152" t="s">
        <v>6038</v>
      </c>
      <c r="U887" s="152" t="s">
        <v>786</v>
      </c>
    </row>
    <row r="888" spans="4:21">
      <c r="D888" s="152" t="s">
        <v>2821</v>
      </c>
      <c r="G888" s="474" t="s">
        <v>370</v>
      </c>
      <c r="H888" s="210" t="s">
        <v>320</v>
      </c>
      <c r="I888" s="210"/>
      <c r="J888" s="513">
        <v>-103200</v>
      </c>
      <c r="K888" s="513">
        <v>-73.451957295373703</v>
      </c>
      <c r="L888" s="513">
        <v>1405</v>
      </c>
      <c r="M888" s="513" t="s">
        <v>6023</v>
      </c>
      <c r="N888" s="513" t="s">
        <v>780</v>
      </c>
      <c r="O888" s="513" t="s">
        <v>1407</v>
      </c>
      <c r="P888" s="518" t="s">
        <v>6035</v>
      </c>
      <c r="Q888" s="152" t="s">
        <v>5873</v>
      </c>
      <c r="R888" s="152" t="s">
        <v>6036</v>
      </c>
      <c r="S888" s="152" t="s">
        <v>6053</v>
      </c>
      <c r="T888" s="152" t="s">
        <v>6038</v>
      </c>
      <c r="U888" s="152" t="s">
        <v>786</v>
      </c>
    </row>
    <row r="889" spans="4:21">
      <c r="D889" s="152" t="s">
        <v>2821</v>
      </c>
      <c r="G889" s="474" t="s">
        <v>370</v>
      </c>
      <c r="H889" s="210" t="s">
        <v>320</v>
      </c>
      <c r="I889" s="210"/>
      <c r="J889" s="513">
        <v>-10000</v>
      </c>
      <c r="K889" s="513">
        <v>-7.1174377224199299</v>
      </c>
      <c r="L889" s="513">
        <v>1405</v>
      </c>
      <c r="M889" s="513" t="s">
        <v>6023</v>
      </c>
      <c r="N889" s="513" t="s">
        <v>780</v>
      </c>
      <c r="O889" s="513" t="s">
        <v>1407</v>
      </c>
      <c r="P889" s="518" t="s">
        <v>6035</v>
      </c>
      <c r="Q889" s="152" t="s">
        <v>5873</v>
      </c>
      <c r="R889" s="152" t="s">
        <v>6036</v>
      </c>
      <c r="S889" s="152" t="s">
        <v>6054</v>
      </c>
      <c r="T889" s="152" t="s">
        <v>6038</v>
      </c>
      <c r="U889" s="152" t="s">
        <v>786</v>
      </c>
    </row>
    <row r="890" spans="4:21">
      <c r="D890" s="152" t="s">
        <v>2821</v>
      </c>
      <c r="G890" s="474" t="s">
        <v>370</v>
      </c>
      <c r="H890" s="210" t="s">
        <v>320</v>
      </c>
      <c r="I890" s="210"/>
      <c r="J890" s="513">
        <v>-195000</v>
      </c>
      <c r="K890" s="513">
        <v>-138.79003558718901</v>
      </c>
      <c r="L890" s="513">
        <v>1405</v>
      </c>
      <c r="M890" s="513" t="s">
        <v>6270</v>
      </c>
      <c r="N890" s="513" t="s">
        <v>780</v>
      </c>
      <c r="O890" s="513" t="s">
        <v>1407</v>
      </c>
      <c r="P890" s="518" t="s">
        <v>6285</v>
      </c>
      <c r="Q890" s="152" t="s">
        <v>5873</v>
      </c>
      <c r="R890" s="152" t="s">
        <v>6286</v>
      </c>
      <c r="S890" s="152" t="s">
        <v>6290</v>
      </c>
      <c r="T890" s="152" t="s">
        <v>6288</v>
      </c>
      <c r="U890" s="152" t="s">
        <v>786</v>
      </c>
    </row>
    <row r="891" spans="4:21">
      <c r="D891" s="152" t="s">
        <v>2821</v>
      </c>
      <c r="G891" s="474" t="s">
        <v>370</v>
      </c>
      <c r="H891" s="210" t="s">
        <v>320</v>
      </c>
      <c r="I891" s="210"/>
      <c r="J891" s="513">
        <v>-5600</v>
      </c>
      <c r="K891" s="513">
        <v>-3.9857651245551602</v>
      </c>
      <c r="L891" s="513">
        <v>1405</v>
      </c>
      <c r="M891" s="513" t="s">
        <v>6270</v>
      </c>
      <c r="N891" s="513" t="s">
        <v>780</v>
      </c>
      <c r="O891" s="513" t="s">
        <v>1407</v>
      </c>
      <c r="P891" s="518" t="s">
        <v>6285</v>
      </c>
      <c r="Q891" s="152" t="s">
        <v>5873</v>
      </c>
      <c r="R891" s="152" t="s">
        <v>6286</v>
      </c>
      <c r="S891" s="152" t="s">
        <v>6292</v>
      </c>
      <c r="T891" s="152" t="s">
        <v>6288</v>
      </c>
      <c r="U891" s="152" t="s">
        <v>786</v>
      </c>
    </row>
    <row r="892" spans="4:21">
      <c r="D892" s="152" t="s">
        <v>2821</v>
      </c>
      <c r="G892" s="474" t="s">
        <v>370</v>
      </c>
      <c r="H892" s="210" t="s">
        <v>320</v>
      </c>
      <c r="I892" s="210"/>
      <c r="J892" s="513">
        <v>-242000</v>
      </c>
      <c r="K892" s="513">
        <v>-172.24199288256199</v>
      </c>
      <c r="L892" s="513">
        <v>1405</v>
      </c>
      <c r="M892" s="513" t="s">
        <v>6303</v>
      </c>
      <c r="N892" s="513" t="s">
        <v>780</v>
      </c>
      <c r="O892" s="513" t="s">
        <v>1407</v>
      </c>
      <c r="P892" s="518" t="s">
        <v>6378</v>
      </c>
      <c r="Q892" s="152" t="s">
        <v>5873</v>
      </c>
      <c r="R892" s="152" t="s">
        <v>6379</v>
      </c>
      <c r="S892" s="152" t="s">
        <v>6566</v>
      </c>
      <c r="T892" s="152" t="s">
        <v>6381</v>
      </c>
      <c r="U892" s="152" t="s">
        <v>786</v>
      </c>
    </row>
    <row r="893" spans="4:21">
      <c r="D893" s="152" t="s">
        <v>2821</v>
      </c>
      <c r="G893" s="474" t="s">
        <v>370</v>
      </c>
      <c r="H893" s="210" t="s">
        <v>320</v>
      </c>
      <c r="I893" s="210"/>
      <c r="J893" s="513">
        <v>-165112.5</v>
      </c>
      <c r="K893" s="513">
        <v>-117.517793594306</v>
      </c>
      <c r="L893" s="513">
        <v>1405</v>
      </c>
      <c r="M893" s="513" t="s">
        <v>6303</v>
      </c>
      <c r="N893" s="513" t="s">
        <v>780</v>
      </c>
      <c r="O893" s="513" t="s">
        <v>1407</v>
      </c>
      <c r="P893" s="518" t="s">
        <v>6393</v>
      </c>
      <c r="Q893" s="152" t="s">
        <v>5873</v>
      </c>
      <c r="R893" s="152" t="s">
        <v>6394</v>
      </c>
      <c r="S893" s="152" t="s">
        <v>6570</v>
      </c>
      <c r="T893" s="152" t="s">
        <v>6396</v>
      </c>
      <c r="U893" s="152" t="s">
        <v>786</v>
      </c>
    </row>
    <row r="894" spans="4:21">
      <c r="D894" s="152" t="s">
        <v>2821</v>
      </c>
      <c r="G894" s="474" t="s">
        <v>370</v>
      </c>
      <c r="H894" s="210" t="s">
        <v>320</v>
      </c>
      <c r="I894" s="210"/>
      <c r="J894" s="513">
        <v>-49800</v>
      </c>
      <c r="K894" s="513">
        <v>-35.444839857651203</v>
      </c>
      <c r="L894" s="513">
        <v>1405</v>
      </c>
      <c r="M894" s="513" t="s">
        <v>6303</v>
      </c>
      <c r="N894" s="513" t="s">
        <v>780</v>
      </c>
      <c r="O894" s="513" t="s">
        <v>1407</v>
      </c>
      <c r="P894" s="518" t="s">
        <v>6393</v>
      </c>
      <c r="Q894" s="152" t="s">
        <v>5873</v>
      </c>
      <c r="R894" s="152" t="s">
        <v>6394</v>
      </c>
      <c r="S894" s="152" t="s">
        <v>6571</v>
      </c>
      <c r="T894" s="152" t="s">
        <v>6396</v>
      </c>
      <c r="U894" s="152" t="s">
        <v>786</v>
      </c>
    </row>
    <row r="895" spans="4:21">
      <c r="D895" s="152" t="s">
        <v>2821</v>
      </c>
      <c r="G895" s="474" t="s">
        <v>370</v>
      </c>
      <c r="H895" s="210" t="s">
        <v>320</v>
      </c>
      <c r="I895" s="210"/>
      <c r="J895" s="513">
        <v>7800000</v>
      </c>
      <c r="K895" s="513">
        <v>5551.6014234875402</v>
      </c>
      <c r="L895" s="513">
        <v>1405</v>
      </c>
      <c r="M895" s="513" t="s">
        <v>5877</v>
      </c>
      <c r="N895" s="513" t="s">
        <v>780</v>
      </c>
      <c r="O895" s="513" t="s">
        <v>2705</v>
      </c>
      <c r="P895" s="518" t="s">
        <v>5878</v>
      </c>
      <c r="Q895" s="152" t="s">
        <v>5873</v>
      </c>
      <c r="R895" s="152" t="s">
        <v>5879</v>
      </c>
      <c r="S895" s="152" t="s">
        <v>5879</v>
      </c>
      <c r="T895" s="152" t="s">
        <v>5880</v>
      </c>
      <c r="U895" s="152" t="s">
        <v>786</v>
      </c>
    </row>
    <row r="896" spans="4:21">
      <c r="D896" s="152" t="s">
        <v>2821</v>
      </c>
      <c r="G896" s="474" t="s">
        <v>370</v>
      </c>
      <c r="H896" s="210" t="s">
        <v>320</v>
      </c>
      <c r="I896" s="210"/>
      <c r="J896" s="513">
        <v>700000</v>
      </c>
      <c r="K896" s="513">
        <v>498.22064056939502</v>
      </c>
      <c r="L896" s="513">
        <v>1405</v>
      </c>
      <c r="M896" s="513" t="s">
        <v>6023</v>
      </c>
      <c r="N896" s="513" t="s">
        <v>780</v>
      </c>
      <c r="O896" s="513" t="s">
        <v>2705</v>
      </c>
      <c r="P896" s="518" t="s">
        <v>6056</v>
      </c>
      <c r="Q896" s="152" t="s">
        <v>5873</v>
      </c>
      <c r="R896" s="152" t="s">
        <v>6057</v>
      </c>
      <c r="S896" s="152" t="s">
        <v>6057</v>
      </c>
      <c r="T896" s="152" t="s">
        <v>6058</v>
      </c>
      <c r="U896" s="152" t="s">
        <v>786</v>
      </c>
    </row>
    <row r="897" spans="4:21">
      <c r="D897" s="152" t="s">
        <v>2821</v>
      </c>
      <c r="G897" s="474" t="s">
        <v>370</v>
      </c>
      <c r="H897" s="210" t="s">
        <v>320</v>
      </c>
      <c r="I897" s="210"/>
      <c r="J897" s="513">
        <v>200000</v>
      </c>
      <c r="K897" s="513">
        <v>142.34875444839901</v>
      </c>
      <c r="L897" s="513">
        <v>1405</v>
      </c>
      <c r="M897" s="513" t="s">
        <v>6270</v>
      </c>
      <c r="N897" s="513" t="s">
        <v>780</v>
      </c>
      <c r="O897" s="513" t="s">
        <v>2705</v>
      </c>
      <c r="P897" s="518" t="s">
        <v>6293</v>
      </c>
      <c r="Q897" s="152" t="s">
        <v>5873</v>
      </c>
      <c r="R897" s="152" t="s">
        <v>6294</v>
      </c>
      <c r="S897" s="152" t="s">
        <v>6294</v>
      </c>
      <c r="T897" s="152" t="s">
        <v>6295</v>
      </c>
      <c r="U897" s="152" t="s">
        <v>786</v>
      </c>
    </row>
    <row r="898" spans="4:21">
      <c r="D898" s="152" t="s">
        <v>2821</v>
      </c>
      <c r="G898" s="474" t="s">
        <v>371</v>
      </c>
      <c r="H898" s="210" t="s">
        <v>353</v>
      </c>
      <c r="I898" s="210"/>
      <c r="J898" s="513">
        <v>-49175000</v>
      </c>
      <c r="K898" s="513">
        <v>-35000</v>
      </c>
      <c r="L898" s="513">
        <v>1405</v>
      </c>
      <c r="M898" s="513" t="s">
        <v>5951</v>
      </c>
      <c r="N898" s="513" t="s">
        <v>780</v>
      </c>
      <c r="O898" s="513" t="s">
        <v>781</v>
      </c>
      <c r="P898" s="518" t="s">
        <v>5952</v>
      </c>
      <c r="Q898" s="152" t="s">
        <v>5873</v>
      </c>
      <c r="R898" s="152" t="s">
        <v>5953</v>
      </c>
      <c r="S898" s="152" t="s">
        <v>5954</v>
      </c>
      <c r="T898" s="152" t="s">
        <v>5955</v>
      </c>
      <c r="U898" s="152" t="s">
        <v>786</v>
      </c>
    </row>
    <row r="899" spans="4:21">
      <c r="D899" s="152" t="s">
        <v>2821</v>
      </c>
      <c r="G899" s="474" t="s">
        <v>371</v>
      </c>
      <c r="H899" s="210" t="s">
        <v>353</v>
      </c>
      <c r="I899" s="210"/>
      <c r="J899" s="513">
        <v>11598275</v>
      </c>
      <c r="K899" s="513">
        <v>8255</v>
      </c>
      <c r="L899" s="513">
        <v>1405</v>
      </c>
      <c r="M899" s="513" t="s">
        <v>5951</v>
      </c>
      <c r="N899" s="513" t="s">
        <v>780</v>
      </c>
      <c r="O899" s="513" t="s">
        <v>781</v>
      </c>
      <c r="P899" s="518" t="s">
        <v>5956</v>
      </c>
      <c r="Q899" s="152" t="s">
        <v>5873</v>
      </c>
      <c r="R899" s="152" t="s">
        <v>5957</v>
      </c>
      <c r="S899" s="152" t="s">
        <v>5958</v>
      </c>
      <c r="T899" s="152" t="s">
        <v>5959</v>
      </c>
      <c r="U899" s="152" t="s">
        <v>786</v>
      </c>
    </row>
    <row r="900" spans="4:21">
      <c r="D900" s="152" t="s">
        <v>2821</v>
      </c>
      <c r="G900" s="474" t="s">
        <v>371</v>
      </c>
      <c r="H900" s="210" t="s">
        <v>353</v>
      </c>
      <c r="I900" s="210"/>
      <c r="J900" s="513">
        <v>11598275</v>
      </c>
      <c r="K900" s="513">
        <v>8255</v>
      </c>
      <c r="L900" s="513">
        <v>1405</v>
      </c>
      <c r="M900" s="513" t="s">
        <v>5951</v>
      </c>
      <c r="N900" s="513" t="s">
        <v>780</v>
      </c>
      <c r="O900" s="513" t="s">
        <v>781</v>
      </c>
      <c r="P900" s="518" t="s">
        <v>5956</v>
      </c>
      <c r="Q900" s="152" t="s">
        <v>5873</v>
      </c>
      <c r="R900" s="152" t="s">
        <v>5957</v>
      </c>
      <c r="S900" s="152" t="s">
        <v>5960</v>
      </c>
      <c r="T900" s="152" t="s">
        <v>5959</v>
      </c>
      <c r="U900" s="152" t="s">
        <v>786</v>
      </c>
    </row>
    <row r="901" spans="4:21">
      <c r="D901" s="152" t="s">
        <v>2821</v>
      </c>
      <c r="G901" s="474" t="s">
        <v>371</v>
      </c>
      <c r="H901" s="210" t="s">
        <v>353</v>
      </c>
      <c r="I901" s="210"/>
      <c r="J901" s="513">
        <v>-1320700</v>
      </c>
      <c r="K901" s="513">
        <v>-940</v>
      </c>
      <c r="L901" s="513">
        <v>1405</v>
      </c>
      <c r="M901" s="513" t="s">
        <v>5951</v>
      </c>
      <c r="N901" s="513" t="s">
        <v>780</v>
      </c>
      <c r="O901" s="513" t="s">
        <v>781</v>
      </c>
      <c r="P901" s="518" t="s">
        <v>5952</v>
      </c>
      <c r="Q901" s="152" t="s">
        <v>5873</v>
      </c>
      <c r="R901" s="152" t="s">
        <v>5953</v>
      </c>
      <c r="S901" s="152" t="s">
        <v>5961</v>
      </c>
      <c r="T901" s="152" t="s">
        <v>5955</v>
      </c>
      <c r="U901" s="152" t="s">
        <v>786</v>
      </c>
    </row>
    <row r="902" spans="4:21">
      <c r="D902" s="152" t="s">
        <v>2821</v>
      </c>
      <c r="G902" s="474" t="s">
        <v>371</v>
      </c>
      <c r="H902" s="210" t="s">
        <v>353</v>
      </c>
      <c r="I902" s="210"/>
      <c r="J902" s="513">
        <v>-21075000</v>
      </c>
      <c r="K902" s="513">
        <v>-15000</v>
      </c>
      <c r="L902" s="513">
        <v>1405</v>
      </c>
      <c r="M902" s="513" t="s">
        <v>6023</v>
      </c>
      <c r="N902" s="513" t="s">
        <v>780</v>
      </c>
      <c r="O902" s="513" t="s">
        <v>781</v>
      </c>
      <c r="P902" s="518" t="s">
        <v>6024</v>
      </c>
      <c r="Q902" s="152" t="s">
        <v>5873</v>
      </c>
      <c r="R902" s="152" t="s">
        <v>6025</v>
      </c>
      <c r="S902" s="152" t="s">
        <v>6026</v>
      </c>
      <c r="T902" s="152" t="s">
        <v>6027</v>
      </c>
      <c r="U902" s="152" t="s">
        <v>786</v>
      </c>
    </row>
    <row r="903" spans="4:21">
      <c r="D903" s="152" t="s">
        <v>2821</v>
      </c>
      <c r="G903" s="474" t="s">
        <v>371</v>
      </c>
      <c r="H903" s="210" t="s">
        <v>353</v>
      </c>
      <c r="I903" s="210"/>
      <c r="J903" s="513">
        <v>-21075000</v>
      </c>
      <c r="K903" s="513">
        <v>-15000</v>
      </c>
      <c r="L903" s="513">
        <v>1405</v>
      </c>
      <c r="M903" s="513" t="s">
        <v>6023</v>
      </c>
      <c r="N903" s="513" t="s">
        <v>780</v>
      </c>
      <c r="O903" s="513" t="s">
        <v>781</v>
      </c>
      <c r="P903" s="518" t="s">
        <v>6024</v>
      </c>
      <c r="Q903" s="152" t="s">
        <v>5873</v>
      </c>
      <c r="R903" s="152" t="s">
        <v>6025</v>
      </c>
      <c r="S903" s="152" t="s">
        <v>6028</v>
      </c>
      <c r="T903" s="152" t="s">
        <v>6027</v>
      </c>
      <c r="U903" s="152" t="s">
        <v>786</v>
      </c>
    </row>
    <row r="904" spans="4:21">
      <c r="D904" s="152" t="s">
        <v>2821</v>
      </c>
      <c r="G904" s="474" t="s">
        <v>371</v>
      </c>
      <c r="H904" s="210" t="s">
        <v>353</v>
      </c>
      <c r="I904" s="210"/>
      <c r="J904" s="513">
        <v>9820950</v>
      </c>
      <c r="K904" s="513">
        <v>6990</v>
      </c>
      <c r="L904" s="513">
        <v>1405</v>
      </c>
      <c r="M904" s="513" t="s">
        <v>6023</v>
      </c>
      <c r="N904" s="513" t="s">
        <v>780</v>
      </c>
      <c r="O904" s="513" t="s">
        <v>781</v>
      </c>
      <c r="P904" s="518" t="s">
        <v>6029</v>
      </c>
      <c r="Q904" s="152" t="s">
        <v>5873</v>
      </c>
      <c r="R904" s="152" t="s">
        <v>6030</v>
      </c>
      <c r="S904" s="152" t="s">
        <v>6031</v>
      </c>
      <c r="T904" s="152" t="s">
        <v>6032</v>
      </c>
      <c r="U904" s="152" t="s">
        <v>786</v>
      </c>
    </row>
    <row r="905" spans="4:21">
      <c r="D905" s="152" t="s">
        <v>2821</v>
      </c>
      <c r="G905" s="474" t="s">
        <v>371</v>
      </c>
      <c r="H905" s="210" t="s">
        <v>353</v>
      </c>
      <c r="I905" s="210"/>
      <c r="J905" s="513">
        <v>9820950</v>
      </c>
      <c r="K905" s="513">
        <v>6990</v>
      </c>
      <c r="L905" s="513">
        <v>1405</v>
      </c>
      <c r="M905" s="513" t="s">
        <v>6023</v>
      </c>
      <c r="N905" s="513" t="s">
        <v>780</v>
      </c>
      <c r="O905" s="513" t="s">
        <v>781</v>
      </c>
      <c r="P905" s="518" t="s">
        <v>6029</v>
      </c>
      <c r="Q905" s="152" t="s">
        <v>5873</v>
      </c>
      <c r="R905" s="152" t="s">
        <v>6030</v>
      </c>
      <c r="S905" s="152" t="s">
        <v>6033</v>
      </c>
      <c r="T905" s="152" t="s">
        <v>6032</v>
      </c>
      <c r="U905" s="152" t="s">
        <v>786</v>
      </c>
    </row>
    <row r="906" spans="4:21">
      <c r="D906" s="152" t="s">
        <v>2821</v>
      </c>
      <c r="G906" s="474" t="s">
        <v>371</v>
      </c>
      <c r="H906" s="210" t="s">
        <v>353</v>
      </c>
      <c r="I906" s="210"/>
      <c r="J906" s="513">
        <v>28100</v>
      </c>
      <c r="K906" s="513">
        <v>20</v>
      </c>
      <c r="L906" s="513">
        <v>1405</v>
      </c>
      <c r="M906" s="513" t="s">
        <v>6023</v>
      </c>
      <c r="N906" s="513" t="s">
        <v>780</v>
      </c>
      <c r="O906" s="513" t="s">
        <v>781</v>
      </c>
      <c r="P906" s="518" t="s">
        <v>6029</v>
      </c>
      <c r="Q906" s="152" t="s">
        <v>5873</v>
      </c>
      <c r="R906" s="152" t="s">
        <v>6030</v>
      </c>
      <c r="S906" s="152" t="s">
        <v>6034</v>
      </c>
      <c r="T906" s="152" t="s">
        <v>6032</v>
      </c>
      <c r="U906" s="152" t="s">
        <v>786</v>
      </c>
    </row>
    <row r="907" spans="4:21">
      <c r="D907" s="152" t="s">
        <v>2821</v>
      </c>
      <c r="G907" s="474" t="s">
        <v>371</v>
      </c>
      <c r="H907" s="210" t="s">
        <v>353</v>
      </c>
      <c r="I907" s="210"/>
      <c r="J907" s="513">
        <v>-21075000</v>
      </c>
      <c r="K907" s="513">
        <v>-15000</v>
      </c>
      <c r="L907" s="513">
        <v>1405</v>
      </c>
      <c r="M907" s="513" t="s">
        <v>6270</v>
      </c>
      <c r="N907" s="513" t="s">
        <v>780</v>
      </c>
      <c r="O907" s="513" t="s">
        <v>781</v>
      </c>
      <c r="P907" s="518" t="s">
        <v>6271</v>
      </c>
      <c r="Q907" s="152" t="s">
        <v>5873</v>
      </c>
      <c r="R907" s="152" t="s">
        <v>6272</v>
      </c>
      <c r="S907" s="152" t="s">
        <v>6273</v>
      </c>
      <c r="T907" s="152" t="s">
        <v>6274</v>
      </c>
      <c r="U907" s="152" t="s">
        <v>786</v>
      </c>
    </row>
    <row r="908" spans="4:21">
      <c r="D908" s="152" t="s">
        <v>2821</v>
      </c>
      <c r="G908" s="474" t="s">
        <v>371</v>
      </c>
      <c r="H908" s="210" t="s">
        <v>353</v>
      </c>
      <c r="I908" s="210"/>
      <c r="J908" s="513">
        <v>-21075000</v>
      </c>
      <c r="K908" s="513">
        <v>-15000</v>
      </c>
      <c r="L908" s="513">
        <v>1405</v>
      </c>
      <c r="M908" s="513" t="s">
        <v>6270</v>
      </c>
      <c r="N908" s="513" t="s">
        <v>780</v>
      </c>
      <c r="O908" s="513" t="s">
        <v>781</v>
      </c>
      <c r="P908" s="518" t="s">
        <v>6271</v>
      </c>
      <c r="Q908" s="152" t="s">
        <v>5873</v>
      </c>
      <c r="R908" s="152" t="s">
        <v>6272</v>
      </c>
      <c r="S908" s="152" t="s">
        <v>6275</v>
      </c>
      <c r="T908" s="152" t="s">
        <v>6274</v>
      </c>
      <c r="U908" s="152" t="s">
        <v>786</v>
      </c>
    </row>
    <row r="909" spans="4:21">
      <c r="D909" s="152" t="s">
        <v>2821</v>
      </c>
      <c r="G909" s="474" t="s">
        <v>371</v>
      </c>
      <c r="H909" s="210" t="s">
        <v>353</v>
      </c>
      <c r="I909" s="210"/>
      <c r="J909" s="513">
        <v>7393110</v>
      </c>
      <c r="K909" s="513">
        <v>5262</v>
      </c>
      <c r="L909" s="513">
        <v>1405</v>
      </c>
      <c r="M909" s="513" t="s">
        <v>6270</v>
      </c>
      <c r="N909" s="513" t="s">
        <v>780</v>
      </c>
      <c r="O909" s="513" t="s">
        <v>781</v>
      </c>
      <c r="P909" s="518" t="s">
        <v>6276</v>
      </c>
      <c r="Q909" s="152" t="s">
        <v>5873</v>
      </c>
      <c r="R909" s="152" t="s">
        <v>6277</v>
      </c>
      <c r="S909" s="152" t="s">
        <v>6278</v>
      </c>
      <c r="T909" s="152" t="s">
        <v>6279</v>
      </c>
      <c r="U909" s="152" t="s">
        <v>786</v>
      </c>
    </row>
    <row r="910" spans="4:21">
      <c r="D910" s="152" t="s">
        <v>2821</v>
      </c>
      <c r="G910" s="474" t="s">
        <v>371</v>
      </c>
      <c r="H910" s="210" t="s">
        <v>353</v>
      </c>
      <c r="I910" s="210"/>
      <c r="J910" s="513">
        <v>3696555</v>
      </c>
      <c r="K910" s="513">
        <v>2631</v>
      </c>
      <c r="L910" s="513">
        <v>1405</v>
      </c>
      <c r="M910" s="513" t="s">
        <v>6270</v>
      </c>
      <c r="N910" s="513" t="s">
        <v>780</v>
      </c>
      <c r="O910" s="513" t="s">
        <v>781</v>
      </c>
      <c r="P910" s="518" t="s">
        <v>6276</v>
      </c>
      <c r="Q910" s="152" t="s">
        <v>5873</v>
      </c>
      <c r="R910" s="152" t="s">
        <v>6277</v>
      </c>
      <c r="S910" s="152" t="s">
        <v>6280</v>
      </c>
      <c r="T910" s="152" t="s">
        <v>6279</v>
      </c>
      <c r="U910" s="152" t="s">
        <v>786</v>
      </c>
    </row>
    <row r="911" spans="4:21">
      <c r="D911" s="152" t="s">
        <v>2821</v>
      </c>
      <c r="G911" s="474" t="s">
        <v>371</v>
      </c>
      <c r="H911" s="210" t="s">
        <v>353</v>
      </c>
      <c r="I911" s="210"/>
      <c r="J911" s="513">
        <v>3696555</v>
      </c>
      <c r="K911" s="513">
        <v>2631</v>
      </c>
      <c r="L911" s="513">
        <v>1405</v>
      </c>
      <c r="M911" s="513" t="s">
        <v>6270</v>
      </c>
      <c r="N911" s="513" t="s">
        <v>780</v>
      </c>
      <c r="O911" s="513" t="s">
        <v>781</v>
      </c>
      <c r="P911" s="518" t="s">
        <v>6276</v>
      </c>
      <c r="Q911" s="152" t="s">
        <v>5873</v>
      </c>
      <c r="R911" s="152" t="s">
        <v>6277</v>
      </c>
      <c r="S911" s="152" t="s">
        <v>6281</v>
      </c>
      <c r="T911" s="152" t="s">
        <v>6279</v>
      </c>
      <c r="U911" s="152" t="s">
        <v>786</v>
      </c>
    </row>
    <row r="912" spans="4:21">
      <c r="D912" s="152" t="s">
        <v>2821</v>
      </c>
      <c r="G912" s="474" t="s">
        <v>371</v>
      </c>
      <c r="H912" s="210" t="s">
        <v>353</v>
      </c>
      <c r="I912" s="210"/>
      <c r="J912" s="513">
        <v>3696555</v>
      </c>
      <c r="K912" s="513">
        <v>2631</v>
      </c>
      <c r="L912" s="513">
        <v>1405</v>
      </c>
      <c r="M912" s="513" t="s">
        <v>6270</v>
      </c>
      <c r="N912" s="513" t="s">
        <v>780</v>
      </c>
      <c r="O912" s="513" t="s">
        <v>781</v>
      </c>
      <c r="P912" s="518" t="s">
        <v>6276</v>
      </c>
      <c r="Q912" s="152" t="s">
        <v>5873</v>
      </c>
      <c r="R912" s="152" t="s">
        <v>6277</v>
      </c>
      <c r="S912" s="152" t="s">
        <v>6282</v>
      </c>
      <c r="T912" s="152" t="s">
        <v>6279</v>
      </c>
      <c r="U912" s="152" t="s">
        <v>786</v>
      </c>
    </row>
    <row r="913" spans="4:21">
      <c r="D913" s="152" t="s">
        <v>2821</v>
      </c>
      <c r="G913" s="474" t="s">
        <v>371</v>
      </c>
      <c r="H913" s="210" t="s">
        <v>353</v>
      </c>
      <c r="I913" s="210"/>
      <c r="J913" s="513">
        <v>-5549750</v>
      </c>
      <c r="K913" s="513">
        <v>-3950</v>
      </c>
      <c r="L913" s="513">
        <v>1405</v>
      </c>
      <c r="M913" s="513" t="s">
        <v>6270</v>
      </c>
      <c r="N913" s="513" t="s">
        <v>780</v>
      </c>
      <c r="O913" s="513" t="s">
        <v>781</v>
      </c>
      <c r="P913" s="518" t="s">
        <v>6271</v>
      </c>
      <c r="Q913" s="152" t="s">
        <v>5873</v>
      </c>
      <c r="R913" s="152" t="s">
        <v>6272</v>
      </c>
      <c r="S913" s="152" t="s">
        <v>6283</v>
      </c>
      <c r="T913" s="152" t="s">
        <v>6274</v>
      </c>
      <c r="U913" s="152" t="s">
        <v>786</v>
      </c>
    </row>
    <row r="914" spans="4:21">
      <c r="D914" s="152" t="s">
        <v>2821</v>
      </c>
      <c r="G914" s="474" t="s">
        <v>371</v>
      </c>
      <c r="H914" s="210" t="s">
        <v>353</v>
      </c>
      <c r="I914" s="210"/>
      <c r="J914" s="513">
        <v>5549750</v>
      </c>
      <c r="K914" s="513">
        <v>3950</v>
      </c>
      <c r="L914" s="513">
        <v>1405</v>
      </c>
      <c r="M914" s="513" t="s">
        <v>6270</v>
      </c>
      <c r="N914" s="513" t="s">
        <v>780</v>
      </c>
      <c r="O914" s="513" t="s">
        <v>781</v>
      </c>
      <c r="P914" s="518" t="s">
        <v>6276</v>
      </c>
      <c r="Q914" s="152" t="s">
        <v>5873</v>
      </c>
      <c r="R914" s="152" t="s">
        <v>6277</v>
      </c>
      <c r="S914" s="152" t="s">
        <v>6284</v>
      </c>
      <c r="T914" s="152" t="s">
        <v>6279</v>
      </c>
      <c r="U914" s="152" t="s">
        <v>786</v>
      </c>
    </row>
    <row r="915" spans="4:21">
      <c r="D915" s="152" t="s">
        <v>2821</v>
      </c>
      <c r="G915" s="474" t="s">
        <v>371</v>
      </c>
      <c r="H915" s="210" t="s">
        <v>353</v>
      </c>
      <c r="I915" s="210"/>
      <c r="J915" s="513">
        <v>-551420.35</v>
      </c>
      <c r="K915" s="513">
        <v>-392.47</v>
      </c>
      <c r="L915" s="513">
        <v>1405</v>
      </c>
      <c r="M915" s="513" t="s">
        <v>6303</v>
      </c>
      <c r="N915" s="513" t="s">
        <v>780</v>
      </c>
      <c r="O915" s="513" t="s">
        <v>781</v>
      </c>
      <c r="P915" s="518" t="s">
        <v>6369</v>
      </c>
      <c r="Q915" s="152" t="s">
        <v>5873</v>
      </c>
      <c r="R915" s="152" t="s">
        <v>6370</v>
      </c>
      <c r="S915" s="152" t="s">
        <v>6371</v>
      </c>
      <c r="T915" s="152" t="s">
        <v>6372</v>
      </c>
      <c r="U915" s="152" t="s">
        <v>786</v>
      </c>
    </row>
    <row r="916" spans="4:21">
      <c r="D916" s="152" t="s">
        <v>2821</v>
      </c>
      <c r="G916" s="474" t="s">
        <v>371</v>
      </c>
      <c r="H916" s="210" t="s">
        <v>353</v>
      </c>
      <c r="I916" s="210"/>
      <c r="J916" s="513">
        <v>-570261.4</v>
      </c>
      <c r="K916" s="513">
        <v>-405.88</v>
      </c>
      <c r="L916" s="513">
        <v>1405</v>
      </c>
      <c r="M916" s="513" t="s">
        <v>6303</v>
      </c>
      <c r="N916" s="513" t="s">
        <v>780</v>
      </c>
      <c r="O916" s="513" t="s">
        <v>781</v>
      </c>
      <c r="P916" s="518" t="s">
        <v>6369</v>
      </c>
      <c r="Q916" s="152" t="s">
        <v>5873</v>
      </c>
      <c r="R916" s="152" t="s">
        <v>6370</v>
      </c>
      <c r="S916" s="152" t="s">
        <v>6373</v>
      </c>
      <c r="T916" s="152" t="s">
        <v>6372</v>
      </c>
      <c r="U916" s="152" t="s">
        <v>786</v>
      </c>
    </row>
    <row r="917" spans="4:21">
      <c r="D917" s="152" t="s">
        <v>2821</v>
      </c>
      <c r="G917" s="474" t="s">
        <v>371</v>
      </c>
      <c r="H917" s="210" t="s">
        <v>353</v>
      </c>
      <c r="I917" s="210"/>
      <c r="J917" s="513">
        <v>-50580000</v>
      </c>
      <c r="K917" s="513">
        <v>-36000</v>
      </c>
      <c r="L917" s="513">
        <v>1405</v>
      </c>
      <c r="M917" s="513" t="s">
        <v>6303</v>
      </c>
      <c r="N917" s="513" t="s">
        <v>780</v>
      </c>
      <c r="O917" s="513" t="s">
        <v>781</v>
      </c>
      <c r="P917" s="518" t="s">
        <v>6374</v>
      </c>
      <c r="Q917" s="152" t="s">
        <v>5873</v>
      </c>
      <c r="R917" s="152" t="s">
        <v>6375</v>
      </c>
      <c r="S917" s="152" t="s">
        <v>6376</v>
      </c>
      <c r="T917" s="152" t="s">
        <v>6377</v>
      </c>
      <c r="U917" s="152" t="s">
        <v>786</v>
      </c>
    </row>
    <row r="918" spans="4:21">
      <c r="D918" s="152" t="s">
        <v>2821</v>
      </c>
      <c r="G918" s="474" t="s">
        <v>371</v>
      </c>
      <c r="H918" s="210" t="s">
        <v>353</v>
      </c>
      <c r="I918" s="210"/>
      <c r="J918" s="513">
        <v>3738705</v>
      </c>
      <c r="K918" s="513">
        <v>2661</v>
      </c>
      <c r="L918" s="513">
        <v>1405</v>
      </c>
      <c r="M918" s="513" t="s">
        <v>6303</v>
      </c>
      <c r="N918" s="513" t="s">
        <v>780</v>
      </c>
      <c r="O918" s="513" t="s">
        <v>781</v>
      </c>
      <c r="P918" s="518" t="s">
        <v>6382</v>
      </c>
      <c r="Q918" s="152" t="s">
        <v>5873</v>
      </c>
      <c r="R918" s="152" t="s">
        <v>6383</v>
      </c>
      <c r="S918" s="152" t="s">
        <v>6384</v>
      </c>
      <c r="T918" s="152" t="s">
        <v>6385</v>
      </c>
      <c r="U918" s="152" t="s">
        <v>786</v>
      </c>
    </row>
    <row r="919" spans="4:21">
      <c r="D919" s="152" t="s">
        <v>2821</v>
      </c>
      <c r="G919" s="474" t="s">
        <v>371</v>
      </c>
      <c r="H919" s="210" t="s">
        <v>353</v>
      </c>
      <c r="I919" s="210"/>
      <c r="J919" s="513">
        <v>5549750</v>
      </c>
      <c r="K919" s="513">
        <v>3950</v>
      </c>
      <c r="L919" s="513">
        <v>1405</v>
      </c>
      <c r="M919" s="513" t="s">
        <v>6303</v>
      </c>
      <c r="N919" s="513" t="s">
        <v>780</v>
      </c>
      <c r="O919" s="513" t="s">
        <v>781</v>
      </c>
      <c r="P919" s="518" t="s">
        <v>6382</v>
      </c>
      <c r="Q919" s="152" t="s">
        <v>5873</v>
      </c>
      <c r="R919" s="152" t="s">
        <v>6383</v>
      </c>
      <c r="S919" s="152" t="s">
        <v>6386</v>
      </c>
      <c r="T919" s="152" t="s">
        <v>6385</v>
      </c>
      <c r="U919" s="152" t="s">
        <v>786</v>
      </c>
    </row>
    <row r="920" spans="4:21">
      <c r="D920" s="152" t="s">
        <v>2821</v>
      </c>
      <c r="G920" s="474" t="s">
        <v>371</v>
      </c>
      <c r="H920" s="210" t="s">
        <v>353</v>
      </c>
      <c r="I920" s="210"/>
      <c r="J920" s="513">
        <v>6747512.5</v>
      </c>
      <c r="K920" s="513">
        <v>4802.5</v>
      </c>
      <c r="L920" s="513">
        <v>1405</v>
      </c>
      <c r="M920" s="513" t="s">
        <v>6303</v>
      </c>
      <c r="N920" s="513" t="s">
        <v>780</v>
      </c>
      <c r="O920" s="513" t="s">
        <v>781</v>
      </c>
      <c r="P920" s="518" t="s">
        <v>6387</v>
      </c>
      <c r="Q920" s="152" t="s">
        <v>5873</v>
      </c>
      <c r="R920" s="152" t="s">
        <v>6388</v>
      </c>
      <c r="S920" s="152" t="s">
        <v>6389</v>
      </c>
      <c r="T920" s="152" t="s">
        <v>6390</v>
      </c>
      <c r="U920" s="152" t="s">
        <v>786</v>
      </c>
    </row>
    <row r="921" spans="4:21">
      <c r="D921" s="152" t="s">
        <v>2821</v>
      </c>
      <c r="G921" s="474" t="s">
        <v>371</v>
      </c>
      <c r="H921" s="210" t="s">
        <v>353</v>
      </c>
      <c r="I921" s="210"/>
      <c r="J921" s="513">
        <v>6983678.9500000002</v>
      </c>
      <c r="K921" s="513">
        <v>4970.59</v>
      </c>
      <c r="L921" s="513">
        <v>1405</v>
      </c>
      <c r="M921" s="513" t="s">
        <v>6303</v>
      </c>
      <c r="N921" s="513" t="s">
        <v>780</v>
      </c>
      <c r="O921" s="513" t="s">
        <v>781</v>
      </c>
      <c r="P921" s="518" t="s">
        <v>6387</v>
      </c>
      <c r="Q921" s="152" t="s">
        <v>5873</v>
      </c>
      <c r="R921" s="152" t="s">
        <v>6388</v>
      </c>
      <c r="S921" s="152" t="s">
        <v>6391</v>
      </c>
      <c r="T921" s="152" t="s">
        <v>6390</v>
      </c>
      <c r="U921" s="152" t="s">
        <v>786</v>
      </c>
    </row>
    <row r="922" spans="4:21">
      <c r="D922" s="152" t="s">
        <v>2821</v>
      </c>
      <c r="G922" s="474" t="s">
        <v>371</v>
      </c>
      <c r="H922" s="210" t="s">
        <v>353</v>
      </c>
      <c r="I922" s="210"/>
      <c r="J922" s="513">
        <v>-244427.85</v>
      </c>
      <c r="K922" s="513">
        <v>-173.97</v>
      </c>
      <c r="L922" s="513">
        <v>1405</v>
      </c>
      <c r="M922" s="513" t="s">
        <v>6303</v>
      </c>
      <c r="N922" s="513" t="s">
        <v>780</v>
      </c>
      <c r="O922" s="513" t="s">
        <v>781</v>
      </c>
      <c r="P922" s="518" t="s">
        <v>6369</v>
      </c>
      <c r="Q922" s="152" t="s">
        <v>5873</v>
      </c>
      <c r="R922" s="152" t="s">
        <v>6370</v>
      </c>
      <c r="S922" s="152" t="s">
        <v>6392</v>
      </c>
      <c r="T922" s="152" t="s">
        <v>6372</v>
      </c>
      <c r="U922" s="152" t="s">
        <v>786</v>
      </c>
    </row>
    <row r="923" spans="4:21">
      <c r="D923" s="152" t="s">
        <v>2821</v>
      </c>
      <c r="G923" s="474" t="s">
        <v>371</v>
      </c>
      <c r="H923" s="210" t="s">
        <v>353</v>
      </c>
      <c r="I923" s="210"/>
      <c r="J923" s="513">
        <v>-200915</v>
      </c>
      <c r="K923" s="513">
        <v>-143</v>
      </c>
      <c r="L923" s="513">
        <v>1405</v>
      </c>
      <c r="M923" s="513" t="s">
        <v>6303</v>
      </c>
      <c r="N923" s="513" t="s">
        <v>780</v>
      </c>
      <c r="O923" s="513" t="s">
        <v>781</v>
      </c>
      <c r="P923" s="518" t="s">
        <v>6369</v>
      </c>
      <c r="Q923" s="152" t="s">
        <v>5873</v>
      </c>
      <c r="R923" s="152" t="s">
        <v>6370</v>
      </c>
      <c r="S923" s="152" t="s">
        <v>6398</v>
      </c>
      <c r="T923" s="152" t="s">
        <v>6372</v>
      </c>
      <c r="U923" s="152" t="s">
        <v>786</v>
      </c>
    </row>
    <row r="924" spans="4:21">
      <c r="D924" s="152" t="s">
        <v>2821</v>
      </c>
      <c r="G924" s="474" t="s">
        <v>371</v>
      </c>
      <c r="H924" s="210" t="s">
        <v>353</v>
      </c>
      <c r="I924" s="210"/>
      <c r="J924" s="513">
        <v>-424310</v>
      </c>
      <c r="K924" s="513">
        <v>-302</v>
      </c>
      <c r="L924" s="513">
        <v>1405</v>
      </c>
      <c r="M924" s="513" t="s">
        <v>6303</v>
      </c>
      <c r="N924" s="513" t="s">
        <v>780</v>
      </c>
      <c r="O924" s="513" t="s">
        <v>781</v>
      </c>
      <c r="P924" s="518" t="s">
        <v>6369</v>
      </c>
      <c r="Q924" s="152" t="s">
        <v>5873</v>
      </c>
      <c r="R924" s="152" t="s">
        <v>6370</v>
      </c>
      <c r="S924" s="152" t="s">
        <v>6399</v>
      </c>
      <c r="T924" s="152" t="s">
        <v>6372</v>
      </c>
      <c r="U924" s="152" t="s">
        <v>786</v>
      </c>
    </row>
    <row r="925" spans="4:21">
      <c r="D925" s="152" t="s">
        <v>2821</v>
      </c>
      <c r="G925" s="474" t="s">
        <v>371</v>
      </c>
      <c r="H925" s="210" t="s">
        <v>353</v>
      </c>
      <c r="I925" s="210"/>
      <c r="J925" s="513">
        <v>-99755</v>
      </c>
      <c r="K925" s="513">
        <v>-71</v>
      </c>
      <c r="L925" s="513">
        <v>1405</v>
      </c>
      <c r="M925" s="513" t="s">
        <v>6303</v>
      </c>
      <c r="N925" s="513" t="s">
        <v>780</v>
      </c>
      <c r="O925" s="513" t="s">
        <v>781</v>
      </c>
      <c r="P925" s="518" t="s">
        <v>6369</v>
      </c>
      <c r="Q925" s="152" t="s">
        <v>5873</v>
      </c>
      <c r="R925" s="152" t="s">
        <v>6370</v>
      </c>
      <c r="S925" s="152" t="s">
        <v>6400</v>
      </c>
      <c r="T925" s="152" t="s">
        <v>6372</v>
      </c>
      <c r="U925" s="152" t="s">
        <v>786</v>
      </c>
    </row>
    <row r="926" spans="4:21">
      <c r="D926" s="152" t="s">
        <v>2821</v>
      </c>
      <c r="G926" s="474" t="s">
        <v>371</v>
      </c>
      <c r="H926" s="210" t="s">
        <v>353</v>
      </c>
      <c r="I926" s="210"/>
      <c r="J926" s="513">
        <v>-99755</v>
      </c>
      <c r="K926" s="513">
        <v>-71</v>
      </c>
      <c r="L926" s="513">
        <v>1405</v>
      </c>
      <c r="M926" s="513" t="s">
        <v>6303</v>
      </c>
      <c r="N926" s="513" t="s">
        <v>780</v>
      </c>
      <c r="O926" s="513" t="s">
        <v>781</v>
      </c>
      <c r="P926" s="518" t="s">
        <v>6369</v>
      </c>
      <c r="Q926" s="152" t="s">
        <v>5873</v>
      </c>
      <c r="R926" s="152" t="s">
        <v>6370</v>
      </c>
      <c r="S926" s="152" t="s">
        <v>6401</v>
      </c>
      <c r="T926" s="152" t="s">
        <v>6372</v>
      </c>
      <c r="U926" s="152" t="s">
        <v>786</v>
      </c>
    </row>
    <row r="927" spans="4:21">
      <c r="D927" s="152" t="s">
        <v>2821</v>
      </c>
      <c r="G927" s="474" t="s">
        <v>371</v>
      </c>
      <c r="H927" s="210" t="s">
        <v>353</v>
      </c>
      <c r="I927" s="210"/>
      <c r="J927" s="513">
        <v>-102565</v>
      </c>
      <c r="K927" s="513">
        <v>-73</v>
      </c>
      <c r="L927" s="513">
        <v>1405</v>
      </c>
      <c r="M927" s="513" t="s">
        <v>6303</v>
      </c>
      <c r="N927" s="513" t="s">
        <v>780</v>
      </c>
      <c r="O927" s="513" t="s">
        <v>781</v>
      </c>
      <c r="P927" s="518" t="s">
        <v>6369</v>
      </c>
      <c r="Q927" s="152" t="s">
        <v>5873</v>
      </c>
      <c r="R927" s="152" t="s">
        <v>6370</v>
      </c>
      <c r="S927" s="152" t="s">
        <v>6402</v>
      </c>
      <c r="T927" s="152" t="s">
        <v>6372</v>
      </c>
      <c r="U927" s="152" t="s">
        <v>786</v>
      </c>
    </row>
    <row r="928" spans="4:21">
      <c r="D928" s="152" t="s">
        <v>2821</v>
      </c>
      <c r="G928" s="474" t="s">
        <v>371</v>
      </c>
      <c r="H928" s="210" t="s">
        <v>353</v>
      </c>
      <c r="I928" s="210"/>
      <c r="J928" s="513">
        <v>-110995</v>
      </c>
      <c r="K928" s="513">
        <v>-79</v>
      </c>
      <c r="L928" s="513">
        <v>1405</v>
      </c>
      <c r="M928" s="513" t="s">
        <v>6303</v>
      </c>
      <c r="N928" s="513" t="s">
        <v>780</v>
      </c>
      <c r="O928" s="513" t="s">
        <v>781</v>
      </c>
      <c r="P928" s="518" t="s">
        <v>6369</v>
      </c>
      <c r="Q928" s="152" t="s">
        <v>5873</v>
      </c>
      <c r="R928" s="152" t="s">
        <v>6370</v>
      </c>
      <c r="S928" s="152" t="s">
        <v>6403</v>
      </c>
      <c r="T928" s="152" t="s">
        <v>6372</v>
      </c>
      <c r="U928" s="152" t="s">
        <v>786</v>
      </c>
    </row>
    <row r="929" spans="4:21">
      <c r="D929" s="152" t="s">
        <v>2821</v>
      </c>
      <c r="G929" s="474" t="s">
        <v>371</v>
      </c>
      <c r="H929" s="210" t="s">
        <v>353</v>
      </c>
      <c r="I929" s="210"/>
      <c r="J929" s="513">
        <v>-40969.800000000003</v>
      </c>
      <c r="K929" s="513">
        <v>-29.16</v>
      </c>
      <c r="L929" s="513">
        <v>1405</v>
      </c>
      <c r="M929" s="513" t="s">
        <v>6303</v>
      </c>
      <c r="N929" s="513" t="s">
        <v>780</v>
      </c>
      <c r="O929" s="513" t="s">
        <v>781</v>
      </c>
      <c r="P929" s="518" t="s">
        <v>6369</v>
      </c>
      <c r="Q929" s="152" t="s">
        <v>5873</v>
      </c>
      <c r="R929" s="152" t="s">
        <v>6370</v>
      </c>
      <c r="S929" s="152" t="s">
        <v>6404</v>
      </c>
      <c r="T929" s="152" t="s">
        <v>6372</v>
      </c>
      <c r="U929" s="152" t="s">
        <v>786</v>
      </c>
    </row>
    <row r="930" spans="4:21">
      <c r="D930" s="152" t="s">
        <v>2821</v>
      </c>
      <c r="G930" s="474" t="s">
        <v>371</v>
      </c>
      <c r="H930" s="210" t="s">
        <v>353</v>
      </c>
      <c r="I930" s="210"/>
      <c r="J930" s="513">
        <v>-3062900</v>
      </c>
      <c r="K930" s="513">
        <v>-2180</v>
      </c>
      <c r="L930" s="513">
        <v>1405</v>
      </c>
      <c r="M930" s="513" t="s">
        <v>5951</v>
      </c>
      <c r="N930" s="513" t="s">
        <v>780</v>
      </c>
      <c r="O930" s="513" t="s">
        <v>1272</v>
      </c>
      <c r="P930" s="518" t="s">
        <v>5952</v>
      </c>
      <c r="Q930" s="152" t="s">
        <v>5873</v>
      </c>
      <c r="R930" s="152" t="s">
        <v>5953</v>
      </c>
      <c r="S930" s="152" t="s">
        <v>5962</v>
      </c>
      <c r="T930" s="152" t="s">
        <v>5955</v>
      </c>
      <c r="U930" s="152" t="s">
        <v>786</v>
      </c>
    </row>
    <row r="931" spans="4:21">
      <c r="D931" s="152" t="s">
        <v>2821</v>
      </c>
      <c r="G931" s="474" t="s">
        <v>371</v>
      </c>
      <c r="H931" s="210" t="s">
        <v>353</v>
      </c>
      <c r="I931" s="210"/>
      <c r="J931" s="513">
        <v>-11598275</v>
      </c>
      <c r="K931" s="513">
        <v>-8255</v>
      </c>
      <c r="L931" s="513">
        <v>1405</v>
      </c>
      <c r="M931" s="513" t="s">
        <v>5951</v>
      </c>
      <c r="N931" s="513" t="s">
        <v>780</v>
      </c>
      <c r="O931" s="513" t="s">
        <v>1272</v>
      </c>
      <c r="P931" s="518" t="s">
        <v>5952</v>
      </c>
      <c r="Q931" s="152" t="s">
        <v>5873</v>
      </c>
      <c r="R931" s="152" t="s">
        <v>5953</v>
      </c>
      <c r="S931" s="152" t="s">
        <v>5963</v>
      </c>
      <c r="T931" s="152" t="s">
        <v>5955</v>
      </c>
      <c r="U931" s="152" t="s">
        <v>786</v>
      </c>
    </row>
    <row r="932" spans="4:21">
      <c r="D932" s="152" t="s">
        <v>2821</v>
      </c>
      <c r="G932" s="474" t="s">
        <v>371</v>
      </c>
      <c r="H932" s="210" t="s">
        <v>353</v>
      </c>
      <c r="I932" s="210"/>
      <c r="J932" s="513">
        <v>-11598275</v>
      </c>
      <c r="K932" s="513">
        <v>-8255</v>
      </c>
      <c r="L932" s="513">
        <v>1405</v>
      </c>
      <c r="M932" s="513" t="s">
        <v>5951</v>
      </c>
      <c r="N932" s="513" t="s">
        <v>780</v>
      </c>
      <c r="O932" s="513" t="s">
        <v>1272</v>
      </c>
      <c r="P932" s="518" t="s">
        <v>5952</v>
      </c>
      <c r="Q932" s="152" t="s">
        <v>5873</v>
      </c>
      <c r="R932" s="152" t="s">
        <v>5953</v>
      </c>
      <c r="S932" s="152" t="s">
        <v>5964</v>
      </c>
      <c r="T932" s="152" t="s">
        <v>5955</v>
      </c>
      <c r="U932" s="152" t="s">
        <v>786</v>
      </c>
    </row>
    <row r="933" spans="4:21">
      <c r="D933" s="152" t="s">
        <v>2821</v>
      </c>
      <c r="G933" s="474" t="s">
        <v>371</v>
      </c>
      <c r="H933" s="210" t="s">
        <v>353</v>
      </c>
      <c r="I933" s="210"/>
      <c r="J933" s="513">
        <v>-15721950</v>
      </c>
      <c r="K933" s="513">
        <v>-11190</v>
      </c>
      <c r="L933" s="513">
        <v>1405</v>
      </c>
      <c r="M933" s="513" t="s">
        <v>5951</v>
      </c>
      <c r="N933" s="513" t="s">
        <v>780</v>
      </c>
      <c r="O933" s="513" t="s">
        <v>1272</v>
      </c>
      <c r="P933" s="518" t="s">
        <v>5952</v>
      </c>
      <c r="Q933" s="152" t="s">
        <v>5873</v>
      </c>
      <c r="R933" s="152" t="s">
        <v>5953</v>
      </c>
      <c r="S933" s="152" t="s">
        <v>5965</v>
      </c>
      <c r="T933" s="152" t="s">
        <v>5955</v>
      </c>
      <c r="U933" s="152" t="s">
        <v>786</v>
      </c>
    </row>
    <row r="934" spans="4:21">
      <c r="D934" s="152" t="s">
        <v>2821</v>
      </c>
      <c r="G934" s="474" t="s">
        <v>371</v>
      </c>
      <c r="H934" s="210" t="s">
        <v>353</v>
      </c>
      <c r="I934" s="210"/>
      <c r="J934" s="513">
        <v>-1095900</v>
      </c>
      <c r="K934" s="513">
        <v>-780</v>
      </c>
      <c r="L934" s="513">
        <v>1405</v>
      </c>
      <c r="M934" s="513" t="s">
        <v>5871</v>
      </c>
      <c r="N934" s="513" t="s">
        <v>780</v>
      </c>
      <c r="O934" s="513" t="s">
        <v>1407</v>
      </c>
      <c r="P934" s="518" t="s">
        <v>5872</v>
      </c>
      <c r="Q934" s="152" t="s">
        <v>5873</v>
      </c>
      <c r="R934" s="152" t="s">
        <v>5874</v>
      </c>
      <c r="S934" s="152" t="s">
        <v>5875</v>
      </c>
      <c r="T934" s="152" t="s">
        <v>5876</v>
      </c>
      <c r="U934" s="152" t="s">
        <v>786</v>
      </c>
    </row>
    <row r="935" spans="4:21">
      <c r="D935" s="152" t="s">
        <v>2821</v>
      </c>
      <c r="G935" s="474" t="s">
        <v>371</v>
      </c>
      <c r="H935" s="210" t="s">
        <v>353</v>
      </c>
      <c r="I935" s="210"/>
      <c r="J935" s="513">
        <v>7197112.5</v>
      </c>
      <c r="K935" s="513">
        <v>5122.5</v>
      </c>
      <c r="L935" s="513">
        <v>1405</v>
      </c>
      <c r="M935" s="513" t="s">
        <v>5881</v>
      </c>
      <c r="N935" s="513" t="s">
        <v>1540</v>
      </c>
      <c r="O935" s="513" t="s">
        <v>1407</v>
      </c>
      <c r="P935" s="518" t="s">
        <v>5948</v>
      </c>
      <c r="Q935" s="152" t="s">
        <v>5933</v>
      </c>
      <c r="R935" s="152" t="s">
        <v>5949</v>
      </c>
      <c r="S935" s="152" t="s">
        <v>5949</v>
      </c>
      <c r="T935" s="152" t="s">
        <v>5950</v>
      </c>
      <c r="U935" s="152" t="s">
        <v>786</v>
      </c>
    </row>
    <row r="936" spans="4:21">
      <c r="D936" s="152" t="s">
        <v>2821</v>
      </c>
      <c r="G936" s="474" t="s">
        <v>371</v>
      </c>
      <c r="H936" s="210" t="s">
        <v>353</v>
      </c>
      <c r="I936" s="210"/>
      <c r="J936" s="513">
        <v>3877800</v>
      </c>
      <c r="K936" s="513">
        <v>2760</v>
      </c>
      <c r="L936" s="513">
        <v>1405</v>
      </c>
      <c r="M936" s="513" t="s">
        <v>5951</v>
      </c>
      <c r="N936" s="513" t="s">
        <v>780</v>
      </c>
      <c r="O936" s="513" t="s">
        <v>1407</v>
      </c>
      <c r="P936" s="518" t="s">
        <v>5956</v>
      </c>
      <c r="Q936" s="152" t="s">
        <v>5873</v>
      </c>
      <c r="R936" s="152" t="s">
        <v>5957</v>
      </c>
      <c r="S936" s="152" t="s">
        <v>5970</v>
      </c>
      <c r="T936" s="152" t="s">
        <v>5959</v>
      </c>
      <c r="U936" s="152" t="s">
        <v>786</v>
      </c>
    </row>
    <row r="937" spans="4:21">
      <c r="D937" s="152" t="s">
        <v>2821</v>
      </c>
      <c r="G937" s="474" t="s">
        <v>371</v>
      </c>
      <c r="H937" s="210" t="s">
        <v>353</v>
      </c>
      <c r="I937" s="210"/>
      <c r="J937" s="513">
        <v>9244900</v>
      </c>
      <c r="K937" s="513">
        <v>6580</v>
      </c>
      <c r="L937" s="513">
        <v>1405</v>
      </c>
      <c r="M937" s="513" t="s">
        <v>5951</v>
      </c>
      <c r="N937" s="513" t="s">
        <v>780</v>
      </c>
      <c r="O937" s="513" t="s">
        <v>1407</v>
      </c>
      <c r="P937" s="518" t="s">
        <v>5956</v>
      </c>
      <c r="Q937" s="152" t="s">
        <v>5873</v>
      </c>
      <c r="R937" s="152" t="s">
        <v>5957</v>
      </c>
      <c r="S937" s="152" t="s">
        <v>5971</v>
      </c>
      <c r="T937" s="152" t="s">
        <v>5959</v>
      </c>
      <c r="U937" s="152" t="s">
        <v>786</v>
      </c>
    </row>
    <row r="938" spans="4:21">
      <c r="D938" s="152" t="s">
        <v>2821</v>
      </c>
      <c r="G938" s="474" t="s">
        <v>371</v>
      </c>
      <c r="H938" s="210" t="s">
        <v>353</v>
      </c>
      <c r="I938" s="210"/>
      <c r="J938" s="513">
        <v>-42150000</v>
      </c>
      <c r="K938" s="513">
        <v>-30000</v>
      </c>
      <c r="L938" s="513">
        <v>1405</v>
      </c>
      <c r="M938" s="513" t="s">
        <v>5951</v>
      </c>
      <c r="N938" s="513" t="s">
        <v>780</v>
      </c>
      <c r="O938" s="513" t="s">
        <v>1407</v>
      </c>
      <c r="P938" s="518" t="s">
        <v>5952</v>
      </c>
      <c r="Q938" s="152" t="s">
        <v>5873</v>
      </c>
      <c r="R938" s="152" t="s">
        <v>5953</v>
      </c>
      <c r="S938" s="152" t="s">
        <v>5972</v>
      </c>
      <c r="T938" s="152" t="s">
        <v>5955</v>
      </c>
      <c r="U938" s="152" t="s">
        <v>786</v>
      </c>
    </row>
    <row r="939" spans="4:21">
      <c r="D939" s="152" t="s">
        <v>2821</v>
      </c>
      <c r="G939" s="474" t="s">
        <v>371</v>
      </c>
      <c r="H939" s="210" t="s">
        <v>353</v>
      </c>
      <c r="I939" s="210"/>
      <c r="J939" s="513">
        <v>3512500</v>
      </c>
      <c r="K939" s="513">
        <v>2500</v>
      </c>
      <c r="L939" s="513">
        <v>1405</v>
      </c>
      <c r="M939" s="513" t="s">
        <v>5951</v>
      </c>
      <c r="N939" s="513" t="s">
        <v>780</v>
      </c>
      <c r="O939" s="513" t="s">
        <v>1407</v>
      </c>
      <c r="P939" s="518" t="s">
        <v>5956</v>
      </c>
      <c r="Q939" s="152" t="s">
        <v>5873</v>
      </c>
      <c r="R939" s="152" t="s">
        <v>5957</v>
      </c>
      <c r="S939" s="152" t="s">
        <v>5973</v>
      </c>
      <c r="T939" s="152" t="s">
        <v>5959</v>
      </c>
      <c r="U939" s="152" t="s">
        <v>786</v>
      </c>
    </row>
    <row r="940" spans="4:21">
      <c r="D940" s="152" t="s">
        <v>2821</v>
      </c>
      <c r="G940" s="474" t="s">
        <v>371</v>
      </c>
      <c r="H940" s="210" t="s">
        <v>353</v>
      </c>
      <c r="I940" s="210"/>
      <c r="J940" s="513">
        <v>5072050</v>
      </c>
      <c r="K940" s="513">
        <v>3610</v>
      </c>
      <c r="L940" s="513">
        <v>1405</v>
      </c>
      <c r="M940" s="513" t="s">
        <v>5951</v>
      </c>
      <c r="N940" s="513" t="s">
        <v>780</v>
      </c>
      <c r="O940" s="513" t="s">
        <v>1407</v>
      </c>
      <c r="P940" s="518" t="s">
        <v>5956</v>
      </c>
      <c r="Q940" s="152" t="s">
        <v>5873</v>
      </c>
      <c r="R940" s="152" t="s">
        <v>5957</v>
      </c>
      <c r="S940" s="152" t="s">
        <v>5974</v>
      </c>
      <c r="T940" s="152" t="s">
        <v>5959</v>
      </c>
      <c r="U940" s="152" t="s">
        <v>786</v>
      </c>
    </row>
    <row r="941" spans="4:21">
      <c r="D941" s="152" t="s">
        <v>2821</v>
      </c>
      <c r="G941" s="474" t="s">
        <v>371</v>
      </c>
      <c r="H941" s="210" t="s">
        <v>353</v>
      </c>
      <c r="I941" s="210"/>
      <c r="J941" s="513">
        <v>4141237.5</v>
      </c>
      <c r="K941" s="513">
        <v>2947.5</v>
      </c>
      <c r="L941" s="513">
        <v>1405</v>
      </c>
      <c r="M941" s="513" t="s">
        <v>6019</v>
      </c>
      <c r="N941" s="513" t="s">
        <v>1540</v>
      </c>
      <c r="O941" s="513" t="s">
        <v>1407</v>
      </c>
      <c r="P941" s="518" t="s">
        <v>6020</v>
      </c>
      <c r="Q941" s="152" t="s">
        <v>5933</v>
      </c>
      <c r="R941" s="152" t="s">
        <v>6021</v>
      </c>
      <c r="S941" s="152" t="s">
        <v>6021</v>
      </c>
      <c r="T941" s="152" t="s">
        <v>6022</v>
      </c>
      <c r="U941" s="152" t="s">
        <v>786</v>
      </c>
    </row>
    <row r="942" spans="4:21">
      <c r="D942" s="152" t="s">
        <v>2821</v>
      </c>
      <c r="G942" s="474" t="s">
        <v>371</v>
      </c>
      <c r="H942" s="210" t="s">
        <v>353</v>
      </c>
      <c r="I942" s="210"/>
      <c r="J942" s="513">
        <v>4987750</v>
      </c>
      <c r="K942" s="513">
        <v>3550</v>
      </c>
      <c r="L942" s="513">
        <v>1405</v>
      </c>
      <c r="M942" s="513" t="s">
        <v>6023</v>
      </c>
      <c r="N942" s="513" t="s">
        <v>780</v>
      </c>
      <c r="O942" s="513" t="s">
        <v>1407</v>
      </c>
      <c r="P942" s="518" t="s">
        <v>6029</v>
      </c>
      <c r="Q942" s="152" t="s">
        <v>5873</v>
      </c>
      <c r="R942" s="152" t="s">
        <v>6030</v>
      </c>
      <c r="S942" s="152" t="s">
        <v>6039</v>
      </c>
      <c r="T942" s="152" t="s">
        <v>6032</v>
      </c>
      <c r="U942" s="152" t="s">
        <v>786</v>
      </c>
    </row>
    <row r="943" spans="4:21">
      <c r="D943" s="152" t="s">
        <v>2821</v>
      </c>
      <c r="G943" s="474" t="s">
        <v>371</v>
      </c>
      <c r="H943" s="210" t="s">
        <v>353</v>
      </c>
      <c r="I943" s="210"/>
      <c r="J943" s="513">
        <v>3976150</v>
      </c>
      <c r="K943" s="513">
        <v>2830</v>
      </c>
      <c r="L943" s="513">
        <v>1405</v>
      </c>
      <c r="M943" s="513" t="s">
        <v>6023</v>
      </c>
      <c r="N943" s="513" t="s">
        <v>780</v>
      </c>
      <c r="O943" s="513" t="s">
        <v>1407</v>
      </c>
      <c r="P943" s="518" t="s">
        <v>6029</v>
      </c>
      <c r="Q943" s="152" t="s">
        <v>5873</v>
      </c>
      <c r="R943" s="152" t="s">
        <v>6030</v>
      </c>
      <c r="S943" s="152" t="s">
        <v>6040</v>
      </c>
      <c r="T943" s="152" t="s">
        <v>6032</v>
      </c>
      <c r="U943" s="152" t="s">
        <v>786</v>
      </c>
    </row>
    <row r="944" spans="4:21">
      <c r="D944" s="152" t="s">
        <v>2821</v>
      </c>
      <c r="G944" s="474" t="s">
        <v>371</v>
      </c>
      <c r="H944" s="210" t="s">
        <v>353</v>
      </c>
      <c r="I944" s="210"/>
      <c r="J944" s="513">
        <v>983500</v>
      </c>
      <c r="K944" s="513">
        <v>700</v>
      </c>
      <c r="L944" s="513">
        <v>1405</v>
      </c>
      <c r="M944" s="513" t="s">
        <v>6023</v>
      </c>
      <c r="N944" s="513" t="s">
        <v>780</v>
      </c>
      <c r="O944" s="513" t="s">
        <v>1407</v>
      </c>
      <c r="P944" s="518" t="s">
        <v>6029</v>
      </c>
      <c r="Q944" s="152" t="s">
        <v>5873</v>
      </c>
      <c r="R944" s="152" t="s">
        <v>6030</v>
      </c>
      <c r="S944" s="152" t="s">
        <v>6041</v>
      </c>
      <c r="T944" s="152" t="s">
        <v>6032</v>
      </c>
      <c r="U944" s="152" t="s">
        <v>786</v>
      </c>
    </row>
    <row r="945" spans="4:21">
      <c r="D945" s="152" t="s">
        <v>2821</v>
      </c>
      <c r="G945" s="474" t="s">
        <v>371</v>
      </c>
      <c r="H945" s="210" t="s">
        <v>353</v>
      </c>
      <c r="I945" s="210"/>
      <c r="J945" s="513">
        <v>4833200</v>
      </c>
      <c r="K945" s="513">
        <v>3440</v>
      </c>
      <c r="L945" s="513">
        <v>1405</v>
      </c>
      <c r="M945" s="513" t="s">
        <v>6023</v>
      </c>
      <c r="N945" s="513" t="s">
        <v>780</v>
      </c>
      <c r="O945" s="513" t="s">
        <v>1407</v>
      </c>
      <c r="P945" s="518" t="s">
        <v>6029</v>
      </c>
      <c r="Q945" s="152" t="s">
        <v>5873</v>
      </c>
      <c r="R945" s="152" t="s">
        <v>6030</v>
      </c>
      <c r="S945" s="152" t="s">
        <v>6042</v>
      </c>
      <c r="T945" s="152" t="s">
        <v>6032</v>
      </c>
      <c r="U945" s="152" t="s">
        <v>786</v>
      </c>
    </row>
    <row r="946" spans="4:21">
      <c r="D946" s="152" t="s">
        <v>2821</v>
      </c>
      <c r="G946" s="474" t="s">
        <v>371</v>
      </c>
      <c r="H946" s="210" t="s">
        <v>353</v>
      </c>
      <c r="I946" s="210"/>
      <c r="J946" s="513">
        <v>3357950</v>
      </c>
      <c r="K946" s="513">
        <v>2390</v>
      </c>
      <c r="L946" s="513">
        <v>1405</v>
      </c>
      <c r="M946" s="513" t="s">
        <v>6023</v>
      </c>
      <c r="N946" s="513" t="s">
        <v>780</v>
      </c>
      <c r="O946" s="513" t="s">
        <v>1407</v>
      </c>
      <c r="P946" s="518" t="s">
        <v>6029</v>
      </c>
      <c r="Q946" s="152" t="s">
        <v>5873</v>
      </c>
      <c r="R946" s="152" t="s">
        <v>6030</v>
      </c>
      <c r="S946" s="152" t="s">
        <v>6043</v>
      </c>
      <c r="T946" s="152" t="s">
        <v>6032</v>
      </c>
      <c r="U946" s="152" t="s">
        <v>786</v>
      </c>
    </row>
    <row r="947" spans="4:21">
      <c r="D947" s="152" t="s">
        <v>2821</v>
      </c>
      <c r="G947" s="474" t="s">
        <v>371</v>
      </c>
      <c r="H947" s="210" t="s">
        <v>353</v>
      </c>
      <c r="I947" s="210"/>
      <c r="J947" s="513">
        <v>-35125000</v>
      </c>
      <c r="K947" s="513">
        <v>-25000</v>
      </c>
      <c r="L947" s="513">
        <v>1405</v>
      </c>
      <c r="M947" s="513" t="s">
        <v>6023</v>
      </c>
      <c r="N947" s="513" t="s">
        <v>780</v>
      </c>
      <c r="O947" s="513" t="s">
        <v>1407</v>
      </c>
      <c r="P947" s="518" t="s">
        <v>6024</v>
      </c>
      <c r="Q947" s="152" t="s">
        <v>5873</v>
      </c>
      <c r="R947" s="152" t="s">
        <v>6025</v>
      </c>
      <c r="S947" s="152" t="s">
        <v>6044</v>
      </c>
      <c r="T947" s="152" t="s">
        <v>6027</v>
      </c>
      <c r="U947" s="152" t="s">
        <v>786</v>
      </c>
    </row>
    <row r="948" spans="4:21">
      <c r="D948" s="152" t="s">
        <v>2821</v>
      </c>
      <c r="G948" s="474" t="s">
        <v>371</v>
      </c>
      <c r="H948" s="210" t="s">
        <v>353</v>
      </c>
      <c r="I948" s="210"/>
      <c r="J948" s="513">
        <v>-179840</v>
      </c>
      <c r="K948" s="513">
        <v>-128</v>
      </c>
      <c r="L948" s="513">
        <v>1405</v>
      </c>
      <c r="M948" s="513" t="s">
        <v>6023</v>
      </c>
      <c r="N948" s="513" t="s">
        <v>780</v>
      </c>
      <c r="O948" s="513" t="s">
        <v>1407</v>
      </c>
      <c r="P948" s="518" t="s">
        <v>6024</v>
      </c>
      <c r="Q948" s="152" t="s">
        <v>5873</v>
      </c>
      <c r="R948" s="152" t="s">
        <v>6025</v>
      </c>
      <c r="S948" s="152" t="s">
        <v>6046</v>
      </c>
      <c r="T948" s="152" t="s">
        <v>6027</v>
      </c>
      <c r="U948" s="152" t="s">
        <v>786</v>
      </c>
    </row>
    <row r="949" spans="4:21">
      <c r="D949" s="152" t="s">
        <v>2821</v>
      </c>
      <c r="G949" s="474" t="s">
        <v>371</v>
      </c>
      <c r="H949" s="210" t="s">
        <v>353</v>
      </c>
      <c r="I949" s="210"/>
      <c r="J949" s="513">
        <v>-179840</v>
      </c>
      <c r="K949" s="513">
        <v>-128</v>
      </c>
      <c r="L949" s="513">
        <v>1405</v>
      </c>
      <c r="M949" s="513" t="s">
        <v>6023</v>
      </c>
      <c r="N949" s="513" t="s">
        <v>780</v>
      </c>
      <c r="O949" s="513" t="s">
        <v>1407</v>
      </c>
      <c r="P949" s="518" t="s">
        <v>6024</v>
      </c>
      <c r="Q949" s="152" t="s">
        <v>5873</v>
      </c>
      <c r="R949" s="152" t="s">
        <v>6025</v>
      </c>
      <c r="S949" s="152" t="s">
        <v>6047</v>
      </c>
      <c r="T949" s="152" t="s">
        <v>6027</v>
      </c>
      <c r="U949" s="152" t="s">
        <v>786</v>
      </c>
    </row>
    <row r="950" spans="4:21">
      <c r="D950" s="152" t="s">
        <v>2821</v>
      </c>
      <c r="G950" s="474" t="s">
        <v>371</v>
      </c>
      <c r="H950" s="210" t="s">
        <v>353</v>
      </c>
      <c r="I950" s="210"/>
      <c r="J950" s="513">
        <v>-189675</v>
      </c>
      <c r="K950" s="513">
        <v>-135</v>
      </c>
      <c r="L950" s="513">
        <v>1405</v>
      </c>
      <c r="M950" s="513" t="s">
        <v>6023</v>
      </c>
      <c r="N950" s="513" t="s">
        <v>780</v>
      </c>
      <c r="O950" s="513" t="s">
        <v>1407</v>
      </c>
      <c r="P950" s="518" t="s">
        <v>6024</v>
      </c>
      <c r="Q950" s="152" t="s">
        <v>5873</v>
      </c>
      <c r="R950" s="152" t="s">
        <v>6025</v>
      </c>
      <c r="S950" s="152" t="s">
        <v>6048</v>
      </c>
      <c r="T950" s="152" t="s">
        <v>6027</v>
      </c>
      <c r="U950" s="152" t="s">
        <v>786</v>
      </c>
    </row>
    <row r="951" spans="4:21">
      <c r="D951" s="152" t="s">
        <v>2821</v>
      </c>
      <c r="G951" s="474" t="s">
        <v>371</v>
      </c>
      <c r="H951" s="210" t="s">
        <v>353</v>
      </c>
      <c r="I951" s="210"/>
      <c r="J951" s="513">
        <v>-189675</v>
      </c>
      <c r="K951" s="513">
        <v>-135</v>
      </c>
      <c r="L951" s="513">
        <v>1405</v>
      </c>
      <c r="M951" s="513" t="s">
        <v>6023</v>
      </c>
      <c r="N951" s="513" t="s">
        <v>780</v>
      </c>
      <c r="O951" s="513" t="s">
        <v>1407</v>
      </c>
      <c r="P951" s="518" t="s">
        <v>6024</v>
      </c>
      <c r="Q951" s="152" t="s">
        <v>5873</v>
      </c>
      <c r="R951" s="152" t="s">
        <v>6025</v>
      </c>
      <c r="S951" s="152" t="s">
        <v>6049</v>
      </c>
      <c r="T951" s="152" t="s">
        <v>6027</v>
      </c>
      <c r="U951" s="152" t="s">
        <v>786</v>
      </c>
    </row>
    <row r="952" spans="4:21">
      <c r="D952" s="152" t="s">
        <v>2821</v>
      </c>
      <c r="G952" s="474" t="s">
        <v>371</v>
      </c>
      <c r="H952" s="210" t="s">
        <v>353</v>
      </c>
      <c r="I952" s="210"/>
      <c r="J952" s="513">
        <v>-299265</v>
      </c>
      <c r="K952" s="513">
        <v>-213</v>
      </c>
      <c r="L952" s="513">
        <v>1405</v>
      </c>
      <c r="M952" s="513" t="s">
        <v>6023</v>
      </c>
      <c r="N952" s="513" t="s">
        <v>780</v>
      </c>
      <c r="O952" s="513" t="s">
        <v>1407</v>
      </c>
      <c r="P952" s="518" t="s">
        <v>6024</v>
      </c>
      <c r="Q952" s="152" t="s">
        <v>5873</v>
      </c>
      <c r="R952" s="152" t="s">
        <v>6025</v>
      </c>
      <c r="S952" s="152" t="s">
        <v>6050</v>
      </c>
      <c r="T952" s="152" t="s">
        <v>6027</v>
      </c>
      <c r="U952" s="152" t="s">
        <v>786</v>
      </c>
    </row>
    <row r="953" spans="4:21">
      <c r="D953" s="152" t="s">
        <v>2821</v>
      </c>
      <c r="G953" s="474" t="s">
        <v>371</v>
      </c>
      <c r="H953" s="210" t="s">
        <v>353</v>
      </c>
      <c r="I953" s="210"/>
      <c r="J953" s="513">
        <v>-328770</v>
      </c>
      <c r="K953" s="513">
        <v>-234</v>
      </c>
      <c r="L953" s="513">
        <v>1405</v>
      </c>
      <c r="M953" s="513" t="s">
        <v>6023</v>
      </c>
      <c r="N953" s="513" t="s">
        <v>780</v>
      </c>
      <c r="O953" s="513" t="s">
        <v>1407</v>
      </c>
      <c r="P953" s="518" t="s">
        <v>6024</v>
      </c>
      <c r="Q953" s="152" t="s">
        <v>5873</v>
      </c>
      <c r="R953" s="152" t="s">
        <v>6025</v>
      </c>
      <c r="S953" s="152" t="s">
        <v>6051</v>
      </c>
      <c r="T953" s="152" t="s">
        <v>6027</v>
      </c>
      <c r="U953" s="152" t="s">
        <v>786</v>
      </c>
    </row>
    <row r="954" spans="4:21">
      <c r="D954" s="152" t="s">
        <v>2821</v>
      </c>
      <c r="G954" s="474" t="s">
        <v>371</v>
      </c>
      <c r="H954" s="210" t="s">
        <v>353</v>
      </c>
      <c r="I954" s="210"/>
      <c r="J954" s="513">
        <v>-95540</v>
      </c>
      <c r="K954" s="513">
        <v>-68</v>
      </c>
      <c r="L954" s="513">
        <v>1405</v>
      </c>
      <c r="M954" s="513" t="s">
        <v>6023</v>
      </c>
      <c r="N954" s="513" t="s">
        <v>780</v>
      </c>
      <c r="O954" s="513" t="s">
        <v>1407</v>
      </c>
      <c r="P954" s="518" t="s">
        <v>6024</v>
      </c>
      <c r="Q954" s="152" t="s">
        <v>5873</v>
      </c>
      <c r="R954" s="152" t="s">
        <v>6025</v>
      </c>
      <c r="S954" s="152" t="s">
        <v>6052</v>
      </c>
      <c r="T954" s="152" t="s">
        <v>6027</v>
      </c>
      <c r="U954" s="152" t="s">
        <v>786</v>
      </c>
    </row>
    <row r="955" spans="4:21">
      <c r="D955" s="152" t="s">
        <v>2821</v>
      </c>
      <c r="G955" s="474" t="s">
        <v>371</v>
      </c>
      <c r="H955" s="210" t="s">
        <v>353</v>
      </c>
      <c r="I955" s="210"/>
      <c r="J955" s="513">
        <v>5072050</v>
      </c>
      <c r="K955" s="513">
        <v>3610</v>
      </c>
      <c r="L955" s="513">
        <v>1405</v>
      </c>
      <c r="M955" s="513" t="s">
        <v>6270</v>
      </c>
      <c r="N955" s="513" t="s">
        <v>780</v>
      </c>
      <c r="O955" s="513" t="s">
        <v>1407</v>
      </c>
      <c r="P955" s="518" t="s">
        <v>6276</v>
      </c>
      <c r="Q955" s="152" t="s">
        <v>5873</v>
      </c>
      <c r="R955" s="152" t="s">
        <v>6277</v>
      </c>
      <c r="S955" s="152" t="s">
        <v>6291</v>
      </c>
      <c r="T955" s="152" t="s">
        <v>6279</v>
      </c>
      <c r="U955" s="152" t="s">
        <v>786</v>
      </c>
    </row>
    <row r="956" spans="4:21">
      <c r="D956" s="152" t="s">
        <v>2821</v>
      </c>
      <c r="G956" s="474" t="s">
        <v>371</v>
      </c>
      <c r="H956" s="210" t="s">
        <v>353</v>
      </c>
      <c r="I956" s="210"/>
      <c r="J956" s="513">
        <v>550029.4</v>
      </c>
      <c r="K956" s="513">
        <v>391.48</v>
      </c>
      <c r="L956" s="513">
        <v>1405</v>
      </c>
      <c r="M956" s="513" t="s">
        <v>6303</v>
      </c>
      <c r="N956" s="513" t="s">
        <v>780</v>
      </c>
      <c r="O956" s="513" t="s">
        <v>1407</v>
      </c>
      <c r="P956" s="518" t="s">
        <v>6418</v>
      </c>
      <c r="Q956" s="152" t="s">
        <v>5873</v>
      </c>
      <c r="R956" s="152" t="s">
        <v>6419</v>
      </c>
      <c r="S956" s="152" t="s">
        <v>6420</v>
      </c>
      <c r="T956" s="152" t="s">
        <v>6421</v>
      </c>
      <c r="U956" s="152" t="s">
        <v>786</v>
      </c>
    </row>
    <row r="957" spans="4:21">
      <c r="D957" s="152" t="s">
        <v>2821</v>
      </c>
      <c r="G957" s="474" t="s">
        <v>371</v>
      </c>
      <c r="H957" s="210" t="s">
        <v>353</v>
      </c>
      <c r="I957" s="210"/>
      <c r="J957" s="513">
        <v>-569277.9</v>
      </c>
      <c r="K957" s="513">
        <v>-405.18</v>
      </c>
      <c r="L957" s="513">
        <v>1405</v>
      </c>
      <c r="M957" s="513" t="s">
        <v>6303</v>
      </c>
      <c r="N957" s="513" t="s">
        <v>780</v>
      </c>
      <c r="O957" s="513" t="s">
        <v>1407</v>
      </c>
      <c r="P957" s="518" t="s">
        <v>6369</v>
      </c>
      <c r="Q957" s="152" t="s">
        <v>5873</v>
      </c>
      <c r="R957" s="152" t="s">
        <v>6370</v>
      </c>
      <c r="S957" s="152" t="s">
        <v>6422</v>
      </c>
      <c r="T957" s="152" t="s">
        <v>6372</v>
      </c>
      <c r="U957" s="152" t="s">
        <v>786</v>
      </c>
    </row>
    <row r="958" spans="4:21">
      <c r="D958" s="152" t="s">
        <v>2821</v>
      </c>
      <c r="G958" s="474" t="s">
        <v>371</v>
      </c>
      <c r="H958" s="210" t="s">
        <v>353</v>
      </c>
      <c r="I958" s="210"/>
      <c r="J958" s="513">
        <v>1352312.5</v>
      </c>
      <c r="K958" s="513">
        <v>962.5</v>
      </c>
      <c r="L958" s="513">
        <v>1405</v>
      </c>
      <c r="M958" s="513" t="s">
        <v>6303</v>
      </c>
      <c r="N958" s="513" t="s">
        <v>780</v>
      </c>
      <c r="O958" s="513" t="s">
        <v>1407</v>
      </c>
      <c r="P958" s="518" t="s">
        <v>6387</v>
      </c>
      <c r="Q958" s="152" t="s">
        <v>5873</v>
      </c>
      <c r="R958" s="152" t="s">
        <v>6388</v>
      </c>
      <c r="S958" s="152" t="s">
        <v>6423</v>
      </c>
      <c r="T958" s="152" t="s">
        <v>6390</v>
      </c>
      <c r="U958" s="152" t="s">
        <v>786</v>
      </c>
    </row>
    <row r="959" spans="4:21">
      <c r="D959" s="152" t="s">
        <v>2821</v>
      </c>
      <c r="G959" s="474" t="s">
        <v>371</v>
      </c>
      <c r="H959" s="210" t="s">
        <v>353</v>
      </c>
      <c r="I959" s="210"/>
      <c r="J959" s="513">
        <v>-47334.45</v>
      </c>
      <c r="K959" s="513">
        <v>-33.69</v>
      </c>
      <c r="L959" s="513">
        <v>1405</v>
      </c>
      <c r="M959" s="513" t="s">
        <v>6303</v>
      </c>
      <c r="N959" s="513" t="s">
        <v>780</v>
      </c>
      <c r="O959" s="513" t="s">
        <v>1407</v>
      </c>
      <c r="P959" s="518" t="s">
        <v>6369</v>
      </c>
      <c r="Q959" s="152" t="s">
        <v>5873</v>
      </c>
      <c r="R959" s="152" t="s">
        <v>6370</v>
      </c>
      <c r="S959" s="152" t="s">
        <v>6424</v>
      </c>
      <c r="T959" s="152" t="s">
        <v>6372</v>
      </c>
      <c r="U959" s="152" t="s">
        <v>786</v>
      </c>
    </row>
    <row r="960" spans="4:21">
      <c r="D960" s="152" t="s">
        <v>2821</v>
      </c>
      <c r="G960" s="474" t="s">
        <v>371</v>
      </c>
      <c r="H960" s="210" t="s">
        <v>353</v>
      </c>
      <c r="I960" s="210"/>
      <c r="J960" s="513">
        <v>4026730</v>
      </c>
      <c r="K960" s="513">
        <v>2866</v>
      </c>
      <c r="L960" s="513">
        <v>1405</v>
      </c>
      <c r="M960" s="513" t="s">
        <v>6303</v>
      </c>
      <c r="N960" s="513" t="s">
        <v>780</v>
      </c>
      <c r="O960" s="513" t="s">
        <v>1407</v>
      </c>
      <c r="P960" s="518" t="s">
        <v>6387</v>
      </c>
      <c r="Q960" s="152" t="s">
        <v>5873</v>
      </c>
      <c r="R960" s="152" t="s">
        <v>6388</v>
      </c>
      <c r="S960" s="152" t="s">
        <v>6425</v>
      </c>
      <c r="T960" s="152" t="s">
        <v>6390</v>
      </c>
      <c r="U960" s="152" t="s">
        <v>786</v>
      </c>
    </row>
    <row r="961" spans="4:21">
      <c r="D961" s="152" t="s">
        <v>2821</v>
      </c>
      <c r="G961" s="474" t="s">
        <v>371</v>
      </c>
      <c r="H961" s="210" t="s">
        <v>353</v>
      </c>
      <c r="I961" s="210"/>
      <c r="J961" s="513">
        <v>-140935.54999999999</v>
      </c>
      <c r="K961" s="513">
        <v>-100.31</v>
      </c>
      <c r="L961" s="513">
        <v>1405</v>
      </c>
      <c r="M961" s="513" t="s">
        <v>6303</v>
      </c>
      <c r="N961" s="513" t="s">
        <v>780</v>
      </c>
      <c r="O961" s="513" t="s">
        <v>1407</v>
      </c>
      <c r="P961" s="518" t="s">
        <v>6369</v>
      </c>
      <c r="Q961" s="152" t="s">
        <v>5873</v>
      </c>
      <c r="R961" s="152" t="s">
        <v>6370</v>
      </c>
      <c r="S961" s="152" t="s">
        <v>6426</v>
      </c>
      <c r="T961" s="152" t="s">
        <v>6372</v>
      </c>
      <c r="U961" s="152" t="s">
        <v>786</v>
      </c>
    </row>
    <row r="962" spans="4:21">
      <c r="D962" s="152" t="s">
        <v>2821</v>
      </c>
      <c r="G962" s="474" t="s">
        <v>371</v>
      </c>
      <c r="H962" s="210" t="s">
        <v>353</v>
      </c>
      <c r="I962" s="210"/>
      <c r="J962" s="513">
        <v>5123473</v>
      </c>
      <c r="K962" s="513">
        <v>3646.6</v>
      </c>
      <c r="L962" s="513">
        <v>1405</v>
      </c>
      <c r="M962" s="513" t="s">
        <v>6303</v>
      </c>
      <c r="N962" s="513" t="s">
        <v>780</v>
      </c>
      <c r="O962" s="513" t="s">
        <v>1407</v>
      </c>
      <c r="P962" s="518" t="s">
        <v>6387</v>
      </c>
      <c r="Q962" s="152" t="s">
        <v>5873</v>
      </c>
      <c r="R962" s="152" t="s">
        <v>6388</v>
      </c>
      <c r="S962" s="152" t="s">
        <v>6427</v>
      </c>
      <c r="T962" s="152" t="s">
        <v>6390</v>
      </c>
      <c r="U962" s="152" t="s">
        <v>786</v>
      </c>
    </row>
    <row r="963" spans="4:21">
      <c r="D963" s="152" t="s">
        <v>2821</v>
      </c>
      <c r="G963" s="474" t="s">
        <v>371</v>
      </c>
      <c r="H963" s="210" t="s">
        <v>353</v>
      </c>
      <c r="I963" s="210"/>
      <c r="J963" s="513">
        <v>-179320.15</v>
      </c>
      <c r="K963" s="513">
        <v>-127.63</v>
      </c>
      <c r="L963" s="513">
        <v>1405</v>
      </c>
      <c r="M963" s="513" t="s">
        <v>6303</v>
      </c>
      <c r="N963" s="513" t="s">
        <v>780</v>
      </c>
      <c r="O963" s="513" t="s">
        <v>1407</v>
      </c>
      <c r="P963" s="518" t="s">
        <v>6369</v>
      </c>
      <c r="Q963" s="152" t="s">
        <v>5873</v>
      </c>
      <c r="R963" s="152" t="s">
        <v>6370</v>
      </c>
      <c r="S963" s="152" t="s">
        <v>6428</v>
      </c>
      <c r="T963" s="152" t="s">
        <v>6372</v>
      </c>
      <c r="U963" s="152" t="s">
        <v>786</v>
      </c>
    </row>
    <row r="964" spans="4:21">
      <c r="D964" s="152" t="s">
        <v>2821</v>
      </c>
      <c r="G964" s="474" t="s">
        <v>371</v>
      </c>
      <c r="H964" s="210" t="s">
        <v>353</v>
      </c>
      <c r="I964" s="210"/>
      <c r="J964" s="513">
        <v>20990700</v>
      </c>
      <c r="K964" s="513">
        <v>14940</v>
      </c>
      <c r="L964" s="513">
        <v>1405</v>
      </c>
      <c r="M964" s="513" t="s">
        <v>6303</v>
      </c>
      <c r="N964" s="513" t="s">
        <v>780</v>
      </c>
      <c r="O964" s="513" t="s">
        <v>1407</v>
      </c>
      <c r="P964" s="518" t="s">
        <v>6387</v>
      </c>
      <c r="Q964" s="152" t="s">
        <v>5873</v>
      </c>
      <c r="R964" s="152" t="s">
        <v>6388</v>
      </c>
      <c r="S964" s="152" t="s">
        <v>6429</v>
      </c>
      <c r="T964" s="152" t="s">
        <v>6390</v>
      </c>
      <c r="U964" s="152" t="s">
        <v>786</v>
      </c>
    </row>
    <row r="965" spans="4:21">
      <c r="D965" s="152" t="s">
        <v>2821</v>
      </c>
      <c r="G965" s="474" t="s">
        <v>371</v>
      </c>
      <c r="H965" s="210" t="s">
        <v>353</v>
      </c>
      <c r="I965" s="210"/>
      <c r="J965" s="513">
        <v>-734674.5</v>
      </c>
      <c r="K965" s="513">
        <v>-522.9</v>
      </c>
      <c r="L965" s="513">
        <v>1405</v>
      </c>
      <c r="M965" s="513" t="s">
        <v>6303</v>
      </c>
      <c r="N965" s="513" t="s">
        <v>780</v>
      </c>
      <c r="O965" s="513" t="s">
        <v>1407</v>
      </c>
      <c r="P965" s="518" t="s">
        <v>6369</v>
      </c>
      <c r="Q965" s="152" t="s">
        <v>5873</v>
      </c>
      <c r="R965" s="152" t="s">
        <v>6370</v>
      </c>
      <c r="S965" s="152" t="s">
        <v>6430</v>
      </c>
      <c r="T965" s="152" t="s">
        <v>6372</v>
      </c>
      <c r="U965" s="152" t="s">
        <v>786</v>
      </c>
    </row>
    <row r="966" spans="4:21">
      <c r="D966" s="152" t="s">
        <v>2821</v>
      </c>
      <c r="G966" s="474" t="s">
        <v>371</v>
      </c>
      <c r="H966" s="210" t="s">
        <v>353</v>
      </c>
      <c r="I966" s="210"/>
      <c r="J966" s="513">
        <v>6674663.25</v>
      </c>
      <c r="K966" s="513">
        <v>4750.6499999999996</v>
      </c>
      <c r="L966" s="513">
        <v>1405</v>
      </c>
      <c r="M966" s="513" t="s">
        <v>6303</v>
      </c>
      <c r="N966" s="513" t="s">
        <v>780</v>
      </c>
      <c r="O966" s="513" t="s">
        <v>1407</v>
      </c>
      <c r="P966" s="518" t="s">
        <v>6387</v>
      </c>
      <c r="Q966" s="152" t="s">
        <v>5873</v>
      </c>
      <c r="R966" s="152" t="s">
        <v>6388</v>
      </c>
      <c r="S966" s="152" t="s">
        <v>6431</v>
      </c>
      <c r="T966" s="152" t="s">
        <v>6390</v>
      </c>
      <c r="U966" s="152" t="s">
        <v>786</v>
      </c>
    </row>
    <row r="967" spans="4:21">
      <c r="D967" s="152" t="s">
        <v>2821</v>
      </c>
      <c r="G967" s="474" t="s">
        <v>371</v>
      </c>
      <c r="H967" s="210" t="s">
        <v>353</v>
      </c>
      <c r="I967" s="210"/>
      <c r="J967" s="513">
        <v>-233609.35</v>
      </c>
      <c r="K967" s="513">
        <v>-166.27</v>
      </c>
      <c r="L967" s="513">
        <v>1405</v>
      </c>
      <c r="M967" s="513" t="s">
        <v>6303</v>
      </c>
      <c r="N967" s="513" t="s">
        <v>780</v>
      </c>
      <c r="O967" s="513" t="s">
        <v>1407</v>
      </c>
      <c r="P967" s="518" t="s">
        <v>6369</v>
      </c>
      <c r="Q967" s="152" t="s">
        <v>5873</v>
      </c>
      <c r="R967" s="152" t="s">
        <v>6370</v>
      </c>
      <c r="S967" s="152" t="s">
        <v>6432</v>
      </c>
      <c r="T967" s="152" t="s">
        <v>6372</v>
      </c>
      <c r="U967" s="152" t="s">
        <v>786</v>
      </c>
    </row>
    <row r="968" spans="4:21">
      <c r="D968" s="152" t="s">
        <v>2821</v>
      </c>
      <c r="G968" s="474" t="s">
        <v>371</v>
      </c>
      <c r="H968" s="210" t="s">
        <v>353</v>
      </c>
      <c r="I968" s="210"/>
      <c r="J968" s="513">
        <v>1967000</v>
      </c>
      <c r="K968" s="513">
        <v>1400</v>
      </c>
      <c r="L968" s="513">
        <v>1405</v>
      </c>
      <c r="M968" s="513" t="s">
        <v>6303</v>
      </c>
      <c r="N968" s="513" t="s">
        <v>780</v>
      </c>
      <c r="O968" s="513" t="s">
        <v>1407</v>
      </c>
      <c r="P968" s="518" t="s">
        <v>6387</v>
      </c>
      <c r="Q968" s="152" t="s">
        <v>5873</v>
      </c>
      <c r="R968" s="152" t="s">
        <v>6388</v>
      </c>
      <c r="S968" s="152" t="s">
        <v>6433</v>
      </c>
      <c r="T968" s="152" t="s">
        <v>6390</v>
      </c>
      <c r="U968" s="152" t="s">
        <v>786</v>
      </c>
    </row>
    <row r="969" spans="4:21">
      <c r="D969" s="152" t="s">
        <v>2821</v>
      </c>
      <c r="G969" s="474" t="s">
        <v>371</v>
      </c>
      <c r="H969" s="210" t="s">
        <v>353</v>
      </c>
      <c r="I969" s="210"/>
      <c r="J969" s="513">
        <v>983500</v>
      </c>
      <c r="K969" s="513">
        <v>700</v>
      </c>
      <c r="L969" s="513">
        <v>1405</v>
      </c>
      <c r="M969" s="513" t="s">
        <v>6303</v>
      </c>
      <c r="N969" s="513" t="s">
        <v>780</v>
      </c>
      <c r="O969" s="513" t="s">
        <v>1407</v>
      </c>
      <c r="P969" s="518" t="s">
        <v>6387</v>
      </c>
      <c r="Q969" s="152" t="s">
        <v>5873</v>
      </c>
      <c r="R969" s="152" t="s">
        <v>6388</v>
      </c>
      <c r="S969" s="152" t="s">
        <v>6434</v>
      </c>
      <c r="T969" s="152" t="s">
        <v>6390</v>
      </c>
      <c r="U969" s="152" t="s">
        <v>786</v>
      </c>
    </row>
    <row r="970" spans="4:21">
      <c r="D970" s="152" t="s">
        <v>2821</v>
      </c>
      <c r="G970" s="474" t="s">
        <v>371</v>
      </c>
      <c r="H970" s="210" t="s">
        <v>353</v>
      </c>
      <c r="I970" s="210"/>
      <c r="J970" s="513">
        <v>-34422.5</v>
      </c>
      <c r="K970" s="513">
        <v>-24.5</v>
      </c>
      <c r="L970" s="513">
        <v>1405</v>
      </c>
      <c r="M970" s="513" t="s">
        <v>6303</v>
      </c>
      <c r="N970" s="513" t="s">
        <v>780</v>
      </c>
      <c r="O970" s="513" t="s">
        <v>1407</v>
      </c>
      <c r="P970" s="518" t="s">
        <v>6369</v>
      </c>
      <c r="Q970" s="152" t="s">
        <v>5873</v>
      </c>
      <c r="R970" s="152" t="s">
        <v>6370</v>
      </c>
      <c r="S970" s="152" t="s">
        <v>6435</v>
      </c>
      <c r="T970" s="152" t="s">
        <v>6372</v>
      </c>
      <c r="U970" s="152" t="s">
        <v>786</v>
      </c>
    </row>
    <row r="971" spans="4:21">
      <c r="D971" s="152" t="s">
        <v>2821</v>
      </c>
      <c r="G971" s="474" t="s">
        <v>371</v>
      </c>
      <c r="H971" s="210" t="s">
        <v>353</v>
      </c>
      <c r="I971" s="210"/>
      <c r="J971" s="513">
        <v>3962100</v>
      </c>
      <c r="K971" s="513">
        <v>2820</v>
      </c>
      <c r="L971" s="513">
        <v>1405</v>
      </c>
      <c r="M971" s="513" t="s">
        <v>6303</v>
      </c>
      <c r="N971" s="513" t="s">
        <v>780</v>
      </c>
      <c r="O971" s="513" t="s">
        <v>1407</v>
      </c>
      <c r="P971" s="518" t="s">
        <v>6387</v>
      </c>
      <c r="Q971" s="152" t="s">
        <v>5873</v>
      </c>
      <c r="R971" s="152" t="s">
        <v>6388</v>
      </c>
      <c r="S971" s="152" t="s">
        <v>6436</v>
      </c>
      <c r="T971" s="152" t="s">
        <v>6390</v>
      </c>
      <c r="U971" s="152" t="s">
        <v>786</v>
      </c>
    </row>
    <row r="972" spans="4:21">
      <c r="D972" s="152" t="s">
        <v>2821</v>
      </c>
      <c r="G972" s="474" t="s">
        <v>371</v>
      </c>
      <c r="H972" s="210" t="s">
        <v>353</v>
      </c>
      <c r="I972" s="210"/>
      <c r="J972" s="513">
        <v>113847.15</v>
      </c>
      <c r="K972" s="513">
        <v>81.03</v>
      </c>
      <c r="L972" s="513">
        <v>1405</v>
      </c>
      <c r="M972" s="513" t="s">
        <v>6303</v>
      </c>
      <c r="N972" s="513" t="s">
        <v>780</v>
      </c>
      <c r="O972" s="513" t="s">
        <v>1407</v>
      </c>
      <c r="P972" s="518" t="s">
        <v>6418</v>
      </c>
      <c r="Q972" s="152" t="s">
        <v>5873</v>
      </c>
      <c r="R972" s="152" t="s">
        <v>6419</v>
      </c>
      <c r="S972" s="152" t="s">
        <v>6437</v>
      </c>
      <c r="T972" s="152" t="s">
        <v>6421</v>
      </c>
      <c r="U972" s="152" t="s">
        <v>786</v>
      </c>
    </row>
    <row r="973" spans="4:21">
      <c r="D973" s="152" t="s">
        <v>2821</v>
      </c>
      <c r="G973" s="474" t="s">
        <v>371</v>
      </c>
      <c r="H973" s="210" t="s">
        <v>353</v>
      </c>
      <c r="I973" s="210"/>
      <c r="J973" s="513">
        <v>-117823.3</v>
      </c>
      <c r="K973" s="513">
        <v>-83.86</v>
      </c>
      <c r="L973" s="513">
        <v>1405</v>
      </c>
      <c r="M973" s="513" t="s">
        <v>6303</v>
      </c>
      <c r="N973" s="513" t="s">
        <v>780</v>
      </c>
      <c r="O973" s="513" t="s">
        <v>1407</v>
      </c>
      <c r="P973" s="518" t="s">
        <v>6369</v>
      </c>
      <c r="Q973" s="152" t="s">
        <v>5873</v>
      </c>
      <c r="R973" s="152" t="s">
        <v>6370</v>
      </c>
      <c r="S973" s="152" t="s">
        <v>6438</v>
      </c>
      <c r="T973" s="152" t="s">
        <v>6372</v>
      </c>
      <c r="U973" s="152" t="s">
        <v>786</v>
      </c>
    </row>
    <row r="974" spans="4:21">
      <c r="D974" s="152" t="s">
        <v>2821</v>
      </c>
      <c r="G974" s="474" t="s">
        <v>371</v>
      </c>
      <c r="H974" s="210" t="s">
        <v>353</v>
      </c>
      <c r="I974" s="210"/>
      <c r="J974" s="513">
        <v>206296.15</v>
      </c>
      <c r="K974" s="513">
        <v>146.83000000000001</v>
      </c>
      <c r="L974" s="513">
        <v>1405</v>
      </c>
      <c r="M974" s="513" t="s">
        <v>6303</v>
      </c>
      <c r="N974" s="513" t="s">
        <v>780</v>
      </c>
      <c r="O974" s="513" t="s">
        <v>1407</v>
      </c>
      <c r="P974" s="518" t="s">
        <v>6418</v>
      </c>
      <c r="Q974" s="152" t="s">
        <v>5873</v>
      </c>
      <c r="R974" s="152" t="s">
        <v>6419</v>
      </c>
      <c r="S974" s="152" t="s">
        <v>6439</v>
      </c>
      <c r="T974" s="152" t="s">
        <v>6421</v>
      </c>
      <c r="U974" s="152" t="s">
        <v>786</v>
      </c>
    </row>
    <row r="975" spans="4:21">
      <c r="D975" s="152" t="s">
        <v>2821</v>
      </c>
      <c r="G975" s="474" t="s">
        <v>371</v>
      </c>
      <c r="H975" s="210" t="s">
        <v>353</v>
      </c>
      <c r="I975" s="210"/>
      <c r="J975" s="513">
        <v>-213503.8</v>
      </c>
      <c r="K975" s="513">
        <v>-151.96</v>
      </c>
      <c r="L975" s="513">
        <v>1405</v>
      </c>
      <c r="M975" s="513" t="s">
        <v>6303</v>
      </c>
      <c r="N975" s="513" t="s">
        <v>780</v>
      </c>
      <c r="O975" s="513" t="s">
        <v>1407</v>
      </c>
      <c r="P975" s="518" t="s">
        <v>6369</v>
      </c>
      <c r="Q975" s="152" t="s">
        <v>5873</v>
      </c>
      <c r="R975" s="152" t="s">
        <v>6370</v>
      </c>
      <c r="S975" s="152" t="s">
        <v>6440</v>
      </c>
      <c r="T975" s="152" t="s">
        <v>6372</v>
      </c>
      <c r="U975" s="152" t="s">
        <v>786</v>
      </c>
    </row>
    <row r="976" spans="4:21">
      <c r="D976" s="152" t="s">
        <v>2821</v>
      </c>
      <c r="G976" s="474" t="s">
        <v>371</v>
      </c>
      <c r="H976" s="210" t="s">
        <v>353</v>
      </c>
      <c r="I976" s="210"/>
      <c r="J976" s="513">
        <v>59010</v>
      </c>
      <c r="K976" s="513">
        <v>42</v>
      </c>
      <c r="L976" s="513">
        <v>1405</v>
      </c>
      <c r="M976" s="513" t="s">
        <v>6303</v>
      </c>
      <c r="N976" s="513" t="s">
        <v>780</v>
      </c>
      <c r="O976" s="513" t="s">
        <v>1407</v>
      </c>
      <c r="P976" s="518" t="s">
        <v>6418</v>
      </c>
      <c r="Q976" s="152" t="s">
        <v>5873</v>
      </c>
      <c r="R976" s="152" t="s">
        <v>6419</v>
      </c>
      <c r="S976" s="152" t="s">
        <v>6441</v>
      </c>
      <c r="T976" s="152" t="s">
        <v>6421</v>
      </c>
      <c r="U976" s="152" t="s">
        <v>786</v>
      </c>
    </row>
    <row r="977" spans="4:21">
      <c r="D977" s="152" t="s">
        <v>2821</v>
      </c>
      <c r="G977" s="474" t="s">
        <v>371</v>
      </c>
      <c r="H977" s="210" t="s">
        <v>353</v>
      </c>
      <c r="I977" s="210"/>
      <c r="J977" s="513">
        <v>41307</v>
      </c>
      <c r="K977" s="513">
        <v>29.4</v>
      </c>
      <c r="L977" s="513">
        <v>1405</v>
      </c>
      <c r="M977" s="513" t="s">
        <v>6303</v>
      </c>
      <c r="N977" s="513" t="s">
        <v>780</v>
      </c>
      <c r="O977" s="513" t="s">
        <v>1407</v>
      </c>
      <c r="P977" s="518" t="s">
        <v>6418</v>
      </c>
      <c r="Q977" s="152" t="s">
        <v>5873</v>
      </c>
      <c r="R977" s="152" t="s">
        <v>6419</v>
      </c>
      <c r="S977" s="152" t="s">
        <v>6441</v>
      </c>
      <c r="T977" s="152" t="s">
        <v>6421</v>
      </c>
      <c r="U977" s="152" t="s">
        <v>786</v>
      </c>
    </row>
    <row r="978" spans="4:21">
      <c r="D978" s="152" t="s">
        <v>2821</v>
      </c>
      <c r="G978" s="474" t="s">
        <v>371</v>
      </c>
      <c r="H978" s="210" t="s">
        <v>353</v>
      </c>
      <c r="I978" s="210"/>
      <c r="J978" s="513">
        <v>-42754.15</v>
      </c>
      <c r="K978" s="513">
        <v>-30.43</v>
      </c>
      <c r="L978" s="513">
        <v>1405</v>
      </c>
      <c r="M978" s="513" t="s">
        <v>6303</v>
      </c>
      <c r="N978" s="513" t="s">
        <v>780</v>
      </c>
      <c r="O978" s="513" t="s">
        <v>1407</v>
      </c>
      <c r="P978" s="518" t="s">
        <v>6369</v>
      </c>
      <c r="Q978" s="152" t="s">
        <v>5873</v>
      </c>
      <c r="R978" s="152" t="s">
        <v>6370</v>
      </c>
      <c r="S978" s="152" t="s">
        <v>6442</v>
      </c>
      <c r="T978" s="152" t="s">
        <v>6372</v>
      </c>
      <c r="U978" s="152" t="s">
        <v>786</v>
      </c>
    </row>
    <row r="979" spans="4:21">
      <c r="D979" s="152" t="s">
        <v>2821</v>
      </c>
      <c r="G979" s="474" t="s">
        <v>371</v>
      </c>
      <c r="H979" s="210" t="s">
        <v>353</v>
      </c>
      <c r="I979" s="210"/>
      <c r="J979" s="513">
        <v>-61075.35</v>
      </c>
      <c r="K979" s="513">
        <v>-43.47</v>
      </c>
      <c r="L979" s="513">
        <v>1405</v>
      </c>
      <c r="M979" s="513" t="s">
        <v>6303</v>
      </c>
      <c r="N979" s="513" t="s">
        <v>780</v>
      </c>
      <c r="O979" s="513" t="s">
        <v>1407</v>
      </c>
      <c r="P979" s="518" t="s">
        <v>6369</v>
      </c>
      <c r="Q979" s="152" t="s">
        <v>5873</v>
      </c>
      <c r="R979" s="152" t="s">
        <v>6370</v>
      </c>
      <c r="S979" s="152" t="s">
        <v>6442</v>
      </c>
      <c r="T979" s="152" t="s">
        <v>6372</v>
      </c>
      <c r="U979" s="152" t="s">
        <v>786</v>
      </c>
    </row>
    <row r="980" spans="4:21">
      <c r="D980" s="152" t="s">
        <v>2821</v>
      </c>
      <c r="G980" s="474" t="s">
        <v>371</v>
      </c>
      <c r="H980" s="210" t="s">
        <v>353</v>
      </c>
      <c r="I980" s="210"/>
      <c r="J980" s="513">
        <v>107075.05</v>
      </c>
      <c r="K980" s="513">
        <v>76.209999999999994</v>
      </c>
      <c r="L980" s="513">
        <v>1405</v>
      </c>
      <c r="M980" s="513" t="s">
        <v>6303</v>
      </c>
      <c r="N980" s="513" t="s">
        <v>780</v>
      </c>
      <c r="O980" s="513" t="s">
        <v>1407</v>
      </c>
      <c r="P980" s="518" t="s">
        <v>6418</v>
      </c>
      <c r="Q980" s="152" t="s">
        <v>5873</v>
      </c>
      <c r="R980" s="152" t="s">
        <v>6419</v>
      </c>
      <c r="S980" s="152" t="s">
        <v>6443</v>
      </c>
      <c r="T980" s="152" t="s">
        <v>6421</v>
      </c>
      <c r="U980" s="152" t="s">
        <v>786</v>
      </c>
    </row>
    <row r="981" spans="4:21">
      <c r="D981" s="152" t="s">
        <v>2821</v>
      </c>
      <c r="G981" s="474" t="s">
        <v>371</v>
      </c>
      <c r="H981" s="210" t="s">
        <v>353</v>
      </c>
      <c r="I981" s="210"/>
      <c r="J981" s="513">
        <v>-110826.4</v>
      </c>
      <c r="K981" s="513">
        <v>-78.88</v>
      </c>
      <c r="L981" s="513">
        <v>1405</v>
      </c>
      <c r="M981" s="513" t="s">
        <v>6303</v>
      </c>
      <c r="N981" s="513" t="s">
        <v>780</v>
      </c>
      <c r="O981" s="513" t="s">
        <v>1407</v>
      </c>
      <c r="P981" s="518" t="s">
        <v>6369</v>
      </c>
      <c r="Q981" s="152" t="s">
        <v>5873</v>
      </c>
      <c r="R981" s="152" t="s">
        <v>6370</v>
      </c>
      <c r="S981" s="152" t="s">
        <v>6444</v>
      </c>
      <c r="T981" s="152" t="s">
        <v>6372</v>
      </c>
      <c r="U981" s="152" t="s">
        <v>786</v>
      </c>
    </row>
    <row r="982" spans="4:21">
      <c r="D982" s="152" t="s">
        <v>2821</v>
      </c>
      <c r="G982" s="474" t="s">
        <v>371</v>
      </c>
      <c r="H982" s="210" t="s">
        <v>353</v>
      </c>
      <c r="I982" s="210"/>
      <c r="J982" s="513">
        <v>2174237.5</v>
      </c>
      <c r="K982" s="513">
        <v>1547.5</v>
      </c>
      <c r="L982" s="513">
        <v>1405</v>
      </c>
      <c r="M982" s="513" t="s">
        <v>6303</v>
      </c>
      <c r="N982" s="513" t="s">
        <v>780</v>
      </c>
      <c r="O982" s="513" t="s">
        <v>1407</v>
      </c>
      <c r="P982" s="518" t="s">
        <v>6382</v>
      </c>
      <c r="Q982" s="152" t="s">
        <v>5873</v>
      </c>
      <c r="R982" s="152" t="s">
        <v>6383</v>
      </c>
      <c r="S982" s="152" t="s">
        <v>6445</v>
      </c>
      <c r="T982" s="152" t="s">
        <v>6385</v>
      </c>
      <c r="U982" s="152" t="s">
        <v>786</v>
      </c>
    </row>
    <row r="983" spans="4:21">
      <c r="D983" s="152" t="s">
        <v>2821</v>
      </c>
      <c r="G983" s="474" t="s">
        <v>371</v>
      </c>
      <c r="H983" s="210" t="s">
        <v>353</v>
      </c>
      <c r="I983" s="210"/>
      <c r="J983" s="513">
        <v>2174237.5</v>
      </c>
      <c r="K983" s="513">
        <v>1547.5</v>
      </c>
      <c r="L983" s="513">
        <v>1405</v>
      </c>
      <c r="M983" s="513" t="s">
        <v>6303</v>
      </c>
      <c r="N983" s="513" t="s">
        <v>780</v>
      </c>
      <c r="O983" s="513" t="s">
        <v>1407</v>
      </c>
      <c r="P983" s="518" t="s">
        <v>6382</v>
      </c>
      <c r="Q983" s="152" t="s">
        <v>5873</v>
      </c>
      <c r="R983" s="152" t="s">
        <v>6383</v>
      </c>
      <c r="S983" s="152" t="s">
        <v>6446</v>
      </c>
      <c r="T983" s="152" t="s">
        <v>6385</v>
      </c>
      <c r="U983" s="152" t="s">
        <v>786</v>
      </c>
    </row>
    <row r="984" spans="4:21">
      <c r="D984" s="152" t="s">
        <v>2821</v>
      </c>
      <c r="G984" s="474" t="s">
        <v>371</v>
      </c>
      <c r="H984" s="210" t="s">
        <v>353</v>
      </c>
      <c r="I984" s="210"/>
      <c r="J984" s="513">
        <v>2174237.5</v>
      </c>
      <c r="K984" s="513">
        <v>1547.5</v>
      </c>
      <c r="L984" s="513">
        <v>1405</v>
      </c>
      <c r="M984" s="513" t="s">
        <v>6303</v>
      </c>
      <c r="N984" s="513" t="s">
        <v>780</v>
      </c>
      <c r="O984" s="513" t="s">
        <v>1407</v>
      </c>
      <c r="P984" s="518" t="s">
        <v>6382</v>
      </c>
      <c r="Q984" s="152" t="s">
        <v>5873</v>
      </c>
      <c r="R984" s="152" t="s">
        <v>6383</v>
      </c>
      <c r="S984" s="152" t="s">
        <v>6447</v>
      </c>
      <c r="T984" s="152" t="s">
        <v>6385</v>
      </c>
      <c r="U984" s="152" t="s">
        <v>786</v>
      </c>
    </row>
    <row r="985" spans="4:21">
      <c r="D985" s="152" t="s">
        <v>2821</v>
      </c>
      <c r="G985" s="474" t="s">
        <v>371</v>
      </c>
      <c r="H985" s="210" t="s">
        <v>353</v>
      </c>
      <c r="I985" s="210"/>
      <c r="J985" s="513">
        <v>1401487.5</v>
      </c>
      <c r="K985" s="513">
        <v>997.5</v>
      </c>
      <c r="L985" s="513">
        <v>1405</v>
      </c>
      <c r="M985" s="513" t="s">
        <v>6303</v>
      </c>
      <c r="N985" s="513" t="s">
        <v>780</v>
      </c>
      <c r="O985" s="513" t="s">
        <v>1407</v>
      </c>
      <c r="P985" s="518" t="s">
        <v>6387</v>
      </c>
      <c r="Q985" s="152" t="s">
        <v>5873</v>
      </c>
      <c r="R985" s="152" t="s">
        <v>6388</v>
      </c>
      <c r="S985" s="152" t="s">
        <v>6448</v>
      </c>
      <c r="T985" s="152" t="s">
        <v>6390</v>
      </c>
      <c r="U985" s="152" t="s">
        <v>786</v>
      </c>
    </row>
    <row r="986" spans="4:21">
      <c r="D986" s="152" t="s">
        <v>2821</v>
      </c>
      <c r="G986" s="474" t="s">
        <v>371</v>
      </c>
      <c r="H986" s="210" t="s">
        <v>353</v>
      </c>
      <c r="I986" s="210"/>
      <c r="J986" s="513">
        <v>1678975</v>
      </c>
      <c r="K986" s="513">
        <v>1195</v>
      </c>
      <c r="L986" s="513">
        <v>1405</v>
      </c>
      <c r="M986" s="513" t="s">
        <v>6303</v>
      </c>
      <c r="N986" s="513" t="s">
        <v>780</v>
      </c>
      <c r="O986" s="513" t="s">
        <v>1407</v>
      </c>
      <c r="P986" s="518" t="s">
        <v>6382</v>
      </c>
      <c r="Q986" s="152" t="s">
        <v>5873</v>
      </c>
      <c r="R986" s="152" t="s">
        <v>6383</v>
      </c>
      <c r="S986" s="152" t="s">
        <v>6449</v>
      </c>
      <c r="T986" s="152" t="s">
        <v>6385</v>
      </c>
      <c r="U986" s="152" t="s">
        <v>786</v>
      </c>
    </row>
    <row r="987" spans="4:21">
      <c r="D987" s="152" t="s">
        <v>2821</v>
      </c>
      <c r="G987" s="474" t="s">
        <v>371</v>
      </c>
      <c r="H987" s="210" t="s">
        <v>353</v>
      </c>
      <c r="I987" s="210"/>
      <c r="J987" s="513">
        <v>194367.7</v>
      </c>
      <c r="K987" s="513">
        <v>138.34</v>
      </c>
      <c r="L987" s="513">
        <v>1405</v>
      </c>
      <c r="M987" s="513" t="s">
        <v>6303</v>
      </c>
      <c r="N987" s="513" t="s">
        <v>780</v>
      </c>
      <c r="O987" s="513" t="s">
        <v>1407</v>
      </c>
      <c r="P987" s="518" t="s">
        <v>6418</v>
      </c>
      <c r="Q987" s="152" t="s">
        <v>5873</v>
      </c>
      <c r="R987" s="152" t="s">
        <v>6419</v>
      </c>
      <c r="S987" s="152" t="s">
        <v>6450</v>
      </c>
      <c r="T987" s="152" t="s">
        <v>6421</v>
      </c>
      <c r="U987" s="152" t="s">
        <v>786</v>
      </c>
    </row>
    <row r="988" spans="4:21">
      <c r="D988" s="152" t="s">
        <v>2821</v>
      </c>
      <c r="G988" s="474" t="s">
        <v>371</v>
      </c>
      <c r="H988" s="210" t="s">
        <v>353</v>
      </c>
      <c r="I988" s="210"/>
      <c r="J988" s="513">
        <v>-201167.9</v>
      </c>
      <c r="K988" s="513">
        <v>-143.18</v>
      </c>
      <c r="L988" s="513">
        <v>1405</v>
      </c>
      <c r="M988" s="513" t="s">
        <v>6303</v>
      </c>
      <c r="N988" s="513" t="s">
        <v>780</v>
      </c>
      <c r="O988" s="513" t="s">
        <v>1407</v>
      </c>
      <c r="P988" s="518" t="s">
        <v>6369</v>
      </c>
      <c r="Q988" s="152" t="s">
        <v>5873</v>
      </c>
      <c r="R988" s="152" t="s">
        <v>6370</v>
      </c>
      <c r="S988" s="152" t="s">
        <v>6451</v>
      </c>
      <c r="T988" s="152" t="s">
        <v>6372</v>
      </c>
      <c r="U988" s="152" t="s">
        <v>786</v>
      </c>
    </row>
    <row r="989" spans="4:21">
      <c r="D989" s="152" t="s">
        <v>2821</v>
      </c>
      <c r="G989" s="474" t="s">
        <v>371</v>
      </c>
      <c r="H989" s="210" t="s">
        <v>353</v>
      </c>
      <c r="I989" s="210"/>
      <c r="J989" s="513">
        <v>9596.15</v>
      </c>
      <c r="K989" s="513">
        <v>6.83</v>
      </c>
      <c r="L989" s="513">
        <v>1405</v>
      </c>
      <c r="M989" s="513" t="s">
        <v>6303</v>
      </c>
      <c r="N989" s="513" t="s">
        <v>780</v>
      </c>
      <c r="O989" s="513" t="s">
        <v>1407</v>
      </c>
      <c r="P989" s="518" t="s">
        <v>6418</v>
      </c>
      <c r="Q989" s="152" t="s">
        <v>5873</v>
      </c>
      <c r="R989" s="152" t="s">
        <v>6419</v>
      </c>
      <c r="S989" s="152" t="s">
        <v>6452</v>
      </c>
      <c r="T989" s="152" t="s">
        <v>6421</v>
      </c>
      <c r="U989" s="152" t="s">
        <v>786</v>
      </c>
    </row>
    <row r="990" spans="4:21">
      <c r="D990" s="152" t="s">
        <v>2821</v>
      </c>
      <c r="G990" s="474" t="s">
        <v>371</v>
      </c>
      <c r="H990" s="210" t="s">
        <v>353</v>
      </c>
      <c r="I990" s="210"/>
      <c r="J990" s="513">
        <v>-9919.2999999999993</v>
      </c>
      <c r="K990" s="513">
        <v>-7.06</v>
      </c>
      <c r="L990" s="513">
        <v>1405</v>
      </c>
      <c r="M990" s="513" t="s">
        <v>6303</v>
      </c>
      <c r="N990" s="513" t="s">
        <v>780</v>
      </c>
      <c r="O990" s="513" t="s">
        <v>1407</v>
      </c>
      <c r="P990" s="518" t="s">
        <v>6369</v>
      </c>
      <c r="Q990" s="152" t="s">
        <v>5873</v>
      </c>
      <c r="R990" s="152" t="s">
        <v>6370</v>
      </c>
      <c r="S990" s="152" t="s">
        <v>6453</v>
      </c>
      <c r="T990" s="152" t="s">
        <v>6372</v>
      </c>
      <c r="U990" s="152" t="s">
        <v>786</v>
      </c>
    </row>
    <row r="991" spans="4:21">
      <c r="D991" s="152" t="s">
        <v>2821</v>
      </c>
      <c r="G991" s="474" t="s">
        <v>371</v>
      </c>
      <c r="H991" s="210" t="s">
        <v>353</v>
      </c>
      <c r="I991" s="210"/>
      <c r="J991" s="513">
        <v>24587.5</v>
      </c>
      <c r="K991" s="513">
        <v>17.5</v>
      </c>
      <c r="L991" s="513">
        <v>1405</v>
      </c>
      <c r="M991" s="513" t="s">
        <v>6303</v>
      </c>
      <c r="N991" s="513" t="s">
        <v>780</v>
      </c>
      <c r="O991" s="513" t="s">
        <v>1407</v>
      </c>
      <c r="P991" s="518" t="s">
        <v>6418</v>
      </c>
      <c r="Q991" s="152" t="s">
        <v>5873</v>
      </c>
      <c r="R991" s="152" t="s">
        <v>6419</v>
      </c>
      <c r="S991" s="152" t="s">
        <v>6454</v>
      </c>
      <c r="T991" s="152" t="s">
        <v>6421</v>
      </c>
      <c r="U991" s="152" t="s">
        <v>786</v>
      </c>
    </row>
    <row r="992" spans="4:21">
      <c r="D992" s="152" t="s">
        <v>2821</v>
      </c>
      <c r="G992" s="474" t="s">
        <v>371</v>
      </c>
      <c r="H992" s="210" t="s">
        <v>353</v>
      </c>
      <c r="I992" s="210"/>
      <c r="J992" s="513">
        <v>-25444.55</v>
      </c>
      <c r="K992" s="513">
        <v>-18.11</v>
      </c>
      <c r="L992" s="513">
        <v>1405</v>
      </c>
      <c r="M992" s="513" t="s">
        <v>6303</v>
      </c>
      <c r="N992" s="513" t="s">
        <v>780</v>
      </c>
      <c r="O992" s="513" t="s">
        <v>1407</v>
      </c>
      <c r="P992" s="518" t="s">
        <v>6369</v>
      </c>
      <c r="Q992" s="152" t="s">
        <v>5873</v>
      </c>
      <c r="R992" s="152" t="s">
        <v>6370</v>
      </c>
      <c r="S992" s="152" t="s">
        <v>6455</v>
      </c>
      <c r="T992" s="152" t="s">
        <v>6372</v>
      </c>
      <c r="U992" s="152" t="s">
        <v>786</v>
      </c>
    </row>
    <row r="993" spans="4:21">
      <c r="D993" s="152" t="s">
        <v>2821</v>
      </c>
      <c r="G993" s="474" t="s">
        <v>371</v>
      </c>
      <c r="H993" s="210" t="s">
        <v>353</v>
      </c>
      <c r="I993" s="210"/>
      <c r="J993" s="513">
        <v>175920.05</v>
      </c>
      <c r="K993" s="513">
        <v>125.21</v>
      </c>
      <c r="L993" s="513">
        <v>1405</v>
      </c>
      <c r="M993" s="513" t="s">
        <v>6303</v>
      </c>
      <c r="N993" s="513" t="s">
        <v>780</v>
      </c>
      <c r="O993" s="513" t="s">
        <v>1407</v>
      </c>
      <c r="P993" s="518" t="s">
        <v>6418</v>
      </c>
      <c r="Q993" s="152" t="s">
        <v>5873</v>
      </c>
      <c r="R993" s="152" t="s">
        <v>6419</v>
      </c>
      <c r="S993" s="152" t="s">
        <v>6456</v>
      </c>
      <c r="T993" s="152" t="s">
        <v>6421</v>
      </c>
      <c r="U993" s="152" t="s">
        <v>786</v>
      </c>
    </row>
    <row r="994" spans="4:21">
      <c r="D994" s="152" t="s">
        <v>2821</v>
      </c>
      <c r="G994" s="474" t="s">
        <v>371</v>
      </c>
      <c r="H994" s="210" t="s">
        <v>353</v>
      </c>
      <c r="I994" s="210"/>
      <c r="J994" s="513">
        <v>-182073.95</v>
      </c>
      <c r="K994" s="513">
        <v>-129.59</v>
      </c>
      <c r="L994" s="513">
        <v>1405</v>
      </c>
      <c r="M994" s="513" t="s">
        <v>6303</v>
      </c>
      <c r="N994" s="513" t="s">
        <v>780</v>
      </c>
      <c r="O994" s="513" t="s">
        <v>1407</v>
      </c>
      <c r="P994" s="518" t="s">
        <v>6369</v>
      </c>
      <c r="Q994" s="152" t="s">
        <v>5873</v>
      </c>
      <c r="R994" s="152" t="s">
        <v>6370</v>
      </c>
      <c r="S994" s="152" t="s">
        <v>6457</v>
      </c>
      <c r="T994" s="152" t="s">
        <v>6372</v>
      </c>
      <c r="U994" s="152" t="s">
        <v>786</v>
      </c>
    </row>
    <row r="995" spans="4:21">
      <c r="D995" s="152" t="s">
        <v>2821</v>
      </c>
      <c r="G995" s="474" t="s">
        <v>371</v>
      </c>
      <c r="H995" s="210" t="s">
        <v>353</v>
      </c>
      <c r="I995" s="210"/>
      <c r="J995" s="513">
        <v>137942.9</v>
      </c>
      <c r="K995" s="513">
        <v>98.18</v>
      </c>
      <c r="L995" s="513">
        <v>1405</v>
      </c>
      <c r="M995" s="513" t="s">
        <v>6303</v>
      </c>
      <c r="N995" s="513" t="s">
        <v>780</v>
      </c>
      <c r="O995" s="513" t="s">
        <v>1407</v>
      </c>
      <c r="P995" s="518" t="s">
        <v>6418</v>
      </c>
      <c r="Q995" s="152" t="s">
        <v>5873</v>
      </c>
      <c r="R995" s="152" t="s">
        <v>6419</v>
      </c>
      <c r="S995" s="152" t="s">
        <v>6458</v>
      </c>
      <c r="T995" s="152" t="s">
        <v>6421</v>
      </c>
      <c r="U995" s="152" t="s">
        <v>786</v>
      </c>
    </row>
    <row r="996" spans="4:21">
      <c r="D996" s="152" t="s">
        <v>2821</v>
      </c>
      <c r="G996" s="474" t="s">
        <v>371</v>
      </c>
      <c r="H996" s="210" t="s">
        <v>353</v>
      </c>
      <c r="I996" s="210"/>
      <c r="J996" s="513">
        <v>-142762.04999999999</v>
      </c>
      <c r="K996" s="513">
        <v>-101.61</v>
      </c>
      <c r="L996" s="513">
        <v>1405</v>
      </c>
      <c r="M996" s="513" t="s">
        <v>6303</v>
      </c>
      <c r="N996" s="513" t="s">
        <v>780</v>
      </c>
      <c r="O996" s="513" t="s">
        <v>1407</v>
      </c>
      <c r="P996" s="518" t="s">
        <v>6369</v>
      </c>
      <c r="Q996" s="152" t="s">
        <v>5873</v>
      </c>
      <c r="R996" s="152" t="s">
        <v>6370</v>
      </c>
      <c r="S996" s="152" t="s">
        <v>6459</v>
      </c>
      <c r="T996" s="152" t="s">
        <v>6372</v>
      </c>
      <c r="U996" s="152" t="s">
        <v>786</v>
      </c>
    </row>
    <row r="997" spans="4:21">
      <c r="D997" s="152" t="s">
        <v>2821</v>
      </c>
      <c r="G997" s="474" t="s">
        <v>371</v>
      </c>
      <c r="H997" s="210" t="s">
        <v>353</v>
      </c>
      <c r="I997" s="210"/>
      <c r="J997" s="513">
        <v>64672.15</v>
      </c>
      <c r="K997" s="513">
        <v>46.03</v>
      </c>
      <c r="L997" s="513">
        <v>1405</v>
      </c>
      <c r="M997" s="513" t="s">
        <v>6303</v>
      </c>
      <c r="N997" s="513" t="s">
        <v>780</v>
      </c>
      <c r="O997" s="513" t="s">
        <v>1407</v>
      </c>
      <c r="P997" s="518" t="s">
        <v>6418</v>
      </c>
      <c r="Q997" s="152" t="s">
        <v>5873</v>
      </c>
      <c r="R997" s="152" t="s">
        <v>6419</v>
      </c>
      <c r="S997" s="152" t="s">
        <v>6460</v>
      </c>
      <c r="T997" s="152" t="s">
        <v>6421</v>
      </c>
      <c r="U997" s="152" t="s">
        <v>786</v>
      </c>
    </row>
    <row r="998" spans="4:21">
      <c r="D998" s="152" t="s">
        <v>2821</v>
      </c>
      <c r="G998" s="474" t="s">
        <v>371</v>
      </c>
      <c r="H998" s="210" t="s">
        <v>353</v>
      </c>
      <c r="I998" s="210"/>
      <c r="J998" s="513">
        <v>-66934.2</v>
      </c>
      <c r="K998" s="513">
        <v>-47.64</v>
      </c>
      <c r="L998" s="513">
        <v>1405</v>
      </c>
      <c r="M998" s="513" t="s">
        <v>6303</v>
      </c>
      <c r="N998" s="513" t="s">
        <v>780</v>
      </c>
      <c r="O998" s="513" t="s">
        <v>1407</v>
      </c>
      <c r="P998" s="518" t="s">
        <v>6369</v>
      </c>
      <c r="Q998" s="152" t="s">
        <v>5873</v>
      </c>
      <c r="R998" s="152" t="s">
        <v>6370</v>
      </c>
      <c r="S998" s="152" t="s">
        <v>6461</v>
      </c>
      <c r="T998" s="152" t="s">
        <v>6372</v>
      </c>
      <c r="U998" s="152" t="s">
        <v>786</v>
      </c>
    </row>
    <row r="999" spans="4:21">
      <c r="D999" s="152" t="s">
        <v>2821</v>
      </c>
      <c r="G999" s="474" t="s">
        <v>371</v>
      </c>
      <c r="H999" s="210" t="s">
        <v>353</v>
      </c>
      <c r="I999" s="210"/>
      <c r="J999" s="513">
        <v>90608.45</v>
      </c>
      <c r="K999" s="513">
        <v>64.489999999999995</v>
      </c>
      <c r="L999" s="513">
        <v>1405</v>
      </c>
      <c r="M999" s="513" t="s">
        <v>6303</v>
      </c>
      <c r="N999" s="513" t="s">
        <v>780</v>
      </c>
      <c r="O999" s="513" t="s">
        <v>1407</v>
      </c>
      <c r="P999" s="518" t="s">
        <v>6418</v>
      </c>
      <c r="Q999" s="152" t="s">
        <v>5873</v>
      </c>
      <c r="R999" s="152" t="s">
        <v>6419</v>
      </c>
      <c r="S999" s="152" t="s">
        <v>6462</v>
      </c>
      <c r="T999" s="152" t="s">
        <v>6421</v>
      </c>
      <c r="U999" s="152" t="s">
        <v>786</v>
      </c>
    </row>
    <row r="1000" spans="4:21">
      <c r="D1000" s="152" t="s">
        <v>2821</v>
      </c>
      <c r="G1000" s="474" t="s">
        <v>371</v>
      </c>
      <c r="H1000" s="210" t="s">
        <v>353</v>
      </c>
      <c r="I1000" s="210"/>
      <c r="J1000" s="513">
        <v>-93769.7</v>
      </c>
      <c r="K1000" s="513">
        <v>-66.739999999999995</v>
      </c>
      <c r="L1000" s="513">
        <v>1405</v>
      </c>
      <c r="M1000" s="513" t="s">
        <v>6303</v>
      </c>
      <c r="N1000" s="513" t="s">
        <v>780</v>
      </c>
      <c r="O1000" s="513" t="s">
        <v>1407</v>
      </c>
      <c r="P1000" s="518" t="s">
        <v>6369</v>
      </c>
      <c r="Q1000" s="152" t="s">
        <v>5873</v>
      </c>
      <c r="R1000" s="152" t="s">
        <v>6370</v>
      </c>
      <c r="S1000" s="152" t="s">
        <v>6463</v>
      </c>
      <c r="T1000" s="152" t="s">
        <v>6372</v>
      </c>
      <c r="U1000" s="152" t="s">
        <v>786</v>
      </c>
    </row>
    <row r="1001" spans="4:21">
      <c r="D1001" s="152" t="s">
        <v>2821</v>
      </c>
      <c r="G1001" s="474" t="s">
        <v>371</v>
      </c>
      <c r="H1001" s="210" t="s">
        <v>353</v>
      </c>
      <c r="I1001" s="210"/>
      <c r="J1001" s="513">
        <v>6392.75</v>
      </c>
      <c r="K1001" s="513">
        <v>4.55</v>
      </c>
      <c r="L1001" s="513">
        <v>1405</v>
      </c>
      <c r="M1001" s="513" t="s">
        <v>6303</v>
      </c>
      <c r="N1001" s="513" t="s">
        <v>780</v>
      </c>
      <c r="O1001" s="513" t="s">
        <v>1407</v>
      </c>
      <c r="P1001" s="518" t="s">
        <v>6418</v>
      </c>
      <c r="Q1001" s="152" t="s">
        <v>5873</v>
      </c>
      <c r="R1001" s="152" t="s">
        <v>6419</v>
      </c>
      <c r="S1001" s="152" t="s">
        <v>6464</v>
      </c>
      <c r="T1001" s="152" t="s">
        <v>6421</v>
      </c>
      <c r="U1001" s="152" t="s">
        <v>786</v>
      </c>
    </row>
    <row r="1002" spans="4:21">
      <c r="D1002" s="152" t="s">
        <v>2821</v>
      </c>
      <c r="G1002" s="474" t="s">
        <v>371</v>
      </c>
      <c r="H1002" s="210" t="s">
        <v>353</v>
      </c>
      <c r="I1002" s="210"/>
      <c r="J1002" s="513">
        <v>147525</v>
      </c>
      <c r="K1002" s="513">
        <v>105</v>
      </c>
      <c r="L1002" s="513">
        <v>1405</v>
      </c>
      <c r="M1002" s="513" t="s">
        <v>6303</v>
      </c>
      <c r="N1002" s="513" t="s">
        <v>780</v>
      </c>
      <c r="O1002" s="513" t="s">
        <v>1407</v>
      </c>
      <c r="P1002" s="518" t="s">
        <v>6418</v>
      </c>
      <c r="Q1002" s="152" t="s">
        <v>5873</v>
      </c>
      <c r="R1002" s="152" t="s">
        <v>6419</v>
      </c>
      <c r="S1002" s="152" t="s">
        <v>6464</v>
      </c>
      <c r="T1002" s="152" t="s">
        <v>6421</v>
      </c>
      <c r="U1002" s="152" t="s">
        <v>786</v>
      </c>
    </row>
    <row r="1003" spans="4:21">
      <c r="D1003" s="152" t="s">
        <v>2821</v>
      </c>
      <c r="G1003" s="474" t="s">
        <v>371</v>
      </c>
      <c r="H1003" s="210" t="s">
        <v>353</v>
      </c>
      <c r="I1003" s="210"/>
      <c r="J1003" s="513">
        <v>-6617.55</v>
      </c>
      <c r="K1003" s="513">
        <v>-4.71</v>
      </c>
      <c r="L1003" s="513">
        <v>1405</v>
      </c>
      <c r="M1003" s="513" t="s">
        <v>6303</v>
      </c>
      <c r="N1003" s="513" t="s">
        <v>780</v>
      </c>
      <c r="O1003" s="513" t="s">
        <v>1407</v>
      </c>
      <c r="P1003" s="518" t="s">
        <v>6369</v>
      </c>
      <c r="Q1003" s="152" t="s">
        <v>5873</v>
      </c>
      <c r="R1003" s="152" t="s">
        <v>6370</v>
      </c>
      <c r="S1003" s="152" t="s">
        <v>6465</v>
      </c>
      <c r="T1003" s="152" t="s">
        <v>6372</v>
      </c>
      <c r="U1003" s="152" t="s">
        <v>786</v>
      </c>
    </row>
    <row r="1004" spans="4:21">
      <c r="D1004" s="152" t="s">
        <v>2821</v>
      </c>
      <c r="G1004" s="474" t="s">
        <v>371</v>
      </c>
      <c r="H1004" s="210" t="s">
        <v>353</v>
      </c>
      <c r="I1004" s="210"/>
      <c r="J1004" s="513">
        <v>-152695.4</v>
      </c>
      <c r="K1004" s="513">
        <v>-108.68</v>
      </c>
      <c r="L1004" s="513">
        <v>1405</v>
      </c>
      <c r="M1004" s="513" t="s">
        <v>6303</v>
      </c>
      <c r="N1004" s="513" t="s">
        <v>780</v>
      </c>
      <c r="O1004" s="513" t="s">
        <v>1407</v>
      </c>
      <c r="P1004" s="518" t="s">
        <v>6369</v>
      </c>
      <c r="Q1004" s="152" t="s">
        <v>5873</v>
      </c>
      <c r="R1004" s="152" t="s">
        <v>6370</v>
      </c>
      <c r="S1004" s="152" t="s">
        <v>6465</v>
      </c>
      <c r="T1004" s="152" t="s">
        <v>6372</v>
      </c>
      <c r="U1004" s="152" t="s">
        <v>786</v>
      </c>
    </row>
    <row r="1005" spans="4:21">
      <c r="D1005" s="152" t="s">
        <v>2821</v>
      </c>
      <c r="G1005" s="474" t="s">
        <v>371</v>
      </c>
      <c r="H1005" s="210" t="s">
        <v>353</v>
      </c>
      <c r="I1005" s="210"/>
      <c r="J1005" s="513">
        <v>113959.55</v>
      </c>
      <c r="K1005" s="513">
        <v>81.11</v>
      </c>
      <c r="L1005" s="513">
        <v>1405</v>
      </c>
      <c r="M1005" s="513" t="s">
        <v>6303</v>
      </c>
      <c r="N1005" s="513" t="s">
        <v>780</v>
      </c>
      <c r="O1005" s="513" t="s">
        <v>1407</v>
      </c>
      <c r="P1005" s="518" t="s">
        <v>6418</v>
      </c>
      <c r="Q1005" s="152" t="s">
        <v>5873</v>
      </c>
      <c r="R1005" s="152" t="s">
        <v>6419</v>
      </c>
      <c r="S1005" s="152" t="s">
        <v>6466</v>
      </c>
      <c r="T1005" s="152" t="s">
        <v>6421</v>
      </c>
      <c r="U1005" s="152" t="s">
        <v>786</v>
      </c>
    </row>
    <row r="1006" spans="4:21">
      <c r="D1006" s="152" t="s">
        <v>2821</v>
      </c>
      <c r="G1006" s="474" t="s">
        <v>371</v>
      </c>
      <c r="H1006" s="210" t="s">
        <v>353</v>
      </c>
      <c r="I1006" s="210"/>
      <c r="J1006" s="513">
        <v>-117949.75</v>
      </c>
      <c r="K1006" s="513">
        <v>-83.95</v>
      </c>
      <c r="L1006" s="513">
        <v>1405</v>
      </c>
      <c r="M1006" s="513" t="s">
        <v>6303</v>
      </c>
      <c r="N1006" s="513" t="s">
        <v>780</v>
      </c>
      <c r="O1006" s="513" t="s">
        <v>1407</v>
      </c>
      <c r="P1006" s="518" t="s">
        <v>6369</v>
      </c>
      <c r="Q1006" s="152" t="s">
        <v>5873</v>
      </c>
      <c r="R1006" s="152" t="s">
        <v>6370</v>
      </c>
      <c r="S1006" s="152" t="s">
        <v>6467</v>
      </c>
      <c r="T1006" s="152" t="s">
        <v>6372</v>
      </c>
      <c r="U1006" s="152" t="s">
        <v>786</v>
      </c>
    </row>
    <row r="1007" spans="4:21">
      <c r="D1007" s="152" t="s">
        <v>2821</v>
      </c>
      <c r="G1007" s="474" t="s">
        <v>371</v>
      </c>
      <c r="H1007" s="210" t="s">
        <v>353</v>
      </c>
      <c r="I1007" s="210"/>
      <c r="J1007" s="513">
        <v>75729.5</v>
      </c>
      <c r="K1007" s="513">
        <v>53.9</v>
      </c>
      <c r="L1007" s="513">
        <v>1405</v>
      </c>
      <c r="M1007" s="513" t="s">
        <v>6303</v>
      </c>
      <c r="N1007" s="513" t="s">
        <v>780</v>
      </c>
      <c r="O1007" s="513" t="s">
        <v>1407</v>
      </c>
      <c r="P1007" s="518" t="s">
        <v>6418</v>
      </c>
      <c r="Q1007" s="152" t="s">
        <v>5873</v>
      </c>
      <c r="R1007" s="152" t="s">
        <v>6419</v>
      </c>
      <c r="S1007" s="152" t="s">
        <v>6468</v>
      </c>
      <c r="T1007" s="152" t="s">
        <v>6421</v>
      </c>
      <c r="U1007" s="152" t="s">
        <v>786</v>
      </c>
    </row>
    <row r="1008" spans="4:21">
      <c r="D1008" s="152" t="s">
        <v>2821</v>
      </c>
      <c r="G1008" s="474" t="s">
        <v>371</v>
      </c>
      <c r="H1008" s="210" t="s">
        <v>353</v>
      </c>
      <c r="I1008" s="210"/>
      <c r="J1008" s="513">
        <v>-78384.95</v>
      </c>
      <c r="K1008" s="513">
        <v>-55.79</v>
      </c>
      <c r="L1008" s="513">
        <v>1405</v>
      </c>
      <c r="M1008" s="513" t="s">
        <v>6303</v>
      </c>
      <c r="N1008" s="513" t="s">
        <v>780</v>
      </c>
      <c r="O1008" s="513" t="s">
        <v>1407</v>
      </c>
      <c r="P1008" s="518" t="s">
        <v>6369</v>
      </c>
      <c r="Q1008" s="152" t="s">
        <v>5873</v>
      </c>
      <c r="R1008" s="152" t="s">
        <v>6370</v>
      </c>
      <c r="S1008" s="152" t="s">
        <v>6469</v>
      </c>
      <c r="T1008" s="152" t="s">
        <v>6372</v>
      </c>
      <c r="U1008" s="152" t="s">
        <v>786</v>
      </c>
    </row>
    <row r="1009" spans="4:21">
      <c r="D1009" s="152" t="s">
        <v>2821</v>
      </c>
      <c r="G1009" s="474" t="s">
        <v>371</v>
      </c>
      <c r="H1009" s="210" t="s">
        <v>353</v>
      </c>
      <c r="I1009" s="210"/>
      <c r="J1009" s="513">
        <v>122937.5</v>
      </c>
      <c r="K1009" s="513">
        <v>87.5</v>
      </c>
      <c r="L1009" s="513">
        <v>1405</v>
      </c>
      <c r="M1009" s="513" t="s">
        <v>6303</v>
      </c>
      <c r="N1009" s="513" t="s">
        <v>780</v>
      </c>
      <c r="O1009" s="513" t="s">
        <v>1407</v>
      </c>
      <c r="P1009" s="518" t="s">
        <v>6418</v>
      </c>
      <c r="Q1009" s="152" t="s">
        <v>5873</v>
      </c>
      <c r="R1009" s="152" t="s">
        <v>6419</v>
      </c>
      <c r="S1009" s="152" t="s">
        <v>6470</v>
      </c>
      <c r="T1009" s="152" t="s">
        <v>6421</v>
      </c>
      <c r="U1009" s="152" t="s">
        <v>786</v>
      </c>
    </row>
    <row r="1010" spans="4:21">
      <c r="D1010" s="152" t="s">
        <v>2821</v>
      </c>
      <c r="G1010" s="474" t="s">
        <v>371</v>
      </c>
      <c r="H1010" s="210" t="s">
        <v>353</v>
      </c>
      <c r="I1010" s="210"/>
      <c r="J1010" s="513">
        <v>-127236.8</v>
      </c>
      <c r="K1010" s="513">
        <v>-90.56</v>
      </c>
      <c r="L1010" s="513">
        <v>1405</v>
      </c>
      <c r="M1010" s="513" t="s">
        <v>6303</v>
      </c>
      <c r="N1010" s="513" t="s">
        <v>780</v>
      </c>
      <c r="O1010" s="513" t="s">
        <v>1407</v>
      </c>
      <c r="P1010" s="518" t="s">
        <v>6369</v>
      </c>
      <c r="Q1010" s="152" t="s">
        <v>5873</v>
      </c>
      <c r="R1010" s="152" t="s">
        <v>6370</v>
      </c>
      <c r="S1010" s="152" t="s">
        <v>6471</v>
      </c>
      <c r="T1010" s="152" t="s">
        <v>6372</v>
      </c>
      <c r="U1010" s="152" t="s">
        <v>786</v>
      </c>
    </row>
    <row r="1011" spans="4:21">
      <c r="D1011" s="152" t="s">
        <v>2821</v>
      </c>
      <c r="G1011" s="474" t="s">
        <v>371</v>
      </c>
      <c r="H1011" s="210" t="s">
        <v>353</v>
      </c>
      <c r="I1011" s="210"/>
      <c r="J1011" s="513">
        <v>71064.899999999994</v>
      </c>
      <c r="K1011" s="513">
        <v>50.58</v>
      </c>
      <c r="L1011" s="513">
        <v>1405</v>
      </c>
      <c r="M1011" s="513" t="s">
        <v>6303</v>
      </c>
      <c r="N1011" s="513" t="s">
        <v>780</v>
      </c>
      <c r="O1011" s="513" t="s">
        <v>1407</v>
      </c>
      <c r="P1011" s="518" t="s">
        <v>6418</v>
      </c>
      <c r="Q1011" s="152" t="s">
        <v>5873</v>
      </c>
      <c r="R1011" s="152" t="s">
        <v>6419</v>
      </c>
      <c r="S1011" s="152" t="s">
        <v>6472</v>
      </c>
      <c r="T1011" s="152" t="s">
        <v>6421</v>
      </c>
      <c r="U1011" s="152" t="s">
        <v>786</v>
      </c>
    </row>
    <row r="1012" spans="4:21">
      <c r="D1012" s="152" t="s">
        <v>2821</v>
      </c>
      <c r="G1012" s="474" t="s">
        <v>371</v>
      </c>
      <c r="H1012" s="210" t="s">
        <v>353</v>
      </c>
      <c r="I1012" s="210"/>
      <c r="J1012" s="513">
        <v>-73551.75</v>
      </c>
      <c r="K1012" s="513">
        <v>-52.35</v>
      </c>
      <c r="L1012" s="513">
        <v>1405</v>
      </c>
      <c r="M1012" s="513" t="s">
        <v>6303</v>
      </c>
      <c r="N1012" s="513" t="s">
        <v>780</v>
      </c>
      <c r="O1012" s="513" t="s">
        <v>1407</v>
      </c>
      <c r="P1012" s="518" t="s">
        <v>6369</v>
      </c>
      <c r="Q1012" s="152" t="s">
        <v>5873</v>
      </c>
      <c r="R1012" s="152" t="s">
        <v>6370</v>
      </c>
      <c r="S1012" s="152" t="s">
        <v>6473</v>
      </c>
      <c r="T1012" s="152" t="s">
        <v>6372</v>
      </c>
      <c r="U1012" s="152" t="s">
        <v>786</v>
      </c>
    </row>
    <row r="1013" spans="4:21">
      <c r="D1013" s="152" t="s">
        <v>2821</v>
      </c>
      <c r="G1013" s="474" t="s">
        <v>371</v>
      </c>
      <c r="H1013" s="210" t="s">
        <v>353</v>
      </c>
      <c r="I1013" s="210"/>
      <c r="J1013" s="513">
        <v>49175</v>
      </c>
      <c r="K1013" s="513">
        <v>35</v>
      </c>
      <c r="L1013" s="513">
        <v>1405</v>
      </c>
      <c r="M1013" s="513" t="s">
        <v>6303</v>
      </c>
      <c r="N1013" s="513" t="s">
        <v>780</v>
      </c>
      <c r="O1013" s="513" t="s">
        <v>1407</v>
      </c>
      <c r="P1013" s="518" t="s">
        <v>6418</v>
      </c>
      <c r="Q1013" s="152" t="s">
        <v>5873</v>
      </c>
      <c r="R1013" s="152" t="s">
        <v>6419</v>
      </c>
      <c r="S1013" s="152" t="s">
        <v>6474</v>
      </c>
      <c r="T1013" s="152" t="s">
        <v>6421</v>
      </c>
      <c r="U1013" s="152" t="s">
        <v>786</v>
      </c>
    </row>
    <row r="1014" spans="4:21">
      <c r="D1014" s="152" t="s">
        <v>2821</v>
      </c>
      <c r="G1014" s="474" t="s">
        <v>371</v>
      </c>
      <c r="H1014" s="210" t="s">
        <v>353</v>
      </c>
      <c r="I1014" s="210"/>
      <c r="J1014" s="513">
        <v>37373</v>
      </c>
      <c r="K1014" s="513">
        <v>26.6</v>
      </c>
      <c r="L1014" s="513">
        <v>1405</v>
      </c>
      <c r="M1014" s="513" t="s">
        <v>6303</v>
      </c>
      <c r="N1014" s="513" t="s">
        <v>780</v>
      </c>
      <c r="O1014" s="513" t="s">
        <v>1407</v>
      </c>
      <c r="P1014" s="518" t="s">
        <v>6418</v>
      </c>
      <c r="Q1014" s="152" t="s">
        <v>5873</v>
      </c>
      <c r="R1014" s="152" t="s">
        <v>6419</v>
      </c>
      <c r="S1014" s="152" t="s">
        <v>6474</v>
      </c>
      <c r="T1014" s="152" t="s">
        <v>6421</v>
      </c>
      <c r="U1014" s="152" t="s">
        <v>786</v>
      </c>
    </row>
    <row r="1015" spans="4:21">
      <c r="D1015" s="152" t="s">
        <v>2821</v>
      </c>
      <c r="G1015" s="474" t="s">
        <v>371</v>
      </c>
      <c r="H1015" s="210" t="s">
        <v>353</v>
      </c>
      <c r="I1015" s="210"/>
      <c r="J1015" s="513">
        <v>-38679.65</v>
      </c>
      <c r="K1015" s="513">
        <v>-27.53</v>
      </c>
      <c r="L1015" s="513">
        <v>1405</v>
      </c>
      <c r="M1015" s="513" t="s">
        <v>6303</v>
      </c>
      <c r="N1015" s="513" t="s">
        <v>780</v>
      </c>
      <c r="O1015" s="513" t="s">
        <v>1407</v>
      </c>
      <c r="P1015" s="518" t="s">
        <v>6369</v>
      </c>
      <c r="Q1015" s="152" t="s">
        <v>5873</v>
      </c>
      <c r="R1015" s="152" t="s">
        <v>6370</v>
      </c>
      <c r="S1015" s="152" t="s">
        <v>6475</v>
      </c>
      <c r="T1015" s="152" t="s">
        <v>6372</v>
      </c>
      <c r="U1015" s="152" t="s">
        <v>786</v>
      </c>
    </row>
    <row r="1016" spans="4:21">
      <c r="D1016" s="152" t="s">
        <v>2821</v>
      </c>
      <c r="G1016" s="474" t="s">
        <v>371</v>
      </c>
      <c r="H1016" s="210" t="s">
        <v>353</v>
      </c>
      <c r="I1016" s="210"/>
      <c r="J1016" s="513">
        <v>-50903.15</v>
      </c>
      <c r="K1016" s="513">
        <v>-36.229999999999997</v>
      </c>
      <c r="L1016" s="513">
        <v>1405</v>
      </c>
      <c r="M1016" s="513" t="s">
        <v>6303</v>
      </c>
      <c r="N1016" s="513" t="s">
        <v>780</v>
      </c>
      <c r="O1016" s="513" t="s">
        <v>1407</v>
      </c>
      <c r="P1016" s="518" t="s">
        <v>6369</v>
      </c>
      <c r="Q1016" s="152" t="s">
        <v>5873</v>
      </c>
      <c r="R1016" s="152" t="s">
        <v>6370</v>
      </c>
      <c r="S1016" s="152" t="s">
        <v>6475</v>
      </c>
      <c r="T1016" s="152" t="s">
        <v>6372</v>
      </c>
      <c r="U1016" s="152" t="s">
        <v>786</v>
      </c>
    </row>
    <row r="1017" spans="4:21">
      <c r="D1017" s="152" t="s">
        <v>2821</v>
      </c>
      <c r="G1017" s="474" t="s">
        <v>371</v>
      </c>
      <c r="H1017" s="210" t="s">
        <v>353</v>
      </c>
      <c r="I1017" s="210"/>
      <c r="J1017" s="513">
        <v>-4580.3</v>
      </c>
      <c r="K1017" s="513">
        <v>-3.26</v>
      </c>
      <c r="L1017" s="513">
        <v>1405</v>
      </c>
      <c r="M1017" s="513" t="s">
        <v>6303</v>
      </c>
      <c r="N1017" s="513" t="s">
        <v>780</v>
      </c>
      <c r="O1017" s="513" t="s">
        <v>1407</v>
      </c>
      <c r="P1017" s="518" t="s">
        <v>6369</v>
      </c>
      <c r="Q1017" s="152" t="s">
        <v>5873</v>
      </c>
      <c r="R1017" s="152" t="s">
        <v>6370</v>
      </c>
      <c r="S1017" s="152" t="s">
        <v>6476</v>
      </c>
      <c r="T1017" s="152" t="s">
        <v>6372</v>
      </c>
      <c r="U1017" s="152" t="s">
        <v>786</v>
      </c>
    </row>
    <row r="1018" spans="4:21">
      <c r="D1018" s="152" t="s">
        <v>2821</v>
      </c>
      <c r="G1018" s="474" t="s">
        <v>371</v>
      </c>
      <c r="H1018" s="210" t="s">
        <v>353</v>
      </c>
      <c r="I1018" s="210"/>
      <c r="J1018" s="513">
        <v>-117191.05</v>
      </c>
      <c r="K1018" s="513">
        <v>-83.41</v>
      </c>
      <c r="L1018" s="513">
        <v>1405</v>
      </c>
      <c r="M1018" s="513" t="s">
        <v>6303</v>
      </c>
      <c r="N1018" s="513" t="s">
        <v>780</v>
      </c>
      <c r="O1018" s="513" t="s">
        <v>1407</v>
      </c>
      <c r="P1018" s="518" t="s">
        <v>6369</v>
      </c>
      <c r="Q1018" s="152" t="s">
        <v>5873</v>
      </c>
      <c r="R1018" s="152" t="s">
        <v>6370</v>
      </c>
      <c r="S1018" s="152" t="s">
        <v>6476</v>
      </c>
      <c r="T1018" s="152" t="s">
        <v>6372</v>
      </c>
      <c r="U1018" s="152" t="s">
        <v>786</v>
      </c>
    </row>
    <row r="1019" spans="4:21">
      <c r="D1019" s="152" t="s">
        <v>2821</v>
      </c>
      <c r="G1019" s="474" t="s">
        <v>371</v>
      </c>
      <c r="H1019" s="210" t="s">
        <v>353</v>
      </c>
      <c r="I1019" s="210"/>
      <c r="J1019" s="513">
        <v>113228.95</v>
      </c>
      <c r="K1019" s="513">
        <v>80.59</v>
      </c>
      <c r="L1019" s="513">
        <v>1405</v>
      </c>
      <c r="M1019" s="513" t="s">
        <v>6303</v>
      </c>
      <c r="N1019" s="513" t="s">
        <v>780</v>
      </c>
      <c r="O1019" s="513" t="s">
        <v>1407</v>
      </c>
      <c r="P1019" s="518" t="s">
        <v>6418</v>
      </c>
      <c r="Q1019" s="152" t="s">
        <v>5873</v>
      </c>
      <c r="R1019" s="152" t="s">
        <v>6419</v>
      </c>
      <c r="S1019" s="152" t="s">
        <v>6476</v>
      </c>
      <c r="T1019" s="152" t="s">
        <v>6421</v>
      </c>
      <c r="U1019" s="152" t="s">
        <v>786</v>
      </c>
    </row>
    <row r="1020" spans="4:21">
      <c r="D1020" s="152" t="s">
        <v>2821</v>
      </c>
      <c r="G1020" s="474" t="s">
        <v>371</v>
      </c>
      <c r="H1020" s="210" t="s">
        <v>353</v>
      </c>
      <c r="I1020" s="210"/>
      <c r="J1020" s="513">
        <v>4425.75</v>
      </c>
      <c r="K1020" s="513">
        <v>3.15</v>
      </c>
      <c r="L1020" s="513">
        <v>1405</v>
      </c>
      <c r="M1020" s="513" t="s">
        <v>6303</v>
      </c>
      <c r="N1020" s="513" t="s">
        <v>780</v>
      </c>
      <c r="O1020" s="513" t="s">
        <v>1407</v>
      </c>
      <c r="P1020" s="518" t="s">
        <v>6418</v>
      </c>
      <c r="Q1020" s="152" t="s">
        <v>5873</v>
      </c>
      <c r="R1020" s="152" t="s">
        <v>6419</v>
      </c>
      <c r="S1020" s="152" t="s">
        <v>6476</v>
      </c>
      <c r="T1020" s="152" t="s">
        <v>6421</v>
      </c>
      <c r="U1020" s="152" t="s">
        <v>786</v>
      </c>
    </row>
    <row r="1021" spans="4:21">
      <c r="D1021" s="152" t="s">
        <v>2821</v>
      </c>
      <c r="G1021" s="474" t="s">
        <v>371</v>
      </c>
      <c r="H1021" s="210" t="s">
        <v>353</v>
      </c>
      <c r="I1021" s="210"/>
      <c r="J1021" s="513">
        <v>23112.25</v>
      </c>
      <c r="K1021" s="513">
        <v>16.45</v>
      </c>
      <c r="L1021" s="513">
        <v>1405</v>
      </c>
      <c r="M1021" s="513" t="s">
        <v>6303</v>
      </c>
      <c r="N1021" s="513" t="s">
        <v>780</v>
      </c>
      <c r="O1021" s="513" t="s">
        <v>1407</v>
      </c>
      <c r="P1021" s="518" t="s">
        <v>6418</v>
      </c>
      <c r="Q1021" s="152" t="s">
        <v>5873</v>
      </c>
      <c r="R1021" s="152" t="s">
        <v>6419</v>
      </c>
      <c r="S1021" s="152" t="s">
        <v>6477</v>
      </c>
      <c r="T1021" s="152" t="s">
        <v>6421</v>
      </c>
      <c r="U1021" s="152" t="s">
        <v>786</v>
      </c>
    </row>
    <row r="1022" spans="4:21">
      <c r="D1022" s="152" t="s">
        <v>2821</v>
      </c>
      <c r="G1022" s="474" t="s">
        <v>371</v>
      </c>
      <c r="H1022" s="210" t="s">
        <v>353</v>
      </c>
      <c r="I1022" s="210"/>
      <c r="J1022" s="513">
        <v>-23927.15</v>
      </c>
      <c r="K1022" s="513">
        <v>-17.03</v>
      </c>
      <c r="L1022" s="513">
        <v>1405</v>
      </c>
      <c r="M1022" s="513" t="s">
        <v>6303</v>
      </c>
      <c r="N1022" s="513" t="s">
        <v>780</v>
      </c>
      <c r="O1022" s="513" t="s">
        <v>1407</v>
      </c>
      <c r="P1022" s="518" t="s">
        <v>6369</v>
      </c>
      <c r="Q1022" s="152" t="s">
        <v>5873</v>
      </c>
      <c r="R1022" s="152" t="s">
        <v>6370</v>
      </c>
      <c r="S1022" s="152" t="s">
        <v>6478</v>
      </c>
      <c r="T1022" s="152" t="s">
        <v>6372</v>
      </c>
      <c r="U1022" s="152" t="s">
        <v>786</v>
      </c>
    </row>
    <row r="1023" spans="4:21">
      <c r="D1023" s="152" t="s">
        <v>2821</v>
      </c>
      <c r="G1023" s="474" t="s">
        <v>371</v>
      </c>
      <c r="H1023" s="210" t="s">
        <v>353</v>
      </c>
      <c r="I1023" s="210"/>
      <c r="J1023" s="513">
        <v>175681.2</v>
      </c>
      <c r="K1023" s="513">
        <v>125.04</v>
      </c>
      <c r="L1023" s="513">
        <v>1405</v>
      </c>
      <c r="M1023" s="513" t="s">
        <v>6303</v>
      </c>
      <c r="N1023" s="513" t="s">
        <v>780</v>
      </c>
      <c r="O1023" s="513" t="s">
        <v>1407</v>
      </c>
      <c r="P1023" s="518" t="s">
        <v>6418</v>
      </c>
      <c r="Q1023" s="152" t="s">
        <v>5873</v>
      </c>
      <c r="R1023" s="152" t="s">
        <v>6419</v>
      </c>
      <c r="S1023" s="152" t="s">
        <v>6479</v>
      </c>
      <c r="T1023" s="152" t="s">
        <v>6421</v>
      </c>
      <c r="U1023" s="152" t="s">
        <v>786</v>
      </c>
    </row>
    <row r="1024" spans="4:21">
      <c r="D1024" s="152" t="s">
        <v>2821</v>
      </c>
      <c r="G1024" s="474" t="s">
        <v>371</v>
      </c>
      <c r="H1024" s="210" t="s">
        <v>353</v>
      </c>
      <c r="I1024" s="210"/>
      <c r="J1024" s="513">
        <v>-181821.05</v>
      </c>
      <c r="K1024" s="513">
        <v>-129.41</v>
      </c>
      <c r="L1024" s="513">
        <v>1405</v>
      </c>
      <c r="M1024" s="513" t="s">
        <v>6303</v>
      </c>
      <c r="N1024" s="513" t="s">
        <v>780</v>
      </c>
      <c r="O1024" s="513" t="s">
        <v>1407</v>
      </c>
      <c r="P1024" s="518" t="s">
        <v>6369</v>
      </c>
      <c r="Q1024" s="152" t="s">
        <v>5873</v>
      </c>
      <c r="R1024" s="152" t="s">
        <v>6370</v>
      </c>
      <c r="S1024" s="152" t="s">
        <v>6480</v>
      </c>
      <c r="T1024" s="152" t="s">
        <v>6372</v>
      </c>
      <c r="U1024" s="152" t="s">
        <v>786</v>
      </c>
    </row>
    <row r="1025" spans="4:21">
      <c r="D1025" s="152" t="s">
        <v>2821</v>
      </c>
      <c r="G1025" s="474" t="s">
        <v>371</v>
      </c>
      <c r="H1025" s="210" t="s">
        <v>353</v>
      </c>
      <c r="I1025" s="210"/>
      <c r="J1025" s="513">
        <v>121588.7</v>
      </c>
      <c r="K1025" s="513">
        <v>86.54</v>
      </c>
      <c r="L1025" s="513">
        <v>1405</v>
      </c>
      <c r="M1025" s="513" t="s">
        <v>6303</v>
      </c>
      <c r="N1025" s="513" t="s">
        <v>780</v>
      </c>
      <c r="O1025" s="513" t="s">
        <v>1407</v>
      </c>
      <c r="P1025" s="518" t="s">
        <v>6418</v>
      </c>
      <c r="Q1025" s="152" t="s">
        <v>5873</v>
      </c>
      <c r="R1025" s="152" t="s">
        <v>6419</v>
      </c>
      <c r="S1025" s="152" t="s">
        <v>6481</v>
      </c>
      <c r="T1025" s="152" t="s">
        <v>6421</v>
      </c>
      <c r="U1025" s="152" t="s">
        <v>786</v>
      </c>
    </row>
    <row r="1026" spans="4:21">
      <c r="D1026" s="152" t="s">
        <v>2821</v>
      </c>
      <c r="G1026" s="474" t="s">
        <v>371</v>
      </c>
      <c r="H1026" s="210" t="s">
        <v>353</v>
      </c>
      <c r="I1026" s="210"/>
      <c r="J1026" s="513">
        <v>2458.75</v>
      </c>
      <c r="K1026" s="513">
        <v>1.75</v>
      </c>
      <c r="L1026" s="513">
        <v>1405</v>
      </c>
      <c r="M1026" s="513" t="s">
        <v>6303</v>
      </c>
      <c r="N1026" s="513" t="s">
        <v>780</v>
      </c>
      <c r="O1026" s="513" t="s">
        <v>1407</v>
      </c>
      <c r="P1026" s="518" t="s">
        <v>6418</v>
      </c>
      <c r="Q1026" s="152" t="s">
        <v>5873</v>
      </c>
      <c r="R1026" s="152" t="s">
        <v>6419</v>
      </c>
      <c r="S1026" s="152" t="s">
        <v>6481</v>
      </c>
      <c r="T1026" s="152" t="s">
        <v>6421</v>
      </c>
      <c r="U1026" s="152" t="s">
        <v>786</v>
      </c>
    </row>
    <row r="1027" spans="4:21">
      <c r="D1027" s="152" t="s">
        <v>2821</v>
      </c>
      <c r="G1027" s="474" t="s">
        <v>371</v>
      </c>
      <c r="H1027" s="210" t="s">
        <v>353</v>
      </c>
      <c r="I1027" s="210"/>
      <c r="J1027" s="513">
        <v>-2543.0500000000002</v>
      </c>
      <c r="K1027" s="513">
        <v>-1.81</v>
      </c>
      <c r="L1027" s="513">
        <v>1405</v>
      </c>
      <c r="M1027" s="513" t="s">
        <v>6303</v>
      </c>
      <c r="N1027" s="513" t="s">
        <v>780</v>
      </c>
      <c r="O1027" s="513" t="s">
        <v>1407</v>
      </c>
      <c r="P1027" s="518" t="s">
        <v>6369</v>
      </c>
      <c r="Q1027" s="152" t="s">
        <v>5873</v>
      </c>
      <c r="R1027" s="152" t="s">
        <v>6370</v>
      </c>
      <c r="S1027" s="152" t="s">
        <v>6482</v>
      </c>
      <c r="T1027" s="152" t="s">
        <v>6372</v>
      </c>
      <c r="U1027" s="152" t="s">
        <v>786</v>
      </c>
    </row>
    <row r="1028" spans="4:21">
      <c r="D1028" s="152" t="s">
        <v>2821</v>
      </c>
      <c r="G1028" s="474" t="s">
        <v>371</v>
      </c>
      <c r="H1028" s="210" t="s">
        <v>353</v>
      </c>
      <c r="I1028" s="210"/>
      <c r="J1028" s="513">
        <v>-125845.85</v>
      </c>
      <c r="K1028" s="513">
        <v>-89.57</v>
      </c>
      <c r="L1028" s="513">
        <v>1405</v>
      </c>
      <c r="M1028" s="513" t="s">
        <v>6303</v>
      </c>
      <c r="N1028" s="513" t="s">
        <v>780</v>
      </c>
      <c r="O1028" s="513" t="s">
        <v>1407</v>
      </c>
      <c r="P1028" s="518" t="s">
        <v>6369</v>
      </c>
      <c r="Q1028" s="152" t="s">
        <v>5873</v>
      </c>
      <c r="R1028" s="152" t="s">
        <v>6370</v>
      </c>
      <c r="S1028" s="152" t="s">
        <v>6482</v>
      </c>
      <c r="T1028" s="152" t="s">
        <v>6372</v>
      </c>
      <c r="U1028" s="152" t="s">
        <v>786</v>
      </c>
    </row>
    <row r="1029" spans="4:21">
      <c r="D1029" s="152" t="s">
        <v>2821</v>
      </c>
      <c r="G1029" s="474" t="s">
        <v>371</v>
      </c>
      <c r="H1029" s="210" t="s">
        <v>353</v>
      </c>
      <c r="I1029" s="210"/>
      <c r="J1029" s="513">
        <v>-84300000</v>
      </c>
      <c r="K1029" s="513">
        <v>-60000</v>
      </c>
      <c r="L1029" s="513">
        <v>1405</v>
      </c>
      <c r="M1029" s="513" t="s">
        <v>6303</v>
      </c>
      <c r="N1029" s="513" t="s">
        <v>780</v>
      </c>
      <c r="O1029" s="513" t="s">
        <v>1407</v>
      </c>
      <c r="P1029" s="518" t="s">
        <v>6374</v>
      </c>
      <c r="Q1029" s="152" t="s">
        <v>5873</v>
      </c>
      <c r="R1029" s="152" t="s">
        <v>6375</v>
      </c>
      <c r="S1029" s="152" t="s">
        <v>6535</v>
      </c>
      <c r="T1029" s="152" t="s">
        <v>6377</v>
      </c>
      <c r="U1029" s="152" t="s">
        <v>786</v>
      </c>
    </row>
    <row r="1030" spans="4:21">
      <c r="D1030" s="152" t="s">
        <v>2821</v>
      </c>
      <c r="G1030" s="474" t="s">
        <v>371</v>
      </c>
      <c r="H1030" s="210" t="s">
        <v>353</v>
      </c>
      <c r="I1030" s="210"/>
      <c r="J1030" s="513">
        <v>1928362.5</v>
      </c>
      <c r="K1030" s="513">
        <v>1372.5</v>
      </c>
      <c r="L1030" s="513">
        <v>1405</v>
      </c>
      <c r="M1030" s="513" t="s">
        <v>6303</v>
      </c>
      <c r="N1030" s="513" t="s">
        <v>780</v>
      </c>
      <c r="O1030" s="513" t="s">
        <v>1407</v>
      </c>
      <c r="P1030" s="518" t="s">
        <v>6387</v>
      </c>
      <c r="Q1030" s="152" t="s">
        <v>5873</v>
      </c>
      <c r="R1030" s="152" t="s">
        <v>6388</v>
      </c>
      <c r="S1030" s="152" t="s">
        <v>6536</v>
      </c>
      <c r="T1030" s="152" t="s">
        <v>6390</v>
      </c>
      <c r="U1030" s="152" t="s">
        <v>786</v>
      </c>
    </row>
    <row r="1031" spans="4:21">
      <c r="D1031" s="152" t="s">
        <v>2821</v>
      </c>
      <c r="G1031" s="474" t="s">
        <v>371</v>
      </c>
      <c r="H1031" s="210" t="s">
        <v>353</v>
      </c>
      <c r="I1031" s="210"/>
      <c r="J1031" s="513">
        <v>-67496.2</v>
      </c>
      <c r="K1031" s="513">
        <v>-48.04</v>
      </c>
      <c r="L1031" s="513">
        <v>1405</v>
      </c>
      <c r="M1031" s="513" t="s">
        <v>6303</v>
      </c>
      <c r="N1031" s="513" t="s">
        <v>780</v>
      </c>
      <c r="O1031" s="513" t="s">
        <v>1407</v>
      </c>
      <c r="P1031" s="518" t="s">
        <v>6369</v>
      </c>
      <c r="Q1031" s="152" t="s">
        <v>5873</v>
      </c>
      <c r="R1031" s="152" t="s">
        <v>6370</v>
      </c>
      <c r="S1031" s="152" t="s">
        <v>6537</v>
      </c>
      <c r="T1031" s="152" t="s">
        <v>6372</v>
      </c>
      <c r="U1031" s="152" t="s">
        <v>786</v>
      </c>
    </row>
    <row r="1032" spans="4:21">
      <c r="D1032" s="152" t="s">
        <v>2821</v>
      </c>
      <c r="G1032" s="474" t="s">
        <v>371</v>
      </c>
      <c r="H1032" s="210" t="s">
        <v>353</v>
      </c>
      <c r="I1032" s="210"/>
      <c r="J1032" s="513">
        <v>147525</v>
      </c>
      <c r="K1032" s="513">
        <v>105</v>
      </c>
      <c r="L1032" s="513">
        <v>1405</v>
      </c>
      <c r="M1032" s="513" t="s">
        <v>6303</v>
      </c>
      <c r="N1032" s="513" t="s">
        <v>780</v>
      </c>
      <c r="O1032" s="513" t="s">
        <v>1407</v>
      </c>
      <c r="P1032" s="518" t="s">
        <v>6418</v>
      </c>
      <c r="Q1032" s="152" t="s">
        <v>5873</v>
      </c>
      <c r="R1032" s="152" t="s">
        <v>6419</v>
      </c>
      <c r="S1032" s="152" t="s">
        <v>6538</v>
      </c>
      <c r="T1032" s="152" t="s">
        <v>6421</v>
      </c>
      <c r="U1032" s="152" t="s">
        <v>786</v>
      </c>
    </row>
    <row r="1033" spans="4:21">
      <c r="D1033" s="152" t="s">
        <v>2821</v>
      </c>
      <c r="G1033" s="474" t="s">
        <v>371</v>
      </c>
      <c r="H1033" s="210" t="s">
        <v>353</v>
      </c>
      <c r="I1033" s="210"/>
      <c r="J1033" s="513">
        <v>-152695.4</v>
      </c>
      <c r="K1033" s="513">
        <v>-108.68</v>
      </c>
      <c r="L1033" s="513">
        <v>1405</v>
      </c>
      <c r="M1033" s="513" t="s">
        <v>6303</v>
      </c>
      <c r="N1033" s="513" t="s">
        <v>780</v>
      </c>
      <c r="O1033" s="513" t="s">
        <v>1407</v>
      </c>
      <c r="P1033" s="518" t="s">
        <v>6369</v>
      </c>
      <c r="Q1033" s="152" t="s">
        <v>5873</v>
      </c>
      <c r="R1033" s="152" t="s">
        <v>6370</v>
      </c>
      <c r="S1033" s="152" t="s">
        <v>6539</v>
      </c>
      <c r="T1033" s="152" t="s">
        <v>6372</v>
      </c>
      <c r="U1033" s="152" t="s">
        <v>786</v>
      </c>
    </row>
    <row r="1034" spans="4:21">
      <c r="D1034" s="152" t="s">
        <v>2821</v>
      </c>
      <c r="G1034" s="474" t="s">
        <v>371</v>
      </c>
      <c r="H1034" s="210" t="s">
        <v>353</v>
      </c>
      <c r="I1034" s="210"/>
      <c r="J1034" s="513">
        <v>61496.85</v>
      </c>
      <c r="K1034" s="513">
        <v>43.77</v>
      </c>
      <c r="L1034" s="513">
        <v>1405</v>
      </c>
      <c r="M1034" s="513" t="s">
        <v>6303</v>
      </c>
      <c r="N1034" s="513" t="s">
        <v>780</v>
      </c>
      <c r="O1034" s="513" t="s">
        <v>1407</v>
      </c>
      <c r="P1034" s="518" t="s">
        <v>6418</v>
      </c>
      <c r="Q1034" s="152" t="s">
        <v>5873</v>
      </c>
      <c r="R1034" s="152" t="s">
        <v>6419</v>
      </c>
      <c r="S1034" s="152" t="s">
        <v>6540</v>
      </c>
      <c r="T1034" s="152" t="s">
        <v>6421</v>
      </c>
      <c r="U1034" s="152" t="s">
        <v>786</v>
      </c>
    </row>
    <row r="1035" spans="4:21">
      <c r="D1035" s="152" t="s">
        <v>2821</v>
      </c>
      <c r="G1035" s="474" t="s">
        <v>371</v>
      </c>
      <c r="H1035" s="210" t="s">
        <v>353</v>
      </c>
      <c r="I1035" s="210"/>
      <c r="J1035" s="513">
        <v>-63646.5</v>
      </c>
      <c r="K1035" s="513">
        <v>-45.3</v>
      </c>
      <c r="L1035" s="513">
        <v>1405</v>
      </c>
      <c r="M1035" s="513" t="s">
        <v>6303</v>
      </c>
      <c r="N1035" s="513" t="s">
        <v>780</v>
      </c>
      <c r="O1035" s="513" t="s">
        <v>1407</v>
      </c>
      <c r="P1035" s="518" t="s">
        <v>6369</v>
      </c>
      <c r="Q1035" s="152" t="s">
        <v>5873</v>
      </c>
      <c r="R1035" s="152" t="s">
        <v>6370</v>
      </c>
      <c r="S1035" s="152" t="s">
        <v>6541</v>
      </c>
      <c r="T1035" s="152" t="s">
        <v>6372</v>
      </c>
      <c r="U1035" s="152" t="s">
        <v>786</v>
      </c>
    </row>
    <row r="1036" spans="4:21">
      <c r="D1036" s="152" t="s">
        <v>2821</v>
      </c>
      <c r="G1036" s="474" t="s">
        <v>371</v>
      </c>
      <c r="H1036" s="210" t="s">
        <v>353</v>
      </c>
      <c r="I1036" s="210"/>
      <c r="J1036" s="513">
        <v>45367.45</v>
      </c>
      <c r="K1036" s="513">
        <v>32.29</v>
      </c>
      <c r="L1036" s="513">
        <v>1405</v>
      </c>
      <c r="M1036" s="513" t="s">
        <v>6303</v>
      </c>
      <c r="N1036" s="513" t="s">
        <v>780</v>
      </c>
      <c r="O1036" s="513" t="s">
        <v>1407</v>
      </c>
      <c r="P1036" s="518" t="s">
        <v>6418</v>
      </c>
      <c r="Q1036" s="152" t="s">
        <v>5873</v>
      </c>
      <c r="R1036" s="152" t="s">
        <v>6419</v>
      </c>
      <c r="S1036" s="152" t="s">
        <v>6542</v>
      </c>
      <c r="T1036" s="152" t="s">
        <v>6421</v>
      </c>
      <c r="U1036" s="152" t="s">
        <v>786</v>
      </c>
    </row>
    <row r="1037" spans="4:21">
      <c r="D1037" s="152" t="s">
        <v>2821</v>
      </c>
      <c r="G1037" s="474" t="s">
        <v>371</v>
      </c>
      <c r="H1037" s="210" t="s">
        <v>353</v>
      </c>
      <c r="I1037" s="210"/>
      <c r="J1037" s="513">
        <v>-46955.1</v>
      </c>
      <c r="K1037" s="513">
        <v>-33.42</v>
      </c>
      <c r="L1037" s="513">
        <v>1405</v>
      </c>
      <c r="M1037" s="513" t="s">
        <v>6303</v>
      </c>
      <c r="N1037" s="513" t="s">
        <v>780</v>
      </c>
      <c r="O1037" s="513" t="s">
        <v>1407</v>
      </c>
      <c r="P1037" s="518" t="s">
        <v>6369</v>
      </c>
      <c r="Q1037" s="152" t="s">
        <v>5873</v>
      </c>
      <c r="R1037" s="152" t="s">
        <v>6370</v>
      </c>
      <c r="S1037" s="152" t="s">
        <v>6543</v>
      </c>
      <c r="T1037" s="152" t="s">
        <v>6372</v>
      </c>
      <c r="U1037" s="152" t="s">
        <v>786</v>
      </c>
    </row>
    <row r="1038" spans="4:21">
      <c r="D1038" s="152" t="s">
        <v>2821</v>
      </c>
      <c r="G1038" s="474" t="s">
        <v>371</v>
      </c>
      <c r="H1038" s="210" t="s">
        <v>353</v>
      </c>
      <c r="I1038" s="210"/>
      <c r="J1038" s="513">
        <v>29631.45</v>
      </c>
      <c r="K1038" s="513">
        <v>21.09</v>
      </c>
      <c r="L1038" s="513">
        <v>1405</v>
      </c>
      <c r="M1038" s="513" t="s">
        <v>6303</v>
      </c>
      <c r="N1038" s="513" t="s">
        <v>780</v>
      </c>
      <c r="O1038" s="513" t="s">
        <v>1407</v>
      </c>
      <c r="P1038" s="518" t="s">
        <v>6418</v>
      </c>
      <c r="Q1038" s="152" t="s">
        <v>5873</v>
      </c>
      <c r="R1038" s="152" t="s">
        <v>6419</v>
      </c>
      <c r="S1038" s="152" t="s">
        <v>6544</v>
      </c>
      <c r="T1038" s="152" t="s">
        <v>6421</v>
      </c>
      <c r="U1038" s="152" t="s">
        <v>786</v>
      </c>
    </row>
    <row r="1039" spans="4:21">
      <c r="D1039" s="152" t="s">
        <v>2821</v>
      </c>
      <c r="G1039" s="474" t="s">
        <v>371</v>
      </c>
      <c r="H1039" s="210" t="s">
        <v>353</v>
      </c>
      <c r="I1039" s="210"/>
      <c r="J1039" s="513">
        <v>-30671.15</v>
      </c>
      <c r="K1039" s="513">
        <v>-21.83</v>
      </c>
      <c r="L1039" s="513">
        <v>1405</v>
      </c>
      <c r="M1039" s="513" t="s">
        <v>6303</v>
      </c>
      <c r="N1039" s="513" t="s">
        <v>780</v>
      </c>
      <c r="O1039" s="513" t="s">
        <v>1407</v>
      </c>
      <c r="P1039" s="518" t="s">
        <v>6369</v>
      </c>
      <c r="Q1039" s="152" t="s">
        <v>5873</v>
      </c>
      <c r="R1039" s="152" t="s">
        <v>6370</v>
      </c>
      <c r="S1039" s="152" t="s">
        <v>6545</v>
      </c>
      <c r="T1039" s="152" t="s">
        <v>6372</v>
      </c>
      <c r="U1039" s="152" t="s">
        <v>786</v>
      </c>
    </row>
    <row r="1040" spans="4:21">
      <c r="D1040" s="152" t="s">
        <v>2821</v>
      </c>
      <c r="G1040" s="474" t="s">
        <v>371</v>
      </c>
      <c r="H1040" s="210" t="s">
        <v>353</v>
      </c>
      <c r="I1040" s="210"/>
      <c r="J1040" s="513">
        <v>93924.25</v>
      </c>
      <c r="K1040" s="513">
        <v>66.849999999999994</v>
      </c>
      <c r="L1040" s="513">
        <v>1405</v>
      </c>
      <c r="M1040" s="513" t="s">
        <v>6303</v>
      </c>
      <c r="N1040" s="513" t="s">
        <v>780</v>
      </c>
      <c r="O1040" s="513" t="s">
        <v>1407</v>
      </c>
      <c r="P1040" s="518" t="s">
        <v>6418</v>
      </c>
      <c r="Q1040" s="152" t="s">
        <v>5873</v>
      </c>
      <c r="R1040" s="152" t="s">
        <v>6419</v>
      </c>
      <c r="S1040" s="152" t="s">
        <v>6546</v>
      </c>
      <c r="T1040" s="152" t="s">
        <v>6421</v>
      </c>
      <c r="U1040" s="152" t="s">
        <v>786</v>
      </c>
    </row>
    <row r="1041" spans="4:21">
      <c r="D1041" s="152" t="s">
        <v>2821</v>
      </c>
      <c r="G1041" s="474" t="s">
        <v>371</v>
      </c>
      <c r="H1041" s="210" t="s">
        <v>353</v>
      </c>
      <c r="I1041" s="210"/>
      <c r="J1041" s="513">
        <v>-97211.95</v>
      </c>
      <c r="K1041" s="513">
        <v>-69.19</v>
      </c>
      <c r="L1041" s="513">
        <v>1405</v>
      </c>
      <c r="M1041" s="513" t="s">
        <v>6303</v>
      </c>
      <c r="N1041" s="513" t="s">
        <v>780</v>
      </c>
      <c r="O1041" s="513" t="s">
        <v>1407</v>
      </c>
      <c r="P1041" s="518" t="s">
        <v>6369</v>
      </c>
      <c r="Q1041" s="152" t="s">
        <v>5873</v>
      </c>
      <c r="R1041" s="152" t="s">
        <v>6370</v>
      </c>
      <c r="S1041" s="152" t="s">
        <v>6547</v>
      </c>
      <c r="T1041" s="152" t="s">
        <v>6372</v>
      </c>
      <c r="U1041" s="152" t="s">
        <v>786</v>
      </c>
    </row>
    <row r="1042" spans="4:21">
      <c r="D1042" s="152" t="s">
        <v>2821</v>
      </c>
      <c r="G1042" s="474" t="s">
        <v>371</v>
      </c>
      <c r="H1042" s="210" t="s">
        <v>353</v>
      </c>
      <c r="I1042" s="210"/>
      <c r="J1042" s="513">
        <v>161659.29999999999</v>
      </c>
      <c r="K1042" s="513">
        <v>115.06</v>
      </c>
      <c r="L1042" s="513">
        <v>1405</v>
      </c>
      <c r="M1042" s="513" t="s">
        <v>6303</v>
      </c>
      <c r="N1042" s="513" t="s">
        <v>780</v>
      </c>
      <c r="O1042" s="513" t="s">
        <v>1407</v>
      </c>
      <c r="P1042" s="518" t="s">
        <v>6418</v>
      </c>
      <c r="Q1042" s="152" t="s">
        <v>5873</v>
      </c>
      <c r="R1042" s="152" t="s">
        <v>6419</v>
      </c>
      <c r="S1042" s="152" t="s">
        <v>6548</v>
      </c>
      <c r="T1042" s="152" t="s">
        <v>6421</v>
      </c>
      <c r="U1042" s="152" t="s">
        <v>786</v>
      </c>
    </row>
    <row r="1043" spans="4:21">
      <c r="D1043" s="152" t="s">
        <v>2821</v>
      </c>
      <c r="G1043" s="474" t="s">
        <v>371</v>
      </c>
      <c r="H1043" s="210" t="s">
        <v>353</v>
      </c>
      <c r="I1043" s="210"/>
      <c r="J1043" s="513">
        <v>-167321.45000000001</v>
      </c>
      <c r="K1043" s="513">
        <v>-119.09</v>
      </c>
      <c r="L1043" s="513">
        <v>1405</v>
      </c>
      <c r="M1043" s="513" t="s">
        <v>6303</v>
      </c>
      <c r="N1043" s="513" t="s">
        <v>780</v>
      </c>
      <c r="O1043" s="513" t="s">
        <v>1407</v>
      </c>
      <c r="P1043" s="518" t="s">
        <v>6369</v>
      </c>
      <c r="Q1043" s="152" t="s">
        <v>5873</v>
      </c>
      <c r="R1043" s="152" t="s">
        <v>6370</v>
      </c>
      <c r="S1043" s="152" t="s">
        <v>6549</v>
      </c>
      <c r="T1043" s="152" t="s">
        <v>6372</v>
      </c>
      <c r="U1043" s="152" t="s">
        <v>786</v>
      </c>
    </row>
    <row r="1044" spans="4:21">
      <c r="D1044" s="152" t="s">
        <v>2821</v>
      </c>
      <c r="G1044" s="474" t="s">
        <v>371</v>
      </c>
      <c r="H1044" s="210" t="s">
        <v>353</v>
      </c>
      <c r="I1044" s="210"/>
      <c r="J1044" s="513">
        <v>1051333.3999999999</v>
      </c>
      <c r="K1044" s="513">
        <v>748.28</v>
      </c>
      <c r="L1044" s="513">
        <v>1405</v>
      </c>
      <c r="M1044" s="513" t="s">
        <v>6303</v>
      </c>
      <c r="N1044" s="513" t="s">
        <v>780</v>
      </c>
      <c r="O1044" s="513" t="s">
        <v>1407</v>
      </c>
      <c r="P1044" s="518" t="s">
        <v>6387</v>
      </c>
      <c r="Q1044" s="152" t="s">
        <v>5873</v>
      </c>
      <c r="R1044" s="152" t="s">
        <v>6388</v>
      </c>
      <c r="S1044" s="152" t="s">
        <v>6550</v>
      </c>
      <c r="T1044" s="152" t="s">
        <v>6390</v>
      </c>
      <c r="U1044" s="152" t="s">
        <v>786</v>
      </c>
    </row>
    <row r="1045" spans="4:21">
      <c r="D1045" s="152" t="s">
        <v>2821</v>
      </c>
      <c r="G1045" s="474" t="s">
        <v>371</v>
      </c>
      <c r="H1045" s="210" t="s">
        <v>353</v>
      </c>
      <c r="I1045" s="210"/>
      <c r="J1045" s="513">
        <v>1051333.3999999999</v>
      </c>
      <c r="K1045" s="513">
        <v>748.28</v>
      </c>
      <c r="L1045" s="513">
        <v>1405</v>
      </c>
      <c r="M1045" s="513" t="s">
        <v>6303</v>
      </c>
      <c r="N1045" s="513" t="s">
        <v>780</v>
      </c>
      <c r="O1045" s="513" t="s">
        <v>1407</v>
      </c>
      <c r="P1045" s="518" t="s">
        <v>6387</v>
      </c>
      <c r="Q1045" s="152" t="s">
        <v>5873</v>
      </c>
      <c r="R1045" s="152" t="s">
        <v>6388</v>
      </c>
      <c r="S1045" s="152" t="s">
        <v>6550</v>
      </c>
      <c r="T1045" s="152" t="s">
        <v>6390</v>
      </c>
      <c r="U1045" s="152" t="s">
        <v>786</v>
      </c>
    </row>
    <row r="1046" spans="4:21">
      <c r="D1046" s="152" t="s">
        <v>2821</v>
      </c>
      <c r="G1046" s="474" t="s">
        <v>371</v>
      </c>
      <c r="H1046" s="210" t="s">
        <v>353</v>
      </c>
      <c r="I1046" s="210"/>
      <c r="J1046" s="513">
        <v>-36796.949999999997</v>
      </c>
      <c r="K1046" s="513">
        <v>-26.19</v>
      </c>
      <c r="L1046" s="513">
        <v>1405</v>
      </c>
      <c r="M1046" s="513" t="s">
        <v>6303</v>
      </c>
      <c r="N1046" s="513" t="s">
        <v>780</v>
      </c>
      <c r="O1046" s="513" t="s">
        <v>1407</v>
      </c>
      <c r="P1046" s="518" t="s">
        <v>6369</v>
      </c>
      <c r="Q1046" s="152" t="s">
        <v>5873</v>
      </c>
      <c r="R1046" s="152" t="s">
        <v>6370</v>
      </c>
      <c r="S1046" s="152" t="s">
        <v>6551</v>
      </c>
      <c r="T1046" s="152" t="s">
        <v>6372</v>
      </c>
      <c r="U1046" s="152" t="s">
        <v>786</v>
      </c>
    </row>
    <row r="1047" spans="4:21">
      <c r="D1047" s="152" t="s">
        <v>2821</v>
      </c>
      <c r="G1047" s="474" t="s">
        <v>371</v>
      </c>
      <c r="H1047" s="210" t="s">
        <v>353</v>
      </c>
      <c r="I1047" s="210"/>
      <c r="J1047" s="513">
        <v>-36796.949999999997</v>
      </c>
      <c r="K1047" s="513">
        <v>-26.19</v>
      </c>
      <c r="L1047" s="513">
        <v>1405</v>
      </c>
      <c r="M1047" s="513" t="s">
        <v>6303</v>
      </c>
      <c r="N1047" s="513" t="s">
        <v>780</v>
      </c>
      <c r="O1047" s="513" t="s">
        <v>1407</v>
      </c>
      <c r="P1047" s="518" t="s">
        <v>6369</v>
      </c>
      <c r="Q1047" s="152" t="s">
        <v>5873</v>
      </c>
      <c r="R1047" s="152" t="s">
        <v>6370</v>
      </c>
      <c r="S1047" s="152" t="s">
        <v>6551</v>
      </c>
      <c r="T1047" s="152" t="s">
        <v>6372</v>
      </c>
      <c r="U1047" s="152" t="s">
        <v>786</v>
      </c>
    </row>
    <row r="1048" spans="4:21">
      <c r="D1048" s="152" t="s">
        <v>2821</v>
      </c>
      <c r="G1048" s="474" t="s">
        <v>371</v>
      </c>
      <c r="H1048" s="210" t="s">
        <v>353</v>
      </c>
      <c r="I1048" s="210"/>
      <c r="J1048" s="513">
        <v>1938900</v>
      </c>
      <c r="K1048" s="513">
        <v>1380</v>
      </c>
      <c r="L1048" s="513">
        <v>1405</v>
      </c>
      <c r="M1048" s="513" t="s">
        <v>6303</v>
      </c>
      <c r="N1048" s="513" t="s">
        <v>780</v>
      </c>
      <c r="O1048" s="513" t="s">
        <v>1407</v>
      </c>
      <c r="P1048" s="518" t="s">
        <v>6387</v>
      </c>
      <c r="Q1048" s="152" t="s">
        <v>5873</v>
      </c>
      <c r="R1048" s="152" t="s">
        <v>6388</v>
      </c>
      <c r="S1048" s="152" t="s">
        <v>6552</v>
      </c>
      <c r="T1048" s="152" t="s">
        <v>6390</v>
      </c>
      <c r="U1048" s="152" t="s">
        <v>786</v>
      </c>
    </row>
    <row r="1049" spans="4:21">
      <c r="D1049" s="152" t="s">
        <v>2821</v>
      </c>
      <c r="G1049" s="474" t="s">
        <v>371</v>
      </c>
      <c r="H1049" s="210" t="s">
        <v>353</v>
      </c>
      <c r="I1049" s="210"/>
      <c r="J1049" s="513">
        <v>-67861.5</v>
      </c>
      <c r="K1049" s="513">
        <v>-48.3</v>
      </c>
      <c r="L1049" s="513">
        <v>1405</v>
      </c>
      <c r="M1049" s="513" t="s">
        <v>6303</v>
      </c>
      <c r="N1049" s="513" t="s">
        <v>780</v>
      </c>
      <c r="O1049" s="513" t="s">
        <v>1407</v>
      </c>
      <c r="P1049" s="518" t="s">
        <v>6369</v>
      </c>
      <c r="Q1049" s="152" t="s">
        <v>5873</v>
      </c>
      <c r="R1049" s="152" t="s">
        <v>6370</v>
      </c>
      <c r="S1049" s="152" t="s">
        <v>6553</v>
      </c>
      <c r="T1049" s="152" t="s">
        <v>6372</v>
      </c>
      <c r="U1049" s="152" t="s">
        <v>786</v>
      </c>
    </row>
    <row r="1050" spans="4:21">
      <c r="D1050" s="152" t="s">
        <v>2821</v>
      </c>
      <c r="G1050" s="474" t="s">
        <v>371</v>
      </c>
      <c r="H1050" s="210" t="s">
        <v>353</v>
      </c>
      <c r="I1050" s="210"/>
      <c r="J1050" s="513">
        <v>4100773.5</v>
      </c>
      <c r="K1050" s="513">
        <v>2918.7</v>
      </c>
      <c r="L1050" s="513">
        <v>1405</v>
      </c>
      <c r="M1050" s="513" t="s">
        <v>6303</v>
      </c>
      <c r="N1050" s="513" t="s">
        <v>780</v>
      </c>
      <c r="O1050" s="513" t="s">
        <v>1407</v>
      </c>
      <c r="P1050" s="518" t="s">
        <v>6387</v>
      </c>
      <c r="Q1050" s="152" t="s">
        <v>5873</v>
      </c>
      <c r="R1050" s="152" t="s">
        <v>6388</v>
      </c>
      <c r="S1050" s="152" t="s">
        <v>6554</v>
      </c>
      <c r="T1050" s="152" t="s">
        <v>6390</v>
      </c>
      <c r="U1050" s="152" t="s">
        <v>786</v>
      </c>
    </row>
    <row r="1051" spans="4:21">
      <c r="D1051" s="152" t="s">
        <v>2821</v>
      </c>
      <c r="G1051" s="474" t="s">
        <v>371</v>
      </c>
      <c r="H1051" s="210" t="s">
        <v>353</v>
      </c>
      <c r="I1051" s="210"/>
      <c r="J1051" s="513">
        <v>-143520.75</v>
      </c>
      <c r="K1051" s="513">
        <v>-102.15</v>
      </c>
      <c r="L1051" s="513">
        <v>1405</v>
      </c>
      <c r="M1051" s="513" t="s">
        <v>6303</v>
      </c>
      <c r="N1051" s="513" t="s">
        <v>780</v>
      </c>
      <c r="O1051" s="513" t="s">
        <v>1407</v>
      </c>
      <c r="P1051" s="518" t="s">
        <v>6369</v>
      </c>
      <c r="Q1051" s="152" t="s">
        <v>5873</v>
      </c>
      <c r="R1051" s="152" t="s">
        <v>6370</v>
      </c>
      <c r="S1051" s="152" t="s">
        <v>6555</v>
      </c>
      <c r="T1051" s="152" t="s">
        <v>6372</v>
      </c>
      <c r="U1051" s="152" t="s">
        <v>786</v>
      </c>
    </row>
    <row r="1052" spans="4:21">
      <c r="D1052" s="152" t="s">
        <v>2821</v>
      </c>
      <c r="G1052" s="474" t="s">
        <v>371</v>
      </c>
      <c r="H1052" s="210" t="s">
        <v>353</v>
      </c>
      <c r="I1052" s="210"/>
      <c r="J1052" s="513">
        <v>89372.05</v>
      </c>
      <c r="K1052" s="513">
        <v>63.61</v>
      </c>
      <c r="L1052" s="513">
        <v>1405</v>
      </c>
      <c r="M1052" s="513" t="s">
        <v>6303</v>
      </c>
      <c r="N1052" s="513" t="s">
        <v>780</v>
      </c>
      <c r="O1052" s="513" t="s">
        <v>1407</v>
      </c>
      <c r="P1052" s="518" t="s">
        <v>6418</v>
      </c>
      <c r="Q1052" s="152" t="s">
        <v>5873</v>
      </c>
      <c r="R1052" s="152" t="s">
        <v>6419</v>
      </c>
      <c r="S1052" s="152" t="s">
        <v>6556</v>
      </c>
      <c r="T1052" s="152" t="s">
        <v>6421</v>
      </c>
      <c r="U1052" s="152" t="s">
        <v>786</v>
      </c>
    </row>
    <row r="1053" spans="4:21">
      <c r="D1053" s="152" t="s">
        <v>2821</v>
      </c>
      <c r="G1053" s="474" t="s">
        <v>371</v>
      </c>
      <c r="H1053" s="210" t="s">
        <v>353</v>
      </c>
      <c r="I1053" s="210"/>
      <c r="J1053" s="513">
        <v>-92505.2</v>
      </c>
      <c r="K1053" s="513">
        <v>-65.84</v>
      </c>
      <c r="L1053" s="513">
        <v>1405</v>
      </c>
      <c r="M1053" s="513" t="s">
        <v>6303</v>
      </c>
      <c r="N1053" s="513" t="s">
        <v>780</v>
      </c>
      <c r="O1053" s="513" t="s">
        <v>1407</v>
      </c>
      <c r="P1053" s="518" t="s">
        <v>6369</v>
      </c>
      <c r="Q1053" s="152" t="s">
        <v>5873</v>
      </c>
      <c r="R1053" s="152" t="s">
        <v>6370</v>
      </c>
      <c r="S1053" s="152" t="s">
        <v>6557</v>
      </c>
      <c r="T1053" s="152" t="s">
        <v>6372</v>
      </c>
      <c r="U1053" s="152" t="s">
        <v>786</v>
      </c>
    </row>
    <row r="1054" spans="4:21">
      <c r="D1054" s="152" t="s">
        <v>2821</v>
      </c>
      <c r="G1054" s="474" t="s">
        <v>371</v>
      </c>
      <c r="H1054" s="210" t="s">
        <v>353</v>
      </c>
      <c r="I1054" s="210"/>
      <c r="J1054" s="513">
        <v>91226.65</v>
      </c>
      <c r="K1054" s="513">
        <v>64.930000000000007</v>
      </c>
      <c r="L1054" s="513">
        <v>1405</v>
      </c>
      <c r="M1054" s="513" t="s">
        <v>6303</v>
      </c>
      <c r="N1054" s="513" t="s">
        <v>780</v>
      </c>
      <c r="O1054" s="513" t="s">
        <v>1407</v>
      </c>
      <c r="P1054" s="518" t="s">
        <v>6418</v>
      </c>
      <c r="Q1054" s="152" t="s">
        <v>5873</v>
      </c>
      <c r="R1054" s="152" t="s">
        <v>6419</v>
      </c>
      <c r="S1054" s="152" t="s">
        <v>6558</v>
      </c>
      <c r="T1054" s="152" t="s">
        <v>6421</v>
      </c>
      <c r="U1054" s="152" t="s">
        <v>786</v>
      </c>
    </row>
    <row r="1055" spans="4:21">
      <c r="D1055" s="152" t="s">
        <v>2821</v>
      </c>
      <c r="G1055" s="474" t="s">
        <v>371</v>
      </c>
      <c r="H1055" s="210" t="s">
        <v>353</v>
      </c>
      <c r="I1055" s="210"/>
      <c r="J1055" s="513">
        <v>-94416</v>
      </c>
      <c r="K1055" s="513">
        <v>-67.2</v>
      </c>
      <c r="L1055" s="513">
        <v>1405</v>
      </c>
      <c r="M1055" s="513" t="s">
        <v>6303</v>
      </c>
      <c r="N1055" s="513" t="s">
        <v>780</v>
      </c>
      <c r="O1055" s="513" t="s">
        <v>1407</v>
      </c>
      <c r="P1055" s="518" t="s">
        <v>6369</v>
      </c>
      <c r="Q1055" s="152" t="s">
        <v>5873</v>
      </c>
      <c r="R1055" s="152" t="s">
        <v>6370</v>
      </c>
      <c r="S1055" s="152" t="s">
        <v>6559</v>
      </c>
      <c r="T1055" s="152" t="s">
        <v>6372</v>
      </c>
      <c r="U1055" s="152" t="s">
        <v>786</v>
      </c>
    </row>
    <row r="1056" spans="4:21">
      <c r="D1056" s="152" t="s">
        <v>2821</v>
      </c>
      <c r="G1056" s="474" t="s">
        <v>371</v>
      </c>
      <c r="H1056" s="210" t="s">
        <v>353</v>
      </c>
      <c r="I1056" s="210"/>
      <c r="J1056" s="513">
        <v>89863.8</v>
      </c>
      <c r="K1056" s="513">
        <v>63.96</v>
      </c>
      <c r="L1056" s="513">
        <v>1405</v>
      </c>
      <c r="M1056" s="513" t="s">
        <v>6303</v>
      </c>
      <c r="N1056" s="513" t="s">
        <v>780</v>
      </c>
      <c r="O1056" s="513" t="s">
        <v>1407</v>
      </c>
      <c r="P1056" s="518" t="s">
        <v>6418</v>
      </c>
      <c r="Q1056" s="152" t="s">
        <v>5873</v>
      </c>
      <c r="R1056" s="152" t="s">
        <v>6419</v>
      </c>
      <c r="S1056" s="152" t="s">
        <v>6560</v>
      </c>
      <c r="T1056" s="152" t="s">
        <v>6421</v>
      </c>
      <c r="U1056" s="152" t="s">
        <v>786</v>
      </c>
    </row>
    <row r="1057" spans="4:21">
      <c r="D1057" s="152" t="s">
        <v>2821</v>
      </c>
      <c r="G1057" s="474" t="s">
        <v>371</v>
      </c>
      <c r="H1057" s="210" t="s">
        <v>353</v>
      </c>
      <c r="I1057" s="210"/>
      <c r="J1057" s="513">
        <v>-93011</v>
      </c>
      <c r="K1057" s="513">
        <v>-66.2</v>
      </c>
      <c r="L1057" s="513">
        <v>1405</v>
      </c>
      <c r="M1057" s="513" t="s">
        <v>6303</v>
      </c>
      <c r="N1057" s="513" t="s">
        <v>780</v>
      </c>
      <c r="O1057" s="513" t="s">
        <v>1407</v>
      </c>
      <c r="P1057" s="518" t="s">
        <v>6369</v>
      </c>
      <c r="Q1057" s="152" t="s">
        <v>5873</v>
      </c>
      <c r="R1057" s="152" t="s">
        <v>6370</v>
      </c>
      <c r="S1057" s="152" t="s">
        <v>6561</v>
      </c>
      <c r="T1057" s="152" t="s">
        <v>6372</v>
      </c>
      <c r="U1057" s="152" t="s">
        <v>786</v>
      </c>
    </row>
    <row r="1058" spans="4:21">
      <c r="D1058" s="152" t="s">
        <v>2821</v>
      </c>
      <c r="G1058" s="474" t="s">
        <v>371</v>
      </c>
      <c r="H1058" s="210" t="s">
        <v>353</v>
      </c>
      <c r="I1058" s="210"/>
      <c r="J1058" s="513">
        <v>73888.95</v>
      </c>
      <c r="K1058" s="513">
        <v>52.59</v>
      </c>
      <c r="L1058" s="513">
        <v>1405</v>
      </c>
      <c r="M1058" s="513" t="s">
        <v>6303</v>
      </c>
      <c r="N1058" s="513" t="s">
        <v>780</v>
      </c>
      <c r="O1058" s="513" t="s">
        <v>1407</v>
      </c>
      <c r="P1058" s="518" t="s">
        <v>6418</v>
      </c>
      <c r="Q1058" s="152" t="s">
        <v>5873</v>
      </c>
      <c r="R1058" s="152" t="s">
        <v>6419</v>
      </c>
      <c r="S1058" s="152" t="s">
        <v>6562</v>
      </c>
      <c r="T1058" s="152" t="s">
        <v>6421</v>
      </c>
      <c r="U1058" s="152" t="s">
        <v>786</v>
      </c>
    </row>
    <row r="1059" spans="4:21">
      <c r="D1059" s="152" t="s">
        <v>2821</v>
      </c>
      <c r="G1059" s="474" t="s">
        <v>371</v>
      </c>
      <c r="H1059" s="210" t="s">
        <v>353</v>
      </c>
      <c r="I1059" s="210"/>
      <c r="J1059" s="513">
        <v>8458.1</v>
      </c>
      <c r="K1059" s="513">
        <v>6.02</v>
      </c>
      <c r="L1059" s="513">
        <v>1405</v>
      </c>
      <c r="M1059" s="513" t="s">
        <v>6303</v>
      </c>
      <c r="N1059" s="513" t="s">
        <v>780</v>
      </c>
      <c r="O1059" s="513" t="s">
        <v>1407</v>
      </c>
      <c r="P1059" s="518" t="s">
        <v>6418</v>
      </c>
      <c r="Q1059" s="152" t="s">
        <v>5873</v>
      </c>
      <c r="R1059" s="152" t="s">
        <v>6419</v>
      </c>
      <c r="S1059" s="152" t="s">
        <v>6562</v>
      </c>
      <c r="T1059" s="152" t="s">
        <v>6421</v>
      </c>
      <c r="U1059" s="152" t="s">
        <v>786</v>
      </c>
    </row>
    <row r="1060" spans="4:21">
      <c r="D1060" s="152" t="s">
        <v>2821</v>
      </c>
      <c r="G1060" s="474" t="s">
        <v>371</v>
      </c>
      <c r="H1060" s="210" t="s">
        <v>353</v>
      </c>
      <c r="I1060" s="210"/>
      <c r="J1060" s="513">
        <v>-76474.149999999994</v>
      </c>
      <c r="K1060" s="513">
        <v>-54.43</v>
      </c>
      <c r="L1060" s="513">
        <v>1405</v>
      </c>
      <c r="M1060" s="513" t="s">
        <v>6303</v>
      </c>
      <c r="N1060" s="513" t="s">
        <v>780</v>
      </c>
      <c r="O1060" s="513" t="s">
        <v>1407</v>
      </c>
      <c r="P1060" s="518" t="s">
        <v>6369</v>
      </c>
      <c r="Q1060" s="152" t="s">
        <v>5873</v>
      </c>
      <c r="R1060" s="152" t="s">
        <v>6370</v>
      </c>
      <c r="S1060" s="152" t="s">
        <v>6563</v>
      </c>
      <c r="T1060" s="152" t="s">
        <v>6372</v>
      </c>
      <c r="U1060" s="152" t="s">
        <v>786</v>
      </c>
    </row>
    <row r="1061" spans="4:21">
      <c r="D1061" s="152" t="s">
        <v>2821</v>
      </c>
      <c r="G1061" s="474" t="s">
        <v>371</v>
      </c>
      <c r="H1061" s="210" t="s">
        <v>353</v>
      </c>
      <c r="I1061" s="210"/>
      <c r="J1061" s="513">
        <v>-8753.15</v>
      </c>
      <c r="K1061" s="513">
        <v>-6.23</v>
      </c>
      <c r="L1061" s="513">
        <v>1405</v>
      </c>
      <c r="M1061" s="513" t="s">
        <v>6303</v>
      </c>
      <c r="N1061" s="513" t="s">
        <v>780</v>
      </c>
      <c r="O1061" s="513" t="s">
        <v>1407</v>
      </c>
      <c r="P1061" s="518" t="s">
        <v>6369</v>
      </c>
      <c r="Q1061" s="152" t="s">
        <v>5873</v>
      </c>
      <c r="R1061" s="152" t="s">
        <v>6370</v>
      </c>
      <c r="S1061" s="152" t="s">
        <v>6563</v>
      </c>
      <c r="T1061" s="152" t="s">
        <v>6372</v>
      </c>
      <c r="U1061" s="152" t="s">
        <v>786</v>
      </c>
    </row>
    <row r="1062" spans="4:21">
      <c r="D1062" s="152" t="s">
        <v>2821</v>
      </c>
      <c r="G1062" s="474" t="s">
        <v>371</v>
      </c>
      <c r="H1062" s="210" t="s">
        <v>353</v>
      </c>
      <c r="I1062" s="210"/>
      <c r="J1062" s="513">
        <v>15462025</v>
      </c>
      <c r="K1062" s="513">
        <v>11005</v>
      </c>
      <c r="L1062" s="513">
        <v>1405</v>
      </c>
      <c r="M1062" s="513" t="s">
        <v>6303</v>
      </c>
      <c r="N1062" s="513" t="s">
        <v>780</v>
      </c>
      <c r="O1062" s="513" t="s">
        <v>1407</v>
      </c>
      <c r="P1062" s="518" t="s">
        <v>6387</v>
      </c>
      <c r="Q1062" s="152" t="s">
        <v>5873</v>
      </c>
      <c r="R1062" s="152" t="s">
        <v>6388</v>
      </c>
      <c r="S1062" s="152" t="s">
        <v>6564</v>
      </c>
      <c r="T1062" s="152" t="s">
        <v>6390</v>
      </c>
      <c r="U1062" s="152" t="s">
        <v>786</v>
      </c>
    </row>
    <row r="1063" spans="4:21">
      <c r="D1063" s="152" t="s">
        <v>2821</v>
      </c>
      <c r="G1063" s="474" t="s">
        <v>371</v>
      </c>
      <c r="H1063" s="210" t="s">
        <v>353</v>
      </c>
      <c r="I1063" s="210"/>
      <c r="J1063" s="513">
        <v>-541177.9</v>
      </c>
      <c r="K1063" s="513">
        <v>-385.18</v>
      </c>
      <c r="L1063" s="513">
        <v>1405</v>
      </c>
      <c r="M1063" s="513" t="s">
        <v>6303</v>
      </c>
      <c r="N1063" s="513" t="s">
        <v>780</v>
      </c>
      <c r="O1063" s="513" t="s">
        <v>1407</v>
      </c>
      <c r="P1063" s="518" t="s">
        <v>6369</v>
      </c>
      <c r="Q1063" s="152" t="s">
        <v>5873</v>
      </c>
      <c r="R1063" s="152" t="s">
        <v>6370</v>
      </c>
      <c r="S1063" s="152" t="s">
        <v>6565</v>
      </c>
      <c r="T1063" s="152" t="s">
        <v>6372</v>
      </c>
      <c r="U1063" s="152" t="s">
        <v>786</v>
      </c>
    </row>
    <row r="1064" spans="4:21">
      <c r="D1064" s="152" t="s">
        <v>2821</v>
      </c>
      <c r="G1064" s="474" t="s">
        <v>371</v>
      </c>
      <c r="H1064" s="210" t="s">
        <v>353</v>
      </c>
      <c r="I1064" s="210"/>
      <c r="J1064" s="513">
        <v>3962100</v>
      </c>
      <c r="K1064" s="513">
        <v>2820</v>
      </c>
      <c r="L1064" s="513">
        <v>1405</v>
      </c>
      <c r="M1064" s="513" t="s">
        <v>6303</v>
      </c>
      <c r="N1064" s="513" t="s">
        <v>780</v>
      </c>
      <c r="O1064" s="513" t="s">
        <v>1407</v>
      </c>
      <c r="P1064" s="518" t="s">
        <v>6382</v>
      </c>
      <c r="Q1064" s="152" t="s">
        <v>5873</v>
      </c>
      <c r="R1064" s="152" t="s">
        <v>6383</v>
      </c>
      <c r="S1064" s="152" t="s">
        <v>6567</v>
      </c>
      <c r="T1064" s="152" t="s">
        <v>6385</v>
      </c>
      <c r="U1064" s="152" t="s">
        <v>786</v>
      </c>
    </row>
    <row r="1065" spans="4:21">
      <c r="D1065" s="152" t="s">
        <v>2821</v>
      </c>
      <c r="G1065" s="474" t="s">
        <v>371</v>
      </c>
      <c r="H1065" s="210" t="s">
        <v>353</v>
      </c>
      <c r="I1065" s="210"/>
      <c r="J1065" s="513">
        <v>1981050</v>
      </c>
      <c r="K1065" s="513">
        <v>1410</v>
      </c>
      <c r="L1065" s="513">
        <v>1405</v>
      </c>
      <c r="M1065" s="513" t="s">
        <v>6303</v>
      </c>
      <c r="N1065" s="513" t="s">
        <v>780</v>
      </c>
      <c r="O1065" s="513" t="s">
        <v>1407</v>
      </c>
      <c r="P1065" s="518" t="s">
        <v>6387</v>
      </c>
      <c r="Q1065" s="152" t="s">
        <v>5873</v>
      </c>
      <c r="R1065" s="152" t="s">
        <v>6388</v>
      </c>
      <c r="S1065" s="152" t="s">
        <v>6568</v>
      </c>
      <c r="T1065" s="152" t="s">
        <v>6390</v>
      </c>
      <c r="U1065" s="152" t="s">
        <v>786</v>
      </c>
    </row>
    <row r="1066" spans="4:21">
      <c r="D1066" s="152" t="s">
        <v>2821</v>
      </c>
      <c r="G1066" s="474" t="s">
        <v>371</v>
      </c>
      <c r="H1066" s="210" t="s">
        <v>353</v>
      </c>
      <c r="I1066" s="210"/>
      <c r="J1066" s="513">
        <v>1981050</v>
      </c>
      <c r="K1066" s="513">
        <v>1410</v>
      </c>
      <c r="L1066" s="513">
        <v>1405</v>
      </c>
      <c r="M1066" s="513" t="s">
        <v>6303</v>
      </c>
      <c r="N1066" s="513" t="s">
        <v>780</v>
      </c>
      <c r="O1066" s="513" t="s">
        <v>1407</v>
      </c>
      <c r="P1066" s="518" t="s">
        <v>6382</v>
      </c>
      <c r="Q1066" s="152" t="s">
        <v>5873</v>
      </c>
      <c r="R1066" s="152" t="s">
        <v>6383</v>
      </c>
      <c r="S1066" s="152" t="s">
        <v>6569</v>
      </c>
      <c r="T1066" s="152" t="s">
        <v>6385</v>
      </c>
      <c r="U1066" s="152" t="s">
        <v>786</v>
      </c>
    </row>
    <row r="1067" spans="4:21">
      <c r="D1067" s="152" t="s">
        <v>2821</v>
      </c>
      <c r="G1067" s="474" t="s">
        <v>371</v>
      </c>
      <c r="H1067" s="210" t="s">
        <v>353</v>
      </c>
      <c r="I1067" s="210"/>
      <c r="J1067" s="513">
        <v>-223395</v>
      </c>
      <c r="K1067" s="513">
        <v>-159</v>
      </c>
      <c r="L1067" s="513">
        <v>1405</v>
      </c>
      <c r="M1067" s="513" t="s">
        <v>6303</v>
      </c>
      <c r="N1067" s="513" t="s">
        <v>780</v>
      </c>
      <c r="O1067" s="513" t="s">
        <v>1407</v>
      </c>
      <c r="P1067" s="518" t="s">
        <v>6369</v>
      </c>
      <c r="Q1067" s="152" t="s">
        <v>5873</v>
      </c>
      <c r="R1067" s="152" t="s">
        <v>6370</v>
      </c>
      <c r="S1067" s="152" t="s">
        <v>6572</v>
      </c>
      <c r="T1067" s="152" t="s">
        <v>6372</v>
      </c>
      <c r="U1067" s="152" t="s">
        <v>786</v>
      </c>
    </row>
    <row r="1068" spans="4:21">
      <c r="D1068" s="152" t="s">
        <v>2821</v>
      </c>
      <c r="G1068" s="474" t="s">
        <v>371</v>
      </c>
      <c r="H1068" s="210" t="s">
        <v>353</v>
      </c>
      <c r="I1068" s="210"/>
      <c r="J1068" s="513">
        <v>-95540</v>
      </c>
      <c r="K1068" s="513">
        <v>-68</v>
      </c>
      <c r="L1068" s="513">
        <v>1405</v>
      </c>
      <c r="M1068" s="513" t="s">
        <v>6303</v>
      </c>
      <c r="N1068" s="513" t="s">
        <v>780</v>
      </c>
      <c r="O1068" s="513" t="s">
        <v>1407</v>
      </c>
      <c r="P1068" s="518" t="s">
        <v>6369</v>
      </c>
      <c r="Q1068" s="152" t="s">
        <v>5873</v>
      </c>
      <c r="R1068" s="152" t="s">
        <v>6370</v>
      </c>
      <c r="S1068" s="152" t="s">
        <v>6052</v>
      </c>
      <c r="T1068" s="152" t="s">
        <v>6372</v>
      </c>
      <c r="U1068" s="152" t="s">
        <v>786</v>
      </c>
    </row>
    <row r="1069" spans="4:21">
      <c r="D1069" s="152" t="s">
        <v>2821</v>
      </c>
      <c r="G1069" s="474" t="s">
        <v>371</v>
      </c>
      <c r="H1069" s="210" t="s">
        <v>353</v>
      </c>
      <c r="I1069" s="210"/>
      <c r="J1069" s="513">
        <v>-1027040.95</v>
      </c>
      <c r="K1069" s="513">
        <v>-730.99</v>
      </c>
      <c r="L1069" s="513">
        <v>1405</v>
      </c>
      <c r="M1069" s="513" t="s">
        <v>6303</v>
      </c>
      <c r="N1069" s="513" t="s">
        <v>780</v>
      </c>
      <c r="O1069" s="513" t="s">
        <v>1407</v>
      </c>
      <c r="P1069" s="518" t="s">
        <v>6369</v>
      </c>
      <c r="Q1069" s="152" t="s">
        <v>5873</v>
      </c>
      <c r="R1069" s="152" t="s">
        <v>6370</v>
      </c>
      <c r="S1069" s="152" t="s">
        <v>6573</v>
      </c>
      <c r="T1069" s="152" t="s">
        <v>6372</v>
      </c>
      <c r="U1069" s="152" t="s">
        <v>786</v>
      </c>
    </row>
    <row r="1070" spans="4:21">
      <c r="D1070" s="152" t="s">
        <v>2821</v>
      </c>
      <c r="G1070" s="474" t="s">
        <v>371</v>
      </c>
      <c r="H1070" s="210" t="s">
        <v>353</v>
      </c>
      <c r="I1070" s="210"/>
      <c r="J1070" s="513">
        <v>3252575</v>
      </c>
      <c r="K1070" s="513">
        <v>2315</v>
      </c>
      <c r="L1070" s="513">
        <v>1405</v>
      </c>
      <c r="M1070" s="513" t="s">
        <v>6303</v>
      </c>
      <c r="N1070" s="513" t="s">
        <v>1540</v>
      </c>
      <c r="O1070" s="513" t="s">
        <v>1407</v>
      </c>
      <c r="P1070" s="518" t="s">
        <v>6775</v>
      </c>
      <c r="Q1070" s="152" t="s">
        <v>5933</v>
      </c>
      <c r="R1070" s="152" t="s">
        <v>6776</v>
      </c>
      <c r="S1070" s="152" t="s">
        <v>6776</v>
      </c>
      <c r="T1070" s="152" t="s">
        <v>6777</v>
      </c>
      <c r="U1070" s="152" t="s">
        <v>786</v>
      </c>
    </row>
    <row r="1071" spans="4:21">
      <c r="D1071" s="152" t="s">
        <v>2821</v>
      </c>
      <c r="G1071" s="474" t="s">
        <v>371</v>
      </c>
      <c r="H1071" s="210" t="s">
        <v>353</v>
      </c>
      <c r="I1071" s="210"/>
      <c r="J1071" s="513">
        <v>5893975</v>
      </c>
      <c r="K1071" s="513">
        <v>4195</v>
      </c>
      <c r="L1071" s="513">
        <v>1405</v>
      </c>
      <c r="M1071" s="513" t="s">
        <v>6303</v>
      </c>
      <c r="N1071" s="513" t="s">
        <v>1540</v>
      </c>
      <c r="O1071" s="513" t="s">
        <v>1407</v>
      </c>
      <c r="P1071" s="518" t="s">
        <v>6778</v>
      </c>
      <c r="Q1071" s="152" t="s">
        <v>5933</v>
      </c>
      <c r="R1071" s="152" t="s">
        <v>6779</v>
      </c>
      <c r="S1071" s="152" t="s">
        <v>6779</v>
      </c>
      <c r="T1071" s="152" t="s">
        <v>6780</v>
      </c>
      <c r="U1071" s="152" t="s">
        <v>786</v>
      </c>
    </row>
    <row r="1072" spans="4:21">
      <c r="D1072" s="152" t="s">
        <v>2821</v>
      </c>
      <c r="G1072" s="474" t="s">
        <v>371</v>
      </c>
      <c r="H1072" s="210" t="s">
        <v>353</v>
      </c>
      <c r="I1072" s="210"/>
      <c r="J1072" s="513">
        <v>2866200</v>
      </c>
      <c r="K1072" s="513">
        <v>2040</v>
      </c>
      <c r="L1072" s="513">
        <v>1405</v>
      </c>
      <c r="M1072" s="513" t="s">
        <v>6303</v>
      </c>
      <c r="N1072" s="513" t="s">
        <v>1540</v>
      </c>
      <c r="O1072" s="513" t="s">
        <v>1407</v>
      </c>
      <c r="P1072" s="518" t="s">
        <v>6781</v>
      </c>
      <c r="Q1072" s="152" t="s">
        <v>5933</v>
      </c>
      <c r="R1072" s="152" t="s">
        <v>6782</v>
      </c>
      <c r="S1072" s="152" t="s">
        <v>6782</v>
      </c>
      <c r="T1072" s="152" t="s">
        <v>6783</v>
      </c>
      <c r="U1072" s="152" t="s">
        <v>786</v>
      </c>
    </row>
    <row r="1073" spans="4:21">
      <c r="D1073" s="152" t="s">
        <v>2821</v>
      </c>
      <c r="G1073" s="474" t="s">
        <v>371</v>
      </c>
      <c r="H1073" s="210" t="s">
        <v>353</v>
      </c>
      <c r="I1073" s="210"/>
      <c r="J1073" s="513">
        <v>3059387.5</v>
      </c>
      <c r="K1073" s="513">
        <v>2177.5</v>
      </c>
      <c r="L1073" s="513">
        <v>1405</v>
      </c>
      <c r="M1073" s="513" t="s">
        <v>6303</v>
      </c>
      <c r="N1073" s="513" t="s">
        <v>1540</v>
      </c>
      <c r="O1073" s="513" t="s">
        <v>1407</v>
      </c>
      <c r="P1073" s="518" t="s">
        <v>6784</v>
      </c>
      <c r="Q1073" s="152" t="s">
        <v>5933</v>
      </c>
      <c r="R1073" s="152" t="s">
        <v>6785</v>
      </c>
      <c r="S1073" s="152" t="s">
        <v>6785</v>
      </c>
      <c r="T1073" s="152" t="s">
        <v>6786</v>
      </c>
      <c r="U1073" s="152" t="s">
        <v>786</v>
      </c>
    </row>
    <row r="1074" spans="4:21">
      <c r="D1074" s="152" t="s">
        <v>2821</v>
      </c>
      <c r="G1074" s="474" t="s">
        <v>371</v>
      </c>
      <c r="H1074" s="210" t="s">
        <v>353</v>
      </c>
      <c r="I1074" s="210"/>
      <c r="J1074" s="513">
        <v>5553262.5</v>
      </c>
      <c r="K1074" s="513">
        <v>3952.5</v>
      </c>
      <c r="L1074" s="513">
        <v>1405</v>
      </c>
      <c r="M1074" s="513" t="s">
        <v>6303</v>
      </c>
      <c r="N1074" s="513" t="s">
        <v>1540</v>
      </c>
      <c r="O1074" s="513" t="s">
        <v>1407</v>
      </c>
      <c r="P1074" s="518" t="s">
        <v>6787</v>
      </c>
      <c r="Q1074" s="152" t="s">
        <v>5933</v>
      </c>
      <c r="R1074" s="152" t="s">
        <v>6788</v>
      </c>
      <c r="S1074" s="152" t="s">
        <v>6788</v>
      </c>
      <c r="T1074" s="152" t="s">
        <v>6789</v>
      </c>
      <c r="U1074" s="152" t="s">
        <v>786</v>
      </c>
    </row>
    <row r="1075" spans="4:21">
      <c r="D1075" s="152" t="s">
        <v>2821</v>
      </c>
      <c r="G1075" s="474" t="s">
        <v>371</v>
      </c>
      <c r="H1075" s="210" t="s">
        <v>353</v>
      </c>
      <c r="I1075" s="210"/>
      <c r="J1075" s="513">
        <v>273975</v>
      </c>
      <c r="K1075" s="513">
        <v>195</v>
      </c>
      <c r="L1075" s="513">
        <v>1405</v>
      </c>
      <c r="M1075" s="513" t="s">
        <v>6303</v>
      </c>
      <c r="N1075" s="513" t="s">
        <v>1540</v>
      </c>
      <c r="O1075" s="513" t="s">
        <v>1407</v>
      </c>
      <c r="P1075" s="518" t="s">
        <v>6790</v>
      </c>
      <c r="Q1075" s="152" t="s">
        <v>5933</v>
      </c>
      <c r="R1075" s="152" t="s">
        <v>6791</v>
      </c>
      <c r="S1075" s="152" t="s">
        <v>6791</v>
      </c>
      <c r="T1075" s="152" t="s">
        <v>6792</v>
      </c>
      <c r="U1075" s="152" t="s">
        <v>786</v>
      </c>
    </row>
    <row r="1076" spans="4:21">
      <c r="D1076" s="152" t="s">
        <v>2821</v>
      </c>
      <c r="G1076" s="474" t="s">
        <v>371</v>
      </c>
      <c r="H1076" s="210" t="s">
        <v>353</v>
      </c>
      <c r="I1076" s="210"/>
      <c r="J1076" s="513">
        <v>702500</v>
      </c>
      <c r="K1076" s="513">
        <v>500</v>
      </c>
      <c r="L1076" s="513">
        <v>1405</v>
      </c>
      <c r="M1076" s="513" t="s">
        <v>6303</v>
      </c>
      <c r="N1076" s="513" t="s">
        <v>1540</v>
      </c>
      <c r="O1076" s="513" t="s">
        <v>1407</v>
      </c>
      <c r="P1076" s="518" t="s">
        <v>6793</v>
      </c>
      <c r="Q1076" s="152" t="s">
        <v>5933</v>
      </c>
      <c r="R1076" s="152" t="s">
        <v>6794</v>
      </c>
      <c r="S1076" s="152" t="s">
        <v>6794</v>
      </c>
      <c r="T1076" s="152" t="s">
        <v>6795</v>
      </c>
      <c r="U1076" s="152" t="s">
        <v>786</v>
      </c>
    </row>
    <row r="1077" spans="4:21">
      <c r="D1077" s="152" t="s">
        <v>2821</v>
      </c>
      <c r="G1077" s="474" t="s">
        <v>371</v>
      </c>
      <c r="H1077" s="210" t="s">
        <v>353</v>
      </c>
      <c r="I1077" s="210"/>
      <c r="J1077" s="513">
        <v>5026387.5</v>
      </c>
      <c r="K1077" s="513">
        <v>3577.5</v>
      </c>
      <c r="L1077" s="513">
        <v>1405</v>
      </c>
      <c r="M1077" s="513" t="s">
        <v>6303</v>
      </c>
      <c r="N1077" s="513" t="s">
        <v>1540</v>
      </c>
      <c r="O1077" s="513" t="s">
        <v>1407</v>
      </c>
      <c r="P1077" s="518" t="s">
        <v>6796</v>
      </c>
      <c r="Q1077" s="152" t="s">
        <v>5933</v>
      </c>
      <c r="R1077" s="152" t="s">
        <v>6797</v>
      </c>
      <c r="S1077" s="152" t="s">
        <v>6797</v>
      </c>
      <c r="T1077" s="152" t="s">
        <v>6798</v>
      </c>
      <c r="U1077" s="152" t="s">
        <v>786</v>
      </c>
    </row>
    <row r="1078" spans="4:21">
      <c r="D1078" s="152" t="s">
        <v>2821</v>
      </c>
      <c r="G1078" s="474" t="s">
        <v>371</v>
      </c>
      <c r="H1078" s="210" t="s">
        <v>353</v>
      </c>
      <c r="I1078" s="210"/>
      <c r="J1078" s="513">
        <v>3941025</v>
      </c>
      <c r="K1078" s="513">
        <v>2805</v>
      </c>
      <c r="L1078" s="513">
        <v>1405</v>
      </c>
      <c r="M1078" s="513" t="s">
        <v>6303</v>
      </c>
      <c r="N1078" s="513" t="s">
        <v>1540</v>
      </c>
      <c r="O1078" s="513" t="s">
        <v>1407</v>
      </c>
      <c r="P1078" s="518" t="s">
        <v>6799</v>
      </c>
      <c r="Q1078" s="152" t="s">
        <v>5933</v>
      </c>
      <c r="R1078" s="152" t="s">
        <v>6800</v>
      </c>
      <c r="S1078" s="152" t="s">
        <v>6800</v>
      </c>
      <c r="T1078" s="152" t="s">
        <v>6801</v>
      </c>
      <c r="U1078" s="152" t="s">
        <v>786</v>
      </c>
    </row>
    <row r="1079" spans="4:21">
      <c r="D1079" s="152" t="s">
        <v>2821</v>
      </c>
      <c r="G1079" s="474" t="s">
        <v>371</v>
      </c>
      <c r="H1079" s="210" t="s">
        <v>353</v>
      </c>
      <c r="I1079" s="210"/>
      <c r="J1079" s="513">
        <v>1847575</v>
      </c>
      <c r="K1079" s="513">
        <v>1315</v>
      </c>
      <c r="L1079" s="513">
        <v>1405</v>
      </c>
      <c r="M1079" s="513" t="s">
        <v>6303</v>
      </c>
      <c r="N1079" s="513" t="s">
        <v>1540</v>
      </c>
      <c r="O1079" s="513" t="s">
        <v>1407</v>
      </c>
      <c r="P1079" s="518" t="s">
        <v>6802</v>
      </c>
      <c r="Q1079" s="152" t="s">
        <v>5933</v>
      </c>
      <c r="R1079" s="152" t="s">
        <v>6803</v>
      </c>
      <c r="S1079" s="152" t="s">
        <v>6803</v>
      </c>
      <c r="T1079" s="152" t="s">
        <v>6804</v>
      </c>
      <c r="U1079" s="152" t="s">
        <v>786</v>
      </c>
    </row>
    <row r="1080" spans="4:21">
      <c r="D1080" s="152" t="s">
        <v>2821</v>
      </c>
      <c r="G1080" s="474" t="s">
        <v>371</v>
      </c>
      <c r="H1080" s="210" t="s">
        <v>353</v>
      </c>
      <c r="I1080" s="210"/>
      <c r="J1080" s="513">
        <v>2588712.5</v>
      </c>
      <c r="K1080" s="513">
        <v>1842.5</v>
      </c>
      <c r="L1080" s="513">
        <v>1405</v>
      </c>
      <c r="M1080" s="513" t="s">
        <v>6303</v>
      </c>
      <c r="N1080" s="513" t="s">
        <v>1540</v>
      </c>
      <c r="O1080" s="513" t="s">
        <v>1407</v>
      </c>
      <c r="P1080" s="518" t="s">
        <v>6805</v>
      </c>
      <c r="Q1080" s="152" t="s">
        <v>5933</v>
      </c>
      <c r="R1080" s="152" t="s">
        <v>6806</v>
      </c>
      <c r="S1080" s="152" t="s">
        <v>6806</v>
      </c>
      <c r="T1080" s="152" t="s">
        <v>6807</v>
      </c>
      <c r="U1080" s="152" t="s">
        <v>786</v>
      </c>
    </row>
    <row r="1081" spans="4:21">
      <c r="D1081" s="152" t="s">
        <v>2821</v>
      </c>
      <c r="G1081" s="474" t="s">
        <v>371</v>
      </c>
      <c r="H1081" s="210" t="s">
        <v>353</v>
      </c>
      <c r="I1081" s="210"/>
      <c r="J1081" s="513">
        <v>4397650</v>
      </c>
      <c r="K1081" s="513">
        <v>3130</v>
      </c>
      <c r="L1081" s="513">
        <v>1405</v>
      </c>
      <c r="M1081" s="513" t="s">
        <v>6303</v>
      </c>
      <c r="N1081" s="513" t="s">
        <v>1540</v>
      </c>
      <c r="O1081" s="513" t="s">
        <v>1407</v>
      </c>
      <c r="P1081" s="518" t="s">
        <v>6808</v>
      </c>
      <c r="Q1081" s="152" t="s">
        <v>5933</v>
      </c>
      <c r="R1081" s="152" t="s">
        <v>6809</v>
      </c>
      <c r="S1081" s="152" t="s">
        <v>6809</v>
      </c>
      <c r="T1081" s="152" t="s">
        <v>6810</v>
      </c>
      <c r="U1081" s="152" t="s">
        <v>786</v>
      </c>
    </row>
    <row r="1082" spans="4:21">
      <c r="D1082" s="152" t="s">
        <v>2821</v>
      </c>
      <c r="G1082" s="474" t="s">
        <v>371</v>
      </c>
      <c r="H1082" s="210" t="s">
        <v>353</v>
      </c>
      <c r="I1082" s="210"/>
      <c r="J1082" s="513">
        <v>3256087.5</v>
      </c>
      <c r="K1082" s="513">
        <v>2317.5</v>
      </c>
      <c r="L1082" s="513">
        <v>1405</v>
      </c>
      <c r="M1082" s="513" t="s">
        <v>6303</v>
      </c>
      <c r="N1082" s="513" t="s">
        <v>1540</v>
      </c>
      <c r="O1082" s="513" t="s">
        <v>1407</v>
      </c>
      <c r="P1082" s="518" t="s">
        <v>6811</v>
      </c>
      <c r="Q1082" s="152" t="s">
        <v>5933</v>
      </c>
      <c r="R1082" s="152" t="s">
        <v>6812</v>
      </c>
      <c r="S1082" s="152" t="s">
        <v>6812</v>
      </c>
      <c r="T1082" s="152" t="s">
        <v>6813</v>
      </c>
      <c r="U1082" s="152" t="s">
        <v>786</v>
      </c>
    </row>
    <row r="1083" spans="4:21">
      <c r="D1083" s="152" t="s">
        <v>2821</v>
      </c>
      <c r="G1083" s="474" t="s">
        <v>371</v>
      </c>
      <c r="H1083" s="210" t="s">
        <v>353</v>
      </c>
      <c r="I1083" s="210"/>
      <c r="J1083" s="513">
        <v>2163700</v>
      </c>
      <c r="K1083" s="513">
        <v>1540</v>
      </c>
      <c r="L1083" s="513">
        <v>1405</v>
      </c>
      <c r="M1083" s="513" t="s">
        <v>6303</v>
      </c>
      <c r="N1083" s="513" t="s">
        <v>1540</v>
      </c>
      <c r="O1083" s="513" t="s">
        <v>1407</v>
      </c>
      <c r="P1083" s="518" t="s">
        <v>6814</v>
      </c>
      <c r="Q1083" s="152" t="s">
        <v>5933</v>
      </c>
      <c r="R1083" s="152" t="s">
        <v>6815</v>
      </c>
      <c r="S1083" s="152" t="s">
        <v>6815</v>
      </c>
      <c r="T1083" s="152" t="s">
        <v>6816</v>
      </c>
      <c r="U1083" s="152" t="s">
        <v>786</v>
      </c>
    </row>
    <row r="1084" spans="4:21">
      <c r="D1084" s="152" t="s">
        <v>2821</v>
      </c>
      <c r="G1084" s="474" t="s">
        <v>371</v>
      </c>
      <c r="H1084" s="210" t="s">
        <v>353</v>
      </c>
      <c r="I1084" s="210"/>
      <c r="J1084" s="513">
        <v>3512500</v>
      </c>
      <c r="K1084" s="513">
        <v>2500</v>
      </c>
      <c r="L1084" s="513">
        <v>1405</v>
      </c>
      <c r="M1084" s="513" t="s">
        <v>6303</v>
      </c>
      <c r="N1084" s="513" t="s">
        <v>1540</v>
      </c>
      <c r="O1084" s="513" t="s">
        <v>1407</v>
      </c>
      <c r="P1084" s="518" t="s">
        <v>6817</v>
      </c>
      <c r="Q1084" s="152" t="s">
        <v>5933</v>
      </c>
      <c r="R1084" s="152" t="s">
        <v>6818</v>
      </c>
      <c r="S1084" s="152" t="s">
        <v>6818</v>
      </c>
      <c r="T1084" s="152" t="s">
        <v>6819</v>
      </c>
      <c r="U1084" s="152" t="s">
        <v>786</v>
      </c>
    </row>
    <row r="1085" spans="4:21">
      <c r="D1085" s="152" t="s">
        <v>2821</v>
      </c>
      <c r="G1085" s="474" t="s">
        <v>371</v>
      </c>
      <c r="H1085" s="210" t="s">
        <v>353</v>
      </c>
      <c r="I1085" s="210"/>
      <c r="J1085" s="513">
        <v>2030225</v>
      </c>
      <c r="K1085" s="513">
        <v>1445</v>
      </c>
      <c r="L1085" s="513">
        <v>1405</v>
      </c>
      <c r="M1085" s="513" t="s">
        <v>6303</v>
      </c>
      <c r="N1085" s="513" t="s">
        <v>1540</v>
      </c>
      <c r="O1085" s="513" t="s">
        <v>1407</v>
      </c>
      <c r="P1085" s="518" t="s">
        <v>6820</v>
      </c>
      <c r="Q1085" s="152" t="s">
        <v>5933</v>
      </c>
      <c r="R1085" s="152" t="s">
        <v>6821</v>
      </c>
      <c r="S1085" s="152" t="s">
        <v>6821</v>
      </c>
      <c r="T1085" s="152" t="s">
        <v>6822</v>
      </c>
      <c r="U1085" s="152" t="s">
        <v>786</v>
      </c>
    </row>
    <row r="1086" spans="4:21">
      <c r="D1086" s="152" t="s">
        <v>2821</v>
      </c>
      <c r="G1086" s="474" t="s">
        <v>371</v>
      </c>
      <c r="H1086" s="210" t="s">
        <v>353</v>
      </c>
      <c r="I1086" s="210"/>
      <c r="J1086" s="513">
        <v>2472800</v>
      </c>
      <c r="K1086" s="513">
        <v>1760</v>
      </c>
      <c r="L1086" s="513">
        <v>1405</v>
      </c>
      <c r="M1086" s="513" t="s">
        <v>6303</v>
      </c>
      <c r="N1086" s="513" t="s">
        <v>1540</v>
      </c>
      <c r="O1086" s="513" t="s">
        <v>1407</v>
      </c>
      <c r="P1086" s="518" t="s">
        <v>6823</v>
      </c>
      <c r="Q1086" s="152" t="s">
        <v>5933</v>
      </c>
      <c r="R1086" s="152" t="s">
        <v>6824</v>
      </c>
      <c r="S1086" s="152" t="s">
        <v>6824</v>
      </c>
      <c r="T1086" s="152" t="s">
        <v>6825</v>
      </c>
      <c r="U1086" s="152" t="s">
        <v>786</v>
      </c>
    </row>
    <row r="1087" spans="4:21">
      <c r="D1087" s="152" t="s">
        <v>2821</v>
      </c>
      <c r="G1087" s="474" t="s">
        <v>371</v>
      </c>
      <c r="H1087" s="210" t="s">
        <v>353</v>
      </c>
      <c r="I1087" s="210"/>
      <c r="J1087" s="513">
        <v>126450</v>
      </c>
      <c r="K1087" s="513">
        <v>90</v>
      </c>
      <c r="L1087" s="513">
        <v>1405</v>
      </c>
      <c r="M1087" s="513" t="s">
        <v>6303</v>
      </c>
      <c r="N1087" s="513" t="s">
        <v>1540</v>
      </c>
      <c r="O1087" s="513" t="s">
        <v>1407</v>
      </c>
      <c r="P1087" s="518" t="s">
        <v>6826</v>
      </c>
      <c r="Q1087" s="152" t="s">
        <v>5933</v>
      </c>
      <c r="R1087" s="152" t="s">
        <v>6827</v>
      </c>
      <c r="S1087" s="152" t="s">
        <v>6827</v>
      </c>
      <c r="T1087" s="152" t="s">
        <v>6828</v>
      </c>
      <c r="U1087" s="152" t="s">
        <v>786</v>
      </c>
    </row>
    <row r="1088" spans="4:21">
      <c r="D1088" s="152" t="s">
        <v>2821</v>
      </c>
      <c r="G1088" s="474" t="s">
        <v>371</v>
      </c>
      <c r="H1088" s="210" t="s">
        <v>353</v>
      </c>
      <c r="I1088" s="210"/>
      <c r="J1088" s="513">
        <v>660350</v>
      </c>
      <c r="K1088" s="513">
        <v>470</v>
      </c>
      <c r="L1088" s="513">
        <v>1405</v>
      </c>
      <c r="M1088" s="513" t="s">
        <v>6303</v>
      </c>
      <c r="N1088" s="513" t="s">
        <v>1540</v>
      </c>
      <c r="O1088" s="513" t="s">
        <v>1407</v>
      </c>
      <c r="P1088" s="518" t="s">
        <v>6829</v>
      </c>
      <c r="Q1088" s="152" t="s">
        <v>5933</v>
      </c>
      <c r="R1088" s="152" t="s">
        <v>6830</v>
      </c>
      <c r="S1088" s="152" t="s">
        <v>6830</v>
      </c>
      <c r="T1088" s="152" t="s">
        <v>6831</v>
      </c>
      <c r="U1088" s="152" t="s">
        <v>786</v>
      </c>
    </row>
    <row r="1089" spans="4:21">
      <c r="D1089" s="152" t="s">
        <v>2821</v>
      </c>
      <c r="G1089" s="474" t="s">
        <v>371</v>
      </c>
      <c r="H1089" s="210" t="s">
        <v>353</v>
      </c>
      <c r="I1089" s="210"/>
      <c r="J1089" s="513">
        <v>5019362.5</v>
      </c>
      <c r="K1089" s="513">
        <v>3572.5</v>
      </c>
      <c r="L1089" s="513">
        <v>1405</v>
      </c>
      <c r="M1089" s="513" t="s">
        <v>6303</v>
      </c>
      <c r="N1089" s="513" t="s">
        <v>1540</v>
      </c>
      <c r="O1089" s="513" t="s">
        <v>1407</v>
      </c>
      <c r="P1089" s="518" t="s">
        <v>6832</v>
      </c>
      <c r="Q1089" s="152" t="s">
        <v>5933</v>
      </c>
      <c r="R1089" s="152" t="s">
        <v>6833</v>
      </c>
      <c r="S1089" s="152" t="s">
        <v>6833</v>
      </c>
      <c r="T1089" s="152" t="s">
        <v>6834</v>
      </c>
      <c r="U1089" s="152" t="s">
        <v>786</v>
      </c>
    </row>
    <row r="1090" spans="4:21">
      <c r="D1090" s="152" t="s">
        <v>2821</v>
      </c>
      <c r="G1090" s="474" t="s">
        <v>371</v>
      </c>
      <c r="H1090" s="210" t="s">
        <v>353</v>
      </c>
      <c r="I1090" s="210"/>
      <c r="J1090" s="513">
        <v>3544112.5</v>
      </c>
      <c r="K1090" s="513">
        <v>2522.5</v>
      </c>
      <c r="L1090" s="513">
        <v>1405</v>
      </c>
      <c r="M1090" s="513" t="s">
        <v>6303</v>
      </c>
      <c r="N1090" s="513" t="s">
        <v>1540</v>
      </c>
      <c r="O1090" s="513" t="s">
        <v>1407</v>
      </c>
      <c r="P1090" s="518" t="s">
        <v>6835</v>
      </c>
      <c r="Q1090" s="152" t="s">
        <v>5933</v>
      </c>
      <c r="R1090" s="152" t="s">
        <v>6836</v>
      </c>
      <c r="S1090" s="152" t="s">
        <v>6836</v>
      </c>
      <c r="T1090" s="152" t="s">
        <v>6837</v>
      </c>
      <c r="U1090" s="152" t="s">
        <v>786</v>
      </c>
    </row>
    <row r="1091" spans="4:21">
      <c r="D1091" s="152" t="s">
        <v>2821</v>
      </c>
      <c r="G1091" s="474" t="s">
        <v>371</v>
      </c>
      <c r="H1091" s="210" t="s">
        <v>353</v>
      </c>
      <c r="I1091" s="210"/>
      <c r="J1091" s="513">
        <v>4215000</v>
      </c>
      <c r="K1091" s="513">
        <v>3000</v>
      </c>
      <c r="L1091" s="513">
        <v>1405</v>
      </c>
      <c r="M1091" s="513" t="s">
        <v>6303</v>
      </c>
      <c r="N1091" s="513" t="s">
        <v>1540</v>
      </c>
      <c r="O1091" s="513" t="s">
        <v>1407</v>
      </c>
      <c r="P1091" s="518" t="s">
        <v>6838</v>
      </c>
      <c r="Q1091" s="152" t="s">
        <v>5933</v>
      </c>
      <c r="R1091" s="152" t="s">
        <v>6839</v>
      </c>
      <c r="S1091" s="152" t="s">
        <v>6839</v>
      </c>
      <c r="T1091" s="152" t="s">
        <v>6840</v>
      </c>
      <c r="U1091" s="152" t="s">
        <v>786</v>
      </c>
    </row>
    <row r="1092" spans="4:21">
      <c r="D1092" s="152" t="s">
        <v>2821</v>
      </c>
      <c r="G1092" s="474" t="s">
        <v>371</v>
      </c>
      <c r="H1092" s="210" t="s">
        <v>353</v>
      </c>
      <c r="I1092" s="210"/>
      <c r="J1092" s="513">
        <v>1756952.5</v>
      </c>
      <c r="K1092" s="513">
        <v>1250.5</v>
      </c>
      <c r="L1092" s="513">
        <v>1405</v>
      </c>
      <c r="M1092" s="513" t="s">
        <v>6303</v>
      </c>
      <c r="N1092" s="513" t="s">
        <v>1540</v>
      </c>
      <c r="O1092" s="513" t="s">
        <v>1407</v>
      </c>
      <c r="P1092" s="518" t="s">
        <v>6841</v>
      </c>
      <c r="Q1092" s="152" t="s">
        <v>5933</v>
      </c>
      <c r="R1092" s="152" t="s">
        <v>6842</v>
      </c>
      <c r="S1092" s="152" t="s">
        <v>6842</v>
      </c>
      <c r="T1092" s="152" t="s">
        <v>6843</v>
      </c>
      <c r="U1092" s="152" t="s">
        <v>786</v>
      </c>
    </row>
    <row r="1093" spans="4:21">
      <c r="D1093" s="152" t="s">
        <v>2821</v>
      </c>
      <c r="G1093" s="474" t="s">
        <v>371</v>
      </c>
      <c r="H1093" s="210" t="s">
        <v>353</v>
      </c>
      <c r="I1093" s="210"/>
      <c r="J1093" s="513">
        <v>1296112.5</v>
      </c>
      <c r="K1093" s="513">
        <v>922.5</v>
      </c>
      <c r="L1093" s="513">
        <v>1405</v>
      </c>
      <c r="M1093" s="513" t="s">
        <v>6303</v>
      </c>
      <c r="N1093" s="513" t="s">
        <v>1540</v>
      </c>
      <c r="O1093" s="513" t="s">
        <v>1407</v>
      </c>
      <c r="P1093" s="518" t="s">
        <v>6844</v>
      </c>
      <c r="Q1093" s="152" t="s">
        <v>5933</v>
      </c>
      <c r="R1093" s="152" t="s">
        <v>6845</v>
      </c>
      <c r="S1093" s="152" t="s">
        <v>6845</v>
      </c>
      <c r="T1093" s="152" t="s">
        <v>6846</v>
      </c>
      <c r="U1093" s="152" t="s">
        <v>786</v>
      </c>
    </row>
    <row r="1094" spans="4:21">
      <c r="D1094" s="152" t="s">
        <v>2821</v>
      </c>
      <c r="G1094" s="474" t="s">
        <v>371</v>
      </c>
      <c r="H1094" s="210" t="s">
        <v>353</v>
      </c>
      <c r="I1094" s="210"/>
      <c r="J1094" s="513">
        <v>846512.5</v>
      </c>
      <c r="K1094" s="513">
        <v>602.5</v>
      </c>
      <c r="L1094" s="513">
        <v>1405</v>
      </c>
      <c r="M1094" s="513" t="s">
        <v>6303</v>
      </c>
      <c r="N1094" s="513" t="s">
        <v>1540</v>
      </c>
      <c r="O1094" s="513" t="s">
        <v>1407</v>
      </c>
      <c r="P1094" s="518" t="s">
        <v>6847</v>
      </c>
      <c r="Q1094" s="152" t="s">
        <v>5933</v>
      </c>
      <c r="R1094" s="152" t="s">
        <v>6848</v>
      </c>
      <c r="S1094" s="152" t="s">
        <v>6848</v>
      </c>
      <c r="T1094" s="152" t="s">
        <v>6849</v>
      </c>
      <c r="U1094" s="152" t="s">
        <v>786</v>
      </c>
    </row>
    <row r="1095" spans="4:21">
      <c r="D1095" s="152" t="s">
        <v>2821</v>
      </c>
      <c r="G1095" s="474" t="s">
        <v>371</v>
      </c>
      <c r="H1095" s="210" t="s">
        <v>353</v>
      </c>
      <c r="I1095" s="210"/>
      <c r="J1095" s="513">
        <v>2683550</v>
      </c>
      <c r="K1095" s="513">
        <v>1910</v>
      </c>
      <c r="L1095" s="513">
        <v>1405</v>
      </c>
      <c r="M1095" s="513" t="s">
        <v>6303</v>
      </c>
      <c r="N1095" s="513" t="s">
        <v>1540</v>
      </c>
      <c r="O1095" s="513" t="s">
        <v>1407</v>
      </c>
      <c r="P1095" s="518" t="s">
        <v>6850</v>
      </c>
      <c r="Q1095" s="152" t="s">
        <v>5933</v>
      </c>
      <c r="R1095" s="152" t="s">
        <v>6851</v>
      </c>
      <c r="S1095" s="152" t="s">
        <v>6851</v>
      </c>
      <c r="T1095" s="152" t="s">
        <v>6852</v>
      </c>
      <c r="U1095" s="152" t="s">
        <v>786</v>
      </c>
    </row>
    <row r="1096" spans="4:21">
      <c r="D1096" s="152" t="s">
        <v>2821</v>
      </c>
      <c r="G1096" s="474" t="s">
        <v>371</v>
      </c>
      <c r="H1096" s="210" t="s">
        <v>353</v>
      </c>
      <c r="I1096" s="210"/>
      <c r="J1096" s="513">
        <v>4618937.5</v>
      </c>
      <c r="K1096" s="513">
        <v>3287.5</v>
      </c>
      <c r="L1096" s="513">
        <v>1405</v>
      </c>
      <c r="M1096" s="513" t="s">
        <v>6303</v>
      </c>
      <c r="N1096" s="513" t="s">
        <v>1540</v>
      </c>
      <c r="O1096" s="513" t="s">
        <v>1407</v>
      </c>
      <c r="P1096" s="518" t="s">
        <v>6853</v>
      </c>
      <c r="Q1096" s="152" t="s">
        <v>5933</v>
      </c>
      <c r="R1096" s="152" t="s">
        <v>6854</v>
      </c>
      <c r="S1096" s="152" t="s">
        <v>6854</v>
      </c>
      <c r="T1096" s="152" t="s">
        <v>6855</v>
      </c>
      <c r="U1096" s="152" t="s">
        <v>786</v>
      </c>
    </row>
    <row r="1097" spans="4:21">
      <c r="D1097" s="152" t="s">
        <v>2821</v>
      </c>
      <c r="G1097" s="474" t="s">
        <v>371</v>
      </c>
      <c r="H1097" s="210" t="s">
        <v>353</v>
      </c>
      <c r="I1097" s="210"/>
      <c r="J1097" s="513">
        <v>2553587.5</v>
      </c>
      <c r="K1097" s="513">
        <v>1817.5</v>
      </c>
      <c r="L1097" s="513">
        <v>1405</v>
      </c>
      <c r="M1097" s="513" t="s">
        <v>6303</v>
      </c>
      <c r="N1097" s="513" t="s">
        <v>1540</v>
      </c>
      <c r="O1097" s="513" t="s">
        <v>1407</v>
      </c>
      <c r="P1097" s="518" t="s">
        <v>6856</v>
      </c>
      <c r="Q1097" s="152" t="s">
        <v>5933</v>
      </c>
      <c r="R1097" s="152" t="s">
        <v>6857</v>
      </c>
      <c r="S1097" s="152" t="s">
        <v>6857</v>
      </c>
      <c r="T1097" s="152" t="s">
        <v>6858</v>
      </c>
      <c r="U1097" s="152" t="s">
        <v>786</v>
      </c>
    </row>
    <row r="1098" spans="4:21">
      <c r="D1098" s="152" t="s">
        <v>2821</v>
      </c>
      <c r="G1098" s="474" t="s">
        <v>371</v>
      </c>
      <c r="H1098" s="210" t="s">
        <v>353</v>
      </c>
      <c r="I1098" s="210"/>
      <c r="J1098" s="513">
        <v>2606275</v>
      </c>
      <c r="K1098" s="513">
        <v>1855</v>
      </c>
      <c r="L1098" s="513">
        <v>1405</v>
      </c>
      <c r="M1098" s="513" t="s">
        <v>6303</v>
      </c>
      <c r="N1098" s="513" t="s">
        <v>1540</v>
      </c>
      <c r="O1098" s="513" t="s">
        <v>1407</v>
      </c>
      <c r="P1098" s="518" t="s">
        <v>6859</v>
      </c>
      <c r="Q1098" s="152" t="s">
        <v>5933</v>
      </c>
      <c r="R1098" s="152" t="s">
        <v>6860</v>
      </c>
      <c r="S1098" s="152" t="s">
        <v>6860</v>
      </c>
      <c r="T1098" s="152" t="s">
        <v>6861</v>
      </c>
      <c r="U1098" s="152" t="s">
        <v>786</v>
      </c>
    </row>
    <row r="1099" spans="4:21">
      <c r="D1099" s="152" t="s">
        <v>2821</v>
      </c>
      <c r="G1099" s="474" t="s">
        <v>371</v>
      </c>
      <c r="H1099" s="210" t="s">
        <v>353</v>
      </c>
      <c r="I1099" s="210"/>
      <c r="J1099" s="513">
        <v>2567637.5</v>
      </c>
      <c r="K1099" s="513">
        <v>1827.5</v>
      </c>
      <c r="L1099" s="513">
        <v>1405</v>
      </c>
      <c r="M1099" s="513" t="s">
        <v>6303</v>
      </c>
      <c r="N1099" s="513" t="s">
        <v>1540</v>
      </c>
      <c r="O1099" s="513" t="s">
        <v>1407</v>
      </c>
      <c r="P1099" s="518" t="s">
        <v>6862</v>
      </c>
      <c r="Q1099" s="152" t="s">
        <v>5933</v>
      </c>
      <c r="R1099" s="152" t="s">
        <v>6863</v>
      </c>
      <c r="S1099" s="152" t="s">
        <v>6863</v>
      </c>
      <c r="T1099" s="152" t="s">
        <v>6864</v>
      </c>
      <c r="U1099" s="152" t="s">
        <v>786</v>
      </c>
    </row>
    <row r="1100" spans="4:21">
      <c r="D1100" s="152" t="s">
        <v>2821</v>
      </c>
      <c r="G1100" s="474" t="s">
        <v>371</v>
      </c>
      <c r="H1100" s="210" t="s">
        <v>353</v>
      </c>
      <c r="I1100" s="210"/>
      <c r="J1100" s="513">
        <v>2352672.5</v>
      </c>
      <c r="K1100" s="513">
        <v>1674.5</v>
      </c>
      <c r="L1100" s="513">
        <v>1405</v>
      </c>
      <c r="M1100" s="513" t="s">
        <v>6303</v>
      </c>
      <c r="N1100" s="513" t="s">
        <v>1540</v>
      </c>
      <c r="O1100" s="513" t="s">
        <v>1407</v>
      </c>
      <c r="P1100" s="518" t="s">
        <v>6865</v>
      </c>
      <c r="Q1100" s="152" t="s">
        <v>5933</v>
      </c>
      <c r="R1100" s="152" t="s">
        <v>6866</v>
      </c>
      <c r="S1100" s="152" t="s">
        <v>6866</v>
      </c>
      <c r="T1100" s="152" t="s">
        <v>6867</v>
      </c>
      <c r="U1100" s="152" t="s">
        <v>786</v>
      </c>
    </row>
    <row r="1101" spans="4:21">
      <c r="D1101" s="152" t="s">
        <v>2821</v>
      </c>
      <c r="G1101" s="474" t="s">
        <v>371</v>
      </c>
      <c r="H1101" s="210" t="s">
        <v>353</v>
      </c>
      <c r="I1101" s="210"/>
      <c r="J1101" s="513">
        <v>4260662.5</v>
      </c>
      <c r="K1101" s="513">
        <v>3032.5</v>
      </c>
      <c r="L1101" s="513">
        <v>1405</v>
      </c>
      <c r="M1101" s="513" t="s">
        <v>6303</v>
      </c>
      <c r="N1101" s="513" t="s">
        <v>1540</v>
      </c>
      <c r="O1101" s="513" t="s">
        <v>1407</v>
      </c>
      <c r="P1101" s="518" t="s">
        <v>6868</v>
      </c>
      <c r="Q1101" s="152" t="s">
        <v>5933</v>
      </c>
      <c r="R1101" s="152" t="s">
        <v>6869</v>
      </c>
      <c r="S1101" s="152" t="s">
        <v>6869</v>
      </c>
      <c r="T1101" s="152" t="s">
        <v>6870</v>
      </c>
      <c r="U1101" s="152" t="s">
        <v>786</v>
      </c>
    </row>
    <row r="1102" spans="4:21">
      <c r="D1102" s="152" t="s">
        <v>2821</v>
      </c>
      <c r="G1102" s="474" t="s">
        <v>371</v>
      </c>
      <c r="H1102" s="210" t="s">
        <v>353</v>
      </c>
      <c r="I1102" s="210"/>
      <c r="J1102" s="513">
        <v>3740812.5</v>
      </c>
      <c r="K1102" s="513">
        <v>2662.5</v>
      </c>
      <c r="L1102" s="513">
        <v>1405</v>
      </c>
      <c r="M1102" s="513" t="s">
        <v>6303</v>
      </c>
      <c r="N1102" s="513" t="s">
        <v>1540</v>
      </c>
      <c r="O1102" s="513" t="s">
        <v>1407</v>
      </c>
      <c r="P1102" s="518" t="s">
        <v>6871</v>
      </c>
      <c r="Q1102" s="152" t="s">
        <v>5933</v>
      </c>
      <c r="R1102" s="152" t="s">
        <v>6872</v>
      </c>
      <c r="S1102" s="152" t="s">
        <v>6872</v>
      </c>
      <c r="T1102" s="152" t="s">
        <v>6873</v>
      </c>
      <c r="U1102" s="152" t="s">
        <v>786</v>
      </c>
    </row>
    <row r="1103" spans="4:21">
      <c r="D1103" s="152" t="s">
        <v>2821</v>
      </c>
      <c r="G1103" s="474" t="s">
        <v>371</v>
      </c>
      <c r="H1103" s="210" t="s">
        <v>353</v>
      </c>
      <c r="I1103" s="210"/>
      <c r="J1103" s="513">
        <v>3161250</v>
      </c>
      <c r="K1103" s="513">
        <v>2250</v>
      </c>
      <c r="L1103" s="513">
        <v>1405</v>
      </c>
      <c r="M1103" s="513" t="s">
        <v>6303</v>
      </c>
      <c r="N1103" s="513" t="s">
        <v>1540</v>
      </c>
      <c r="O1103" s="513" t="s">
        <v>1407</v>
      </c>
      <c r="P1103" s="518" t="s">
        <v>6874</v>
      </c>
      <c r="Q1103" s="152" t="s">
        <v>5933</v>
      </c>
      <c r="R1103" s="152" t="s">
        <v>6875</v>
      </c>
      <c r="S1103" s="152" t="s">
        <v>6875</v>
      </c>
      <c r="T1103" s="152" t="s">
        <v>6876</v>
      </c>
      <c r="U1103" s="152" t="s">
        <v>786</v>
      </c>
    </row>
    <row r="1104" spans="4:21">
      <c r="D1104" s="152" t="s">
        <v>2821</v>
      </c>
      <c r="G1104" s="474" t="s">
        <v>371</v>
      </c>
      <c r="H1104" s="210" t="s">
        <v>353</v>
      </c>
      <c r="I1104" s="210"/>
      <c r="J1104" s="513">
        <v>4552200</v>
      </c>
      <c r="K1104" s="513">
        <v>3240</v>
      </c>
      <c r="L1104" s="513">
        <v>1405</v>
      </c>
      <c r="M1104" s="513" t="s">
        <v>6303</v>
      </c>
      <c r="N1104" s="513" t="s">
        <v>1540</v>
      </c>
      <c r="O1104" s="513" t="s">
        <v>1407</v>
      </c>
      <c r="P1104" s="518" t="s">
        <v>6877</v>
      </c>
      <c r="Q1104" s="152" t="s">
        <v>5933</v>
      </c>
      <c r="R1104" s="152" t="s">
        <v>6878</v>
      </c>
      <c r="S1104" s="152" t="s">
        <v>6878</v>
      </c>
      <c r="T1104" s="152" t="s">
        <v>6879</v>
      </c>
      <c r="U1104" s="152" t="s">
        <v>786</v>
      </c>
    </row>
    <row r="1105" spans="4:21">
      <c r="D1105" s="152" t="s">
        <v>2821</v>
      </c>
      <c r="G1105" s="474" t="s">
        <v>371</v>
      </c>
      <c r="H1105" s="210" t="s">
        <v>353</v>
      </c>
      <c r="I1105" s="210"/>
      <c r="J1105" s="513">
        <v>1826500</v>
      </c>
      <c r="K1105" s="513">
        <v>1300</v>
      </c>
      <c r="L1105" s="513">
        <v>1405</v>
      </c>
      <c r="M1105" s="513" t="s">
        <v>6303</v>
      </c>
      <c r="N1105" s="513" t="s">
        <v>1540</v>
      </c>
      <c r="O1105" s="513" t="s">
        <v>1407</v>
      </c>
      <c r="P1105" s="518" t="s">
        <v>6880</v>
      </c>
      <c r="Q1105" s="152" t="s">
        <v>5933</v>
      </c>
      <c r="R1105" s="152" t="s">
        <v>6881</v>
      </c>
      <c r="S1105" s="152" t="s">
        <v>6881</v>
      </c>
      <c r="T1105" s="152" t="s">
        <v>6882</v>
      </c>
      <c r="U1105" s="152" t="s">
        <v>786</v>
      </c>
    </row>
    <row r="1106" spans="4:21">
      <c r="D1106" s="152" t="s">
        <v>2821</v>
      </c>
      <c r="G1106" s="474" t="s">
        <v>371</v>
      </c>
      <c r="H1106" s="210" t="s">
        <v>353</v>
      </c>
      <c r="I1106" s="210"/>
      <c r="J1106" s="513">
        <v>1282062.5</v>
      </c>
      <c r="K1106" s="513">
        <v>912.5</v>
      </c>
      <c r="L1106" s="513">
        <v>1405</v>
      </c>
      <c r="M1106" s="513" t="s">
        <v>6303</v>
      </c>
      <c r="N1106" s="513" t="s">
        <v>1540</v>
      </c>
      <c r="O1106" s="513" t="s">
        <v>1407</v>
      </c>
      <c r="P1106" s="518" t="s">
        <v>6883</v>
      </c>
      <c r="Q1106" s="152" t="s">
        <v>5933</v>
      </c>
      <c r="R1106" s="152" t="s">
        <v>6884</v>
      </c>
      <c r="S1106" s="152" t="s">
        <v>6884</v>
      </c>
      <c r="T1106" s="152" t="s">
        <v>6885</v>
      </c>
      <c r="U1106" s="152" t="s">
        <v>786</v>
      </c>
    </row>
    <row r="1107" spans="4:21">
      <c r="D1107" s="152" t="s">
        <v>2821</v>
      </c>
      <c r="G1107" s="474" t="s">
        <v>371</v>
      </c>
      <c r="H1107" s="210" t="s">
        <v>353</v>
      </c>
      <c r="I1107" s="210"/>
      <c r="J1107" s="513">
        <v>-7799998</v>
      </c>
      <c r="K1107" s="513">
        <v>-5551.6</v>
      </c>
      <c r="L1107" s="513">
        <v>1405</v>
      </c>
      <c r="M1107" s="513" t="s">
        <v>5877</v>
      </c>
      <c r="N1107" s="513" t="s">
        <v>780</v>
      </c>
      <c r="O1107" s="513" t="s">
        <v>2705</v>
      </c>
      <c r="P1107" s="518" t="s">
        <v>5878</v>
      </c>
      <c r="Q1107" s="152" t="s">
        <v>5873</v>
      </c>
      <c r="R1107" s="152" t="s">
        <v>5879</v>
      </c>
      <c r="S1107" s="152" t="s">
        <v>5879</v>
      </c>
      <c r="T1107" s="152" t="s">
        <v>5880</v>
      </c>
      <c r="U1107" s="152" t="s">
        <v>786</v>
      </c>
    </row>
    <row r="1108" spans="4:21">
      <c r="D1108" s="152" t="s">
        <v>2821</v>
      </c>
      <c r="G1108" s="474" t="s">
        <v>371</v>
      </c>
      <c r="H1108" s="210" t="s">
        <v>353</v>
      </c>
      <c r="I1108" s="210"/>
      <c r="J1108" s="513">
        <v>-473218.05</v>
      </c>
      <c r="K1108" s="513">
        <v>-336.81</v>
      </c>
      <c r="L1108" s="513">
        <v>1405</v>
      </c>
      <c r="M1108" s="513" t="s">
        <v>6023</v>
      </c>
      <c r="N1108" s="513" t="s">
        <v>780</v>
      </c>
      <c r="O1108" s="513" t="s">
        <v>2705</v>
      </c>
      <c r="P1108" s="518" t="s">
        <v>6024</v>
      </c>
      <c r="Q1108" s="152" t="s">
        <v>5873</v>
      </c>
      <c r="R1108" s="152" t="s">
        <v>6025</v>
      </c>
      <c r="S1108" s="152" t="s">
        <v>6055</v>
      </c>
      <c r="T1108" s="152" t="s">
        <v>6027</v>
      </c>
      <c r="U1108" s="152" t="s">
        <v>786</v>
      </c>
    </row>
    <row r="1109" spans="4:21">
      <c r="D1109" s="152" t="s">
        <v>2821</v>
      </c>
      <c r="G1109" s="474" t="s">
        <v>371</v>
      </c>
      <c r="H1109" s="210" t="s">
        <v>353</v>
      </c>
      <c r="I1109" s="210"/>
      <c r="J1109" s="513">
        <v>-699999.1</v>
      </c>
      <c r="K1109" s="513">
        <v>-498.22</v>
      </c>
      <c r="L1109" s="513">
        <v>1405</v>
      </c>
      <c r="M1109" s="513" t="s">
        <v>6023</v>
      </c>
      <c r="N1109" s="513" t="s">
        <v>780</v>
      </c>
      <c r="O1109" s="513" t="s">
        <v>2705</v>
      </c>
      <c r="P1109" s="518" t="s">
        <v>6056</v>
      </c>
      <c r="Q1109" s="152" t="s">
        <v>5873</v>
      </c>
      <c r="R1109" s="152" t="s">
        <v>6057</v>
      </c>
      <c r="S1109" s="152" t="s">
        <v>6057</v>
      </c>
      <c r="T1109" s="152" t="s">
        <v>6058</v>
      </c>
      <c r="U1109" s="152" t="s">
        <v>786</v>
      </c>
    </row>
    <row r="1110" spans="4:21">
      <c r="D1110" s="152" t="s">
        <v>2821</v>
      </c>
      <c r="G1110" s="474" t="s">
        <v>371</v>
      </c>
      <c r="H1110" s="210" t="s">
        <v>353</v>
      </c>
      <c r="I1110" s="210"/>
      <c r="J1110" s="513">
        <v>-200001.75</v>
      </c>
      <c r="K1110" s="513">
        <v>-142.35</v>
      </c>
      <c r="L1110" s="513">
        <v>1405</v>
      </c>
      <c r="M1110" s="513" t="s">
        <v>6270</v>
      </c>
      <c r="N1110" s="513" t="s">
        <v>780</v>
      </c>
      <c r="O1110" s="513" t="s">
        <v>2705</v>
      </c>
      <c r="P1110" s="518" t="s">
        <v>6293</v>
      </c>
      <c r="Q1110" s="152" t="s">
        <v>5873</v>
      </c>
      <c r="R1110" s="152" t="s">
        <v>6294</v>
      </c>
      <c r="S1110" s="152" t="s">
        <v>6294</v>
      </c>
      <c r="T1110" s="152" t="s">
        <v>6295</v>
      </c>
      <c r="U1110" s="152" t="s">
        <v>786</v>
      </c>
    </row>
    <row r="1111" spans="4:21">
      <c r="D1111" s="152" t="s">
        <v>2821</v>
      </c>
      <c r="G1111" s="474" t="s">
        <v>371</v>
      </c>
      <c r="H1111" s="210" t="s">
        <v>353</v>
      </c>
      <c r="I1111" s="210"/>
      <c r="J1111" s="513">
        <v>-1264500</v>
      </c>
      <c r="K1111" s="513">
        <v>-900</v>
      </c>
      <c r="L1111" s="513">
        <v>1405</v>
      </c>
      <c r="M1111" s="513" t="s">
        <v>6303</v>
      </c>
      <c r="N1111" s="513" t="s">
        <v>780</v>
      </c>
      <c r="O1111" s="513" t="s">
        <v>2705</v>
      </c>
      <c r="P1111" s="518" t="s">
        <v>6369</v>
      </c>
      <c r="Q1111" s="152" t="s">
        <v>5873</v>
      </c>
      <c r="R1111" s="152" t="s">
        <v>6370</v>
      </c>
      <c r="S1111" s="152" t="s">
        <v>6886</v>
      </c>
      <c r="T1111" s="152" t="s">
        <v>6372</v>
      </c>
      <c r="U1111" s="152" t="s">
        <v>786</v>
      </c>
    </row>
    <row r="1112" spans="4:21">
      <c r="D1112" s="152" t="s">
        <v>2821</v>
      </c>
      <c r="G1112" s="474" t="s">
        <v>372</v>
      </c>
      <c r="H1112" s="210" t="s">
        <v>309</v>
      </c>
      <c r="I1112" s="210"/>
      <c r="J1112" s="513">
        <v>-426291.05</v>
      </c>
      <c r="K1112" s="513">
        <v>-303.41000000000003</v>
      </c>
      <c r="L1112" s="513">
        <v>1405</v>
      </c>
      <c r="M1112" s="513" t="s">
        <v>6303</v>
      </c>
      <c r="N1112" s="513" t="s">
        <v>780</v>
      </c>
      <c r="O1112" s="513" t="s">
        <v>781</v>
      </c>
      <c r="P1112" s="518" t="s">
        <v>6345</v>
      </c>
      <c r="Q1112" s="152" t="s">
        <v>5873</v>
      </c>
      <c r="R1112" s="152" t="s">
        <v>6346</v>
      </c>
      <c r="S1112" s="152" t="s">
        <v>6347</v>
      </c>
      <c r="T1112" s="152" t="s">
        <v>6348</v>
      </c>
      <c r="U1112" s="152" t="s">
        <v>786</v>
      </c>
    </row>
    <row r="1113" spans="4:21">
      <c r="D1113" s="152" t="s">
        <v>2821</v>
      </c>
      <c r="G1113" s="474" t="s">
        <v>372</v>
      </c>
      <c r="H1113" s="210" t="s">
        <v>309</v>
      </c>
      <c r="I1113" s="210"/>
      <c r="J1113" s="513">
        <v>-4215</v>
      </c>
      <c r="K1113" s="513">
        <v>-3</v>
      </c>
      <c r="L1113" s="513">
        <v>1405</v>
      </c>
      <c r="M1113" s="513" t="s">
        <v>5881</v>
      </c>
      <c r="N1113" s="513" t="s">
        <v>780</v>
      </c>
      <c r="O1113" s="513" t="s">
        <v>1407</v>
      </c>
      <c r="P1113" s="518" t="s">
        <v>5882</v>
      </c>
      <c r="Q1113" s="152" t="s">
        <v>5873</v>
      </c>
      <c r="R1113" s="152" t="s">
        <v>5883</v>
      </c>
      <c r="S1113" s="152" t="s">
        <v>5884</v>
      </c>
      <c r="T1113" s="152" t="s">
        <v>5885</v>
      </c>
      <c r="U1113" s="152" t="s">
        <v>786</v>
      </c>
    </row>
    <row r="1114" spans="4:21">
      <c r="D1114" s="152" t="s">
        <v>2821</v>
      </c>
      <c r="G1114" s="474" t="s">
        <v>372</v>
      </c>
      <c r="H1114" s="210" t="s">
        <v>309</v>
      </c>
      <c r="I1114" s="210"/>
      <c r="J1114" s="513">
        <v>-494110.4</v>
      </c>
      <c r="K1114" s="513">
        <v>-351.68</v>
      </c>
      <c r="L1114" s="513">
        <v>1405</v>
      </c>
      <c r="M1114" s="513" t="s">
        <v>5881</v>
      </c>
      <c r="N1114" s="513" t="s">
        <v>780</v>
      </c>
      <c r="O1114" s="513" t="s">
        <v>1407</v>
      </c>
      <c r="P1114" s="518" t="s">
        <v>5882</v>
      </c>
      <c r="Q1114" s="152" t="s">
        <v>5873</v>
      </c>
      <c r="R1114" s="152" t="s">
        <v>5883</v>
      </c>
      <c r="S1114" s="152" t="s">
        <v>5886</v>
      </c>
      <c r="T1114" s="152" t="s">
        <v>5885</v>
      </c>
      <c r="U1114" s="152" t="s">
        <v>786</v>
      </c>
    </row>
    <row r="1115" spans="4:21">
      <c r="D1115" s="152" t="s">
        <v>2821</v>
      </c>
      <c r="G1115" s="474" t="s">
        <v>372</v>
      </c>
      <c r="H1115" s="210" t="s">
        <v>309</v>
      </c>
      <c r="I1115" s="210"/>
      <c r="J1115" s="513">
        <v>-70109.5</v>
      </c>
      <c r="K1115" s="513">
        <v>-49.9</v>
      </c>
      <c r="L1115" s="513">
        <v>1405</v>
      </c>
      <c r="M1115" s="513" t="s">
        <v>5881</v>
      </c>
      <c r="N1115" s="513" t="s">
        <v>780</v>
      </c>
      <c r="O1115" s="513" t="s">
        <v>1407</v>
      </c>
      <c r="P1115" s="518" t="s">
        <v>5882</v>
      </c>
      <c r="Q1115" s="152" t="s">
        <v>5873</v>
      </c>
      <c r="R1115" s="152" t="s">
        <v>5883</v>
      </c>
      <c r="S1115" s="152" t="s">
        <v>5887</v>
      </c>
      <c r="T1115" s="152" t="s">
        <v>5885</v>
      </c>
      <c r="U1115" s="152" t="s">
        <v>786</v>
      </c>
    </row>
    <row r="1116" spans="4:21">
      <c r="D1116" s="152" t="s">
        <v>2821</v>
      </c>
      <c r="G1116" s="474" t="s">
        <v>372</v>
      </c>
      <c r="H1116" s="210" t="s">
        <v>309</v>
      </c>
      <c r="I1116" s="210"/>
      <c r="J1116" s="513">
        <v>-108325.5</v>
      </c>
      <c r="K1116" s="513">
        <v>-77.099999999999994</v>
      </c>
      <c r="L1116" s="513">
        <v>1405</v>
      </c>
      <c r="M1116" s="513" t="s">
        <v>5881</v>
      </c>
      <c r="N1116" s="513" t="s">
        <v>780</v>
      </c>
      <c r="O1116" s="513" t="s">
        <v>1407</v>
      </c>
      <c r="P1116" s="518" t="s">
        <v>5882</v>
      </c>
      <c r="Q1116" s="152" t="s">
        <v>5873</v>
      </c>
      <c r="R1116" s="152" t="s">
        <v>5883</v>
      </c>
      <c r="S1116" s="152" t="s">
        <v>5888</v>
      </c>
      <c r="T1116" s="152" t="s">
        <v>5885</v>
      </c>
      <c r="U1116" s="152" t="s">
        <v>786</v>
      </c>
    </row>
    <row r="1117" spans="4:21">
      <c r="D1117" s="152" t="s">
        <v>2821</v>
      </c>
      <c r="G1117" s="474" t="s">
        <v>372</v>
      </c>
      <c r="H1117" s="210" t="s">
        <v>309</v>
      </c>
      <c r="I1117" s="210"/>
      <c r="J1117" s="513">
        <v>-50088.25</v>
      </c>
      <c r="K1117" s="513">
        <v>-35.65</v>
      </c>
      <c r="L1117" s="513">
        <v>1405</v>
      </c>
      <c r="M1117" s="513" t="s">
        <v>5881</v>
      </c>
      <c r="N1117" s="513" t="s">
        <v>780</v>
      </c>
      <c r="O1117" s="513" t="s">
        <v>1407</v>
      </c>
      <c r="P1117" s="518" t="s">
        <v>5882</v>
      </c>
      <c r="Q1117" s="152" t="s">
        <v>5873</v>
      </c>
      <c r="R1117" s="152" t="s">
        <v>5883</v>
      </c>
      <c r="S1117" s="152" t="s">
        <v>5889</v>
      </c>
      <c r="T1117" s="152" t="s">
        <v>5885</v>
      </c>
      <c r="U1117" s="152" t="s">
        <v>786</v>
      </c>
    </row>
    <row r="1118" spans="4:21">
      <c r="D1118" s="152" t="s">
        <v>2821</v>
      </c>
      <c r="G1118" s="474" t="s">
        <v>372</v>
      </c>
      <c r="H1118" s="210" t="s">
        <v>309</v>
      </c>
      <c r="I1118" s="210"/>
      <c r="J1118" s="513">
        <v>-154550</v>
      </c>
      <c r="K1118" s="513">
        <v>-110</v>
      </c>
      <c r="L1118" s="513">
        <v>1405</v>
      </c>
      <c r="M1118" s="513" t="s">
        <v>5881</v>
      </c>
      <c r="N1118" s="513" t="s">
        <v>780</v>
      </c>
      <c r="O1118" s="513" t="s">
        <v>1407</v>
      </c>
      <c r="P1118" s="518" t="s">
        <v>5882</v>
      </c>
      <c r="Q1118" s="152" t="s">
        <v>5873</v>
      </c>
      <c r="R1118" s="152" t="s">
        <v>5883</v>
      </c>
      <c r="S1118" s="152" t="s">
        <v>3898</v>
      </c>
      <c r="T1118" s="152" t="s">
        <v>5885</v>
      </c>
      <c r="U1118" s="152" t="s">
        <v>786</v>
      </c>
    </row>
    <row r="1119" spans="4:21">
      <c r="D1119" s="152" t="s">
        <v>2821</v>
      </c>
      <c r="G1119" s="474" t="s">
        <v>372</v>
      </c>
      <c r="H1119" s="210" t="s">
        <v>309</v>
      </c>
      <c r="I1119" s="210"/>
      <c r="J1119" s="513">
        <v>-50580</v>
      </c>
      <c r="K1119" s="513">
        <v>-36</v>
      </c>
      <c r="L1119" s="513">
        <v>1405</v>
      </c>
      <c r="M1119" s="513" t="s">
        <v>5881</v>
      </c>
      <c r="N1119" s="513" t="s">
        <v>780</v>
      </c>
      <c r="O1119" s="513" t="s">
        <v>1407</v>
      </c>
      <c r="P1119" s="518" t="s">
        <v>5882</v>
      </c>
      <c r="Q1119" s="152" t="s">
        <v>5873</v>
      </c>
      <c r="R1119" s="152" t="s">
        <v>5883</v>
      </c>
      <c r="S1119" s="152" t="s">
        <v>1627</v>
      </c>
      <c r="T1119" s="152" t="s">
        <v>5885</v>
      </c>
      <c r="U1119" s="152" t="s">
        <v>786</v>
      </c>
    </row>
    <row r="1120" spans="4:21">
      <c r="D1120" s="152" t="s">
        <v>2821</v>
      </c>
      <c r="G1120" s="474" t="s">
        <v>372</v>
      </c>
      <c r="H1120" s="210" t="s">
        <v>309</v>
      </c>
      <c r="I1120" s="210"/>
      <c r="J1120" s="513">
        <v>-185108.75</v>
      </c>
      <c r="K1120" s="513">
        <v>-131.75</v>
      </c>
      <c r="L1120" s="513">
        <v>1405</v>
      </c>
      <c r="M1120" s="513" t="s">
        <v>5881</v>
      </c>
      <c r="N1120" s="513" t="s">
        <v>780</v>
      </c>
      <c r="O1120" s="513" t="s">
        <v>1407</v>
      </c>
      <c r="P1120" s="518" t="s">
        <v>5882</v>
      </c>
      <c r="Q1120" s="152" t="s">
        <v>5873</v>
      </c>
      <c r="R1120" s="152" t="s">
        <v>5883</v>
      </c>
      <c r="S1120" s="152" t="s">
        <v>1661</v>
      </c>
      <c r="T1120" s="152" t="s">
        <v>5885</v>
      </c>
      <c r="U1120" s="152" t="s">
        <v>786</v>
      </c>
    </row>
    <row r="1121" spans="4:21">
      <c r="D1121" s="152" t="s">
        <v>2821</v>
      </c>
      <c r="G1121" s="474" t="s">
        <v>372</v>
      </c>
      <c r="H1121" s="210" t="s">
        <v>309</v>
      </c>
      <c r="I1121" s="210"/>
      <c r="J1121" s="513">
        <v>-46126.15</v>
      </c>
      <c r="K1121" s="513">
        <v>-32.83</v>
      </c>
      <c r="L1121" s="513">
        <v>1405</v>
      </c>
      <c r="M1121" s="513" t="s">
        <v>5881</v>
      </c>
      <c r="N1121" s="513" t="s">
        <v>780</v>
      </c>
      <c r="O1121" s="513" t="s">
        <v>1407</v>
      </c>
      <c r="P1121" s="518" t="s">
        <v>5882</v>
      </c>
      <c r="Q1121" s="152" t="s">
        <v>5873</v>
      </c>
      <c r="R1121" s="152" t="s">
        <v>5883</v>
      </c>
      <c r="S1121" s="152" t="s">
        <v>5890</v>
      </c>
      <c r="T1121" s="152" t="s">
        <v>5885</v>
      </c>
      <c r="U1121" s="152" t="s">
        <v>786</v>
      </c>
    </row>
    <row r="1122" spans="4:21">
      <c r="D1122" s="152" t="s">
        <v>2821</v>
      </c>
      <c r="G1122" s="474" t="s">
        <v>372</v>
      </c>
      <c r="H1122" s="210" t="s">
        <v>309</v>
      </c>
      <c r="I1122" s="210"/>
      <c r="J1122" s="513">
        <v>-154550</v>
      </c>
      <c r="K1122" s="513">
        <v>-110</v>
      </c>
      <c r="L1122" s="513">
        <v>1405</v>
      </c>
      <c r="M1122" s="513" t="s">
        <v>5881</v>
      </c>
      <c r="N1122" s="513" t="s">
        <v>780</v>
      </c>
      <c r="O1122" s="513" t="s">
        <v>1407</v>
      </c>
      <c r="P1122" s="518" t="s">
        <v>5882</v>
      </c>
      <c r="Q1122" s="152" t="s">
        <v>5873</v>
      </c>
      <c r="R1122" s="152" t="s">
        <v>5883</v>
      </c>
      <c r="S1122" s="152" t="s">
        <v>3948</v>
      </c>
      <c r="T1122" s="152" t="s">
        <v>5885</v>
      </c>
      <c r="U1122" s="152" t="s">
        <v>786</v>
      </c>
    </row>
    <row r="1123" spans="4:21">
      <c r="D1123" s="152" t="s">
        <v>2821</v>
      </c>
      <c r="G1123" s="474" t="s">
        <v>372</v>
      </c>
      <c r="H1123" s="210" t="s">
        <v>309</v>
      </c>
      <c r="I1123" s="210"/>
      <c r="J1123" s="513">
        <v>-231825</v>
      </c>
      <c r="K1123" s="513">
        <v>-165</v>
      </c>
      <c r="L1123" s="513">
        <v>1405</v>
      </c>
      <c r="M1123" s="513" t="s">
        <v>5881</v>
      </c>
      <c r="N1123" s="513" t="s">
        <v>780</v>
      </c>
      <c r="O1123" s="513" t="s">
        <v>1407</v>
      </c>
      <c r="P1123" s="518" t="s">
        <v>5882</v>
      </c>
      <c r="Q1123" s="152" t="s">
        <v>5873</v>
      </c>
      <c r="R1123" s="152" t="s">
        <v>5883</v>
      </c>
      <c r="S1123" s="152" t="s">
        <v>3951</v>
      </c>
      <c r="T1123" s="152" t="s">
        <v>5885</v>
      </c>
      <c r="U1123" s="152" t="s">
        <v>786</v>
      </c>
    </row>
    <row r="1124" spans="4:21">
      <c r="D1124" s="152" t="s">
        <v>2821</v>
      </c>
      <c r="G1124" s="474" t="s">
        <v>372</v>
      </c>
      <c r="H1124" s="210" t="s">
        <v>309</v>
      </c>
      <c r="I1124" s="210"/>
      <c r="J1124" s="513">
        <v>-1405000</v>
      </c>
      <c r="K1124" s="513">
        <v>-1000</v>
      </c>
      <c r="L1124" s="513">
        <v>1405</v>
      </c>
      <c r="M1124" s="513" t="s">
        <v>5881</v>
      </c>
      <c r="N1124" s="513" t="s">
        <v>780</v>
      </c>
      <c r="O1124" s="513" t="s">
        <v>1407</v>
      </c>
      <c r="P1124" s="518" t="s">
        <v>5882</v>
      </c>
      <c r="Q1124" s="152" t="s">
        <v>5873</v>
      </c>
      <c r="R1124" s="152" t="s">
        <v>5883</v>
      </c>
      <c r="S1124" s="152" t="s">
        <v>5891</v>
      </c>
      <c r="T1124" s="152" t="s">
        <v>5885</v>
      </c>
      <c r="U1124" s="152" t="s">
        <v>786</v>
      </c>
    </row>
    <row r="1125" spans="4:21">
      <c r="D1125" s="152" t="s">
        <v>2821</v>
      </c>
      <c r="G1125" s="474" t="s">
        <v>372</v>
      </c>
      <c r="H1125" s="210" t="s">
        <v>309</v>
      </c>
      <c r="I1125" s="210"/>
      <c r="J1125" s="513">
        <v>-946829.5</v>
      </c>
      <c r="K1125" s="513">
        <v>-673.9</v>
      </c>
      <c r="L1125" s="513">
        <v>1405</v>
      </c>
      <c r="M1125" s="513" t="s">
        <v>5881</v>
      </c>
      <c r="N1125" s="513" t="s">
        <v>780</v>
      </c>
      <c r="O1125" s="513" t="s">
        <v>1407</v>
      </c>
      <c r="P1125" s="518" t="s">
        <v>5882</v>
      </c>
      <c r="Q1125" s="152" t="s">
        <v>5873</v>
      </c>
      <c r="R1125" s="152" t="s">
        <v>5883</v>
      </c>
      <c r="S1125" s="152" t="s">
        <v>5892</v>
      </c>
      <c r="T1125" s="152" t="s">
        <v>5885</v>
      </c>
      <c r="U1125" s="152" t="s">
        <v>786</v>
      </c>
    </row>
    <row r="1126" spans="4:21">
      <c r="D1126" s="152" t="s">
        <v>2821</v>
      </c>
      <c r="G1126" s="474" t="s">
        <v>372</v>
      </c>
      <c r="H1126" s="210" t="s">
        <v>309</v>
      </c>
      <c r="I1126" s="210"/>
      <c r="J1126" s="513">
        <v>-143029</v>
      </c>
      <c r="K1126" s="513">
        <v>-101.8</v>
      </c>
      <c r="L1126" s="513">
        <v>1405</v>
      </c>
      <c r="M1126" s="513" t="s">
        <v>5881</v>
      </c>
      <c r="N1126" s="513" t="s">
        <v>780</v>
      </c>
      <c r="O1126" s="513" t="s">
        <v>1407</v>
      </c>
      <c r="P1126" s="518" t="s">
        <v>5882</v>
      </c>
      <c r="Q1126" s="152" t="s">
        <v>5873</v>
      </c>
      <c r="R1126" s="152" t="s">
        <v>5883</v>
      </c>
      <c r="S1126" s="152" t="s">
        <v>5893</v>
      </c>
      <c r="T1126" s="152" t="s">
        <v>5885</v>
      </c>
      <c r="U1126" s="152" t="s">
        <v>786</v>
      </c>
    </row>
    <row r="1127" spans="4:21">
      <c r="D1127" s="152" t="s">
        <v>2821</v>
      </c>
      <c r="G1127" s="474" t="s">
        <v>372</v>
      </c>
      <c r="H1127" s="210" t="s">
        <v>309</v>
      </c>
      <c r="I1127" s="210"/>
      <c r="J1127" s="513">
        <v>1124000</v>
      </c>
      <c r="K1127" s="513">
        <v>800</v>
      </c>
      <c r="L1127" s="513">
        <v>1405</v>
      </c>
      <c r="M1127" s="513" t="s">
        <v>5881</v>
      </c>
      <c r="N1127" s="513" t="s">
        <v>1540</v>
      </c>
      <c r="O1127" s="513" t="s">
        <v>1407</v>
      </c>
      <c r="P1127" s="518" t="s">
        <v>5932</v>
      </c>
      <c r="Q1127" s="152" t="s">
        <v>5933</v>
      </c>
      <c r="R1127" s="152" t="s">
        <v>5934</v>
      </c>
      <c r="S1127" s="152" t="s">
        <v>5934</v>
      </c>
      <c r="T1127" s="152" t="s">
        <v>5935</v>
      </c>
      <c r="U1127" s="152" t="s">
        <v>786</v>
      </c>
    </row>
    <row r="1128" spans="4:21">
      <c r="D1128" s="152" t="s">
        <v>2821</v>
      </c>
      <c r="G1128" s="474" t="s">
        <v>372</v>
      </c>
      <c r="H1128" s="210" t="s">
        <v>309</v>
      </c>
      <c r="I1128" s="210"/>
      <c r="J1128" s="513">
        <v>843000</v>
      </c>
      <c r="K1128" s="513">
        <v>600</v>
      </c>
      <c r="L1128" s="513">
        <v>1405</v>
      </c>
      <c r="M1128" s="513" t="s">
        <v>5881</v>
      </c>
      <c r="N1128" s="513" t="s">
        <v>1540</v>
      </c>
      <c r="O1128" s="513" t="s">
        <v>1407</v>
      </c>
      <c r="P1128" s="518" t="s">
        <v>5936</v>
      </c>
      <c r="Q1128" s="152" t="s">
        <v>5933</v>
      </c>
      <c r="R1128" s="152" t="s">
        <v>5937</v>
      </c>
      <c r="S1128" s="152" t="s">
        <v>5937</v>
      </c>
      <c r="T1128" s="152" t="s">
        <v>5938</v>
      </c>
      <c r="U1128" s="152" t="s">
        <v>786</v>
      </c>
    </row>
    <row r="1129" spans="4:21">
      <c r="D1129" s="152" t="s">
        <v>2821</v>
      </c>
      <c r="G1129" s="474" t="s">
        <v>372</v>
      </c>
      <c r="H1129" s="210" t="s">
        <v>309</v>
      </c>
      <c r="I1129" s="210"/>
      <c r="J1129" s="513">
        <v>983500</v>
      </c>
      <c r="K1129" s="513">
        <v>700</v>
      </c>
      <c r="L1129" s="513">
        <v>1405</v>
      </c>
      <c r="M1129" s="513" t="s">
        <v>5881</v>
      </c>
      <c r="N1129" s="513" t="s">
        <v>1540</v>
      </c>
      <c r="O1129" s="513" t="s">
        <v>1407</v>
      </c>
      <c r="P1129" s="518" t="s">
        <v>5939</v>
      </c>
      <c r="Q1129" s="152" t="s">
        <v>5933</v>
      </c>
      <c r="R1129" s="152" t="s">
        <v>5940</v>
      </c>
      <c r="S1129" s="152" t="s">
        <v>5940</v>
      </c>
      <c r="T1129" s="152" t="s">
        <v>5941</v>
      </c>
      <c r="U1129" s="152" t="s">
        <v>786</v>
      </c>
    </row>
    <row r="1130" spans="4:21">
      <c r="D1130" s="152" t="s">
        <v>2821</v>
      </c>
      <c r="G1130" s="474" t="s">
        <v>372</v>
      </c>
      <c r="H1130" s="210" t="s">
        <v>309</v>
      </c>
      <c r="I1130" s="210"/>
      <c r="J1130" s="513">
        <v>843000</v>
      </c>
      <c r="K1130" s="513">
        <v>600</v>
      </c>
      <c r="L1130" s="513">
        <v>1405</v>
      </c>
      <c r="M1130" s="513" t="s">
        <v>5881</v>
      </c>
      <c r="N1130" s="513" t="s">
        <v>1540</v>
      </c>
      <c r="O1130" s="513" t="s">
        <v>1407</v>
      </c>
      <c r="P1130" s="518" t="s">
        <v>5942</v>
      </c>
      <c r="Q1130" s="152" t="s">
        <v>5933</v>
      </c>
      <c r="R1130" s="152" t="s">
        <v>5943</v>
      </c>
      <c r="S1130" s="152" t="s">
        <v>5943</v>
      </c>
      <c r="T1130" s="152" t="s">
        <v>5944</v>
      </c>
      <c r="U1130" s="152" t="s">
        <v>786</v>
      </c>
    </row>
    <row r="1131" spans="4:21">
      <c r="D1131" s="152" t="s">
        <v>2821</v>
      </c>
      <c r="G1131" s="474" t="s">
        <v>372</v>
      </c>
      <c r="H1131" s="210" t="s">
        <v>309</v>
      </c>
      <c r="I1131" s="210"/>
      <c r="J1131" s="513">
        <v>1087470</v>
      </c>
      <c r="K1131" s="513">
        <v>774</v>
      </c>
      <c r="L1131" s="513">
        <v>1405</v>
      </c>
      <c r="M1131" s="513" t="s">
        <v>5881</v>
      </c>
      <c r="N1131" s="513" t="s">
        <v>1540</v>
      </c>
      <c r="O1131" s="513" t="s">
        <v>1407</v>
      </c>
      <c r="P1131" s="518" t="s">
        <v>5945</v>
      </c>
      <c r="Q1131" s="152" t="s">
        <v>5933</v>
      </c>
      <c r="R1131" s="152" t="s">
        <v>5946</v>
      </c>
      <c r="S1131" s="152" t="s">
        <v>5946</v>
      </c>
      <c r="T1131" s="152" t="s">
        <v>5947</v>
      </c>
      <c r="U1131" s="152" t="s">
        <v>786</v>
      </c>
    </row>
    <row r="1132" spans="4:21">
      <c r="D1132" s="152" t="s">
        <v>2821</v>
      </c>
      <c r="G1132" s="474" t="s">
        <v>372</v>
      </c>
      <c r="H1132" s="210" t="s">
        <v>309</v>
      </c>
      <c r="I1132" s="210"/>
      <c r="J1132" s="513">
        <v>-518515.25</v>
      </c>
      <c r="K1132" s="513">
        <v>-369.05</v>
      </c>
      <c r="L1132" s="513">
        <v>1405</v>
      </c>
      <c r="M1132" s="513" t="s">
        <v>5975</v>
      </c>
      <c r="N1132" s="513" t="s">
        <v>780</v>
      </c>
      <c r="O1132" s="513" t="s">
        <v>1407</v>
      </c>
      <c r="P1132" s="518" t="s">
        <v>5976</v>
      </c>
      <c r="Q1132" s="152" t="s">
        <v>5873</v>
      </c>
      <c r="R1132" s="152" t="s">
        <v>5977</v>
      </c>
      <c r="S1132" s="152" t="s">
        <v>5978</v>
      </c>
      <c r="T1132" s="152" t="s">
        <v>5979</v>
      </c>
      <c r="U1132" s="152" t="s">
        <v>786</v>
      </c>
    </row>
    <row r="1133" spans="4:21">
      <c r="D1133" s="152" t="s">
        <v>2821</v>
      </c>
      <c r="G1133" s="474" t="s">
        <v>372</v>
      </c>
      <c r="H1133" s="210" t="s">
        <v>309</v>
      </c>
      <c r="I1133" s="210"/>
      <c r="J1133" s="513">
        <v>-221287.5</v>
      </c>
      <c r="K1133" s="513">
        <v>-157.5</v>
      </c>
      <c r="L1133" s="513">
        <v>1405</v>
      </c>
      <c r="M1133" s="513" t="s">
        <v>5975</v>
      </c>
      <c r="N1133" s="513" t="s">
        <v>780</v>
      </c>
      <c r="O1133" s="513" t="s">
        <v>1407</v>
      </c>
      <c r="P1133" s="518" t="s">
        <v>5976</v>
      </c>
      <c r="Q1133" s="152" t="s">
        <v>5873</v>
      </c>
      <c r="R1133" s="152" t="s">
        <v>5977</v>
      </c>
      <c r="S1133" s="152" t="s">
        <v>5980</v>
      </c>
      <c r="T1133" s="152" t="s">
        <v>5979</v>
      </c>
      <c r="U1133" s="152" t="s">
        <v>786</v>
      </c>
    </row>
    <row r="1134" spans="4:21">
      <c r="D1134" s="152" t="s">
        <v>2821</v>
      </c>
      <c r="G1134" s="474" t="s">
        <v>372</v>
      </c>
      <c r="H1134" s="210" t="s">
        <v>309</v>
      </c>
      <c r="I1134" s="210"/>
      <c r="J1134" s="513">
        <v>-112400</v>
      </c>
      <c r="K1134" s="513">
        <v>-80</v>
      </c>
      <c r="L1134" s="513">
        <v>1405</v>
      </c>
      <c r="M1134" s="513" t="s">
        <v>5975</v>
      </c>
      <c r="N1134" s="513" t="s">
        <v>780</v>
      </c>
      <c r="O1134" s="513" t="s">
        <v>1407</v>
      </c>
      <c r="P1134" s="518" t="s">
        <v>5976</v>
      </c>
      <c r="Q1134" s="152" t="s">
        <v>5873</v>
      </c>
      <c r="R1134" s="152" t="s">
        <v>5977</v>
      </c>
      <c r="S1134" s="152" t="s">
        <v>5981</v>
      </c>
      <c r="T1134" s="152" t="s">
        <v>5979</v>
      </c>
      <c r="U1134" s="152" t="s">
        <v>786</v>
      </c>
    </row>
    <row r="1135" spans="4:21">
      <c r="D1135" s="152" t="s">
        <v>2821</v>
      </c>
      <c r="G1135" s="474" t="s">
        <v>372</v>
      </c>
      <c r="H1135" s="210" t="s">
        <v>309</v>
      </c>
      <c r="I1135" s="210"/>
      <c r="J1135" s="513">
        <v>-112400</v>
      </c>
      <c r="K1135" s="513">
        <v>-80</v>
      </c>
      <c r="L1135" s="513">
        <v>1405</v>
      </c>
      <c r="M1135" s="513" t="s">
        <v>5975</v>
      </c>
      <c r="N1135" s="513" t="s">
        <v>780</v>
      </c>
      <c r="O1135" s="513" t="s">
        <v>1407</v>
      </c>
      <c r="P1135" s="518" t="s">
        <v>5976</v>
      </c>
      <c r="Q1135" s="152" t="s">
        <v>5873</v>
      </c>
      <c r="R1135" s="152" t="s">
        <v>5977</v>
      </c>
      <c r="S1135" s="152" t="s">
        <v>5981</v>
      </c>
      <c r="T1135" s="152" t="s">
        <v>5979</v>
      </c>
      <c r="U1135" s="152" t="s">
        <v>786</v>
      </c>
    </row>
    <row r="1136" spans="4:21">
      <c r="D1136" s="152" t="s">
        <v>2821</v>
      </c>
      <c r="G1136" s="474" t="s">
        <v>372</v>
      </c>
      <c r="H1136" s="210" t="s">
        <v>309</v>
      </c>
      <c r="I1136" s="210"/>
      <c r="J1136" s="513">
        <v>-31612.5</v>
      </c>
      <c r="K1136" s="513">
        <v>-22.5</v>
      </c>
      <c r="L1136" s="513">
        <v>1405</v>
      </c>
      <c r="M1136" s="513" t="s">
        <v>5975</v>
      </c>
      <c r="N1136" s="513" t="s">
        <v>780</v>
      </c>
      <c r="O1136" s="513" t="s">
        <v>1407</v>
      </c>
      <c r="P1136" s="518" t="s">
        <v>5976</v>
      </c>
      <c r="Q1136" s="152" t="s">
        <v>5873</v>
      </c>
      <c r="R1136" s="152" t="s">
        <v>5977</v>
      </c>
      <c r="S1136" s="152" t="s">
        <v>5982</v>
      </c>
      <c r="T1136" s="152" t="s">
        <v>5979</v>
      </c>
      <c r="U1136" s="152" t="s">
        <v>786</v>
      </c>
    </row>
    <row r="1137" spans="4:21">
      <c r="D1137" s="152" t="s">
        <v>2821</v>
      </c>
      <c r="G1137" s="474" t="s">
        <v>372</v>
      </c>
      <c r="H1137" s="210" t="s">
        <v>309</v>
      </c>
      <c r="I1137" s="210"/>
      <c r="J1137" s="513">
        <v>-1405000</v>
      </c>
      <c r="K1137" s="513">
        <v>-1000</v>
      </c>
      <c r="L1137" s="513">
        <v>1405</v>
      </c>
      <c r="M1137" s="513" t="s">
        <v>5975</v>
      </c>
      <c r="N1137" s="513" t="s">
        <v>780</v>
      </c>
      <c r="O1137" s="513" t="s">
        <v>1407</v>
      </c>
      <c r="P1137" s="518" t="s">
        <v>5976</v>
      </c>
      <c r="Q1137" s="152" t="s">
        <v>5873</v>
      </c>
      <c r="R1137" s="152" t="s">
        <v>5977</v>
      </c>
      <c r="S1137" s="152" t="s">
        <v>5983</v>
      </c>
      <c r="T1137" s="152" t="s">
        <v>5979</v>
      </c>
      <c r="U1137" s="152" t="s">
        <v>786</v>
      </c>
    </row>
    <row r="1138" spans="4:21">
      <c r="D1138" s="152" t="s">
        <v>2821</v>
      </c>
      <c r="G1138" s="474" t="s">
        <v>372</v>
      </c>
      <c r="H1138" s="210" t="s">
        <v>309</v>
      </c>
      <c r="I1138" s="210"/>
      <c r="J1138" s="513">
        <v>-1109950</v>
      </c>
      <c r="K1138" s="513">
        <v>-790</v>
      </c>
      <c r="L1138" s="513">
        <v>1405</v>
      </c>
      <c r="M1138" s="513" t="s">
        <v>5975</v>
      </c>
      <c r="N1138" s="513" t="s">
        <v>780</v>
      </c>
      <c r="O1138" s="513" t="s">
        <v>1407</v>
      </c>
      <c r="P1138" s="518" t="s">
        <v>5976</v>
      </c>
      <c r="Q1138" s="152" t="s">
        <v>5873</v>
      </c>
      <c r="R1138" s="152" t="s">
        <v>5977</v>
      </c>
      <c r="S1138" s="152" t="s">
        <v>3837</v>
      </c>
      <c r="T1138" s="152" t="s">
        <v>5979</v>
      </c>
      <c r="U1138" s="152" t="s">
        <v>786</v>
      </c>
    </row>
    <row r="1139" spans="4:21">
      <c r="D1139" s="152" t="s">
        <v>2821</v>
      </c>
      <c r="G1139" s="474" t="s">
        <v>372</v>
      </c>
      <c r="H1139" s="210" t="s">
        <v>309</v>
      </c>
      <c r="I1139" s="210"/>
      <c r="J1139" s="513">
        <v>-30207.5</v>
      </c>
      <c r="K1139" s="513">
        <v>-21.5</v>
      </c>
      <c r="L1139" s="513">
        <v>1405</v>
      </c>
      <c r="M1139" s="513" t="s">
        <v>5975</v>
      </c>
      <c r="N1139" s="513" t="s">
        <v>780</v>
      </c>
      <c r="O1139" s="513" t="s">
        <v>1407</v>
      </c>
      <c r="P1139" s="518" t="s">
        <v>5976</v>
      </c>
      <c r="Q1139" s="152" t="s">
        <v>5873</v>
      </c>
      <c r="R1139" s="152" t="s">
        <v>5977</v>
      </c>
      <c r="S1139" s="152" t="s">
        <v>5984</v>
      </c>
      <c r="T1139" s="152" t="s">
        <v>5979</v>
      </c>
      <c r="U1139" s="152" t="s">
        <v>786</v>
      </c>
    </row>
    <row r="1140" spans="4:21">
      <c r="D1140" s="152" t="s">
        <v>2821</v>
      </c>
      <c r="G1140" s="474" t="s">
        <v>372</v>
      </c>
      <c r="H1140" s="210" t="s">
        <v>309</v>
      </c>
      <c r="I1140" s="210"/>
      <c r="J1140" s="513">
        <v>-50580</v>
      </c>
      <c r="K1140" s="513">
        <v>-36</v>
      </c>
      <c r="L1140" s="513">
        <v>1405</v>
      </c>
      <c r="M1140" s="513" t="s">
        <v>5975</v>
      </c>
      <c r="N1140" s="513" t="s">
        <v>780</v>
      </c>
      <c r="O1140" s="513" t="s">
        <v>1407</v>
      </c>
      <c r="P1140" s="518" t="s">
        <v>5976</v>
      </c>
      <c r="Q1140" s="152" t="s">
        <v>5873</v>
      </c>
      <c r="R1140" s="152" t="s">
        <v>5977</v>
      </c>
      <c r="S1140" s="152" t="s">
        <v>1627</v>
      </c>
      <c r="T1140" s="152" t="s">
        <v>5979</v>
      </c>
      <c r="U1140" s="152" t="s">
        <v>786</v>
      </c>
    </row>
    <row r="1141" spans="4:21">
      <c r="D1141" s="152" t="s">
        <v>2821</v>
      </c>
      <c r="G1141" s="474" t="s">
        <v>372</v>
      </c>
      <c r="H1141" s="210" t="s">
        <v>309</v>
      </c>
      <c r="I1141" s="210"/>
      <c r="J1141" s="513">
        <v>-37766.400000000001</v>
      </c>
      <c r="K1141" s="513">
        <v>-26.88</v>
      </c>
      <c r="L1141" s="513">
        <v>1405</v>
      </c>
      <c r="M1141" s="513" t="s">
        <v>5975</v>
      </c>
      <c r="N1141" s="513" t="s">
        <v>780</v>
      </c>
      <c r="O1141" s="513" t="s">
        <v>1407</v>
      </c>
      <c r="P1141" s="518" t="s">
        <v>5976</v>
      </c>
      <c r="Q1141" s="152" t="s">
        <v>5873</v>
      </c>
      <c r="R1141" s="152" t="s">
        <v>5977</v>
      </c>
      <c r="S1141" s="152" t="s">
        <v>5985</v>
      </c>
      <c r="T1141" s="152" t="s">
        <v>5979</v>
      </c>
      <c r="U1141" s="152" t="s">
        <v>786</v>
      </c>
    </row>
    <row r="1142" spans="4:21">
      <c r="D1142" s="152" t="s">
        <v>2821</v>
      </c>
      <c r="G1142" s="474" t="s">
        <v>372</v>
      </c>
      <c r="H1142" s="210" t="s">
        <v>309</v>
      </c>
      <c r="I1142" s="210"/>
      <c r="J1142" s="513">
        <v>-231825</v>
      </c>
      <c r="K1142" s="513">
        <v>-165</v>
      </c>
      <c r="L1142" s="513">
        <v>1405</v>
      </c>
      <c r="M1142" s="513" t="s">
        <v>5975</v>
      </c>
      <c r="N1142" s="513" t="s">
        <v>780</v>
      </c>
      <c r="O1142" s="513" t="s">
        <v>1407</v>
      </c>
      <c r="P1142" s="518" t="s">
        <v>5976</v>
      </c>
      <c r="Q1142" s="152" t="s">
        <v>5873</v>
      </c>
      <c r="R1142" s="152" t="s">
        <v>5977</v>
      </c>
      <c r="S1142" s="152" t="s">
        <v>3951</v>
      </c>
      <c r="T1142" s="152" t="s">
        <v>5979</v>
      </c>
      <c r="U1142" s="152" t="s">
        <v>786</v>
      </c>
    </row>
    <row r="1143" spans="4:21">
      <c r="D1143" s="152" t="s">
        <v>2821</v>
      </c>
      <c r="G1143" s="474" t="s">
        <v>372</v>
      </c>
      <c r="H1143" s="210" t="s">
        <v>309</v>
      </c>
      <c r="I1143" s="210"/>
      <c r="J1143" s="513">
        <v>-110995</v>
      </c>
      <c r="K1143" s="513">
        <v>-79</v>
      </c>
      <c r="L1143" s="513">
        <v>1405</v>
      </c>
      <c r="M1143" s="513" t="s">
        <v>5975</v>
      </c>
      <c r="N1143" s="513" t="s">
        <v>780</v>
      </c>
      <c r="O1143" s="513" t="s">
        <v>1407</v>
      </c>
      <c r="P1143" s="518" t="s">
        <v>5976</v>
      </c>
      <c r="Q1143" s="152" t="s">
        <v>5873</v>
      </c>
      <c r="R1143" s="152" t="s">
        <v>5977</v>
      </c>
      <c r="S1143" s="152" t="s">
        <v>5986</v>
      </c>
      <c r="T1143" s="152" t="s">
        <v>5979</v>
      </c>
      <c r="U1143" s="152" t="s">
        <v>786</v>
      </c>
    </row>
    <row r="1144" spans="4:21">
      <c r="D1144" s="152" t="s">
        <v>2821</v>
      </c>
      <c r="G1144" s="474" t="s">
        <v>372</v>
      </c>
      <c r="H1144" s="210" t="s">
        <v>309</v>
      </c>
      <c r="I1144" s="210"/>
      <c r="J1144" s="513">
        <v>-1405000</v>
      </c>
      <c r="K1144" s="513">
        <v>-1000</v>
      </c>
      <c r="L1144" s="513">
        <v>1405</v>
      </c>
      <c r="M1144" s="513" t="s">
        <v>5975</v>
      </c>
      <c r="N1144" s="513" t="s">
        <v>780</v>
      </c>
      <c r="O1144" s="513" t="s">
        <v>1407</v>
      </c>
      <c r="P1144" s="518" t="s">
        <v>5976</v>
      </c>
      <c r="Q1144" s="152" t="s">
        <v>5873</v>
      </c>
      <c r="R1144" s="152" t="s">
        <v>5977</v>
      </c>
      <c r="S1144" s="152" t="s">
        <v>5987</v>
      </c>
      <c r="T1144" s="152" t="s">
        <v>5979</v>
      </c>
      <c r="U1144" s="152" t="s">
        <v>786</v>
      </c>
    </row>
    <row r="1145" spans="4:21">
      <c r="D1145" s="152" t="s">
        <v>2821</v>
      </c>
      <c r="G1145" s="474" t="s">
        <v>372</v>
      </c>
      <c r="H1145" s="210" t="s">
        <v>309</v>
      </c>
      <c r="I1145" s="210"/>
      <c r="J1145" s="513">
        <v>-905171.25</v>
      </c>
      <c r="K1145" s="513">
        <v>-644.25</v>
      </c>
      <c r="L1145" s="513">
        <v>1405</v>
      </c>
      <c r="M1145" s="513" t="s">
        <v>5975</v>
      </c>
      <c r="N1145" s="513" t="s">
        <v>780</v>
      </c>
      <c r="O1145" s="513" t="s">
        <v>1407</v>
      </c>
      <c r="P1145" s="518" t="s">
        <v>5976</v>
      </c>
      <c r="Q1145" s="152" t="s">
        <v>5873</v>
      </c>
      <c r="R1145" s="152" t="s">
        <v>5977</v>
      </c>
      <c r="S1145" s="152" t="s">
        <v>5988</v>
      </c>
      <c r="T1145" s="152" t="s">
        <v>5979</v>
      </c>
      <c r="U1145" s="152" t="s">
        <v>786</v>
      </c>
    </row>
    <row r="1146" spans="4:21">
      <c r="D1146" s="152" t="s">
        <v>2821</v>
      </c>
      <c r="G1146" s="474" t="s">
        <v>372</v>
      </c>
      <c r="H1146" s="210" t="s">
        <v>309</v>
      </c>
      <c r="I1146" s="210"/>
      <c r="J1146" s="513">
        <v>-834359.25</v>
      </c>
      <c r="K1146" s="513">
        <v>-593.85</v>
      </c>
      <c r="L1146" s="513">
        <v>1405</v>
      </c>
      <c r="M1146" s="513" t="s">
        <v>5975</v>
      </c>
      <c r="N1146" s="513" t="s">
        <v>780</v>
      </c>
      <c r="O1146" s="513" t="s">
        <v>1407</v>
      </c>
      <c r="P1146" s="518" t="s">
        <v>5976</v>
      </c>
      <c r="Q1146" s="152" t="s">
        <v>5873</v>
      </c>
      <c r="R1146" s="152" t="s">
        <v>5977</v>
      </c>
      <c r="S1146" s="152" t="s">
        <v>5989</v>
      </c>
      <c r="T1146" s="152" t="s">
        <v>5979</v>
      </c>
      <c r="U1146" s="152" t="s">
        <v>786</v>
      </c>
    </row>
    <row r="1147" spans="4:21">
      <c r="D1147" s="152" t="s">
        <v>2821</v>
      </c>
      <c r="G1147" s="474" t="s">
        <v>372</v>
      </c>
      <c r="H1147" s="210" t="s">
        <v>309</v>
      </c>
      <c r="I1147" s="210"/>
      <c r="J1147" s="513">
        <v>-1264500</v>
      </c>
      <c r="K1147" s="513">
        <v>-900</v>
      </c>
      <c r="L1147" s="513">
        <v>1405</v>
      </c>
      <c r="M1147" s="513" t="s">
        <v>5975</v>
      </c>
      <c r="N1147" s="513" t="s">
        <v>780</v>
      </c>
      <c r="O1147" s="513" t="s">
        <v>1407</v>
      </c>
      <c r="P1147" s="518" t="s">
        <v>5976</v>
      </c>
      <c r="Q1147" s="152" t="s">
        <v>5873</v>
      </c>
      <c r="R1147" s="152" t="s">
        <v>5977</v>
      </c>
      <c r="S1147" s="152" t="s">
        <v>5990</v>
      </c>
      <c r="T1147" s="152" t="s">
        <v>5979</v>
      </c>
      <c r="U1147" s="152" t="s">
        <v>786</v>
      </c>
    </row>
    <row r="1148" spans="4:21">
      <c r="D1148" s="152" t="s">
        <v>2821</v>
      </c>
      <c r="G1148" s="474" t="s">
        <v>372</v>
      </c>
      <c r="H1148" s="210" t="s">
        <v>309</v>
      </c>
      <c r="I1148" s="210"/>
      <c r="J1148" s="513">
        <v>-930812.5</v>
      </c>
      <c r="K1148" s="513">
        <v>-662.5</v>
      </c>
      <c r="L1148" s="513">
        <v>1405</v>
      </c>
      <c r="M1148" s="513" t="s">
        <v>5975</v>
      </c>
      <c r="N1148" s="513" t="s">
        <v>780</v>
      </c>
      <c r="O1148" s="513" t="s">
        <v>1407</v>
      </c>
      <c r="P1148" s="518" t="s">
        <v>5976</v>
      </c>
      <c r="Q1148" s="152" t="s">
        <v>5873</v>
      </c>
      <c r="R1148" s="152" t="s">
        <v>5977</v>
      </c>
      <c r="S1148" s="152" t="s">
        <v>5991</v>
      </c>
      <c r="T1148" s="152" t="s">
        <v>5979</v>
      </c>
      <c r="U1148" s="152" t="s">
        <v>786</v>
      </c>
    </row>
    <row r="1149" spans="4:21">
      <c r="D1149" s="152" t="s">
        <v>2821</v>
      </c>
      <c r="G1149" s="474" t="s">
        <v>372</v>
      </c>
      <c r="H1149" s="210" t="s">
        <v>309</v>
      </c>
      <c r="I1149" s="210"/>
      <c r="J1149" s="513">
        <v>-9784420</v>
      </c>
      <c r="K1149" s="513">
        <v>-6964</v>
      </c>
      <c r="L1149" s="513">
        <v>1405</v>
      </c>
      <c r="M1149" s="513" t="s">
        <v>5975</v>
      </c>
      <c r="N1149" s="513" t="s">
        <v>780</v>
      </c>
      <c r="O1149" s="513" t="s">
        <v>1407</v>
      </c>
      <c r="P1149" s="518" t="s">
        <v>5976</v>
      </c>
      <c r="Q1149" s="152" t="s">
        <v>5873</v>
      </c>
      <c r="R1149" s="152" t="s">
        <v>5977</v>
      </c>
      <c r="S1149" s="152" t="s">
        <v>5992</v>
      </c>
      <c r="T1149" s="152" t="s">
        <v>5979</v>
      </c>
      <c r="U1149" s="152" t="s">
        <v>786</v>
      </c>
    </row>
    <row r="1150" spans="4:21">
      <c r="D1150" s="152" t="s">
        <v>2821</v>
      </c>
      <c r="G1150" s="474" t="s">
        <v>372</v>
      </c>
      <c r="H1150" s="210" t="s">
        <v>309</v>
      </c>
      <c r="I1150" s="210"/>
      <c r="J1150" s="513">
        <v>-1952950</v>
      </c>
      <c r="K1150" s="513">
        <v>-1390</v>
      </c>
      <c r="L1150" s="513">
        <v>1405</v>
      </c>
      <c r="M1150" s="513" t="s">
        <v>5975</v>
      </c>
      <c r="N1150" s="513" t="s">
        <v>780</v>
      </c>
      <c r="O1150" s="513" t="s">
        <v>1407</v>
      </c>
      <c r="P1150" s="518" t="s">
        <v>5976</v>
      </c>
      <c r="Q1150" s="152" t="s">
        <v>5873</v>
      </c>
      <c r="R1150" s="152" t="s">
        <v>5977</v>
      </c>
      <c r="S1150" s="152" t="s">
        <v>5993</v>
      </c>
      <c r="T1150" s="152" t="s">
        <v>5979</v>
      </c>
      <c r="U1150" s="152" t="s">
        <v>786</v>
      </c>
    </row>
    <row r="1151" spans="4:21">
      <c r="D1151" s="152" t="s">
        <v>2821</v>
      </c>
      <c r="G1151" s="474" t="s">
        <v>372</v>
      </c>
      <c r="H1151" s="210" t="s">
        <v>309</v>
      </c>
      <c r="I1151" s="210"/>
      <c r="J1151" s="513">
        <v>-10991315</v>
      </c>
      <c r="K1151" s="513">
        <v>-7823</v>
      </c>
      <c r="L1151" s="513">
        <v>1405</v>
      </c>
      <c r="M1151" s="513" t="s">
        <v>5975</v>
      </c>
      <c r="N1151" s="513" t="s">
        <v>780</v>
      </c>
      <c r="O1151" s="513" t="s">
        <v>1407</v>
      </c>
      <c r="P1151" s="518" t="s">
        <v>5976</v>
      </c>
      <c r="Q1151" s="152" t="s">
        <v>5873</v>
      </c>
      <c r="R1151" s="152" t="s">
        <v>5977</v>
      </c>
      <c r="S1151" s="152" t="s">
        <v>5994</v>
      </c>
      <c r="T1151" s="152" t="s">
        <v>5979</v>
      </c>
      <c r="U1151" s="152" t="s">
        <v>786</v>
      </c>
    </row>
    <row r="1152" spans="4:21">
      <c r="D1152" s="152" t="s">
        <v>2821</v>
      </c>
      <c r="G1152" s="474" t="s">
        <v>372</v>
      </c>
      <c r="H1152" s="210" t="s">
        <v>309</v>
      </c>
      <c r="I1152" s="210"/>
      <c r="J1152" s="513">
        <v>-1957165</v>
      </c>
      <c r="K1152" s="513">
        <v>-1393</v>
      </c>
      <c r="L1152" s="513">
        <v>1405</v>
      </c>
      <c r="M1152" s="513" t="s">
        <v>5975</v>
      </c>
      <c r="N1152" s="513" t="s">
        <v>780</v>
      </c>
      <c r="O1152" s="513" t="s">
        <v>1407</v>
      </c>
      <c r="P1152" s="518" t="s">
        <v>5976</v>
      </c>
      <c r="Q1152" s="152" t="s">
        <v>5873</v>
      </c>
      <c r="R1152" s="152" t="s">
        <v>5977</v>
      </c>
      <c r="S1152" s="152" t="s">
        <v>5995</v>
      </c>
      <c r="T1152" s="152" t="s">
        <v>5979</v>
      </c>
      <c r="U1152" s="152" t="s">
        <v>786</v>
      </c>
    </row>
    <row r="1153" spans="4:21">
      <c r="D1153" s="152" t="s">
        <v>2821</v>
      </c>
      <c r="G1153" s="474" t="s">
        <v>372</v>
      </c>
      <c r="H1153" s="210" t="s">
        <v>309</v>
      </c>
      <c r="I1153" s="210"/>
      <c r="J1153" s="513">
        <v>3161250</v>
      </c>
      <c r="K1153" s="513">
        <v>2250</v>
      </c>
      <c r="L1153" s="513">
        <v>1405</v>
      </c>
      <c r="M1153" s="513" t="s">
        <v>5975</v>
      </c>
      <c r="N1153" s="513" t="s">
        <v>1540</v>
      </c>
      <c r="O1153" s="513" t="s">
        <v>1407</v>
      </c>
      <c r="P1153" s="518" t="s">
        <v>6013</v>
      </c>
      <c r="Q1153" s="152" t="s">
        <v>5933</v>
      </c>
      <c r="R1153" s="152" t="s">
        <v>6014</v>
      </c>
      <c r="S1153" s="152" t="s">
        <v>6014</v>
      </c>
      <c r="T1153" s="152" t="s">
        <v>6015</v>
      </c>
      <c r="U1153" s="152" t="s">
        <v>786</v>
      </c>
    </row>
    <row r="1154" spans="4:21">
      <c r="D1154" s="152" t="s">
        <v>2821</v>
      </c>
      <c r="G1154" s="474" t="s">
        <v>372</v>
      </c>
      <c r="H1154" s="210" t="s">
        <v>309</v>
      </c>
      <c r="I1154" s="210"/>
      <c r="J1154" s="513">
        <v>2177750</v>
      </c>
      <c r="K1154" s="513">
        <v>1550</v>
      </c>
      <c r="L1154" s="513">
        <v>1405</v>
      </c>
      <c r="M1154" s="513" t="s">
        <v>5975</v>
      </c>
      <c r="N1154" s="513" t="s">
        <v>1540</v>
      </c>
      <c r="O1154" s="513" t="s">
        <v>1407</v>
      </c>
      <c r="P1154" s="518" t="s">
        <v>6016</v>
      </c>
      <c r="Q1154" s="152" t="s">
        <v>5933</v>
      </c>
      <c r="R1154" s="152" t="s">
        <v>6017</v>
      </c>
      <c r="S1154" s="152" t="s">
        <v>6017</v>
      </c>
      <c r="T1154" s="152" t="s">
        <v>6018</v>
      </c>
      <c r="U1154" s="152" t="s">
        <v>786</v>
      </c>
    </row>
    <row r="1155" spans="4:21">
      <c r="D1155" s="152" t="s">
        <v>2821</v>
      </c>
      <c r="G1155" s="474" t="s">
        <v>372</v>
      </c>
      <c r="H1155" s="210" t="s">
        <v>309</v>
      </c>
      <c r="I1155" s="210"/>
      <c r="J1155" s="513">
        <v>-491750</v>
      </c>
      <c r="K1155" s="513">
        <v>-350</v>
      </c>
      <c r="L1155" s="513">
        <v>1405</v>
      </c>
      <c r="M1155" s="513" t="s">
        <v>6059</v>
      </c>
      <c r="N1155" s="513" t="s">
        <v>780</v>
      </c>
      <c r="O1155" s="513" t="s">
        <v>1407</v>
      </c>
      <c r="P1155" s="518" t="s">
        <v>6110</v>
      </c>
      <c r="Q1155" s="152" t="s">
        <v>5873</v>
      </c>
      <c r="R1155" s="152" t="s">
        <v>6111</v>
      </c>
      <c r="S1155" s="152" t="s">
        <v>6112</v>
      </c>
      <c r="T1155" s="152" t="s">
        <v>6113</v>
      </c>
      <c r="U1155" s="152" t="s">
        <v>786</v>
      </c>
    </row>
    <row r="1156" spans="4:21">
      <c r="D1156" s="152" t="s">
        <v>2821</v>
      </c>
      <c r="G1156" s="474" t="s">
        <v>372</v>
      </c>
      <c r="H1156" s="210" t="s">
        <v>309</v>
      </c>
      <c r="I1156" s="210"/>
      <c r="J1156" s="513">
        <v>-221287.5</v>
      </c>
      <c r="K1156" s="513">
        <v>-157.5</v>
      </c>
      <c r="L1156" s="513">
        <v>1405</v>
      </c>
      <c r="M1156" s="513" t="s">
        <v>6059</v>
      </c>
      <c r="N1156" s="513" t="s">
        <v>780</v>
      </c>
      <c r="O1156" s="513" t="s">
        <v>1407</v>
      </c>
      <c r="P1156" s="518" t="s">
        <v>6110</v>
      </c>
      <c r="Q1156" s="152" t="s">
        <v>5873</v>
      </c>
      <c r="R1156" s="152" t="s">
        <v>6111</v>
      </c>
      <c r="S1156" s="152" t="s">
        <v>6141</v>
      </c>
      <c r="T1156" s="152" t="s">
        <v>6113</v>
      </c>
      <c r="U1156" s="152" t="s">
        <v>786</v>
      </c>
    </row>
    <row r="1157" spans="4:21">
      <c r="D1157" s="152" t="s">
        <v>2821</v>
      </c>
      <c r="G1157" s="474" t="s">
        <v>372</v>
      </c>
      <c r="H1157" s="210" t="s">
        <v>309</v>
      </c>
      <c r="I1157" s="210"/>
      <c r="J1157" s="513">
        <v>-50580</v>
      </c>
      <c r="K1157" s="513">
        <v>-36</v>
      </c>
      <c r="L1157" s="513">
        <v>1405</v>
      </c>
      <c r="M1157" s="513" t="s">
        <v>6059</v>
      </c>
      <c r="N1157" s="513" t="s">
        <v>780</v>
      </c>
      <c r="O1157" s="513" t="s">
        <v>1407</v>
      </c>
      <c r="P1157" s="518" t="s">
        <v>6110</v>
      </c>
      <c r="Q1157" s="152" t="s">
        <v>5873</v>
      </c>
      <c r="R1157" s="152" t="s">
        <v>6111</v>
      </c>
      <c r="S1157" s="152" t="s">
        <v>1955</v>
      </c>
      <c r="T1157" s="152" t="s">
        <v>6113</v>
      </c>
      <c r="U1157" s="152" t="s">
        <v>786</v>
      </c>
    </row>
    <row r="1158" spans="4:21">
      <c r="D1158" s="152" t="s">
        <v>2821</v>
      </c>
      <c r="G1158" s="474" t="s">
        <v>372</v>
      </c>
      <c r="H1158" s="210" t="s">
        <v>309</v>
      </c>
      <c r="I1158" s="210"/>
      <c r="J1158" s="513">
        <v>-27678.5</v>
      </c>
      <c r="K1158" s="513">
        <v>-19.7</v>
      </c>
      <c r="L1158" s="513">
        <v>1405</v>
      </c>
      <c r="M1158" s="513" t="s">
        <v>6059</v>
      </c>
      <c r="N1158" s="513" t="s">
        <v>780</v>
      </c>
      <c r="O1158" s="513" t="s">
        <v>1407</v>
      </c>
      <c r="P1158" s="518" t="s">
        <v>6110</v>
      </c>
      <c r="Q1158" s="152" t="s">
        <v>5873</v>
      </c>
      <c r="R1158" s="152" t="s">
        <v>6111</v>
      </c>
      <c r="S1158" s="152" t="s">
        <v>6150</v>
      </c>
      <c r="T1158" s="152" t="s">
        <v>6113</v>
      </c>
      <c r="U1158" s="152" t="s">
        <v>786</v>
      </c>
    </row>
    <row r="1159" spans="4:21">
      <c r="D1159" s="152" t="s">
        <v>2821</v>
      </c>
      <c r="G1159" s="474" t="s">
        <v>372</v>
      </c>
      <c r="H1159" s="210" t="s">
        <v>309</v>
      </c>
      <c r="I1159" s="210"/>
      <c r="J1159" s="513">
        <v>-52968.5</v>
      </c>
      <c r="K1159" s="513">
        <v>-37.700000000000003</v>
      </c>
      <c r="L1159" s="513">
        <v>1405</v>
      </c>
      <c r="M1159" s="513" t="s">
        <v>6059</v>
      </c>
      <c r="N1159" s="513" t="s">
        <v>780</v>
      </c>
      <c r="O1159" s="513" t="s">
        <v>1407</v>
      </c>
      <c r="P1159" s="518" t="s">
        <v>6110</v>
      </c>
      <c r="Q1159" s="152" t="s">
        <v>5873</v>
      </c>
      <c r="R1159" s="152" t="s">
        <v>6111</v>
      </c>
      <c r="S1159" s="152" t="s">
        <v>6151</v>
      </c>
      <c r="T1159" s="152" t="s">
        <v>6113</v>
      </c>
      <c r="U1159" s="152" t="s">
        <v>786</v>
      </c>
    </row>
    <row r="1160" spans="4:21">
      <c r="D1160" s="152" t="s">
        <v>2821</v>
      </c>
      <c r="G1160" s="474" t="s">
        <v>372</v>
      </c>
      <c r="H1160" s="210" t="s">
        <v>309</v>
      </c>
      <c r="I1160" s="210"/>
      <c r="J1160" s="513">
        <v>-43203.75</v>
      </c>
      <c r="K1160" s="513">
        <v>-30.75</v>
      </c>
      <c r="L1160" s="513">
        <v>1405</v>
      </c>
      <c r="M1160" s="513" t="s">
        <v>6059</v>
      </c>
      <c r="N1160" s="513" t="s">
        <v>780</v>
      </c>
      <c r="O1160" s="513" t="s">
        <v>1407</v>
      </c>
      <c r="P1160" s="518" t="s">
        <v>6110</v>
      </c>
      <c r="Q1160" s="152" t="s">
        <v>5873</v>
      </c>
      <c r="R1160" s="152" t="s">
        <v>6111</v>
      </c>
      <c r="S1160" s="152" t="s">
        <v>6152</v>
      </c>
      <c r="T1160" s="152" t="s">
        <v>6113</v>
      </c>
      <c r="U1160" s="152" t="s">
        <v>786</v>
      </c>
    </row>
    <row r="1161" spans="4:21">
      <c r="D1161" s="152" t="s">
        <v>2821</v>
      </c>
      <c r="G1161" s="474" t="s">
        <v>372</v>
      </c>
      <c r="H1161" s="210" t="s">
        <v>309</v>
      </c>
      <c r="I1161" s="210"/>
      <c r="J1161" s="513">
        <v>-54036.3</v>
      </c>
      <c r="K1161" s="513">
        <v>-38.46</v>
      </c>
      <c r="L1161" s="513">
        <v>1405</v>
      </c>
      <c r="M1161" s="513" t="s">
        <v>6059</v>
      </c>
      <c r="N1161" s="513" t="s">
        <v>780</v>
      </c>
      <c r="O1161" s="513" t="s">
        <v>1407</v>
      </c>
      <c r="P1161" s="518" t="s">
        <v>6110</v>
      </c>
      <c r="Q1161" s="152" t="s">
        <v>5873</v>
      </c>
      <c r="R1161" s="152" t="s">
        <v>6111</v>
      </c>
      <c r="S1161" s="152" t="s">
        <v>6153</v>
      </c>
      <c r="T1161" s="152" t="s">
        <v>6113</v>
      </c>
      <c r="U1161" s="152" t="s">
        <v>786</v>
      </c>
    </row>
    <row r="1162" spans="4:21">
      <c r="D1162" s="152" t="s">
        <v>2821</v>
      </c>
      <c r="G1162" s="474" t="s">
        <v>372</v>
      </c>
      <c r="H1162" s="210" t="s">
        <v>309</v>
      </c>
      <c r="I1162" s="210"/>
      <c r="J1162" s="513">
        <v>-15848.4</v>
      </c>
      <c r="K1162" s="513">
        <v>-11.28</v>
      </c>
      <c r="L1162" s="513">
        <v>1405</v>
      </c>
      <c r="M1162" s="513" t="s">
        <v>6059</v>
      </c>
      <c r="N1162" s="513" t="s">
        <v>780</v>
      </c>
      <c r="O1162" s="513" t="s">
        <v>1407</v>
      </c>
      <c r="P1162" s="518" t="s">
        <v>6110</v>
      </c>
      <c r="Q1162" s="152" t="s">
        <v>5873</v>
      </c>
      <c r="R1162" s="152" t="s">
        <v>6111</v>
      </c>
      <c r="S1162" s="152" t="s">
        <v>6154</v>
      </c>
      <c r="T1162" s="152" t="s">
        <v>6113</v>
      </c>
      <c r="U1162" s="152" t="s">
        <v>786</v>
      </c>
    </row>
    <row r="1163" spans="4:21">
      <c r="D1163" s="152" t="s">
        <v>2821</v>
      </c>
      <c r="G1163" s="474" t="s">
        <v>372</v>
      </c>
      <c r="H1163" s="210" t="s">
        <v>309</v>
      </c>
      <c r="I1163" s="210"/>
      <c r="J1163" s="513">
        <v>-38609.4</v>
      </c>
      <c r="K1163" s="513">
        <v>-27.48</v>
      </c>
      <c r="L1163" s="513">
        <v>1405</v>
      </c>
      <c r="M1163" s="513" t="s">
        <v>6059</v>
      </c>
      <c r="N1163" s="513" t="s">
        <v>780</v>
      </c>
      <c r="O1163" s="513" t="s">
        <v>1407</v>
      </c>
      <c r="P1163" s="518" t="s">
        <v>6110</v>
      </c>
      <c r="Q1163" s="152" t="s">
        <v>5873</v>
      </c>
      <c r="R1163" s="152" t="s">
        <v>6111</v>
      </c>
      <c r="S1163" s="152" t="s">
        <v>6155</v>
      </c>
      <c r="T1163" s="152" t="s">
        <v>6113</v>
      </c>
      <c r="U1163" s="152" t="s">
        <v>786</v>
      </c>
    </row>
    <row r="1164" spans="4:21">
      <c r="D1164" s="152" t="s">
        <v>2821</v>
      </c>
      <c r="G1164" s="474" t="s">
        <v>372</v>
      </c>
      <c r="H1164" s="210" t="s">
        <v>309</v>
      </c>
      <c r="I1164" s="210"/>
      <c r="J1164" s="513">
        <v>-26596.65</v>
      </c>
      <c r="K1164" s="513">
        <v>-18.93</v>
      </c>
      <c r="L1164" s="513">
        <v>1405</v>
      </c>
      <c r="M1164" s="513" t="s">
        <v>6059</v>
      </c>
      <c r="N1164" s="513" t="s">
        <v>780</v>
      </c>
      <c r="O1164" s="513" t="s">
        <v>1407</v>
      </c>
      <c r="P1164" s="518" t="s">
        <v>6110</v>
      </c>
      <c r="Q1164" s="152" t="s">
        <v>5873</v>
      </c>
      <c r="R1164" s="152" t="s">
        <v>6111</v>
      </c>
      <c r="S1164" s="152" t="s">
        <v>6156</v>
      </c>
      <c r="T1164" s="152" t="s">
        <v>6113</v>
      </c>
      <c r="U1164" s="152" t="s">
        <v>786</v>
      </c>
    </row>
    <row r="1165" spans="4:21">
      <c r="D1165" s="152" t="s">
        <v>2821</v>
      </c>
      <c r="G1165" s="474" t="s">
        <v>372</v>
      </c>
      <c r="H1165" s="210" t="s">
        <v>309</v>
      </c>
      <c r="I1165" s="210"/>
      <c r="J1165" s="513">
        <v>-57956.25</v>
      </c>
      <c r="K1165" s="513">
        <v>-41.25</v>
      </c>
      <c r="L1165" s="513">
        <v>1405</v>
      </c>
      <c r="M1165" s="513" t="s">
        <v>6059</v>
      </c>
      <c r="N1165" s="513" t="s">
        <v>780</v>
      </c>
      <c r="O1165" s="513" t="s">
        <v>1407</v>
      </c>
      <c r="P1165" s="518" t="s">
        <v>6110</v>
      </c>
      <c r="Q1165" s="152" t="s">
        <v>5873</v>
      </c>
      <c r="R1165" s="152" t="s">
        <v>6111</v>
      </c>
      <c r="S1165" s="152" t="s">
        <v>6157</v>
      </c>
      <c r="T1165" s="152" t="s">
        <v>6113</v>
      </c>
      <c r="U1165" s="152" t="s">
        <v>786</v>
      </c>
    </row>
    <row r="1166" spans="4:21">
      <c r="D1166" s="152" t="s">
        <v>2821</v>
      </c>
      <c r="G1166" s="474" t="s">
        <v>372</v>
      </c>
      <c r="H1166" s="210" t="s">
        <v>309</v>
      </c>
      <c r="I1166" s="210"/>
      <c r="J1166" s="513">
        <v>-2357590</v>
      </c>
      <c r="K1166" s="513">
        <v>-1678</v>
      </c>
      <c r="L1166" s="513">
        <v>1405</v>
      </c>
      <c r="M1166" s="513" t="s">
        <v>6059</v>
      </c>
      <c r="N1166" s="513" t="s">
        <v>780</v>
      </c>
      <c r="O1166" s="513" t="s">
        <v>1407</v>
      </c>
      <c r="P1166" s="518" t="s">
        <v>6110</v>
      </c>
      <c r="Q1166" s="152" t="s">
        <v>5873</v>
      </c>
      <c r="R1166" s="152" t="s">
        <v>6111</v>
      </c>
      <c r="S1166" s="152" t="s">
        <v>6158</v>
      </c>
      <c r="T1166" s="152" t="s">
        <v>6113</v>
      </c>
      <c r="U1166" s="152" t="s">
        <v>786</v>
      </c>
    </row>
    <row r="1167" spans="4:21">
      <c r="D1167" s="152" t="s">
        <v>2821</v>
      </c>
      <c r="G1167" s="474" t="s">
        <v>372</v>
      </c>
      <c r="H1167" s="210" t="s">
        <v>309</v>
      </c>
      <c r="I1167" s="210"/>
      <c r="J1167" s="513">
        <v>-4215</v>
      </c>
      <c r="K1167" s="513">
        <v>-3</v>
      </c>
      <c r="L1167" s="513">
        <v>1405</v>
      </c>
      <c r="M1167" s="513" t="s">
        <v>6059</v>
      </c>
      <c r="N1167" s="513" t="s">
        <v>780</v>
      </c>
      <c r="O1167" s="513" t="s">
        <v>1407</v>
      </c>
      <c r="P1167" s="518" t="s">
        <v>6110</v>
      </c>
      <c r="Q1167" s="152" t="s">
        <v>5873</v>
      </c>
      <c r="R1167" s="152" t="s">
        <v>6111</v>
      </c>
      <c r="S1167" s="152" t="s">
        <v>6159</v>
      </c>
      <c r="T1167" s="152" t="s">
        <v>6113</v>
      </c>
      <c r="U1167" s="152" t="s">
        <v>786</v>
      </c>
    </row>
    <row r="1168" spans="4:21">
      <c r="D1168" s="152" t="s">
        <v>2821</v>
      </c>
      <c r="G1168" s="474" t="s">
        <v>372</v>
      </c>
      <c r="H1168" s="210" t="s">
        <v>309</v>
      </c>
      <c r="I1168" s="210"/>
      <c r="J1168" s="513">
        <v>-119087.8</v>
      </c>
      <c r="K1168" s="513">
        <v>-84.76</v>
      </c>
      <c r="L1168" s="513">
        <v>1405</v>
      </c>
      <c r="M1168" s="513" t="s">
        <v>6059</v>
      </c>
      <c r="N1168" s="513" t="s">
        <v>780</v>
      </c>
      <c r="O1168" s="513" t="s">
        <v>1407</v>
      </c>
      <c r="P1168" s="518" t="s">
        <v>6110</v>
      </c>
      <c r="Q1168" s="152" t="s">
        <v>5873</v>
      </c>
      <c r="R1168" s="152" t="s">
        <v>6111</v>
      </c>
      <c r="S1168" s="152" t="s">
        <v>3840</v>
      </c>
      <c r="T1168" s="152" t="s">
        <v>6113</v>
      </c>
      <c r="U1168" s="152" t="s">
        <v>786</v>
      </c>
    </row>
    <row r="1169" spans="4:21">
      <c r="D1169" s="152" t="s">
        <v>2821</v>
      </c>
      <c r="G1169" s="474" t="s">
        <v>372</v>
      </c>
      <c r="H1169" s="210" t="s">
        <v>309</v>
      </c>
      <c r="I1169" s="210"/>
      <c r="J1169" s="513">
        <v>-6322.5</v>
      </c>
      <c r="K1169" s="513">
        <v>-4.5</v>
      </c>
      <c r="L1169" s="513">
        <v>1405</v>
      </c>
      <c r="M1169" s="513" t="s">
        <v>6059</v>
      </c>
      <c r="N1169" s="513" t="s">
        <v>780</v>
      </c>
      <c r="O1169" s="513" t="s">
        <v>1407</v>
      </c>
      <c r="P1169" s="518" t="s">
        <v>6110</v>
      </c>
      <c r="Q1169" s="152" t="s">
        <v>5873</v>
      </c>
      <c r="R1169" s="152" t="s">
        <v>6111</v>
      </c>
      <c r="S1169" s="152" t="s">
        <v>6160</v>
      </c>
      <c r="T1169" s="152" t="s">
        <v>6113</v>
      </c>
      <c r="U1169" s="152" t="s">
        <v>786</v>
      </c>
    </row>
    <row r="1170" spans="4:21">
      <c r="D1170" s="152" t="s">
        <v>2821</v>
      </c>
      <c r="G1170" s="474" t="s">
        <v>372</v>
      </c>
      <c r="H1170" s="210" t="s">
        <v>309</v>
      </c>
      <c r="I1170" s="210"/>
      <c r="J1170" s="513">
        <v>-32961.300000000003</v>
      </c>
      <c r="K1170" s="513">
        <v>-23.46</v>
      </c>
      <c r="L1170" s="513">
        <v>1405</v>
      </c>
      <c r="M1170" s="513" t="s">
        <v>6059</v>
      </c>
      <c r="N1170" s="513" t="s">
        <v>780</v>
      </c>
      <c r="O1170" s="513" t="s">
        <v>1407</v>
      </c>
      <c r="P1170" s="518" t="s">
        <v>6110</v>
      </c>
      <c r="Q1170" s="152" t="s">
        <v>5873</v>
      </c>
      <c r="R1170" s="152" t="s">
        <v>6111</v>
      </c>
      <c r="S1170" s="152" t="s">
        <v>6170</v>
      </c>
      <c r="T1170" s="152" t="s">
        <v>6113</v>
      </c>
      <c r="U1170" s="152" t="s">
        <v>786</v>
      </c>
    </row>
    <row r="1171" spans="4:21">
      <c r="D1171" s="152" t="s">
        <v>2821</v>
      </c>
      <c r="G1171" s="474" t="s">
        <v>372</v>
      </c>
      <c r="H1171" s="210" t="s">
        <v>309</v>
      </c>
      <c r="I1171" s="210"/>
      <c r="J1171" s="513">
        <v>-154550</v>
      </c>
      <c r="K1171" s="513">
        <v>-110</v>
      </c>
      <c r="L1171" s="513">
        <v>1405</v>
      </c>
      <c r="M1171" s="513" t="s">
        <v>6059</v>
      </c>
      <c r="N1171" s="513" t="s">
        <v>780</v>
      </c>
      <c r="O1171" s="513" t="s">
        <v>1407</v>
      </c>
      <c r="P1171" s="518" t="s">
        <v>6110</v>
      </c>
      <c r="Q1171" s="152" t="s">
        <v>5873</v>
      </c>
      <c r="R1171" s="152" t="s">
        <v>6111</v>
      </c>
      <c r="S1171" s="152" t="s">
        <v>3898</v>
      </c>
      <c r="T1171" s="152" t="s">
        <v>6113</v>
      </c>
      <c r="U1171" s="152" t="s">
        <v>786</v>
      </c>
    </row>
    <row r="1172" spans="4:21">
      <c r="D1172" s="152" t="s">
        <v>2821</v>
      </c>
      <c r="G1172" s="474" t="s">
        <v>372</v>
      </c>
      <c r="H1172" s="210" t="s">
        <v>309</v>
      </c>
      <c r="I1172" s="210"/>
      <c r="J1172" s="513">
        <v>-70250</v>
      </c>
      <c r="K1172" s="513">
        <v>-50</v>
      </c>
      <c r="L1172" s="513">
        <v>1405</v>
      </c>
      <c r="M1172" s="513" t="s">
        <v>6059</v>
      </c>
      <c r="N1172" s="513" t="s">
        <v>780</v>
      </c>
      <c r="O1172" s="513" t="s">
        <v>1407</v>
      </c>
      <c r="P1172" s="518" t="s">
        <v>6110</v>
      </c>
      <c r="Q1172" s="152" t="s">
        <v>5873</v>
      </c>
      <c r="R1172" s="152" t="s">
        <v>6111</v>
      </c>
      <c r="S1172" s="152" t="s">
        <v>3898</v>
      </c>
      <c r="T1172" s="152" t="s">
        <v>6113</v>
      </c>
      <c r="U1172" s="152" t="s">
        <v>786</v>
      </c>
    </row>
    <row r="1173" spans="4:21">
      <c r="D1173" s="152" t="s">
        <v>2821</v>
      </c>
      <c r="G1173" s="474" t="s">
        <v>372</v>
      </c>
      <c r="H1173" s="210" t="s">
        <v>309</v>
      </c>
      <c r="I1173" s="210"/>
      <c r="J1173" s="513">
        <v>-281000</v>
      </c>
      <c r="K1173" s="513">
        <v>-200</v>
      </c>
      <c r="L1173" s="513">
        <v>1405</v>
      </c>
      <c r="M1173" s="513" t="s">
        <v>6059</v>
      </c>
      <c r="N1173" s="513" t="s">
        <v>780</v>
      </c>
      <c r="O1173" s="513" t="s">
        <v>1407</v>
      </c>
      <c r="P1173" s="518" t="s">
        <v>6110</v>
      </c>
      <c r="Q1173" s="152" t="s">
        <v>5873</v>
      </c>
      <c r="R1173" s="152" t="s">
        <v>6111</v>
      </c>
      <c r="S1173" s="152" t="s">
        <v>3898</v>
      </c>
      <c r="T1173" s="152" t="s">
        <v>6113</v>
      </c>
      <c r="U1173" s="152" t="s">
        <v>786</v>
      </c>
    </row>
    <row r="1174" spans="4:21">
      <c r="D1174" s="152" t="s">
        <v>2821</v>
      </c>
      <c r="G1174" s="474" t="s">
        <v>372</v>
      </c>
      <c r="H1174" s="210" t="s">
        <v>309</v>
      </c>
      <c r="I1174" s="210"/>
      <c r="J1174" s="513">
        <v>-843000</v>
      </c>
      <c r="K1174" s="513">
        <v>-600</v>
      </c>
      <c r="L1174" s="513">
        <v>1405</v>
      </c>
      <c r="M1174" s="513" t="s">
        <v>6059</v>
      </c>
      <c r="N1174" s="513" t="s">
        <v>780</v>
      </c>
      <c r="O1174" s="513" t="s">
        <v>1407</v>
      </c>
      <c r="P1174" s="518" t="s">
        <v>6110</v>
      </c>
      <c r="Q1174" s="152" t="s">
        <v>5873</v>
      </c>
      <c r="R1174" s="152" t="s">
        <v>6111</v>
      </c>
      <c r="S1174" s="152" t="s">
        <v>6173</v>
      </c>
      <c r="T1174" s="152" t="s">
        <v>6113</v>
      </c>
      <c r="U1174" s="152" t="s">
        <v>786</v>
      </c>
    </row>
    <row r="1175" spans="4:21">
      <c r="D1175" s="152" t="s">
        <v>2821</v>
      </c>
      <c r="G1175" s="474" t="s">
        <v>372</v>
      </c>
      <c r="H1175" s="210" t="s">
        <v>309</v>
      </c>
      <c r="I1175" s="210"/>
      <c r="J1175" s="513">
        <v>-554975</v>
      </c>
      <c r="K1175" s="513">
        <v>-395</v>
      </c>
      <c r="L1175" s="513">
        <v>1405</v>
      </c>
      <c r="M1175" s="513" t="s">
        <v>6059</v>
      </c>
      <c r="N1175" s="513" t="s">
        <v>780</v>
      </c>
      <c r="O1175" s="513" t="s">
        <v>1407</v>
      </c>
      <c r="P1175" s="518" t="s">
        <v>6110</v>
      </c>
      <c r="Q1175" s="152" t="s">
        <v>5873</v>
      </c>
      <c r="R1175" s="152" t="s">
        <v>6111</v>
      </c>
      <c r="S1175" s="152" t="s">
        <v>6173</v>
      </c>
      <c r="T1175" s="152" t="s">
        <v>6113</v>
      </c>
      <c r="U1175" s="152" t="s">
        <v>786</v>
      </c>
    </row>
    <row r="1176" spans="4:21">
      <c r="D1176" s="152" t="s">
        <v>2821</v>
      </c>
      <c r="G1176" s="474" t="s">
        <v>372</v>
      </c>
      <c r="H1176" s="210" t="s">
        <v>309</v>
      </c>
      <c r="I1176" s="210"/>
      <c r="J1176" s="513">
        <v>-77275</v>
      </c>
      <c r="K1176" s="513">
        <v>-55</v>
      </c>
      <c r="L1176" s="513">
        <v>1405</v>
      </c>
      <c r="M1176" s="513" t="s">
        <v>6059</v>
      </c>
      <c r="N1176" s="513" t="s">
        <v>780</v>
      </c>
      <c r="O1176" s="513" t="s">
        <v>1407</v>
      </c>
      <c r="P1176" s="518" t="s">
        <v>6110</v>
      </c>
      <c r="Q1176" s="152" t="s">
        <v>5873</v>
      </c>
      <c r="R1176" s="152" t="s">
        <v>6111</v>
      </c>
      <c r="S1176" s="152" t="s">
        <v>6184</v>
      </c>
      <c r="T1176" s="152" t="s">
        <v>6113</v>
      </c>
      <c r="U1176" s="152" t="s">
        <v>786</v>
      </c>
    </row>
    <row r="1177" spans="4:21">
      <c r="D1177" s="152" t="s">
        <v>2821</v>
      </c>
      <c r="G1177" s="474" t="s">
        <v>372</v>
      </c>
      <c r="H1177" s="210" t="s">
        <v>309</v>
      </c>
      <c r="I1177" s="210"/>
      <c r="J1177" s="513">
        <v>-154550</v>
      </c>
      <c r="K1177" s="513">
        <v>-110</v>
      </c>
      <c r="L1177" s="513">
        <v>1405</v>
      </c>
      <c r="M1177" s="513" t="s">
        <v>6059</v>
      </c>
      <c r="N1177" s="513" t="s">
        <v>780</v>
      </c>
      <c r="O1177" s="513" t="s">
        <v>1407</v>
      </c>
      <c r="P1177" s="518" t="s">
        <v>6110</v>
      </c>
      <c r="Q1177" s="152" t="s">
        <v>5873</v>
      </c>
      <c r="R1177" s="152" t="s">
        <v>6111</v>
      </c>
      <c r="S1177" s="152" t="s">
        <v>3948</v>
      </c>
      <c r="T1177" s="152" t="s">
        <v>6113</v>
      </c>
      <c r="U1177" s="152" t="s">
        <v>786</v>
      </c>
    </row>
    <row r="1178" spans="4:21">
      <c r="D1178" s="152" t="s">
        <v>2821</v>
      </c>
      <c r="G1178" s="474" t="s">
        <v>372</v>
      </c>
      <c r="H1178" s="210" t="s">
        <v>309</v>
      </c>
      <c r="I1178" s="210"/>
      <c r="J1178" s="513">
        <v>-231825</v>
      </c>
      <c r="K1178" s="513">
        <v>-165</v>
      </c>
      <c r="L1178" s="513">
        <v>1405</v>
      </c>
      <c r="M1178" s="513" t="s">
        <v>6059</v>
      </c>
      <c r="N1178" s="513" t="s">
        <v>780</v>
      </c>
      <c r="O1178" s="513" t="s">
        <v>1407</v>
      </c>
      <c r="P1178" s="518" t="s">
        <v>6110</v>
      </c>
      <c r="Q1178" s="152" t="s">
        <v>5873</v>
      </c>
      <c r="R1178" s="152" t="s">
        <v>6111</v>
      </c>
      <c r="S1178" s="152" t="s">
        <v>3951</v>
      </c>
      <c r="T1178" s="152" t="s">
        <v>6113</v>
      </c>
      <c r="U1178" s="152" t="s">
        <v>786</v>
      </c>
    </row>
    <row r="1179" spans="4:21">
      <c r="D1179" s="152" t="s">
        <v>2821</v>
      </c>
      <c r="G1179" s="474" t="s">
        <v>372</v>
      </c>
      <c r="H1179" s="210" t="s">
        <v>309</v>
      </c>
      <c r="I1179" s="210"/>
      <c r="J1179" s="513">
        <v>-1686000</v>
      </c>
      <c r="K1179" s="513">
        <v>-1200</v>
      </c>
      <c r="L1179" s="513">
        <v>1405</v>
      </c>
      <c r="M1179" s="513" t="s">
        <v>6059</v>
      </c>
      <c r="N1179" s="513" t="s">
        <v>780</v>
      </c>
      <c r="O1179" s="513" t="s">
        <v>1407</v>
      </c>
      <c r="P1179" s="518" t="s">
        <v>6110</v>
      </c>
      <c r="Q1179" s="152" t="s">
        <v>5873</v>
      </c>
      <c r="R1179" s="152" t="s">
        <v>6111</v>
      </c>
      <c r="S1179" s="152" t="s">
        <v>6186</v>
      </c>
      <c r="T1179" s="152" t="s">
        <v>6113</v>
      </c>
      <c r="U1179" s="152" t="s">
        <v>786</v>
      </c>
    </row>
    <row r="1180" spans="4:21">
      <c r="D1180" s="152" t="s">
        <v>2821</v>
      </c>
      <c r="G1180" s="474" t="s">
        <v>372</v>
      </c>
      <c r="H1180" s="210" t="s">
        <v>309</v>
      </c>
      <c r="I1180" s="210"/>
      <c r="J1180" s="513">
        <v>-263437.5</v>
      </c>
      <c r="K1180" s="513">
        <v>-187.5</v>
      </c>
      <c r="L1180" s="513">
        <v>1405</v>
      </c>
      <c r="M1180" s="513" t="s">
        <v>6059</v>
      </c>
      <c r="N1180" s="513" t="s">
        <v>780</v>
      </c>
      <c r="O1180" s="513" t="s">
        <v>1407</v>
      </c>
      <c r="P1180" s="518" t="s">
        <v>6110</v>
      </c>
      <c r="Q1180" s="152" t="s">
        <v>5873</v>
      </c>
      <c r="R1180" s="152" t="s">
        <v>6111</v>
      </c>
      <c r="S1180" s="152" t="s">
        <v>6188</v>
      </c>
      <c r="T1180" s="152" t="s">
        <v>6113</v>
      </c>
      <c r="U1180" s="152" t="s">
        <v>786</v>
      </c>
    </row>
    <row r="1181" spans="4:21">
      <c r="D1181" s="152" t="s">
        <v>2821</v>
      </c>
      <c r="G1181" s="474" t="s">
        <v>372</v>
      </c>
      <c r="H1181" s="210" t="s">
        <v>309</v>
      </c>
      <c r="I1181" s="210"/>
      <c r="J1181" s="513">
        <v>-1351792.65</v>
      </c>
      <c r="K1181" s="513">
        <v>-962.13</v>
      </c>
      <c r="L1181" s="513">
        <v>1405</v>
      </c>
      <c r="M1181" s="513" t="s">
        <v>6059</v>
      </c>
      <c r="N1181" s="513" t="s">
        <v>780</v>
      </c>
      <c r="O1181" s="513" t="s">
        <v>1407</v>
      </c>
      <c r="P1181" s="518" t="s">
        <v>6110</v>
      </c>
      <c r="Q1181" s="152" t="s">
        <v>5873</v>
      </c>
      <c r="R1181" s="152" t="s">
        <v>6111</v>
      </c>
      <c r="S1181" s="152" t="s">
        <v>4043</v>
      </c>
      <c r="T1181" s="152" t="s">
        <v>6113</v>
      </c>
      <c r="U1181" s="152" t="s">
        <v>786</v>
      </c>
    </row>
    <row r="1182" spans="4:21">
      <c r="D1182" s="152" t="s">
        <v>2821</v>
      </c>
      <c r="G1182" s="474" t="s">
        <v>372</v>
      </c>
      <c r="H1182" s="210" t="s">
        <v>309</v>
      </c>
      <c r="I1182" s="210"/>
      <c r="J1182" s="513">
        <v>-1545500</v>
      </c>
      <c r="K1182" s="513">
        <v>-1100</v>
      </c>
      <c r="L1182" s="513">
        <v>1405</v>
      </c>
      <c r="M1182" s="513" t="s">
        <v>6059</v>
      </c>
      <c r="N1182" s="513" t="s">
        <v>780</v>
      </c>
      <c r="O1182" s="513" t="s">
        <v>1407</v>
      </c>
      <c r="P1182" s="518" t="s">
        <v>6110</v>
      </c>
      <c r="Q1182" s="152" t="s">
        <v>5873</v>
      </c>
      <c r="R1182" s="152" t="s">
        <v>6111</v>
      </c>
      <c r="S1182" s="152" t="s">
        <v>6211</v>
      </c>
      <c r="T1182" s="152" t="s">
        <v>6113</v>
      </c>
      <c r="U1182" s="152" t="s">
        <v>786</v>
      </c>
    </row>
    <row r="1183" spans="4:21">
      <c r="D1183" s="152" t="s">
        <v>2821</v>
      </c>
      <c r="G1183" s="474" t="s">
        <v>372</v>
      </c>
      <c r="H1183" s="210" t="s">
        <v>309</v>
      </c>
      <c r="I1183" s="210"/>
      <c r="J1183" s="513">
        <v>-1334750</v>
      </c>
      <c r="K1183" s="513">
        <v>-950</v>
      </c>
      <c r="L1183" s="513">
        <v>1405</v>
      </c>
      <c r="M1183" s="513" t="s">
        <v>6059</v>
      </c>
      <c r="N1183" s="513" t="s">
        <v>780</v>
      </c>
      <c r="O1183" s="513" t="s">
        <v>1407</v>
      </c>
      <c r="P1183" s="518" t="s">
        <v>6110</v>
      </c>
      <c r="Q1183" s="152" t="s">
        <v>5873</v>
      </c>
      <c r="R1183" s="152" t="s">
        <v>6111</v>
      </c>
      <c r="S1183" s="152" t="s">
        <v>6212</v>
      </c>
      <c r="T1183" s="152" t="s">
        <v>6113</v>
      </c>
      <c r="U1183" s="152" t="s">
        <v>786</v>
      </c>
    </row>
    <row r="1184" spans="4:21">
      <c r="D1184" s="152" t="s">
        <v>2821</v>
      </c>
      <c r="G1184" s="474" t="s">
        <v>372</v>
      </c>
      <c r="H1184" s="210" t="s">
        <v>309</v>
      </c>
      <c r="I1184" s="210"/>
      <c r="J1184" s="513">
        <v>-997550</v>
      </c>
      <c r="K1184" s="513">
        <v>-710</v>
      </c>
      <c r="L1184" s="513">
        <v>1405</v>
      </c>
      <c r="M1184" s="513" t="s">
        <v>6059</v>
      </c>
      <c r="N1184" s="513" t="s">
        <v>780</v>
      </c>
      <c r="O1184" s="513" t="s">
        <v>1407</v>
      </c>
      <c r="P1184" s="518" t="s">
        <v>6110</v>
      </c>
      <c r="Q1184" s="152" t="s">
        <v>5873</v>
      </c>
      <c r="R1184" s="152" t="s">
        <v>6111</v>
      </c>
      <c r="S1184" s="152" t="s">
        <v>4088</v>
      </c>
      <c r="T1184" s="152" t="s">
        <v>6113</v>
      </c>
      <c r="U1184" s="152" t="s">
        <v>786</v>
      </c>
    </row>
    <row r="1185" spans="4:21">
      <c r="D1185" s="152" t="s">
        <v>2821</v>
      </c>
      <c r="G1185" s="474" t="s">
        <v>372</v>
      </c>
      <c r="H1185" s="210" t="s">
        <v>309</v>
      </c>
      <c r="I1185" s="210"/>
      <c r="J1185" s="513">
        <v>6561350</v>
      </c>
      <c r="K1185" s="513">
        <v>4670</v>
      </c>
      <c r="L1185" s="513">
        <v>1405</v>
      </c>
      <c r="M1185" s="513" t="s">
        <v>6296</v>
      </c>
      <c r="N1185" s="513" t="s">
        <v>1540</v>
      </c>
      <c r="O1185" s="513" t="s">
        <v>1407</v>
      </c>
      <c r="P1185" s="518" t="s">
        <v>6297</v>
      </c>
      <c r="Q1185" s="152" t="s">
        <v>5933</v>
      </c>
      <c r="R1185" s="152" t="s">
        <v>6298</v>
      </c>
      <c r="S1185" s="152" t="s">
        <v>6298</v>
      </c>
      <c r="T1185" s="152" t="s">
        <v>6299</v>
      </c>
      <c r="U1185" s="152" t="s">
        <v>786</v>
      </c>
    </row>
    <row r="1186" spans="4:21">
      <c r="D1186" s="152" t="s">
        <v>2821</v>
      </c>
      <c r="G1186" s="474" t="s">
        <v>372</v>
      </c>
      <c r="H1186" s="210" t="s">
        <v>309</v>
      </c>
      <c r="I1186" s="210"/>
      <c r="J1186" s="513">
        <v>-6561350</v>
      </c>
      <c r="K1186" s="513">
        <v>-4670</v>
      </c>
      <c r="L1186" s="513">
        <v>1405</v>
      </c>
      <c r="M1186" s="513" t="s">
        <v>6296</v>
      </c>
      <c r="N1186" s="513" t="s">
        <v>1540</v>
      </c>
      <c r="O1186" s="513" t="s">
        <v>1407</v>
      </c>
      <c r="P1186" s="518" t="s">
        <v>6300</v>
      </c>
      <c r="Q1186" s="152" t="s">
        <v>5933</v>
      </c>
      <c r="R1186" s="152" t="s">
        <v>6301</v>
      </c>
      <c r="S1186" s="152" t="s">
        <v>6301</v>
      </c>
      <c r="T1186" s="152" t="s">
        <v>6302</v>
      </c>
      <c r="U1186" s="152" t="s">
        <v>786</v>
      </c>
    </row>
    <row r="1187" spans="4:21">
      <c r="D1187" s="152" t="s">
        <v>2821</v>
      </c>
      <c r="G1187" s="474" t="s">
        <v>372</v>
      </c>
      <c r="H1187" s="210" t="s">
        <v>309</v>
      </c>
      <c r="I1187" s="210"/>
      <c r="J1187" s="513">
        <v>-31612.5</v>
      </c>
      <c r="K1187" s="513">
        <v>-22.5</v>
      </c>
      <c r="L1187" s="513">
        <v>1405</v>
      </c>
      <c r="M1187" s="513" t="s">
        <v>6303</v>
      </c>
      <c r="N1187" s="513" t="s">
        <v>780</v>
      </c>
      <c r="O1187" s="513" t="s">
        <v>1407</v>
      </c>
      <c r="P1187" s="518" t="s">
        <v>6345</v>
      </c>
      <c r="Q1187" s="152" t="s">
        <v>5873</v>
      </c>
      <c r="R1187" s="152" t="s">
        <v>6346</v>
      </c>
      <c r="S1187" s="152" t="s">
        <v>6416</v>
      </c>
      <c r="T1187" s="152" t="s">
        <v>6348</v>
      </c>
      <c r="U1187" s="152" t="s">
        <v>786</v>
      </c>
    </row>
    <row r="1188" spans="4:21">
      <c r="D1188" s="152" t="s">
        <v>2821</v>
      </c>
      <c r="G1188" s="474" t="s">
        <v>372</v>
      </c>
      <c r="H1188" s="210" t="s">
        <v>309</v>
      </c>
      <c r="I1188" s="210"/>
      <c r="J1188" s="513">
        <v>-100471.55</v>
      </c>
      <c r="K1188" s="513">
        <v>-71.510000000000005</v>
      </c>
      <c r="L1188" s="513">
        <v>1405</v>
      </c>
      <c r="M1188" s="513" t="s">
        <v>6303</v>
      </c>
      <c r="N1188" s="513" t="s">
        <v>780</v>
      </c>
      <c r="O1188" s="513" t="s">
        <v>1407</v>
      </c>
      <c r="P1188" s="518" t="s">
        <v>6345</v>
      </c>
      <c r="Q1188" s="152" t="s">
        <v>5873</v>
      </c>
      <c r="R1188" s="152" t="s">
        <v>6346</v>
      </c>
      <c r="S1188" s="152" t="s">
        <v>6417</v>
      </c>
      <c r="T1188" s="152" t="s">
        <v>6348</v>
      </c>
      <c r="U1188" s="152" t="s">
        <v>786</v>
      </c>
    </row>
    <row r="1189" spans="4:21">
      <c r="D1189" s="152" t="s">
        <v>2821</v>
      </c>
      <c r="G1189" s="474" t="s">
        <v>372</v>
      </c>
      <c r="H1189" s="210" t="s">
        <v>309</v>
      </c>
      <c r="I1189" s="210"/>
      <c r="J1189" s="513">
        <v>-77345.25</v>
      </c>
      <c r="K1189" s="513">
        <v>-55.05</v>
      </c>
      <c r="L1189" s="513">
        <v>1405</v>
      </c>
      <c r="M1189" s="513" t="s">
        <v>6303</v>
      </c>
      <c r="N1189" s="513" t="s">
        <v>780</v>
      </c>
      <c r="O1189" s="513" t="s">
        <v>1407</v>
      </c>
      <c r="P1189" s="518" t="s">
        <v>6345</v>
      </c>
      <c r="Q1189" s="152" t="s">
        <v>5873</v>
      </c>
      <c r="R1189" s="152" t="s">
        <v>6346</v>
      </c>
      <c r="S1189" s="152" t="s">
        <v>6483</v>
      </c>
      <c r="T1189" s="152" t="s">
        <v>6348</v>
      </c>
      <c r="U1189" s="152" t="s">
        <v>786</v>
      </c>
    </row>
    <row r="1190" spans="4:21">
      <c r="D1190" s="152" t="s">
        <v>2821</v>
      </c>
      <c r="G1190" s="474" t="s">
        <v>372</v>
      </c>
      <c r="H1190" s="210" t="s">
        <v>309</v>
      </c>
      <c r="I1190" s="210"/>
      <c r="J1190" s="513">
        <v>-14583.9</v>
      </c>
      <c r="K1190" s="513">
        <v>-10.38</v>
      </c>
      <c r="L1190" s="513">
        <v>1405</v>
      </c>
      <c r="M1190" s="513" t="s">
        <v>6303</v>
      </c>
      <c r="N1190" s="513" t="s">
        <v>780</v>
      </c>
      <c r="O1190" s="513" t="s">
        <v>1407</v>
      </c>
      <c r="P1190" s="518" t="s">
        <v>6345</v>
      </c>
      <c r="Q1190" s="152" t="s">
        <v>5873</v>
      </c>
      <c r="R1190" s="152" t="s">
        <v>6346</v>
      </c>
      <c r="S1190" s="152" t="s">
        <v>6496</v>
      </c>
      <c r="T1190" s="152" t="s">
        <v>6348</v>
      </c>
      <c r="U1190" s="152" t="s">
        <v>786</v>
      </c>
    </row>
    <row r="1191" spans="4:21">
      <c r="D1191" s="152" t="s">
        <v>2821</v>
      </c>
      <c r="G1191" s="474" t="s">
        <v>372</v>
      </c>
      <c r="H1191" s="210" t="s">
        <v>309</v>
      </c>
      <c r="I1191" s="210"/>
      <c r="J1191" s="513">
        <v>-128248.4</v>
      </c>
      <c r="K1191" s="513">
        <v>-91.28</v>
      </c>
      <c r="L1191" s="513">
        <v>1405</v>
      </c>
      <c r="M1191" s="513" t="s">
        <v>6303</v>
      </c>
      <c r="N1191" s="513" t="s">
        <v>780</v>
      </c>
      <c r="O1191" s="513" t="s">
        <v>1407</v>
      </c>
      <c r="P1191" s="518" t="s">
        <v>6345</v>
      </c>
      <c r="Q1191" s="152" t="s">
        <v>5873</v>
      </c>
      <c r="R1191" s="152" t="s">
        <v>6346</v>
      </c>
      <c r="S1191" s="152" t="s">
        <v>6497</v>
      </c>
      <c r="T1191" s="152" t="s">
        <v>6348</v>
      </c>
      <c r="U1191" s="152" t="s">
        <v>786</v>
      </c>
    </row>
    <row r="1192" spans="4:21">
      <c r="D1192" s="152" t="s">
        <v>2821</v>
      </c>
      <c r="G1192" s="474" t="s">
        <v>372</v>
      </c>
      <c r="H1192" s="210" t="s">
        <v>309</v>
      </c>
      <c r="I1192" s="210"/>
      <c r="J1192" s="513">
        <v>-232358.9</v>
      </c>
      <c r="K1192" s="513">
        <v>-165.38</v>
      </c>
      <c r="L1192" s="513">
        <v>1405</v>
      </c>
      <c r="M1192" s="513" t="s">
        <v>6303</v>
      </c>
      <c r="N1192" s="513" t="s">
        <v>780</v>
      </c>
      <c r="O1192" s="513" t="s">
        <v>1407</v>
      </c>
      <c r="P1192" s="518" t="s">
        <v>6345</v>
      </c>
      <c r="Q1192" s="152" t="s">
        <v>5873</v>
      </c>
      <c r="R1192" s="152" t="s">
        <v>6346</v>
      </c>
      <c r="S1192" s="152" t="s">
        <v>6498</v>
      </c>
      <c r="T1192" s="152" t="s">
        <v>6348</v>
      </c>
      <c r="U1192" s="152" t="s">
        <v>786</v>
      </c>
    </row>
    <row r="1193" spans="4:21">
      <c r="D1193" s="152" t="s">
        <v>2821</v>
      </c>
      <c r="G1193" s="474" t="s">
        <v>372</v>
      </c>
      <c r="H1193" s="210" t="s">
        <v>309</v>
      </c>
      <c r="I1193" s="210"/>
      <c r="J1193" s="513">
        <v>-162108.9</v>
      </c>
      <c r="K1193" s="513">
        <v>-115.38</v>
      </c>
      <c r="L1193" s="513">
        <v>1405</v>
      </c>
      <c r="M1193" s="513" t="s">
        <v>6303</v>
      </c>
      <c r="N1193" s="513" t="s">
        <v>780</v>
      </c>
      <c r="O1193" s="513" t="s">
        <v>1407</v>
      </c>
      <c r="P1193" s="518" t="s">
        <v>6345</v>
      </c>
      <c r="Q1193" s="152" t="s">
        <v>5873</v>
      </c>
      <c r="R1193" s="152" t="s">
        <v>6346</v>
      </c>
      <c r="S1193" s="152" t="s">
        <v>6499</v>
      </c>
      <c r="T1193" s="152" t="s">
        <v>6348</v>
      </c>
      <c r="U1193" s="152" t="s">
        <v>786</v>
      </c>
    </row>
    <row r="1194" spans="4:21">
      <c r="D1194" s="152" t="s">
        <v>2821</v>
      </c>
      <c r="G1194" s="474" t="s">
        <v>372</v>
      </c>
      <c r="H1194" s="210" t="s">
        <v>309</v>
      </c>
      <c r="I1194" s="210"/>
      <c r="J1194" s="513">
        <v>-30446.35</v>
      </c>
      <c r="K1194" s="513">
        <v>-21.67</v>
      </c>
      <c r="L1194" s="513">
        <v>1405</v>
      </c>
      <c r="M1194" s="513" t="s">
        <v>6303</v>
      </c>
      <c r="N1194" s="513" t="s">
        <v>780</v>
      </c>
      <c r="O1194" s="513" t="s">
        <v>1407</v>
      </c>
      <c r="P1194" s="518" t="s">
        <v>6345</v>
      </c>
      <c r="Q1194" s="152" t="s">
        <v>5873</v>
      </c>
      <c r="R1194" s="152" t="s">
        <v>6346</v>
      </c>
      <c r="S1194" s="152" t="s">
        <v>6500</v>
      </c>
      <c r="T1194" s="152" t="s">
        <v>6348</v>
      </c>
      <c r="U1194" s="152" t="s">
        <v>786</v>
      </c>
    </row>
    <row r="1195" spans="4:21">
      <c r="D1195" s="152" t="s">
        <v>2821</v>
      </c>
      <c r="G1195" s="474" t="s">
        <v>372</v>
      </c>
      <c r="H1195" s="210" t="s">
        <v>309</v>
      </c>
      <c r="I1195" s="210"/>
      <c r="J1195" s="513">
        <v>-794330.8</v>
      </c>
      <c r="K1195" s="513">
        <v>-565.36</v>
      </c>
      <c r="L1195" s="513">
        <v>1405</v>
      </c>
      <c r="M1195" s="513" t="s">
        <v>6303</v>
      </c>
      <c r="N1195" s="513" t="s">
        <v>780</v>
      </c>
      <c r="O1195" s="513" t="s">
        <v>1407</v>
      </c>
      <c r="P1195" s="518" t="s">
        <v>6345</v>
      </c>
      <c r="Q1195" s="152" t="s">
        <v>5873</v>
      </c>
      <c r="R1195" s="152" t="s">
        <v>6346</v>
      </c>
      <c r="S1195" s="152" t="s">
        <v>6501</v>
      </c>
      <c r="T1195" s="152" t="s">
        <v>6348</v>
      </c>
      <c r="U1195" s="152" t="s">
        <v>786</v>
      </c>
    </row>
    <row r="1196" spans="4:21">
      <c r="D1196" s="152" t="s">
        <v>2821</v>
      </c>
      <c r="G1196" s="474" t="s">
        <v>372</v>
      </c>
      <c r="H1196" s="210" t="s">
        <v>309</v>
      </c>
      <c r="I1196" s="210"/>
      <c r="J1196" s="513">
        <v>-42360.75</v>
      </c>
      <c r="K1196" s="513">
        <v>-30.15</v>
      </c>
      <c r="L1196" s="513">
        <v>1405</v>
      </c>
      <c r="M1196" s="513" t="s">
        <v>6303</v>
      </c>
      <c r="N1196" s="513" t="s">
        <v>780</v>
      </c>
      <c r="O1196" s="513" t="s">
        <v>1407</v>
      </c>
      <c r="P1196" s="518" t="s">
        <v>6345</v>
      </c>
      <c r="Q1196" s="152" t="s">
        <v>5873</v>
      </c>
      <c r="R1196" s="152" t="s">
        <v>6346</v>
      </c>
      <c r="S1196" s="152" t="s">
        <v>6502</v>
      </c>
      <c r="T1196" s="152" t="s">
        <v>6348</v>
      </c>
      <c r="U1196" s="152" t="s">
        <v>786</v>
      </c>
    </row>
    <row r="1197" spans="4:21">
      <c r="D1197" s="152" t="s">
        <v>2821</v>
      </c>
      <c r="G1197" s="474" t="s">
        <v>372</v>
      </c>
      <c r="H1197" s="210" t="s">
        <v>309</v>
      </c>
      <c r="I1197" s="210"/>
      <c r="J1197" s="513">
        <v>-119776.25</v>
      </c>
      <c r="K1197" s="513">
        <v>-85.25</v>
      </c>
      <c r="L1197" s="513">
        <v>1405</v>
      </c>
      <c r="M1197" s="513" t="s">
        <v>6303</v>
      </c>
      <c r="N1197" s="513" t="s">
        <v>780</v>
      </c>
      <c r="O1197" s="513" t="s">
        <v>1407</v>
      </c>
      <c r="P1197" s="518" t="s">
        <v>6345</v>
      </c>
      <c r="Q1197" s="152" t="s">
        <v>5873</v>
      </c>
      <c r="R1197" s="152" t="s">
        <v>6346</v>
      </c>
      <c r="S1197" s="152" t="s">
        <v>6503</v>
      </c>
      <c r="T1197" s="152" t="s">
        <v>6348</v>
      </c>
      <c r="U1197" s="152" t="s">
        <v>786</v>
      </c>
    </row>
    <row r="1198" spans="4:21">
      <c r="D1198" s="152" t="s">
        <v>2821</v>
      </c>
      <c r="G1198" s="474" t="s">
        <v>372</v>
      </c>
      <c r="H1198" s="210" t="s">
        <v>309</v>
      </c>
      <c r="I1198" s="210"/>
      <c r="J1198" s="513">
        <v>-111051.2</v>
      </c>
      <c r="K1198" s="513">
        <v>-79.040000000000006</v>
      </c>
      <c r="L1198" s="513">
        <v>1405</v>
      </c>
      <c r="M1198" s="513" t="s">
        <v>6303</v>
      </c>
      <c r="N1198" s="513" t="s">
        <v>780</v>
      </c>
      <c r="O1198" s="513" t="s">
        <v>1407</v>
      </c>
      <c r="P1198" s="518" t="s">
        <v>6345</v>
      </c>
      <c r="Q1198" s="152" t="s">
        <v>5873</v>
      </c>
      <c r="R1198" s="152" t="s">
        <v>6346</v>
      </c>
      <c r="S1198" s="152" t="s">
        <v>6504</v>
      </c>
      <c r="T1198" s="152" t="s">
        <v>6348</v>
      </c>
      <c r="U1198" s="152" t="s">
        <v>786</v>
      </c>
    </row>
    <row r="1199" spans="4:21">
      <c r="D1199" s="152" t="s">
        <v>2821</v>
      </c>
      <c r="G1199" s="474" t="s">
        <v>372</v>
      </c>
      <c r="H1199" s="210" t="s">
        <v>309</v>
      </c>
      <c r="I1199" s="210"/>
      <c r="J1199" s="513">
        <v>-397615</v>
      </c>
      <c r="K1199" s="513">
        <v>-283</v>
      </c>
      <c r="L1199" s="513">
        <v>1405</v>
      </c>
      <c r="M1199" s="513" t="s">
        <v>6303</v>
      </c>
      <c r="N1199" s="513" t="s">
        <v>780</v>
      </c>
      <c r="O1199" s="513" t="s">
        <v>1407</v>
      </c>
      <c r="P1199" s="518" t="s">
        <v>6345</v>
      </c>
      <c r="Q1199" s="152" t="s">
        <v>5873</v>
      </c>
      <c r="R1199" s="152" t="s">
        <v>6346</v>
      </c>
      <c r="S1199" s="152" t="s">
        <v>3837</v>
      </c>
      <c r="T1199" s="152" t="s">
        <v>6348</v>
      </c>
      <c r="U1199" s="152" t="s">
        <v>786</v>
      </c>
    </row>
    <row r="1200" spans="4:21">
      <c r="D1200" s="152" t="s">
        <v>2821</v>
      </c>
      <c r="G1200" s="474" t="s">
        <v>372</v>
      </c>
      <c r="H1200" s="210" t="s">
        <v>309</v>
      </c>
      <c r="I1200" s="210"/>
      <c r="J1200" s="513">
        <v>-98673.15</v>
      </c>
      <c r="K1200" s="513">
        <v>-70.23</v>
      </c>
      <c r="L1200" s="513">
        <v>1405</v>
      </c>
      <c r="M1200" s="513" t="s">
        <v>6303</v>
      </c>
      <c r="N1200" s="513" t="s">
        <v>780</v>
      </c>
      <c r="O1200" s="513" t="s">
        <v>1407</v>
      </c>
      <c r="P1200" s="518" t="s">
        <v>6345</v>
      </c>
      <c r="Q1200" s="152" t="s">
        <v>5873</v>
      </c>
      <c r="R1200" s="152" t="s">
        <v>6346</v>
      </c>
      <c r="S1200" s="152" t="s">
        <v>3840</v>
      </c>
      <c r="T1200" s="152" t="s">
        <v>6348</v>
      </c>
      <c r="U1200" s="152" t="s">
        <v>786</v>
      </c>
    </row>
    <row r="1201" spans="4:21">
      <c r="D1201" s="152" t="s">
        <v>2821</v>
      </c>
      <c r="G1201" s="474" t="s">
        <v>372</v>
      </c>
      <c r="H1201" s="210" t="s">
        <v>309</v>
      </c>
      <c r="I1201" s="210"/>
      <c r="J1201" s="513">
        <v>-96354.9</v>
      </c>
      <c r="K1201" s="513">
        <v>-68.58</v>
      </c>
      <c r="L1201" s="513">
        <v>1405</v>
      </c>
      <c r="M1201" s="513" t="s">
        <v>6303</v>
      </c>
      <c r="N1201" s="513" t="s">
        <v>780</v>
      </c>
      <c r="O1201" s="513" t="s">
        <v>1407</v>
      </c>
      <c r="P1201" s="518" t="s">
        <v>6345</v>
      </c>
      <c r="Q1201" s="152" t="s">
        <v>5873</v>
      </c>
      <c r="R1201" s="152" t="s">
        <v>6346</v>
      </c>
      <c r="S1201" s="152" t="s">
        <v>3840</v>
      </c>
      <c r="T1201" s="152" t="s">
        <v>6348</v>
      </c>
      <c r="U1201" s="152" t="s">
        <v>786</v>
      </c>
    </row>
    <row r="1202" spans="4:21">
      <c r="D1202" s="152" t="s">
        <v>2821</v>
      </c>
      <c r="G1202" s="474" t="s">
        <v>372</v>
      </c>
      <c r="H1202" s="210" t="s">
        <v>309</v>
      </c>
      <c r="I1202" s="210"/>
      <c r="J1202" s="513">
        <v>-58223.199999999997</v>
      </c>
      <c r="K1202" s="513">
        <v>-41.44</v>
      </c>
      <c r="L1202" s="513">
        <v>1405</v>
      </c>
      <c r="M1202" s="513" t="s">
        <v>6303</v>
      </c>
      <c r="N1202" s="513" t="s">
        <v>780</v>
      </c>
      <c r="O1202" s="513" t="s">
        <v>1407</v>
      </c>
      <c r="P1202" s="518" t="s">
        <v>6345</v>
      </c>
      <c r="Q1202" s="152" t="s">
        <v>5873</v>
      </c>
      <c r="R1202" s="152" t="s">
        <v>6346</v>
      </c>
      <c r="S1202" s="152" t="s">
        <v>6505</v>
      </c>
      <c r="T1202" s="152" t="s">
        <v>6348</v>
      </c>
      <c r="U1202" s="152" t="s">
        <v>786</v>
      </c>
    </row>
    <row r="1203" spans="4:21">
      <c r="D1203" s="152" t="s">
        <v>2821</v>
      </c>
      <c r="G1203" s="474" t="s">
        <v>372</v>
      </c>
      <c r="H1203" s="210" t="s">
        <v>309</v>
      </c>
      <c r="I1203" s="210"/>
      <c r="J1203" s="513">
        <v>-51914.75</v>
      </c>
      <c r="K1203" s="513">
        <v>-36.950000000000003</v>
      </c>
      <c r="L1203" s="513">
        <v>1405</v>
      </c>
      <c r="M1203" s="513" t="s">
        <v>6303</v>
      </c>
      <c r="N1203" s="513" t="s">
        <v>780</v>
      </c>
      <c r="O1203" s="513" t="s">
        <v>1407</v>
      </c>
      <c r="P1203" s="518" t="s">
        <v>6345</v>
      </c>
      <c r="Q1203" s="152" t="s">
        <v>5873</v>
      </c>
      <c r="R1203" s="152" t="s">
        <v>6346</v>
      </c>
      <c r="S1203" s="152" t="s">
        <v>6506</v>
      </c>
      <c r="T1203" s="152" t="s">
        <v>6348</v>
      </c>
      <c r="U1203" s="152" t="s">
        <v>786</v>
      </c>
    </row>
    <row r="1204" spans="4:21">
      <c r="D1204" s="152" t="s">
        <v>2821</v>
      </c>
      <c r="G1204" s="474" t="s">
        <v>372</v>
      </c>
      <c r="H1204" s="210" t="s">
        <v>309</v>
      </c>
      <c r="I1204" s="210"/>
      <c r="J1204" s="513">
        <v>-295050</v>
      </c>
      <c r="K1204" s="513">
        <v>-210</v>
      </c>
      <c r="L1204" s="513">
        <v>1405</v>
      </c>
      <c r="M1204" s="513" t="s">
        <v>6303</v>
      </c>
      <c r="N1204" s="513" t="s">
        <v>780</v>
      </c>
      <c r="O1204" s="513" t="s">
        <v>1407</v>
      </c>
      <c r="P1204" s="518" t="s">
        <v>6345</v>
      </c>
      <c r="Q1204" s="152" t="s">
        <v>5873</v>
      </c>
      <c r="R1204" s="152" t="s">
        <v>6346</v>
      </c>
      <c r="S1204" s="152" t="s">
        <v>6507</v>
      </c>
      <c r="T1204" s="152" t="s">
        <v>6348</v>
      </c>
      <c r="U1204" s="152" t="s">
        <v>786</v>
      </c>
    </row>
    <row r="1205" spans="4:21">
      <c r="D1205" s="152" t="s">
        <v>2821</v>
      </c>
      <c r="G1205" s="474" t="s">
        <v>372</v>
      </c>
      <c r="H1205" s="210" t="s">
        <v>309</v>
      </c>
      <c r="I1205" s="210"/>
      <c r="J1205" s="513">
        <v>-188171.65</v>
      </c>
      <c r="K1205" s="513">
        <v>-133.93</v>
      </c>
      <c r="L1205" s="513">
        <v>1405</v>
      </c>
      <c r="M1205" s="513" t="s">
        <v>6303</v>
      </c>
      <c r="N1205" s="513" t="s">
        <v>780</v>
      </c>
      <c r="O1205" s="513" t="s">
        <v>1407</v>
      </c>
      <c r="P1205" s="518" t="s">
        <v>6345</v>
      </c>
      <c r="Q1205" s="152" t="s">
        <v>5873</v>
      </c>
      <c r="R1205" s="152" t="s">
        <v>6346</v>
      </c>
      <c r="S1205" s="152" t="s">
        <v>6508</v>
      </c>
      <c r="T1205" s="152" t="s">
        <v>6348</v>
      </c>
      <c r="U1205" s="152" t="s">
        <v>786</v>
      </c>
    </row>
    <row r="1206" spans="4:21">
      <c r="D1206" s="152" t="s">
        <v>2821</v>
      </c>
      <c r="G1206" s="474" t="s">
        <v>372</v>
      </c>
      <c r="H1206" s="210" t="s">
        <v>309</v>
      </c>
      <c r="I1206" s="210"/>
      <c r="J1206" s="513">
        <v>-105768.4</v>
      </c>
      <c r="K1206" s="513">
        <v>-75.28</v>
      </c>
      <c r="L1206" s="513">
        <v>1405</v>
      </c>
      <c r="M1206" s="513" t="s">
        <v>6303</v>
      </c>
      <c r="N1206" s="513" t="s">
        <v>780</v>
      </c>
      <c r="O1206" s="513" t="s">
        <v>1407</v>
      </c>
      <c r="P1206" s="518" t="s">
        <v>6345</v>
      </c>
      <c r="Q1206" s="152" t="s">
        <v>5873</v>
      </c>
      <c r="R1206" s="152" t="s">
        <v>6346</v>
      </c>
      <c r="S1206" s="152" t="s">
        <v>6514</v>
      </c>
      <c r="T1206" s="152" t="s">
        <v>6348</v>
      </c>
      <c r="U1206" s="152" t="s">
        <v>786</v>
      </c>
    </row>
    <row r="1207" spans="4:21">
      <c r="D1207" s="152" t="s">
        <v>2821</v>
      </c>
      <c r="G1207" s="474" t="s">
        <v>372</v>
      </c>
      <c r="H1207" s="210" t="s">
        <v>309</v>
      </c>
      <c r="I1207" s="210"/>
      <c r="J1207" s="513">
        <v>-72427.75</v>
      </c>
      <c r="K1207" s="513">
        <v>-51.55</v>
      </c>
      <c r="L1207" s="513">
        <v>1405</v>
      </c>
      <c r="M1207" s="513" t="s">
        <v>6303</v>
      </c>
      <c r="N1207" s="513" t="s">
        <v>780</v>
      </c>
      <c r="O1207" s="513" t="s">
        <v>1407</v>
      </c>
      <c r="P1207" s="518" t="s">
        <v>6345</v>
      </c>
      <c r="Q1207" s="152" t="s">
        <v>5873</v>
      </c>
      <c r="R1207" s="152" t="s">
        <v>6346</v>
      </c>
      <c r="S1207" s="152" t="s">
        <v>6515</v>
      </c>
      <c r="T1207" s="152" t="s">
        <v>6348</v>
      </c>
      <c r="U1207" s="152" t="s">
        <v>786</v>
      </c>
    </row>
    <row r="1208" spans="4:21">
      <c r="D1208" s="152" t="s">
        <v>2821</v>
      </c>
      <c r="G1208" s="474" t="s">
        <v>372</v>
      </c>
      <c r="H1208" s="210" t="s">
        <v>309</v>
      </c>
      <c r="I1208" s="210"/>
      <c r="J1208" s="513">
        <v>-196700</v>
      </c>
      <c r="K1208" s="513">
        <v>-140</v>
      </c>
      <c r="L1208" s="513">
        <v>1405</v>
      </c>
      <c r="M1208" s="513" t="s">
        <v>6303</v>
      </c>
      <c r="N1208" s="513" t="s">
        <v>780</v>
      </c>
      <c r="O1208" s="513" t="s">
        <v>1407</v>
      </c>
      <c r="P1208" s="518" t="s">
        <v>6345</v>
      </c>
      <c r="Q1208" s="152" t="s">
        <v>5873</v>
      </c>
      <c r="R1208" s="152" t="s">
        <v>6346</v>
      </c>
      <c r="S1208" s="152" t="s">
        <v>3898</v>
      </c>
      <c r="T1208" s="152" t="s">
        <v>6348</v>
      </c>
      <c r="U1208" s="152" t="s">
        <v>786</v>
      </c>
    </row>
    <row r="1209" spans="4:21">
      <c r="D1209" s="152" t="s">
        <v>2821</v>
      </c>
      <c r="G1209" s="474" t="s">
        <v>372</v>
      </c>
      <c r="H1209" s="210" t="s">
        <v>309</v>
      </c>
      <c r="I1209" s="210"/>
      <c r="J1209" s="513">
        <v>-34099.35</v>
      </c>
      <c r="K1209" s="513">
        <v>-24.27</v>
      </c>
      <c r="L1209" s="513">
        <v>1405</v>
      </c>
      <c r="M1209" s="513" t="s">
        <v>6303</v>
      </c>
      <c r="N1209" s="513" t="s">
        <v>780</v>
      </c>
      <c r="O1209" s="513" t="s">
        <v>1407</v>
      </c>
      <c r="P1209" s="518" t="s">
        <v>6345</v>
      </c>
      <c r="Q1209" s="152" t="s">
        <v>5873</v>
      </c>
      <c r="R1209" s="152" t="s">
        <v>6346</v>
      </c>
      <c r="S1209" s="152" t="s">
        <v>1627</v>
      </c>
      <c r="T1209" s="152" t="s">
        <v>6348</v>
      </c>
      <c r="U1209" s="152" t="s">
        <v>786</v>
      </c>
    </row>
    <row r="1210" spans="4:21">
      <c r="D1210" s="152" t="s">
        <v>2821</v>
      </c>
      <c r="G1210" s="474" t="s">
        <v>372</v>
      </c>
      <c r="H1210" s="210" t="s">
        <v>309</v>
      </c>
      <c r="I1210" s="210"/>
      <c r="J1210" s="513">
        <v>-77275</v>
      </c>
      <c r="K1210" s="513">
        <v>-55</v>
      </c>
      <c r="L1210" s="513">
        <v>1405</v>
      </c>
      <c r="M1210" s="513" t="s">
        <v>6303</v>
      </c>
      <c r="N1210" s="513" t="s">
        <v>780</v>
      </c>
      <c r="O1210" s="513" t="s">
        <v>1407</v>
      </c>
      <c r="P1210" s="518" t="s">
        <v>6345</v>
      </c>
      <c r="Q1210" s="152" t="s">
        <v>5873</v>
      </c>
      <c r="R1210" s="152" t="s">
        <v>6346</v>
      </c>
      <c r="S1210" s="152" t="s">
        <v>6184</v>
      </c>
      <c r="T1210" s="152" t="s">
        <v>6348</v>
      </c>
      <c r="U1210" s="152" t="s">
        <v>786</v>
      </c>
    </row>
    <row r="1211" spans="4:21">
      <c r="D1211" s="152" t="s">
        <v>2821</v>
      </c>
      <c r="G1211" s="474" t="s">
        <v>372</v>
      </c>
      <c r="H1211" s="210" t="s">
        <v>309</v>
      </c>
      <c r="I1211" s="210"/>
      <c r="J1211" s="513">
        <v>-77275</v>
      </c>
      <c r="K1211" s="513">
        <v>-55</v>
      </c>
      <c r="L1211" s="513">
        <v>1405</v>
      </c>
      <c r="M1211" s="513" t="s">
        <v>6303</v>
      </c>
      <c r="N1211" s="513" t="s">
        <v>780</v>
      </c>
      <c r="O1211" s="513" t="s">
        <v>1407</v>
      </c>
      <c r="P1211" s="518" t="s">
        <v>6345</v>
      </c>
      <c r="Q1211" s="152" t="s">
        <v>5873</v>
      </c>
      <c r="R1211" s="152" t="s">
        <v>6346</v>
      </c>
      <c r="S1211" s="152" t="s">
        <v>3948</v>
      </c>
      <c r="T1211" s="152" t="s">
        <v>6348</v>
      </c>
      <c r="U1211" s="152" t="s">
        <v>786</v>
      </c>
    </row>
    <row r="1212" spans="4:21">
      <c r="D1212" s="152" t="s">
        <v>2821</v>
      </c>
      <c r="G1212" s="474" t="s">
        <v>372</v>
      </c>
      <c r="H1212" s="210" t="s">
        <v>309</v>
      </c>
      <c r="I1212" s="210"/>
      <c r="J1212" s="513">
        <v>-154550</v>
      </c>
      <c r="K1212" s="513">
        <v>-110</v>
      </c>
      <c r="L1212" s="513">
        <v>1405</v>
      </c>
      <c r="M1212" s="513" t="s">
        <v>6303</v>
      </c>
      <c r="N1212" s="513" t="s">
        <v>780</v>
      </c>
      <c r="O1212" s="513" t="s">
        <v>1407</v>
      </c>
      <c r="P1212" s="518" t="s">
        <v>6345</v>
      </c>
      <c r="Q1212" s="152" t="s">
        <v>5873</v>
      </c>
      <c r="R1212" s="152" t="s">
        <v>6346</v>
      </c>
      <c r="S1212" s="152" t="s">
        <v>3949</v>
      </c>
      <c r="T1212" s="152" t="s">
        <v>6348</v>
      </c>
      <c r="U1212" s="152" t="s">
        <v>786</v>
      </c>
    </row>
    <row r="1213" spans="4:21">
      <c r="D1213" s="152" t="s">
        <v>2821</v>
      </c>
      <c r="G1213" s="474" t="s">
        <v>372</v>
      </c>
      <c r="H1213" s="210" t="s">
        <v>309</v>
      </c>
      <c r="I1213" s="210"/>
      <c r="J1213" s="513">
        <v>-154550</v>
      </c>
      <c r="K1213" s="513">
        <v>-110</v>
      </c>
      <c r="L1213" s="513">
        <v>1405</v>
      </c>
      <c r="M1213" s="513" t="s">
        <v>6303</v>
      </c>
      <c r="N1213" s="513" t="s">
        <v>780</v>
      </c>
      <c r="O1213" s="513" t="s">
        <v>1407</v>
      </c>
      <c r="P1213" s="518" t="s">
        <v>6345</v>
      </c>
      <c r="Q1213" s="152" t="s">
        <v>5873</v>
      </c>
      <c r="R1213" s="152" t="s">
        <v>6346</v>
      </c>
      <c r="S1213" s="152" t="s">
        <v>3949</v>
      </c>
      <c r="T1213" s="152" t="s">
        <v>6348</v>
      </c>
      <c r="U1213" s="152" t="s">
        <v>786</v>
      </c>
    </row>
    <row r="1214" spans="4:21">
      <c r="D1214" s="152" t="s">
        <v>2821</v>
      </c>
      <c r="G1214" s="474" t="s">
        <v>372</v>
      </c>
      <c r="H1214" s="210" t="s">
        <v>309</v>
      </c>
      <c r="I1214" s="210"/>
      <c r="J1214" s="513">
        <v>-206043.25</v>
      </c>
      <c r="K1214" s="513">
        <v>-146.65</v>
      </c>
      <c r="L1214" s="513">
        <v>1405</v>
      </c>
      <c r="M1214" s="513" t="s">
        <v>6303</v>
      </c>
      <c r="N1214" s="513" t="s">
        <v>780</v>
      </c>
      <c r="O1214" s="513" t="s">
        <v>1407</v>
      </c>
      <c r="P1214" s="518" t="s">
        <v>6345</v>
      </c>
      <c r="Q1214" s="152" t="s">
        <v>5873</v>
      </c>
      <c r="R1214" s="152" t="s">
        <v>6346</v>
      </c>
      <c r="S1214" s="152" t="s">
        <v>6517</v>
      </c>
      <c r="T1214" s="152" t="s">
        <v>6348</v>
      </c>
      <c r="U1214" s="152" t="s">
        <v>786</v>
      </c>
    </row>
    <row r="1215" spans="4:21">
      <c r="D1215" s="152" t="s">
        <v>2821</v>
      </c>
      <c r="G1215" s="474" t="s">
        <v>372</v>
      </c>
      <c r="H1215" s="210" t="s">
        <v>309</v>
      </c>
      <c r="I1215" s="210"/>
      <c r="J1215" s="513">
        <v>-43695.5</v>
      </c>
      <c r="K1215" s="513">
        <v>-31.1</v>
      </c>
      <c r="L1215" s="513">
        <v>1405</v>
      </c>
      <c r="M1215" s="513" t="s">
        <v>6303</v>
      </c>
      <c r="N1215" s="513" t="s">
        <v>780</v>
      </c>
      <c r="O1215" s="513" t="s">
        <v>1407</v>
      </c>
      <c r="P1215" s="518" t="s">
        <v>6345</v>
      </c>
      <c r="Q1215" s="152" t="s">
        <v>5873</v>
      </c>
      <c r="R1215" s="152" t="s">
        <v>6346</v>
      </c>
      <c r="S1215" s="152" t="s">
        <v>6518</v>
      </c>
      <c r="T1215" s="152" t="s">
        <v>6348</v>
      </c>
      <c r="U1215" s="152" t="s">
        <v>786</v>
      </c>
    </row>
    <row r="1216" spans="4:21">
      <c r="D1216" s="152" t="s">
        <v>2821</v>
      </c>
      <c r="G1216" s="474" t="s">
        <v>372</v>
      </c>
      <c r="H1216" s="210" t="s">
        <v>309</v>
      </c>
      <c r="I1216" s="210"/>
      <c r="J1216" s="513">
        <v>-2558505</v>
      </c>
      <c r="K1216" s="513">
        <v>-1821</v>
      </c>
      <c r="L1216" s="513">
        <v>1405</v>
      </c>
      <c r="M1216" s="513" t="s">
        <v>6303</v>
      </c>
      <c r="N1216" s="513" t="s">
        <v>780</v>
      </c>
      <c r="O1216" s="513" t="s">
        <v>1407</v>
      </c>
      <c r="P1216" s="518" t="s">
        <v>6345</v>
      </c>
      <c r="Q1216" s="152" t="s">
        <v>5873</v>
      </c>
      <c r="R1216" s="152" t="s">
        <v>6346</v>
      </c>
      <c r="S1216" s="152" t="s">
        <v>6519</v>
      </c>
      <c r="T1216" s="152" t="s">
        <v>6348</v>
      </c>
      <c r="U1216" s="152" t="s">
        <v>786</v>
      </c>
    </row>
    <row r="1217" spans="4:21">
      <c r="D1217" s="152" t="s">
        <v>2821</v>
      </c>
      <c r="G1217" s="474" t="s">
        <v>372</v>
      </c>
      <c r="H1217" s="210" t="s">
        <v>309</v>
      </c>
      <c r="I1217" s="210"/>
      <c r="J1217" s="513">
        <v>-77275</v>
      </c>
      <c r="K1217" s="513">
        <v>-55</v>
      </c>
      <c r="L1217" s="513">
        <v>1405</v>
      </c>
      <c r="M1217" s="513" t="s">
        <v>6303</v>
      </c>
      <c r="N1217" s="513" t="s">
        <v>780</v>
      </c>
      <c r="O1217" s="513" t="s">
        <v>1407</v>
      </c>
      <c r="P1217" s="518" t="s">
        <v>6345</v>
      </c>
      <c r="Q1217" s="152" t="s">
        <v>5873</v>
      </c>
      <c r="R1217" s="152" t="s">
        <v>6346</v>
      </c>
      <c r="S1217" s="152" t="s">
        <v>6520</v>
      </c>
      <c r="T1217" s="152" t="s">
        <v>6348</v>
      </c>
      <c r="U1217" s="152" t="s">
        <v>786</v>
      </c>
    </row>
    <row r="1218" spans="4:21">
      <c r="D1218" s="152" t="s">
        <v>2821</v>
      </c>
      <c r="G1218" s="474" t="s">
        <v>372</v>
      </c>
      <c r="H1218" s="210" t="s">
        <v>309</v>
      </c>
      <c r="I1218" s="210"/>
      <c r="J1218" s="513">
        <v>-847791.05</v>
      </c>
      <c r="K1218" s="513">
        <v>-603.41</v>
      </c>
      <c r="L1218" s="513">
        <v>1405</v>
      </c>
      <c r="M1218" s="513" t="s">
        <v>6303</v>
      </c>
      <c r="N1218" s="513" t="s">
        <v>780</v>
      </c>
      <c r="O1218" s="513" t="s">
        <v>1407</v>
      </c>
      <c r="P1218" s="518" t="s">
        <v>6345</v>
      </c>
      <c r="Q1218" s="152" t="s">
        <v>5873</v>
      </c>
      <c r="R1218" s="152" t="s">
        <v>6346</v>
      </c>
      <c r="S1218" s="152" t="s">
        <v>3978</v>
      </c>
      <c r="T1218" s="152" t="s">
        <v>6348</v>
      </c>
      <c r="U1218" s="152" t="s">
        <v>786</v>
      </c>
    </row>
    <row r="1219" spans="4:21">
      <c r="D1219" s="152" t="s">
        <v>2821</v>
      </c>
      <c r="G1219" s="474" t="s">
        <v>372</v>
      </c>
      <c r="H1219" s="210" t="s">
        <v>309</v>
      </c>
      <c r="I1219" s="210"/>
      <c r="J1219" s="513">
        <v>-30376.1</v>
      </c>
      <c r="K1219" s="513">
        <v>-21.62</v>
      </c>
      <c r="L1219" s="513">
        <v>1405</v>
      </c>
      <c r="M1219" s="513" t="s">
        <v>6303</v>
      </c>
      <c r="N1219" s="513" t="s">
        <v>780</v>
      </c>
      <c r="O1219" s="513" t="s">
        <v>1407</v>
      </c>
      <c r="P1219" s="518" t="s">
        <v>6345</v>
      </c>
      <c r="Q1219" s="152" t="s">
        <v>5873</v>
      </c>
      <c r="R1219" s="152" t="s">
        <v>6346</v>
      </c>
      <c r="S1219" s="152" t="s">
        <v>6522</v>
      </c>
      <c r="T1219" s="152" t="s">
        <v>6348</v>
      </c>
      <c r="U1219" s="152" t="s">
        <v>786</v>
      </c>
    </row>
    <row r="1220" spans="4:21">
      <c r="D1220" s="152" t="s">
        <v>2821</v>
      </c>
      <c r="G1220" s="474" t="s">
        <v>372</v>
      </c>
      <c r="H1220" s="210" t="s">
        <v>309</v>
      </c>
      <c r="I1220" s="210"/>
      <c r="J1220" s="513">
        <v>-30446.35</v>
      </c>
      <c r="K1220" s="513">
        <v>-21.67</v>
      </c>
      <c r="L1220" s="513">
        <v>1405</v>
      </c>
      <c r="M1220" s="513" t="s">
        <v>6303</v>
      </c>
      <c r="N1220" s="513" t="s">
        <v>780</v>
      </c>
      <c r="O1220" s="513" t="s">
        <v>1407</v>
      </c>
      <c r="P1220" s="518" t="s">
        <v>6345</v>
      </c>
      <c r="Q1220" s="152" t="s">
        <v>5873</v>
      </c>
      <c r="R1220" s="152" t="s">
        <v>6346</v>
      </c>
      <c r="S1220" s="152" t="s">
        <v>6525</v>
      </c>
      <c r="T1220" s="152" t="s">
        <v>6348</v>
      </c>
      <c r="U1220" s="152" t="s">
        <v>786</v>
      </c>
    </row>
    <row r="1221" spans="4:21">
      <c r="D1221" s="152" t="s">
        <v>2821</v>
      </c>
      <c r="G1221" s="474" t="s">
        <v>372</v>
      </c>
      <c r="H1221" s="210" t="s">
        <v>309</v>
      </c>
      <c r="I1221" s="210"/>
      <c r="J1221" s="513">
        <v>-88810.05</v>
      </c>
      <c r="K1221" s="513">
        <v>-63.21</v>
      </c>
      <c r="L1221" s="513">
        <v>1405</v>
      </c>
      <c r="M1221" s="513" t="s">
        <v>6303</v>
      </c>
      <c r="N1221" s="513" t="s">
        <v>780</v>
      </c>
      <c r="O1221" s="513" t="s">
        <v>1407</v>
      </c>
      <c r="P1221" s="518" t="s">
        <v>6345</v>
      </c>
      <c r="Q1221" s="152" t="s">
        <v>5873</v>
      </c>
      <c r="R1221" s="152" t="s">
        <v>6346</v>
      </c>
      <c r="S1221" s="152" t="s">
        <v>6526</v>
      </c>
      <c r="T1221" s="152" t="s">
        <v>6348</v>
      </c>
      <c r="U1221" s="152" t="s">
        <v>786</v>
      </c>
    </row>
    <row r="1222" spans="4:21">
      <c r="D1222" s="152" t="s">
        <v>2821</v>
      </c>
      <c r="G1222" s="474" t="s">
        <v>372</v>
      </c>
      <c r="H1222" s="210" t="s">
        <v>309</v>
      </c>
      <c r="I1222" s="210"/>
      <c r="J1222" s="513">
        <v>-54036.3</v>
      </c>
      <c r="K1222" s="513">
        <v>-38.46</v>
      </c>
      <c r="L1222" s="513">
        <v>1405</v>
      </c>
      <c r="M1222" s="513" t="s">
        <v>6303</v>
      </c>
      <c r="N1222" s="513" t="s">
        <v>780</v>
      </c>
      <c r="O1222" s="513" t="s">
        <v>1407</v>
      </c>
      <c r="P1222" s="518" t="s">
        <v>6345</v>
      </c>
      <c r="Q1222" s="152" t="s">
        <v>5873</v>
      </c>
      <c r="R1222" s="152" t="s">
        <v>6346</v>
      </c>
      <c r="S1222" s="152" t="s">
        <v>6527</v>
      </c>
      <c r="T1222" s="152" t="s">
        <v>6348</v>
      </c>
      <c r="U1222" s="152" t="s">
        <v>786</v>
      </c>
    </row>
    <row r="1223" spans="4:21">
      <c r="D1223" s="152" t="s">
        <v>2821</v>
      </c>
      <c r="G1223" s="474" t="s">
        <v>372</v>
      </c>
      <c r="H1223" s="210" t="s">
        <v>309</v>
      </c>
      <c r="I1223" s="210"/>
      <c r="J1223" s="513">
        <v>-1069682.7</v>
      </c>
      <c r="K1223" s="513">
        <v>-761.34</v>
      </c>
      <c r="L1223" s="513">
        <v>1405</v>
      </c>
      <c r="M1223" s="513" t="s">
        <v>6303</v>
      </c>
      <c r="N1223" s="513" t="s">
        <v>780</v>
      </c>
      <c r="O1223" s="513" t="s">
        <v>1407</v>
      </c>
      <c r="P1223" s="518" t="s">
        <v>6345</v>
      </c>
      <c r="Q1223" s="152" t="s">
        <v>5873</v>
      </c>
      <c r="R1223" s="152" t="s">
        <v>6346</v>
      </c>
      <c r="S1223" s="152" t="s">
        <v>4043</v>
      </c>
      <c r="T1223" s="152" t="s">
        <v>6348</v>
      </c>
      <c r="U1223" s="152" t="s">
        <v>786</v>
      </c>
    </row>
    <row r="1224" spans="4:21">
      <c r="D1224" s="152" t="s">
        <v>2821</v>
      </c>
      <c r="G1224" s="474" t="s">
        <v>372</v>
      </c>
      <c r="H1224" s="210" t="s">
        <v>309</v>
      </c>
      <c r="I1224" s="210"/>
      <c r="J1224" s="513">
        <v>-37822.6</v>
      </c>
      <c r="K1224" s="513">
        <v>-26.92</v>
      </c>
      <c r="L1224" s="513">
        <v>1405</v>
      </c>
      <c r="M1224" s="513" t="s">
        <v>6303</v>
      </c>
      <c r="N1224" s="513" t="s">
        <v>780</v>
      </c>
      <c r="O1224" s="513" t="s">
        <v>1407</v>
      </c>
      <c r="P1224" s="518" t="s">
        <v>6345</v>
      </c>
      <c r="Q1224" s="152" t="s">
        <v>5873</v>
      </c>
      <c r="R1224" s="152" t="s">
        <v>6346</v>
      </c>
      <c r="S1224" s="152" t="s">
        <v>6529</v>
      </c>
      <c r="T1224" s="152" t="s">
        <v>6348</v>
      </c>
      <c r="U1224" s="152" t="s">
        <v>786</v>
      </c>
    </row>
    <row r="1225" spans="4:21">
      <c r="D1225" s="152" t="s">
        <v>2821</v>
      </c>
      <c r="G1225" s="474" t="s">
        <v>372</v>
      </c>
      <c r="H1225" s="210" t="s">
        <v>309</v>
      </c>
      <c r="I1225" s="210"/>
      <c r="J1225" s="513">
        <v>-154550</v>
      </c>
      <c r="K1225" s="513">
        <v>-110</v>
      </c>
      <c r="L1225" s="513">
        <v>1405</v>
      </c>
      <c r="M1225" s="513" t="s">
        <v>6303</v>
      </c>
      <c r="N1225" s="513" t="s">
        <v>780</v>
      </c>
      <c r="O1225" s="513" t="s">
        <v>1407</v>
      </c>
      <c r="P1225" s="518" t="s">
        <v>6345</v>
      </c>
      <c r="Q1225" s="152" t="s">
        <v>5873</v>
      </c>
      <c r="R1225" s="152" t="s">
        <v>6346</v>
      </c>
      <c r="S1225" s="152" t="s">
        <v>6534</v>
      </c>
      <c r="T1225" s="152" t="s">
        <v>6348</v>
      </c>
      <c r="U1225" s="152" t="s">
        <v>786</v>
      </c>
    </row>
    <row r="1226" spans="4:21">
      <c r="D1226" s="152" t="s">
        <v>2821</v>
      </c>
      <c r="G1226" s="474" t="s">
        <v>372</v>
      </c>
      <c r="H1226" s="210" t="s">
        <v>309</v>
      </c>
      <c r="I1226" s="210"/>
      <c r="J1226" s="513">
        <v>3934000</v>
      </c>
      <c r="K1226" s="513">
        <v>2800</v>
      </c>
      <c r="L1226" s="513">
        <v>1405</v>
      </c>
      <c r="M1226" s="513" t="s">
        <v>6303</v>
      </c>
      <c r="N1226" s="513" t="s">
        <v>1540</v>
      </c>
      <c r="O1226" s="513" t="s">
        <v>1407</v>
      </c>
      <c r="P1226" s="518" t="s">
        <v>6727</v>
      </c>
      <c r="Q1226" s="152" t="s">
        <v>5933</v>
      </c>
      <c r="R1226" s="152" t="s">
        <v>6728</v>
      </c>
      <c r="S1226" s="152" t="s">
        <v>6728</v>
      </c>
      <c r="T1226" s="152" t="s">
        <v>6729</v>
      </c>
      <c r="U1226" s="152" t="s">
        <v>786</v>
      </c>
    </row>
    <row r="1227" spans="4:21">
      <c r="D1227" s="152" t="s">
        <v>2821</v>
      </c>
      <c r="G1227" s="474" t="s">
        <v>372</v>
      </c>
      <c r="H1227" s="210" t="s">
        <v>309</v>
      </c>
      <c r="I1227" s="210"/>
      <c r="J1227" s="513">
        <v>2750287.5</v>
      </c>
      <c r="K1227" s="513">
        <v>1957.5</v>
      </c>
      <c r="L1227" s="513">
        <v>1405</v>
      </c>
      <c r="M1227" s="513" t="s">
        <v>6303</v>
      </c>
      <c r="N1227" s="513" t="s">
        <v>1540</v>
      </c>
      <c r="O1227" s="513" t="s">
        <v>1407</v>
      </c>
      <c r="P1227" s="518" t="s">
        <v>6730</v>
      </c>
      <c r="Q1227" s="152" t="s">
        <v>5933</v>
      </c>
      <c r="R1227" s="152" t="s">
        <v>6731</v>
      </c>
      <c r="S1227" s="152" t="s">
        <v>6731</v>
      </c>
      <c r="T1227" s="152" t="s">
        <v>6732</v>
      </c>
      <c r="U1227" s="152" t="s">
        <v>786</v>
      </c>
    </row>
    <row r="1228" spans="4:21">
      <c r="D1228" s="152" t="s">
        <v>2821</v>
      </c>
      <c r="G1228" s="474" t="s">
        <v>372</v>
      </c>
      <c r="H1228" s="210" t="s">
        <v>309</v>
      </c>
      <c r="I1228" s="210"/>
      <c r="J1228" s="513">
        <v>3428200</v>
      </c>
      <c r="K1228" s="513">
        <v>2440</v>
      </c>
      <c r="L1228" s="513">
        <v>1405</v>
      </c>
      <c r="M1228" s="513" t="s">
        <v>6303</v>
      </c>
      <c r="N1228" s="513" t="s">
        <v>1540</v>
      </c>
      <c r="O1228" s="513" t="s">
        <v>1407</v>
      </c>
      <c r="P1228" s="518" t="s">
        <v>6733</v>
      </c>
      <c r="Q1228" s="152" t="s">
        <v>5933</v>
      </c>
      <c r="R1228" s="152" t="s">
        <v>6734</v>
      </c>
      <c r="S1228" s="152" t="s">
        <v>6734</v>
      </c>
      <c r="T1228" s="152" t="s">
        <v>6735</v>
      </c>
      <c r="U1228" s="152" t="s">
        <v>786</v>
      </c>
    </row>
    <row r="1229" spans="4:21">
      <c r="D1229" s="152" t="s">
        <v>2821</v>
      </c>
      <c r="G1229" s="474" t="s">
        <v>372</v>
      </c>
      <c r="H1229" s="210" t="s">
        <v>309</v>
      </c>
      <c r="I1229" s="210"/>
      <c r="J1229" s="513">
        <v>4229050</v>
      </c>
      <c r="K1229" s="513">
        <v>3010</v>
      </c>
      <c r="L1229" s="513">
        <v>1405</v>
      </c>
      <c r="M1229" s="513" t="s">
        <v>6303</v>
      </c>
      <c r="N1229" s="513" t="s">
        <v>1540</v>
      </c>
      <c r="O1229" s="513" t="s">
        <v>1407</v>
      </c>
      <c r="P1229" s="518" t="s">
        <v>6736</v>
      </c>
      <c r="Q1229" s="152" t="s">
        <v>5933</v>
      </c>
      <c r="R1229" s="152" t="s">
        <v>6737</v>
      </c>
      <c r="S1229" s="152" t="s">
        <v>6737</v>
      </c>
      <c r="T1229" s="152" t="s">
        <v>6738</v>
      </c>
      <c r="U1229" s="152" t="s">
        <v>786</v>
      </c>
    </row>
    <row r="1230" spans="4:21">
      <c r="D1230" s="152" t="s">
        <v>2821</v>
      </c>
      <c r="G1230" s="474" t="s">
        <v>372</v>
      </c>
      <c r="H1230" s="210" t="s">
        <v>309</v>
      </c>
      <c r="I1230" s="210"/>
      <c r="J1230" s="513">
        <v>562000</v>
      </c>
      <c r="K1230" s="513">
        <v>400</v>
      </c>
      <c r="L1230" s="513">
        <v>1405</v>
      </c>
      <c r="M1230" s="513" t="s">
        <v>6303</v>
      </c>
      <c r="N1230" s="513" t="s">
        <v>1540</v>
      </c>
      <c r="O1230" s="513" t="s">
        <v>1407</v>
      </c>
      <c r="P1230" s="518" t="s">
        <v>6739</v>
      </c>
      <c r="Q1230" s="152" t="s">
        <v>5933</v>
      </c>
      <c r="R1230" s="152" t="s">
        <v>6740</v>
      </c>
      <c r="S1230" s="152" t="s">
        <v>6740</v>
      </c>
      <c r="T1230" s="152" t="s">
        <v>6741</v>
      </c>
      <c r="U1230" s="152" t="s">
        <v>786</v>
      </c>
    </row>
    <row r="1231" spans="4:21">
      <c r="D1231" s="152" t="s">
        <v>2821</v>
      </c>
      <c r="G1231" s="474" t="s">
        <v>372</v>
      </c>
      <c r="H1231" s="210" t="s">
        <v>309</v>
      </c>
      <c r="I1231" s="210"/>
      <c r="J1231" s="513">
        <v>562000</v>
      </c>
      <c r="K1231" s="513">
        <v>400</v>
      </c>
      <c r="L1231" s="513">
        <v>1405</v>
      </c>
      <c r="M1231" s="513" t="s">
        <v>6303</v>
      </c>
      <c r="N1231" s="513" t="s">
        <v>1540</v>
      </c>
      <c r="O1231" s="513" t="s">
        <v>1407</v>
      </c>
      <c r="P1231" s="518" t="s">
        <v>6742</v>
      </c>
      <c r="Q1231" s="152" t="s">
        <v>5933</v>
      </c>
      <c r="R1231" s="152" t="s">
        <v>6743</v>
      </c>
      <c r="S1231" s="152" t="s">
        <v>6743</v>
      </c>
      <c r="T1231" s="152" t="s">
        <v>6744</v>
      </c>
      <c r="U1231" s="152" t="s">
        <v>786</v>
      </c>
    </row>
    <row r="1232" spans="4:21">
      <c r="D1232" s="152" t="s">
        <v>2821</v>
      </c>
      <c r="G1232" s="474" t="s">
        <v>372</v>
      </c>
      <c r="H1232" s="210" t="s">
        <v>309</v>
      </c>
      <c r="I1232" s="210"/>
      <c r="J1232" s="513">
        <v>702500</v>
      </c>
      <c r="K1232" s="513">
        <v>500</v>
      </c>
      <c r="L1232" s="513">
        <v>1405</v>
      </c>
      <c r="M1232" s="513" t="s">
        <v>6303</v>
      </c>
      <c r="N1232" s="513" t="s">
        <v>1540</v>
      </c>
      <c r="O1232" s="513" t="s">
        <v>1407</v>
      </c>
      <c r="P1232" s="518" t="s">
        <v>6745</v>
      </c>
      <c r="Q1232" s="152" t="s">
        <v>5933</v>
      </c>
      <c r="R1232" s="152" t="s">
        <v>6746</v>
      </c>
      <c r="S1232" s="152" t="s">
        <v>6746</v>
      </c>
      <c r="T1232" s="152" t="s">
        <v>6747</v>
      </c>
      <c r="U1232" s="152" t="s">
        <v>786</v>
      </c>
    </row>
    <row r="1233" spans="4:21">
      <c r="D1233" s="152" t="s">
        <v>2821</v>
      </c>
      <c r="G1233" s="474" t="s">
        <v>372</v>
      </c>
      <c r="H1233" s="210" t="s">
        <v>309</v>
      </c>
      <c r="I1233" s="210"/>
      <c r="J1233" s="513">
        <v>6635112.5</v>
      </c>
      <c r="K1233" s="513">
        <v>4722.5</v>
      </c>
      <c r="L1233" s="513">
        <v>1405</v>
      </c>
      <c r="M1233" s="513" t="s">
        <v>6303</v>
      </c>
      <c r="N1233" s="513" t="s">
        <v>1540</v>
      </c>
      <c r="O1233" s="513" t="s">
        <v>1407</v>
      </c>
      <c r="P1233" s="518" t="s">
        <v>6748</v>
      </c>
      <c r="Q1233" s="152" t="s">
        <v>5933</v>
      </c>
      <c r="R1233" s="152" t="s">
        <v>6749</v>
      </c>
      <c r="S1233" s="152" t="s">
        <v>6749</v>
      </c>
      <c r="T1233" s="152" t="s">
        <v>6750</v>
      </c>
      <c r="U1233" s="152" t="s">
        <v>786</v>
      </c>
    </row>
    <row r="1234" spans="4:21">
      <c r="D1234" s="152" t="s">
        <v>2821</v>
      </c>
      <c r="G1234" s="474" t="s">
        <v>372</v>
      </c>
      <c r="H1234" s="210" t="s">
        <v>309</v>
      </c>
      <c r="I1234" s="210"/>
      <c r="J1234" s="513">
        <v>2349160</v>
      </c>
      <c r="K1234" s="513">
        <v>1672</v>
      </c>
      <c r="L1234" s="513">
        <v>1405</v>
      </c>
      <c r="M1234" s="513" t="s">
        <v>6303</v>
      </c>
      <c r="N1234" s="513" t="s">
        <v>1540</v>
      </c>
      <c r="O1234" s="513" t="s">
        <v>1407</v>
      </c>
      <c r="P1234" s="518" t="s">
        <v>6751</v>
      </c>
      <c r="Q1234" s="152" t="s">
        <v>5933</v>
      </c>
      <c r="R1234" s="152" t="s">
        <v>6752</v>
      </c>
      <c r="S1234" s="152" t="s">
        <v>6752</v>
      </c>
      <c r="T1234" s="152" t="s">
        <v>6753</v>
      </c>
      <c r="U1234" s="152" t="s">
        <v>786</v>
      </c>
    </row>
    <row r="1235" spans="4:21">
      <c r="D1235" s="152" t="s">
        <v>2821</v>
      </c>
      <c r="G1235" s="474" t="s">
        <v>372</v>
      </c>
      <c r="H1235" s="210" t="s">
        <v>309</v>
      </c>
      <c r="I1235" s="210"/>
      <c r="J1235" s="513">
        <v>2529000</v>
      </c>
      <c r="K1235" s="513">
        <v>1800</v>
      </c>
      <c r="L1235" s="513">
        <v>1405</v>
      </c>
      <c r="M1235" s="513" t="s">
        <v>6303</v>
      </c>
      <c r="N1235" s="513" t="s">
        <v>1540</v>
      </c>
      <c r="O1235" s="513" t="s">
        <v>1407</v>
      </c>
      <c r="P1235" s="518" t="s">
        <v>6754</v>
      </c>
      <c r="Q1235" s="152" t="s">
        <v>5933</v>
      </c>
      <c r="R1235" s="152" t="s">
        <v>6755</v>
      </c>
      <c r="S1235" s="152" t="s">
        <v>6755</v>
      </c>
      <c r="T1235" s="152" t="s">
        <v>6756</v>
      </c>
      <c r="U1235" s="152" t="s">
        <v>786</v>
      </c>
    </row>
    <row r="1236" spans="4:21">
      <c r="D1236" s="152" t="s">
        <v>2821</v>
      </c>
      <c r="G1236" s="474" t="s">
        <v>372</v>
      </c>
      <c r="H1236" s="210" t="s">
        <v>309</v>
      </c>
      <c r="I1236" s="210"/>
      <c r="J1236" s="513">
        <v>3301750</v>
      </c>
      <c r="K1236" s="513">
        <v>2350</v>
      </c>
      <c r="L1236" s="513">
        <v>1405</v>
      </c>
      <c r="M1236" s="513" t="s">
        <v>6303</v>
      </c>
      <c r="N1236" s="513" t="s">
        <v>1540</v>
      </c>
      <c r="O1236" s="513" t="s">
        <v>1407</v>
      </c>
      <c r="P1236" s="518" t="s">
        <v>6757</v>
      </c>
      <c r="Q1236" s="152" t="s">
        <v>5933</v>
      </c>
      <c r="R1236" s="152" t="s">
        <v>6758</v>
      </c>
      <c r="S1236" s="152" t="s">
        <v>6758</v>
      </c>
      <c r="T1236" s="152" t="s">
        <v>6759</v>
      </c>
      <c r="U1236" s="152" t="s">
        <v>786</v>
      </c>
    </row>
    <row r="1237" spans="4:21">
      <c r="D1237" s="152" t="s">
        <v>2821</v>
      </c>
      <c r="G1237" s="474" t="s">
        <v>372</v>
      </c>
      <c r="H1237" s="210" t="s">
        <v>309</v>
      </c>
      <c r="I1237" s="210"/>
      <c r="J1237" s="513">
        <v>1405000</v>
      </c>
      <c r="K1237" s="513">
        <v>1000</v>
      </c>
      <c r="L1237" s="513">
        <v>1405</v>
      </c>
      <c r="M1237" s="513" t="s">
        <v>6303</v>
      </c>
      <c r="N1237" s="513" t="s">
        <v>1540</v>
      </c>
      <c r="O1237" s="513" t="s">
        <v>1407</v>
      </c>
      <c r="P1237" s="518" t="s">
        <v>6760</v>
      </c>
      <c r="Q1237" s="152" t="s">
        <v>5933</v>
      </c>
      <c r="R1237" s="152" t="s">
        <v>6761</v>
      </c>
      <c r="S1237" s="152" t="s">
        <v>6761</v>
      </c>
      <c r="T1237" s="152" t="s">
        <v>6762</v>
      </c>
      <c r="U1237" s="152" t="s">
        <v>786</v>
      </c>
    </row>
    <row r="1238" spans="4:21">
      <c r="D1238" s="152" t="s">
        <v>2821</v>
      </c>
      <c r="G1238" s="474" t="s">
        <v>372</v>
      </c>
      <c r="H1238" s="210" t="s">
        <v>309</v>
      </c>
      <c r="I1238" s="210"/>
      <c r="J1238" s="513">
        <v>2248000</v>
      </c>
      <c r="K1238" s="513">
        <v>1600</v>
      </c>
      <c r="L1238" s="513">
        <v>1405</v>
      </c>
      <c r="M1238" s="513" t="s">
        <v>6303</v>
      </c>
      <c r="N1238" s="513" t="s">
        <v>1540</v>
      </c>
      <c r="O1238" s="513" t="s">
        <v>1407</v>
      </c>
      <c r="P1238" s="518" t="s">
        <v>6763</v>
      </c>
      <c r="Q1238" s="152" t="s">
        <v>5933</v>
      </c>
      <c r="R1238" s="152" t="s">
        <v>6764</v>
      </c>
      <c r="S1238" s="152" t="s">
        <v>6764</v>
      </c>
      <c r="T1238" s="152" t="s">
        <v>6765</v>
      </c>
      <c r="U1238" s="152" t="s">
        <v>786</v>
      </c>
    </row>
    <row r="1239" spans="4:21">
      <c r="D1239" s="152" t="s">
        <v>2821</v>
      </c>
      <c r="G1239" s="474" t="s">
        <v>372</v>
      </c>
      <c r="H1239" s="210" t="s">
        <v>309</v>
      </c>
      <c r="I1239" s="210"/>
      <c r="J1239" s="513">
        <v>2518462.5</v>
      </c>
      <c r="K1239" s="513">
        <v>1792.5</v>
      </c>
      <c r="L1239" s="513">
        <v>1405</v>
      </c>
      <c r="M1239" s="513" t="s">
        <v>6303</v>
      </c>
      <c r="N1239" s="513" t="s">
        <v>1540</v>
      </c>
      <c r="O1239" s="513" t="s">
        <v>1407</v>
      </c>
      <c r="P1239" s="518" t="s">
        <v>6766</v>
      </c>
      <c r="Q1239" s="152" t="s">
        <v>5933</v>
      </c>
      <c r="R1239" s="152" t="s">
        <v>6767</v>
      </c>
      <c r="S1239" s="152" t="s">
        <v>6767</v>
      </c>
      <c r="T1239" s="152" t="s">
        <v>6768</v>
      </c>
      <c r="U1239" s="152" t="s">
        <v>786</v>
      </c>
    </row>
    <row r="1240" spans="4:21">
      <c r="D1240" s="152" t="s">
        <v>2821</v>
      </c>
      <c r="G1240" s="474" t="s">
        <v>372</v>
      </c>
      <c r="H1240" s="210" t="s">
        <v>309</v>
      </c>
      <c r="I1240" s="210"/>
      <c r="J1240" s="513">
        <v>1562360</v>
      </c>
      <c r="K1240" s="513">
        <v>1112</v>
      </c>
      <c r="L1240" s="513">
        <v>1405</v>
      </c>
      <c r="M1240" s="513" t="s">
        <v>6303</v>
      </c>
      <c r="N1240" s="513" t="s">
        <v>1540</v>
      </c>
      <c r="O1240" s="513" t="s">
        <v>1407</v>
      </c>
      <c r="P1240" s="518" t="s">
        <v>6769</v>
      </c>
      <c r="Q1240" s="152" t="s">
        <v>5933</v>
      </c>
      <c r="R1240" s="152" t="s">
        <v>6770</v>
      </c>
      <c r="S1240" s="152" t="s">
        <v>6770</v>
      </c>
      <c r="T1240" s="152" t="s">
        <v>6771</v>
      </c>
      <c r="U1240" s="152" t="s">
        <v>786</v>
      </c>
    </row>
    <row r="1241" spans="4:21">
      <c r="D1241" s="152" t="s">
        <v>2821</v>
      </c>
      <c r="G1241" s="474" t="s">
        <v>372</v>
      </c>
      <c r="H1241" s="210" t="s">
        <v>309</v>
      </c>
      <c r="I1241" s="210"/>
      <c r="J1241" s="513">
        <v>1878485</v>
      </c>
      <c r="K1241" s="513">
        <v>1337</v>
      </c>
      <c r="L1241" s="513">
        <v>1405</v>
      </c>
      <c r="M1241" s="513" t="s">
        <v>6303</v>
      </c>
      <c r="N1241" s="513" t="s">
        <v>1540</v>
      </c>
      <c r="O1241" s="513" t="s">
        <v>1407</v>
      </c>
      <c r="P1241" s="518" t="s">
        <v>6772</v>
      </c>
      <c r="Q1241" s="152" t="s">
        <v>5933</v>
      </c>
      <c r="R1241" s="152" t="s">
        <v>6773</v>
      </c>
      <c r="S1241" s="152" t="s">
        <v>6773</v>
      </c>
      <c r="T1241" s="152" t="s">
        <v>6774</v>
      </c>
      <c r="U1241" s="152" t="s">
        <v>786</v>
      </c>
    </row>
    <row r="1242" spans="4:21">
      <c r="D1242" s="152" t="s">
        <v>2821</v>
      </c>
      <c r="G1242" s="474" t="s">
        <v>671</v>
      </c>
      <c r="H1242" s="210" t="s">
        <v>672</v>
      </c>
      <c r="I1242" s="210"/>
      <c r="J1242" s="513">
        <v>-144012.5</v>
      </c>
      <c r="K1242" s="513">
        <v>-102.5</v>
      </c>
      <c r="L1242" s="513">
        <v>1405</v>
      </c>
      <c r="M1242" s="513" t="s">
        <v>6059</v>
      </c>
      <c r="N1242" s="513" t="s">
        <v>780</v>
      </c>
      <c r="O1242" s="513" t="s">
        <v>781</v>
      </c>
      <c r="P1242" s="518" t="s">
        <v>6065</v>
      </c>
      <c r="Q1242" s="152" t="s">
        <v>5873</v>
      </c>
      <c r="R1242" s="152" t="s">
        <v>6066</v>
      </c>
      <c r="S1242" s="152" t="s">
        <v>6067</v>
      </c>
      <c r="T1242" s="152" t="s">
        <v>6068</v>
      </c>
      <c r="U1242" s="152" t="s">
        <v>786</v>
      </c>
    </row>
    <row r="1243" spans="4:21">
      <c r="D1243" s="152" t="s">
        <v>2821</v>
      </c>
      <c r="G1243" s="474" t="s">
        <v>671</v>
      </c>
      <c r="H1243" s="210" t="s">
        <v>672</v>
      </c>
      <c r="I1243" s="210"/>
      <c r="J1243" s="513">
        <v>-613324.65</v>
      </c>
      <c r="K1243" s="513">
        <v>-436.53</v>
      </c>
      <c r="L1243" s="513">
        <v>1405</v>
      </c>
      <c r="M1243" s="513" t="s">
        <v>6059</v>
      </c>
      <c r="N1243" s="513" t="s">
        <v>780</v>
      </c>
      <c r="O1243" s="513" t="s">
        <v>781</v>
      </c>
      <c r="P1243" s="518" t="s">
        <v>6065</v>
      </c>
      <c r="Q1243" s="152" t="s">
        <v>5873</v>
      </c>
      <c r="R1243" s="152" t="s">
        <v>6066</v>
      </c>
      <c r="S1243" s="152" t="s">
        <v>6069</v>
      </c>
      <c r="T1243" s="152" t="s">
        <v>6068</v>
      </c>
      <c r="U1243" s="152" t="s">
        <v>786</v>
      </c>
    </row>
    <row r="1244" spans="4:21">
      <c r="D1244" s="152" t="s">
        <v>2821</v>
      </c>
      <c r="G1244" s="474" t="s">
        <v>671</v>
      </c>
      <c r="H1244" s="210" t="s">
        <v>672</v>
      </c>
      <c r="I1244" s="210"/>
      <c r="J1244" s="513">
        <v>-140500</v>
      </c>
      <c r="K1244" s="513">
        <v>-100</v>
      </c>
      <c r="L1244" s="513">
        <v>1405</v>
      </c>
      <c r="M1244" s="513" t="s">
        <v>6059</v>
      </c>
      <c r="N1244" s="513" t="s">
        <v>780</v>
      </c>
      <c r="O1244" s="513" t="s">
        <v>781</v>
      </c>
      <c r="P1244" s="518" t="s">
        <v>6065</v>
      </c>
      <c r="Q1244" s="152" t="s">
        <v>5873</v>
      </c>
      <c r="R1244" s="152" t="s">
        <v>6066</v>
      </c>
      <c r="S1244" s="152" t="s">
        <v>6070</v>
      </c>
      <c r="T1244" s="152" t="s">
        <v>6068</v>
      </c>
      <c r="U1244" s="152" t="s">
        <v>786</v>
      </c>
    </row>
    <row r="1245" spans="4:21">
      <c r="D1245" s="152" t="s">
        <v>2821</v>
      </c>
      <c r="G1245" s="474" t="s">
        <v>671</v>
      </c>
      <c r="H1245" s="210" t="s">
        <v>672</v>
      </c>
      <c r="I1245" s="210"/>
      <c r="J1245" s="513">
        <v>-355998.9</v>
      </c>
      <c r="K1245" s="513">
        <v>-253.38</v>
      </c>
      <c r="L1245" s="513">
        <v>1405</v>
      </c>
      <c r="M1245" s="513" t="s">
        <v>6059</v>
      </c>
      <c r="N1245" s="513" t="s">
        <v>780</v>
      </c>
      <c r="O1245" s="513" t="s">
        <v>781</v>
      </c>
      <c r="P1245" s="518" t="s">
        <v>6065</v>
      </c>
      <c r="Q1245" s="152" t="s">
        <v>5873</v>
      </c>
      <c r="R1245" s="152" t="s">
        <v>6066</v>
      </c>
      <c r="S1245" s="152" t="s">
        <v>6071</v>
      </c>
      <c r="T1245" s="152" t="s">
        <v>6068</v>
      </c>
      <c r="U1245" s="152" t="s">
        <v>786</v>
      </c>
    </row>
    <row r="1246" spans="4:21">
      <c r="D1246" s="152" t="s">
        <v>2821</v>
      </c>
      <c r="G1246" s="474" t="s">
        <v>671</v>
      </c>
      <c r="H1246" s="210" t="s">
        <v>672</v>
      </c>
      <c r="I1246" s="210"/>
      <c r="J1246" s="513">
        <v>-2711.65</v>
      </c>
      <c r="K1246" s="513">
        <v>-1.93</v>
      </c>
      <c r="L1246" s="513">
        <v>1405</v>
      </c>
      <c r="M1246" s="513" t="s">
        <v>6059</v>
      </c>
      <c r="N1246" s="513" t="s">
        <v>780</v>
      </c>
      <c r="O1246" s="513" t="s">
        <v>781</v>
      </c>
      <c r="P1246" s="518" t="s">
        <v>6065</v>
      </c>
      <c r="Q1246" s="152" t="s">
        <v>5873</v>
      </c>
      <c r="R1246" s="152" t="s">
        <v>6066</v>
      </c>
      <c r="S1246" s="152" t="s">
        <v>953</v>
      </c>
      <c r="T1246" s="152" t="s">
        <v>6068</v>
      </c>
      <c r="U1246" s="152" t="s">
        <v>786</v>
      </c>
    </row>
    <row r="1247" spans="4:21">
      <c r="D1247" s="152" t="s">
        <v>2821</v>
      </c>
      <c r="G1247" s="474" t="s">
        <v>671</v>
      </c>
      <c r="H1247" s="210" t="s">
        <v>672</v>
      </c>
      <c r="I1247" s="210"/>
      <c r="J1247" s="513">
        <v>-2697.6</v>
      </c>
      <c r="K1247" s="513">
        <v>-1.92</v>
      </c>
      <c r="L1247" s="513">
        <v>1405</v>
      </c>
      <c r="M1247" s="513" t="s">
        <v>6059</v>
      </c>
      <c r="N1247" s="513" t="s">
        <v>780</v>
      </c>
      <c r="O1247" s="513" t="s">
        <v>781</v>
      </c>
      <c r="P1247" s="518" t="s">
        <v>6065</v>
      </c>
      <c r="Q1247" s="152" t="s">
        <v>5873</v>
      </c>
      <c r="R1247" s="152" t="s">
        <v>6066</v>
      </c>
      <c r="S1247" s="152" t="s">
        <v>953</v>
      </c>
      <c r="T1247" s="152" t="s">
        <v>6068</v>
      </c>
      <c r="U1247" s="152" t="s">
        <v>786</v>
      </c>
    </row>
    <row r="1248" spans="4:21">
      <c r="D1248" s="152" t="s">
        <v>2821</v>
      </c>
      <c r="G1248" s="474" t="s">
        <v>671</v>
      </c>
      <c r="H1248" s="210" t="s">
        <v>672</v>
      </c>
      <c r="I1248" s="210"/>
      <c r="J1248" s="513">
        <v>-2697.6</v>
      </c>
      <c r="K1248" s="513">
        <v>-1.92</v>
      </c>
      <c r="L1248" s="513">
        <v>1405</v>
      </c>
      <c r="M1248" s="513" t="s">
        <v>6059</v>
      </c>
      <c r="N1248" s="513" t="s">
        <v>780</v>
      </c>
      <c r="O1248" s="513" t="s">
        <v>781</v>
      </c>
      <c r="P1248" s="518" t="s">
        <v>6065</v>
      </c>
      <c r="Q1248" s="152" t="s">
        <v>5873</v>
      </c>
      <c r="R1248" s="152" t="s">
        <v>6066</v>
      </c>
      <c r="S1248" s="152" t="s">
        <v>953</v>
      </c>
      <c r="T1248" s="152" t="s">
        <v>6068</v>
      </c>
      <c r="U1248" s="152" t="s">
        <v>786</v>
      </c>
    </row>
    <row r="1249" spans="4:21">
      <c r="D1249" s="152" t="s">
        <v>2821</v>
      </c>
      <c r="G1249" s="474" t="s">
        <v>671</v>
      </c>
      <c r="H1249" s="210" t="s">
        <v>672</v>
      </c>
      <c r="I1249" s="210"/>
      <c r="J1249" s="513">
        <v>-2697.6</v>
      </c>
      <c r="K1249" s="513">
        <v>-1.92</v>
      </c>
      <c r="L1249" s="513">
        <v>1405</v>
      </c>
      <c r="M1249" s="513" t="s">
        <v>6059</v>
      </c>
      <c r="N1249" s="513" t="s">
        <v>780</v>
      </c>
      <c r="O1249" s="513" t="s">
        <v>781</v>
      </c>
      <c r="P1249" s="518" t="s">
        <v>6065</v>
      </c>
      <c r="Q1249" s="152" t="s">
        <v>5873</v>
      </c>
      <c r="R1249" s="152" t="s">
        <v>6066</v>
      </c>
      <c r="S1249" s="152" t="s">
        <v>953</v>
      </c>
      <c r="T1249" s="152" t="s">
        <v>6068</v>
      </c>
      <c r="U1249" s="152" t="s">
        <v>786</v>
      </c>
    </row>
    <row r="1250" spans="4:21">
      <c r="D1250" s="152" t="s">
        <v>2821</v>
      </c>
      <c r="G1250" s="474" t="s">
        <v>671</v>
      </c>
      <c r="H1250" s="210" t="s">
        <v>672</v>
      </c>
      <c r="I1250" s="210"/>
      <c r="J1250" s="513">
        <v>-1011600</v>
      </c>
      <c r="K1250" s="513">
        <v>-720</v>
      </c>
      <c r="L1250" s="513">
        <v>1405</v>
      </c>
      <c r="M1250" s="513" t="s">
        <v>6059</v>
      </c>
      <c r="N1250" s="513" t="s">
        <v>780</v>
      </c>
      <c r="O1250" s="513" t="s">
        <v>781</v>
      </c>
      <c r="P1250" s="518" t="s">
        <v>6065</v>
      </c>
      <c r="Q1250" s="152" t="s">
        <v>5873</v>
      </c>
      <c r="R1250" s="152" t="s">
        <v>6066</v>
      </c>
      <c r="S1250" s="152" t="s">
        <v>6079</v>
      </c>
      <c r="T1250" s="152" t="s">
        <v>6068</v>
      </c>
      <c r="U1250" s="152" t="s">
        <v>786</v>
      </c>
    </row>
    <row r="1251" spans="4:21">
      <c r="D1251" s="152" t="s">
        <v>2821</v>
      </c>
      <c r="G1251" s="474" t="s">
        <v>671</v>
      </c>
      <c r="H1251" s="210" t="s">
        <v>672</v>
      </c>
      <c r="I1251" s="210"/>
      <c r="J1251" s="513">
        <v>-48121.25</v>
      </c>
      <c r="K1251" s="513">
        <v>-34.25</v>
      </c>
      <c r="L1251" s="513">
        <v>1405</v>
      </c>
      <c r="M1251" s="513" t="s">
        <v>6059</v>
      </c>
      <c r="N1251" s="513" t="s">
        <v>780</v>
      </c>
      <c r="O1251" s="513" t="s">
        <v>781</v>
      </c>
      <c r="P1251" s="518" t="s">
        <v>6065</v>
      </c>
      <c r="Q1251" s="152" t="s">
        <v>5873</v>
      </c>
      <c r="R1251" s="152" t="s">
        <v>6066</v>
      </c>
      <c r="S1251" s="152" t="s">
        <v>6080</v>
      </c>
      <c r="T1251" s="152" t="s">
        <v>6068</v>
      </c>
      <c r="U1251" s="152" t="s">
        <v>786</v>
      </c>
    </row>
    <row r="1252" spans="4:21">
      <c r="D1252" s="152" t="s">
        <v>2821</v>
      </c>
      <c r="G1252" s="474" t="s">
        <v>671</v>
      </c>
      <c r="H1252" s="210" t="s">
        <v>672</v>
      </c>
      <c r="I1252" s="210"/>
      <c r="J1252" s="513">
        <v>-342258</v>
      </c>
      <c r="K1252" s="513">
        <v>-243.6</v>
      </c>
      <c r="L1252" s="513">
        <v>1405</v>
      </c>
      <c r="M1252" s="513" t="s">
        <v>6059</v>
      </c>
      <c r="N1252" s="513" t="s">
        <v>780</v>
      </c>
      <c r="O1252" s="513" t="s">
        <v>781</v>
      </c>
      <c r="P1252" s="518" t="s">
        <v>6065</v>
      </c>
      <c r="Q1252" s="152" t="s">
        <v>5873</v>
      </c>
      <c r="R1252" s="152" t="s">
        <v>6066</v>
      </c>
      <c r="S1252" s="152" t="s">
        <v>6081</v>
      </c>
      <c r="T1252" s="152" t="s">
        <v>6068</v>
      </c>
      <c r="U1252" s="152" t="s">
        <v>786</v>
      </c>
    </row>
    <row r="1253" spans="4:21">
      <c r="D1253" s="152" t="s">
        <v>2821</v>
      </c>
      <c r="G1253" s="474" t="s">
        <v>671</v>
      </c>
      <c r="H1253" s="210" t="s">
        <v>672</v>
      </c>
      <c r="I1253" s="210"/>
      <c r="J1253" s="513">
        <v>1784.35</v>
      </c>
      <c r="K1253" s="513">
        <v>1.27</v>
      </c>
      <c r="L1253" s="513">
        <v>1405</v>
      </c>
      <c r="M1253" s="513" t="s">
        <v>6059</v>
      </c>
      <c r="N1253" s="513" t="s">
        <v>780</v>
      </c>
      <c r="O1253" s="513" t="s">
        <v>781</v>
      </c>
      <c r="P1253" s="518" t="s">
        <v>6085</v>
      </c>
      <c r="Q1253" s="152" t="s">
        <v>5873</v>
      </c>
      <c r="R1253" s="152" t="s">
        <v>6086</v>
      </c>
      <c r="S1253" s="152" t="s">
        <v>6087</v>
      </c>
      <c r="T1253" s="152" t="s">
        <v>6088</v>
      </c>
      <c r="U1253" s="152" t="s">
        <v>786</v>
      </c>
    </row>
    <row r="1254" spans="4:21">
      <c r="D1254" s="152" t="s">
        <v>2821</v>
      </c>
      <c r="G1254" s="474" t="s">
        <v>671</v>
      </c>
      <c r="H1254" s="210" t="s">
        <v>672</v>
      </c>
      <c r="I1254" s="210"/>
      <c r="J1254" s="513">
        <v>-980619.75</v>
      </c>
      <c r="K1254" s="513">
        <v>-697.95</v>
      </c>
      <c r="L1254" s="513">
        <v>1405</v>
      </c>
      <c r="M1254" s="513" t="s">
        <v>6059</v>
      </c>
      <c r="N1254" s="513" t="s">
        <v>780</v>
      </c>
      <c r="O1254" s="513" t="s">
        <v>781</v>
      </c>
      <c r="P1254" s="518" t="s">
        <v>6065</v>
      </c>
      <c r="Q1254" s="152" t="s">
        <v>5873</v>
      </c>
      <c r="R1254" s="152" t="s">
        <v>6066</v>
      </c>
      <c r="S1254" s="152" t="s">
        <v>6089</v>
      </c>
      <c r="T1254" s="152" t="s">
        <v>6068</v>
      </c>
      <c r="U1254" s="152" t="s">
        <v>786</v>
      </c>
    </row>
    <row r="1255" spans="4:21">
      <c r="D1255" s="152" t="s">
        <v>2821</v>
      </c>
      <c r="G1255" s="474" t="s">
        <v>671</v>
      </c>
      <c r="H1255" s="210" t="s">
        <v>672</v>
      </c>
      <c r="I1255" s="210"/>
      <c r="J1255" s="513">
        <v>-641494.9</v>
      </c>
      <c r="K1255" s="513">
        <v>-456.58</v>
      </c>
      <c r="L1255" s="513">
        <v>1405</v>
      </c>
      <c r="M1255" s="513" t="s">
        <v>6059</v>
      </c>
      <c r="N1255" s="513" t="s">
        <v>780</v>
      </c>
      <c r="O1255" s="513" t="s">
        <v>781</v>
      </c>
      <c r="P1255" s="518" t="s">
        <v>6065</v>
      </c>
      <c r="Q1255" s="152" t="s">
        <v>5873</v>
      </c>
      <c r="R1255" s="152" t="s">
        <v>6066</v>
      </c>
      <c r="S1255" s="152" t="s">
        <v>6090</v>
      </c>
      <c r="T1255" s="152" t="s">
        <v>6068</v>
      </c>
      <c r="U1255" s="152" t="s">
        <v>786</v>
      </c>
    </row>
    <row r="1256" spans="4:21">
      <c r="D1256" s="152" t="s">
        <v>2821</v>
      </c>
      <c r="G1256" s="474" t="s">
        <v>671</v>
      </c>
      <c r="H1256" s="210" t="s">
        <v>672</v>
      </c>
      <c r="I1256" s="210"/>
      <c r="J1256" s="513">
        <v>-49737</v>
      </c>
      <c r="K1256" s="513">
        <v>-35.4</v>
      </c>
      <c r="L1256" s="513">
        <v>1405</v>
      </c>
      <c r="M1256" s="513" t="s">
        <v>6059</v>
      </c>
      <c r="N1256" s="513" t="s">
        <v>780</v>
      </c>
      <c r="O1256" s="513" t="s">
        <v>781</v>
      </c>
      <c r="P1256" s="518" t="s">
        <v>6065</v>
      </c>
      <c r="Q1256" s="152" t="s">
        <v>5873</v>
      </c>
      <c r="R1256" s="152" t="s">
        <v>6066</v>
      </c>
      <c r="S1256" s="152" t="s">
        <v>6092</v>
      </c>
      <c r="T1256" s="152" t="s">
        <v>6068</v>
      </c>
      <c r="U1256" s="152" t="s">
        <v>786</v>
      </c>
    </row>
    <row r="1257" spans="4:21">
      <c r="D1257" s="152" t="s">
        <v>2821</v>
      </c>
      <c r="G1257" s="474" t="s">
        <v>671</v>
      </c>
      <c r="H1257" s="210" t="s">
        <v>672</v>
      </c>
      <c r="I1257" s="210"/>
      <c r="J1257" s="513">
        <v>-2922400</v>
      </c>
      <c r="K1257" s="513">
        <v>-2080</v>
      </c>
      <c r="L1257" s="513">
        <v>1405</v>
      </c>
      <c r="M1257" s="513" t="s">
        <v>6059</v>
      </c>
      <c r="N1257" s="513" t="s">
        <v>780</v>
      </c>
      <c r="O1257" s="513" t="s">
        <v>781</v>
      </c>
      <c r="P1257" s="518" t="s">
        <v>6065</v>
      </c>
      <c r="Q1257" s="152" t="s">
        <v>5873</v>
      </c>
      <c r="R1257" s="152" t="s">
        <v>6066</v>
      </c>
      <c r="S1257" s="152" t="s">
        <v>6095</v>
      </c>
      <c r="T1257" s="152" t="s">
        <v>6068</v>
      </c>
      <c r="U1257" s="152" t="s">
        <v>786</v>
      </c>
    </row>
    <row r="1258" spans="4:21">
      <c r="D1258" s="152" t="s">
        <v>2821</v>
      </c>
      <c r="G1258" s="474" t="s">
        <v>671</v>
      </c>
      <c r="H1258" s="210" t="s">
        <v>672</v>
      </c>
      <c r="I1258" s="210"/>
      <c r="J1258" s="513">
        <v>-615994.15</v>
      </c>
      <c r="K1258" s="513">
        <v>-438.43</v>
      </c>
      <c r="L1258" s="513">
        <v>1405</v>
      </c>
      <c r="M1258" s="513" t="s">
        <v>6059</v>
      </c>
      <c r="N1258" s="513" t="s">
        <v>780</v>
      </c>
      <c r="O1258" s="513" t="s">
        <v>781</v>
      </c>
      <c r="P1258" s="518" t="s">
        <v>6065</v>
      </c>
      <c r="Q1258" s="152" t="s">
        <v>5873</v>
      </c>
      <c r="R1258" s="152" t="s">
        <v>6066</v>
      </c>
      <c r="S1258" s="152" t="s">
        <v>6096</v>
      </c>
      <c r="T1258" s="152" t="s">
        <v>6068</v>
      </c>
      <c r="U1258" s="152" t="s">
        <v>786</v>
      </c>
    </row>
    <row r="1259" spans="4:21">
      <c r="D1259" s="152" t="s">
        <v>2821</v>
      </c>
      <c r="G1259" s="474" t="s">
        <v>671</v>
      </c>
      <c r="H1259" s="210" t="s">
        <v>672</v>
      </c>
      <c r="I1259" s="210"/>
      <c r="J1259" s="513">
        <v>4215000</v>
      </c>
      <c r="K1259" s="513">
        <v>3000</v>
      </c>
      <c r="L1259" s="513">
        <v>1405</v>
      </c>
      <c r="M1259" s="513" t="s">
        <v>6059</v>
      </c>
      <c r="N1259" s="513" t="s">
        <v>780</v>
      </c>
      <c r="O1259" s="513" t="s">
        <v>781</v>
      </c>
      <c r="P1259" s="518" t="s">
        <v>6085</v>
      </c>
      <c r="Q1259" s="152" t="s">
        <v>5873</v>
      </c>
      <c r="R1259" s="152" t="s">
        <v>6086</v>
      </c>
      <c r="S1259" s="152" t="s">
        <v>1107</v>
      </c>
      <c r="T1259" s="152" t="s">
        <v>6088</v>
      </c>
      <c r="U1259" s="152" t="s">
        <v>786</v>
      </c>
    </row>
    <row r="1260" spans="4:21">
      <c r="D1260" s="152" t="s">
        <v>2821</v>
      </c>
      <c r="G1260" s="474" t="s">
        <v>671</v>
      </c>
      <c r="H1260" s="210" t="s">
        <v>672</v>
      </c>
      <c r="I1260" s="210"/>
      <c r="J1260" s="513">
        <v>8430000</v>
      </c>
      <c r="K1260" s="513">
        <v>6000</v>
      </c>
      <c r="L1260" s="513">
        <v>1405</v>
      </c>
      <c r="M1260" s="513" t="s">
        <v>6059</v>
      </c>
      <c r="N1260" s="513" t="s">
        <v>780</v>
      </c>
      <c r="O1260" s="513" t="s">
        <v>781</v>
      </c>
      <c r="P1260" s="518" t="s">
        <v>6085</v>
      </c>
      <c r="Q1260" s="152" t="s">
        <v>5873</v>
      </c>
      <c r="R1260" s="152" t="s">
        <v>6086</v>
      </c>
      <c r="S1260" s="152" t="s">
        <v>1107</v>
      </c>
      <c r="T1260" s="152" t="s">
        <v>6088</v>
      </c>
      <c r="U1260" s="152" t="s">
        <v>786</v>
      </c>
    </row>
    <row r="1261" spans="4:21">
      <c r="D1261" s="152" t="s">
        <v>2821</v>
      </c>
      <c r="G1261" s="474" t="s">
        <v>671</v>
      </c>
      <c r="H1261" s="210" t="s">
        <v>672</v>
      </c>
      <c r="I1261" s="210"/>
      <c r="J1261" s="513">
        <v>-632250</v>
      </c>
      <c r="K1261" s="513">
        <v>-450</v>
      </c>
      <c r="L1261" s="513">
        <v>1405</v>
      </c>
      <c r="M1261" s="513" t="s">
        <v>6059</v>
      </c>
      <c r="N1261" s="513" t="s">
        <v>780</v>
      </c>
      <c r="O1261" s="513" t="s">
        <v>781</v>
      </c>
      <c r="P1261" s="518" t="s">
        <v>6065</v>
      </c>
      <c r="Q1261" s="152" t="s">
        <v>5873</v>
      </c>
      <c r="R1261" s="152" t="s">
        <v>6066</v>
      </c>
      <c r="S1261" s="152" t="s">
        <v>6097</v>
      </c>
      <c r="T1261" s="152" t="s">
        <v>6068</v>
      </c>
      <c r="U1261" s="152" t="s">
        <v>786</v>
      </c>
    </row>
    <row r="1262" spans="4:21">
      <c r="D1262" s="152" t="s">
        <v>2821</v>
      </c>
      <c r="G1262" s="474" t="s">
        <v>671</v>
      </c>
      <c r="H1262" s="210" t="s">
        <v>672</v>
      </c>
      <c r="I1262" s="210"/>
      <c r="J1262" s="513">
        <v>-648590.15</v>
      </c>
      <c r="K1262" s="513">
        <v>-461.63</v>
      </c>
      <c r="L1262" s="513">
        <v>1405</v>
      </c>
      <c r="M1262" s="513" t="s">
        <v>6303</v>
      </c>
      <c r="N1262" s="513" t="s">
        <v>780</v>
      </c>
      <c r="O1262" s="513" t="s">
        <v>781</v>
      </c>
      <c r="P1262" s="518" t="s">
        <v>6304</v>
      </c>
      <c r="Q1262" s="152" t="s">
        <v>5873</v>
      </c>
      <c r="R1262" s="152" t="s">
        <v>6305</v>
      </c>
      <c r="S1262" s="152" t="s">
        <v>6306</v>
      </c>
      <c r="T1262" s="152" t="s">
        <v>6307</v>
      </c>
      <c r="U1262" s="152" t="s">
        <v>786</v>
      </c>
    </row>
    <row r="1263" spans="4:21">
      <c r="D1263" s="152" t="s">
        <v>2821</v>
      </c>
      <c r="G1263" s="474" t="s">
        <v>671</v>
      </c>
      <c r="H1263" s="210" t="s">
        <v>672</v>
      </c>
      <c r="I1263" s="210"/>
      <c r="J1263" s="513">
        <v>-1065734.6499999999</v>
      </c>
      <c r="K1263" s="513">
        <v>-758.53</v>
      </c>
      <c r="L1263" s="513">
        <v>1405</v>
      </c>
      <c r="M1263" s="513" t="s">
        <v>6303</v>
      </c>
      <c r="N1263" s="513" t="s">
        <v>780</v>
      </c>
      <c r="O1263" s="513" t="s">
        <v>781</v>
      </c>
      <c r="P1263" s="518" t="s">
        <v>6304</v>
      </c>
      <c r="Q1263" s="152" t="s">
        <v>5873</v>
      </c>
      <c r="R1263" s="152" t="s">
        <v>6305</v>
      </c>
      <c r="S1263" s="152" t="s">
        <v>6308</v>
      </c>
      <c r="T1263" s="152" t="s">
        <v>6307</v>
      </c>
      <c r="U1263" s="152" t="s">
        <v>786</v>
      </c>
    </row>
    <row r="1264" spans="4:21">
      <c r="D1264" s="152" t="s">
        <v>2821</v>
      </c>
      <c r="G1264" s="474" t="s">
        <v>671</v>
      </c>
      <c r="H1264" s="210" t="s">
        <v>672</v>
      </c>
      <c r="I1264" s="210"/>
      <c r="J1264" s="513">
        <v>-113748.8</v>
      </c>
      <c r="K1264" s="513">
        <v>-80.959999999999994</v>
      </c>
      <c r="L1264" s="513">
        <v>1405</v>
      </c>
      <c r="M1264" s="513" t="s">
        <v>6303</v>
      </c>
      <c r="N1264" s="513" t="s">
        <v>780</v>
      </c>
      <c r="O1264" s="513" t="s">
        <v>781</v>
      </c>
      <c r="P1264" s="518" t="s">
        <v>6304</v>
      </c>
      <c r="Q1264" s="152" t="s">
        <v>5873</v>
      </c>
      <c r="R1264" s="152" t="s">
        <v>6305</v>
      </c>
      <c r="S1264" s="152" t="s">
        <v>6309</v>
      </c>
      <c r="T1264" s="152" t="s">
        <v>6307</v>
      </c>
      <c r="U1264" s="152" t="s">
        <v>786</v>
      </c>
    </row>
    <row r="1265" spans="4:21">
      <c r="D1265" s="152" t="s">
        <v>2821</v>
      </c>
      <c r="G1265" s="474" t="s">
        <v>671</v>
      </c>
      <c r="H1265" s="210" t="s">
        <v>672</v>
      </c>
      <c r="I1265" s="210"/>
      <c r="J1265" s="513">
        <v>-81180.899999999994</v>
      </c>
      <c r="K1265" s="513">
        <v>-57.78</v>
      </c>
      <c r="L1265" s="513">
        <v>1405</v>
      </c>
      <c r="M1265" s="513" t="s">
        <v>6303</v>
      </c>
      <c r="N1265" s="513" t="s">
        <v>780</v>
      </c>
      <c r="O1265" s="513" t="s">
        <v>781</v>
      </c>
      <c r="P1265" s="518" t="s">
        <v>6304</v>
      </c>
      <c r="Q1265" s="152" t="s">
        <v>5873</v>
      </c>
      <c r="R1265" s="152" t="s">
        <v>6305</v>
      </c>
      <c r="S1265" s="152" t="s">
        <v>6315</v>
      </c>
      <c r="T1265" s="152" t="s">
        <v>6307</v>
      </c>
      <c r="U1265" s="152" t="s">
        <v>786</v>
      </c>
    </row>
    <row r="1266" spans="4:21">
      <c r="D1266" s="152" t="s">
        <v>2821</v>
      </c>
      <c r="G1266" s="474" t="s">
        <v>671</v>
      </c>
      <c r="H1266" s="210" t="s">
        <v>672</v>
      </c>
      <c r="I1266" s="210"/>
      <c r="J1266" s="513">
        <v>-710494.45</v>
      </c>
      <c r="K1266" s="513">
        <v>-505.69</v>
      </c>
      <c r="L1266" s="513">
        <v>1405</v>
      </c>
      <c r="M1266" s="513" t="s">
        <v>6303</v>
      </c>
      <c r="N1266" s="513" t="s">
        <v>780</v>
      </c>
      <c r="O1266" s="513" t="s">
        <v>781</v>
      </c>
      <c r="P1266" s="518" t="s">
        <v>6304</v>
      </c>
      <c r="Q1266" s="152" t="s">
        <v>5873</v>
      </c>
      <c r="R1266" s="152" t="s">
        <v>6305</v>
      </c>
      <c r="S1266" s="152" t="s">
        <v>6316</v>
      </c>
      <c r="T1266" s="152" t="s">
        <v>6307</v>
      </c>
      <c r="U1266" s="152" t="s">
        <v>786</v>
      </c>
    </row>
    <row r="1267" spans="4:21">
      <c r="D1267" s="152" t="s">
        <v>2821</v>
      </c>
      <c r="G1267" s="474" t="s">
        <v>671</v>
      </c>
      <c r="H1267" s="210" t="s">
        <v>672</v>
      </c>
      <c r="I1267" s="210"/>
      <c r="J1267" s="513">
        <v>-375149.05</v>
      </c>
      <c r="K1267" s="513">
        <v>-267.01</v>
      </c>
      <c r="L1267" s="513">
        <v>1405</v>
      </c>
      <c r="M1267" s="513" t="s">
        <v>6303</v>
      </c>
      <c r="N1267" s="513" t="s">
        <v>780</v>
      </c>
      <c r="O1267" s="513" t="s">
        <v>781</v>
      </c>
      <c r="P1267" s="518" t="s">
        <v>6304</v>
      </c>
      <c r="Q1267" s="152" t="s">
        <v>5873</v>
      </c>
      <c r="R1267" s="152" t="s">
        <v>6305</v>
      </c>
      <c r="S1267" s="152" t="s">
        <v>6318</v>
      </c>
      <c r="T1267" s="152" t="s">
        <v>6307</v>
      </c>
      <c r="U1267" s="152" t="s">
        <v>786</v>
      </c>
    </row>
    <row r="1268" spans="4:21">
      <c r="D1268" s="152" t="s">
        <v>2821</v>
      </c>
      <c r="G1268" s="474" t="s">
        <v>671</v>
      </c>
      <c r="H1268" s="210" t="s">
        <v>672</v>
      </c>
      <c r="I1268" s="210"/>
      <c r="J1268" s="513">
        <v>-799304.5</v>
      </c>
      <c r="K1268" s="513">
        <v>-568.9</v>
      </c>
      <c r="L1268" s="513">
        <v>1405</v>
      </c>
      <c r="M1268" s="513" t="s">
        <v>6303</v>
      </c>
      <c r="N1268" s="513" t="s">
        <v>780</v>
      </c>
      <c r="O1268" s="513" t="s">
        <v>781</v>
      </c>
      <c r="P1268" s="518" t="s">
        <v>6304</v>
      </c>
      <c r="Q1268" s="152" t="s">
        <v>5873</v>
      </c>
      <c r="R1268" s="152" t="s">
        <v>6305</v>
      </c>
      <c r="S1268" s="152" t="s">
        <v>6319</v>
      </c>
      <c r="T1268" s="152" t="s">
        <v>6307</v>
      </c>
      <c r="U1268" s="152" t="s">
        <v>786</v>
      </c>
    </row>
    <row r="1269" spans="4:21">
      <c r="D1269" s="152" t="s">
        <v>2821</v>
      </c>
      <c r="G1269" s="474" t="s">
        <v>671</v>
      </c>
      <c r="H1269" s="210" t="s">
        <v>672</v>
      </c>
      <c r="I1269" s="210"/>
      <c r="J1269" s="513">
        <v>-639443.6</v>
      </c>
      <c r="K1269" s="513">
        <v>-455.12</v>
      </c>
      <c r="L1269" s="513">
        <v>1405</v>
      </c>
      <c r="M1269" s="513" t="s">
        <v>6303</v>
      </c>
      <c r="N1269" s="513" t="s">
        <v>780</v>
      </c>
      <c r="O1269" s="513" t="s">
        <v>781</v>
      </c>
      <c r="P1269" s="518" t="s">
        <v>6304</v>
      </c>
      <c r="Q1269" s="152" t="s">
        <v>5873</v>
      </c>
      <c r="R1269" s="152" t="s">
        <v>6305</v>
      </c>
      <c r="S1269" s="152" t="s">
        <v>6320</v>
      </c>
      <c r="T1269" s="152" t="s">
        <v>6307</v>
      </c>
      <c r="U1269" s="152" t="s">
        <v>786</v>
      </c>
    </row>
    <row r="1270" spans="4:21">
      <c r="D1270" s="152" t="s">
        <v>2821</v>
      </c>
      <c r="G1270" s="474" t="s">
        <v>671</v>
      </c>
      <c r="H1270" s="210" t="s">
        <v>672</v>
      </c>
      <c r="I1270" s="210"/>
      <c r="J1270" s="513">
        <v>-710494.45</v>
      </c>
      <c r="K1270" s="513">
        <v>-505.69</v>
      </c>
      <c r="L1270" s="513">
        <v>1405</v>
      </c>
      <c r="M1270" s="513" t="s">
        <v>6303</v>
      </c>
      <c r="N1270" s="513" t="s">
        <v>780</v>
      </c>
      <c r="O1270" s="513" t="s">
        <v>781</v>
      </c>
      <c r="P1270" s="518" t="s">
        <v>6304</v>
      </c>
      <c r="Q1270" s="152" t="s">
        <v>5873</v>
      </c>
      <c r="R1270" s="152" t="s">
        <v>6305</v>
      </c>
      <c r="S1270" s="152" t="s">
        <v>6321</v>
      </c>
      <c r="T1270" s="152" t="s">
        <v>6307</v>
      </c>
      <c r="U1270" s="152" t="s">
        <v>786</v>
      </c>
    </row>
    <row r="1271" spans="4:21">
      <c r="D1271" s="152" t="s">
        <v>2821</v>
      </c>
      <c r="G1271" s="474" t="s">
        <v>671</v>
      </c>
      <c r="H1271" s="210" t="s">
        <v>672</v>
      </c>
      <c r="I1271" s="210"/>
      <c r="J1271" s="513">
        <v>-217269.2</v>
      </c>
      <c r="K1271" s="513">
        <v>-154.63999999999999</v>
      </c>
      <c r="L1271" s="513">
        <v>1405</v>
      </c>
      <c r="M1271" s="513" t="s">
        <v>6303</v>
      </c>
      <c r="N1271" s="513" t="s">
        <v>780</v>
      </c>
      <c r="O1271" s="513" t="s">
        <v>781</v>
      </c>
      <c r="P1271" s="518" t="s">
        <v>6304</v>
      </c>
      <c r="Q1271" s="152" t="s">
        <v>5873</v>
      </c>
      <c r="R1271" s="152" t="s">
        <v>6305</v>
      </c>
      <c r="S1271" s="152" t="s">
        <v>6323</v>
      </c>
      <c r="T1271" s="152" t="s">
        <v>6307</v>
      </c>
      <c r="U1271" s="152" t="s">
        <v>786</v>
      </c>
    </row>
    <row r="1272" spans="4:21">
      <c r="D1272" s="152" t="s">
        <v>2821</v>
      </c>
      <c r="G1272" s="474" t="s">
        <v>671</v>
      </c>
      <c r="H1272" s="210" t="s">
        <v>672</v>
      </c>
      <c r="I1272" s="210"/>
      <c r="J1272" s="513">
        <v>-168810.75</v>
      </c>
      <c r="K1272" s="513">
        <v>-120.15</v>
      </c>
      <c r="L1272" s="513">
        <v>1405</v>
      </c>
      <c r="M1272" s="513" t="s">
        <v>6303</v>
      </c>
      <c r="N1272" s="513" t="s">
        <v>780</v>
      </c>
      <c r="O1272" s="513" t="s">
        <v>781</v>
      </c>
      <c r="P1272" s="518" t="s">
        <v>6304</v>
      </c>
      <c r="Q1272" s="152" t="s">
        <v>5873</v>
      </c>
      <c r="R1272" s="152" t="s">
        <v>6305</v>
      </c>
      <c r="S1272" s="152" t="s">
        <v>6324</v>
      </c>
      <c r="T1272" s="152" t="s">
        <v>6307</v>
      </c>
      <c r="U1272" s="152" t="s">
        <v>786</v>
      </c>
    </row>
    <row r="1273" spans="4:21">
      <c r="D1273" s="152" t="s">
        <v>2821</v>
      </c>
      <c r="G1273" s="474" t="s">
        <v>671</v>
      </c>
      <c r="H1273" s="210" t="s">
        <v>672</v>
      </c>
      <c r="I1273" s="210"/>
      <c r="J1273" s="513">
        <v>-537848.05000000005</v>
      </c>
      <c r="K1273" s="513">
        <v>-382.81</v>
      </c>
      <c r="L1273" s="513">
        <v>1405</v>
      </c>
      <c r="M1273" s="513" t="s">
        <v>6303</v>
      </c>
      <c r="N1273" s="513" t="s">
        <v>780</v>
      </c>
      <c r="O1273" s="513" t="s">
        <v>781</v>
      </c>
      <c r="P1273" s="518" t="s">
        <v>6304</v>
      </c>
      <c r="Q1273" s="152" t="s">
        <v>5873</v>
      </c>
      <c r="R1273" s="152" t="s">
        <v>6305</v>
      </c>
      <c r="S1273" s="152" t="s">
        <v>6325</v>
      </c>
      <c r="T1273" s="152" t="s">
        <v>6307</v>
      </c>
      <c r="U1273" s="152" t="s">
        <v>786</v>
      </c>
    </row>
    <row r="1274" spans="4:21">
      <c r="D1274" s="152" t="s">
        <v>2821</v>
      </c>
      <c r="G1274" s="474" t="s">
        <v>671</v>
      </c>
      <c r="H1274" s="210" t="s">
        <v>672</v>
      </c>
      <c r="I1274" s="210"/>
      <c r="J1274" s="513">
        <v>-2725.7</v>
      </c>
      <c r="K1274" s="513">
        <v>-1.94</v>
      </c>
      <c r="L1274" s="513">
        <v>1405</v>
      </c>
      <c r="M1274" s="513" t="s">
        <v>6303</v>
      </c>
      <c r="N1274" s="513" t="s">
        <v>780</v>
      </c>
      <c r="O1274" s="513" t="s">
        <v>781</v>
      </c>
      <c r="P1274" s="518" t="s">
        <v>6304</v>
      </c>
      <c r="Q1274" s="152" t="s">
        <v>5873</v>
      </c>
      <c r="R1274" s="152" t="s">
        <v>6305</v>
      </c>
      <c r="S1274" s="152" t="s">
        <v>953</v>
      </c>
      <c r="T1274" s="152" t="s">
        <v>6307</v>
      </c>
      <c r="U1274" s="152" t="s">
        <v>786</v>
      </c>
    </row>
    <row r="1275" spans="4:21">
      <c r="D1275" s="152" t="s">
        <v>2821</v>
      </c>
      <c r="G1275" s="474" t="s">
        <v>671</v>
      </c>
      <c r="H1275" s="210" t="s">
        <v>672</v>
      </c>
      <c r="I1275" s="210"/>
      <c r="J1275" s="513">
        <v>-2683.55</v>
      </c>
      <c r="K1275" s="513">
        <v>-1.91</v>
      </c>
      <c r="L1275" s="513">
        <v>1405</v>
      </c>
      <c r="M1275" s="513" t="s">
        <v>6303</v>
      </c>
      <c r="N1275" s="513" t="s">
        <v>780</v>
      </c>
      <c r="O1275" s="513" t="s">
        <v>781</v>
      </c>
      <c r="P1275" s="518" t="s">
        <v>6304</v>
      </c>
      <c r="Q1275" s="152" t="s">
        <v>5873</v>
      </c>
      <c r="R1275" s="152" t="s">
        <v>6305</v>
      </c>
      <c r="S1275" s="152" t="s">
        <v>953</v>
      </c>
      <c r="T1275" s="152" t="s">
        <v>6307</v>
      </c>
      <c r="U1275" s="152" t="s">
        <v>786</v>
      </c>
    </row>
    <row r="1276" spans="4:21">
      <c r="D1276" s="152" t="s">
        <v>2821</v>
      </c>
      <c r="G1276" s="474" t="s">
        <v>671</v>
      </c>
      <c r="H1276" s="210" t="s">
        <v>672</v>
      </c>
      <c r="I1276" s="210"/>
      <c r="J1276" s="513">
        <v>-2725.7</v>
      </c>
      <c r="K1276" s="513">
        <v>-1.94</v>
      </c>
      <c r="L1276" s="513">
        <v>1405</v>
      </c>
      <c r="M1276" s="513" t="s">
        <v>6303</v>
      </c>
      <c r="N1276" s="513" t="s">
        <v>780</v>
      </c>
      <c r="O1276" s="513" t="s">
        <v>781</v>
      </c>
      <c r="P1276" s="518" t="s">
        <v>6304</v>
      </c>
      <c r="Q1276" s="152" t="s">
        <v>5873</v>
      </c>
      <c r="R1276" s="152" t="s">
        <v>6305</v>
      </c>
      <c r="S1276" s="152" t="s">
        <v>953</v>
      </c>
      <c r="T1276" s="152" t="s">
        <v>6307</v>
      </c>
      <c r="U1276" s="152" t="s">
        <v>786</v>
      </c>
    </row>
    <row r="1277" spans="4:21">
      <c r="D1277" s="152" t="s">
        <v>2821</v>
      </c>
      <c r="G1277" s="474" t="s">
        <v>671</v>
      </c>
      <c r="H1277" s="210" t="s">
        <v>672</v>
      </c>
      <c r="I1277" s="210"/>
      <c r="J1277" s="513">
        <v>-2683.55</v>
      </c>
      <c r="K1277" s="513">
        <v>-1.91</v>
      </c>
      <c r="L1277" s="513">
        <v>1405</v>
      </c>
      <c r="M1277" s="513" t="s">
        <v>6303</v>
      </c>
      <c r="N1277" s="513" t="s">
        <v>780</v>
      </c>
      <c r="O1277" s="513" t="s">
        <v>781</v>
      </c>
      <c r="P1277" s="518" t="s">
        <v>6304</v>
      </c>
      <c r="Q1277" s="152" t="s">
        <v>5873</v>
      </c>
      <c r="R1277" s="152" t="s">
        <v>6305</v>
      </c>
      <c r="S1277" s="152" t="s">
        <v>953</v>
      </c>
      <c r="T1277" s="152" t="s">
        <v>6307</v>
      </c>
      <c r="U1277" s="152" t="s">
        <v>786</v>
      </c>
    </row>
    <row r="1278" spans="4:21">
      <c r="D1278" s="152" t="s">
        <v>2821</v>
      </c>
      <c r="G1278" s="474" t="s">
        <v>671</v>
      </c>
      <c r="H1278" s="210" t="s">
        <v>672</v>
      </c>
      <c r="I1278" s="210"/>
      <c r="J1278" s="513">
        <v>-1629.8</v>
      </c>
      <c r="K1278" s="513">
        <v>-1.1599999999999999</v>
      </c>
      <c r="L1278" s="513">
        <v>1405</v>
      </c>
      <c r="M1278" s="513" t="s">
        <v>6303</v>
      </c>
      <c r="N1278" s="513" t="s">
        <v>780</v>
      </c>
      <c r="O1278" s="513" t="s">
        <v>781</v>
      </c>
      <c r="P1278" s="518" t="s">
        <v>6304</v>
      </c>
      <c r="Q1278" s="152" t="s">
        <v>5873</v>
      </c>
      <c r="R1278" s="152" t="s">
        <v>6305</v>
      </c>
      <c r="S1278" s="152" t="s">
        <v>953</v>
      </c>
      <c r="T1278" s="152" t="s">
        <v>6307</v>
      </c>
      <c r="U1278" s="152" t="s">
        <v>786</v>
      </c>
    </row>
    <row r="1279" spans="4:21">
      <c r="D1279" s="152" t="s">
        <v>2821</v>
      </c>
      <c r="G1279" s="474" t="s">
        <v>671</v>
      </c>
      <c r="H1279" s="210" t="s">
        <v>672</v>
      </c>
      <c r="I1279" s="210"/>
      <c r="J1279" s="513">
        <v>-1629.8</v>
      </c>
      <c r="K1279" s="513">
        <v>-1.1599999999999999</v>
      </c>
      <c r="L1279" s="513">
        <v>1405</v>
      </c>
      <c r="M1279" s="513" t="s">
        <v>6303</v>
      </c>
      <c r="N1279" s="513" t="s">
        <v>780</v>
      </c>
      <c r="O1279" s="513" t="s">
        <v>781</v>
      </c>
      <c r="P1279" s="518" t="s">
        <v>6304</v>
      </c>
      <c r="Q1279" s="152" t="s">
        <v>5873</v>
      </c>
      <c r="R1279" s="152" t="s">
        <v>6305</v>
      </c>
      <c r="S1279" s="152" t="s">
        <v>953</v>
      </c>
      <c r="T1279" s="152" t="s">
        <v>6307</v>
      </c>
      <c r="U1279" s="152" t="s">
        <v>786</v>
      </c>
    </row>
    <row r="1280" spans="4:21">
      <c r="D1280" s="152" t="s">
        <v>2821</v>
      </c>
      <c r="G1280" s="474" t="s">
        <v>671</v>
      </c>
      <c r="H1280" s="210" t="s">
        <v>672</v>
      </c>
      <c r="I1280" s="210"/>
      <c r="J1280" s="513">
        <v>-1629.8</v>
      </c>
      <c r="K1280" s="513">
        <v>-1.1599999999999999</v>
      </c>
      <c r="L1280" s="513">
        <v>1405</v>
      </c>
      <c r="M1280" s="513" t="s">
        <v>6303</v>
      </c>
      <c r="N1280" s="513" t="s">
        <v>780</v>
      </c>
      <c r="O1280" s="513" t="s">
        <v>781</v>
      </c>
      <c r="P1280" s="518" t="s">
        <v>6304</v>
      </c>
      <c r="Q1280" s="152" t="s">
        <v>5873</v>
      </c>
      <c r="R1280" s="152" t="s">
        <v>6305</v>
      </c>
      <c r="S1280" s="152" t="s">
        <v>953</v>
      </c>
      <c r="T1280" s="152" t="s">
        <v>6307</v>
      </c>
      <c r="U1280" s="152" t="s">
        <v>786</v>
      </c>
    </row>
    <row r="1281" spans="4:21">
      <c r="D1281" s="152" t="s">
        <v>2821</v>
      </c>
      <c r="G1281" s="474" t="s">
        <v>671</v>
      </c>
      <c r="H1281" s="210" t="s">
        <v>672</v>
      </c>
      <c r="I1281" s="210"/>
      <c r="J1281" s="513">
        <v>-2683.55</v>
      </c>
      <c r="K1281" s="513">
        <v>-1.91</v>
      </c>
      <c r="L1281" s="513">
        <v>1405</v>
      </c>
      <c r="M1281" s="513" t="s">
        <v>6303</v>
      </c>
      <c r="N1281" s="513" t="s">
        <v>780</v>
      </c>
      <c r="O1281" s="513" t="s">
        <v>781</v>
      </c>
      <c r="P1281" s="518" t="s">
        <v>6304</v>
      </c>
      <c r="Q1281" s="152" t="s">
        <v>5873</v>
      </c>
      <c r="R1281" s="152" t="s">
        <v>6305</v>
      </c>
      <c r="S1281" s="152" t="s">
        <v>953</v>
      </c>
      <c r="T1281" s="152" t="s">
        <v>6307</v>
      </c>
      <c r="U1281" s="152" t="s">
        <v>786</v>
      </c>
    </row>
    <row r="1282" spans="4:21">
      <c r="D1282" s="152" t="s">
        <v>2821</v>
      </c>
      <c r="G1282" s="474" t="s">
        <v>671</v>
      </c>
      <c r="H1282" s="210" t="s">
        <v>672</v>
      </c>
      <c r="I1282" s="210"/>
      <c r="J1282" s="513">
        <v>-2725.7</v>
      </c>
      <c r="K1282" s="513">
        <v>-1.94</v>
      </c>
      <c r="L1282" s="513">
        <v>1405</v>
      </c>
      <c r="M1282" s="513" t="s">
        <v>6303</v>
      </c>
      <c r="N1282" s="513" t="s">
        <v>780</v>
      </c>
      <c r="O1282" s="513" t="s">
        <v>781</v>
      </c>
      <c r="P1282" s="518" t="s">
        <v>6304</v>
      </c>
      <c r="Q1282" s="152" t="s">
        <v>5873</v>
      </c>
      <c r="R1282" s="152" t="s">
        <v>6305</v>
      </c>
      <c r="S1282" s="152" t="s">
        <v>953</v>
      </c>
      <c r="T1282" s="152" t="s">
        <v>6307</v>
      </c>
      <c r="U1282" s="152" t="s">
        <v>786</v>
      </c>
    </row>
    <row r="1283" spans="4:21">
      <c r="D1283" s="152" t="s">
        <v>2821</v>
      </c>
      <c r="G1283" s="474" t="s">
        <v>671</v>
      </c>
      <c r="H1283" s="210" t="s">
        <v>672</v>
      </c>
      <c r="I1283" s="210"/>
      <c r="J1283" s="513">
        <v>-2683.55</v>
      </c>
      <c r="K1283" s="513">
        <v>-1.91</v>
      </c>
      <c r="L1283" s="513">
        <v>1405</v>
      </c>
      <c r="M1283" s="513" t="s">
        <v>6303</v>
      </c>
      <c r="N1283" s="513" t="s">
        <v>780</v>
      </c>
      <c r="O1283" s="513" t="s">
        <v>781</v>
      </c>
      <c r="P1283" s="518" t="s">
        <v>6304</v>
      </c>
      <c r="Q1283" s="152" t="s">
        <v>5873</v>
      </c>
      <c r="R1283" s="152" t="s">
        <v>6305</v>
      </c>
      <c r="S1283" s="152" t="s">
        <v>953</v>
      </c>
      <c r="T1283" s="152" t="s">
        <v>6307</v>
      </c>
      <c r="U1283" s="152" t="s">
        <v>786</v>
      </c>
    </row>
    <row r="1284" spans="4:21">
      <c r="D1284" s="152" t="s">
        <v>2821</v>
      </c>
      <c r="G1284" s="474" t="s">
        <v>671</v>
      </c>
      <c r="H1284" s="210" t="s">
        <v>672</v>
      </c>
      <c r="I1284" s="210"/>
      <c r="J1284" s="513">
        <v>1770.3</v>
      </c>
      <c r="K1284" s="513">
        <v>1.26</v>
      </c>
      <c r="L1284" s="513">
        <v>1405</v>
      </c>
      <c r="M1284" s="513" t="s">
        <v>6303</v>
      </c>
      <c r="N1284" s="513" t="s">
        <v>780</v>
      </c>
      <c r="O1284" s="513" t="s">
        <v>781</v>
      </c>
      <c r="P1284" s="518" t="s">
        <v>6327</v>
      </c>
      <c r="Q1284" s="152" t="s">
        <v>5873</v>
      </c>
      <c r="R1284" s="152" t="s">
        <v>6328</v>
      </c>
      <c r="S1284" s="152" t="s">
        <v>6329</v>
      </c>
      <c r="T1284" s="152" t="s">
        <v>6330</v>
      </c>
      <c r="U1284" s="152" t="s">
        <v>786</v>
      </c>
    </row>
    <row r="1285" spans="4:21">
      <c r="D1285" s="152" t="s">
        <v>2821</v>
      </c>
      <c r="G1285" s="474" t="s">
        <v>671</v>
      </c>
      <c r="H1285" s="210" t="s">
        <v>672</v>
      </c>
      <c r="I1285" s="210"/>
      <c r="J1285" s="513">
        <v>3105.05</v>
      </c>
      <c r="K1285" s="513">
        <v>2.21</v>
      </c>
      <c r="L1285" s="513">
        <v>1405</v>
      </c>
      <c r="M1285" s="513" t="s">
        <v>6303</v>
      </c>
      <c r="N1285" s="513" t="s">
        <v>780</v>
      </c>
      <c r="O1285" s="513" t="s">
        <v>781</v>
      </c>
      <c r="P1285" s="518" t="s">
        <v>6327</v>
      </c>
      <c r="Q1285" s="152" t="s">
        <v>5873</v>
      </c>
      <c r="R1285" s="152" t="s">
        <v>6328</v>
      </c>
      <c r="S1285" s="152" t="s">
        <v>6331</v>
      </c>
      <c r="T1285" s="152" t="s">
        <v>6330</v>
      </c>
      <c r="U1285" s="152" t="s">
        <v>786</v>
      </c>
    </row>
    <row r="1286" spans="4:21">
      <c r="D1286" s="152" t="s">
        <v>2821</v>
      </c>
      <c r="G1286" s="474" t="s">
        <v>671</v>
      </c>
      <c r="H1286" s="210" t="s">
        <v>672</v>
      </c>
      <c r="I1286" s="210"/>
      <c r="J1286" s="513">
        <v>-108634.6</v>
      </c>
      <c r="K1286" s="513">
        <v>-77.319999999999993</v>
      </c>
      <c r="L1286" s="513">
        <v>1405</v>
      </c>
      <c r="M1286" s="513" t="s">
        <v>6303</v>
      </c>
      <c r="N1286" s="513" t="s">
        <v>780</v>
      </c>
      <c r="O1286" s="513" t="s">
        <v>781</v>
      </c>
      <c r="P1286" s="518" t="s">
        <v>6304</v>
      </c>
      <c r="Q1286" s="152" t="s">
        <v>5873</v>
      </c>
      <c r="R1286" s="152" t="s">
        <v>6305</v>
      </c>
      <c r="S1286" s="152" t="s">
        <v>6332</v>
      </c>
      <c r="T1286" s="152" t="s">
        <v>6307</v>
      </c>
      <c r="U1286" s="152" t="s">
        <v>786</v>
      </c>
    </row>
    <row r="1287" spans="4:21">
      <c r="D1287" s="152" t="s">
        <v>2821</v>
      </c>
      <c r="G1287" s="474" t="s">
        <v>671</v>
      </c>
      <c r="H1287" s="210" t="s">
        <v>672</v>
      </c>
      <c r="I1287" s="210"/>
      <c r="J1287" s="513">
        <v>-438809.59999999998</v>
      </c>
      <c r="K1287" s="513">
        <v>-312.32</v>
      </c>
      <c r="L1287" s="513">
        <v>1405</v>
      </c>
      <c r="M1287" s="513" t="s">
        <v>6303</v>
      </c>
      <c r="N1287" s="513" t="s">
        <v>780</v>
      </c>
      <c r="O1287" s="513" t="s">
        <v>781</v>
      </c>
      <c r="P1287" s="518" t="s">
        <v>6304</v>
      </c>
      <c r="Q1287" s="152" t="s">
        <v>5873</v>
      </c>
      <c r="R1287" s="152" t="s">
        <v>6305</v>
      </c>
      <c r="S1287" s="152" t="s">
        <v>937</v>
      </c>
      <c r="T1287" s="152" t="s">
        <v>6307</v>
      </c>
      <c r="U1287" s="152" t="s">
        <v>786</v>
      </c>
    </row>
    <row r="1288" spans="4:21">
      <c r="D1288" s="152" t="s">
        <v>2821</v>
      </c>
      <c r="G1288" s="474" t="s">
        <v>671</v>
      </c>
      <c r="H1288" s="210" t="s">
        <v>672</v>
      </c>
      <c r="I1288" s="210"/>
      <c r="J1288" s="513">
        <v>-1521235.65</v>
      </c>
      <c r="K1288" s="513">
        <v>-1082.73</v>
      </c>
      <c r="L1288" s="513">
        <v>1405</v>
      </c>
      <c r="M1288" s="513" t="s">
        <v>6303</v>
      </c>
      <c r="N1288" s="513" t="s">
        <v>780</v>
      </c>
      <c r="O1288" s="513" t="s">
        <v>781</v>
      </c>
      <c r="P1288" s="518" t="s">
        <v>6304</v>
      </c>
      <c r="Q1288" s="152" t="s">
        <v>5873</v>
      </c>
      <c r="R1288" s="152" t="s">
        <v>6305</v>
      </c>
      <c r="S1288" s="152" t="s">
        <v>6334</v>
      </c>
      <c r="T1288" s="152" t="s">
        <v>6307</v>
      </c>
      <c r="U1288" s="152" t="s">
        <v>786</v>
      </c>
    </row>
    <row r="1289" spans="4:21">
      <c r="D1289" s="152" t="s">
        <v>2821</v>
      </c>
      <c r="G1289" s="474" t="s">
        <v>671</v>
      </c>
      <c r="H1289" s="210" t="s">
        <v>672</v>
      </c>
      <c r="I1289" s="210"/>
      <c r="J1289" s="513">
        <v>-268692.2</v>
      </c>
      <c r="K1289" s="513">
        <v>-191.24</v>
      </c>
      <c r="L1289" s="513">
        <v>1405</v>
      </c>
      <c r="M1289" s="513" t="s">
        <v>6303</v>
      </c>
      <c r="N1289" s="513" t="s">
        <v>780</v>
      </c>
      <c r="O1289" s="513" t="s">
        <v>781</v>
      </c>
      <c r="P1289" s="518" t="s">
        <v>6304</v>
      </c>
      <c r="Q1289" s="152" t="s">
        <v>5873</v>
      </c>
      <c r="R1289" s="152" t="s">
        <v>6305</v>
      </c>
      <c r="S1289" s="152" t="s">
        <v>6339</v>
      </c>
      <c r="T1289" s="152" t="s">
        <v>6307</v>
      </c>
      <c r="U1289" s="152" t="s">
        <v>786</v>
      </c>
    </row>
    <row r="1290" spans="4:21">
      <c r="D1290" s="152" t="s">
        <v>2821</v>
      </c>
      <c r="G1290" s="474" t="s">
        <v>671</v>
      </c>
      <c r="H1290" s="210" t="s">
        <v>672</v>
      </c>
      <c r="I1290" s="210"/>
      <c r="J1290" s="513">
        <v>-31472</v>
      </c>
      <c r="K1290" s="513">
        <v>-22.4</v>
      </c>
      <c r="L1290" s="513">
        <v>1405</v>
      </c>
      <c r="M1290" s="513" t="s">
        <v>6303</v>
      </c>
      <c r="N1290" s="513" t="s">
        <v>780</v>
      </c>
      <c r="O1290" s="513" t="s">
        <v>781</v>
      </c>
      <c r="P1290" s="518" t="s">
        <v>6304</v>
      </c>
      <c r="Q1290" s="152" t="s">
        <v>5873</v>
      </c>
      <c r="R1290" s="152" t="s">
        <v>6305</v>
      </c>
      <c r="S1290" s="152" t="s">
        <v>6340</v>
      </c>
      <c r="T1290" s="152" t="s">
        <v>6307</v>
      </c>
      <c r="U1290" s="152" t="s">
        <v>786</v>
      </c>
    </row>
    <row r="1291" spans="4:21">
      <c r="D1291" s="152" t="s">
        <v>2821</v>
      </c>
      <c r="G1291" s="474" t="s">
        <v>671</v>
      </c>
      <c r="H1291" s="210" t="s">
        <v>672</v>
      </c>
      <c r="I1291" s="210"/>
      <c r="J1291" s="513">
        <v>-36206.85</v>
      </c>
      <c r="K1291" s="513">
        <v>-25.77</v>
      </c>
      <c r="L1291" s="513">
        <v>1405</v>
      </c>
      <c r="M1291" s="513" t="s">
        <v>6303</v>
      </c>
      <c r="N1291" s="513" t="s">
        <v>780</v>
      </c>
      <c r="O1291" s="513" t="s">
        <v>781</v>
      </c>
      <c r="P1291" s="518" t="s">
        <v>6304</v>
      </c>
      <c r="Q1291" s="152" t="s">
        <v>5873</v>
      </c>
      <c r="R1291" s="152" t="s">
        <v>6305</v>
      </c>
      <c r="S1291" s="152" t="s">
        <v>6342</v>
      </c>
      <c r="T1291" s="152" t="s">
        <v>6307</v>
      </c>
      <c r="U1291" s="152" t="s">
        <v>786</v>
      </c>
    </row>
    <row r="1292" spans="4:21">
      <c r="D1292" s="152" t="s">
        <v>2821</v>
      </c>
      <c r="G1292" s="474" t="s">
        <v>671</v>
      </c>
      <c r="H1292" s="210" t="s">
        <v>672</v>
      </c>
      <c r="I1292" s="210"/>
      <c r="J1292" s="513">
        <v>-27917.35</v>
      </c>
      <c r="K1292" s="513">
        <v>-19.87</v>
      </c>
      <c r="L1292" s="513">
        <v>1405</v>
      </c>
      <c r="M1292" s="513" t="s">
        <v>6303</v>
      </c>
      <c r="N1292" s="513" t="s">
        <v>780</v>
      </c>
      <c r="O1292" s="513" t="s">
        <v>781</v>
      </c>
      <c r="P1292" s="518" t="s">
        <v>6304</v>
      </c>
      <c r="Q1292" s="152" t="s">
        <v>5873</v>
      </c>
      <c r="R1292" s="152" t="s">
        <v>6305</v>
      </c>
      <c r="S1292" s="152" t="s">
        <v>6343</v>
      </c>
      <c r="T1292" s="152" t="s">
        <v>6307</v>
      </c>
      <c r="U1292" s="152" t="s">
        <v>786</v>
      </c>
    </row>
    <row r="1293" spans="4:21">
      <c r="D1293" s="152" t="s">
        <v>2821</v>
      </c>
      <c r="G1293" s="474" t="s">
        <v>671</v>
      </c>
      <c r="H1293" s="210" t="s">
        <v>672</v>
      </c>
      <c r="I1293" s="210"/>
      <c r="J1293" s="513">
        <v>-81138.75</v>
      </c>
      <c r="K1293" s="513">
        <v>-57.75</v>
      </c>
      <c r="L1293" s="513">
        <v>1405</v>
      </c>
      <c r="M1293" s="513" t="s">
        <v>6303</v>
      </c>
      <c r="N1293" s="513" t="s">
        <v>780</v>
      </c>
      <c r="O1293" s="513" t="s">
        <v>781</v>
      </c>
      <c r="P1293" s="518" t="s">
        <v>6304</v>
      </c>
      <c r="Q1293" s="152" t="s">
        <v>5873</v>
      </c>
      <c r="R1293" s="152" t="s">
        <v>6305</v>
      </c>
      <c r="S1293" s="152" t="s">
        <v>6344</v>
      </c>
      <c r="T1293" s="152" t="s">
        <v>6307</v>
      </c>
      <c r="U1293" s="152" t="s">
        <v>786</v>
      </c>
    </row>
    <row r="1294" spans="4:21">
      <c r="D1294" s="152" t="s">
        <v>2821</v>
      </c>
      <c r="G1294" s="474" t="s">
        <v>671</v>
      </c>
      <c r="H1294" s="210" t="s">
        <v>672</v>
      </c>
      <c r="I1294" s="210"/>
      <c r="J1294" s="513">
        <v>-498803.1</v>
      </c>
      <c r="K1294" s="513">
        <v>-355.02</v>
      </c>
      <c r="L1294" s="513">
        <v>1405</v>
      </c>
      <c r="M1294" s="513" t="s">
        <v>6303</v>
      </c>
      <c r="N1294" s="513" t="s">
        <v>780</v>
      </c>
      <c r="O1294" s="513" t="s">
        <v>781</v>
      </c>
      <c r="P1294" s="518" t="s">
        <v>6304</v>
      </c>
      <c r="Q1294" s="152" t="s">
        <v>5873</v>
      </c>
      <c r="R1294" s="152" t="s">
        <v>6305</v>
      </c>
      <c r="S1294" s="152" t="s">
        <v>1251</v>
      </c>
      <c r="T1294" s="152" t="s">
        <v>6307</v>
      </c>
      <c r="U1294" s="152" t="s">
        <v>786</v>
      </c>
    </row>
    <row r="1295" spans="4:21">
      <c r="D1295" s="152" t="s">
        <v>2821</v>
      </c>
      <c r="G1295" s="474" t="s">
        <v>671</v>
      </c>
      <c r="H1295" s="210" t="s">
        <v>672</v>
      </c>
      <c r="I1295" s="210"/>
      <c r="J1295" s="513">
        <v>-419322.25</v>
      </c>
      <c r="K1295" s="513">
        <v>-298.45</v>
      </c>
      <c r="L1295" s="513">
        <v>1405</v>
      </c>
      <c r="M1295" s="513" t="s">
        <v>6303</v>
      </c>
      <c r="N1295" s="513" t="s">
        <v>780</v>
      </c>
      <c r="O1295" s="513" t="s">
        <v>781</v>
      </c>
      <c r="P1295" s="518" t="s">
        <v>6304</v>
      </c>
      <c r="Q1295" s="152" t="s">
        <v>5873</v>
      </c>
      <c r="R1295" s="152" t="s">
        <v>6305</v>
      </c>
      <c r="S1295" s="152" t="s">
        <v>6349</v>
      </c>
      <c r="T1295" s="152" t="s">
        <v>6307</v>
      </c>
      <c r="U1295" s="152" t="s">
        <v>786</v>
      </c>
    </row>
    <row r="1296" spans="4:21">
      <c r="D1296" s="152" t="s">
        <v>2821</v>
      </c>
      <c r="G1296" s="474" t="s">
        <v>671</v>
      </c>
      <c r="H1296" s="210" t="s">
        <v>672</v>
      </c>
      <c r="I1296" s="210"/>
      <c r="J1296" s="513">
        <v>-12111.1</v>
      </c>
      <c r="K1296" s="513">
        <v>-8.6199999999999992</v>
      </c>
      <c r="L1296" s="513">
        <v>1405</v>
      </c>
      <c r="M1296" s="513" t="s">
        <v>6303</v>
      </c>
      <c r="N1296" s="513" t="s">
        <v>780</v>
      </c>
      <c r="O1296" s="513" t="s">
        <v>781</v>
      </c>
      <c r="P1296" s="518" t="s">
        <v>6304</v>
      </c>
      <c r="Q1296" s="152" t="s">
        <v>5873</v>
      </c>
      <c r="R1296" s="152" t="s">
        <v>6305</v>
      </c>
      <c r="S1296" s="152" t="s">
        <v>6350</v>
      </c>
      <c r="T1296" s="152" t="s">
        <v>6307</v>
      </c>
      <c r="U1296" s="152" t="s">
        <v>786</v>
      </c>
    </row>
    <row r="1297" spans="4:21">
      <c r="D1297" s="152" t="s">
        <v>2821</v>
      </c>
      <c r="G1297" s="474" t="s">
        <v>671</v>
      </c>
      <c r="H1297" s="210" t="s">
        <v>672</v>
      </c>
      <c r="I1297" s="210"/>
      <c r="J1297" s="513">
        <v>-131437.75</v>
      </c>
      <c r="K1297" s="513">
        <v>-93.55</v>
      </c>
      <c r="L1297" s="513">
        <v>1405</v>
      </c>
      <c r="M1297" s="513" t="s">
        <v>6303</v>
      </c>
      <c r="N1297" s="513" t="s">
        <v>780</v>
      </c>
      <c r="O1297" s="513" t="s">
        <v>781</v>
      </c>
      <c r="P1297" s="518" t="s">
        <v>6304</v>
      </c>
      <c r="Q1297" s="152" t="s">
        <v>5873</v>
      </c>
      <c r="R1297" s="152" t="s">
        <v>6305</v>
      </c>
      <c r="S1297" s="152" t="s">
        <v>6351</v>
      </c>
      <c r="T1297" s="152" t="s">
        <v>6307</v>
      </c>
      <c r="U1297" s="152" t="s">
        <v>786</v>
      </c>
    </row>
    <row r="1298" spans="4:21">
      <c r="D1298" s="152" t="s">
        <v>2821</v>
      </c>
      <c r="G1298" s="474" t="s">
        <v>671</v>
      </c>
      <c r="H1298" s="210" t="s">
        <v>672</v>
      </c>
      <c r="I1298" s="210"/>
      <c r="J1298" s="513">
        <v>10635.85</v>
      </c>
      <c r="K1298" s="513">
        <v>7.57</v>
      </c>
      <c r="L1298" s="513">
        <v>1405</v>
      </c>
      <c r="M1298" s="513" t="s">
        <v>6303</v>
      </c>
      <c r="N1298" s="513" t="s">
        <v>780</v>
      </c>
      <c r="O1298" s="513" t="s">
        <v>781</v>
      </c>
      <c r="P1298" s="518" t="s">
        <v>6327</v>
      </c>
      <c r="Q1298" s="152" t="s">
        <v>5873</v>
      </c>
      <c r="R1298" s="152" t="s">
        <v>6328</v>
      </c>
      <c r="S1298" s="152" t="s">
        <v>6352</v>
      </c>
      <c r="T1298" s="152" t="s">
        <v>6330</v>
      </c>
      <c r="U1298" s="152" t="s">
        <v>786</v>
      </c>
    </row>
    <row r="1299" spans="4:21">
      <c r="D1299" s="152" t="s">
        <v>2821</v>
      </c>
      <c r="G1299" s="474" t="s">
        <v>671</v>
      </c>
      <c r="H1299" s="210" t="s">
        <v>672</v>
      </c>
      <c r="I1299" s="210"/>
      <c r="J1299" s="513">
        <v>4439.8</v>
      </c>
      <c r="K1299" s="513">
        <v>3.16</v>
      </c>
      <c r="L1299" s="513">
        <v>1405</v>
      </c>
      <c r="M1299" s="513" t="s">
        <v>6303</v>
      </c>
      <c r="N1299" s="513" t="s">
        <v>780</v>
      </c>
      <c r="O1299" s="513" t="s">
        <v>781</v>
      </c>
      <c r="P1299" s="518" t="s">
        <v>6327</v>
      </c>
      <c r="Q1299" s="152" t="s">
        <v>5873</v>
      </c>
      <c r="R1299" s="152" t="s">
        <v>6328</v>
      </c>
      <c r="S1299" s="152" t="s">
        <v>6352</v>
      </c>
      <c r="T1299" s="152" t="s">
        <v>6330</v>
      </c>
      <c r="U1299" s="152" t="s">
        <v>786</v>
      </c>
    </row>
    <row r="1300" spans="4:21">
      <c r="D1300" s="152" t="s">
        <v>2821</v>
      </c>
      <c r="G1300" s="474" t="s">
        <v>671</v>
      </c>
      <c r="H1300" s="210" t="s">
        <v>672</v>
      </c>
      <c r="I1300" s="210"/>
      <c r="J1300" s="513">
        <v>182.65</v>
      </c>
      <c r="K1300" s="513">
        <v>0.13</v>
      </c>
      <c r="L1300" s="513">
        <v>1405</v>
      </c>
      <c r="M1300" s="513" t="s">
        <v>6303</v>
      </c>
      <c r="N1300" s="513" t="s">
        <v>780</v>
      </c>
      <c r="O1300" s="513" t="s">
        <v>781</v>
      </c>
      <c r="P1300" s="518" t="s">
        <v>6327</v>
      </c>
      <c r="Q1300" s="152" t="s">
        <v>5873</v>
      </c>
      <c r="R1300" s="152" t="s">
        <v>6328</v>
      </c>
      <c r="S1300" s="152" t="s">
        <v>6352</v>
      </c>
      <c r="T1300" s="152" t="s">
        <v>6330</v>
      </c>
      <c r="U1300" s="152" t="s">
        <v>786</v>
      </c>
    </row>
    <row r="1301" spans="4:21">
      <c r="D1301" s="152" t="s">
        <v>2821</v>
      </c>
      <c r="G1301" s="474" t="s">
        <v>671</v>
      </c>
      <c r="H1301" s="210" t="s">
        <v>672</v>
      </c>
      <c r="I1301" s="210"/>
      <c r="J1301" s="513">
        <v>1334.75</v>
      </c>
      <c r="K1301" s="513">
        <v>0.95</v>
      </c>
      <c r="L1301" s="513">
        <v>1405</v>
      </c>
      <c r="M1301" s="513" t="s">
        <v>6303</v>
      </c>
      <c r="N1301" s="513" t="s">
        <v>780</v>
      </c>
      <c r="O1301" s="513" t="s">
        <v>781</v>
      </c>
      <c r="P1301" s="518" t="s">
        <v>6327</v>
      </c>
      <c r="Q1301" s="152" t="s">
        <v>5873</v>
      </c>
      <c r="R1301" s="152" t="s">
        <v>6328</v>
      </c>
      <c r="S1301" s="152" t="s">
        <v>3223</v>
      </c>
      <c r="T1301" s="152" t="s">
        <v>6330</v>
      </c>
      <c r="U1301" s="152" t="s">
        <v>786</v>
      </c>
    </row>
    <row r="1302" spans="4:21">
      <c r="D1302" s="152" t="s">
        <v>2821</v>
      </c>
      <c r="G1302" s="474" t="s">
        <v>671</v>
      </c>
      <c r="H1302" s="210" t="s">
        <v>672</v>
      </c>
      <c r="I1302" s="210"/>
      <c r="J1302" s="513">
        <v>-53235.45</v>
      </c>
      <c r="K1302" s="513">
        <v>-37.89</v>
      </c>
      <c r="L1302" s="513">
        <v>1405</v>
      </c>
      <c r="M1302" s="513" t="s">
        <v>6303</v>
      </c>
      <c r="N1302" s="513" t="s">
        <v>780</v>
      </c>
      <c r="O1302" s="513" t="s">
        <v>781</v>
      </c>
      <c r="P1302" s="518" t="s">
        <v>6304</v>
      </c>
      <c r="Q1302" s="152" t="s">
        <v>5873</v>
      </c>
      <c r="R1302" s="152" t="s">
        <v>6305</v>
      </c>
      <c r="S1302" s="152" t="s">
        <v>6353</v>
      </c>
      <c r="T1302" s="152" t="s">
        <v>6307</v>
      </c>
      <c r="U1302" s="152" t="s">
        <v>786</v>
      </c>
    </row>
    <row r="1303" spans="4:21">
      <c r="D1303" s="152" t="s">
        <v>2821</v>
      </c>
      <c r="G1303" s="474" t="s">
        <v>671</v>
      </c>
      <c r="H1303" s="210" t="s">
        <v>672</v>
      </c>
      <c r="I1303" s="210"/>
      <c r="J1303" s="513">
        <v>-10832.55</v>
      </c>
      <c r="K1303" s="513">
        <v>-7.71</v>
      </c>
      <c r="L1303" s="513">
        <v>1405</v>
      </c>
      <c r="M1303" s="513" t="s">
        <v>6303</v>
      </c>
      <c r="N1303" s="513" t="s">
        <v>780</v>
      </c>
      <c r="O1303" s="513" t="s">
        <v>781</v>
      </c>
      <c r="P1303" s="518" t="s">
        <v>6304</v>
      </c>
      <c r="Q1303" s="152" t="s">
        <v>5873</v>
      </c>
      <c r="R1303" s="152" t="s">
        <v>6305</v>
      </c>
      <c r="S1303" s="152" t="s">
        <v>6354</v>
      </c>
      <c r="T1303" s="152" t="s">
        <v>6307</v>
      </c>
      <c r="U1303" s="152" t="s">
        <v>786</v>
      </c>
    </row>
    <row r="1304" spans="4:21">
      <c r="D1304" s="152" t="s">
        <v>2821</v>
      </c>
      <c r="G1304" s="474" t="s">
        <v>671</v>
      </c>
      <c r="H1304" s="210" t="s">
        <v>672</v>
      </c>
      <c r="I1304" s="210"/>
      <c r="J1304" s="513">
        <v>-390379.25</v>
      </c>
      <c r="K1304" s="513">
        <v>-277.85000000000002</v>
      </c>
      <c r="L1304" s="513">
        <v>1405</v>
      </c>
      <c r="M1304" s="513" t="s">
        <v>6303</v>
      </c>
      <c r="N1304" s="513" t="s">
        <v>780</v>
      </c>
      <c r="O1304" s="513" t="s">
        <v>781</v>
      </c>
      <c r="P1304" s="518" t="s">
        <v>6304</v>
      </c>
      <c r="Q1304" s="152" t="s">
        <v>5873</v>
      </c>
      <c r="R1304" s="152" t="s">
        <v>6305</v>
      </c>
      <c r="S1304" s="152" t="s">
        <v>6355</v>
      </c>
      <c r="T1304" s="152" t="s">
        <v>6307</v>
      </c>
      <c r="U1304" s="152" t="s">
        <v>786</v>
      </c>
    </row>
    <row r="1305" spans="4:21">
      <c r="D1305" s="152" t="s">
        <v>2821</v>
      </c>
      <c r="G1305" s="474" t="s">
        <v>671</v>
      </c>
      <c r="H1305" s="210" t="s">
        <v>672</v>
      </c>
      <c r="I1305" s="210"/>
      <c r="J1305" s="513">
        <v>-355240.2</v>
      </c>
      <c r="K1305" s="513">
        <v>-252.84</v>
      </c>
      <c r="L1305" s="513">
        <v>1405</v>
      </c>
      <c r="M1305" s="513" t="s">
        <v>6303</v>
      </c>
      <c r="N1305" s="513" t="s">
        <v>780</v>
      </c>
      <c r="O1305" s="513" t="s">
        <v>781</v>
      </c>
      <c r="P1305" s="518" t="s">
        <v>6304</v>
      </c>
      <c r="Q1305" s="152" t="s">
        <v>5873</v>
      </c>
      <c r="R1305" s="152" t="s">
        <v>6305</v>
      </c>
      <c r="S1305" s="152" t="s">
        <v>6356</v>
      </c>
      <c r="T1305" s="152" t="s">
        <v>6307</v>
      </c>
      <c r="U1305" s="152" t="s">
        <v>786</v>
      </c>
    </row>
    <row r="1306" spans="4:21">
      <c r="D1306" s="152" t="s">
        <v>2821</v>
      </c>
      <c r="G1306" s="474" t="s">
        <v>671</v>
      </c>
      <c r="H1306" s="210" t="s">
        <v>672</v>
      </c>
      <c r="I1306" s="210"/>
      <c r="J1306" s="513">
        <v>-47784.05</v>
      </c>
      <c r="K1306" s="513">
        <v>-34.01</v>
      </c>
      <c r="L1306" s="513">
        <v>1405</v>
      </c>
      <c r="M1306" s="513" t="s">
        <v>6303</v>
      </c>
      <c r="N1306" s="513" t="s">
        <v>780</v>
      </c>
      <c r="O1306" s="513" t="s">
        <v>781</v>
      </c>
      <c r="P1306" s="518" t="s">
        <v>6304</v>
      </c>
      <c r="Q1306" s="152" t="s">
        <v>5873</v>
      </c>
      <c r="R1306" s="152" t="s">
        <v>6305</v>
      </c>
      <c r="S1306" s="152" t="s">
        <v>6357</v>
      </c>
      <c r="T1306" s="152" t="s">
        <v>6307</v>
      </c>
      <c r="U1306" s="152" t="s">
        <v>786</v>
      </c>
    </row>
    <row r="1307" spans="4:21">
      <c r="D1307" s="152" t="s">
        <v>2821</v>
      </c>
      <c r="G1307" s="474" t="s">
        <v>671</v>
      </c>
      <c r="H1307" s="210" t="s">
        <v>672</v>
      </c>
      <c r="I1307" s="210"/>
      <c r="J1307" s="513">
        <v>-108199.05</v>
      </c>
      <c r="K1307" s="513">
        <v>-77.010000000000005</v>
      </c>
      <c r="L1307" s="513">
        <v>1405</v>
      </c>
      <c r="M1307" s="513" t="s">
        <v>6303</v>
      </c>
      <c r="N1307" s="513" t="s">
        <v>780</v>
      </c>
      <c r="O1307" s="513" t="s">
        <v>781</v>
      </c>
      <c r="P1307" s="518" t="s">
        <v>6304</v>
      </c>
      <c r="Q1307" s="152" t="s">
        <v>5873</v>
      </c>
      <c r="R1307" s="152" t="s">
        <v>6305</v>
      </c>
      <c r="S1307" s="152" t="s">
        <v>6358</v>
      </c>
      <c r="T1307" s="152" t="s">
        <v>6307</v>
      </c>
      <c r="U1307" s="152" t="s">
        <v>786</v>
      </c>
    </row>
    <row r="1308" spans="4:21">
      <c r="D1308" s="152" t="s">
        <v>2821</v>
      </c>
      <c r="G1308" s="474" t="s">
        <v>671</v>
      </c>
      <c r="H1308" s="210" t="s">
        <v>672</v>
      </c>
      <c r="I1308" s="210"/>
      <c r="J1308" s="513">
        <v>-976011.35</v>
      </c>
      <c r="K1308" s="513">
        <v>-694.67</v>
      </c>
      <c r="L1308" s="513">
        <v>1405</v>
      </c>
      <c r="M1308" s="513" t="s">
        <v>6303</v>
      </c>
      <c r="N1308" s="513" t="s">
        <v>780</v>
      </c>
      <c r="O1308" s="513" t="s">
        <v>781</v>
      </c>
      <c r="P1308" s="518" t="s">
        <v>6304</v>
      </c>
      <c r="Q1308" s="152" t="s">
        <v>5873</v>
      </c>
      <c r="R1308" s="152" t="s">
        <v>6305</v>
      </c>
      <c r="S1308" s="152" t="s">
        <v>6359</v>
      </c>
      <c r="T1308" s="152" t="s">
        <v>6307</v>
      </c>
      <c r="U1308" s="152" t="s">
        <v>786</v>
      </c>
    </row>
    <row r="1309" spans="4:21">
      <c r="D1309" s="152" t="s">
        <v>2821</v>
      </c>
      <c r="G1309" s="474" t="s">
        <v>671</v>
      </c>
      <c r="H1309" s="210" t="s">
        <v>672</v>
      </c>
      <c r="I1309" s="210"/>
      <c r="J1309" s="513">
        <v>16002.95</v>
      </c>
      <c r="K1309" s="513">
        <v>11.39</v>
      </c>
      <c r="L1309" s="513">
        <v>1405</v>
      </c>
      <c r="M1309" s="513" t="s">
        <v>6303</v>
      </c>
      <c r="N1309" s="513" t="s">
        <v>780</v>
      </c>
      <c r="O1309" s="513" t="s">
        <v>781</v>
      </c>
      <c r="P1309" s="518" t="s">
        <v>6327</v>
      </c>
      <c r="Q1309" s="152" t="s">
        <v>5873</v>
      </c>
      <c r="R1309" s="152" t="s">
        <v>6328</v>
      </c>
      <c r="S1309" s="152" t="s">
        <v>6360</v>
      </c>
      <c r="T1309" s="152" t="s">
        <v>6330</v>
      </c>
      <c r="U1309" s="152" t="s">
        <v>786</v>
      </c>
    </row>
    <row r="1310" spans="4:21">
      <c r="D1310" s="152" t="s">
        <v>2821</v>
      </c>
      <c r="G1310" s="474" t="s">
        <v>671</v>
      </c>
      <c r="H1310" s="210" t="s">
        <v>672</v>
      </c>
      <c r="I1310" s="210"/>
      <c r="J1310" s="513">
        <v>-238990.5</v>
      </c>
      <c r="K1310" s="513">
        <v>-170.1</v>
      </c>
      <c r="L1310" s="513">
        <v>1405</v>
      </c>
      <c r="M1310" s="513" t="s">
        <v>6303</v>
      </c>
      <c r="N1310" s="513" t="s">
        <v>780</v>
      </c>
      <c r="O1310" s="513" t="s">
        <v>781</v>
      </c>
      <c r="P1310" s="518" t="s">
        <v>6304</v>
      </c>
      <c r="Q1310" s="152" t="s">
        <v>5873</v>
      </c>
      <c r="R1310" s="152" t="s">
        <v>6305</v>
      </c>
      <c r="S1310" s="152" t="s">
        <v>6361</v>
      </c>
      <c r="T1310" s="152" t="s">
        <v>6307</v>
      </c>
      <c r="U1310" s="152" t="s">
        <v>786</v>
      </c>
    </row>
    <row r="1311" spans="4:21">
      <c r="D1311" s="152" t="s">
        <v>2821</v>
      </c>
      <c r="G1311" s="474" t="s">
        <v>671</v>
      </c>
      <c r="H1311" s="210" t="s">
        <v>672</v>
      </c>
      <c r="I1311" s="210"/>
      <c r="J1311" s="513">
        <v>-107904</v>
      </c>
      <c r="K1311" s="513">
        <v>-76.8</v>
      </c>
      <c r="L1311" s="513">
        <v>1405</v>
      </c>
      <c r="M1311" s="513" t="s">
        <v>6303</v>
      </c>
      <c r="N1311" s="513" t="s">
        <v>780</v>
      </c>
      <c r="O1311" s="513" t="s">
        <v>781</v>
      </c>
      <c r="P1311" s="518" t="s">
        <v>6304</v>
      </c>
      <c r="Q1311" s="152" t="s">
        <v>5873</v>
      </c>
      <c r="R1311" s="152" t="s">
        <v>6305</v>
      </c>
      <c r="S1311" s="152" t="s">
        <v>6362</v>
      </c>
      <c r="T1311" s="152" t="s">
        <v>6307</v>
      </c>
      <c r="U1311" s="152" t="s">
        <v>786</v>
      </c>
    </row>
    <row r="1312" spans="4:21">
      <c r="D1312" s="152" t="s">
        <v>2821</v>
      </c>
      <c r="G1312" s="474" t="s">
        <v>671</v>
      </c>
      <c r="H1312" s="210" t="s">
        <v>672</v>
      </c>
      <c r="I1312" s="210"/>
      <c r="J1312" s="513">
        <v>-796649.05</v>
      </c>
      <c r="K1312" s="513">
        <v>-567.01</v>
      </c>
      <c r="L1312" s="513">
        <v>1405</v>
      </c>
      <c r="M1312" s="513" t="s">
        <v>6303</v>
      </c>
      <c r="N1312" s="513" t="s">
        <v>780</v>
      </c>
      <c r="O1312" s="513" t="s">
        <v>781</v>
      </c>
      <c r="P1312" s="518" t="s">
        <v>6304</v>
      </c>
      <c r="Q1312" s="152" t="s">
        <v>5873</v>
      </c>
      <c r="R1312" s="152" t="s">
        <v>6305</v>
      </c>
      <c r="S1312" s="152" t="s">
        <v>6363</v>
      </c>
      <c r="T1312" s="152" t="s">
        <v>6307</v>
      </c>
      <c r="U1312" s="152" t="s">
        <v>786</v>
      </c>
    </row>
    <row r="1313" spans="4:21">
      <c r="D1313" s="152" t="s">
        <v>2821</v>
      </c>
      <c r="G1313" s="474" t="s">
        <v>671</v>
      </c>
      <c r="H1313" s="210" t="s">
        <v>672</v>
      </c>
      <c r="I1313" s="210"/>
      <c r="J1313" s="513">
        <v>-796649.05</v>
      </c>
      <c r="K1313" s="513">
        <v>-567.01</v>
      </c>
      <c r="L1313" s="513">
        <v>1405</v>
      </c>
      <c r="M1313" s="513" t="s">
        <v>6303</v>
      </c>
      <c r="N1313" s="513" t="s">
        <v>780</v>
      </c>
      <c r="O1313" s="513" t="s">
        <v>781</v>
      </c>
      <c r="P1313" s="518" t="s">
        <v>6304</v>
      </c>
      <c r="Q1313" s="152" t="s">
        <v>5873</v>
      </c>
      <c r="R1313" s="152" t="s">
        <v>6305</v>
      </c>
      <c r="S1313" s="152" t="s">
        <v>6363</v>
      </c>
      <c r="T1313" s="152" t="s">
        <v>6307</v>
      </c>
      <c r="U1313" s="152" t="s">
        <v>786</v>
      </c>
    </row>
    <row r="1314" spans="4:21">
      <c r="D1314" s="152" t="s">
        <v>2821</v>
      </c>
      <c r="G1314" s="474" t="s">
        <v>671</v>
      </c>
      <c r="H1314" s="210" t="s">
        <v>672</v>
      </c>
      <c r="I1314" s="210"/>
      <c r="J1314" s="513">
        <v>-1593298.1</v>
      </c>
      <c r="K1314" s="513">
        <v>-1134.02</v>
      </c>
      <c r="L1314" s="513">
        <v>1405</v>
      </c>
      <c r="M1314" s="513" t="s">
        <v>6303</v>
      </c>
      <c r="N1314" s="513" t="s">
        <v>780</v>
      </c>
      <c r="O1314" s="513" t="s">
        <v>781</v>
      </c>
      <c r="P1314" s="518" t="s">
        <v>6304</v>
      </c>
      <c r="Q1314" s="152" t="s">
        <v>5873</v>
      </c>
      <c r="R1314" s="152" t="s">
        <v>6305</v>
      </c>
      <c r="S1314" s="152" t="s">
        <v>6363</v>
      </c>
      <c r="T1314" s="152" t="s">
        <v>6307</v>
      </c>
      <c r="U1314" s="152" t="s">
        <v>786</v>
      </c>
    </row>
    <row r="1315" spans="4:21">
      <c r="D1315" s="152" t="s">
        <v>2821</v>
      </c>
      <c r="G1315" s="474" t="s">
        <v>671</v>
      </c>
      <c r="H1315" s="210" t="s">
        <v>672</v>
      </c>
      <c r="I1315" s="210"/>
      <c r="J1315" s="513">
        <v>-59782.75</v>
      </c>
      <c r="K1315" s="513">
        <v>-42.55</v>
      </c>
      <c r="L1315" s="513">
        <v>1405</v>
      </c>
      <c r="M1315" s="513" t="s">
        <v>6303</v>
      </c>
      <c r="N1315" s="513" t="s">
        <v>780</v>
      </c>
      <c r="O1315" s="513" t="s">
        <v>781</v>
      </c>
      <c r="P1315" s="518" t="s">
        <v>6304</v>
      </c>
      <c r="Q1315" s="152" t="s">
        <v>5873</v>
      </c>
      <c r="R1315" s="152" t="s">
        <v>6305</v>
      </c>
      <c r="S1315" s="152" t="s">
        <v>6364</v>
      </c>
      <c r="T1315" s="152" t="s">
        <v>6307</v>
      </c>
      <c r="U1315" s="152" t="s">
        <v>786</v>
      </c>
    </row>
    <row r="1316" spans="4:21">
      <c r="D1316" s="152" t="s">
        <v>2821</v>
      </c>
      <c r="G1316" s="474" t="s">
        <v>671</v>
      </c>
      <c r="H1316" s="210" t="s">
        <v>672</v>
      </c>
      <c r="I1316" s="210"/>
      <c r="J1316" s="513">
        <v>7025000</v>
      </c>
      <c r="K1316" s="513">
        <v>5000</v>
      </c>
      <c r="L1316" s="513">
        <v>1405</v>
      </c>
      <c r="M1316" s="513" t="s">
        <v>6303</v>
      </c>
      <c r="N1316" s="513" t="s">
        <v>780</v>
      </c>
      <c r="O1316" s="513" t="s">
        <v>781</v>
      </c>
      <c r="P1316" s="518" t="s">
        <v>6327</v>
      </c>
      <c r="Q1316" s="152" t="s">
        <v>5873</v>
      </c>
      <c r="R1316" s="152" t="s">
        <v>6328</v>
      </c>
      <c r="S1316" s="152" t="s">
        <v>1107</v>
      </c>
      <c r="T1316" s="152" t="s">
        <v>6330</v>
      </c>
      <c r="U1316" s="152" t="s">
        <v>786</v>
      </c>
    </row>
    <row r="1317" spans="4:21">
      <c r="D1317" s="152" t="s">
        <v>2821</v>
      </c>
      <c r="G1317" s="474" t="s">
        <v>671</v>
      </c>
      <c r="H1317" s="210" t="s">
        <v>672</v>
      </c>
      <c r="I1317" s="210"/>
      <c r="J1317" s="513">
        <v>5620000</v>
      </c>
      <c r="K1317" s="513">
        <v>4000</v>
      </c>
      <c r="L1317" s="513">
        <v>1405</v>
      </c>
      <c r="M1317" s="513" t="s">
        <v>6303</v>
      </c>
      <c r="N1317" s="513" t="s">
        <v>780</v>
      </c>
      <c r="O1317" s="513" t="s">
        <v>781</v>
      </c>
      <c r="P1317" s="518" t="s">
        <v>6327</v>
      </c>
      <c r="Q1317" s="152" t="s">
        <v>5873</v>
      </c>
      <c r="R1317" s="152" t="s">
        <v>6328</v>
      </c>
      <c r="S1317" s="152" t="s">
        <v>6365</v>
      </c>
      <c r="T1317" s="152" t="s">
        <v>6330</v>
      </c>
      <c r="U1317" s="152" t="s">
        <v>786</v>
      </c>
    </row>
    <row r="1318" spans="4:21">
      <c r="D1318" s="152" t="s">
        <v>2821</v>
      </c>
      <c r="G1318" s="474" t="s">
        <v>671</v>
      </c>
      <c r="H1318" s="210" t="s">
        <v>672</v>
      </c>
      <c r="I1318" s="210"/>
      <c r="J1318" s="513">
        <v>-225095.05</v>
      </c>
      <c r="K1318" s="513">
        <v>-160.21</v>
      </c>
      <c r="L1318" s="513">
        <v>1405</v>
      </c>
      <c r="M1318" s="513" t="s">
        <v>6303</v>
      </c>
      <c r="N1318" s="513" t="s">
        <v>780</v>
      </c>
      <c r="O1318" s="513" t="s">
        <v>781</v>
      </c>
      <c r="P1318" s="518" t="s">
        <v>6304</v>
      </c>
      <c r="Q1318" s="152" t="s">
        <v>5873</v>
      </c>
      <c r="R1318" s="152" t="s">
        <v>6305</v>
      </c>
      <c r="S1318" s="152" t="s">
        <v>6367</v>
      </c>
      <c r="T1318" s="152" t="s">
        <v>6307</v>
      </c>
      <c r="U1318" s="152" t="s">
        <v>786</v>
      </c>
    </row>
    <row r="1319" spans="4:21">
      <c r="D1319" s="152" t="s">
        <v>2821</v>
      </c>
      <c r="G1319" s="474" t="s">
        <v>671</v>
      </c>
      <c r="H1319" s="210" t="s">
        <v>672</v>
      </c>
      <c r="I1319" s="210"/>
      <c r="J1319" s="513">
        <v>-189717.15</v>
      </c>
      <c r="K1319" s="513">
        <v>-135.03</v>
      </c>
      <c r="L1319" s="513">
        <v>1405</v>
      </c>
      <c r="M1319" s="513" t="s">
        <v>6303</v>
      </c>
      <c r="N1319" s="513" t="s">
        <v>780</v>
      </c>
      <c r="O1319" s="513" t="s">
        <v>781</v>
      </c>
      <c r="P1319" s="518" t="s">
        <v>6304</v>
      </c>
      <c r="Q1319" s="152" t="s">
        <v>5873</v>
      </c>
      <c r="R1319" s="152" t="s">
        <v>6305</v>
      </c>
      <c r="S1319" s="152" t="s">
        <v>6368</v>
      </c>
      <c r="T1319" s="152" t="s">
        <v>6307</v>
      </c>
      <c r="U1319" s="152" t="s">
        <v>786</v>
      </c>
    </row>
    <row r="1320" spans="4:21">
      <c r="D1320" s="152" t="s">
        <v>2821</v>
      </c>
      <c r="G1320" s="474" t="s">
        <v>673</v>
      </c>
      <c r="H1320" s="210" t="s">
        <v>674</v>
      </c>
      <c r="I1320" s="210"/>
      <c r="J1320" s="513">
        <v>-491750</v>
      </c>
      <c r="K1320" s="513">
        <v>-350</v>
      </c>
      <c r="L1320" s="513">
        <v>1405</v>
      </c>
      <c r="M1320" s="513" t="s">
        <v>6059</v>
      </c>
      <c r="N1320" s="513" t="s">
        <v>780</v>
      </c>
      <c r="O1320" s="513" t="s">
        <v>781</v>
      </c>
      <c r="P1320" s="518" t="s">
        <v>6060</v>
      </c>
      <c r="Q1320" s="152" t="s">
        <v>5873</v>
      </c>
      <c r="R1320" s="152" t="s">
        <v>6061</v>
      </c>
      <c r="S1320" s="152" t="s">
        <v>6062</v>
      </c>
      <c r="T1320" s="152" t="s">
        <v>6063</v>
      </c>
      <c r="U1320" s="152" t="s">
        <v>786</v>
      </c>
    </row>
    <row r="1321" spans="4:21">
      <c r="D1321" s="152" t="s">
        <v>2821</v>
      </c>
      <c r="G1321" s="474" t="s">
        <v>673</v>
      </c>
      <c r="H1321" s="210" t="s">
        <v>674</v>
      </c>
      <c r="I1321" s="210"/>
      <c r="J1321" s="513">
        <v>-2739750</v>
      </c>
      <c r="K1321" s="513">
        <v>-1950</v>
      </c>
      <c r="L1321" s="513">
        <v>1405</v>
      </c>
      <c r="M1321" s="513" t="s">
        <v>6059</v>
      </c>
      <c r="N1321" s="513" t="s">
        <v>780</v>
      </c>
      <c r="O1321" s="513" t="s">
        <v>781</v>
      </c>
      <c r="P1321" s="518" t="s">
        <v>6060</v>
      </c>
      <c r="Q1321" s="152" t="s">
        <v>5873</v>
      </c>
      <c r="R1321" s="152" t="s">
        <v>6061</v>
      </c>
      <c r="S1321" s="152" t="s">
        <v>6064</v>
      </c>
      <c r="T1321" s="152" t="s">
        <v>6063</v>
      </c>
      <c r="U1321" s="152" t="s">
        <v>786</v>
      </c>
    </row>
    <row r="1322" spans="4:21">
      <c r="D1322" s="152" t="s">
        <v>2821</v>
      </c>
      <c r="G1322" s="474" t="s">
        <v>673</v>
      </c>
      <c r="H1322" s="210" t="s">
        <v>674</v>
      </c>
      <c r="I1322" s="210"/>
      <c r="J1322" s="513">
        <v>-2669.5</v>
      </c>
      <c r="K1322" s="513">
        <v>-1.9</v>
      </c>
      <c r="L1322" s="513">
        <v>1405</v>
      </c>
      <c r="M1322" s="513" t="s">
        <v>6059</v>
      </c>
      <c r="N1322" s="513" t="s">
        <v>780</v>
      </c>
      <c r="O1322" s="513" t="s">
        <v>781</v>
      </c>
      <c r="P1322" s="518" t="s">
        <v>6060</v>
      </c>
      <c r="Q1322" s="152" t="s">
        <v>5873</v>
      </c>
      <c r="R1322" s="152" t="s">
        <v>6061</v>
      </c>
      <c r="S1322" s="152" t="s">
        <v>953</v>
      </c>
      <c r="T1322" s="152" t="s">
        <v>6063</v>
      </c>
      <c r="U1322" s="152" t="s">
        <v>786</v>
      </c>
    </row>
    <row r="1323" spans="4:21">
      <c r="D1323" s="152" t="s">
        <v>2821</v>
      </c>
      <c r="G1323" s="474" t="s">
        <v>673</v>
      </c>
      <c r="H1323" s="210" t="s">
        <v>674</v>
      </c>
      <c r="I1323" s="210"/>
      <c r="J1323" s="513">
        <v>-2669.5</v>
      </c>
      <c r="K1323" s="513">
        <v>-1.9</v>
      </c>
      <c r="L1323" s="513">
        <v>1405</v>
      </c>
      <c r="M1323" s="513" t="s">
        <v>6059</v>
      </c>
      <c r="N1323" s="513" t="s">
        <v>780</v>
      </c>
      <c r="O1323" s="513" t="s">
        <v>781</v>
      </c>
      <c r="P1323" s="518" t="s">
        <v>6060</v>
      </c>
      <c r="Q1323" s="152" t="s">
        <v>5873</v>
      </c>
      <c r="R1323" s="152" t="s">
        <v>6061</v>
      </c>
      <c r="S1323" s="152" t="s">
        <v>953</v>
      </c>
      <c r="T1323" s="152" t="s">
        <v>6063</v>
      </c>
      <c r="U1323" s="152" t="s">
        <v>786</v>
      </c>
    </row>
    <row r="1324" spans="4:21">
      <c r="D1324" s="152" t="s">
        <v>2821</v>
      </c>
      <c r="G1324" s="474" t="s">
        <v>673</v>
      </c>
      <c r="H1324" s="210" t="s">
        <v>674</v>
      </c>
      <c r="I1324" s="210"/>
      <c r="J1324" s="513">
        <v>-2669.5</v>
      </c>
      <c r="K1324" s="513">
        <v>-1.9</v>
      </c>
      <c r="L1324" s="513">
        <v>1405</v>
      </c>
      <c r="M1324" s="513" t="s">
        <v>6059</v>
      </c>
      <c r="N1324" s="513" t="s">
        <v>780</v>
      </c>
      <c r="O1324" s="513" t="s">
        <v>781</v>
      </c>
      <c r="P1324" s="518" t="s">
        <v>6060</v>
      </c>
      <c r="Q1324" s="152" t="s">
        <v>5873</v>
      </c>
      <c r="R1324" s="152" t="s">
        <v>6061</v>
      </c>
      <c r="S1324" s="152" t="s">
        <v>953</v>
      </c>
      <c r="T1324" s="152" t="s">
        <v>6063</v>
      </c>
      <c r="U1324" s="152" t="s">
        <v>786</v>
      </c>
    </row>
    <row r="1325" spans="4:21">
      <c r="D1325" s="152" t="s">
        <v>2821</v>
      </c>
      <c r="G1325" s="474" t="s">
        <v>673</v>
      </c>
      <c r="H1325" s="210" t="s">
        <v>674</v>
      </c>
      <c r="I1325" s="210"/>
      <c r="J1325" s="513">
        <v>-2669.5</v>
      </c>
      <c r="K1325" s="513">
        <v>-1.9</v>
      </c>
      <c r="L1325" s="513">
        <v>1405</v>
      </c>
      <c r="M1325" s="513" t="s">
        <v>6059</v>
      </c>
      <c r="N1325" s="513" t="s">
        <v>780</v>
      </c>
      <c r="O1325" s="513" t="s">
        <v>781</v>
      </c>
      <c r="P1325" s="518" t="s">
        <v>6060</v>
      </c>
      <c r="Q1325" s="152" t="s">
        <v>5873</v>
      </c>
      <c r="R1325" s="152" t="s">
        <v>6061</v>
      </c>
      <c r="S1325" s="152" t="s">
        <v>953</v>
      </c>
      <c r="T1325" s="152" t="s">
        <v>6063</v>
      </c>
      <c r="U1325" s="152" t="s">
        <v>786</v>
      </c>
    </row>
    <row r="1326" spans="4:21">
      <c r="D1326" s="152" t="s">
        <v>2821</v>
      </c>
      <c r="G1326" s="474" t="s">
        <v>673</v>
      </c>
      <c r="H1326" s="210" t="s">
        <v>674</v>
      </c>
      <c r="I1326" s="210"/>
      <c r="J1326" s="513">
        <v>-2669.5</v>
      </c>
      <c r="K1326" s="513">
        <v>-1.9</v>
      </c>
      <c r="L1326" s="513">
        <v>1405</v>
      </c>
      <c r="M1326" s="513" t="s">
        <v>6059</v>
      </c>
      <c r="N1326" s="513" t="s">
        <v>780</v>
      </c>
      <c r="O1326" s="513" t="s">
        <v>781</v>
      </c>
      <c r="P1326" s="518" t="s">
        <v>6060</v>
      </c>
      <c r="Q1326" s="152" t="s">
        <v>5873</v>
      </c>
      <c r="R1326" s="152" t="s">
        <v>6061</v>
      </c>
      <c r="S1326" s="152" t="s">
        <v>953</v>
      </c>
      <c r="T1326" s="152" t="s">
        <v>6063</v>
      </c>
      <c r="U1326" s="152" t="s">
        <v>786</v>
      </c>
    </row>
    <row r="1327" spans="4:21">
      <c r="D1327" s="152" t="s">
        <v>2821</v>
      </c>
      <c r="G1327" s="474" t="s">
        <v>673</v>
      </c>
      <c r="H1327" s="210" t="s">
        <v>674</v>
      </c>
      <c r="I1327" s="210"/>
      <c r="J1327" s="513">
        <v>-2669.5</v>
      </c>
      <c r="K1327" s="513">
        <v>-1.9</v>
      </c>
      <c r="L1327" s="513">
        <v>1405</v>
      </c>
      <c r="M1327" s="513" t="s">
        <v>6059</v>
      </c>
      <c r="N1327" s="513" t="s">
        <v>780</v>
      </c>
      <c r="O1327" s="513" t="s">
        <v>781</v>
      </c>
      <c r="P1327" s="518" t="s">
        <v>6060</v>
      </c>
      <c r="Q1327" s="152" t="s">
        <v>5873</v>
      </c>
      <c r="R1327" s="152" t="s">
        <v>6061</v>
      </c>
      <c r="S1327" s="152" t="s">
        <v>953</v>
      </c>
      <c r="T1327" s="152" t="s">
        <v>6063</v>
      </c>
      <c r="U1327" s="152" t="s">
        <v>786</v>
      </c>
    </row>
    <row r="1328" spans="4:21">
      <c r="D1328" s="152" t="s">
        <v>2821</v>
      </c>
      <c r="G1328" s="474" t="s">
        <v>673</v>
      </c>
      <c r="H1328" s="210" t="s">
        <v>674</v>
      </c>
      <c r="I1328" s="210"/>
      <c r="J1328" s="513">
        <v>-2669.5</v>
      </c>
      <c r="K1328" s="513">
        <v>-1.9</v>
      </c>
      <c r="L1328" s="513">
        <v>1405</v>
      </c>
      <c r="M1328" s="513" t="s">
        <v>6059</v>
      </c>
      <c r="N1328" s="513" t="s">
        <v>780</v>
      </c>
      <c r="O1328" s="513" t="s">
        <v>781</v>
      </c>
      <c r="P1328" s="518" t="s">
        <v>6060</v>
      </c>
      <c r="Q1328" s="152" t="s">
        <v>5873</v>
      </c>
      <c r="R1328" s="152" t="s">
        <v>6061</v>
      </c>
      <c r="S1328" s="152" t="s">
        <v>953</v>
      </c>
      <c r="T1328" s="152" t="s">
        <v>6063</v>
      </c>
      <c r="U1328" s="152" t="s">
        <v>786</v>
      </c>
    </row>
    <row r="1329" spans="4:21">
      <c r="D1329" s="152" t="s">
        <v>2821</v>
      </c>
      <c r="G1329" s="474" t="s">
        <v>673</v>
      </c>
      <c r="H1329" s="210" t="s">
        <v>674</v>
      </c>
      <c r="I1329" s="210"/>
      <c r="J1329" s="513">
        <v>-2669.5</v>
      </c>
      <c r="K1329" s="513">
        <v>-1.9</v>
      </c>
      <c r="L1329" s="513">
        <v>1405</v>
      </c>
      <c r="M1329" s="513" t="s">
        <v>6059</v>
      </c>
      <c r="N1329" s="513" t="s">
        <v>780</v>
      </c>
      <c r="O1329" s="513" t="s">
        <v>781</v>
      </c>
      <c r="P1329" s="518" t="s">
        <v>6060</v>
      </c>
      <c r="Q1329" s="152" t="s">
        <v>5873</v>
      </c>
      <c r="R1329" s="152" t="s">
        <v>6061</v>
      </c>
      <c r="S1329" s="152" t="s">
        <v>6072</v>
      </c>
      <c r="T1329" s="152" t="s">
        <v>6063</v>
      </c>
      <c r="U1329" s="152" t="s">
        <v>786</v>
      </c>
    </row>
    <row r="1330" spans="4:21">
      <c r="D1330" s="152" t="s">
        <v>2821</v>
      </c>
      <c r="G1330" s="474" t="s">
        <v>673</v>
      </c>
      <c r="H1330" s="210" t="s">
        <v>674</v>
      </c>
      <c r="I1330" s="210"/>
      <c r="J1330" s="513">
        <v>-73678.2</v>
      </c>
      <c r="K1330" s="513">
        <v>-52.44</v>
      </c>
      <c r="L1330" s="513">
        <v>1405</v>
      </c>
      <c r="M1330" s="513" t="s">
        <v>6059</v>
      </c>
      <c r="N1330" s="513" t="s">
        <v>780</v>
      </c>
      <c r="O1330" s="513" t="s">
        <v>781</v>
      </c>
      <c r="P1330" s="518" t="s">
        <v>6060</v>
      </c>
      <c r="Q1330" s="152" t="s">
        <v>5873</v>
      </c>
      <c r="R1330" s="152" t="s">
        <v>6061</v>
      </c>
      <c r="S1330" s="152" t="s">
        <v>4800</v>
      </c>
      <c r="T1330" s="152" t="s">
        <v>6063</v>
      </c>
      <c r="U1330" s="152" t="s">
        <v>786</v>
      </c>
    </row>
    <row r="1331" spans="4:21">
      <c r="D1331" s="152" t="s">
        <v>2821</v>
      </c>
      <c r="G1331" s="474" t="s">
        <v>673</v>
      </c>
      <c r="H1331" s="210" t="s">
        <v>674</v>
      </c>
      <c r="I1331" s="210"/>
      <c r="J1331" s="513">
        <v>-632250</v>
      </c>
      <c r="K1331" s="513">
        <v>-450</v>
      </c>
      <c r="L1331" s="513">
        <v>1405</v>
      </c>
      <c r="M1331" s="513" t="s">
        <v>6059</v>
      </c>
      <c r="N1331" s="513" t="s">
        <v>780</v>
      </c>
      <c r="O1331" s="513" t="s">
        <v>781</v>
      </c>
      <c r="P1331" s="518" t="s">
        <v>6060</v>
      </c>
      <c r="Q1331" s="152" t="s">
        <v>5873</v>
      </c>
      <c r="R1331" s="152" t="s">
        <v>6061</v>
      </c>
      <c r="S1331" s="152" t="s">
        <v>6073</v>
      </c>
      <c r="T1331" s="152" t="s">
        <v>6063</v>
      </c>
      <c r="U1331" s="152" t="s">
        <v>786</v>
      </c>
    </row>
    <row r="1332" spans="4:21">
      <c r="D1332" s="152" t="s">
        <v>2821</v>
      </c>
      <c r="G1332" s="474" t="s">
        <v>673</v>
      </c>
      <c r="H1332" s="210" t="s">
        <v>674</v>
      </c>
      <c r="I1332" s="210"/>
      <c r="J1332" s="513">
        <v>-1334750</v>
      </c>
      <c r="K1332" s="513">
        <v>-950</v>
      </c>
      <c r="L1332" s="513">
        <v>1405</v>
      </c>
      <c r="M1332" s="513" t="s">
        <v>6059</v>
      </c>
      <c r="N1332" s="513" t="s">
        <v>780</v>
      </c>
      <c r="O1332" s="513" t="s">
        <v>781</v>
      </c>
      <c r="P1332" s="518" t="s">
        <v>6060</v>
      </c>
      <c r="Q1332" s="152" t="s">
        <v>5873</v>
      </c>
      <c r="R1332" s="152" t="s">
        <v>6061</v>
      </c>
      <c r="S1332" s="152" t="s">
        <v>6074</v>
      </c>
      <c r="T1332" s="152" t="s">
        <v>6063</v>
      </c>
      <c r="U1332" s="152" t="s">
        <v>786</v>
      </c>
    </row>
    <row r="1333" spans="4:21">
      <c r="D1333" s="152" t="s">
        <v>2821</v>
      </c>
      <c r="G1333" s="474" t="s">
        <v>673</v>
      </c>
      <c r="H1333" s="210" t="s">
        <v>674</v>
      </c>
      <c r="I1333" s="210"/>
      <c r="J1333" s="513">
        <v>-351250</v>
      </c>
      <c r="K1333" s="513">
        <v>-250</v>
      </c>
      <c r="L1333" s="513">
        <v>1405</v>
      </c>
      <c r="M1333" s="513" t="s">
        <v>6059</v>
      </c>
      <c r="N1333" s="513" t="s">
        <v>780</v>
      </c>
      <c r="O1333" s="513" t="s">
        <v>781</v>
      </c>
      <c r="P1333" s="518" t="s">
        <v>6060</v>
      </c>
      <c r="Q1333" s="152" t="s">
        <v>5873</v>
      </c>
      <c r="R1333" s="152" t="s">
        <v>6061</v>
      </c>
      <c r="S1333" s="152" t="s">
        <v>6075</v>
      </c>
      <c r="T1333" s="152" t="s">
        <v>6063</v>
      </c>
      <c r="U1333" s="152" t="s">
        <v>786</v>
      </c>
    </row>
    <row r="1334" spans="4:21">
      <c r="D1334" s="152" t="s">
        <v>2821</v>
      </c>
      <c r="G1334" s="474" t="s">
        <v>673</v>
      </c>
      <c r="H1334" s="210" t="s">
        <v>674</v>
      </c>
      <c r="I1334" s="210"/>
      <c r="J1334" s="513">
        <v>-2177750</v>
      </c>
      <c r="K1334" s="513">
        <v>-1550</v>
      </c>
      <c r="L1334" s="513">
        <v>1405</v>
      </c>
      <c r="M1334" s="513" t="s">
        <v>6059</v>
      </c>
      <c r="N1334" s="513" t="s">
        <v>780</v>
      </c>
      <c r="O1334" s="513" t="s">
        <v>781</v>
      </c>
      <c r="P1334" s="518" t="s">
        <v>6060</v>
      </c>
      <c r="Q1334" s="152" t="s">
        <v>5873</v>
      </c>
      <c r="R1334" s="152" t="s">
        <v>6061</v>
      </c>
      <c r="S1334" s="152" t="s">
        <v>6076</v>
      </c>
      <c r="T1334" s="152" t="s">
        <v>6063</v>
      </c>
      <c r="U1334" s="152" t="s">
        <v>786</v>
      </c>
    </row>
    <row r="1335" spans="4:21">
      <c r="D1335" s="152" t="s">
        <v>2821</v>
      </c>
      <c r="G1335" s="474" t="s">
        <v>673</v>
      </c>
      <c r="H1335" s="210" t="s">
        <v>674</v>
      </c>
      <c r="I1335" s="210"/>
      <c r="J1335" s="513">
        <v>-1053750</v>
      </c>
      <c r="K1335" s="513">
        <v>-750</v>
      </c>
      <c r="L1335" s="513">
        <v>1405</v>
      </c>
      <c r="M1335" s="513" t="s">
        <v>6059</v>
      </c>
      <c r="N1335" s="513" t="s">
        <v>780</v>
      </c>
      <c r="O1335" s="513" t="s">
        <v>781</v>
      </c>
      <c r="P1335" s="518" t="s">
        <v>6060</v>
      </c>
      <c r="Q1335" s="152" t="s">
        <v>5873</v>
      </c>
      <c r="R1335" s="152" t="s">
        <v>6061</v>
      </c>
      <c r="S1335" s="152" t="s">
        <v>6077</v>
      </c>
      <c r="T1335" s="152" t="s">
        <v>6063</v>
      </c>
      <c r="U1335" s="152" t="s">
        <v>786</v>
      </c>
    </row>
    <row r="1336" spans="4:21">
      <c r="D1336" s="152" t="s">
        <v>2821</v>
      </c>
      <c r="G1336" s="474" t="s">
        <v>673</v>
      </c>
      <c r="H1336" s="210" t="s">
        <v>674</v>
      </c>
      <c r="I1336" s="210"/>
      <c r="J1336" s="513">
        <v>-140500</v>
      </c>
      <c r="K1336" s="513">
        <v>-100</v>
      </c>
      <c r="L1336" s="513">
        <v>1405</v>
      </c>
      <c r="M1336" s="513" t="s">
        <v>6059</v>
      </c>
      <c r="N1336" s="513" t="s">
        <v>780</v>
      </c>
      <c r="O1336" s="513" t="s">
        <v>781</v>
      </c>
      <c r="P1336" s="518" t="s">
        <v>6060</v>
      </c>
      <c r="Q1336" s="152" t="s">
        <v>5873</v>
      </c>
      <c r="R1336" s="152" t="s">
        <v>6061</v>
      </c>
      <c r="S1336" s="152" t="s">
        <v>6078</v>
      </c>
      <c r="T1336" s="152" t="s">
        <v>6063</v>
      </c>
      <c r="U1336" s="152" t="s">
        <v>786</v>
      </c>
    </row>
    <row r="1337" spans="4:21">
      <c r="D1337" s="152" t="s">
        <v>2821</v>
      </c>
      <c r="G1337" s="474" t="s">
        <v>673</v>
      </c>
      <c r="H1337" s="210" t="s">
        <v>674</v>
      </c>
      <c r="I1337" s="210"/>
      <c r="J1337" s="513">
        <v>-28100</v>
      </c>
      <c r="K1337" s="513">
        <v>-20</v>
      </c>
      <c r="L1337" s="513">
        <v>1405</v>
      </c>
      <c r="M1337" s="513" t="s">
        <v>6059</v>
      </c>
      <c r="N1337" s="513" t="s">
        <v>780</v>
      </c>
      <c r="O1337" s="513" t="s">
        <v>781</v>
      </c>
      <c r="P1337" s="518" t="s">
        <v>6060</v>
      </c>
      <c r="Q1337" s="152" t="s">
        <v>5873</v>
      </c>
      <c r="R1337" s="152" t="s">
        <v>6061</v>
      </c>
      <c r="S1337" s="152" t="s">
        <v>4816</v>
      </c>
      <c r="T1337" s="152" t="s">
        <v>6063</v>
      </c>
      <c r="U1337" s="152" t="s">
        <v>786</v>
      </c>
    </row>
    <row r="1338" spans="4:21">
      <c r="D1338" s="152" t="s">
        <v>2821</v>
      </c>
      <c r="G1338" s="474" t="s">
        <v>673</v>
      </c>
      <c r="H1338" s="210" t="s">
        <v>674</v>
      </c>
      <c r="I1338" s="210"/>
      <c r="J1338" s="513">
        <v>49125825</v>
      </c>
      <c r="K1338" s="513">
        <v>34965</v>
      </c>
      <c r="L1338" s="513">
        <v>1405</v>
      </c>
      <c r="M1338" s="513" t="s">
        <v>6059</v>
      </c>
      <c r="N1338" s="513" t="s">
        <v>780</v>
      </c>
      <c r="O1338" s="513" t="s">
        <v>781</v>
      </c>
      <c r="P1338" s="518" t="s">
        <v>6082</v>
      </c>
      <c r="Q1338" s="152" t="s">
        <v>5873</v>
      </c>
      <c r="R1338" s="152" t="s">
        <v>6083</v>
      </c>
      <c r="S1338" s="152" t="s">
        <v>806</v>
      </c>
      <c r="T1338" s="152" t="s">
        <v>6084</v>
      </c>
      <c r="U1338" s="152" t="s">
        <v>786</v>
      </c>
    </row>
    <row r="1339" spans="4:21">
      <c r="D1339" s="152" t="s">
        <v>2821</v>
      </c>
      <c r="G1339" s="474" t="s">
        <v>673</v>
      </c>
      <c r="H1339" s="210" t="s">
        <v>674</v>
      </c>
      <c r="I1339" s="210"/>
      <c r="J1339" s="513">
        <v>-2539397</v>
      </c>
      <c r="K1339" s="513">
        <v>-1807.4</v>
      </c>
      <c r="L1339" s="513">
        <v>1405</v>
      </c>
      <c r="M1339" s="513" t="s">
        <v>6059</v>
      </c>
      <c r="N1339" s="513" t="s">
        <v>780</v>
      </c>
      <c r="O1339" s="513" t="s">
        <v>781</v>
      </c>
      <c r="P1339" s="518" t="s">
        <v>6060</v>
      </c>
      <c r="Q1339" s="152" t="s">
        <v>5873</v>
      </c>
      <c r="R1339" s="152" t="s">
        <v>6061</v>
      </c>
      <c r="S1339" s="152" t="s">
        <v>6091</v>
      </c>
      <c r="T1339" s="152" t="s">
        <v>6063</v>
      </c>
      <c r="U1339" s="152" t="s">
        <v>786</v>
      </c>
    </row>
    <row r="1340" spans="4:21">
      <c r="D1340" s="152" t="s">
        <v>2821</v>
      </c>
      <c r="G1340" s="474" t="s">
        <v>673</v>
      </c>
      <c r="H1340" s="210" t="s">
        <v>674</v>
      </c>
      <c r="I1340" s="210"/>
      <c r="J1340" s="513">
        <v>-983500</v>
      </c>
      <c r="K1340" s="513">
        <v>-700</v>
      </c>
      <c r="L1340" s="513">
        <v>1405</v>
      </c>
      <c r="M1340" s="513" t="s">
        <v>6059</v>
      </c>
      <c r="N1340" s="513" t="s">
        <v>780</v>
      </c>
      <c r="O1340" s="513" t="s">
        <v>781</v>
      </c>
      <c r="P1340" s="518" t="s">
        <v>6060</v>
      </c>
      <c r="Q1340" s="152" t="s">
        <v>5873</v>
      </c>
      <c r="R1340" s="152" t="s">
        <v>6061</v>
      </c>
      <c r="S1340" s="152" t="s">
        <v>6093</v>
      </c>
      <c r="T1340" s="152" t="s">
        <v>6063</v>
      </c>
      <c r="U1340" s="152" t="s">
        <v>786</v>
      </c>
    </row>
    <row r="1341" spans="4:21">
      <c r="D1341" s="152" t="s">
        <v>2821</v>
      </c>
      <c r="G1341" s="474" t="s">
        <v>673</v>
      </c>
      <c r="H1341" s="210" t="s">
        <v>674</v>
      </c>
      <c r="I1341" s="210"/>
      <c r="J1341" s="513">
        <v>-1405000</v>
      </c>
      <c r="K1341" s="513">
        <v>-1000</v>
      </c>
      <c r="L1341" s="513">
        <v>1405</v>
      </c>
      <c r="M1341" s="513" t="s">
        <v>6059</v>
      </c>
      <c r="N1341" s="513" t="s">
        <v>780</v>
      </c>
      <c r="O1341" s="513" t="s">
        <v>781</v>
      </c>
      <c r="P1341" s="518" t="s">
        <v>6060</v>
      </c>
      <c r="Q1341" s="152" t="s">
        <v>5873</v>
      </c>
      <c r="R1341" s="152" t="s">
        <v>6061</v>
      </c>
      <c r="S1341" s="152" t="s">
        <v>6094</v>
      </c>
      <c r="T1341" s="152" t="s">
        <v>6063</v>
      </c>
      <c r="U1341" s="152" t="s">
        <v>786</v>
      </c>
    </row>
    <row r="1342" spans="4:21">
      <c r="D1342" s="152" t="s">
        <v>2821</v>
      </c>
      <c r="G1342" s="474" t="s">
        <v>673</v>
      </c>
      <c r="H1342" s="210" t="s">
        <v>674</v>
      </c>
      <c r="I1342" s="210"/>
      <c r="J1342" s="513">
        <v>-8430000</v>
      </c>
      <c r="K1342" s="513">
        <v>-6000</v>
      </c>
      <c r="L1342" s="513">
        <v>1405</v>
      </c>
      <c r="M1342" s="513" t="s">
        <v>6059</v>
      </c>
      <c r="N1342" s="513" t="s">
        <v>780</v>
      </c>
      <c r="O1342" s="513" t="s">
        <v>781</v>
      </c>
      <c r="P1342" s="518" t="s">
        <v>6060</v>
      </c>
      <c r="Q1342" s="152" t="s">
        <v>5873</v>
      </c>
      <c r="R1342" s="152" t="s">
        <v>6061</v>
      </c>
      <c r="S1342" s="152" t="s">
        <v>1107</v>
      </c>
      <c r="T1342" s="152" t="s">
        <v>6063</v>
      </c>
      <c r="U1342" s="152" t="s">
        <v>786</v>
      </c>
    </row>
    <row r="1343" spans="4:21">
      <c r="D1343" s="152" t="s">
        <v>2821</v>
      </c>
      <c r="G1343" s="474" t="s">
        <v>673</v>
      </c>
      <c r="H1343" s="210" t="s">
        <v>674</v>
      </c>
      <c r="I1343" s="210"/>
      <c r="J1343" s="513">
        <v>-4215000</v>
      </c>
      <c r="K1343" s="513">
        <v>-3000</v>
      </c>
      <c r="L1343" s="513">
        <v>1405</v>
      </c>
      <c r="M1343" s="513" t="s">
        <v>6059</v>
      </c>
      <c r="N1343" s="513" t="s">
        <v>780</v>
      </c>
      <c r="O1343" s="513" t="s">
        <v>781</v>
      </c>
      <c r="P1343" s="518" t="s">
        <v>6060</v>
      </c>
      <c r="Q1343" s="152" t="s">
        <v>5873</v>
      </c>
      <c r="R1343" s="152" t="s">
        <v>6061</v>
      </c>
      <c r="S1343" s="152" t="s">
        <v>1107</v>
      </c>
      <c r="T1343" s="152" t="s">
        <v>6063</v>
      </c>
      <c r="U1343" s="152" t="s">
        <v>786</v>
      </c>
    </row>
    <row r="1344" spans="4:21">
      <c r="D1344" s="152" t="s">
        <v>2821</v>
      </c>
      <c r="G1344" s="474" t="s">
        <v>673</v>
      </c>
      <c r="H1344" s="210" t="s">
        <v>674</v>
      </c>
      <c r="I1344" s="210"/>
      <c r="J1344" s="513">
        <v>-14050000</v>
      </c>
      <c r="K1344" s="513">
        <v>-10000</v>
      </c>
      <c r="L1344" s="513">
        <v>1405</v>
      </c>
      <c r="M1344" s="513" t="s">
        <v>6059</v>
      </c>
      <c r="N1344" s="513" t="s">
        <v>780</v>
      </c>
      <c r="O1344" s="513" t="s">
        <v>781</v>
      </c>
      <c r="P1344" s="518" t="s">
        <v>6060</v>
      </c>
      <c r="Q1344" s="152" t="s">
        <v>5873</v>
      </c>
      <c r="R1344" s="152" t="s">
        <v>6061</v>
      </c>
      <c r="S1344" s="152" t="s">
        <v>1143</v>
      </c>
      <c r="T1344" s="152" t="s">
        <v>6063</v>
      </c>
      <c r="U1344" s="152" t="s">
        <v>786</v>
      </c>
    </row>
    <row r="1345" spans="4:21">
      <c r="D1345" s="152" t="s">
        <v>2821</v>
      </c>
      <c r="G1345" s="474" t="s">
        <v>673</v>
      </c>
      <c r="H1345" s="210" t="s">
        <v>674</v>
      </c>
      <c r="I1345" s="210"/>
      <c r="J1345" s="513">
        <v>-7025000</v>
      </c>
      <c r="K1345" s="513">
        <v>-5000</v>
      </c>
      <c r="L1345" s="513">
        <v>1405</v>
      </c>
      <c r="M1345" s="513" t="s">
        <v>6059</v>
      </c>
      <c r="N1345" s="513" t="s">
        <v>780</v>
      </c>
      <c r="O1345" s="513" t="s">
        <v>781</v>
      </c>
      <c r="P1345" s="518" t="s">
        <v>6060</v>
      </c>
      <c r="Q1345" s="152" t="s">
        <v>5873</v>
      </c>
      <c r="R1345" s="152" t="s">
        <v>6061</v>
      </c>
      <c r="S1345" s="152" t="s">
        <v>1143</v>
      </c>
      <c r="T1345" s="152" t="s">
        <v>6063</v>
      </c>
      <c r="U1345" s="152" t="s">
        <v>786</v>
      </c>
    </row>
    <row r="1346" spans="4:21">
      <c r="D1346" s="152" t="s">
        <v>2821</v>
      </c>
      <c r="G1346" s="474" t="s">
        <v>673</v>
      </c>
      <c r="H1346" s="210" t="s">
        <v>674</v>
      </c>
      <c r="I1346" s="210"/>
      <c r="J1346" s="513">
        <v>-1515011.5</v>
      </c>
      <c r="K1346" s="513">
        <v>-1078.3</v>
      </c>
      <c r="L1346" s="513">
        <v>1405</v>
      </c>
      <c r="M1346" s="513" t="s">
        <v>6303</v>
      </c>
      <c r="N1346" s="513" t="s">
        <v>780</v>
      </c>
      <c r="O1346" s="513" t="s">
        <v>781</v>
      </c>
      <c r="P1346" s="518" t="s">
        <v>6310</v>
      </c>
      <c r="Q1346" s="152" t="s">
        <v>5873</v>
      </c>
      <c r="R1346" s="152" t="s">
        <v>6311</v>
      </c>
      <c r="S1346" s="152" t="s">
        <v>6312</v>
      </c>
      <c r="T1346" s="152" t="s">
        <v>6313</v>
      </c>
      <c r="U1346" s="152" t="s">
        <v>786</v>
      </c>
    </row>
    <row r="1347" spans="4:21">
      <c r="D1347" s="152" t="s">
        <v>2821</v>
      </c>
      <c r="G1347" s="474" t="s">
        <v>673</v>
      </c>
      <c r="H1347" s="210" t="s">
        <v>674</v>
      </c>
      <c r="I1347" s="210"/>
      <c r="J1347" s="513">
        <v>-261330</v>
      </c>
      <c r="K1347" s="513">
        <v>-186</v>
      </c>
      <c r="L1347" s="513">
        <v>1405</v>
      </c>
      <c r="M1347" s="513" t="s">
        <v>6303</v>
      </c>
      <c r="N1347" s="513" t="s">
        <v>780</v>
      </c>
      <c r="O1347" s="513" t="s">
        <v>781</v>
      </c>
      <c r="P1347" s="518" t="s">
        <v>6310</v>
      </c>
      <c r="Q1347" s="152" t="s">
        <v>5873</v>
      </c>
      <c r="R1347" s="152" t="s">
        <v>6311</v>
      </c>
      <c r="S1347" s="152" t="s">
        <v>6314</v>
      </c>
      <c r="T1347" s="152" t="s">
        <v>6313</v>
      </c>
      <c r="U1347" s="152" t="s">
        <v>786</v>
      </c>
    </row>
    <row r="1348" spans="4:21">
      <c r="D1348" s="152" t="s">
        <v>2821</v>
      </c>
      <c r="G1348" s="474" t="s">
        <v>673</v>
      </c>
      <c r="H1348" s="210" t="s">
        <v>674</v>
      </c>
      <c r="I1348" s="210"/>
      <c r="J1348" s="513">
        <v>-21075000</v>
      </c>
      <c r="K1348" s="513">
        <v>-15000</v>
      </c>
      <c r="L1348" s="513">
        <v>1405</v>
      </c>
      <c r="M1348" s="513" t="s">
        <v>6303</v>
      </c>
      <c r="N1348" s="513" t="s">
        <v>780</v>
      </c>
      <c r="O1348" s="513" t="s">
        <v>781</v>
      </c>
      <c r="P1348" s="518" t="s">
        <v>6310</v>
      </c>
      <c r="Q1348" s="152" t="s">
        <v>5873</v>
      </c>
      <c r="R1348" s="152" t="s">
        <v>6311</v>
      </c>
      <c r="S1348" s="152" t="s">
        <v>6317</v>
      </c>
      <c r="T1348" s="152" t="s">
        <v>6313</v>
      </c>
      <c r="U1348" s="152" t="s">
        <v>786</v>
      </c>
    </row>
    <row r="1349" spans="4:21">
      <c r="D1349" s="152" t="s">
        <v>2821</v>
      </c>
      <c r="G1349" s="474" t="s">
        <v>673</v>
      </c>
      <c r="H1349" s="210" t="s">
        <v>674</v>
      </c>
      <c r="I1349" s="210"/>
      <c r="J1349" s="513">
        <v>-44960</v>
      </c>
      <c r="K1349" s="513">
        <v>-32</v>
      </c>
      <c r="L1349" s="513">
        <v>1405</v>
      </c>
      <c r="M1349" s="513" t="s">
        <v>6303</v>
      </c>
      <c r="N1349" s="513" t="s">
        <v>780</v>
      </c>
      <c r="O1349" s="513" t="s">
        <v>781</v>
      </c>
      <c r="P1349" s="518" t="s">
        <v>6310</v>
      </c>
      <c r="Q1349" s="152" t="s">
        <v>5873</v>
      </c>
      <c r="R1349" s="152" t="s">
        <v>6311</v>
      </c>
      <c r="S1349" s="152" t="s">
        <v>851</v>
      </c>
      <c r="T1349" s="152" t="s">
        <v>6313</v>
      </c>
      <c r="U1349" s="152" t="s">
        <v>786</v>
      </c>
    </row>
    <row r="1350" spans="4:21">
      <c r="D1350" s="152" t="s">
        <v>2821</v>
      </c>
      <c r="G1350" s="474" t="s">
        <v>673</v>
      </c>
      <c r="H1350" s="210" t="s">
        <v>674</v>
      </c>
      <c r="I1350" s="210"/>
      <c r="J1350" s="513">
        <v>-21707.25</v>
      </c>
      <c r="K1350" s="513">
        <v>-15.45</v>
      </c>
      <c r="L1350" s="513">
        <v>1405</v>
      </c>
      <c r="M1350" s="513" t="s">
        <v>6303</v>
      </c>
      <c r="N1350" s="513" t="s">
        <v>780</v>
      </c>
      <c r="O1350" s="513" t="s">
        <v>781</v>
      </c>
      <c r="P1350" s="518" t="s">
        <v>6310</v>
      </c>
      <c r="Q1350" s="152" t="s">
        <v>5873</v>
      </c>
      <c r="R1350" s="152" t="s">
        <v>6311</v>
      </c>
      <c r="S1350" s="152" t="s">
        <v>6322</v>
      </c>
      <c r="T1350" s="152" t="s">
        <v>6313</v>
      </c>
      <c r="U1350" s="152" t="s">
        <v>786</v>
      </c>
    </row>
    <row r="1351" spans="4:21">
      <c r="D1351" s="152" t="s">
        <v>2821</v>
      </c>
      <c r="G1351" s="474" t="s">
        <v>673</v>
      </c>
      <c r="H1351" s="210" t="s">
        <v>674</v>
      </c>
      <c r="I1351" s="210"/>
      <c r="J1351" s="513">
        <v>-2669.5</v>
      </c>
      <c r="K1351" s="513">
        <v>-1.9</v>
      </c>
      <c r="L1351" s="513">
        <v>1405</v>
      </c>
      <c r="M1351" s="513" t="s">
        <v>6303</v>
      </c>
      <c r="N1351" s="513" t="s">
        <v>780</v>
      </c>
      <c r="O1351" s="513" t="s">
        <v>781</v>
      </c>
      <c r="P1351" s="518" t="s">
        <v>6310</v>
      </c>
      <c r="Q1351" s="152" t="s">
        <v>5873</v>
      </c>
      <c r="R1351" s="152" t="s">
        <v>6311</v>
      </c>
      <c r="S1351" s="152" t="s">
        <v>953</v>
      </c>
      <c r="T1351" s="152" t="s">
        <v>6313</v>
      </c>
      <c r="U1351" s="152" t="s">
        <v>786</v>
      </c>
    </row>
    <row r="1352" spans="4:21">
      <c r="D1352" s="152" t="s">
        <v>2821</v>
      </c>
      <c r="G1352" s="474" t="s">
        <v>673</v>
      </c>
      <c r="H1352" s="210" t="s">
        <v>674</v>
      </c>
      <c r="I1352" s="210"/>
      <c r="J1352" s="513">
        <v>-14050</v>
      </c>
      <c r="K1352" s="513">
        <v>-10</v>
      </c>
      <c r="L1352" s="513">
        <v>1405</v>
      </c>
      <c r="M1352" s="513" t="s">
        <v>6303</v>
      </c>
      <c r="N1352" s="513" t="s">
        <v>780</v>
      </c>
      <c r="O1352" s="513" t="s">
        <v>781</v>
      </c>
      <c r="P1352" s="518" t="s">
        <v>6310</v>
      </c>
      <c r="Q1352" s="152" t="s">
        <v>5873</v>
      </c>
      <c r="R1352" s="152" t="s">
        <v>6311</v>
      </c>
      <c r="S1352" s="152" t="s">
        <v>6326</v>
      </c>
      <c r="T1352" s="152" t="s">
        <v>6313</v>
      </c>
      <c r="U1352" s="152" t="s">
        <v>786</v>
      </c>
    </row>
    <row r="1353" spans="4:21">
      <c r="D1353" s="152" t="s">
        <v>2821</v>
      </c>
      <c r="G1353" s="474" t="s">
        <v>673</v>
      </c>
      <c r="H1353" s="210" t="s">
        <v>674</v>
      </c>
      <c r="I1353" s="210"/>
      <c r="J1353" s="513">
        <v>-35125</v>
      </c>
      <c r="K1353" s="513">
        <v>-25</v>
      </c>
      <c r="L1353" s="513">
        <v>1405</v>
      </c>
      <c r="M1353" s="513" t="s">
        <v>6303</v>
      </c>
      <c r="N1353" s="513" t="s">
        <v>780</v>
      </c>
      <c r="O1353" s="513" t="s">
        <v>781</v>
      </c>
      <c r="P1353" s="518" t="s">
        <v>6310</v>
      </c>
      <c r="Q1353" s="152" t="s">
        <v>5873</v>
      </c>
      <c r="R1353" s="152" t="s">
        <v>6311</v>
      </c>
      <c r="S1353" s="152" t="s">
        <v>1188</v>
      </c>
      <c r="T1353" s="152" t="s">
        <v>6313</v>
      </c>
      <c r="U1353" s="152" t="s">
        <v>786</v>
      </c>
    </row>
    <row r="1354" spans="4:21">
      <c r="D1354" s="152" t="s">
        <v>2821</v>
      </c>
      <c r="G1354" s="474" t="s">
        <v>673</v>
      </c>
      <c r="H1354" s="210" t="s">
        <v>674</v>
      </c>
      <c r="I1354" s="210"/>
      <c r="J1354" s="513">
        <v>-35125</v>
      </c>
      <c r="K1354" s="513">
        <v>-25</v>
      </c>
      <c r="L1354" s="513">
        <v>1405</v>
      </c>
      <c r="M1354" s="513" t="s">
        <v>6303</v>
      </c>
      <c r="N1354" s="513" t="s">
        <v>780</v>
      </c>
      <c r="O1354" s="513" t="s">
        <v>781</v>
      </c>
      <c r="P1354" s="518" t="s">
        <v>6310</v>
      </c>
      <c r="Q1354" s="152" t="s">
        <v>5873</v>
      </c>
      <c r="R1354" s="152" t="s">
        <v>6311</v>
      </c>
      <c r="S1354" s="152" t="s">
        <v>852</v>
      </c>
      <c r="T1354" s="152" t="s">
        <v>6313</v>
      </c>
      <c r="U1354" s="152" t="s">
        <v>786</v>
      </c>
    </row>
    <row r="1355" spans="4:21">
      <c r="D1355" s="152" t="s">
        <v>2821</v>
      </c>
      <c r="G1355" s="474" t="s">
        <v>673</v>
      </c>
      <c r="H1355" s="210" t="s">
        <v>674</v>
      </c>
      <c r="I1355" s="210"/>
      <c r="J1355" s="513">
        <v>-140500</v>
      </c>
      <c r="K1355" s="513">
        <v>-100</v>
      </c>
      <c r="L1355" s="513">
        <v>1405</v>
      </c>
      <c r="M1355" s="513" t="s">
        <v>6303</v>
      </c>
      <c r="N1355" s="513" t="s">
        <v>780</v>
      </c>
      <c r="O1355" s="513" t="s">
        <v>781</v>
      </c>
      <c r="P1355" s="518" t="s">
        <v>6310</v>
      </c>
      <c r="Q1355" s="152" t="s">
        <v>5873</v>
      </c>
      <c r="R1355" s="152" t="s">
        <v>6311</v>
      </c>
      <c r="S1355" s="152" t="s">
        <v>6333</v>
      </c>
      <c r="T1355" s="152" t="s">
        <v>6313</v>
      </c>
      <c r="U1355" s="152" t="s">
        <v>786</v>
      </c>
    </row>
    <row r="1356" spans="4:21">
      <c r="D1356" s="152" t="s">
        <v>2821</v>
      </c>
      <c r="G1356" s="474" t="s">
        <v>673</v>
      </c>
      <c r="H1356" s="210" t="s">
        <v>674</v>
      </c>
      <c r="I1356" s="210"/>
      <c r="J1356" s="513">
        <v>21039875</v>
      </c>
      <c r="K1356" s="513">
        <v>14975</v>
      </c>
      <c r="L1356" s="513">
        <v>1405</v>
      </c>
      <c r="M1356" s="513" t="s">
        <v>6303</v>
      </c>
      <c r="N1356" s="513" t="s">
        <v>780</v>
      </c>
      <c r="O1356" s="513" t="s">
        <v>781</v>
      </c>
      <c r="P1356" s="518" t="s">
        <v>6335</v>
      </c>
      <c r="Q1356" s="152" t="s">
        <v>5873</v>
      </c>
      <c r="R1356" s="152" t="s">
        <v>6336</v>
      </c>
      <c r="S1356" s="152" t="s">
        <v>806</v>
      </c>
      <c r="T1356" s="152" t="s">
        <v>6337</v>
      </c>
      <c r="U1356" s="152" t="s">
        <v>786</v>
      </c>
    </row>
    <row r="1357" spans="4:21">
      <c r="D1357" s="152" t="s">
        <v>2821</v>
      </c>
      <c r="G1357" s="474" t="s">
        <v>673</v>
      </c>
      <c r="H1357" s="210" t="s">
        <v>674</v>
      </c>
      <c r="I1357" s="210"/>
      <c r="J1357" s="513">
        <v>21039875</v>
      </c>
      <c r="K1357" s="513">
        <v>14975</v>
      </c>
      <c r="L1357" s="513">
        <v>1405</v>
      </c>
      <c r="M1357" s="513" t="s">
        <v>6303</v>
      </c>
      <c r="N1357" s="513" t="s">
        <v>780</v>
      </c>
      <c r="O1357" s="513" t="s">
        <v>781</v>
      </c>
      <c r="P1357" s="518" t="s">
        <v>6335</v>
      </c>
      <c r="Q1357" s="152" t="s">
        <v>5873</v>
      </c>
      <c r="R1357" s="152" t="s">
        <v>6336</v>
      </c>
      <c r="S1357" s="152" t="s">
        <v>806</v>
      </c>
      <c r="T1357" s="152" t="s">
        <v>6337</v>
      </c>
      <c r="U1357" s="152" t="s">
        <v>786</v>
      </c>
    </row>
    <row r="1358" spans="4:21">
      <c r="D1358" s="152" t="s">
        <v>2821</v>
      </c>
      <c r="G1358" s="474" t="s">
        <v>673</v>
      </c>
      <c r="H1358" s="210" t="s">
        <v>674</v>
      </c>
      <c r="I1358" s="210"/>
      <c r="J1358" s="513">
        <v>-1236400</v>
      </c>
      <c r="K1358" s="513">
        <v>-880</v>
      </c>
      <c r="L1358" s="513">
        <v>1405</v>
      </c>
      <c r="M1358" s="513" t="s">
        <v>6303</v>
      </c>
      <c r="N1358" s="513" t="s">
        <v>780</v>
      </c>
      <c r="O1358" s="513" t="s">
        <v>781</v>
      </c>
      <c r="P1358" s="518" t="s">
        <v>6310</v>
      </c>
      <c r="Q1358" s="152" t="s">
        <v>5873</v>
      </c>
      <c r="R1358" s="152" t="s">
        <v>6311</v>
      </c>
      <c r="S1358" s="152" t="s">
        <v>6338</v>
      </c>
      <c r="T1358" s="152" t="s">
        <v>6313</v>
      </c>
      <c r="U1358" s="152" t="s">
        <v>786</v>
      </c>
    </row>
    <row r="1359" spans="4:21">
      <c r="D1359" s="152" t="s">
        <v>2821</v>
      </c>
      <c r="G1359" s="474" t="s">
        <v>673</v>
      </c>
      <c r="H1359" s="210" t="s">
        <v>674</v>
      </c>
      <c r="I1359" s="210"/>
      <c r="J1359" s="513">
        <v>-1405000</v>
      </c>
      <c r="K1359" s="513">
        <v>-1000</v>
      </c>
      <c r="L1359" s="513">
        <v>1405</v>
      </c>
      <c r="M1359" s="513" t="s">
        <v>6303</v>
      </c>
      <c r="N1359" s="513" t="s">
        <v>780</v>
      </c>
      <c r="O1359" s="513" t="s">
        <v>781</v>
      </c>
      <c r="P1359" s="518" t="s">
        <v>6310</v>
      </c>
      <c r="Q1359" s="152" t="s">
        <v>5873</v>
      </c>
      <c r="R1359" s="152" t="s">
        <v>6311</v>
      </c>
      <c r="S1359" s="152" t="s">
        <v>6341</v>
      </c>
      <c r="T1359" s="152" t="s">
        <v>6313</v>
      </c>
      <c r="U1359" s="152" t="s">
        <v>786</v>
      </c>
    </row>
    <row r="1360" spans="4:21">
      <c r="D1360" s="152" t="s">
        <v>2821</v>
      </c>
      <c r="G1360" s="474" t="s">
        <v>673</v>
      </c>
      <c r="H1360" s="210" t="s">
        <v>674</v>
      </c>
      <c r="I1360" s="210"/>
      <c r="J1360" s="513">
        <v>-7025000</v>
      </c>
      <c r="K1360" s="513">
        <v>-5000</v>
      </c>
      <c r="L1360" s="513">
        <v>1405</v>
      </c>
      <c r="M1360" s="513" t="s">
        <v>6303</v>
      </c>
      <c r="N1360" s="513" t="s">
        <v>780</v>
      </c>
      <c r="O1360" s="513" t="s">
        <v>781</v>
      </c>
      <c r="P1360" s="518" t="s">
        <v>6310</v>
      </c>
      <c r="Q1360" s="152" t="s">
        <v>5873</v>
      </c>
      <c r="R1360" s="152" t="s">
        <v>6311</v>
      </c>
      <c r="S1360" s="152" t="s">
        <v>1107</v>
      </c>
      <c r="T1360" s="152" t="s">
        <v>6313</v>
      </c>
      <c r="U1360" s="152" t="s">
        <v>786</v>
      </c>
    </row>
    <row r="1361" spans="4:21">
      <c r="D1361" s="152" t="s">
        <v>2821</v>
      </c>
      <c r="G1361" s="474" t="s">
        <v>673</v>
      </c>
      <c r="H1361" s="210" t="s">
        <v>674</v>
      </c>
      <c r="I1361" s="210"/>
      <c r="J1361" s="513">
        <v>-5620000</v>
      </c>
      <c r="K1361" s="513">
        <v>-4000</v>
      </c>
      <c r="L1361" s="513">
        <v>1405</v>
      </c>
      <c r="M1361" s="513" t="s">
        <v>6303</v>
      </c>
      <c r="N1361" s="513" t="s">
        <v>780</v>
      </c>
      <c r="O1361" s="513" t="s">
        <v>781</v>
      </c>
      <c r="P1361" s="518" t="s">
        <v>6310</v>
      </c>
      <c r="Q1361" s="152" t="s">
        <v>5873</v>
      </c>
      <c r="R1361" s="152" t="s">
        <v>6311</v>
      </c>
      <c r="S1361" s="152" t="s">
        <v>6365</v>
      </c>
      <c r="T1361" s="152" t="s">
        <v>6313</v>
      </c>
      <c r="U1361" s="152" t="s">
        <v>786</v>
      </c>
    </row>
    <row r="1362" spans="4:21">
      <c r="D1362" s="152" t="s">
        <v>2821</v>
      </c>
      <c r="G1362" s="474" t="s">
        <v>673</v>
      </c>
      <c r="H1362" s="210" t="s">
        <v>674</v>
      </c>
      <c r="I1362" s="210"/>
      <c r="J1362" s="513">
        <v>-28100</v>
      </c>
      <c r="K1362" s="513">
        <v>-20</v>
      </c>
      <c r="L1362" s="513">
        <v>1405</v>
      </c>
      <c r="M1362" s="513" t="s">
        <v>6303</v>
      </c>
      <c r="N1362" s="513" t="s">
        <v>780</v>
      </c>
      <c r="O1362" s="513" t="s">
        <v>781</v>
      </c>
      <c r="P1362" s="518" t="s">
        <v>6310</v>
      </c>
      <c r="Q1362" s="152" t="s">
        <v>5873</v>
      </c>
      <c r="R1362" s="152" t="s">
        <v>6311</v>
      </c>
      <c r="S1362" s="152" t="s">
        <v>1146</v>
      </c>
      <c r="T1362" s="152" t="s">
        <v>6313</v>
      </c>
      <c r="U1362" s="152" t="s">
        <v>786</v>
      </c>
    </row>
    <row r="1363" spans="4:21">
      <c r="D1363" s="152" t="s">
        <v>2821</v>
      </c>
      <c r="G1363" s="474" t="s">
        <v>673</v>
      </c>
      <c r="H1363" s="210" t="s">
        <v>674</v>
      </c>
      <c r="I1363" s="210"/>
      <c r="J1363" s="513">
        <v>-854169.75</v>
      </c>
      <c r="K1363" s="513">
        <v>-607.95000000000005</v>
      </c>
      <c r="L1363" s="513">
        <v>1405</v>
      </c>
      <c r="M1363" s="513" t="s">
        <v>6303</v>
      </c>
      <c r="N1363" s="513" t="s">
        <v>780</v>
      </c>
      <c r="O1363" s="513" t="s">
        <v>781</v>
      </c>
      <c r="P1363" s="518" t="s">
        <v>6310</v>
      </c>
      <c r="Q1363" s="152" t="s">
        <v>5873</v>
      </c>
      <c r="R1363" s="152" t="s">
        <v>6311</v>
      </c>
      <c r="S1363" s="152" t="s">
        <v>6366</v>
      </c>
      <c r="T1363" s="152" t="s">
        <v>6313</v>
      </c>
      <c r="U1363" s="152" t="s">
        <v>786</v>
      </c>
    </row>
    <row r="1364" spans="4:21">
      <c r="D1364" s="152" t="s">
        <v>2821</v>
      </c>
      <c r="G1364" s="474" t="s">
        <v>666</v>
      </c>
      <c r="H1364" s="210" t="s">
        <v>667</v>
      </c>
      <c r="I1364" s="210"/>
      <c r="J1364" s="513">
        <v>-103618.75</v>
      </c>
      <c r="K1364" s="513">
        <v>-73.75</v>
      </c>
      <c r="L1364" s="513">
        <v>1405</v>
      </c>
      <c r="M1364" s="513" t="s">
        <v>6059</v>
      </c>
      <c r="N1364" s="513" t="s">
        <v>780</v>
      </c>
      <c r="O1364" s="513" t="s">
        <v>1272</v>
      </c>
      <c r="P1364" s="518" t="s">
        <v>6098</v>
      </c>
      <c r="Q1364" s="152" t="s">
        <v>5873</v>
      </c>
      <c r="R1364" s="152" t="s">
        <v>6099</v>
      </c>
      <c r="S1364" s="152" t="s">
        <v>6100</v>
      </c>
      <c r="T1364" s="152" t="s">
        <v>6101</v>
      </c>
      <c r="U1364" s="152" t="s">
        <v>786</v>
      </c>
    </row>
    <row r="1365" spans="4:21">
      <c r="D1365" s="152" t="s">
        <v>2821</v>
      </c>
      <c r="G1365" s="474" t="s">
        <v>666</v>
      </c>
      <c r="H1365" s="210" t="s">
        <v>667</v>
      </c>
      <c r="I1365" s="210"/>
      <c r="J1365" s="513">
        <v>-19459.25</v>
      </c>
      <c r="K1365" s="513">
        <v>-13.85</v>
      </c>
      <c r="L1365" s="513">
        <v>1405</v>
      </c>
      <c r="M1365" s="513" t="s">
        <v>6059</v>
      </c>
      <c r="N1365" s="513" t="s">
        <v>780</v>
      </c>
      <c r="O1365" s="513" t="s">
        <v>1272</v>
      </c>
      <c r="P1365" s="518" t="s">
        <v>6098</v>
      </c>
      <c r="Q1365" s="152" t="s">
        <v>5873</v>
      </c>
      <c r="R1365" s="152" t="s">
        <v>6099</v>
      </c>
      <c r="S1365" s="152" t="s">
        <v>6102</v>
      </c>
      <c r="T1365" s="152" t="s">
        <v>6101</v>
      </c>
      <c r="U1365" s="152" t="s">
        <v>786</v>
      </c>
    </row>
    <row r="1366" spans="4:21">
      <c r="D1366" s="152" t="s">
        <v>2821</v>
      </c>
      <c r="G1366" s="474" t="s">
        <v>666</v>
      </c>
      <c r="H1366" s="210" t="s">
        <v>667</v>
      </c>
      <c r="I1366" s="210"/>
      <c r="J1366" s="513">
        <v>323.14999999999998</v>
      </c>
      <c r="K1366" s="513">
        <v>0.23</v>
      </c>
      <c r="L1366" s="513">
        <v>1405</v>
      </c>
      <c r="M1366" s="513" t="s">
        <v>6059</v>
      </c>
      <c r="N1366" s="513" t="s">
        <v>780</v>
      </c>
      <c r="O1366" s="513" t="s">
        <v>1272</v>
      </c>
      <c r="P1366" s="518" t="s">
        <v>6103</v>
      </c>
      <c r="Q1366" s="152" t="s">
        <v>5873</v>
      </c>
      <c r="R1366" s="152" t="s">
        <v>6104</v>
      </c>
      <c r="S1366" s="152" t="s">
        <v>6105</v>
      </c>
      <c r="T1366" s="152" t="s">
        <v>6106</v>
      </c>
      <c r="U1366" s="152" t="s">
        <v>786</v>
      </c>
    </row>
    <row r="1367" spans="4:21">
      <c r="D1367" s="152" t="s">
        <v>2821</v>
      </c>
      <c r="G1367" s="474" t="s">
        <v>666</v>
      </c>
      <c r="H1367" s="210" t="s">
        <v>667</v>
      </c>
      <c r="I1367" s="210"/>
      <c r="J1367" s="513">
        <v>1292.5999999999999</v>
      </c>
      <c r="K1367" s="513">
        <v>0.92</v>
      </c>
      <c r="L1367" s="513">
        <v>1405</v>
      </c>
      <c r="M1367" s="513" t="s">
        <v>6059</v>
      </c>
      <c r="N1367" s="513" t="s">
        <v>780</v>
      </c>
      <c r="O1367" s="513" t="s">
        <v>1272</v>
      </c>
      <c r="P1367" s="518" t="s">
        <v>6103</v>
      </c>
      <c r="Q1367" s="152" t="s">
        <v>5873</v>
      </c>
      <c r="R1367" s="152" t="s">
        <v>6104</v>
      </c>
      <c r="S1367" s="152" t="s">
        <v>6107</v>
      </c>
      <c r="T1367" s="152" t="s">
        <v>6106</v>
      </c>
      <c r="U1367" s="152" t="s">
        <v>786</v>
      </c>
    </row>
    <row r="1368" spans="4:21">
      <c r="D1368" s="152" t="s">
        <v>2821</v>
      </c>
      <c r="G1368" s="474" t="s">
        <v>666</v>
      </c>
      <c r="H1368" s="210" t="s">
        <v>667</v>
      </c>
      <c r="I1368" s="210"/>
      <c r="J1368" s="513">
        <v>1700.05</v>
      </c>
      <c r="K1368" s="513">
        <v>1.21</v>
      </c>
      <c r="L1368" s="513">
        <v>1405</v>
      </c>
      <c r="M1368" s="513" t="s">
        <v>6059</v>
      </c>
      <c r="N1368" s="513" t="s">
        <v>780</v>
      </c>
      <c r="O1368" s="513" t="s">
        <v>1272</v>
      </c>
      <c r="P1368" s="518" t="s">
        <v>6103</v>
      </c>
      <c r="Q1368" s="152" t="s">
        <v>5873</v>
      </c>
      <c r="R1368" s="152" t="s">
        <v>6104</v>
      </c>
      <c r="S1368" s="152" t="s">
        <v>6108</v>
      </c>
      <c r="T1368" s="152" t="s">
        <v>6106</v>
      </c>
      <c r="U1368" s="152" t="s">
        <v>786</v>
      </c>
    </row>
    <row r="1369" spans="4:21">
      <c r="D1369" s="152" t="s">
        <v>2821</v>
      </c>
      <c r="G1369" s="474" t="s">
        <v>666</v>
      </c>
      <c r="H1369" s="210" t="s">
        <v>667</v>
      </c>
      <c r="I1369" s="210"/>
      <c r="J1369" s="513">
        <v>-78750.25</v>
      </c>
      <c r="K1369" s="513">
        <v>-56.05</v>
      </c>
      <c r="L1369" s="513">
        <v>1405</v>
      </c>
      <c r="M1369" s="513" t="s">
        <v>6059</v>
      </c>
      <c r="N1369" s="513" t="s">
        <v>780</v>
      </c>
      <c r="O1369" s="513" t="s">
        <v>1272</v>
      </c>
      <c r="P1369" s="518" t="s">
        <v>6098</v>
      </c>
      <c r="Q1369" s="152" t="s">
        <v>5873</v>
      </c>
      <c r="R1369" s="152" t="s">
        <v>6099</v>
      </c>
      <c r="S1369" s="152" t="s">
        <v>6109</v>
      </c>
      <c r="T1369" s="152" t="s">
        <v>6101</v>
      </c>
      <c r="U1369" s="152" t="s">
        <v>786</v>
      </c>
    </row>
    <row r="1370" spans="4:21">
      <c r="D1370" s="152" t="s">
        <v>2821</v>
      </c>
      <c r="G1370" s="474" t="s">
        <v>666</v>
      </c>
      <c r="H1370" s="210" t="s">
        <v>667</v>
      </c>
      <c r="I1370" s="210"/>
      <c r="J1370" s="513">
        <v>-30544.7</v>
      </c>
      <c r="K1370" s="513">
        <v>-21.74</v>
      </c>
      <c r="L1370" s="513">
        <v>1405</v>
      </c>
      <c r="M1370" s="513" t="s">
        <v>6303</v>
      </c>
      <c r="N1370" s="513" t="s">
        <v>780</v>
      </c>
      <c r="O1370" s="513" t="s">
        <v>1272</v>
      </c>
      <c r="P1370" s="518" t="s">
        <v>6406</v>
      </c>
      <c r="Q1370" s="152" t="s">
        <v>5873</v>
      </c>
      <c r="R1370" s="152" t="s">
        <v>6407</v>
      </c>
      <c r="S1370" s="152" t="s">
        <v>1296</v>
      </c>
      <c r="T1370" s="152" t="s">
        <v>6408</v>
      </c>
      <c r="U1370" s="152" t="s">
        <v>786</v>
      </c>
    </row>
    <row r="1371" spans="4:21">
      <c r="D1371" s="152" t="s">
        <v>2821</v>
      </c>
      <c r="G1371" s="474" t="s">
        <v>662</v>
      </c>
      <c r="H1371" s="210" t="s">
        <v>663</v>
      </c>
      <c r="I1371" s="210"/>
      <c r="J1371" s="513">
        <v>-28100</v>
      </c>
      <c r="K1371" s="513">
        <v>-20</v>
      </c>
      <c r="L1371" s="513">
        <v>1405</v>
      </c>
      <c r="M1371" s="513" t="s">
        <v>6303</v>
      </c>
      <c r="N1371" s="513" t="s">
        <v>780</v>
      </c>
      <c r="O1371" s="513" t="s">
        <v>1272</v>
      </c>
      <c r="P1371" s="518" t="s">
        <v>6409</v>
      </c>
      <c r="Q1371" s="152" t="s">
        <v>5873</v>
      </c>
      <c r="R1371" s="152" t="s">
        <v>6410</v>
      </c>
      <c r="S1371" s="152" t="s">
        <v>1296</v>
      </c>
      <c r="T1371" s="152" t="s">
        <v>6411</v>
      </c>
      <c r="U1371" s="152" t="s">
        <v>786</v>
      </c>
    </row>
    <row r="1372" spans="4:21">
      <c r="D1372" s="152" t="s">
        <v>2821</v>
      </c>
      <c r="G1372" s="474" t="s">
        <v>662</v>
      </c>
      <c r="H1372" s="210" t="s">
        <v>663</v>
      </c>
      <c r="I1372" s="210"/>
      <c r="J1372" s="513">
        <v>28100</v>
      </c>
      <c r="K1372" s="513">
        <v>20</v>
      </c>
      <c r="L1372" s="513">
        <v>1405</v>
      </c>
      <c r="M1372" s="513" t="s">
        <v>6303</v>
      </c>
      <c r="N1372" s="513" t="s">
        <v>780</v>
      </c>
      <c r="O1372" s="513" t="s">
        <v>1272</v>
      </c>
      <c r="P1372" s="518" t="s">
        <v>6412</v>
      </c>
      <c r="Q1372" s="152" t="s">
        <v>5873</v>
      </c>
      <c r="R1372" s="152" t="s">
        <v>6413</v>
      </c>
      <c r="S1372" s="152" t="s">
        <v>6414</v>
      </c>
      <c r="T1372" s="152" t="s">
        <v>6415</v>
      </c>
      <c r="U1372" s="152" t="s">
        <v>786</v>
      </c>
    </row>
    <row r="1373" spans="4:21">
      <c r="D1373" s="152" t="s">
        <v>2821</v>
      </c>
      <c r="G1373" s="474" t="s">
        <v>658</v>
      </c>
      <c r="H1373" s="210" t="s">
        <v>659</v>
      </c>
      <c r="I1373" s="210"/>
      <c r="J1373" s="513">
        <v>-1065734.6499999999</v>
      </c>
      <c r="K1373" s="513">
        <v>-758.53</v>
      </c>
      <c r="L1373" s="513">
        <v>1405</v>
      </c>
      <c r="M1373" s="513" t="s">
        <v>6059</v>
      </c>
      <c r="N1373" s="513" t="s">
        <v>780</v>
      </c>
      <c r="O1373" s="513" t="s">
        <v>1407</v>
      </c>
      <c r="P1373" s="518" t="s">
        <v>6114</v>
      </c>
      <c r="Q1373" s="152" t="s">
        <v>5873</v>
      </c>
      <c r="R1373" s="152" t="s">
        <v>6115</v>
      </c>
      <c r="S1373" s="152" t="s">
        <v>3662</v>
      </c>
      <c r="T1373" s="152" t="s">
        <v>6116</v>
      </c>
      <c r="U1373" s="152" t="s">
        <v>786</v>
      </c>
    </row>
    <row r="1374" spans="4:21">
      <c r="D1374" s="152" t="s">
        <v>2821</v>
      </c>
      <c r="G1374" s="474" t="s">
        <v>658</v>
      </c>
      <c r="H1374" s="210" t="s">
        <v>659</v>
      </c>
      <c r="I1374" s="210"/>
      <c r="J1374" s="513">
        <v>-210539.25</v>
      </c>
      <c r="K1374" s="513">
        <v>-149.85</v>
      </c>
      <c r="L1374" s="513">
        <v>1405</v>
      </c>
      <c r="M1374" s="513" t="s">
        <v>6059</v>
      </c>
      <c r="N1374" s="513" t="s">
        <v>780</v>
      </c>
      <c r="O1374" s="513" t="s">
        <v>1407</v>
      </c>
      <c r="P1374" s="518" t="s">
        <v>6114</v>
      </c>
      <c r="Q1374" s="152" t="s">
        <v>5873</v>
      </c>
      <c r="R1374" s="152" t="s">
        <v>6115</v>
      </c>
      <c r="S1374" s="152" t="s">
        <v>6117</v>
      </c>
      <c r="T1374" s="152" t="s">
        <v>6116</v>
      </c>
      <c r="U1374" s="152" t="s">
        <v>786</v>
      </c>
    </row>
    <row r="1375" spans="4:21">
      <c r="D1375" s="152" t="s">
        <v>2821</v>
      </c>
      <c r="G1375" s="474" t="s">
        <v>658</v>
      </c>
      <c r="H1375" s="210" t="s">
        <v>659</v>
      </c>
      <c r="I1375" s="210"/>
      <c r="J1375" s="513">
        <v>-532874.35</v>
      </c>
      <c r="K1375" s="513">
        <v>-379.27</v>
      </c>
      <c r="L1375" s="513">
        <v>1405</v>
      </c>
      <c r="M1375" s="513" t="s">
        <v>6059</v>
      </c>
      <c r="N1375" s="513" t="s">
        <v>780</v>
      </c>
      <c r="O1375" s="513" t="s">
        <v>1407</v>
      </c>
      <c r="P1375" s="518" t="s">
        <v>6114</v>
      </c>
      <c r="Q1375" s="152" t="s">
        <v>5873</v>
      </c>
      <c r="R1375" s="152" t="s">
        <v>6115</v>
      </c>
      <c r="S1375" s="152" t="s">
        <v>6118</v>
      </c>
      <c r="T1375" s="152" t="s">
        <v>6116</v>
      </c>
      <c r="U1375" s="152" t="s">
        <v>786</v>
      </c>
    </row>
    <row r="1376" spans="4:21">
      <c r="D1376" s="152" t="s">
        <v>2821</v>
      </c>
      <c r="G1376" s="474" t="s">
        <v>658</v>
      </c>
      <c r="H1376" s="210" t="s">
        <v>659</v>
      </c>
      <c r="I1376" s="210"/>
      <c r="J1376" s="513">
        <v>-710494.45</v>
      </c>
      <c r="K1376" s="513">
        <v>-505.69</v>
      </c>
      <c r="L1376" s="513">
        <v>1405</v>
      </c>
      <c r="M1376" s="513" t="s">
        <v>6059</v>
      </c>
      <c r="N1376" s="513" t="s">
        <v>780</v>
      </c>
      <c r="O1376" s="513" t="s">
        <v>1407</v>
      </c>
      <c r="P1376" s="518" t="s">
        <v>6114</v>
      </c>
      <c r="Q1376" s="152" t="s">
        <v>5873</v>
      </c>
      <c r="R1376" s="152" t="s">
        <v>6115</v>
      </c>
      <c r="S1376" s="152" t="s">
        <v>6123</v>
      </c>
      <c r="T1376" s="152" t="s">
        <v>6116</v>
      </c>
      <c r="U1376" s="152" t="s">
        <v>786</v>
      </c>
    </row>
    <row r="1377" spans="4:21">
      <c r="D1377" s="152" t="s">
        <v>2821</v>
      </c>
      <c r="G1377" s="474" t="s">
        <v>658</v>
      </c>
      <c r="H1377" s="210" t="s">
        <v>659</v>
      </c>
      <c r="I1377" s="210"/>
      <c r="J1377" s="513">
        <v>-36881.25</v>
      </c>
      <c r="K1377" s="513">
        <v>-26.25</v>
      </c>
      <c r="L1377" s="513">
        <v>1405</v>
      </c>
      <c r="M1377" s="513" t="s">
        <v>6059</v>
      </c>
      <c r="N1377" s="513" t="s">
        <v>780</v>
      </c>
      <c r="O1377" s="513" t="s">
        <v>1407</v>
      </c>
      <c r="P1377" s="518" t="s">
        <v>6114</v>
      </c>
      <c r="Q1377" s="152" t="s">
        <v>5873</v>
      </c>
      <c r="R1377" s="152" t="s">
        <v>6115</v>
      </c>
      <c r="S1377" s="152" t="s">
        <v>6125</v>
      </c>
      <c r="T1377" s="152" t="s">
        <v>6116</v>
      </c>
      <c r="U1377" s="152" t="s">
        <v>786</v>
      </c>
    </row>
    <row r="1378" spans="4:21">
      <c r="D1378" s="152" t="s">
        <v>2821</v>
      </c>
      <c r="G1378" s="474" t="s">
        <v>658</v>
      </c>
      <c r="H1378" s="210" t="s">
        <v>659</v>
      </c>
      <c r="I1378" s="210"/>
      <c r="J1378" s="513">
        <v>-240114.5</v>
      </c>
      <c r="K1378" s="513">
        <v>-170.9</v>
      </c>
      <c r="L1378" s="513">
        <v>1405</v>
      </c>
      <c r="M1378" s="513" t="s">
        <v>6059</v>
      </c>
      <c r="N1378" s="513" t="s">
        <v>780</v>
      </c>
      <c r="O1378" s="513" t="s">
        <v>1407</v>
      </c>
      <c r="P1378" s="518" t="s">
        <v>6114</v>
      </c>
      <c r="Q1378" s="152" t="s">
        <v>5873</v>
      </c>
      <c r="R1378" s="152" t="s">
        <v>6115</v>
      </c>
      <c r="S1378" s="152" t="s">
        <v>6126</v>
      </c>
      <c r="T1378" s="152" t="s">
        <v>6116</v>
      </c>
      <c r="U1378" s="152" t="s">
        <v>786</v>
      </c>
    </row>
    <row r="1379" spans="4:21">
      <c r="D1379" s="152" t="s">
        <v>2821</v>
      </c>
      <c r="G1379" s="474" t="s">
        <v>658</v>
      </c>
      <c r="H1379" s="210" t="s">
        <v>659</v>
      </c>
      <c r="I1379" s="210"/>
      <c r="J1379" s="513">
        <v>-626981.25</v>
      </c>
      <c r="K1379" s="513">
        <v>-446.25</v>
      </c>
      <c r="L1379" s="513">
        <v>1405</v>
      </c>
      <c r="M1379" s="513" t="s">
        <v>6059</v>
      </c>
      <c r="N1379" s="513" t="s">
        <v>780</v>
      </c>
      <c r="O1379" s="513" t="s">
        <v>1407</v>
      </c>
      <c r="P1379" s="518" t="s">
        <v>6114</v>
      </c>
      <c r="Q1379" s="152" t="s">
        <v>5873</v>
      </c>
      <c r="R1379" s="152" t="s">
        <v>6115</v>
      </c>
      <c r="S1379" s="152" t="s">
        <v>6127</v>
      </c>
      <c r="T1379" s="152" t="s">
        <v>6116</v>
      </c>
      <c r="U1379" s="152" t="s">
        <v>786</v>
      </c>
    </row>
    <row r="1380" spans="4:21">
      <c r="D1380" s="152" t="s">
        <v>2821</v>
      </c>
      <c r="G1380" s="474" t="s">
        <v>658</v>
      </c>
      <c r="H1380" s="210" t="s">
        <v>659</v>
      </c>
      <c r="I1380" s="210"/>
      <c r="J1380" s="513">
        <v>-119425</v>
      </c>
      <c r="K1380" s="513">
        <v>-85</v>
      </c>
      <c r="L1380" s="513">
        <v>1405</v>
      </c>
      <c r="M1380" s="513" t="s">
        <v>6059</v>
      </c>
      <c r="N1380" s="513" t="s">
        <v>780</v>
      </c>
      <c r="O1380" s="513" t="s">
        <v>1407</v>
      </c>
      <c r="P1380" s="518" t="s">
        <v>6114</v>
      </c>
      <c r="Q1380" s="152" t="s">
        <v>5873</v>
      </c>
      <c r="R1380" s="152" t="s">
        <v>6115</v>
      </c>
      <c r="S1380" s="152" t="s">
        <v>6128</v>
      </c>
      <c r="T1380" s="152" t="s">
        <v>6116</v>
      </c>
      <c r="U1380" s="152" t="s">
        <v>786</v>
      </c>
    </row>
    <row r="1381" spans="4:21">
      <c r="D1381" s="152" t="s">
        <v>2821</v>
      </c>
      <c r="G1381" s="474" t="s">
        <v>658</v>
      </c>
      <c r="H1381" s="210" t="s">
        <v>659</v>
      </c>
      <c r="I1381" s="210"/>
      <c r="J1381" s="513">
        <v>-388131.25</v>
      </c>
      <c r="K1381" s="513">
        <v>-276.25</v>
      </c>
      <c r="L1381" s="513">
        <v>1405</v>
      </c>
      <c r="M1381" s="513" t="s">
        <v>6059</v>
      </c>
      <c r="N1381" s="513" t="s">
        <v>780</v>
      </c>
      <c r="O1381" s="513" t="s">
        <v>1407</v>
      </c>
      <c r="P1381" s="518" t="s">
        <v>6114</v>
      </c>
      <c r="Q1381" s="152" t="s">
        <v>5873</v>
      </c>
      <c r="R1381" s="152" t="s">
        <v>6115</v>
      </c>
      <c r="S1381" s="152" t="s">
        <v>6129</v>
      </c>
      <c r="T1381" s="152" t="s">
        <v>6116</v>
      </c>
      <c r="U1381" s="152" t="s">
        <v>786</v>
      </c>
    </row>
    <row r="1382" spans="4:21">
      <c r="D1382" s="152" t="s">
        <v>2821</v>
      </c>
      <c r="G1382" s="474" t="s">
        <v>658</v>
      </c>
      <c r="H1382" s="210" t="s">
        <v>659</v>
      </c>
      <c r="I1382" s="210"/>
      <c r="J1382" s="513">
        <v>-96073.9</v>
      </c>
      <c r="K1382" s="513">
        <v>-68.38</v>
      </c>
      <c r="L1382" s="513">
        <v>1405</v>
      </c>
      <c r="M1382" s="513" t="s">
        <v>6059</v>
      </c>
      <c r="N1382" s="513" t="s">
        <v>780</v>
      </c>
      <c r="O1382" s="513" t="s">
        <v>1407</v>
      </c>
      <c r="P1382" s="518" t="s">
        <v>6114</v>
      </c>
      <c r="Q1382" s="152" t="s">
        <v>5873</v>
      </c>
      <c r="R1382" s="152" t="s">
        <v>6115</v>
      </c>
      <c r="S1382" s="152" t="s">
        <v>6130</v>
      </c>
      <c r="T1382" s="152" t="s">
        <v>6116</v>
      </c>
      <c r="U1382" s="152" t="s">
        <v>786</v>
      </c>
    </row>
    <row r="1383" spans="4:21">
      <c r="D1383" s="152" t="s">
        <v>2821</v>
      </c>
      <c r="G1383" s="474" t="s">
        <v>658</v>
      </c>
      <c r="H1383" s="210" t="s">
        <v>659</v>
      </c>
      <c r="I1383" s="210"/>
      <c r="J1383" s="513">
        <v>-417987.5</v>
      </c>
      <c r="K1383" s="513">
        <v>-297.5</v>
      </c>
      <c r="L1383" s="513">
        <v>1405</v>
      </c>
      <c r="M1383" s="513" t="s">
        <v>6059</v>
      </c>
      <c r="N1383" s="513" t="s">
        <v>780</v>
      </c>
      <c r="O1383" s="513" t="s">
        <v>1407</v>
      </c>
      <c r="P1383" s="518" t="s">
        <v>6114</v>
      </c>
      <c r="Q1383" s="152" t="s">
        <v>5873</v>
      </c>
      <c r="R1383" s="152" t="s">
        <v>6115</v>
      </c>
      <c r="S1383" s="152" t="s">
        <v>6131</v>
      </c>
      <c r="T1383" s="152" t="s">
        <v>6116</v>
      </c>
      <c r="U1383" s="152" t="s">
        <v>786</v>
      </c>
    </row>
    <row r="1384" spans="4:21">
      <c r="D1384" s="152" t="s">
        <v>2821</v>
      </c>
      <c r="G1384" s="474" t="s">
        <v>658</v>
      </c>
      <c r="H1384" s="210" t="s">
        <v>659</v>
      </c>
      <c r="I1384" s="210"/>
      <c r="J1384" s="513">
        <v>-477700</v>
      </c>
      <c r="K1384" s="513">
        <v>-340</v>
      </c>
      <c r="L1384" s="513">
        <v>1405</v>
      </c>
      <c r="M1384" s="513" t="s">
        <v>6059</v>
      </c>
      <c r="N1384" s="513" t="s">
        <v>780</v>
      </c>
      <c r="O1384" s="513" t="s">
        <v>1407</v>
      </c>
      <c r="P1384" s="518" t="s">
        <v>6114</v>
      </c>
      <c r="Q1384" s="152" t="s">
        <v>5873</v>
      </c>
      <c r="R1384" s="152" t="s">
        <v>6115</v>
      </c>
      <c r="S1384" s="152" t="s">
        <v>6132</v>
      </c>
      <c r="T1384" s="152" t="s">
        <v>6116</v>
      </c>
      <c r="U1384" s="152" t="s">
        <v>786</v>
      </c>
    </row>
    <row r="1385" spans="4:21">
      <c r="D1385" s="152" t="s">
        <v>2821</v>
      </c>
      <c r="G1385" s="474" t="s">
        <v>658</v>
      </c>
      <c r="H1385" s="210" t="s">
        <v>659</v>
      </c>
      <c r="I1385" s="210"/>
      <c r="J1385" s="513">
        <v>-268706.25</v>
      </c>
      <c r="K1385" s="513">
        <v>-191.25</v>
      </c>
      <c r="L1385" s="513">
        <v>1405</v>
      </c>
      <c r="M1385" s="513" t="s">
        <v>6059</v>
      </c>
      <c r="N1385" s="513" t="s">
        <v>780</v>
      </c>
      <c r="O1385" s="513" t="s">
        <v>1407</v>
      </c>
      <c r="P1385" s="518" t="s">
        <v>6114</v>
      </c>
      <c r="Q1385" s="152" t="s">
        <v>5873</v>
      </c>
      <c r="R1385" s="152" t="s">
        <v>6115</v>
      </c>
      <c r="S1385" s="152" t="s">
        <v>6133</v>
      </c>
      <c r="T1385" s="152" t="s">
        <v>6116</v>
      </c>
      <c r="U1385" s="152" t="s">
        <v>786</v>
      </c>
    </row>
    <row r="1386" spans="4:21">
      <c r="D1386" s="152" t="s">
        <v>2821</v>
      </c>
      <c r="G1386" s="474" t="s">
        <v>658</v>
      </c>
      <c r="H1386" s="210" t="s">
        <v>659</v>
      </c>
      <c r="I1386" s="210"/>
      <c r="J1386" s="513">
        <v>-119425</v>
      </c>
      <c r="K1386" s="513">
        <v>-85</v>
      </c>
      <c r="L1386" s="513">
        <v>1405</v>
      </c>
      <c r="M1386" s="513" t="s">
        <v>6059</v>
      </c>
      <c r="N1386" s="513" t="s">
        <v>780</v>
      </c>
      <c r="O1386" s="513" t="s">
        <v>1407</v>
      </c>
      <c r="P1386" s="518" t="s">
        <v>6114</v>
      </c>
      <c r="Q1386" s="152" t="s">
        <v>5873</v>
      </c>
      <c r="R1386" s="152" t="s">
        <v>6115</v>
      </c>
      <c r="S1386" s="152" t="s">
        <v>6134</v>
      </c>
      <c r="T1386" s="152" t="s">
        <v>6116</v>
      </c>
      <c r="U1386" s="152" t="s">
        <v>786</v>
      </c>
    </row>
    <row r="1387" spans="4:21">
      <c r="D1387" s="152" t="s">
        <v>2821</v>
      </c>
      <c r="G1387" s="474" t="s">
        <v>658</v>
      </c>
      <c r="H1387" s="210" t="s">
        <v>659</v>
      </c>
      <c r="I1387" s="210"/>
      <c r="J1387" s="513">
        <v>-179137.5</v>
      </c>
      <c r="K1387" s="513">
        <v>-127.5</v>
      </c>
      <c r="L1387" s="513">
        <v>1405</v>
      </c>
      <c r="M1387" s="513" t="s">
        <v>6059</v>
      </c>
      <c r="N1387" s="513" t="s">
        <v>780</v>
      </c>
      <c r="O1387" s="513" t="s">
        <v>1407</v>
      </c>
      <c r="P1387" s="518" t="s">
        <v>6114</v>
      </c>
      <c r="Q1387" s="152" t="s">
        <v>5873</v>
      </c>
      <c r="R1387" s="152" t="s">
        <v>6115</v>
      </c>
      <c r="S1387" s="152" t="s">
        <v>6135</v>
      </c>
      <c r="T1387" s="152" t="s">
        <v>6116</v>
      </c>
      <c r="U1387" s="152" t="s">
        <v>786</v>
      </c>
    </row>
    <row r="1388" spans="4:21">
      <c r="D1388" s="152" t="s">
        <v>2821</v>
      </c>
      <c r="G1388" s="474" t="s">
        <v>658</v>
      </c>
      <c r="H1388" s="210" t="s">
        <v>659</v>
      </c>
      <c r="I1388" s="210"/>
      <c r="J1388" s="513">
        <v>-447843.75</v>
      </c>
      <c r="K1388" s="513">
        <v>-318.75</v>
      </c>
      <c r="L1388" s="513">
        <v>1405</v>
      </c>
      <c r="M1388" s="513" t="s">
        <v>6059</v>
      </c>
      <c r="N1388" s="513" t="s">
        <v>780</v>
      </c>
      <c r="O1388" s="513" t="s">
        <v>1407</v>
      </c>
      <c r="P1388" s="518" t="s">
        <v>6114</v>
      </c>
      <c r="Q1388" s="152" t="s">
        <v>5873</v>
      </c>
      <c r="R1388" s="152" t="s">
        <v>6115</v>
      </c>
      <c r="S1388" s="152" t="s">
        <v>6136</v>
      </c>
      <c r="T1388" s="152" t="s">
        <v>6116</v>
      </c>
      <c r="U1388" s="152" t="s">
        <v>786</v>
      </c>
    </row>
    <row r="1389" spans="4:21">
      <c r="D1389" s="152" t="s">
        <v>2821</v>
      </c>
      <c r="G1389" s="474" t="s">
        <v>658</v>
      </c>
      <c r="H1389" s="210" t="s">
        <v>659</v>
      </c>
      <c r="I1389" s="210"/>
      <c r="J1389" s="513">
        <v>-358275</v>
      </c>
      <c r="K1389" s="513">
        <v>-255</v>
      </c>
      <c r="L1389" s="513">
        <v>1405</v>
      </c>
      <c r="M1389" s="513" t="s">
        <v>6059</v>
      </c>
      <c r="N1389" s="513" t="s">
        <v>780</v>
      </c>
      <c r="O1389" s="513" t="s">
        <v>1407</v>
      </c>
      <c r="P1389" s="518" t="s">
        <v>6114</v>
      </c>
      <c r="Q1389" s="152" t="s">
        <v>5873</v>
      </c>
      <c r="R1389" s="152" t="s">
        <v>6115</v>
      </c>
      <c r="S1389" s="152" t="s">
        <v>6137</v>
      </c>
      <c r="T1389" s="152" t="s">
        <v>6116</v>
      </c>
      <c r="U1389" s="152" t="s">
        <v>786</v>
      </c>
    </row>
    <row r="1390" spans="4:21">
      <c r="D1390" s="152" t="s">
        <v>2821</v>
      </c>
      <c r="G1390" s="474" t="s">
        <v>658</v>
      </c>
      <c r="H1390" s="210" t="s">
        <v>659</v>
      </c>
      <c r="I1390" s="210"/>
      <c r="J1390" s="513">
        <v>-208993.75</v>
      </c>
      <c r="K1390" s="513">
        <v>-148.75</v>
      </c>
      <c r="L1390" s="513">
        <v>1405</v>
      </c>
      <c r="M1390" s="513" t="s">
        <v>6059</v>
      </c>
      <c r="N1390" s="513" t="s">
        <v>780</v>
      </c>
      <c r="O1390" s="513" t="s">
        <v>1407</v>
      </c>
      <c r="P1390" s="518" t="s">
        <v>6114</v>
      </c>
      <c r="Q1390" s="152" t="s">
        <v>5873</v>
      </c>
      <c r="R1390" s="152" t="s">
        <v>6115</v>
      </c>
      <c r="S1390" s="152" t="s">
        <v>6138</v>
      </c>
      <c r="T1390" s="152" t="s">
        <v>6116</v>
      </c>
      <c r="U1390" s="152" t="s">
        <v>786</v>
      </c>
    </row>
    <row r="1391" spans="4:21">
      <c r="D1391" s="152" t="s">
        <v>2821</v>
      </c>
      <c r="G1391" s="474" t="s">
        <v>658</v>
      </c>
      <c r="H1391" s="210" t="s">
        <v>659</v>
      </c>
      <c r="I1391" s="210"/>
      <c r="J1391" s="513">
        <v>-439062.5</v>
      </c>
      <c r="K1391" s="513">
        <v>-312.5</v>
      </c>
      <c r="L1391" s="513">
        <v>1405</v>
      </c>
      <c r="M1391" s="513" t="s">
        <v>6059</v>
      </c>
      <c r="N1391" s="513" t="s">
        <v>780</v>
      </c>
      <c r="O1391" s="513" t="s">
        <v>1407</v>
      </c>
      <c r="P1391" s="518" t="s">
        <v>6114</v>
      </c>
      <c r="Q1391" s="152" t="s">
        <v>5873</v>
      </c>
      <c r="R1391" s="152" t="s">
        <v>6115</v>
      </c>
      <c r="S1391" s="152" t="s">
        <v>6139</v>
      </c>
      <c r="T1391" s="152" t="s">
        <v>6116</v>
      </c>
      <c r="U1391" s="152" t="s">
        <v>786</v>
      </c>
    </row>
    <row r="1392" spans="4:21">
      <c r="D1392" s="152" t="s">
        <v>2821</v>
      </c>
      <c r="G1392" s="474" t="s">
        <v>658</v>
      </c>
      <c r="H1392" s="210" t="s">
        <v>659</v>
      </c>
      <c r="I1392" s="210"/>
      <c r="J1392" s="513">
        <v>-2656714.5</v>
      </c>
      <c r="K1392" s="513">
        <v>-1890.9</v>
      </c>
      <c r="L1392" s="513">
        <v>1405</v>
      </c>
      <c r="M1392" s="513" t="s">
        <v>6059</v>
      </c>
      <c r="N1392" s="513" t="s">
        <v>780</v>
      </c>
      <c r="O1392" s="513" t="s">
        <v>1407</v>
      </c>
      <c r="P1392" s="518" t="s">
        <v>6114</v>
      </c>
      <c r="Q1392" s="152" t="s">
        <v>5873</v>
      </c>
      <c r="R1392" s="152" t="s">
        <v>6115</v>
      </c>
      <c r="S1392" s="152" t="s">
        <v>6140</v>
      </c>
      <c r="T1392" s="152" t="s">
        <v>6116</v>
      </c>
      <c r="U1392" s="152" t="s">
        <v>786</v>
      </c>
    </row>
    <row r="1393" spans="4:21">
      <c r="D1393" s="152" t="s">
        <v>2821</v>
      </c>
      <c r="G1393" s="474" t="s">
        <v>658</v>
      </c>
      <c r="H1393" s="210" t="s">
        <v>659</v>
      </c>
      <c r="I1393" s="210"/>
      <c r="J1393" s="513">
        <v>-762324.9</v>
      </c>
      <c r="K1393" s="513">
        <v>-542.58000000000004</v>
      </c>
      <c r="L1393" s="513">
        <v>1405</v>
      </c>
      <c r="M1393" s="513" t="s">
        <v>6059</v>
      </c>
      <c r="N1393" s="513" t="s">
        <v>780</v>
      </c>
      <c r="O1393" s="513" t="s">
        <v>1407</v>
      </c>
      <c r="P1393" s="518" t="s">
        <v>6114</v>
      </c>
      <c r="Q1393" s="152" t="s">
        <v>5873</v>
      </c>
      <c r="R1393" s="152" t="s">
        <v>6115</v>
      </c>
      <c r="S1393" s="152" t="s">
        <v>6143</v>
      </c>
      <c r="T1393" s="152" t="s">
        <v>6116</v>
      </c>
      <c r="U1393" s="152" t="s">
        <v>786</v>
      </c>
    </row>
    <row r="1394" spans="4:21">
      <c r="D1394" s="152" t="s">
        <v>2821</v>
      </c>
      <c r="G1394" s="474" t="s">
        <v>658</v>
      </c>
      <c r="H1394" s="210" t="s">
        <v>659</v>
      </c>
      <c r="I1394" s="210"/>
      <c r="J1394" s="513">
        <v>-140500</v>
      </c>
      <c r="K1394" s="513">
        <v>-100</v>
      </c>
      <c r="L1394" s="513">
        <v>1405</v>
      </c>
      <c r="M1394" s="513" t="s">
        <v>6059</v>
      </c>
      <c r="N1394" s="513" t="s">
        <v>780</v>
      </c>
      <c r="O1394" s="513" t="s">
        <v>1407</v>
      </c>
      <c r="P1394" s="518" t="s">
        <v>6114</v>
      </c>
      <c r="Q1394" s="152" t="s">
        <v>5873</v>
      </c>
      <c r="R1394" s="152" t="s">
        <v>6115</v>
      </c>
      <c r="S1394" s="152" t="s">
        <v>6145</v>
      </c>
      <c r="T1394" s="152" t="s">
        <v>6116</v>
      </c>
      <c r="U1394" s="152" t="s">
        <v>786</v>
      </c>
    </row>
    <row r="1395" spans="4:21">
      <c r="D1395" s="152" t="s">
        <v>2821</v>
      </c>
      <c r="G1395" s="474" t="s">
        <v>658</v>
      </c>
      <c r="H1395" s="210" t="s">
        <v>659</v>
      </c>
      <c r="I1395" s="210"/>
      <c r="J1395" s="513">
        <v>-158104.65</v>
      </c>
      <c r="K1395" s="513">
        <v>-112.53</v>
      </c>
      <c r="L1395" s="513">
        <v>1405</v>
      </c>
      <c r="M1395" s="513" t="s">
        <v>6059</v>
      </c>
      <c r="N1395" s="513" t="s">
        <v>780</v>
      </c>
      <c r="O1395" s="513" t="s">
        <v>1407</v>
      </c>
      <c r="P1395" s="518" t="s">
        <v>6114</v>
      </c>
      <c r="Q1395" s="152" t="s">
        <v>5873</v>
      </c>
      <c r="R1395" s="152" t="s">
        <v>6115</v>
      </c>
      <c r="S1395" s="152" t="s">
        <v>6146</v>
      </c>
      <c r="T1395" s="152" t="s">
        <v>6116</v>
      </c>
      <c r="U1395" s="152" t="s">
        <v>786</v>
      </c>
    </row>
    <row r="1396" spans="4:21">
      <c r="D1396" s="152" t="s">
        <v>2821</v>
      </c>
      <c r="G1396" s="474" t="s">
        <v>658</v>
      </c>
      <c r="H1396" s="210" t="s">
        <v>659</v>
      </c>
      <c r="I1396" s="210"/>
      <c r="J1396" s="513">
        <v>-3907347.15</v>
      </c>
      <c r="K1396" s="513">
        <v>-2781.03</v>
      </c>
      <c r="L1396" s="513">
        <v>1405</v>
      </c>
      <c r="M1396" s="513" t="s">
        <v>6059</v>
      </c>
      <c r="N1396" s="513" t="s">
        <v>780</v>
      </c>
      <c r="O1396" s="513" t="s">
        <v>1407</v>
      </c>
      <c r="P1396" s="518" t="s">
        <v>6114</v>
      </c>
      <c r="Q1396" s="152" t="s">
        <v>5873</v>
      </c>
      <c r="R1396" s="152" t="s">
        <v>6115</v>
      </c>
      <c r="S1396" s="152" t="s">
        <v>6147</v>
      </c>
      <c r="T1396" s="152" t="s">
        <v>6116</v>
      </c>
      <c r="U1396" s="152" t="s">
        <v>786</v>
      </c>
    </row>
    <row r="1397" spans="4:21">
      <c r="D1397" s="152" t="s">
        <v>2821</v>
      </c>
      <c r="G1397" s="474" t="s">
        <v>658</v>
      </c>
      <c r="H1397" s="210" t="s">
        <v>659</v>
      </c>
      <c r="I1397" s="210"/>
      <c r="J1397" s="513">
        <v>-134992.4</v>
      </c>
      <c r="K1397" s="513">
        <v>-96.08</v>
      </c>
      <c r="L1397" s="513">
        <v>1405</v>
      </c>
      <c r="M1397" s="513" t="s">
        <v>6059</v>
      </c>
      <c r="N1397" s="513" t="s">
        <v>780</v>
      </c>
      <c r="O1397" s="513" t="s">
        <v>1407</v>
      </c>
      <c r="P1397" s="518" t="s">
        <v>6114</v>
      </c>
      <c r="Q1397" s="152" t="s">
        <v>5873</v>
      </c>
      <c r="R1397" s="152" t="s">
        <v>6115</v>
      </c>
      <c r="S1397" s="152" t="s">
        <v>6148</v>
      </c>
      <c r="T1397" s="152" t="s">
        <v>6116</v>
      </c>
      <c r="U1397" s="152" t="s">
        <v>786</v>
      </c>
    </row>
    <row r="1398" spans="4:21">
      <c r="D1398" s="152" t="s">
        <v>2821</v>
      </c>
      <c r="G1398" s="474" t="s">
        <v>658</v>
      </c>
      <c r="H1398" s="210" t="s">
        <v>659</v>
      </c>
      <c r="I1398" s="210"/>
      <c r="J1398" s="513">
        <v>-1580625</v>
      </c>
      <c r="K1398" s="513">
        <v>-1125</v>
      </c>
      <c r="L1398" s="513">
        <v>1405</v>
      </c>
      <c r="M1398" s="513" t="s">
        <v>6059</v>
      </c>
      <c r="N1398" s="513" t="s">
        <v>780</v>
      </c>
      <c r="O1398" s="513" t="s">
        <v>1407</v>
      </c>
      <c r="P1398" s="518" t="s">
        <v>6114</v>
      </c>
      <c r="Q1398" s="152" t="s">
        <v>5873</v>
      </c>
      <c r="R1398" s="152" t="s">
        <v>6115</v>
      </c>
      <c r="S1398" s="152" t="s">
        <v>6149</v>
      </c>
      <c r="T1398" s="152" t="s">
        <v>6116</v>
      </c>
      <c r="U1398" s="152" t="s">
        <v>786</v>
      </c>
    </row>
    <row r="1399" spans="4:21">
      <c r="D1399" s="152" t="s">
        <v>2821</v>
      </c>
      <c r="G1399" s="474" t="s">
        <v>658</v>
      </c>
      <c r="H1399" s="210" t="s">
        <v>659</v>
      </c>
      <c r="I1399" s="210"/>
      <c r="J1399" s="513">
        <v>-2711.65</v>
      </c>
      <c r="K1399" s="513">
        <v>-1.93</v>
      </c>
      <c r="L1399" s="513">
        <v>1405</v>
      </c>
      <c r="M1399" s="513" t="s">
        <v>6059</v>
      </c>
      <c r="N1399" s="513" t="s">
        <v>780</v>
      </c>
      <c r="O1399" s="513" t="s">
        <v>1407</v>
      </c>
      <c r="P1399" s="518" t="s">
        <v>6114</v>
      </c>
      <c r="Q1399" s="152" t="s">
        <v>5873</v>
      </c>
      <c r="R1399" s="152" t="s">
        <v>6115</v>
      </c>
      <c r="S1399" s="152" t="s">
        <v>1515</v>
      </c>
      <c r="T1399" s="152" t="s">
        <v>6116</v>
      </c>
      <c r="U1399" s="152" t="s">
        <v>786</v>
      </c>
    </row>
    <row r="1400" spans="4:21">
      <c r="D1400" s="152" t="s">
        <v>2821</v>
      </c>
      <c r="G1400" s="474" t="s">
        <v>658</v>
      </c>
      <c r="H1400" s="210" t="s">
        <v>659</v>
      </c>
      <c r="I1400" s="210"/>
      <c r="J1400" s="513">
        <v>-2711.65</v>
      </c>
      <c r="K1400" s="513">
        <v>-1.93</v>
      </c>
      <c r="L1400" s="513">
        <v>1405</v>
      </c>
      <c r="M1400" s="513" t="s">
        <v>6059</v>
      </c>
      <c r="N1400" s="513" t="s">
        <v>780</v>
      </c>
      <c r="O1400" s="513" t="s">
        <v>1407</v>
      </c>
      <c r="P1400" s="518" t="s">
        <v>6114</v>
      </c>
      <c r="Q1400" s="152" t="s">
        <v>5873</v>
      </c>
      <c r="R1400" s="152" t="s">
        <v>6115</v>
      </c>
      <c r="S1400" s="152" t="s">
        <v>1515</v>
      </c>
      <c r="T1400" s="152" t="s">
        <v>6116</v>
      </c>
      <c r="U1400" s="152" t="s">
        <v>786</v>
      </c>
    </row>
    <row r="1401" spans="4:21">
      <c r="D1401" s="152" t="s">
        <v>2821</v>
      </c>
      <c r="G1401" s="474" t="s">
        <v>658</v>
      </c>
      <c r="H1401" s="210" t="s">
        <v>659</v>
      </c>
      <c r="I1401" s="210"/>
      <c r="J1401" s="513">
        <v>-2711.65</v>
      </c>
      <c r="K1401" s="513">
        <v>-1.93</v>
      </c>
      <c r="L1401" s="513">
        <v>1405</v>
      </c>
      <c r="M1401" s="513" t="s">
        <v>6059</v>
      </c>
      <c r="N1401" s="513" t="s">
        <v>780</v>
      </c>
      <c r="O1401" s="513" t="s">
        <v>1407</v>
      </c>
      <c r="P1401" s="518" t="s">
        <v>6114</v>
      </c>
      <c r="Q1401" s="152" t="s">
        <v>5873</v>
      </c>
      <c r="R1401" s="152" t="s">
        <v>6115</v>
      </c>
      <c r="S1401" s="152" t="s">
        <v>1515</v>
      </c>
      <c r="T1401" s="152" t="s">
        <v>6116</v>
      </c>
      <c r="U1401" s="152" t="s">
        <v>786</v>
      </c>
    </row>
    <row r="1402" spans="4:21">
      <c r="D1402" s="152" t="s">
        <v>2821</v>
      </c>
      <c r="G1402" s="474" t="s">
        <v>658</v>
      </c>
      <c r="H1402" s="210" t="s">
        <v>659</v>
      </c>
      <c r="I1402" s="210"/>
      <c r="J1402" s="513">
        <v>-2711.65</v>
      </c>
      <c r="K1402" s="513">
        <v>-1.93</v>
      </c>
      <c r="L1402" s="513">
        <v>1405</v>
      </c>
      <c r="M1402" s="513" t="s">
        <v>6059</v>
      </c>
      <c r="N1402" s="513" t="s">
        <v>780</v>
      </c>
      <c r="O1402" s="513" t="s">
        <v>1407</v>
      </c>
      <c r="P1402" s="518" t="s">
        <v>6114</v>
      </c>
      <c r="Q1402" s="152" t="s">
        <v>5873</v>
      </c>
      <c r="R1402" s="152" t="s">
        <v>6115</v>
      </c>
      <c r="S1402" s="152" t="s">
        <v>1515</v>
      </c>
      <c r="T1402" s="152" t="s">
        <v>6116</v>
      </c>
      <c r="U1402" s="152" t="s">
        <v>786</v>
      </c>
    </row>
    <row r="1403" spans="4:21">
      <c r="D1403" s="152" t="s">
        <v>2821</v>
      </c>
      <c r="G1403" s="474" t="s">
        <v>658</v>
      </c>
      <c r="H1403" s="210" t="s">
        <v>659</v>
      </c>
      <c r="I1403" s="210"/>
      <c r="J1403" s="513">
        <v>-2711.65</v>
      </c>
      <c r="K1403" s="513">
        <v>-1.93</v>
      </c>
      <c r="L1403" s="513">
        <v>1405</v>
      </c>
      <c r="M1403" s="513" t="s">
        <v>6059</v>
      </c>
      <c r="N1403" s="513" t="s">
        <v>780</v>
      </c>
      <c r="O1403" s="513" t="s">
        <v>1407</v>
      </c>
      <c r="P1403" s="518" t="s">
        <v>6114</v>
      </c>
      <c r="Q1403" s="152" t="s">
        <v>5873</v>
      </c>
      <c r="R1403" s="152" t="s">
        <v>6115</v>
      </c>
      <c r="S1403" s="152" t="s">
        <v>1515</v>
      </c>
      <c r="T1403" s="152" t="s">
        <v>6116</v>
      </c>
      <c r="U1403" s="152" t="s">
        <v>786</v>
      </c>
    </row>
    <row r="1404" spans="4:21">
      <c r="D1404" s="152" t="s">
        <v>2821</v>
      </c>
      <c r="G1404" s="474" t="s">
        <v>658</v>
      </c>
      <c r="H1404" s="210" t="s">
        <v>659</v>
      </c>
      <c r="I1404" s="210"/>
      <c r="J1404" s="513">
        <v>-2711.65</v>
      </c>
      <c r="K1404" s="513">
        <v>-1.93</v>
      </c>
      <c r="L1404" s="513">
        <v>1405</v>
      </c>
      <c r="M1404" s="513" t="s">
        <v>6059</v>
      </c>
      <c r="N1404" s="513" t="s">
        <v>780</v>
      </c>
      <c r="O1404" s="513" t="s">
        <v>1407</v>
      </c>
      <c r="P1404" s="518" t="s">
        <v>6114</v>
      </c>
      <c r="Q1404" s="152" t="s">
        <v>5873</v>
      </c>
      <c r="R1404" s="152" t="s">
        <v>6115</v>
      </c>
      <c r="S1404" s="152" t="s">
        <v>1515</v>
      </c>
      <c r="T1404" s="152" t="s">
        <v>6116</v>
      </c>
      <c r="U1404" s="152" t="s">
        <v>786</v>
      </c>
    </row>
    <row r="1405" spans="4:21">
      <c r="D1405" s="152" t="s">
        <v>2821</v>
      </c>
      <c r="G1405" s="474" t="s">
        <v>658</v>
      </c>
      <c r="H1405" s="210" t="s">
        <v>659</v>
      </c>
      <c r="I1405" s="210"/>
      <c r="J1405" s="513">
        <v>-2711.65</v>
      </c>
      <c r="K1405" s="513">
        <v>-1.93</v>
      </c>
      <c r="L1405" s="513">
        <v>1405</v>
      </c>
      <c r="M1405" s="513" t="s">
        <v>6059</v>
      </c>
      <c r="N1405" s="513" t="s">
        <v>780</v>
      </c>
      <c r="O1405" s="513" t="s">
        <v>1407</v>
      </c>
      <c r="P1405" s="518" t="s">
        <v>6114</v>
      </c>
      <c r="Q1405" s="152" t="s">
        <v>5873</v>
      </c>
      <c r="R1405" s="152" t="s">
        <v>6115</v>
      </c>
      <c r="S1405" s="152" t="s">
        <v>1515</v>
      </c>
      <c r="T1405" s="152" t="s">
        <v>6116</v>
      </c>
      <c r="U1405" s="152" t="s">
        <v>786</v>
      </c>
    </row>
    <row r="1406" spans="4:21">
      <c r="D1406" s="152" t="s">
        <v>2821</v>
      </c>
      <c r="G1406" s="474" t="s">
        <v>658</v>
      </c>
      <c r="H1406" s="210" t="s">
        <v>659</v>
      </c>
      <c r="I1406" s="210"/>
      <c r="J1406" s="513">
        <v>-2683.55</v>
      </c>
      <c r="K1406" s="513">
        <v>-1.91</v>
      </c>
      <c r="L1406" s="513">
        <v>1405</v>
      </c>
      <c r="M1406" s="513" t="s">
        <v>6059</v>
      </c>
      <c r="N1406" s="513" t="s">
        <v>780</v>
      </c>
      <c r="O1406" s="513" t="s">
        <v>1407</v>
      </c>
      <c r="P1406" s="518" t="s">
        <v>6114</v>
      </c>
      <c r="Q1406" s="152" t="s">
        <v>5873</v>
      </c>
      <c r="R1406" s="152" t="s">
        <v>6115</v>
      </c>
      <c r="S1406" s="152" t="s">
        <v>1515</v>
      </c>
      <c r="T1406" s="152" t="s">
        <v>6116</v>
      </c>
      <c r="U1406" s="152" t="s">
        <v>786</v>
      </c>
    </row>
    <row r="1407" spans="4:21">
      <c r="D1407" s="152" t="s">
        <v>2821</v>
      </c>
      <c r="G1407" s="474" t="s">
        <v>658</v>
      </c>
      <c r="H1407" s="210" t="s">
        <v>659</v>
      </c>
      <c r="I1407" s="210"/>
      <c r="J1407" s="513">
        <v>-2711.65</v>
      </c>
      <c r="K1407" s="513">
        <v>-1.93</v>
      </c>
      <c r="L1407" s="513">
        <v>1405</v>
      </c>
      <c r="M1407" s="513" t="s">
        <v>6059</v>
      </c>
      <c r="N1407" s="513" t="s">
        <v>780</v>
      </c>
      <c r="O1407" s="513" t="s">
        <v>1407</v>
      </c>
      <c r="P1407" s="518" t="s">
        <v>6114</v>
      </c>
      <c r="Q1407" s="152" t="s">
        <v>5873</v>
      </c>
      <c r="R1407" s="152" t="s">
        <v>6115</v>
      </c>
      <c r="S1407" s="152" t="s">
        <v>1515</v>
      </c>
      <c r="T1407" s="152" t="s">
        <v>6116</v>
      </c>
      <c r="U1407" s="152" t="s">
        <v>786</v>
      </c>
    </row>
    <row r="1408" spans="4:21">
      <c r="D1408" s="152" t="s">
        <v>2821</v>
      </c>
      <c r="G1408" s="474" t="s">
        <v>658</v>
      </c>
      <c r="H1408" s="210" t="s">
        <v>659</v>
      </c>
      <c r="I1408" s="210"/>
      <c r="J1408" s="513">
        <v>-2711.65</v>
      </c>
      <c r="K1408" s="513">
        <v>-1.93</v>
      </c>
      <c r="L1408" s="513">
        <v>1405</v>
      </c>
      <c r="M1408" s="513" t="s">
        <v>6059</v>
      </c>
      <c r="N1408" s="513" t="s">
        <v>780</v>
      </c>
      <c r="O1408" s="513" t="s">
        <v>1407</v>
      </c>
      <c r="P1408" s="518" t="s">
        <v>6114</v>
      </c>
      <c r="Q1408" s="152" t="s">
        <v>5873</v>
      </c>
      <c r="R1408" s="152" t="s">
        <v>6115</v>
      </c>
      <c r="S1408" s="152" t="s">
        <v>1515</v>
      </c>
      <c r="T1408" s="152" t="s">
        <v>6116</v>
      </c>
      <c r="U1408" s="152" t="s">
        <v>786</v>
      </c>
    </row>
    <row r="1409" spans="4:21">
      <c r="D1409" s="152" t="s">
        <v>2821</v>
      </c>
      <c r="G1409" s="474" t="s">
        <v>658</v>
      </c>
      <c r="H1409" s="210" t="s">
        <v>659</v>
      </c>
      <c r="I1409" s="210"/>
      <c r="J1409" s="513">
        <v>-2711.65</v>
      </c>
      <c r="K1409" s="513">
        <v>-1.93</v>
      </c>
      <c r="L1409" s="513">
        <v>1405</v>
      </c>
      <c r="M1409" s="513" t="s">
        <v>6059</v>
      </c>
      <c r="N1409" s="513" t="s">
        <v>780</v>
      </c>
      <c r="O1409" s="513" t="s">
        <v>1407</v>
      </c>
      <c r="P1409" s="518" t="s">
        <v>6114</v>
      </c>
      <c r="Q1409" s="152" t="s">
        <v>5873</v>
      </c>
      <c r="R1409" s="152" t="s">
        <v>6115</v>
      </c>
      <c r="S1409" s="152" t="s">
        <v>1515</v>
      </c>
      <c r="T1409" s="152" t="s">
        <v>6116</v>
      </c>
      <c r="U1409" s="152" t="s">
        <v>786</v>
      </c>
    </row>
    <row r="1410" spans="4:21">
      <c r="D1410" s="152" t="s">
        <v>2821</v>
      </c>
      <c r="G1410" s="474" t="s">
        <v>658</v>
      </c>
      <c r="H1410" s="210" t="s">
        <v>659</v>
      </c>
      <c r="I1410" s="210"/>
      <c r="J1410" s="513">
        <v>-2711.65</v>
      </c>
      <c r="K1410" s="513">
        <v>-1.93</v>
      </c>
      <c r="L1410" s="513">
        <v>1405</v>
      </c>
      <c r="M1410" s="513" t="s">
        <v>6059</v>
      </c>
      <c r="N1410" s="513" t="s">
        <v>780</v>
      </c>
      <c r="O1410" s="513" t="s">
        <v>1407</v>
      </c>
      <c r="P1410" s="518" t="s">
        <v>6114</v>
      </c>
      <c r="Q1410" s="152" t="s">
        <v>5873</v>
      </c>
      <c r="R1410" s="152" t="s">
        <v>6115</v>
      </c>
      <c r="S1410" s="152" t="s">
        <v>1515</v>
      </c>
      <c r="T1410" s="152" t="s">
        <v>6116</v>
      </c>
      <c r="U1410" s="152" t="s">
        <v>786</v>
      </c>
    </row>
    <row r="1411" spans="4:21">
      <c r="D1411" s="152" t="s">
        <v>2821</v>
      </c>
      <c r="G1411" s="474" t="s">
        <v>658</v>
      </c>
      <c r="H1411" s="210" t="s">
        <v>659</v>
      </c>
      <c r="I1411" s="210"/>
      <c r="J1411" s="513">
        <v>-2711.65</v>
      </c>
      <c r="K1411" s="513">
        <v>-1.93</v>
      </c>
      <c r="L1411" s="513">
        <v>1405</v>
      </c>
      <c r="M1411" s="513" t="s">
        <v>6059</v>
      </c>
      <c r="N1411" s="513" t="s">
        <v>780</v>
      </c>
      <c r="O1411" s="513" t="s">
        <v>1407</v>
      </c>
      <c r="P1411" s="518" t="s">
        <v>6114</v>
      </c>
      <c r="Q1411" s="152" t="s">
        <v>5873</v>
      </c>
      <c r="R1411" s="152" t="s">
        <v>6115</v>
      </c>
      <c r="S1411" s="152" t="s">
        <v>1515</v>
      </c>
      <c r="T1411" s="152" t="s">
        <v>6116</v>
      </c>
      <c r="U1411" s="152" t="s">
        <v>786</v>
      </c>
    </row>
    <row r="1412" spans="4:21">
      <c r="D1412" s="152" t="s">
        <v>2821</v>
      </c>
      <c r="G1412" s="474" t="s">
        <v>658</v>
      </c>
      <c r="H1412" s="210" t="s">
        <v>659</v>
      </c>
      <c r="I1412" s="210"/>
      <c r="J1412" s="513">
        <v>-2711.65</v>
      </c>
      <c r="K1412" s="513">
        <v>-1.93</v>
      </c>
      <c r="L1412" s="513">
        <v>1405</v>
      </c>
      <c r="M1412" s="513" t="s">
        <v>6059</v>
      </c>
      <c r="N1412" s="513" t="s">
        <v>780</v>
      </c>
      <c r="O1412" s="513" t="s">
        <v>1407</v>
      </c>
      <c r="P1412" s="518" t="s">
        <v>6114</v>
      </c>
      <c r="Q1412" s="152" t="s">
        <v>5873</v>
      </c>
      <c r="R1412" s="152" t="s">
        <v>6115</v>
      </c>
      <c r="S1412" s="152" t="s">
        <v>1515</v>
      </c>
      <c r="T1412" s="152" t="s">
        <v>6116</v>
      </c>
      <c r="U1412" s="152" t="s">
        <v>786</v>
      </c>
    </row>
    <row r="1413" spans="4:21">
      <c r="D1413" s="152" t="s">
        <v>2821</v>
      </c>
      <c r="G1413" s="474" t="s">
        <v>658</v>
      </c>
      <c r="H1413" s="210" t="s">
        <v>659</v>
      </c>
      <c r="I1413" s="210"/>
      <c r="J1413" s="513">
        <v>-2711.65</v>
      </c>
      <c r="K1413" s="513">
        <v>-1.93</v>
      </c>
      <c r="L1413" s="513">
        <v>1405</v>
      </c>
      <c r="M1413" s="513" t="s">
        <v>6059</v>
      </c>
      <c r="N1413" s="513" t="s">
        <v>780</v>
      </c>
      <c r="O1413" s="513" t="s">
        <v>1407</v>
      </c>
      <c r="P1413" s="518" t="s">
        <v>6114</v>
      </c>
      <c r="Q1413" s="152" t="s">
        <v>5873</v>
      </c>
      <c r="R1413" s="152" t="s">
        <v>6115</v>
      </c>
      <c r="S1413" s="152" t="s">
        <v>1515</v>
      </c>
      <c r="T1413" s="152" t="s">
        <v>6116</v>
      </c>
      <c r="U1413" s="152" t="s">
        <v>786</v>
      </c>
    </row>
    <row r="1414" spans="4:21">
      <c r="D1414" s="152" t="s">
        <v>2821</v>
      </c>
      <c r="G1414" s="474" t="s">
        <v>658</v>
      </c>
      <c r="H1414" s="210" t="s">
        <v>659</v>
      </c>
      <c r="I1414" s="210"/>
      <c r="J1414" s="513">
        <v>-2711.65</v>
      </c>
      <c r="K1414" s="513">
        <v>-1.93</v>
      </c>
      <c r="L1414" s="513">
        <v>1405</v>
      </c>
      <c r="M1414" s="513" t="s">
        <v>6059</v>
      </c>
      <c r="N1414" s="513" t="s">
        <v>780</v>
      </c>
      <c r="O1414" s="513" t="s">
        <v>1407</v>
      </c>
      <c r="P1414" s="518" t="s">
        <v>6114</v>
      </c>
      <c r="Q1414" s="152" t="s">
        <v>5873</v>
      </c>
      <c r="R1414" s="152" t="s">
        <v>6115</v>
      </c>
      <c r="S1414" s="152" t="s">
        <v>1515</v>
      </c>
      <c r="T1414" s="152" t="s">
        <v>6116</v>
      </c>
      <c r="U1414" s="152" t="s">
        <v>786</v>
      </c>
    </row>
    <row r="1415" spans="4:21">
      <c r="D1415" s="152" t="s">
        <v>2821</v>
      </c>
      <c r="G1415" s="474" t="s">
        <v>658</v>
      </c>
      <c r="H1415" s="210" t="s">
        <v>659</v>
      </c>
      <c r="I1415" s="210"/>
      <c r="J1415" s="513">
        <v>-2711.65</v>
      </c>
      <c r="K1415" s="513">
        <v>-1.93</v>
      </c>
      <c r="L1415" s="513">
        <v>1405</v>
      </c>
      <c r="M1415" s="513" t="s">
        <v>6059</v>
      </c>
      <c r="N1415" s="513" t="s">
        <v>780</v>
      </c>
      <c r="O1415" s="513" t="s">
        <v>1407</v>
      </c>
      <c r="P1415" s="518" t="s">
        <v>6114</v>
      </c>
      <c r="Q1415" s="152" t="s">
        <v>5873</v>
      </c>
      <c r="R1415" s="152" t="s">
        <v>6115</v>
      </c>
      <c r="S1415" s="152" t="s">
        <v>1515</v>
      </c>
      <c r="T1415" s="152" t="s">
        <v>6116</v>
      </c>
      <c r="U1415" s="152" t="s">
        <v>786</v>
      </c>
    </row>
    <row r="1416" spans="4:21">
      <c r="D1416" s="152" t="s">
        <v>2821</v>
      </c>
      <c r="G1416" s="474" t="s">
        <v>658</v>
      </c>
      <c r="H1416" s="210" t="s">
        <v>659</v>
      </c>
      <c r="I1416" s="210"/>
      <c r="J1416" s="513">
        <v>-2711.65</v>
      </c>
      <c r="K1416" s="513">
        <v>-1.93</v>
      </c>
      <c r="L1416" s="513">
        <v>1405</v>
      </c>
      <c r="M1416" s="513" t="s">
        <v>6059</v>
      </c>
      <c r="N1416" s="513" t="s">
        <v>780</v>
      </c>
      <c r="O1416" s="513" t="s">
        <v>1407</v>
      </c>
      <c r="P1416" s="518" t="s">
        <v>6114</v>
      </c>
      <c r="Q1416" s="152" t="s">
        <v>5873</v>
      </c>
      <c r="R1416" s="152" t="s">
        <v>6115</v>
      </c>
      <c r="S1416" s="152" t="s">
        <v>1515</v>
      </c>
      <c r="T1416" s="152" t="s">
        <v>6116</v>
      </c>
      <c r="U1416" s="152" t="s">
        <v>786</v>
      </c>
    </row>
    <row r="1417" spans="4:21">
      <c r="D1417" s="152" t="s">
        <v>2821</v>
      </c>
      <c r="G1417" s="474" t="s">
        <v>658</v>
      </c>
      <c r="H1417" s="210" t="s">
        <v>659</v>
      </c>
      <c r="I1417" s="210"/>
      <c r="J1417" s="513">
        <v>-2683.55</v>
      </c>
      <c r="K1417" s="513">
        <v>-1.91</v>
      </c>
      <c r="L1417" s="513">
        <v>1405</v>
      </c>
      <c r="M1417" s="513" t="s">
        <v>6059</v>
      </c>
      <c r="N1417" s="513" t="s">
        <v>780</v>
      </c>
      <c r="O1417" s="513" t="s">
        <v>1407</v>
      </c>
      <c r="P1417" s="518" t="s">
        <v>6114</v>
      </c>
      <c r="Q1417" s="152" t="s">
        <v>5873</v>
      </c>
      <c r="R1417" s="152" t="s">
        <v>6115</v>
      </c>
      <c r="S1417" s="152" t="s">
        <v>1515</v>
      </c>
      <c r="T1417" s="152" t="s">
        <v>6116</v>
      </c>
      <c r="U1417" s="152" t="s">
        <v>786</v>
      </c>
    </row>
    <row r="1418" spans="4:21">
      <c r="D1418" s="152" t="s">
        <v>2821</v>
      </c>
      <c r="G1418" s="474" t="s">
        <v>658</v>
      </c>
      <c r="H1418" s="210" t="s">
        <v>659</v>
      </c>
      <c r="I1418" s="210"/>
      <c r="J1418" s="513">
        <v>-2711.65</v>
      </c>
      <c r="K1418" s="513">
        <v>-1.93</v>
      </c>
      <c r="L1418" s="513">
        <v>1405</v>
      </c>
      <c r="M1418" s="513" t="s">
        <v>6059</v>
      </c>
      <c r="N1418" s="513" t="s">
        <v>780</v>
      </c>
      <c r="O1418" s="513" t="s">
        <v>1407</v>
      </c>
      <c r="P1418" s="518" t="s">
        <v>6114</v>
      </c>
      <c r="Q1418" s="152" t="s">
        <v>5873</v>
      </c>
      <c r="R1418" s="152" t="s">
        <v>6115</v>
      </c>
      <c r="S1418" s="152" t="s">
        <v>1515</v>
      </c>
      <c r="T1418" s="152" t="s">
        <v>6116</v>
      </c>
      <c r="U1418" s="152" t="s">
        <v>786</v>
      </c>
    </row>
    <row r="1419" spans="4:21">
      <c r="D1419" s="152" t="s">
        <v>2821</v>
      </c>
      <c r="G1419" s="474" t="s">
        <v>658</v>
      </c>
      <c r="H1419" s="210" t="s">
        <v>659</v>
      </c>
      <c r="I1419" s="210"/>
      <c r="J1419" s="513">
        <v>-2697.6</v>
      </c>
      <c r="K1419" s="513">
        <v>-1.92</v>
      </c>
      <c r="L1419" s="513">
        <v>1405</v>
      </c>
      <c r="M1419" s="513" t="s">
        <v>6059</v>
      </c>
      <c r="N1419" s="513" t="s">
        <v>780</v>
      </c>
      <c r="O1419" s="513" t="s">
        <v>1407</v>
      </c>
      <c r="P1419" s="518" t="s">
        <v>6114</v>
      </c>
      <c r="Q1419" s="152" t="s">
        <v>5873</v>
      </c>
      <c r="R1419" s="152" t="s">
        <v>6115</v>
      </c>
      <c r="S1419" s="152" t="s">
        <v>1515</v>
      </c>
      <c r="T1419" s="152" t="s">
        <v>6116</v>
      </c>
      <c r="U1419" s="152" t="s">
        <v>786</v>
      </c>
    </row>
    <row r="1420" spans="4:21">
      <c r="D1420" s="152" t="s">
        <v>2821</v>
      </c>
      <c r="G1420" s="474" t="s">
        <v>658</v>
      </c>
      <c r="H1420" s="210" t="s">
        <v>659</v>
      </c>
      <c r="I1420" s="210"/>
      <c r="J1420" s="513">
        <v>-2711.65</v>
      </c>
      <c r="K1420" s="513">
        <v>-1.93</v>
      </c>
      <c r="L1420" s="513">
        <v>1405</v>
      </c>
      <c r="M1420" s="513" t="s">
        <v>6059</v>
      </c>
      <c r="N1420" s="513" t="s">
        <v>780</v>
      </c>
      <c r="O1420" s="513" t="s">
        <v>1407</v>
      </c>
      <c r="P1420" s="518" t="s">
        <v>6114</v>
      </c>
      <c r="Q1420" s="152" t="s">
        <v>5873</v>
      </c>
      <c r="R1420" s="152" t="s">
        <v>6115</v>
      </c>
      <c r="S1420" s="152" t="s">
        <v>1515</v>
      </c>
      <c r="T1420" s="152" t="s">
        <v>6116</v>
      </c>
      <c r="U1420" s="152" t="s">
        <v>786</v>
      </c>
    </row>
    <row r="1421" spans="4:21">
      <c r="D1421" s="152" t="s">
        <v>2821</v>
      </c>
      <c r="G1421" s="474" t="s">
        <v>658</v>
      </c>
      <c r="H1421" s="210" t="s">
        <v>659</v>
      </c>
      <c r="I1421" s="210"/>
      <c r="J1421" s="513">
        <v>-2711.65</v>
      </c>
      <c r="K1421" s="513">
        <v>-1.93</v>
      </c>
      <c r="L1421" s="513">
        <v>1405</v>
      </c>
      <c r="M1421" s="513" t="s">
        <v>6059</v>
      </c>
      <c r="N1421" s="513" t="s">
        <v>780</v>
      </c>
      <c r="O1421" s="513" t="s">
        <v>1407</v>
      </c>
      <c r="P1421" s="518" t="s">
        <v>6114</v>
      </c>
      <c r="Q1421" s="152" t="s">
        <v>5873</v>
      </c>
      <c r="R1421" s="152" t="s">
        <v>6115</v>
      </c>
      <c r="S1421" s="152" t="s">
        <v>1515</v>
      </c>
      <c r="T1421" s="152" t="s">
        <v>6116</v>
      </c>
      <c r="U1421" s="152" t="s">
        <v>786</v>
      </c>
    </row>
    <row r="1422" spans="4:21">
      <c r="D1422" s="152" t="s">
        <v>2821</v>
      </c>
      <c r="G1422" s="474" t="s">
        <v>658</v>
      </c>
      <c r="H1422" s="210" t="s">
        <v>659</v>
      </c>
      <c r="I1422" s="210"/>
      <c r="J1422" s="513">
        <v>-2711.65</v>
      </c>
      <c r="K1422" s="513">
        <v>-1.93</v>
      </c>
      <c r="L1422" s="513">
        <v>1405</v>
      </c>
      <c r="M1422" s="513" t="s">
        <v>6059</v>
      </c>
      <c r="N1422" s="513" t="s">
        <v>780</v>
      </c>
      <c r="O1422" s="513" t="s">
        <v>1407</v>
      </c>
      <c r="P1422" s="518" t="s">
        <v>6114</v>
      </c>
      <c r="Q1422" s="152" t="s">
        <v>5873</v>
      </c>
      <c r="R1422" s="152" t="s">
        <v>6115</v>
      </c>
      <c r="S1422" s="152" t="s">
        <v>1515</v>
      </c>
      <c r="T1422" s="152" t="s">
        <v>6116</v>
      </c>
      <c r="U1422" s="152" t="s">
        <v>786</v>
      </c>
    </row>
    <row r="1423" spans="4:21">
      <c r="D1423" s="152" t="s">
        <v>2821</v>
      </c>
      <c r="G1423" s="474" t="s">
        <v>658</v>
      </c>
      <c r="H1423" s="210" t="s">
        <v>659</v>
      </c>
      <c r="I1423" s="210"/>
      <c r="J1423" s="513">
        <v>-2711.65</v>
      </c>
      <c r="K1423" s="513">
        <v>-1.93</v>
      </c>
      <c r="L1423" s="513">
        <v>1405</v>
      </c>
      <c r="M1423" s="513" t="s">
        <v>6059</v>
      </c>
      <c r="N1423" s="513" t="s">
        <v>780</v>
      </c>
      <c r="O1423" s="513" t="s">
        <v>1407</v>
      </c>
      <c r="P1423" s="518" t="s">
        <v>6114</v>
      </c>
      <c r="Q1423" s="152" t="s">
        <v>5873</v>
      </c>
      <c r="R1423" s="152" t="s">
        <v>6115</v>
      </c>
      <c r="S1423" s="152" t="s">
        <v>1515</v>
      </c>
      <c r="T1423" s="152" t="s">
        <v>6116</v>
      </c>
      <c r="U1423" s="152" t="s">
        <v>786</v>
      </c>
    </row>
    <row r="1424" spans="4:21">
      <c r="D1424" s="152" t="s">
        <v>2821</v>
      </c>
      <c r="G1424" s="474" t="s">
        <v>658</v>
      </c>
      <c r="H1424" s="210" t="s">
        <v>659</v>
      </c>
      <c r="I1424" s="210"/>
      <c r="J1424" s="513">
        <v>-2711.65</v>
      </c>
      <c r="K1424" s="513">
        <v>-1.93</v>
      </c>
      <c r="L1424" s="513">
        <v>1405</v>
      </c>
      <c r="M1424" s="513" t="s">
        <v>6059</v>
      </c>
      <c r="N1424" s="513" t="s">
        <v>780</v>
      </c>
      <c r="O1424" s="513" t="s">
        <v>1407</v>
      </c>
      <c r="P1424" s="518" t="s">
        <v>6114</v>
      </c>
      <c r="Q1424" s="152" t="s">
        <v>5873</v>
      </c>
      <c r="R1424" s="152" t="s">
        <v>6115</v>
      </c>
      <c r="S1424" s="152" t="s">
        <v>1515</v>
      </c>
      <c r="T1424" s="152" t="s">
        <v>6116</v>
      </c>
      <c r="U1424" s="152" t="s">
        <v>786</v>
      </c>
    </row>
    <row r="1425" spans="4:21">
      <c r="D1425" s="152" t="s">
        <v>2821</v>
      </c>
      <c r="G1425" s="474" t="s">
        <v>658</v>
      </c>
      <c r="H1425" s="210" t="s">
        <v>659</v>
      </c>
      <c r="I1425" s="210"/>
      <c r="J1425" s="513">
        <v>-2683.55</v>
      </c>
      <c r="K1425" s="513">
        <v>-1.91</v>
      </c>
      <c r="L1425" s="513">
        <v>1405</v>
      </c>
      <c r="M1425" s="513" t="s">
        <v>6059</v>
      </c>
      <c r="N1425" s="513" t="s">
        <v>780</v>
      </c>
      <c r="O1425" s="513" t="s">
        <v>1407</v>
      </c>
      <c r="P1425" s="518" t="s">
        <v>6114</v>
      </c>
      <c r="Q1425" s="152" t="s">
        <v>5873</v>
      </c>
      <c r="R1425" s="152" t="s">
        <v>6115</v>
      </c>
      <c r="S1425" s="152" t="s">
        <v>1515</v>
      </c>
      <c r="T1425" s="152" t="s">
        <v>6116</v>
      </c>
      <c r="U1425" s="152" t="s">
        <v>786</v>
      </c>
    </row>
    <row r="1426" spans="4:21">
      <c r="D1426" s="152" t="s">
        <v>2821</v>
      </c>
      <c r="G1426" s="474" t="s">
        <v>658</v>
      </c>
      <c r="H1426" s="210" t="s">
        <v>659</v>
      </c>
      <c r="I1426" s="210"/>
      <c r="J1426" s="513">
        <v>-2683.55</v>
      </c>
      <c r="K1426" s="513">
        <v>-1.91</v>
      </c>
      <c r="L1426" s="513">
        <v>1405</v>
      </c>
      <c r="M1426" s="513" t="s">
        <v>6059</v>
      </c>
      <c r="N1426" s="513" t="s">
        <v>780</v>
      </c>
      <c r="O1426" s="513" t="s">
        <v>1407</v>
      </c>
      <c r="P1426" s="518" t="s">
        <v>6114</v>
      </c>
      <c r="Q1426" s="152" t="s">
        <v>5873</v>
      </c>
      <c r="R1426" s="152" t="s">
        <v>6115</v>
      </c>
      <c r="S1426" s="152" t="s">
        <v>1515</v>
      </c>
      <c r="T1426" s="152" t="s">
        <v>6116</v>
      </c>
      <c r="U1426" s="152" t="s">
        <v>786</v>
      </c>
    </row>
    <row r="1427" spans="4:21">
      <c r="D1427" s="152" t="s">
        <v>2821</v>
      </c>
      <c r="G1427" s="474" t="s">
        <v>658</v>
      </c>
      <c r="H1427" s="210" t="s">
        <v>659</v>
      </c>
      <c r="I1427" s="210"/>
      <c r="J1427" s="513">
        <v>-2711.65</v>
      </c>
      <c r="K1427" s="513">
        <v>-1.93</v>
      </c>
      <c r="L1427" s="513">
        <v>1405</v>
      </c>
      <c r="M1427" s="513" t="s">
        <v>6059</v>
      </c>
      <c r="N1427" s="513" t="s">
        <v>780</v>
      </c>
      <c r="O1427" s="513" t="s">
        <v>1407</v>
      </c>
      <c r="P1427" s="518" t="s">
        <v>6114</v>
      </c>
      <c r="Q1427" s="152" t="s">
        <v>5873</v>
      </c>
      <c r="R1427" s="152" t="s">
        <v>6115</v>
      </c>
      <c r="S1427" s="152" t="s">
        <v>6162</v>
      </c>
      <c r="T1427" s="152" t="s">
        <v>6116</v>
      </c>
      <c r="U1427" s="152" t="s">
        <v>786</v>
      </c>
    </row>
    <row r="1428" spans="4:21">
      <c r="D1428" s="152" t="s">
        <v>2821</v>
      </c>
      <c r="G1428" s="474" t="s">
        <v>658</v>
      </c>
      <c r="H1428" s="210" t="s">
        <v>659</v>
      </c>
      <c r="I1428" s="210"/>
      <c r="J1428" s="513">
        <v>-6322500</v>
      </c>
      <c r="K1428" s="513">
        <v>-4500</v>
      </c>
      <c r="L1428" s="513">
        <v>1405</v>
      </c>
      <c r="M1428" s="513" t="s">
        <v>6059</v>
      </c>
      <c r="N1428" s="513" t="s">
        <v>780</v>
      </c>
      <c r="O1428" s="513" t="s">
        <v>1407</v>
      </c>
      <c r="P1428" s="518" t="s">
        <v>6114</v>
      </c>
      <c r="Q1428" s="152" t="s">
        <v>5873</v>
      </c>
      <c r="R1428" s="152" t="s">
        <v>6115</v>
      </c>
      <c r="S1428" s="152" t="s">
        <v>6164</v>
      </c>
      <c r="T1428" s="152" t="s">
        <v>6116</v>
      </c>
      <c r="U1428" s="152" t="s">
        <v>786</v>
      </c>
    </row>
    <row r="1429" spans="4:21">
      <c r="D1429" s="152" t="s">
        <v>2821</v>
      </c>
      <c r="G1429" s="474" t="s">
        <v>658</v>
      </c>
      <c r="H1429" s="210" t="s">
        <v>659</v>
      </c>
      <c r="I1429" s="210"/>
      <c r="J1429" s="513">
        <v>-6673750</v>
      </c>
      <c r="K1429" s="513">
        <v>-4750</v>
      </c>
      <c r="L1429" s="513">
        <v>1405</v>
      </c>
      <c r="M1429" s="513" t="s">
        <v>6059</v>
      </c>
      <c r="N1429" s="513" t="s">
        <v>780</v>
      </c>
      <c r="O1429" s="513" t="s">
        <v>1407</v>
      </c>
      <c r="P1429" s="518" t="s">
        <v>6114</v>
      </c>
      <c r="Q1429" s="152" t="s">
        <v>5873</v>
      </c>
      <c r="R1429" s="152" t="s">
        <v>6115</v>
      </c>
      <c r="S1429" s="152" t="s">
        <v>6165</v>
      </c>
      <c r="T1429" s="152" t="s">
        <v>6116</v>
      </c>
      <c r="U1429" s="152" t="s">
        <v>786</v>
      </c>
    </row>
    <row r="1430" spans="4:21">
      <c r="D1430" s="152" t="s">
        <v>2821</v>
      </c>
      <c r="G1430" s="474" t="s">
        <v>658</v>
      </c>
      <c r="H1430" s="210" t="s">
        <v>659</v>
      </c>
      <c r="I1430" s="210"/>
      <c r="J1430" s="513">
        <v>2107500</v>
      </c>
      <c r="K1430" s="513">
        <v>1500</v>
      </c>
      <c r="L1430" s="513">
        <v>1405</v>
      </c>
      <c r="M1430" s="513" t="s">
        <v>6059</v>
      </c>
      <c r="N1430" s="513" t="s">
        <v>780</v>
      </c>
      <c r="O1430" s="513" t="s">
        <v>1407</v>
      </c>
      <c r="P1430" s="518" t="s">
        <v>6166</v>
      </c>
      <c r="Q1430" s="152" t="s">
        <v>5873</v>
      </c>
      <c r="R1430" s="152" t="s">
        <v>6167</v>
      </c>
      <c r="S1430" s="152" t="s">
        <v>6168</v>
      </c>
      <c r="T1430" s="152" t="s">
        <v>6169</v>
      </c>
      <c r="U1430" s="152" t="s">
        <v>786</v>
      </c>
    </row>
    <row r="1431" spans="4:21">
      <c r="D1431" s="152" t="s">
        <v>2821</v>
      </c>
      <c r="G1431" s="474" t="s">
        <v>658</v>
      </c>
      <c r="H1431" s="210" t="s">
        <v>659</v>
      </c>
      <c r="I1431" s="210"/>
      <c r="J1431" s="513">
        <v>-287744</v>
      </c>
      <c r="K1431" s="513">
        <v>-204.8</v>
      </c>
      <c r="L1431" s="513">
        <v>1405</v>
      </c>
      <c r="M1431" s="513" t="s">
        <v>6059</v>
      </c>
      <c r="N1431" s="513" t="s">
        <v>780</v>
      </c>
      <c r="O1431" s="513" t="s">
        <v>1407</v>
      </c>
      <c r="P1431" s="518" t="s">
        <v>6114</v>
      </c>
      <c r="Q1431" s="152" t="s">
        <v>5873</v>
      </c>
      <c r="R1431" s="152" t="s">
        <v>6115</v>
      </c>
      <c r="S1431" s="152" t="s">
        <v>6171</v>
      </c>
      <c r="T1431" s="152" t="s">
        <v>6116</v>
      </c>
      <c r="U1431" s="152" t="s">
        <v>786</v>
      </c>
    </row>
    <row r="1432" spans="4:21">
      <c r="D1432" s="152" t="s">
        <v>2821</v>
      </c>
      <c r="G1432" s="474" t="s">
        <v>658</v>
      </c>
      <c r="H1432" s="210" t="s">
        <v>659</v>
      </c>
      <c r="I1432" s="210"/>
      <c r="J1432" s="513">
        <v>-63449.8</v>
      </c>
      <c r="K1432" s="513">
        <v>-45.16</v>
      </c>
      <c r="L1432" s="513">
        <v>1405</v>
      </c>
      <c r="M1432" s="513" t="s">
        <v>6059</v>
      </c>
      <c r="N1432" s="513" t="s">
        <v>780</v>
      </c>
      <c r="O1432" s="513" t="s">
        <v>1407</v>
      </c>
      <c r="P1432" s="518" t="s">
        <v>6114</v>
      </c>
      <c r="Q1432" s="152" t="s">
        <v>5873</v>
      </c>
      <c r="R1432" s="152" t="s">
        <v>6115</v>
      </c>
      <c r="S1432" s="152" t="s">
        <v>6172</v>
      </c>
      <c r="T1432" s="152" t="s">
        <v>6116</v>
      </c>
      <c r="U1432" s="152" t="s">
        <v>786</v>
      </c>
    </row>
    <row r="1433" spans="4:21">
      <c r="D1433" s="152" t="s">
        <v>2821</v>
      </c>
      <c r="G1433" s="474" t="s">
        <v>658</v>
      </c>
      <c r="H1433" s="210" t="s">
        <v>659</v>
      </c>
      <c r="I1433" s="210"/>
      <c r="J1433" s="513">
        <v>-32933.199999999997</v>
      </c>
      <c r="K1433" s="513">
        <v>-23.44</v>
      </c>
      <c r="L1433" s="513">
        <v>1405</v>
      </c>
      <c r="M1433" s="513" t="s">
        <v>6059</v>
      </c>
      <c r="N1433" s="513" t="s">
        <v>780</v>
      </c>
      <c r="O1433" s="513" t="s">
        <v>1407</v>
      </c>
      <c r="P1433" s="518" t="s">
        <v>6114</v>
      </c>
      <c r="Q1433" s="152" t="s">
        <v>5873</v>
      </c>
      <c r="R1433" s="152" t="s">
        <v>6115</v>
      </c>
      <c r="S1433" s="152" t="s">
        <v>6174</v>
      </c>
      <c r="T1433" s="152" t="s">
        <v>6116</v>
      </c>
      <c r="U1433" s="152" t="s">
        <v>786</v>
      </c>
    </row>
    <row r="1434" spans="4:21">
      <c r="D1434" s="152" t="s">
        <v>2821</v>
      </c>
      <c r="G1434" s="474" t="s">
        <v>658</v>
      </c>
      <c r="H1434" s="210" t="s">
        <v>659</v>
      </c>
      <c r="I1434" s="210"/>
      <c r="J1434" s="513">
        <v>-449389.25</v>
      </c>
      <c r="K1434" s="513">
        <v>-319.85000000000002</v>
      </c>
      <c r="L1434" s="513">
        <v>1405</v>
      </c>
      <c r="M1434" s="513" t="s">
        <v>6059</v>
      </c>
      <c r="N1434" s="513" t="s">
        <v>780</v>
      </c>
      <c r="O1434" s="513" t="s">
        <v>1407</v>
      </c>
      <c r="P1434" s="518" t="s">
        <v>6114</v>
      </c>
      <c r="Q1434" s="152" t="s">
        <v>5873</v>
      </c>
      <c r="R1434" s="152" t="s">
        <v>6115</v>
      </c>
      <c r="S1434" s="152" t="s">
        <v>6175</v>
      </c>
      <c r="T1434" s="152" t="s">
        <v>6116</v>
      </c>
      <c r="U1434" s="152" t="s">
        <v>786</v>
      </c>
    </row>
    <row r="1435" spans="4:21">
      <c r="D1435" s="152" t="s">
        <v>2821</v>
      </c>
      <c r="G1435" s="474" t="s">
        <v>658</v>
      </c>
      <c r="H1435" s="210" t="s">
        <v>659</v>
      </c>
      <c r="I1435" s="210"/>
      <c r="J1435" s="513">
        <v>-820871.25</v>
      </c>
      <c r="K1435" s="513">
        <v>-584.25</v>
      </c>
      <c r="L1435" s="513">
        <v>1405</v>
      </c>
      <c r="M1435" s="513" t="s">
        <v>6059</v>
      </c>
      <c r="N1435" s="513" t="s">
        <v>780</v>
      </c>
      <c r="O1435" s="513" t="s">
        <v>1407</v>
      </c>
      <c r="P1435" s="518" t="s">
        <v>6114</v>
      </c>
      <c r="Q1435" s="152" t="s">
        <v>5873</v>
      </c>
      <c r="R1435" s="152" t="s">
        <v>6115</v>
      </c>
      <c r="S1435" s="152" t="s">
        <v>6179</v>
      </c>
      <c r="T1435" s="152" t="s">
        <v>6116</v>
      </c>
      <c r="U1435" s="152" t="s">
        <v>786</v>
      </c>
    </row>
    <row r="1436" spans="4:21">
      <c r="D1436" s="152" t="s">
        <v>2821</v>
      </c>
      <c r="G1436" s="474" t="s">
        <v>658</v>
      </c>
      <c r="H1436" s="210" t="s">
        <v>659</v>
      </c>
      <c r="I1436" s="210"/>
      <c r="J1436" s="513">
        <v>-579562.5</v>
      </c>
      <c r="K1436" s="513">
        <v>-412.5</v>
      </c>
      <c r="L1436" s="513">
        <v>1405</v>
      </c>
      <c r="M1436" s="513" t="s">
        <v>6059</v>
      </c>
      <c r="N1436" s="513" t="s">
        <v>780</v>
      </c>
      <c r="O1436" s="513" t="s">
        <v>1407</v>
      </c>
      <c r="P1436" s="518" t="s">
        <v>6114</v>
      </c>
      <c r="Q1436" s="152" t="s">
        <v>5873</v>
      </c>
      <c r="R1436" s="152" t="s">
        <v>6115</v>
      </c>
      <c r="S1436" s="152" t="s">
        <v>6180</v>
      </c>
      <c r="T1436" s="152" t="s">
        <v>6116</v>
      </c>
      <c r="U1436" s="152" t="s">
        <v>786</v>
      </c>
    </row>
    <row r="1437" spans="4:21">
      <c r="D1437" s="152" t="s">
        <v>2821</v>
      </c>
      <c r="G1437" s="474" t="s">
        <v>658</v>
      </c>
      <c r="H1437" s="210" t="s">
        <v>659</v>
      </c>
      <c r="I1437" s="210"/>
      <c r="J1437" s="513">
        <v>-388131.25</v>
      </c>
      <c r="K1437" s="513">
        <v>-276.25</v>
      </c>
      <c r="L1437" s="513">
        <v>1405</v>
      </c>
      <c r="M1437" s="513" t="s">
        <v>6059</v>
      </c>
      <c r="N1437" s="513" t="s">
        <v>780</v>
      </c>
      <c r="O1437" s="513" t="s">
        <v>1407</v>
      </c>
      <c r="P1437" s="518" t="s">
        <v>6114</v>
      </c>
      <c r="Q1437" s="152" t="s">
        <v>5873</v>
      </c>
      <c r="R1437" s="152" t="s">
        <v>6115</v>
      </c>
      <c r="S1437" s="152" t="s">
        <v>6181</v>
      </c>
      <c r="T1437" s="152" t="s">
        <v>6116</v>
      </c>
      <c r="U1437" s="152" t="s">
        <v>786</v>
      </c>
    </row>
    <row r="1438" spans="4:21">
      <c r="D1438" s="152" t="s">
        <v>2821</v>
      </c>
      <c r="G1438" s="474" t="s">
        <v>658</v>
      </c>
      <c r="H1438" s="210" t="s">
        <v>659</v>
      </c>
      <c r="I1438" s="210"/>
      <c r="J1438" s="513">
        <v>-913250</v>
      </c>
      <c r="K1438" s="513">
        <v>-650</v>
      </c>
      <c r="L1438" s="513">
        <v>1405</v>
      </c>
      <c r="M1438" s="513" t="s">
        <v>6059</v>
      </c>
      <c r="N1438" s="513" t="s">
        <v>780</v>
      </c>
      <c r="O1438" s="513" t="s">
        <v>1407</v>
      </c>
      <c r="P1438" s="518" t="s">
        <v>6114</v>
      </c>
      <c r="Q1438" s="152" t="s">
        <v>5873</v>
      </c>
      <c r="R1438" s="152" t="s">
        <v>6115</v>
      </c>
      <c r="S1438" s="152" t="s">
        <v>6182</v>
      </c>
      <c r="T1438" s="152" t="s">
        <v>6116</v>
      </c>
      <c r="U1438" s="152" t="s">
        <v>786</v>
      </c>
    </row>
    <row r="1439" spans="4:21">
      <c r="D1439" s="152" t="s">
        <v>2821</v>
      </c>
      <c r="G1439" s="474" t="s">
        <v>658</v>
      </c>
      <c r="H1439" s="210" t="s">
        <v>659</v>
      </c>
      <c r="I1439" s="210"/>
      <c r="J1439" s="513">
        <v>-388131.25</v>
      </c>
      <c r="K1439" s="513">
        <v>-276.25</v>
      </c>
      <c r="L1439" s="513">
        <v>1405</v>
      </c>
      <c r="M1439" s="513" t="s">
        <v>6059</v>
      </c>
      <c r="N1439" s="513" t="s">
        <v>780</v>
      </c>
      <c r="O1439" s="513" t="s">
        <v>1407</v>
      </c>
      <c r="P1439" s="518" t="s">
        <v>6114</v>
      </c>
      <c r="Q1439" s="152" t="s">
        <v>5873</v>
      </c>
      <c r="R1439" s="152" t="s">
        <v>6115</v>
      </c>
      <c r="S1439" s="152" t="s">
        <v>6183</v>
      </c>
      <c r="T1439" s="152" t="s">
        <v>6116</v>
      </c>
      <c r="U1439" s="152" t="s">
        <v>786</v>
      </c>
    </row>
    <row r="1440" spans="4:21">
      <c r="D1440" s="152" t="s">
        <v>2821</v>
      </c>
      <c r="G1440" s="474" t="s">
        <v>658</v>
      </c>
      <c r="H1440" s="210" t="s">
        <v>659</v>
      </c>
      <c r="I1440" s="210"/>
      <c r="J1440" s="513">
        <v>-31977.8</v>
      </c>
      <c r="K1440" s="513">
        <v>-22.76</v>
      </c>
      <c r="L1440" s="513">
        <v>1405</v>
      </c>
      <c r="M1440" s="513" t="s">
        <v>6059</v>
      </c>
      <c r="N1440" s="513" t="s">
        <v>780</v>
      </c>
      <c r="O1440" s="513" t="s">
        <v>1407</v>
      </c>
      <c r="P1440" s="518" t="s">
        <v>6114</v>
      </c>
      <c r="Q1440" s="152" t="s">
        <v>5873</v>
      </c>
      <c r="R1440" s="152" t="s">
        <v>6115</v>
      </c>
      <c r="S1440" s="152" t="s">
        <v>6185</v>
      </c>
      <c r="T1440" s="152" t="s">
        <v>6116</v>
      </c>
      <c r="U1440" s="152" t="s">
        <v>786</v>
      </c>
    </row>
    <row r="1441" spans="4:21">
      <c r="D1441" s="152" t="s">
        <v>2821</v>
      </c>
      <c r="G1441" s="474" t="s">
        <v>658</v>
      </c>
      <c r="H1441" s="210" t="s">
        <v>659</v>
      </c>
      <c r="I1441" s="210"/>
      <c r="J1441" s="513">
        <v>-14387.2</v>
      </c>
      <c r="K1441" s="513">
        <v>-10.24</v>
      </c>
      <c r="L1441" s="513">
        <v>1405</v>
      </c>
      <c r="M1441" s="513" t="s">
        <v>6059</v>
      </c>
      <c r="N1441" s="513" t="s">
        <v>780</v>
      </c>
      <c r="O1441" s="513" t="s">
        <v>1407</v>
      </c>
      <c r="P1441" s="518" t="s">
        <v>6114</v>
      </c>
      <c r="Q1441" s="152" t="s">
        <v>5873</v>
      </c>
      <c r="R1441" s="152" t="s">
        <v>6115</v>
      </c>
      <c r="S1441" s="152" t="s">
        <v>6187</v>
      </c>
      <c r="T1441" s="152" t="s">
        <v>6116</v>
      </c>
      <c r="U1441" s="152" t="s">
        <v>786</v>
      </c>
    </row>
    <row r="1442" spans="4:21">
      <c r="D1442" s="152" t="s">
        <v>2821</v>
      </c>
      <c r="G1442" s="474" t="s">
        <v>658</v>
      </c>
      <c r="H1442" s="210" t="s">
        <v>659</v>
      </c>
      <c r="I1442" s="210"/>
      <c r="J1442" s="513">
        <v>-1033728.75</v>
      </c>
      <c r="K1442" s="513">
        <v>-735.75</v>
      </c>
      <c r="L1442" s="513">
        <v>1405</v>
      </c>
      <c r="M1442" s="513" t="s">
        <v>6059</v>
      </c>
      <c r="N1442" s="513" t="s">
        <v>780</v>
      </c>
      <c r="O1442" s="513" t="s">
        <v>1407</v>
      </c>
      <c r="P1442" s="518" t="s">
        <v>6114</v>
      </c>
      <c r="Q1442" s="152" t="s">
        <v>5873</v>
      </c>
      <c r="R1442" s="152" t="s">
        <v>6115</v>
      </c>
      <c r="S1442" s="152" t="s">
        <v>6190</v>
      </c>
      <c r="T1442" s="152" t="s">
        <v>6116</v>
      </c>
      <c r="U1442" s="152" t="s">
        <v>786</v>
      </c>
    </row>
    <row r="1443" spans="4:21">
      <c r="D1443" s="152" t="s">
        <v>2821</v>
      </c>
      <c r="G1443" s="474" t="s">
        <v>658</v>
      </c>
      <c r="H1443" s="210" t="s">
        <v>659</v>
      </c>
      <c r="I1443" s="210"/>
      <c r="J1443" s="513">
        <v>-35125</v>
      </c>
      <c r="K1443" s="513">
        <v>-25</v>
      </c>
      <c r="L1443" s="513">
        <v>1405</v>
      </c>
      <c r="M1443" s="513" t="s">
        <v>6059</v>
      </c>
      <c r="N1443" s="513" t="s">
        <v>780</v>
      </c>
      <c r="O1443" s="513" t="s">
        <v>1407</v>
      </c>
      <c r="P1443" s="518" t="s">
        <v>6114</v>
      </c>
      <c r="Q1443" s="152" t="s">
        <v>5873</v>
      </c>
      <c r="R1443" s="152" t="s">
        <v>6115</v>
      </c>
      <c r="S1443" s="152" t="s">
        <v>6191</v>
      </c>
      <c r="T1443" s="152" t="s">
        <v>6116</v>
      </c>
      <c r="U1443" s="152" t="s">
        <v>786</v>
      </c>
    </row>
    <row r="1444" spans="4:21">
      <c r="D1444" s="152" t="s">
        <v>2821</v>
      </c>
      <c r="G1444" s="474" t="s">
        <v>658</v>
      </c>
      <c r="H1444" s="210" t="s">
        <v>659</v>
      </c>
      <c r="I1444" s="210"/>
      <c r="J1444" s="513">
        <v>-370568.75</v>
      </c>
      <c r="K1444" s="513">
        <v>-263.75</v>
      </c>
      <c r="L1444" s="513">
        <v>1405</v>
      </c>
      <c r="M1444" s="513" t="s">
        <v>6059</v>
      </c>
      <c r="N1444" s="513" t="s">
        <v>780</v>
      </c>
      <c r="O1444" s="513" t="s">
        <v>1407</v>
      </c>
      <c r="P1444" s="518" t="s">
        <v>6114</v>
      </c>
      <c r="Q1444" s="152" t="s">
        <v>5873</v>
      </c>
      <c r="R1444" s="152" t="s">
        <v>6115</v>
      </c>
      <c r="S1444" s="152" t="s">
        <v>6192</v>
      </c>
      <c r="T1444" s="152" t="s">
        <v>6116</v>
      </c>
      <c r="U1444" s="152" t="s">
        <v>786</v>
      </c>
    </row>
    <row r="1445" spans="4:21">
      <c r="D1445" s="152" t="s">
        <v>2821</v>
      </c>
      <c r="G1445" s="474" t="s">
        <v>658</v>
      </c>
      <c r="H1445" s="210" t="s">
        <v>659</v>
      </c>
      <c r="I1445" s="210"/>
      <c r="J1445" s="513">
        <v>-379434.3</v>
      </c>
      <c r="K1445" s="513">
        <v>-270.06</v>
      </c>
      <c r="L1445" s="513">
        <v>1405</v>
      </c>
      <c r="M1445" s="513" t="s">
        <v>6059</v>
      </c>
      <c r="N1445" s="513" t="s">
        <v>780</v>
      </c>
      <c r="O1445" s="513" t="s">
        <v>1407</v>
      </c>
      <c r="P1445" s="518" t="s">
        <v>6114</v>
      </c>
      <c r="Q1445" s="152" t="s">
        <v>5873</v>
      </c>
      <c r="R1445" s="152" t="s">
        <v>6115</v>
      </c>
      <c r="S1445" s="152" t="s">
        <v>6193</v>
      </c>
      <c r="T1445" s="152" t="s">
        <v>6116</v>
      </c>
      <c r="U1445" s="152" t="s">
        <v>786</v>
      </c>
    </row>
    <row r="1446" spans="4:21">
      <c r="D1446" s="152" t="s">
        <v>2821</v>
      </c>
      <c r="G1446" s="474" t="s">
        <v>658</v>
      </c>
      <c r="H1446" s="210" t="s">
        <v>659</v>
      </c>
      <c r="I1446" s="210"/>
      <c r="J1446" s="513">
        <v>-6917236.5</v>
      </c>
      <c r="K1446" s="513">
        <v>-4923.3</v>
      </c>
      <c r="L1446" s="513">
        <v>1405</v>
      </c>
      <c r="M1446" s="513" t="s">
        <v>6059</v>
      </c>
      <c r="N1446" s="513" t="s">
        <v>780</v>
      </c>
      <c r="O1446" s="513" t="s">
        <v>1407</v>
      </c>
      <c r="P1446" s="518" t="s">
        <v>6114</v>
      </c>
      <c r="Q1446" s="152" t="s">
        <v>5873</v>
      </c>
      <c r="R1446" s="152" t="s">
        <v>6115</v>
      </c>
      <c r="S1446" s="152" t="s">
        <v>6194</v>
      </c>
      <c r="T1446" s="152" t="s">
        <v>6116</v>
      </c>
      <c r="U1446" s="152" t="s">
        <v>786</v>
      </c>
    </row>
    <row r="1447" spans="4:21">
      <c r="D1447" s="152" t="s">
        <v>2821</v>
      </c>
      <c r="G1447" s="474" t="s">
        <v>658</v>
      </c>
      <c r="H1447" s="210" t="s">
        <v>659</v>
      </c>
      <c r="I1447" s="210"/>
      <c r="J1447" s="513">
        <v>-3798754.7</v>
      </c>
      <c r="K1447" s="513">
        <v>-2703.74</v>
      </c>
      <c r="L1447" s="513">
        <v>1405</v>
      </c>
      <c r="M1447" s="513" t="s">
        <v>6059</v>
      </c>
      <c r="N1447" s="513" t="s">
        <v>780</v>
      </c>
      <c r="O1447" s="513" t="s">
        <v>1407</v>
      </c>
      <c r="P1447" s="518" t="s">
        <v>6114</v>
      </c>
      <c r="Q1447" s="152" t="s">
        <v>5873</v>
      </c>
      <c r="R1447" s="152" t="s">
        <v>6115</v>
      </c>
      <c r="S1447" s="152" t="s">
        <v>6196</v>
      </c>
      <c r="T1447" s="152" t="s">
        <v>6116</v>
      </c>
      <c r="U1447" s="152" t="s">
        <v>786</v>
      </c>
    </row>
    <row r="1448" spans="4:21">
      <c r="D1448" s="152" t="s">
        <v>2821</v>
      </c>
      <c r="G1448" s="474" t="s">
        <v>658</v>
      </c>
      <c r="H1448" s="210" t="s">
        <v>659</v>
      </c>
      <c r="I1448" s="210"/>
      <c r="J1448" s="513">
        <v>-2766093.75</v>
      </c>
      <c r="K1448" s="513">
        <v>-1968.75</v>
      </c>
      <c r="L1448" s="513">
        <v>1405</v>
      </c>
      <c r="M1448" s="513" t="s">
        <v>6059</v>
      </c>
      <c r="N1448" s="513" t="s">
        <v>780</v>
      </c>
      <c r="O1448" s="513" t="s">
        <v>1407</v>
      </c>
      <c r="P1448" s="518" t="s">
        <v>6114</v>
      </c>
      <c r="Q1448" s="152" t="s">
        <v>5873</v>
      </c>
      <c r="R1448" s="152" t="s">
        <v>6115</v>
      </c>
      <c r="S1448" s="152" t="s">
        <v>6198</v>
      </c>
      <c r="T1448" s="152" t="s">
        <v>6116</v>
      </c>
      <c r="U1448" s="152" t="s">
        <v>786</v>
      </c>
    </row>
    <row r="1449" spans="4:21">
      <c r="D1449" s="152" t="s">
        <v>2821</v>
      </c>
      <c r="G1449" s="474" t="s">
        <v>658</v>
      </c>
      <c r="H1449" s="210" t="s">
        <v>659</v>
      </c>
      <c r="I1449" s="210"/>
      <c r="J1449" s="513">
        <v>-3653000</v>
      </c>
      <c r="K1449" s="513">
        <v>-2600</v>
      </c>
      <c r="L1449" s="513">
        <v>1405</v>
      </c>
      <c r="M1449" s="513" t="s">
        <v>6059</v>
      </c>
      <c r="N1449" s="513" t="s">
        <v>780</v>
      </c>
      <c r="O1449" s="513" t="s">
        <v>1407</v>
      </c>
      <c r="P1449" s="518" t="s">
        <v>6114</v>
      </c>
      <c r="Q1449" s="152" t="s">
        <v>5873</v>
      </c>
      <c r="R1449" s="152" t="s">
        <v>6115</v>
      </c>
      <c r="S1449" s="152" t="s">
        <v>6199</v>
      </c>
      <c r="T1449" s="152" t="s">
        <v>6116</v>
      </c>
      <c r="U1449" s="152" t="s">
        <v>786</v>
      </c>
    </row>
    <row r="1450" spans="4:21">
      <c r="D1450" s="152" t="s">
        <v>2821</v>
      </c>
      <c r="G1450" s="474" t="s">
        <v>658</v>
      </c>
      <c r="H1450" s="210" t="s">
        <v>659</v>
      </c>
      <c r="I1450" s="210"/>
      <c r="J1450" s="513">
        <v>-1334750</v>
      </c>
      <c r="K1450" s="513">
        <v>-950</v>
      </c>
      <c r="L1450" s="513">
        <v>1405</v>
      </c>
      <c r="M1450" s="513" t="s">
        <v>6059</v>
      </c>
      <c r="N1450" s="513" t="s">
        <v>780</v>
      </c>
      <c r="O1450" s="513" t="s">
        <v>1407</v>
      </c>
      <c r="P1450" s="518" t="s">
        <v>6114</v>
      </c>
      <c r="Q1450" s="152" t="s">
        <v>5873</v>
      </c>
      <c r="R1450" s="152" t="s">
        <v>6115</v>
      </c>
      <c r="S1450" s="152" t="s">
        <v>6200</v>
      </c>
      <c r="T1450" s="152" t="s">
        <v>6116</v>
      </c>
      <c r="U1450" s="152" t="s">
        <v>786</v>
      </c>
    </row>
    <row r="1451" spans="4:21">
      <c r="D1451" s="152" t="s">
        <v>2821</v>
      </c>
      <c r="G1451" s="474" t="s">
        <v>658</v>
      </c>
      <c r="H1451" s="210" t="s">
        <v>659</v>
      </c>
      <c r="I1451" s="210"/>
      <c r="J1451" s="513">
        <v>-2177750</v>
      </c>
      <c r="K1451" s="513">
        <v>-1550</v>
      </c>
      <c r="L1451" s="513">
        <v>1405</v>
      </c>
      <c r="M1451" s="513" t="s">
        <v>6059</v>
      </c>
      <c r="N1451" s="513" t="s">
        <v>780</v>
      </c>
      <c r="O1451" s="513" t="s">
        <v>1407</v>
      </c>
      <c r="P1451" s="518" t="s">
        <v>6114</v>
      </c>
      <c r="Q1451" s="152" t="s">
        <v>5873</v>
      </c>
      <c r="R1451" s="152" t="s">
        <v>6115</v>
      </c>
      <c r="S1451" s="152" t="s">
        <v>6201</v>
      </c>
      <c r="T1451" s="152" t="s">
        <v>6116</v>
      </c>
      <c r="U1451" s="152" t="s">
        <v>786</v>
      </c>
    </row>
    <row r="1452" spans="4:21">
      <c r="D1452" s="152" t="s">
        <v>2821</v>
      </c>
      <c r="G1452" s="474" t="s">
        <v>658</v>
      </c>
      <c r="H1452" s="210" t="s">
        <v>659</v>
      </c>
      <c r="I1452" s="210"/>
      <c r="J1452" s="513">
        <v>-2107500</v>
      </c>
      <c r="K1452" s="513">
        <v>-1500</v>
      </c>
      <c r="L1452" s="513">
        <v>1405</v>
      </c>
      <c r="M1452" s="513" t="s">
        <v>6059</v>
      </c>
      <c r="N1452" s="513" t="s">
        <v>780</v>
      </c>
      <c r="O1452" s="513" t="s">
        <v>1407</v>
      </c>
      <c r="P1452" s="518" t="s">
        <v>6114</v>
      </c>
      <c r="Q1452" s="152" t="s">
        <v>5873</v>
      </c>
      <c r="R1452" s="152" t="s">
        <v>6115</v>
      </c>
      <c r="S1452" s="152" t="s">
        <v>6202</v>
      </c>
      <c r="T1452" s="152" t="s">
        <v>6116</v>
      </c>
      <c r="U1452" s="152" t="s">
        <v>786</v>
      </c>
    </row>
    <row r="1453" spans="4:21">
      <c r="D1453" s="152" t="s">
        <v>2821</v>
      </c>
      <c r="G1453" s="474" t="s">
        <v>658</v>
      </c>
      <c r="H1453" s="210" t="s">
        <v>659</v>
      </c>
      <c r="I1453" s="210"/>
      <c r="J1453" s="513">
        <v>-2504412.5</v>
      </c>
      <c r="K1453" s="513">
        <v>-1782.5</v>
      </c>
      <c r="L1453" s="513">
        <v>1405</v>
      </c>
      <c r="M1453" s="513" t="s">
        <v>6059</v>
      </c>
      <c r="N1453" s="513" t="s">
        <v>780</v>
      </c>
      <c r="O1453" s="513" t="s">
        <v>1407</v>
      </c>
      <c r="P1453" s="518" t="s">
        <v>6114</v>
      </c>
      <c r="Q1453" s="152" t="s">
        <v>5873</v>
      </c>
      <c r="R1453" s="152" t="s">
        <v>6115</v>
      </c>
      <c r="S1453" s="152" t="s">
        <v>6203</v>
      </c>
      <c r="T1453" s="152" t="s">
        <v>6116</v>
      </c>
      <c r="U1453" s="152" t="s">
        <v>786</v>
      </c>
    </row>
    <row r="1454" spans="4:21">
      <c r="D1454" s="152" t="s">
        <v>2821</v>
      </c>
      <c r="G1454" s="474" t="s">
        <v>658</v>
      </c>
      <c r="H1454" s="210" t="s">
        <v>659</v>
      </c>
      <c r="I1454" s="210"/>
      <c r="J1454" s="513">
        <v>-1475250</v>
      </c>
      <c r="K1454" s="513">
        <v>-1050</v>
      </c>
      <c r="L1454" s="513">
        <v>1405</v>
      </c>
      <c r="M1454" s="513" t="s">
        <v>6059</v>
      </c>
      <c r="N1454" s="513" t="s">
        <v>780</v>
      </c>
      <c r="O1454" s="513" t="s">
        <v>1407</v>
      </c>
      <c r="P1454" s="518" t="s">
        <v>6114</v>
      </c>
      <c r="Q1454" s="152" t="s">
        <v>5873</v>
      </c>
      <c r="R1454" s="152" t="s">
        <v>6115</v>
      </c>
      <c r="S1454" s="152" t="s">
        <v>6204</v>
      </c>
      <c r="T1454" s="152" t="s">
        <v>6116</v>
      </c>
      <c r="U1454" s="152" t="s">
        <v>786</v>
      </c>
    </row>
    <row r="1455" spans="4:21">
      <c r="D1455" s="152" t="s">
        <v>2821</v>
      </c>
      <c r="G1455" s="474" t="s">
        <v>658</v>
      </c>
      <c r="H1455" s="210" t="s">
        <v>659</v>
      </c>
      <c r="I1455" s="210"/>
      <c r="J1455" s="513">
        <v>-1269038.1499999999</v>
      </c>
      <c r="K1455" s="513">
        <v>-903.23</v>
      </c>
      <c r="L1455" s="513">
        <v>1405</v>
      </c>
      <c r="M1455" s="513" t="s">
        <v>6059</v>
      </c>
      <c r="N1455" s="513" t="s">
        <v>780</v>
      </c>
      <c r="O1455" s="513" t="s">
        <v>1407</v>
      </c>
      <c r="P1455" s="518" t="s">
        <v>6114</v>
      </c>
      <c r="Q1455" s="152" t="s">
        <v>5873</v>
      </c>
      <c r="R1455" s="152" t="s">
        <v>6115</v>
      </c>
      <c r="S1455" s="152" t="s">
        <v>6205</v>
      </c>
      <c r="T1455" s="152" t="s">
        <v>6116</v>
      </c>
      <c r="U1455" s="152" t="s">
        <v>786</v>
      </c>
    </row>
    <row r="1456" spans="4:21">
      <c r="D1456" s="152" t="s">
        <v>2821</v>
      </c>
      <c r="G1456" s="474" t="s">
        <v>658</v>
      </c>
      <c r="H1456" s="210" t="s">
        <v>659</v>
      </c>
      <c r="I1456" s="210"/>
      <c r="J1456" s="513">
        <v>-1245363.8999999999</v>
      </c>
      <c r="K1456" s="513">
        <v>-886.38</v>
      </c>
      <c r="L1456" s="513">
        <v>1405</v>
      </c>
      <c r="M1456" s="513" t="s">
        <v>6059</v>
      </c>
      <c r="N1456" s="513" t="s">
        <v>780</v>
      </c>
      <c r="O1456" s="513" t="s">
        <v>1407</v>
      </c>
      <c r="P1456" s="518" t="s">
        <v>6114</v>
      </c>
      <c r="Q1456" s="152" t="s">
        <v>5873</v>
      </c>
      <c r="R1456" s="152" t="s">
        <v>6115</v>
      </c>
      <c r="S1456" s="152" t="s">
        <v>6206</v>
      </c>
      <c r="T1456" s="152" t="s">
        <v>6116</v>
      </c>
      <c r="U1456" s="152" t="s">
        <v>786</v>
      </c>
    </row>
    <row r="1457" spans="4:21">
      <c r="D1457" s="152" t="s">
        <v>2821</v>
      </c>
      <c r="G1457" s="474" t="s">
        <v>658</v>
      </c>
      <c r="H1457" s="210" t="s">
        <v>659</v>
      </c>
      <c r="I1457" s="210"/>
      <c r="J1457" s="513">
        <v>-1269038.1499999999</v>
      </c>
      <c r="K1457" s="513">
        <v>-903.23</v>
      </c>
      <c r="L1457" s="513">
        <v>1405</v>
      </c>
      <c r="M1457" s="513" t="s">
        <v>6059</v>
      </c>
      <c r="N1457" s="513" t="s">
        <v>780</v>
      </c>
      <c r="O1457" s="513" t="s">
        <v>1407</v>
      </c>
      <c r="P1457" s="518" t="s">
        <v>6114</v>
      </c>
      <c r="Q1457" s="152" t="s">
        <v>5873</v>
      </c>
      <c r="R1457" s="152" t="s">
        <v>6115</v>
      </c>
      <c r="S1457" s="152" t="s">
        <v>6207</v>
      </c>
      <c r="T1457" s="152" t="s">
        <v>6116</v>
      </c>
      <c r="U1457" s="152" t="s">
        <v>786</v>
      </c>
    </row>
    <row r="1458" spans="4:21">
      <c r="D1458" s="152" t="s">
        <v>2821</v>
      </c>
      <c r="G1458" s="474" t="s">
        <v>658</v>
      </c>
      <c r="H1458" s="210" t="s">
        <v>659</v>
      </c>
      <c r="I1458" s="210"/>
      <c r="J1458" s="513">
        <v>-1245363.8999999999</v>
      </c>
      <c r="K1458" s="513">
        <v>-886.38</v>
      </c>
      <c r="L1458" s="513">
        <v>1405</v>
      </c>
      <c r="M1458" s="513" t="s">
        <v>6059</v>
      </c>
      <c r="N1458" s="513" t="s">
        <v>780</v>
      </c>
      <c r="O1458" s="513" t="s">
        <v>1407</v>
      </c>
      <c r="P1458" s="518" t="s">
        <v>6114</v>
      </c>
      <c r="Q1458" s="152" t="s">
        <v>5873</v>
      </c>
      <c r="R1458" s="152" t="s">
        <v>6115</v>
      </c>
      <c r="S1458" s="152" t="s">
        <v>6208</v>
      </c>
      <c r="T1458" s="152" t="s">
        <v>6116</v>
      </c>
      <c r="U1458" s="152" t="s">
        <v>786</v>
      </c>
    </row>
    <row r="1459" spans="4:21">
      <c r="D1459" s="152" t="s">
        <v>2821</v>
      </c>
      <c r="G1459" s="474" t="s">
        <v>658</v>
      </c>
      <c r="H1459" s="210" t="s">
        <v>659</v>
      </c>
      <c r="I1459" s="210"/>
      <c r="J1459" s="513">
        <v>-140036.35</v>
      </c>
      <c r="K1459" s="513">
        <v>-99.67</v>
      </c>
      <c r="L1459" s="513">
        <v>1405</v>
      </c>
      <c r="M1459" s="513" t="s">
        <v>6059</v>
      </c>
      <c r="N1459" s="513" t="s">
        <v>780</v>
      </c>
      <c r="O1459" s="513" t="s">
        <v>1407</v>
      </c>
      <c r="P1459" s="518" t="s">
        <v>6114</v>
      </c>
      <c r="Q1459" s="152" t="s">
        <v>5873</v>
      </c>
      <c r="R1459" s="152" t="s">
        <v>6115</v>
      </c>
      <c r="S1459" s="152" t="s">
        <v>6209</v>
      </c>
      <c r="T1459" s="152" t="s">
        <v>6116</v>
      </c>
      <c r="U1459" s="152" t="s">
        <v>786</v>
      </c>
    </row>
    <row r="1460" spans="4:21">
      <c r="D1460" s="152" t="s">
        <v>2821</v>
      </c>
      <c r="G1460" s="474" t="s">
        <v>658</v>
      </c>
      <c r="H1460" s="210" t="s">
        <v>659</v>
      </c>
      <c r="I1460" s="210"/>
      <c r="J1460" s="513">
        <v>-114774.45</v>
      </c>
      <c r="K1460" s="513">
        <v>-81.69</v>
      </c>
      <c r="L1460" s="513">
        <v>1405</v>
      </c>
      <c r="M1460" s="513" t="s">
        <v>6059</v>
      </c>
      <c r="N1460" s="513" t="s">
        <v>780</v>
      </c>
      <c r="O1460" s="513" t="s">
        <v>1407</v>
      </c>
      <c r="P1460" s="518" t="s">
        <v>6114</v>
      </c>
      <c r="Q1460" s="152" t="s">
        <v>5873</v>
      </c>
      <c r="R1460" s="152" t="s">
        <v>6115</v>
      </c>
      <c r="S1460" s="152" t="s">
        <v>6210</v>
      </c>
      <c r="T1460" s="152" t="s">
        <v>6116</v>
      </c>
      <c r="U1460" s="152" t="s">
        <v>786</v>
      </c>
    </row>
    <row r="1461" spans="4:21">
      <c r="D1461" s="152" t="s">
        <v>2821</v>
      </c>
      <c r="G1461" s="474" t="s">
        <v>658</v>
      </c>
      <c r="H1461" s="210" t="s">
        <v>659</v>
      </c>
      <c r="I1461" s="210"/>
      <c r="J1461" s="513">
        <v>63225000</v>
      </c>
      <c r="K1461" s="513">
        <v>45000</v>
      </c>
      <c r="L1461" s="513">
        <v>1405</v>
      </c>
      <c r="M1461" s="513" t="s">
        <v>6059</v>
      </c>
      <c r="N1461" s="513" t="s">
        <v>780</v>
      </c>
      <c r="O1461" s="513" t="s">
        <v>1407</v>
      </c>
      <c r="P1461" s="518" t="s">
        <v>6166</v>
      </c>
      <c r="Q1461" s="152" t="s">
        <v>5873</v>
      </c>
      <c r="R1461" s="152" t="s">
        <v>6167</v>
      </c>
      <c r="S1461" s="152" t="s">
        <v>4093</v>
      </c>
      <c r="T1461" s="152" t="s">
        <v>6169</v>
      </c>
      <c r="U1461" s="152" t="s">
        <v>786</v>
      </c>
    </row>
    <row r="1462" spans="4:21">
      <c r="D1462" s="152" t="s">
        <v>2821</v>
      </c>
      <c r="G1462" s="474" t="s">
        <v>658</v>
      </c>
      <c r="H1462" s="210" t="s">
        <v>659</v>
      </c>
      <c r="I1462" s="210"/>
      <c r="J1462" s="513">
        <v>7025000</v>
      </c>
      <c r="K1462" s="513">
        <v>5000</v>
      </c>
      <c r="L1462" s="513">
        <v>1405</v>
      </c>
      <c r="M1462" s="513" t="s">
        <v>6059</v>
      </c>
      <c r="N1462" s="513" t="s">
        <v>780</v>
      </c>
      <c r="O1462" s="513" t="s">
        <v>1407</v>
      </c>
      <c r="P1462" s="518" t="s">
        <v>6166</v>
      </c>
      <c r="Q1462" s="152" t="s">
        <v>5873</v>
      </c>
      <c r="R1462" s="152" t="s">
        <v>6167</v>
      </c>
      <c r="S1462" s="152" t="s">
        <v>4093</v>
      </c>
      <c r="T1462" s="152" t="s">
        <v>6169</v>
      </c>
      <c r="U1462" s="152" t="s">
        <v>786</v>
      </c>
    </row>
    <row r="1463" spans="4:21">
      <c r="D1463" s="152" t="s">
        <v>2821</v>
      </c>
      <c r="G1463" s="474" t="s">
        <v>658</v>
      </c>
      <c r="H1463" s="210" t="s">
        <v>659</v>
      </c>
      <c r="I1463" s="210"/>
      <c r="J1463" s="513">
        <v>-131479.9</v>
      </c>
      <c r="K1463" s="513">
        <v>-93.58</v>
      </c>
      <c r="L1463" s="513">
        <v>1405</v>
      </c>
      <c r="M1463" s="513" t="s">
        <v>6059</v>
      </c>
      <c r="N1463" s="513" t="s">
        <v>780</v>
      </c>
      <c r="O1463" s="513" t="s">
        <v>1407</v>
      </c>
      <c r="P1463" s="518" t="s">
        <v>6114</v>
      </c>
      <c r="Q1463" s="152" t="s">
        <v>5873</v>
      </c>
      <c r="R1463" s="152" t="s">
        <v>6115</v>
      </c>
      <c r="S1463" s="152" t="s">
        <v>6214</v>
      </c>
      <c r="T1463" s="152" t="s">
        <v>6116</v>
      </c>
      <c r="U1463" s="152" t="s">
        <v>786</v>
      </c>
    </row>
    <row r="1464" spans="4:21">
      <c r="D1464" s="152" t="s">
        <v>2821</v>
      </c>
      <c r="G1464" s="474" t="s">
        <v>658</v>
      </c>
      <c r="H1464" s="210" t="s">
        <v>659</v>
      </c>
      <c r="I1464" s="210"/>
      <c r="J1464" s="513">
        <v>-3898987.4</v>
      </c>
      <c r="K1464" s="513">
        <v>-2775.08</v>
      </c>
      <c r="L1464" s="513">
        <v>1405</v>
      </c>
      <c r="M1464" s="513" t="s">
        <v>6059</v>
      </c>
      <c r="N1464" s="513" t="s">
        <v>780</v>
      </c>
      <c r="O1464" s="513" t="s">
        <v>1407</v>
      </c>
      <c r="P1464" s="518" t="s">
        <v>6114</v>
      </c>
      <c r="Q1464" s="152" t="s">
        <v>5873</v>
      </c>
      <c r="R1464" s="152" t="s">
        <v>6115</v>
      </c>
      <c r="S1464" s="152" t="s">
        <v>6217</v>
      </c>
      <c r="T1464" s="152" t="s">
        <v>6116</v>
      </c>
      <c r="U1464" s="152" t="s">
        <v>786</v>
      </c>
    </row>
    <row r="1465" spans="4:21">
      <c r="D1465" s="152" t="s">
        <v>2821</v>
      </c>
      <c r="G1465" s="474" t="s">
        <v>658</v>
      </c>
      <c r="H1465" s="210" t="s">
        <v>659</v>
      </c>
      <c r="I1465" s="210"/>
      <c r="J1465" s="513">
        <v>-492480.6</v>
      </c>
      <c r="K1465" s="513">
        <v>-350.52</v>
      </c>
      <c r="L1465" s="513">
        <v>1405</v>
      </c>
      <c r="M1465" s="513" t="s">
        <v>6303</v>
      </c>
      <c r="N1465" s="513" t="s">
        <v>780</v>
      </c>
      <c r="O1465" s="513" t="s">
        <v>1407</v>
      </c>
      <c r="P1465" s="518" t="s">
        <v>6484</v>
      </c>
      <c r="Q1465" s="152" t="s">
        <v>5873</v>
      </c>
      <c r="R1465" s="152" t="s">
        <v>6485</v>
      </c>
      <c r="S1465" s="152" t="s">
        <v>6486</v>
      </c>
      <c r="T1465" s="152" t="s">
        <v>6487</v>
      </c>
      <c r="U1465" s="152" t="s">
        <v>786</v>
      </c>
    </row>
    <row r="1466" spans="4:21">
      <c r="D1466" s="152" t="s">
        <v>2821</v>
      </c>
      <c r="G1466" s="474" t="s">
        <v>658</v>
      </c>
      <c r="H1466" s="210" t="s">
        <v>659</v>
      </c>
      <c r="I1466" s="210"/>
      <c r="J1466" s="513">
        <v>-123120.15</v>
      </c>
      <c r="K1466" s="513">
        <v>-87.63</v>
      </c>
      <c r="L1466" s="513">
        <v>1405</v>
      </c>
      <c r="M1466" s="513" t="s">
        <v>6303</v>
      </c>
      <c r="N1466" s="513" t="s">
        <v>780</v>
      </c>
      <c r="O1466" s="513" t="s">
        <v>1407</v>
      </c>
      <c r="P1466" s="518" t="s">
        <v>6484</v>
      </c>
      <c r="Q1466" s="152" t="s">
        <v>5873</v>
      </c>
      <c r="R1466" s="152" t="s">
        <v>6485</v>
      </c>
      <c r="S1466" s="152" t="s">
        <v>6488</v>
      </c>
      <c r="T1466" s="152" t="s">
        <v>6487</v>
      </c>
      <c r="U1466" s="152" t="s">
        <v>786</v>
      </c>
    </row>
    <row r="1467" spans="4:21">
      <c r="D1467" s="152" t="s">
        <v>2821</v>
      </c>
      <c r="G1467" s="474" t="s">
        <v>658</v>
      </c>
      <c r="H1467" s="210" t="s">
        <v>659</v>
      </c>
      <c r="I1467" s="210"/>
      <c r="J1467" s="513">
        <v>-338576.9</v>
      </c>
      <c r="K1467" s="513">
        <v>-240.98</v>
      </c>
      <c r="L1467" s="513">
        <v>1405</v>
      </c>
      <c r="M1467" s="513" t="s">
        <v>6303</v>
      </c>
      <c r="N1467" s="513" t="s">
        <v>780</v>
      </c>
      <c r="O1467" s="513" t="s">
        <v>1407</v>
      </c>
      <c r="P1467" s="518" t="s">
        <v>6484</v>
      </c>
      <c r="Q1467" s="152" t="s">
        <v>5873</v>
      </c>
      <c r="R1467" s="152" t="s">
        <v>6485</v>
      </c>
      <c r="S1467" s="152" t="s">
        <v>6489</v>
      </c>
      <c r="T1467" s="152" t="s">
        <v>6487</v>
      </c>
      <c r="U1467" s="152" t="s">
        <v>786</v>
      </c>
    </row>
    <row r="1468" spans="4:21">
      <c r="D1468" s="152" t="s">
        <v>2821</v>
      </c>
      <c r="G1468" s="474" t="s">
        <v>658</v>
      </c>
      <c r="H1468" s="210" t="s">
        <v>659</v>
      </c>
      <c r="I1468" s="210"/>
      <c r="J1468" s="513">
        <v>-215456.75</v>
      </c>
      <c r="K1468" s="513">
        <v>-153.35</v>
      </c>
      <c r="L1468" s="513">
        <v>1405</v>
      </c>
      <c r="M1468" s="513" t="s">
        <v>6303</v>
      </c>
      <c r="N1468" s="513" t="s">
        <v>780</v>
      </c>
      <c r="O1468" s="513" t="s">
        <v>1407</v>
      </c>
      <c r="P1468" s="518" t="s">
        <v>6484</v>
      </c>
      <c r="Q1468" s="152" t="s">
        <v>5873</v>
      </c>
      <c r="R1468" s="152" t="s">
        <v>6485</v>
      </c>
      <c r="S1468" s="152" t="s">
        <v>6490</v>
      </c>
      <c r="T1468" s="152" t="s">
        <v>6487</v>
      </c>
      <c r="U1468" s="152" t="s">
        <v>786</v>
      </c>
    </row>
    <row r="1469" spans="4:21">
      <c r="D1469" s="152" t="s">
        <v>2821</v>
      </c>
      <c r="G1469" s="474" t="s">
        <v>658</v>
      </c>
      <c r="H1469" s="210" t="s">
        <v>659</v>
      </c>
      <c r="I1469" s="210"/>
      <c r="J1469" s="513">
        <v>-769490.4</v>
      </c>
      <c r="K1469" s="513">
        <v>-547.67999999999995</v>
      </c>
      <c r="L1469" s="513">
        <v>1405</v>
      </c>
      <c r="M1469" s="513" t="s">
        <v>6303</v>
      </c>
      <c r="N1469" s="513" t="s">
        <v>780</v>
      </c>
      <c r="O1469" s="513" t="s">
        <v>1407</v>
      </c>
      <c r="P1469" s="518" t="s">
        <v>6484</v>
      </c>
      <c r="Q1469" s="152" t="s">
        <v>5873</v>
      </c>
      <c r="R1469" s="152" t="s">
        <v>6485</v>
      </c>
      <c r="S1469" s="152" t="s">
        <v>6491</v>
      </c>
      <c r="T1469" s="152" t="s">
        <v>6487</v>
      </c>
      <c r="U1469" s="152" t="s">
        <v>786</v>
      </c>
    </row>
    <row r="1470" spans="4:21">
      <c r="D1470" s="152" t="s">
        <v>2821</v>
      </c>
      <c r="G1470" s="474" t="s">
        <v>658</v>
      </c>
      <c r="H1470" s="210" t="s">
        <v>659</v>
      </c>
      <c r="I1470" s="210"/>
      <c r="J1470" s="513">
        <v>-369360.45</v>
      </c>
      <c r="K1470" s="513">
        <v>-262.89</v>
      </c>
      <c r="L1470" s="513">
        <v>1405</v>
      </c>
      <c r="M1470" s="513" t="s">
        <v>6303</v>
      </c>
      <c r="N1470" s="513" t="s">
        <v>780</v>
      </c>
      <c r="O1470" s="513" t="s">
        <v>1407</v>
      </c>
      <c r="P1470" s="518" t="s">
        <v>6484</v>
      </c>
      <c r="Q1470" s="152" t="s">
        <v>5873</v>
      </c>
      <c r="R1470" s="152" t="s">
        <v>6485</v>
      </c>
      <c r="S1470" s="152" t="s">
        <v>6492</v>
      </c>
      <c r="T1470" s="152" t="s">
        <v>6487</v>
      </c>
      <c r="U1470" s="152" t="s">
        <v>786</v>
      </c>
    </row>
    <row r="1471" spans="4:21">
      <c r="D1471" s="152" t="s">
        <v>2821</v>
      </c>
      <c r="G1471" s="474" t="s">
        <v>658</v>
      </c>
      <c r="H1471" s="210" t="s">
        <v>659</v>
      </c>
      <c r="I1471" s="210"/>
      <c r="J1471" s="513">
        <v>-430913.5</v>
      </c>
      <c r="K1471" s="513">
        <v>-306.7</v>
      </c>
      <c r="L1471" s="513">
        <v>1405</v>
      </c>
      <c r="M1471" s="513" t="s">
        <v>6303</v>
      </c>
      <c r="N1471" s="513" t="s">
        <v>780</v>
      </c>
      <c r="O1471" s="513" t="s">
        <v>1407</v>
      </c>
      <c r="P1471" s="518" t="s">
        <v>6484</v>
      </c>
      <c r="Q1471" s="152" t="s">
        <v>5873</v>
      </c>
      <c r="R1471" s="152" t="s">
        <v>6485</v>
      </c>
      <c r="S1471" s="152" t="s">
        <v>6493</v>
      </c>
      <c r="T1471" s="152" t="s">
        <v>6487</v>
      </c>
      <c r="U1471" s="152" t="s">
        <v>786</v>
      </c>
    </row>
    <row r="1472" spans="4:21">
      <c r="D1472" s="152" t="s">
        <v>2821</v>
      </c>
      <c r="G1472" s="474" t="s">
        <v>658</v>
      </c>
      <c r="H1472" s="210" t="s">
        <v>659</v>
      </c>
      <c r="I1472" s="210"/>
      <c r="J1472" s="513">
        <v>-61553.05</v>
      </c>
      <c r="K1472" s="513">
        <v>-43.81</v>
      </c>
      <c r="L1472" s="513">
        <v>1405</v>
      </c>
      <c r="M1472" s="513" t="s">
        <v>6303</v>
      </c>
      <c r="N1472" s="513" t="s">
        <v>780</v>
      </c>
      <c r="O1472" s="513" t="s">
        <v>1407</v>
      </c>
      <c r="P1472" s="518" t="s">
        <v>6484</v>
      </c>
      <c r="Q1472" s="152" t="s">
        <v>5873</v>
      </c>
      <c r="R1472" s="152" t="s">
        <v>6485</v>
      </c>
      <c r="S1472" s="152" t="s">
        <v>6494</v>
      </c>
      <c r="T1472" s="152" t="s">
        <v>6487</v>
      </c>
      <c r="U1472" s="152" t="s">
        <v>786</v>
      </c>
    </row>
    <row r="1473" spans="4:21">
      <c r="D1473" s="152" t="s">
        <v>2821</v>
      </c>
      <c r="G1473" s="474" t="s">
        <v>658</v>
      </c>
      <c r="H1473" s="210" t="s">
        <v>659</v>
      </c>
      <c r="I1473" s="210"/>
      <c r="J1473" s="513">
        <v>-646370.25</v>
      </c>
      <c r="K1473" s="513">
        <v>-460.05</v>
      </c>
      <c r="L1473" s="513">
        <v>1405</v>
      </c>
      <c r="M1473" s="513" t="s">
        <v>6303</v>
      </c>
      <c r="N1473" s="513" t="s">
        <v>780</v>
      </c>
      <c r="O1473" s="513" t="s">
        <v>1407</v>
      </c>
      <c r="P1473" s="518" t="s">
        <v>6484</v>
      </c>
      <c r="Q1473" s="152" t="s">
        <v>5873</v>
      </c>
      <c r="R1473" s="152" t="s">
        <v>6485</v>
      </c>
      <c r="S1473" s="152" t="s">
        <v>6495</v>
      </c>
      <c r="T1473" s="152" t="s">
        <v>6487</v>
      </c>
      <c r="U1473" s="152" t="s">
        <v>786</v>
      </c>
    </row>
    <row r="1474" spans="4:21">
      <c r="D1474" s="152" t="s">
        <v>2821</v>
      </c>
      <c r="G1474" s="474" t="s">
        <v>658</v>
      </c>
      <c r="H1474" s="210" t="s">
        <v>659</v>
      </c>
      <c r="I1474" s="210"/>
      <c r="J1474" s="513">
        <v>-503622.25</v>
      </c>
      <c r="K1474" s="513">
        <v>-358.45</v>
      </c>
      <c r="L1474" s="513">
        <v>1405</v>
      </c>
      <c r="M1474" s="513" t="s">
        <v>6303</v>
      </c>
      <c r="N1474" s="513" t="s">
        <v>780</v>
      </c>
      <c r="O1474" s="513" t="s">
        <v>1407</v>
      </c>
      <c r="P1474" s="518" t="s">
        <v>6484</v>
      </c>
      <c r="Q1474" s="152" t="s">
        <v>5873</v>
      </c>
      <c r="R1474" s="152" t="s">
        <v>6485</v>
      </c>
      <c r="S1474" s="152" t="s">
        <v>1513</v>
      </c>
      <c r="T1474" s="152" t="s">
        <v>6487</v>
      </c>
      <c r="U1474" s="152" t="s">
        <v>786</v>
      </c>
    </row>
    <row r="1475" spans="4:21">
      <c r="D1475" s="152" t="s">
        <v>2821</v>
      </c>
      <c r="G1475" s="474" t="s">
        <v>658</v>
      </c>
      <c r="H1475" s="210" t="s">
        <v>659</v>
      </c>
      <c r="I1475" s="210"/>
      <c r="J1475" s="513">
        <v>-4793045.0999999996</v>
      </c>
      <c r="K1475" s="513">
        <v>-3411.42</v>
      </c>
      <c r="L1475" s="513">
        <v>1405</v>
      </c>
      <c r="M1475" s="513" t="s">
        <v>6303</v>
      </c>
      <c r="N1475" s="513" t="s">
        <v>780</v>
      </c>
      <c r="O1475" s="513" t="s">
        <v>1407</v>
      </c>
      <c r="P1475" s="518" t="s">
        <v>6484</v>
      </c>
      <c r="Q1475" s="152" t="s">
        <v>5873</v>
      </c>
      <c r="R1475" s="152" t="s">
        <v>6485</v>
      </c>
      <c r="S1475" s="152" t="s">
        <v>2218</v>
      </c>
      <c r="T1475" s="152" t="s">
        <v>6487</v>
      </c>
      <c r="U1475" s="152" t="s">
        <v>786</v>
      </c>
    </row>
    <row r="1476" spans="4:21">
      <c r="D1476" s="152" t="s">
        <v>2821</v>
      </c>
      <c r="G1476" s="474" t="s">
        <v>658</v>
      </c>
      <c r="H1476" s="210" t="s">
        <v>659</v>
      </c>
      <c r="I1476" s="210"/>
      <c r="J1476" s="513">
        <v>-2725.7</v>
      </c>
      <c r="K1476" s="513">
        <v>-1.94</v>
      </c>
      <c r="L1476" s="513">
        <v>1405</v>
      </c>
      <c r="M1476" s="513" t="s">
        <v>6303</v>
      </c>
      <c r="N1476" s="513" t="s">
        <v>780</v>
      </c>
      <c r="O1476" s="513" t="s">
        <v>1407</v>
      </c>
      <c r="P1476" s="518" t="s">
        <v>6484</v>
      </c>
      <c r="Q1476" s="152" t="s">
        <v>5873</v>
      </c>
      <c r="R1476" s="152" t="s">
        <v>6485</v>
      </c>
      <c r="S1476" s="152" t="s">
        <v>1515</v>
      </c>
      <c r="T1476" s="152" t="s">
        <v>6487</v>
      </c>
      <c r="U1476" s="152" t="s">
        <v>786</v>
      </c>
    </row>
    <row r="1477" spans="4:21">
      <c r="D1477" s="152" t="s">
        <v>2821</v>
      </c>
      <c r="G1477" s="474" t="s">
        <v>658</v>
      </c>
      <c r="H1477" s="210" t="s">
        <v>659</v>
      </c>
      <c r="I1477" s="210"/>
      <c r="J1477" s="513">
        <v>-2725.7</v>
      </c>
      <c r="K1477" s="513">
        <v>-1.94</v>
      </c>
      <c r="L1477" s="513">
        <v>1405</v>
      </c>
      <c r="M1477" s="513" t="s">
        <v>6303</v>
      </c>
      <c r="N1477" s="513" t="s">
        <v>780</v>
      </c>
      <c r="O1477" s="513" t="s">
        <v>1407</v>
      </c>
      <c r="P1477" s="518" t="s">
        <v>6484</v>
      </c>
      <c r="Q1477" s="152" t="s">
        <v>5873</v>
      </c>
      <c r="R1477" s="152" t="s">
        <v>6485</v>
      </c>
      <c r="S1477" s="152" t="s">
        <v>1515</v>
      </c>
      <c r="T1477" s="152" t="s">
        <v>6487</v>
      </c>
      <c r="U1477" s="152" t="s">
        <v>786</v>
      </c>
    </row>
    <row r="1478" spans="4:21">
      <c r="D1478" s="152" t="s">
        <v>2821</v>
      </c>
      <c r="G1478" s="474" t="s">
        <v>658</v>
      </c>
      <c r="H1478" s="210" t="s">
        <v>659</v>
      </c>
      <c r="I1478" s="210"/>
      <c r="J1478" s="513">
        <v>-2725.7</v>
      </c>
      <c r="K1478" s="513">
        <v>-1.94</v>
      </c>
      <c r="L1478" s="513">
        <v>1405</v>
      </c>
      <c r="M1478" s="513" t="s">
        <v>6303</v>
      </c>
      <c r="N1478" s="513" t="s">
        <v>780</v>
      </c>
      <c r="O1478" s="513" t="s">
        <v>1407</v>
      </c>
      <c r="P1478" s="518" t="s">
        <v>6484</v>
      </c>
      <c r="Q1478" s="152" t="s">
        <v>5873</v>
      </c>
      <c r="R1478" s="152" t="s">
        <v>6485</v>
      </c>
      <c r="S1478" s="152" t="s">
        <v>1515</v>
      </c>
      <c r="T1478" s="152" t="s">
        <v>6487</v>
      </c>
      <c r="U1478" s="152" t="s">
        <v>786</v>
      </c>
    </row>
    <row r="1479" spans="4:21">
      <c r="D1479" s="152" t="s">
        <v>2821</v>
      </c>
      <c r="G1479" s="474" t="s">
        <v>658</v>
      </c>
      <c r="H1479" s="210" t="s">
        <v>659</v>
      </c>
      <c r="I1479" s="210"/>
      <c r="J1479" s="513">
        <v>-2725.7</v>
      </c>
      <c r="K1479" s="513">
        <v>-1.94</v>
      </c>
      <c r="L1479" s="513">
        <v>1405</v>
      </c>
      <c r="M1479" s="513" t="s">
        <v>6303</v>
      </c>
      <c r="N1479" s="513" t="s">
        <v>780</v>
      </c>
      <c r="O1479" s="513" t="s">
        <v>1407</v>
      </c>
      <c r="P1479" s="518" t="s">
        <v>6484</v>
      </c>
      <c r="Q1479" s="152" t="s">
        <v>5873</v>
      </c>
      <c r="R1479" s="152" t="s">
        <v>6485</v>
      </c>
      <c r="S1479" s="152" t="s">
        <v>1515</v>
      </c>
      <c r="T1479" s="152" t="s">
        <v>6487</v>
      </c>
      <c r="U1479" s="152" t="s">
        <v>786</v>
      </c>
    </row>
    <row r="1480" spans="4:21">
      <c r="D1480" s="152" t="s">
        <v>2821</v>
      </c>
      <c r="G1480" s="474" t="s">
        <v>658</v>
      </c>
      <c r="H1480" s="210" t="s">
        <v>659</v>
      </c>
      <c r="I1480" s="210"/>
      <c r="J1480" s="513">
        <v>-2725.7</v>
      </c>
      <c r="K1480" s="513">
        <v>-1.94</v>
      </c>
      <c r="L1480" s="513">
        <v>1405</v>
      </c>
      <c r="M1480" s="513" t="s">
        <v>6303</v>
      </c>
      <c r="N1480" s="513" t="s">
        <v>780</v>
      </c>
      <c r="O1480" s="513" t="s">
        <v>1407</v>
      </c>
      <c r="P1480" s="518" t="s">
        <v>6484</v>
      </c>
      <c r="Q1480" s="152" t="s">
        <v>5873</v>
      </c>
      <c r="R1480" s="152" t="s">
        <v>6485</v>
      </c>
      <c r="S1480" s="152" t="s">
        <v>1515</v>
      </c>
      <c r="T1480" s="152" t="s">
        <v>6487</v>
      </c>
      <c r="U1480" s="152" t="s">
        <v>786</v>
      </c>
    </row>
    <row r="1481" spans="4:21">
      <c r="D1481" s="152" t="s">
        <v>2821</v>
      </c>
      <c r="G1481" s="474" t="s">
        <v>658</v>
      </c>
      <c r="H1481" s="210" t="s">
        <v>659</v>
      </c>
      <c r="I1481" s="210"/>
      <c r="J1481" s="513">
        <v>-2725.7</v>
      </c>
      <c r="K1481" s="513">
        <v>-1.94</v>
      </c>
      <c r="L1481" s="513">
        <v>1405</v>
      </c>
      <c r="M1481" s="513" t="s">
        <v>6303</v>
      </c>
      <c r="N1481" s="513" t="s">
        <v>780</v>
      </c>
      <c r="O1481" s="513" t="s">
        <v>1407</v>
      </c>
      <c r="P1481" s="518" t="s">
        <v>6484</v>
      </c>
      <c r="Q1481" s="152" t="s">
        <v>5873</v>
      </c>
      <c r="R1481" s="152" t="s">
        <v>6485</v>
      </c>
      <c r="S1481" s="152" t="s">
        <v>1515</v>
      </c>
      <c r="T1481" s="152" t="s">
        <v>6487</v>
      </c>
      <c r="U1481" s="152" t="s">
        <v>786</v>
      </c>
    </row>
    <row r="1482" spans="4:21">
      <c r="D1482" s="152" t="s">
        <v>2821</v>
      </c>
      <c r="G1482" s="474" t="s">
        <v>658</v>
      </c>
      <c r="H1482" s="210" t="s">
        <v>659</v>
      </c>
      <c r="I1482" s="210"/>
      <c r="J1482" s="513">
        <v>-2725.7</v>
      </c>
      <c r="K1482" s="513">
        <v>-1.94</v>
      </c>
      <c r="L1482" s="513">
        <v>1405</v>
      </c>
      <c r="M1482" s="513" t="s">
        <v>6303</v>
      </c>
      <c r="N1482" s="513" t="s">
        <v>780</v>
      </c>
      <c r="O1482" s="513" t="s">
        <v>1407</v>
      </c>
      <c r="P1482" s="518" t="s">
        <v>6484</v>
      </c>
      <c r="Q1482" s="152" t="s">
        <v>5873</v>
      </c>
      <c r="R1482" s="152" t="s">
        <v>6485</v>
      </c>
      <c r="S1482" s="152" t="s">
        <v>1515</v>
      </c>
      <c r="T1482" s="152" t="s">
        <v>6487</v>
      </c>
      <c r="U1482" s="152" t="s">
        <v>786</v>
      </c>
    </row>
    <row r="1483" spans="4:21">
      <c r="D1483" s="152" t="s">
        <v>2821</v>
      </c>
      <c r="G1483" s="474" t="s">
        <v>658</v>
      </c>
      <c r="H1483" s="210" t="s">
        <v>659</v>
      </c>
      <c r="I1483" s="210"/>
      <c r="J1483" s="513">
        <v>-2725.7</v>
      </c>
      <c r="K1483" s="513">
        <v>-1.94</v>
      </c>
      <c r="L1483" s="513">
        <v>1405</v>
      </c>
      <c r="M1483" s="513" t="s">
        <v>6303</v>
      </c>
      <c r="N1483" s="513" t="s">
        <v>780</v>
      </c>
      <c r="O1483" s="513" t="s">
        <v>1407</v>
      </c>
      <c r="P1483" s="518" t="s">
        <v>6484</v>
      </c>
      <c r="Q1483" s="152" t="s">
        <v>5873</v>
      </c>
      <c r="R1483" s="152" t="s">
        <v>6485</v>
      </c>
      <c r="S1483" s="152" t="s">
        <v>1515</v>
      </c>
      <c r="T1483" s="152" t="s">
        <v>6487</v>
      </c>
      <c r="U1483" s="152" t="s">
        <v>786</v>
      </c>
    </row>
    <row r="1484" spans="4:21">
      <c r="D1484" s="152" t="s">
        <v>2821</v>
      </c>
      <c r="G1484" s="474" t="s">
        <v>658</v>
      </c>
      <c r="H1484" s="210" t="s">
        <v>659</v>
      </c>
      <c r="I1484" s="210"/>
      <c r="J1484" s="513">
        <v>-2725.7</v>
      </c>
      <c r="K1484" s="513">
        <v>-1.94</v>
      </c>
      <c r="L1484" s="513">
        <v>1405</v>
      </c>
      <c r="M1484" s="513" t="s">
        <v>6303</v>
      </c>
      <c r="N1484" s="513" t="s">
        <v>780</v>
      </c>
      <c r="O1484" s="513" t="s">
        <v>1407</v>
      </c>
      <c r="P1484" s="518" t="s">
        <v>6484</v>
      </c>
      <c r="Q1484" s="152" t="s">
        <v>5873</v>
      </c>
      <c r="R1484" s="152" t="s">
        <v>6485</v>
      </c>
      <c r="S1484" s="152" t="s">
        <v>1515</v>
      </c>
      <c r="T1484" s="152" t="s">
        <v>6487</v>
      </c>
      <c r="U1484" s="152" t="s">
        <v>786</v>
      </c>
    </row>
    <row r="1485" spans="4:21">
      <c r="D1485" s="152" t="s">
        <v>2821</v>
      </c>
      <c r="G1485" s="474" t="s">
        <v>658</v>
      </c>
      <c r="H1485" s="210" t="s">
        <v>659</v>
      </c>
      <c r="I1485" s="210"/>
      <c r="J1485" s="513">
        <v>-2725.7</v>
      </c>
      <c r="K1485" s="513">
        <v>-1.94</v>
      </c>
      <c r="L1485" s="513">
        <v>1405</v>
      </c>
      <c r="M1485" s="513" t="s">
        <v>6303</v>
      </c>
      <c r="N1485" s="513" t="s">
        <v>780</v>
      </c>
      <c r="O1485" s="513" t="s">
        <v>1407</v>
      </c>
      <c r="P1485" s="518" t="s">
        <v>6484</v>
      </c>
      <c r="Q1485" s="152" t="s">
        <v>5873</v>
      </c>
      <c r="R1485" s="152" t="s">
        <v>6485</v>
      </c>
      <c r="S1485" s="152" t="s">
        <v>1515</v>
      </c>
      <c r="T1485" s="152" t="s">
        <v>6487</v>
      </c>
      <c r="U1485" s="152" t="s">
        <v>786</v>
      </c>
    </row>
    <row r="1486" spans="4:21">
      <c r="D1486" s="152" t="s">
        <v>2821</v>
      </c>
      <c r="G1486" s="474" t="s">
        <v>658</v>
      </c>
      <c r="H1486" s="210" t="s">
        <v>659</v>
      </c>
      <c r="I1486" s="210"/>
      <c r="J1486" s="513">
        <v>-2725.7</v>
      </c>
      <c r="K1486" s="513">
        <v>-1.94</v>
      </c>
      <c r="L1486" s="513">
        <v>1405</v>
      </c>
      <c r="M1486" s="513" t="s">
        <v>6303</v>
      </c>
      <c r="N1486" s="513" t="s">
        <v>780</v>
      </c>
      <c r="O1486" s="513" t="s">
        <v>1407</v>
      </c>
      <c r="P1486" s="518" t="s">
        <v>6484</v>
      </c>
      <c r="Q1486" s="152" t="s">
        <v>5873</v>
      </c>
      <c r="R1486" s="152" t="s">
        <v>6485</v>
      </c>
      <c r="S1486" s="152" t="s">
        <v>1515</v>
      </c>
      <c r="T1486" s="152" t="s">
        <v>6487</v>
      </c>
      <c r="U1486" s="152" t="s">
        <v>786</v>
      </c>
    </row>
    <row r="1487" spans="4:21">
      <c r="D1487" s="152" t="s">
        <v>2821</v>
      </c>
      <c r="G1487" s="474" t="s">
        <v>658</v>
      </c>
      <c r="H1487" s="210" t="s">
        <v>659</v>
      </c>
      <c r="I1487" s="210"/>
      <c r="J1487" s="513">
        <v>-707937.35</v>
      </c>
      <c r="K1487" s="513">
        <v>-503.87</v>
      </c>
      <c r="L1487" s="513">
        <v>1405</v>
      </c>
      <c r="M1487" s="513" t="s">
        <v>6303</v>
      </c>
      <c r="N1487" s="513" t="s">
        <v>780</v>
      </c>
      <c r="O1487" s="513" t="s">
        <v>1407</v>
      </c>
      <c r="P1487" s="518" t="s">
        <v>6484</v>
      </c>
      <c r="Q1487" s="152" t="s">
        <v>5873</v>
      </c>
      <c r="R1487" s="152" t="s">
        <v>6485</v>
      </c>
      <c r="S1487" s="152" t="s">
        <v>6516</v>
      </c>
      <c r="T1487" s="152" t="s">
        <v>6487</v>
      </c>
      <c r="U1487" s="152" t="s">
        <v>786</v>
      </c>
    </row>
    <row r="1488" spans="4:21">
      <c r="D1488" s="152" t="s">
        <v>2821</v>
      </c>
      <c r="G1488" s="474" t="s">
        <v>658</v>
      </c>
      <c r="H1488" s="210" t="s">
        <v>659</v>
      </c>
      <c r="I1488" s="210"/>
      <c r="J1488" s="513">
        <v>-172000.1</v>
      </c>
      <c r="K1488" s="513">
        <v>-122.42</v>
      </c>
      <c r="L1488" s="513">
        <v>1405</v>
      </c>
      <c r="M1488" s="513" t="s">
        <v>6303</v>
      </c>
      <c r="N1488" s="513" t="s">
        <v>780</v>
      </c>
      <c r="O1488" s="513" t="s">
        <v>1407</v>
      </c>
      <c r="P1488" s="518" t="s">
        <v>6484</v>
      </c>
      <c r="Q1488" s="152" t="s">
        <v>5873</v>
      </c>
      <c r="R1488" s="152" t="s">
        <v>6485</v>
      </c>
      <c r="S1488" s="152" t="s">
        <v>6521</v>
      </c>
      <c r="T1488" s="152" t="s">
        <v>6487</v>
      </c>
      <c r="U1488" s="152" t="s">
        <v>786</v>
      </c>
    </row>
    <row r="1489" spans="4:21">
      <c r="D1489" s="152" t="s">
        <v>2821</v>
      </c>
      <c r="G1489" s="474" t="s">
        <v>658</v>
      </c>
      <c r="H1489" s="210" t="s">
        <v>659</v>
      </c>
      <c r="I1489" s="210"/>
      <c r="J1489" s="513">
        <v>-250581.75</v>
      </c>
      <c r="K1489" s="513">
        <v>-178.35</v>
      </c>
      <c r="L1489" s="513">
        <v>1405</v>
      </c>
      <c r="M1489" s="513" t="s">
        <v>6303</v>
      </c>
      <c r="N1489" s="513" t="s">
        <v>780</v>
      </c>
      <c r="O1489" s="513" t="s">
        <v>1407</v>
      </c>
      <c r="P1489" s="518" t="s">
        <v>6484</v>
      </c>
      <c r="Q1489" s="152" t="s">
        <v>5873</v>
      </c>
      <c r="R1489" s="152" t="s">
        <v>6485</v>
      </c>
      <c r="S1489" s="152" t="s">
        <v>6523</v>
      </c>
      <c r="T1489" s="152" t="s">
        <v>6487</v>
      </c>
      <c r="U1489" s="152" t="s">
        <v>786</v>
      </c>
    </row>
    <row r="1490" spans="4:21">
      <c r="D1490" s="152" t="s">
        <v>2821</v>
      </c>
      <c r="G1490" s="474" t="s">
        <v>658</v>
      </c>
      <c r="H1490" s="210" t="s">
        <v>659</v>
      </c>
      <c r="I1490" s="210"/>
      <c r="J1490" s="513">
        <v>-941490.5</v>
      </c>
      <c r="K1490" s="513">
        <v>-670.1</v>
      </c>
      <c r="L1490" s="513">
        <v>1405</v>
      </c>
      <c r="M1490" s="513" t="s">
        <v>6303</v>
      </c>
      <c r="N1490" s="513" t="s">
        <v>780</v>
      </c>
      <c r="O1490" s="513" t="s">
        <v>1407</v>
      </c>
      <c r="P1490" s="518" t="s">
        <v>6484</v>
      </c>
      <c r="Q1490" s="152" t="s">
        <v>5873</v>
      </c>
      <c r="R1490" s="152" t="s">
        <v>6485</v>
      </c>
      <c r="S1490" s="152" t="s">
        <v>6528</v>
      </c>
      <c r="T1490" s="152" t="s">
        <v>6487</v>
      </c>
      <c r="U1490" s="152" t="s">
        <v>786</v>
      </c>
    </row>
    <row r="1491" spans="4:21">
      <c r="D1491" s="152" t="s">
        <v>2821</v>
      </c>
      <c r="G1491" s="474" t="s">
        <v>658</v>
      </c>
      <c r="H1491" s="210" t="s">
        <v>659</v>
      </c>
      <c r="I1491" s="210"/>
      <c r="J1491" s="513">
        <v>2643423.2000000002</v>
      </c>
      <c r="K1491" s="513">
        <v>1881.44</v>
      </c>
      <c r="L1491" s="513">
        <v>1405</v>
      </c>
      <c r="M1491" s="513" t="s">
        <v>6303</v>
      </c>
      <c r="N1491" s="513" t="s">
        <v>780</v>
      </c>
      <c r="O1491" s="513" t="s">
        <v>1407</v>
      </c>
      <c r="P1491" s="518" t="s">
        <v>6530</v>
      </c>
      <c r="Q1491" s="152" t="s">
        <v>5873</v>
      </c>
      <c r="R1491" s="152" t="s">
        <v>6531</v>
      </c>
      <c r="S1491" s="152" t="s">
        <v>4093</v>
      </c>
      <c r="T1491" s="152" t="s">
        <v>6532</v>
      </c>
      <c r="U1491" s="152" t="s">
        <v>786</v>
      </c>
    </row>
    <row r="1492" spans="4:21">
      <c r="D1492" s="152" t="s">
        <v>2821</v>
      </c>
      <c r="G1492" s="474" t="s">
        <v>658</v>
      </c>
      <c r="H1492" s="210" t="s">
        <v>659</v>
      </c>
      <c r="I1492" s="210"/>
      <c r="J1492" s="513">
        <v>7025000</v>
      </c>
      <c r="K1492" s="513">
        <v>5000</v>
      </c>
      <c r="L1492" s="513">
        <v>1405</v>
      </c>
      <c r="M1492" s="513" t="s">
        <v>6303</v>
      </c>
      <c r="N1492" s="513" t="s">
        <v>780</v>
      </c>
      <c r="O1492" s="513" t="s">
        <v>1407</v>
      </c>
      <c r="P1492" s="518" t="s">
        <v>6530</v>
      </c>
      <c r="Q1492" s="152" t="s">
        <v>5873</v>
      </c>
      <c r="R1492" s="152" t="s">
        <v>6531</v>
      </c>
      <c r="S1492" s="152" t="s">
        <v>6533</v>
      </c>
      <c r="T1492" s="152" t="s">
        <v>6532</v>
      </c>
      <c r="U1492" s="152" t="s">
        <v>786</v>
      </c>
    </row>
    <row r="1493" spans="4:21">
      <c r="D1493" s="152" t="s">
        <v>2821</v>
      </c>
      <c r="G1493" s="474" t="s">
        <v>660</v>
      </c>
      <c r="H1493" s="210" t="s">
        <v>661</v>
      </c>
      <c r="I1493" s="210"/>
      <c r="J1493" s="513">
        <v>-530176.75</v>
      </c>
      <c r="K1493" s="513">
        <v>-377.35</v>
      </c>
      <c r="L1493" s="513">
        <v>1405</v>
      </c>
      <c r="M1493" s="513" t="s">
        <v>6059</v>
      </c>
      <c r="N1493" s="513" t="s">
        <v>780</v>
      </c>
      <c r="O1493" s="513" t="s">
        <v>1407</v>
      </c>
      <c r="P1493" s="518" t="s">
        <v>6119</v>
      </c>
      <c r="Q1493" s="152" t="s">
        <v>5873</v>
      </c>
      <c r="R1493" s="152" t="s">
        <v>6120</v>
      </c>
      <c r="S1493" s="152" t="s">
        <v>6121</v>
      </c>
      <c r="T1493" s="152" t="s">
        <v>6122</v>
      </c>
      <c r="U1493" s="152" t="s">
        <v>786</v>
      </c>
    </row>
    <row r="1494" spans="4:21">
      <c r="D1494" s="152" t="s">
        <v>2821</v>
      </c>
      <c r="G1494" s="474" t="s">
        <v>660</v>
      </c>
      <c r="H1494" s="210" t="s">
        <v>661</v>
      </c>
      <c r="I1494" s="210"/>
      <c r="J1494" s="513">
        <v>-4397650</v>
      </c>
      <c r="K1494" s="513">
        <v>-3130</v>
      </c>
      <c r="L1494" s="513">
        <v>1405</v>
      </c>
      <c r="M1494" s="513" t="s">
        <v>6059</v>
      </c>
      <c r="N1494" s="513" t="s">
        <v>780</v>
      </c>
      <c r="O1494" s="513" t="s">
        <v>1407</v>
      </c>
      <c r="P1494" s="518" t="s">
        <v>6119</v>
      </c>
      <c r="Q1494" s="152" t="s">
        <v>5873</v>
      </c>
      <c r="R1494" s="152" t="s">
        <v>6120</v>
      </c>
      <c r="S1494" s="152" t="s">
        <v>6124</v>
      </c>
      <c r="T1494" s="152" t="s">
        <v>6122</v>
      </c>
      <c r="U1494" s="152" t="s">
        <v>786</v>
      </c>
    </row>
    <row r="1495" spans="4:21">
      <c r="D1495" s="152" t="s">
        <v>2821</v>
      </c>
      <c r="G1495" s="474" t="s">
        <v>660</v>
      </c>
      <c r="H1495" s="210" t="s">
        <v>661</v>
      </c>
      <c r="I1495" s="210"/>
      <c r="J1495" s="513">
        <v>-44960</v>
      </c>
      <c r="K1495" s="513">
        <v>-32</v>
      </c>
      <c r="L1495" s="513">
        <v>1405</v>
      </c>
      <c r="M1495" s="513" t="s">
        <v>6059</v>
      </c>
      <c r="N1495" s="513" t="s">
        <v>780</v>
      </c>
      <c r="O1495" s="513" t="s">
        <v>1407</v>
      </c>
      <c r="P1495" s="518" t="s">
        <v>6119</v>
      </c>
      <c r="Q1495" s="152" t="s">
        <v>5873</v>
      </c>
      <c r="R1495" s="152" t="s">
        <v>6120</v>
      </c>
      <c r="S1495" s="152" t="s">
        <v>1474</v>
      </c>
      <c r="T1495" s="152" t="s">
        <v>6122</v>
      </c>
      <c r="U1495" s="152" t="s">
        <v>786</v>
      </c>
    </row>
    <row r="1496" spans="4:21">
      <c r="D1496" s="152" t="s">
        <v>2821</v>
      </c>
      <c r="G1496" s="474" t="s">
        <v>660</v>
      </c>
      <c r="H1496" s="210" t="s">
        <v>661</v>
      </c>
      <c r="I1496" s="210"/>
      <c r="J1496" s="513">
        <v>-85705</v>
      </c>
      <c r="K1496" s="513">
        <v>-61</v>
      </c>
      <c r="L1496" s="513">
        <v>1405</v>
      </c>
      <c r="M1496" s="513" t="s">
        <v>6059</v>
      </c>
      <c r="N1496" s="513" t="s">
        <v>780</v>
      </c>
      <c r="O1496" s="513" t="s">
        <v>1407</v>
      </c>
      <c r="P1496" s="518" t="s">
        <v>6119</v>
      </c>
      <c r="Q1496" s="152" t="s">
        <v>5873</v>
      </c>
      <c r="R1496" s="152" t="s">
        <v>6120</v>
      </c>
      <c r="S1496" s="152" t="s">
        <v>6142</v>
      </c>
      <c r="T1496" s="152" t="s">
        <v>6122</v>
      </c>
      <c r="U1496" s="152" t="s">
        <v>786</v>
      </c>
    </row>
    <row r="1497" spans="4:21">
      <c r="D1497" s="152" t="s">
        <v>2821</v>
      </c>
      <c r="G1497" s="474" t="s">
        <v>660</v>
      </c>
      <c r="H1497" s="210" t="s">
        <v>661</v>
      </c>
      <c r="I1497" s="210"/>
      <c r="J1497" s="513">
        <v>-237669.8</v>
      </c>
      <c r="K1497" s="513">
        <v>-169.16</v>
      </c>
      <c r="L1497" s="513">
        <v>1405</v>
      </c>
      <c r="M1497" s="513" t="s">
        <v>6059</v>
      </c>
      <c r="N1497" s="513" t="s">
        <v>780</v>
      </c>
      <c r="O1497" s="513" t="s">
        <v>1407</v>
      </c>
      <c r="P1497" s="518" t="s">
        <v>6119</v>
      </c>
      <c r="Q1497" s="152" t="s">
        <v>5873</v>
      </c>
      <c r="R1497" s="152" t="s">
        <v>6120</v>
      </c>
      <c r="S1497" s="152" t="s">
        <v>6144</v>
      </c>
      <c r="T1497" s="152" t="s">
        <v>6122</v>
      </c>
      <c r="U1497" s="152" t="s">
        <v>786</v>
      </c>
    </row>
    <row r="1498" spans="4:21">
      <c r="D1498" s="152" t="s">
        <v>2821</v>
      </c>
      <c r="G1498" s="474" t="s">
        <v>660</v>
      </c>
      <c r="H1498" s="210" t="s">
        <v>661</v>
      </c>
      <c r="I1498" s="210"/>
      <c r="J1498" s="513">
        <v>-52603.199999999997</v>
      </c>
      <c r="K1498" s="513">
        <v>-37.44</v>
      </c>
      <c r="L1498" s="513">
        <v>1405</v>
      </c>
      <c r="M1498" s="513" t="s">
        <v>6059</v>
      </c>
      <c r="N1498" s="513" t="s">
        <v>780</v>
      </c>
      <c r="O1498" s="513" t="s">
        <v>1407</v>
      </c>
      <c r="P1498" s="518" t="s">
        <v>6119</v>
      </c>
      <c r="Q1498" s="152" t="s">
        <v>5873</v>
      </c>
      <c r="R1498" s="152" t="s">
        <v>6120</v>
      </c>
      <c r="S1498" s="152" t="s">
        <v>6161</v>
      </c>
      <c r="T1498" s="152" t="s">
        <v>6122</v>
      </c>
      <c r="U1498" s="152" t="s">
        <v>786</v>
      </c>
    </row>
    <row r="1499" spans="4:21">
      <c r="D1499" s="152" t="s">
        <v>2821</v>
      </c>
      <c r="G1499" s="474" t="s">
        <v>660</v>
      </c>
      <c r="H1499" s="210" t="s">
        <v>661</v>
      </c>
      <c r="I1499" s="210"/>
      <c r="J1499" s="513">
        <v>-2669.5</v>
      </c>
      <c r="K1499" s="513">
        <v>-1.9</v>
      </c>
      <c r="L1499" s="513">
        <v>1405</v>
      </c>
      <c r="M1499" s="513" t="s">
        <v>6059</v>
      </c>
      <c r="N1499" s="513" t="s">
        <v>780</v>
      </c>
      <c r="O1499" s="513" t="s">
        <v>1407</v>
      </c>
      <c r="P1499" s="518" t="s">
        <v>6119</v>
      </c>
      <c r="Q1499" s="152" t="s">
        <v>5873</v>
      </c>
      <c r="R1499" s="152" t="s">
        <v>6120</v>
      </c>
      <c r="S1499" s="152" t="s">
        <v>1515</v>
      </c>
      <c r="T1499" s="152" t="s">
        <v>6122</v>
      </c>
      <c r="U1499" s="152" t="s">
        <v>786</v>
      </c>
    </row>
    <row r="1500" spans="4:21">
      <c r="D1500" s="152" t="s">
        <v>2821</v>
      </c>
      <c r="G1500" s="474" t="s">
        <v>660</v>
      </c>
      <c r="H1500" s="210" t="s">
        <v>661</v>
      </c>
      <c r="I1500" s="210"/>
      <c r="J1500" s="513">
        <v>-63140.7</v>
      </c>
      <c r="K1500" s="513">
        <v>-44.94</v>
      </c>
      <c r="L1500" s="513">
        <v>1405</v>
      </c>
      <c r="M1500" s="513" t="s">
        <v>6059</v>
      </c>
      <c r="N1500" s="513" t="s">
        <v>780</v>
      </c>
      <c r="O1500" s="513" t="s">
        <v>1407</v>
      </c>
      <c r="P1500" s="518" t="s">
        <v>6119</v>
      </c>
      <c r="Q1500" s="152" t="s">
        <v>5873</v>
      </c>
      <c r="R1500" s="152" t="s">
        <v>6120</v>
      </c>
      <c r="S1500" s="152" t="s">
        <v>6163</v>
      </c>
      <c r="T1500" s="152" t="s">
        <v>6122</v>
      </c>
      <c r="U1500" s="152" t="s">
        <v>786</v>
      </c>
    </row>
    <row r="1501" spans="4:21">
      <c r="D1501" s="152" t="s">
        <v>2821</v>
      </c>
      <c r="G1501" s="474" t="s">
        <v>660</v>
      </c>
      <c r="H1501" s="210" t="s">
        <v>661</v>
      </c>
      <c r="I1501" s="210"/>
      <c r="J1501" s="513">
        <v>42100825</v>
      </c>
      <c r="K1501" s="513">
        <v>29965</v>
      </c>
      <c r="L1501" s="513">
        <v>1405</v>
      </c>
      <c r="M1501" s="513" t="s">
        <v>6059</v>
      </c>
      <c r="N1501" s="513" t="s">
        <v>780</v>
      </c>
      <c r="O1501" s="513" t="s">
        <v>1407</v>
      </c>
      <c r="P1501" s="518" t="s">
        <v>6176</v>
      </c>
      <c r="Q1501" s="152" t="s">
        <v>5873</v>
      </c>
      <c r="R1501" s="152" t="s">
        <v>6177</v>
      </c>
      <c r="S1501" s="152" t="s">
        <v>1432</v>
      </c>
      <c r="T1501" s="152" t="s">
        <v>6178</v>
      </c>
      <c r="U1501" s="152" t="s">
        <v>786</v>
      </c>
    </row>
    <row r="1502" spans="4:21">
      <c r="D1502" s="152" t="s">
        <v>2821</v>
      </c>
      <c r="G1502" s="474" t="s">
        <v>660</v>
      </c>
      <c r="H1502" s="210" t="s">
        <v>661</v>
      </c>
      <c r="I1502" s="210"/>
      <c r="J1502" s="513">
        <v>35075825</v>
      </c>
      <c r="K1502" s="513">
        <v>24965</v>
      </c>
      <c r="L1502" s="513">
        <v>1405</v>
      </c>
      <c r="M1502" s="513" t="s">
        <v>6059</v>
      </c>
      <c r="N1502" s="513" t="s">
        <v>780</v>
      </c>
      <c r="O1502" s="513" t="s">
        <v>1407</v>
      </c>
      <c r="P1502" s="518" t="s">
        <v>6176</v>
      </c>
      <c r="Q1502" s="152" t="s">
        <v>5873</v>
      </c>
      <c r="R1502" s="152" t="s">
        <v>6177</v>
      </c>
      <c r="S1502" s="152" t="s">
        <v>1432</v>
      </c>
      <c r="T1502" s="152" t="s">
        <v>6178</v>
      </c>
      <c r="U1502" s="152" t="s">
        <v>786</v>
      </c>
    </row>
    <row r="1503" spans="4:21">
      <c r="D1503" s="152" t="s">
        <v>2821</v>
      </c>
      <c r="G1503" s="474" t="s">
        <v>660</v>
      </c>
      <c r="H1503" s="210" t="s">
        <v>661</v>
      </c>
      <c r="I1503" s="210"/>
      <c r="J1503" s="513">
        <v>-189675</v>
      </c>
      <c r="K1503" s="513">
        <v>-135</v>
      </c>
      <c r="L1503" s="513">
        <v>1405</v>
      </c>
      <c r="M1503" s="513" t="s">
        <v>6059</v>
      </c>
      <c r="N1503" s="513" t="s">
        <v>780</v>
      </c>
      <c r="O1503" s="513" t="s">
        <v>1407</v>
      </c>
      <c r="P1503" s="518" t="s">
        <v>6119</v>
      </c>
      <c r="Q1503" s="152" t="s">
        <v>5873</v>
      </c>
      <c r="R1503" s="152" t="s">
        <v>6120</v>
      </c>
      <c r="S1503" s="152" t="s">
        <v>6189</v>
      </c>
      <c r="T1503" s="152" t="s">
        <v>6122</v>
      </c>
      <c r="U1503" s="152" t="s">
        <v>786</v>
      </c>
    </row>
    <row r="1504" spans="4:21">
      <c r="D1504" s="152" t="s">
        <v>2821</v>
      </c>
      <c r="G1504" s="474" t="s">
        <v>660</v>
      </c>
      <c r="H1504" s="210" t="s">
        <v>661</v>
      </c>
      <c r="I1504" s="210"/>
      <c r="J1504" s="513">
        <v>8992</v>
      </c>
      <c r="K1504" s="513">
        <v>6.4</v>
      </c>
      <c r="L1504" s="513">
        <v>1405</v>
      </c>
      <c r="M1504" s="513" t="s">
        <v>6059</v>
      </c>
      <c r="N1504" s="513" t="s">
        <v>780</v>
      </c>
      <c r="O1504" s="513" t="s">
        <v>1407</v>
      </c>
      <c r="P1504" s="518" t="s">
        <v>6176</v>
      </c>
      <c r="Q1504" s="152" t="s">
        <v>5873</v>
      </c>
      <c r="R1504" s="152" t="s">
        <v>6177</v>
      </c>
      <c r="S1504" s="152" t="s">
        <v>6195</v>
      </c>
      <c r="T1504" s="152" t="s">
        <v>6178</v>
      </c>
      <c r="U1504" s="152" t="s">
        <v>786</v>
      </c>
    </row>
    <row r="1505" spans="4:21">
      <c r="D1505" s="152" t="s">
        <v>2821</v>
      </c>
      <c r="G1505" s="474" t="s">
        <v>660</v>
      </c>
      <c r="H1505" s="210" t="s">
        <v>661</v>
      </c>
      <c r="I1505" s="210"/>
      <c r="J1505" s="513">
        <v>-843000</v>
      </c>
      <c r="K1505" s="513">
        <v>-600</v>
      </c>
      <c r="L1505" s="513">
        <v>1405</v>
      </c>
      <c r="M1505" s="513" t="s">
        <v>6059</v>
      </c>
      <c r="N1505" s="513" t="s">
        <v>780</v>
      </c>
      <c r="O1505" s="513" t="s">
        <v>1407</v>
      </c>
      <c r="P1505" s="518" t="s">
        <v>6119</v>
      </c>
      <c r="Q1505" s="152" t="s">
        <v>5873</v>
      </c>
      <c r="R1505" s="152" t="s">
        <v>6120</v>
      </c>
      <c r="S1505" s="152" t="s">
        <v>6197</v>
      </c>
      <c r="T1505" s="152" t="s">
        <v>6122</v>
      </c>
      <c r="U1505" s="152" t="s">
        <v>786</v>
      </c>
    </row>
    <row r="1506" spans="4:21">
      <c r="D1506" s="152" t="s">
        <v>2821</v>
      </c>
      <c r="G1506" s="474" t="s">
        <v>660</v>
      </c>
      <c r="H1506" s="210" t="s">
        <v>661</v>
      </c>
      <c r="I1506" s="210"/>
      <c r="J1506" s="513">
        <v>-3217450</v>
      </c>
      <c r="K1506" s="513">
        <v>-2290</v>
      </c>
      <c r="L1506" s="513">
        <v>1405</v>
      </c>
      <c r="M1506" s="513" t="s">
        <v>6059</v>
      </c>
      <c r="N1506" s="513" t="s">
        <v>780</v>
      </c>
      <c r="O1506" s="513" t="s">
        <v>1407</v>
      </c>
      <c r="P1506" s="518" t="s">
        <v>6119</v>
      </c>
      <c r="Q1506" s="152" t="s">
        <v>5873</v>
      </c>
      <c r="R1506" s="152" t="s">
        <v>6120</v>
      </c>
      <c r="S1506" s="152" t="s">
        <v>6213</v>
      </c>
      <c r="T1506" s="152" t="s">
        <v>6122</v>
      </c>
      <c r="U1506" s="152" t="s">
        <v>786</v>
      </c>
    </row>
    <row r="1507" spans="4:21">
      <c r="D1507" s="152" t="s">
        <v>2821</v>
      </c>
      <c r="G1507" s="474" t="s">
        <v>660</v>
      </c>
      <c r="H1507" s="210" t="s">
        <v>661</v>
      </c>
      <c r="I1507" s="210"/>
      <c r="J1507" s="513">
        <v>-7025000</v>
      </c>
      <c r="K1507" s="513">
        <v>-5000</v>
      </c>
      <c r="L1507" s="513">
        <v>1405</v>
      </c>
      <c r="M1507" s="513" t="s">
        <v>6059</v>
      </c>
      <c r="N1507" s="513" t="s">
        <v>780</v>
      </c>
      <c r="O1507" s="513" t="s">
        <v>1407</v>
      </c>
      <c r="P1507" s="518" t="s">
        <v>6119</v>
      </c>
      <c r="Q1507" s="152" t="s">
        <v>5873</v>
      </c>
      <c r="R1507" s="152" t="s">
        <v>6120</v>
      </c>
      <c r="S1507" s="152" t="s">
        <v>4093</v>
      </c>
      <c r="T1507" s="152" t="s">
        <v>6122</v>
      </c>
      <c r="U1507" s="152" t="s">
        <v>786</v>
      </c>
    </row>
    <row r="1508" spans="4:21">
      <c r="D1508" s="152" t="s">
        <v>2821</v>
      </c>
      <c r="G1508" s="474" t="s">
        <v>660</v>
      </c>
      <c r="H1508" s="210" t="s">
        <v>661</v>
      </c>
      <c r="I1508" s="210"/>
      <c r="J1508" s="513">
        <v>-63225000</v>
      </c>
      <c r="K1508" s="513">
        <v>-45000</v>
      </c>
      <c r="L1508" s="513">
        <v>1405</v>
      </c>
      <c r="M1508" s="513" t="s">
        <v>6059</v>
      </c>
      <c r="N1508" s="513" t="s">
        <v>780</v>
      </c>
      <c r="O1508" s="513" t="s">
        <v>1407</v>
      </c>
      <c r="P1508" s="518" t="s">
        <v>6119</v>
      </c>
      <c r="Q1508" s="152" t="s">
        <v>5873</v>
      </c>
      <c r="R1508" s="152" t="s">
        <v>6120</v>
      </c>
      <c r="S1508" s="152" t="s">
        <v>4093</v>
      </c>
      <c r="T1508" s="152" t="s">
        <v>6122</v>
      </c>
      <c r="U1508" s="152" t="s">
        <v>786</v>
      </c>
    </row>
    <row r="1509" spans="4:21">
      <c r="D1509" s="152" t="s">
        <v>2821</v>
      </c>
      <c r="G1509" s="474" t="s">
        <v>660</v>
      </c>
      <c r="H1509" s="210" t="s">
        <v>661</v>
      </c>
      <c r="I1509" s="210"/>
      <c r="J1509" s="513">
        <v>7025000</v>
      </c>
      <c r="K1509" s="513">
        <v>5000</v>
      </c>
      <c r="L1509" s="513">
        <v>1405</v>
      </c>
      <c r="M1509" s="513" t="s">
        <v>6059</v>
      </c>
      <c r="N1509" s="513" t="s">
        <v>780</v>
      </c>
      <c r="O1509" s="513" t="s">
        <v>1407</v>
      </c>
      <c r="P1509" s="518" t="s">
        <v>6176</v>
      </c>
      <c r="Q1509" s="152" t="s">
        <v>5873</v>
      </c>
      <c r="R1509" s="152" t="s">
        <v>6177</v>
      </c>
      <c r="S1509" s="152" t="s">
        <v>2318</v>
      </c>
      <c r="T1509" s="152" t="s">
        <v>6178</v>
      </c>
      <c r="U1509" s="152" t="s">
        <v>786</v>
      </c>
    </row>
    <row r="1510" spans="4:21">
      <c r="D1510" s="152" t="s">
        <v>2821</v>
      </c>
      <c r="G1510" s="474" t="s">
        <v>660</v>
      </c>
      <c r="H1510" s="210" t="s">
        <v>661</v>
      </c>
      <c r="I1510" s="210"/>
      <c r="J1510" s="513">
        <v>14050000</v>
      </c>
      <c r="K1510" s="513">
        <v>10000</v>
      </c>
      <c r="L1510" s="513">
        <v>1405</v>
      </c>
      <c r="M1510" s="513" t="s">
        <v>6059</v>
      </c>
      <c r="N1510" s="513" t="s">
        <v>780</v>
      </c>
      <c r="O1510" s="513" t="s">
        <v>1407</v>
      </c>
      <c r="P1510" s="518" t="s">
        <v>6176</v>
      </c>
      <c r="Q1510" s="152" t="s">
        <v>5873</v>
      </c>
      <c r="R1510" s="152" t="s">
        <v>6177</v>
      </c>
      <c r="S1510" s="152" t="s">
        <v>2318</v>
      </c>
      <c r="T1510" s="152" t="s">
        <v>6178</v>
      </c>
      <c r="U1510" s="152" t="s">
        <v>786</v>
      </c>
    </row>
    <row r="1511" spans="4:21">
      <c r="D1511" s="152" t="s">
        <v>2821</v>
      </c>
      <c r="G1511" s="474" t="s">
        <v>660</v>
      </c>
      <c r="H1511" s="210" t="s">
        <v>661</v>
      </c>
      <c r="I1511" s="210"/>
      <c r="J1511" s="513">
        <v>-3172490</v>
      </c>
      <c r="K1511" s="513">
        <v>-2258</v>
      </c>
      <c r="L1511" s="513">
        <v>1405</v>
      </c>
      <c r="M1511" s="513" t="s">
        <v>6059</v>
      </c>
      <c r="N1511" s="513" t="s">
        <v>780</v>
      </c>
      <c r="O1511" s="513" t="s">
        <v>1407</v>
      </c>
      <c r="P1511" s="518" t="s">
        <v>6119</v>
      </c>
      <c r="Q1511" s="152" t="s">
        <v>5873</v>
      </c>
      <c r="R1511" s="152" t="s">
        <v>6120</v>
      </c>
      <c r="S1511" s="152" t="s">
        <v>6215</v>
      </c>
      <c r="T1511" s="152" t="s">
        <v>6122</v>
      </c>
      <c r="U1511" s="152" t="s">
        <v>786</v>
      </c>
    </row>
    <row r="1512" spans="4:21">
      <c r="D1512" s="152" t="s">
        <v>2821</v>
      </c>
      <c r="G1512" s="474" t="s">
        <v>660</v>
      </c>
      <c r="H1512" s="210" t="s">
        <v>661</v>
      </c>
      <c r="I1512" s="210"/>
      <c r="J1512" s="513">
        <v>-566903.44999999995</v>
      </c>
      <c r="K1512" s="513">
        <v>-403.49</v>
      </c>
      <c r="L1512" s="513">
        <v>1405</v>
      </c>
      <c r="M1512" s="513" t="s">
        <v>6059</v>
      </c>
      <c r="N1512" s="513" t="s">
        <v>780</v>
      </c>
      <c r="O1512" s="513" t="s">
        <v>1407</v>
      </c>
      <c r="P1512" s="518" t="s">
        <v>6119</v>
      </c>
      <c r="Q1512" s="152" t="s">
        <v>5873</v>
      </c>
      <c r="R1512" s="152" t="s">
        <v>6120</v>
      </c>
      <c r="S1512" s="152" t="s">
        <v>6216</v>
      </c>
      <c r="T1512" s="152" t="s">
        <v>6122</v>
      </c>
      <c r="U1512" s="152" t="s">
        <v>786</v>
      </c>
    </row>
    <row r="1513" spans="4:21">
      <c r="D1513" s="152" t="s">
        <v>2821</v>
      </c>
      <c r="G1513" s="474" t="s">
        <v>660</v>
      </c>
      <c r="H1513" s="210" t="s">
        <v>661</v>
      </c>
      <c r="I1513" s="210"/>
      <c r="J1513" s="513">
        <v>-2669.5</v>
      </c>
      <c r="K1513" s="513">
        <v>-1.9</v>
      </c>
      <c r="L1513" s="513">
        <v>1405</v>
      </c>
      <c r="M1513" s="513" t="s">
        <v>6303</v>
      </c>
      <c r="N1513" s="513" t="s">
        <v>780</v>
      </c>
      <c r="O1513" s="513" t="s">
        <v>1407</v>
      </c>
      <c r="P1513" s="518" t="s">
        <v>6509</v>
      </c>
      <c r="Q1513" s="152" t="s">
        <v>5873</v>
      </c>
      <c r="R1513" s="152" t="s">
        <v>6510</v>
      </c>
      <c r="S1513" s="152" t="s">
        <v>1515</v>
      </c>
      <c r="T1513" s="152" t="s">
        <v>6511</v>
      </c>
      <c r="U1513" s="152" t="s">
        <v>786</v>
      </c>
    </row>
    <row r="1514" spans="4:21">
      <c r="D1514" s="152" t="s">
        <v>2821</v>
      </c>
      <c r="G1514" s="474" t="s">
        <v>660</v>
      </c>
      <c r="H1514" s="210" t="s">
        <v>661</v>
      </c>
      <c r="I1514" s="210"/>
      <c r="J1514" s="513">
        <v>-2669.5</v>
      </c>
      <c r="K1514" s="513">
        <v>-1.9</v>
      </c>
      <c r="L1514" s="513">
        <v>1405</v>
      </c>
      <c r="M1514" s="513" t="s">
        <v>6303</v>
      </c>
      <c r="N1514" s="513" t="s">
        <v>780</v>
      </c>
      <c r="O1514" s="513" t="s">
        <v>1407</v>
      </c>
      <c r="P1514" s="518" t="s">
        <v>6509</v>
      </c>
      <c r="Q1514" s="152" t="s">
        <v>5873</v>
      </c>
      <c r="R1514" s="152" t="s">
        <v>6510</v>
      </c>
      <c r="S1514" s="152" t="s">
        <v>1515</v>
      </c>
      <c r="T1514" s="152" t="s">
        <v>6511</v>
      </c>
      <c r="U1514" s="152" t="s">
        <v>786</v>
      </c>
    </row>
    <row r="1515" spans="4:21">
      <c r="D1515" s="152" t="s">
        <v>2821</v>
      </c>
      <c r="G1515" s="474" t="s">
        <v>660</v>
      </c>
      <c r="H1515" s="210" t="s">
        <v>661</v>
      </c>
      <c r="I1515" s="210"/>
      <c r="J1515" s="513">
        <v>-234635</v>
      </c>
      <c r="K1515" s="513">
        <v>-167</v>
      </c>
      <c r="L1515" s="513">
        <v>1405</v>
      </c>
      <c r="M1515" s="513" t="s">
        <v>6303</v>
      </c>
      <c r="N1515" s="513" t="s">
        <v>780</v>
      </c>
      <c r="O1515" s="513" t="s">
        <v>1407</v>
      </c>
      <c r="P1515" s="518" t="s">
        <v>6509</v>
      </c>
      <c r="Q1515" s="152" t="s">
        <v>5873</v>
      </c>
      <c r="R1515" s="152" t="s">
        <v>6510</v>
      </c>
      <c r="S1515" s="152" t="s">
        <v>6512</v>
      </c>
      <c r="T1515" s="152" t="s">
        <v>6511</v>
      </c>
      <c r="U1515" s="152" t="s">
        <v>786</v>
      </c>
    </row>
    <row r="1516" spans="4:21">
      <c r="D1516" s="152" t="s">
        <v>2821</v>
      </c>
      <c r="G1516" s="474" t="s">
        <v>660</v>
      </c>
      <c r="H1516" s="210" t="s">
        <v>661</v>
      </c>
      <c r="I1516" s="210"/>
      <c r="J1516" s="513">
        <v>-379350</v>
      </c>
      <c r="K1516" s="513">
        <v>-270</v>
      </c>
      <c r="L1516" s="513">
        <v>1405</v>
      </c>
      <c r="M1516" s="513" t="s">
        <v>6303</v>
      </c>
      <c r="N1516" s="513" t="s">
        <v>780</v>
      </c>
      <c r="O1516" s="513" t="s">
        <v>1407</v>
      </c>
      <c r="P1516" s="518" t="s">
        <v>6509</v>
      </c>
      <c r="Q1516" s="152" t="s">
        <v>5873</v>
      </c>
      <c r="R1516" s="152" t="s">
        <v>6510</v>
      </c>
      <c r="S1516" s="152" t="s">
        <v>6513</v>
      </c>
      <c r="T1516" s="152" t="s">
        <v>6511</v>
      </c>
      <c r="U1516" s="152" t="s">
        <v>786</v>
      </c>
    </row>
    <row r="1517" spans="4:21">
      <c r="D1517" s="152" t="s">
        <v>2821</v>
      </c>
      <c r="G1517" s="474" t="s">
        <v>660</v>
      </c>
      <c r="H1517" s="210" t="s">
        <v>661</v>
      </c>
      <c r="I1517" s="210"/>
      <c r="J1517" s="513">
        <v>-2177750</v>
      </c>
      <c r="K1517" s="513">
        <v>-1550</v>
      </c>
      <c r="L1517" s="513">
        <v>1405</v>
      </c>
      <c r="M1517" s="513" t="s">
        <v>6303</v>
      </c>
      <c r="N1517" s="513" t="s">
        <v>780</v>
      </c>
      <c r="O1517" s="513" t="s">
        <v>1407</v>
      </c>
      <c r="P1517" s="518" t="s">
        <v>6509</v>
      </c>
      <c r="Q1517" s="152" t="s">
        <v>5873</v>
      </c>
      <c r="R1517" s="152" t="s">
        <v>6510</v>
      </c>
      <c r="S1517" s="152" t="s">
        <v>6524</v>
      </c>
      <c r="T1517" s="152" t="s">
        <v>6511</v>
      </c>
      <c r="U1517" s="152" t="s">
        <v>786</v>
      </c>
    </row>
    <row r="1518" spans="4:21">
      <c r="D1518" s="152" t="s">
        <v>2821</v>
      </c>
      <c r="G1518" s="474" t="s">
        <v>660</v>
      </c>
      <c r="H1518" s="210" t="s">
        <v>661</v>
      </c>
      <c r="I1518" s="210"/>
      <c r="J1518" s="513">
        <v>-2643423.2000000002</v>
      </c>
      <c r="K1518" s="513">
        <v>-1881.44</v>
      </c>
      <c r="L1518" s="513">
        <v>1405</v>
      </c>
      <c r="M1518" s="513" t="s">
        <v>6303</v>
      </c>
      <c r="N1518" s="513" t="s">
        <v>780</v>
      </c>
      <c r="O1518" s="513" t="s">
        <v>1407</v>
      </c>
      <c r="P1518" s="518" t="s">
        <v>6509</v>
      </c>
      <c r="Q1518" s="152" t="s">
        <v>5873</v>
      </c>
      <c r="R1518" s="152" t="s">
        <v>6510</v>
      </c>
      <c r="S1518" s="152" t="s">
        <v>4093</v>
      </c>
      <c r="T1518" s="152" t="s">
        <v>6511</v>
      </c>
      <c r="U1518" s="152" t="s">
        <v>786</v>
      </c>
    </row>
    <row r="1519" spans="4:21">
      <c r="D1519" s="152" t="s">
        <v>2821</v>
      </c>
      <c r="G1519" s="474" t="s">
        <v>660</v>
      </c>
      <c r="H1519" s="210" t="s">
        <v>661</v>
      </c>
      <c r="I1519" s="210"/>
      <c r="J1519" s="513">
        <v>-7025000</v>
      </c>
      <c r="K1519" s="513">
        <v>-5000</v>
      </c>
      <c r="L1519" s="513">
        <v>1405</v>
      </c>
      <c r="M1519" s="513" t="s">
        <v>6303</v>
      </c>
      <c r="N1519" s="513" t="s">
        <v>780</v>
      </c>
      <c r="O1519" s="513" t="s">
        <v>1407</v>
      </c>
      <c r="P1519" s="518" t="s">
        <v>6509</v>
      </c>
      <c r="Q1519" s="152" t="s">
        <v>5873</v>
      </c>
      <c r="R1519" s="152" t="s">
        <v>6510</v>
      </c>
      <c r="S1519" s="152" t="s">
        <v>6533</v>
      </c>
      <c r="T1519" s="152" t="s">
        <v>6511</v>
      </c>
      <c r="U1519" s="152" t="s">
        <v>786</v>
      </c>
    </row>
    <row r="1520" spans="4:21">
      <c r="D1520" s="152" t="s">
        <v>2821</v>
      </c>
      <c r="G1520" s="474" t="s">
        <v>373</v>
      </c>
      <c r="H1520" s="210" t="s">
        <v>374</v>
      </c>
      <c r="I1520" s="210"/>
      <c r="J1520" s="513">
        <v>5100150</v>
      </c>
      <c r="K1520" s="513">
        <v>3630</v>
      </c>
      <c r="L1520" s="513">
        <v>1405</v>
      </c>
      <c r="M1520" s="513" t="s">
        <v>5881</v>
      </c>
      <c r="N1520" s="513" t="s">
        <v>1566</v>
      </c>
      <c r="O1520" s="513" t="s">
        <v>1407</v>
      </c>
      <c r="P1520" s="518" t="s">
        <v>5894</v>
      </c>
      <c r="Q1520" s="152" t="s">
        <v>5895</v>
      </c>
      <c r="R1520" s="152" t="s">
        <v>5896</v>
      </c>
      <c r="S1520" s="152" t="s">
        <v>5897</v>
      </c>
      <c r="T1520" s="152" t="s">
        <v>5898</v>
      </c>
      <c r="U1520" s="152" t="s">
        <v>786</v>
      </c>
    </row>
    <row r="1521" spans="4:21">
      <c r="D1521" s="152" t="s">
        <v>2821</v>
      </c>
      <c r="G1521" s="474" t="s">
        <v>373</v>
      </c>
      <c r="H1521" s="210" t="s">
        <v>374</v>
      </c>
      <c r="I1521" s="210"/>
      <c r="J1521" s="513">
        <v>4808612.5</v>
      </c>
      <c r="K1521" s="513">
        <v>3422.5</v>
      </c>
      <c r="L1521" s="513">
        <v>1405</v>
      </c>
      <c r="M1521" s="513" t="s">
        <v>5881</v>
      </c>
      <c r="N1521" s="513" t="s">
        <v>1566</v>
      </c>
      <c r="O1521" s="513" t="s">
        <v>1407</v>
      </c>
      <c r="P1521" s="518" t="s">
        <v>5899</v>
      </c>
      <c r="Q1521" s="152" t="s">
        <v>5895</v>
      </c>
      <c r="R1521" s="152" t="s">
        <v>5900</v>
      </c>
      <c r="S1521" s="152" t="s">
        <v>5897</v>
      </c>
      <c r="T1521" s="152" t="s">
        <v>5901</v>
      </c>
      <c r="U1521" s="152" t="s">
        <v>786</v>
      </c>
    </row>
    <row r="1522" spans="4:21">
      <c r="D1522" s="152" t="s">
        <v>2821</v>
      </c>
      <c r="G1522" s="474" t="s">
        <v>373</v>
      </c>
      <c r="H1522" s="210" t="s">
        <v>374</v>
      </c>
      <c r="I1522" s="210"/>
      <c r="J1522" s="513">
        <v>4288762.5</v>
      </c>
      <c r="K1522" s="513">
        <v>3052.5</v>
      </c>
      <c r="L1522" s="513">
        <v>1405</v>
      </c>
      <c r="M1522" s="513" t="s">
        <v>5881</v>
      </c>
      <c r="N1522" s="513" t="s">
        <v>1566</v>
      </c>
      <c r="O1522" s="513" t="s">
        <v>1407</v>
      </c>
      <c r="P1522" s="518" t="s">
        <v>5902</v>
      </c>
      <c r="Q1522" s="152" t="s">
        <v>5895</v>
      </c>
      <c r="R1522" s="152" t="s">
        <v>5903</v>
      </c>
      <c r="S1522" s="152" t="s">
        <v>5897</v>
      </c>
      <c r="T1522" s="152" t="s">
        <v>5904</v>
      </c>
      <c r="U1522" s="152" t="s">
        <v>786</v>
      </c>
    </row>
    <row r="1523" spans="4:21">
      <c r="D1523" s="152" t="s">
        <v>2821</v>
      </c>
      <c r="G1523" s="474" t="s">
        <v>373</v>
      </c>
      <c r="H1523" s="210" t="s">
        <v>374</v>
      </c>
      <c r="I1523" s="210"/>
      <c r="J1523" s="513">
        <v>3709200</v>
      </c>
      <c r="K1523" s="513">
        <v>2640</v>
      </c>
      <c r="L1523" s="513">
        <v>1405</v>
      </c>
      <c r="M1523" s="513" t="s">
        <v>5881</v>
      </c>
      <c r="N1523" s="513" t="s">
        <v>1566</v>
      </c>
      <c r="O1523" s="513" t="s">
        <v>1407</v>
      </c>
      <c r="P1523" s="518" t="s">
        <v>5905</v>
      </c>
      <c r="Q1523" s="152" t="s">
        <v>5895</v>
      </c>
      <c r="R1523" s="152" t="s">
        <v>5906</v>
      </c>
      <c r="S1523" s="152" t="s">
        <v>5897</v>
      </c>
      <c r="T1523" s="152" t="s">
        <v>5907</v>
      </c>
      <c r="U1523" s="152" t="s">
        <v>786</v>
      </c>
    </row>
    <row r="1524" spans="4:21">
      <c r="D1524" s="152" t="s">
        <v>2821</v>
      </c>
      <c r="G1524" s="474" t="s">
        <v>373</v>
      </c>
      <c r="H1524" s="210" t="s">
        <v>374</v>
      </c>
      <c r="I1524" s="210"/>
      <c r="J1524" s="513">
        <v>4042887.5</v>
      </c>
      <c r="K1524" s="513">
        <v>2877.5</v>
      </c>
      <c r="L1524" s="513">
        <v>1405</v>
      </c>
      <c r="M1524" s="513" t="s">
        <v>5881</v>
      </c>
      <c r="N1524" s="513" t="s">
        <v>1566</v>
      </c>
      <c r="O1524" s="513" t="s">
        <v>1407</v>
      </c>
      <c r="P1524" s="518" t="s">
        <v>5908</v>
      </c>
      <c r="Q1524" s="152" t="s">
        <v>5895</v>
      </c>
      <c r="R1524" s="152" t="s">
        <v>5909</v>
      </c>
      <c r="S1524" s="152" t="s">
        <v>5910</v>
      </c>
      <c r="T1524" s="152" t="s">
        <v>5911</v>
      </c>
      <c r="U1524" s="152" t="s">
        <v>786</v>
      </c>
    </row>
    <row r="1525" spans="4:21">
      <c r="D1525" s="152" t="s">
        <v>2821</v>
      </c>
      <c r="G1525" s="474" t="s">
        <v>373</v>
      </c>
      <c r="H1525" s="210" t="s">
        <v>374</v>
      </c>
      <c r="I1525" s="210"/>
      <c r="J1525" s="513">
        <v>7017975</v>
      </c>
      <c r="K1525" s="513">
        <v>4995</v>
      </c>
      <c r="L1525" s="513">
        <v>1405</v>
      </c>
      <c r="M1525" s="513" t="s">
        <v>5881</v>
      </c>
      <c r="N1525" s="513" t="s">
        <v>1566</v>
      </c>
      <c r="O1525" s="513" t="s">
        <v>1407</v>
      </c>
      <c r="P1525" s="518" t="s">
        <v>5912</v>
      </c>
      <c r="Q1525" s="152" t="s">
        <v>5895</v>
      </c>
      <c r="R1525" s="152" t="s">
        <v>5913</v>
      </c>
      <c r="S1525" s="152" t="s">
        <v>5910</v>
      </c>
      <c r="T1525" s="152" t="s">
        <v>5914</v>
      </c>
      <c r="U1525" s="152" t="s">
        <v>786</v>
      </c>
    </row>
    <row r="1526" spans="4:21">
      <c r="D1526" s="152" t="s">
        <v>2821</v>
      </c>
      <c r="G1526" s="474" t="s">
        <v>373</v>
      </c>
      <c r="H1526" s="210" t="s">
        <v>374</v>
      </c>
      <c r="I1526" s="210"/>
      <c r="J1526" s="513">
        <v>3709200</v>
      </c>
      <c r="K1526" s="513">
        <v>2640</v>
      </c>
      <c r="L1526" s="513">
        <v>1405</v>
      </c>
      <c r="M1526" s="513" t="s">
        <v>5881</v>
      </c>
      <c r="N1526" s="513" t="s">
        <v>1566</v>
      </c>
      <c r="O1526" s="513" t="s">
        <v>1407</v>
      </c>
      <c r="P1526" s="518" t="s">
        <v>5915</v>
      </c>
      <c r="Q1526" s="152" t="s">
        <v>5895</v>
      </c>
      <c r="R1526" s="152" t="s">
        <v>5916</v>
      </c>
      <c r="S1526" s="152" t="s">
        <v>5910</v>
      </c>
      <c r="T1526" s="152" t="s">
        <v>5917</v>
      </c>
      <c r="U1526" s="152" t="s">
        <v>786</v>
      </c>
    </row>
    <row r="1527" spans="4:21">
      <c r="D1527" s="152" t="s">
        <v>2821</v>
      </c>
      <c r="G1527" s="474" t="s">
        <v>373</v>
      </c>
      <c r="H1527" s="210" t="s">
        <v>374</v>
      </c>
      <c r="I1527" s="210"/>
      <c r="J1527" s="513">
        <v>4095575</v>
      </c>
      <c r="K1527" s="513">
        <v>2915</v>
      </c>
      <c r="L1527" s="513">
        <v>1405</v>
      </c>
      <c r="M1527" s="513" t="s">
        <v>5881</v>
      </c>
      <c r="N1527" s="513" t="s">
        <v>1566</v>
      </c>
      <c r="O1527" s="513" t="s">
        <v>1407</v>
      </c>
      <c r="P1527" s="518" t="s">
        <v>5918</v>
      </c>
      <c r="Q1527" s="152" t="s">
        <v>5895</v>
      </c>
      <c r="R1527" s="152" t="s">
        <v>5919</v>
      </c>
      <c r="S1527" s="152" t="s">
        <v>5910</v>
      </c>
      <c r="T1527" s="152" t="s">
        <v>5920</v>
      </c>
      <c r="U1527" s="152" t="s">
        <v>786</v>
      </c>
    </row>
    <row r="1528" spans="4:21">
      <c r="D1528" s="152" t="s">
        <v>2821</v>
      </c>
      <c r="G1528" s="474" t="s">
        <v>373</v>
      </c>
      <c r="H1528" s="210" t="s">
        <v>374</v>
      </c>
      <c r="I1528" s="210"/>
      <c r="J1528" s="513">
        <v>4517075</v>
      </c>
      <c r="K1528" s="513">
        <v>3215</v>
      </c>
      <c r="L1528" s="513">
        <v>1405</v>
      </c>
      <c r="M1528" s="513" t="s">
        <v>5881</v>
      </c>
      <c r="N1528" s="513" t="s">
        <v>1566</v>
      </c>
      <c r="O1528" s="513" t="s">
        <v>1407</v>
      </c>
      <c r="P1528" s="518" t="s">
        <v>5921</v>
      </c>
      <c r="Q1528" s="152" t="s">
        <v>5895</v>
      </c>
      <c r="R1528" s="152" t="s">
        <v>5922</v>
      </c>
      <c r="S1528" s="152" t="s">
        <v>5923</v>
      </c>
      <c r="T1528" s="152" t="s">
        <v>5924</v>
      </c>
      <c r="U1528" s="152" t="s">
        <v>786</v>
      </c>
    </row>
    <row r="1529" spans="4:21">
      <c r="D1529" s="152" t="s">
        <v>2821</v>
      </c>
      <c r="G1529" s="474" t="s">
        <v>373</v>
      </c>
      <c r="H1529" s="210" t="s">
        <v>374</v>
      </c>
      <c r="I1529" s="210"/>
      <c r="J1529" s="513">
        <v>4787537.5</v>
      </c>
      <c r="K1529" s="513">
        <v>3407.5</v>
      </c>
      <c r="L1529" s="513">
        <v>1405</v>
      </c>
      <c r="M1529" s="513" t="s">
        <v>5881</v>
      </c>
      <c r="N1529" s="513" t="s">
        <v>1566</v>
      </c>
      <c r="O1529" s="513" t="s">
        <v>1407</v>
      </c>
      <c r="P1529" s="518" t="s">
        <v>5925</v>
      </c>
      <c r="Q1529" s="152" t="s">
        <v>5895</v>
      </c>
      <c r="R1529" s="152" t="s">
        <v>5926</v>
      </c>
      <c r="S1529" s="152" t="s">
        <v>5923</v>
      </c>
      <c r="T1529" s="152" t="s">
        <v>5927</v>
      </c>
      <c r="U1529" s="152" t="s">
        <v>786</v>
      </c>
    </row>
    <row r="1530" spans="4:21">
      <c r="D1530" s="152" t="s">
        <v>2821</v>
      </c>
      <c r="G1530" s="474" t="s">
        <v>373</v>
      </c>
      <c r="H1530" s="210" t="s">
        <v>374</v>
      </c>
      <c r="I1530" s="210"/>
      <c r="J1530" s="513">
        <v>8284582.5</v>
      </c>
      <c r="K1530" s="513">
        <v>5896.5</v>
      </c>
      <c r="L1530" s="513">
        <v>1405</v>
      </c>
      <c r="M1530" s="513" t="s">
        <v>5881</v>
      </c>
      <c r="N1530" s="513" t="s">
        <v>1566</v>
      </c>
      <c r="O1530" s="513" t="s">
        <v>1407</v>
      </c>
      <c r="P1530" s="518" t="s">
        <v>5928</v>
      </c>
      <c r="Q1530" s="152" t="s">
        <v>5895</v>
      </c>
      <c r="R1530" s="152" t="s">
        <v>5929</v>
      </c>
      <c r="S1530" s="152" t="s">
        <v>5930</v>
      </c>
      <c r="T1530" s="152" t="s">
        <v>5931</v>
      </c>
      <c r="U1530" s="152" t="s">
        <v>786</v>
      </c>
    </row>
    <row r="1531" spans="4:21">
      <c r="D1531" s="152" t="s">
        <v>2821</v>
      </c>
      <c r="G1531" s="474" t="s">
        <v>373</v>
      </c>
      <c r="H1531" s="210" t="s">
        <v>374</v>
      </c>
      <c r="I1531" s="210"/>
      <c r="J1531" s="513">
        <v>-1124000</v>
      </c>
      <c r="K1531" s="513">
        <v>-800</v>
      </c>
      <c r="L1531" s="513">
        <v>1405</v>
      </c>
      <c r="M1531" s="513" t="s">
        <v>5881</v>
      </c>
      <c r="N1531" s="513" t="s">
        <v>1540</v>
      </c>
      <c r="O1531" s="513" t="s">
        <v>1407</v>
      </c>
      <c r="P1531" s="518" t="s">
        <v>5932</v>
      </c>
      <c r="Q1531" s="152" t="s">
        <v>5933</v>
      </c>
      <c r="R1531" s="152" t="s">
        <v>5934</v>
      </c>
      <c r="S1531" s="152" t="s">
        <v>5934</v>
      </c>
      <c r="T1531" s="152" t="s">
        <v>5935</v>
      </c>
      <c r="U1531" s="152" t="s">
        <v>786</v>
      </c>
    </row>
    <row r="1532" spans="4:21">
      <c r="D1532" s="152" t="s">
        <v>2821</v>
      </c>
      <c r="G1532" s="474" t="s">
        <v>373</v>
      </c>
      <c r="H1532" s="210" t="s">
        <v>374</v>
      </c>
      <c r="I1532" s="210"/>
      <c r="J1532" s="513">
        <v>-843000</v>
      </c>
      <c r="K1532" s="513">
        <v>-600</v>
      </c>
      <c r="L1532" s="513">
        <v>1405</v>
      </c>
      <c r="M1532" s="513" t="s">
        <v>5881</v>
      </c>
      <c r="N1532" s="513" t="s">
        <v>1540</v>
      </c>
      <c r="O1532" s="513" t="s">
        <v>1407</v>
      </c>
      <c r="P1532" s="518" t="s">
        <v>5936</v>
      </c>
      <c r="Q1532" s="152" t="s">
        <v>5933</v>
      </c>
      <c r="R1532" s="152" t="s">
        <v>5937</v>
      </c>
      <c r="S1532" s="152" t="s">
        <v>5937</v>
      </c>
      <c r="T1532" s="152" t="s">
        <v>5938</v>
      </c>
      <c r="U1532" s="152" t="s">
        <v>786</v>
      </c>
    </row>
    <row r="1533" spans="4:21">
      <c r="D1533" s="152" t="s">
        <v>2821</v>
      </c>
      <c r="G1533" s="474" t="s">
        <v>373</v>
      </c>
      <c r="H1533" s="210" t="s">
        <v>374</v>
      </c>
      <c r="I1533" s="210"/>
      <c r="J1533" s="513">
        <v>-983500</v>
      </c>
      <c r="K1533" s="513">
        <v>-700</v>
      </c>
      <c r="L1533" s="513">
        <v>1405</v>
      </c>
      <c r="M1533" s="513" t="s">
        <v>5881</v>
      </c>
      <c r="N1533" s="513" t="s">
        <v>1540</v>
      </c>
      <c r="O1533" s="513" t="s">
        <v>1407</v>
      </c>
      <c r="P1533" s="518" t="s">
        <v>5939</v>
      </c>
      <c r="Q1533" s="152" t="s">
        <v>5933</v>
      </c>
      <c r="R1533" s="152" t="s">
        <v>5940</v>
      </c>
      <c r="S1533" s="152" t="s">
        <v>5940</v>
      </c>
      <c r="T1533" s="152" t="s">
        <v>5941</v>
      </c>
      <c r="U1533" s="152" t="s">
        <v>786</v>
      </c>
    </row>
    <row r="1534" spans="4:21">
      <c r="D1534" s="152" t="s">
        <v>2821</v>
      </c>
      <c r="G1534" s="474" t="s">
        <v>373</v>
      </c>
      <c r="H1534" s="210" t="s">
        <v>374</v>
      </c>
      <c r="I1534" s="210"/>
      <c r="J1534" s="513">
        <v>-843000</v>
      </c>
      <c r="K1534" s="513">
        <v>-600</v>
      </c>
      <c r="L1534" s="513">
        <v>1405</v>
      </c>
      <c r="M1534" s="513" t="s">
        <v>5881</v>
      </c>
      <c r="N1534" s="513" t="s">
        <v>1540</v>
      </c>
      <c r="O1534" s="513" t="s">
        <v>1407</v>
      </c>
      <c r="P1534" s="518" t="s">
        <v>5942</v>
      </c>
      <c r="Q1534" s="152" t="s">
        <v>5933</v>
      </c>
      <c r="R1534" s="152" t="s">
        <v>5943</v>
      </c>
      <c r="S1534" s="152" t="s">
        <v>5943</v>
      </c>
      <c r="T1534" s="152" t="s">
        <v>5944</v>
      </c>
      <c r="U1534" s="152" t="s">
        <v>786</v>
      </c>
    </row>
    <row r="1535" spans="4:21">
      <c r="D1535" s="152" t="s">
        <v>2821</v>
      </c>
      <c r="G1535" s="474" t="s">
        <v>373</v>
      </c>
      <c r="H1535" s="210" t="s">
        <v>374</v>
      </c>
      <c r="I1535" s="210"/>
      <c r="J1535" s="513">
        <v>-1087470</v>
      </c>
      <c r="K1535" s="513">
        <v>-774</v>
      </c>
      <c r="L1535" s="513">
        <v>1405</v>
      </c>
      <c r="M1535" s="513" t="s">
        <v>5881</v>
      </c>
      <c r="N1535" s="513" t="s">
        <v>1540</v>
      </c>
      <c r="O1535" s="513" t="s">
        <v>1407</v>
      </c>
      <c r="P1535" s="518" t="s">
        <v>5945</v>
      </c>
      <c r="Q1535" s="152" t="s">
        <v>5933</v>
      </c>
      <c r="R1535" s="152" t="s">
        <v>5946</v>
      </c>
      <c r="S1535" s="152" t="s">
        <v>5946</v>
      </c>
      <c r="T1535" s="152" t="s">
        <v>5947</v>
      </c>
      <c r="U1535" s="152" t="s">
        <v>786</v>
      </c>
    </row>
    <row r="1536" spans="4:21">
      <c r="D1536" s="152" t="s">
        <v>2821</v>
      </c>
      <c r="G1536" s="474" t="s">
        <v>373</v>
      </c>
      <c r="H1536" s="210" t="s">
        <v>374</v>
      </c>
      <c r="I1536" s="210"/>
      <c r="J1536" s="513">
        <v>-7197112.5</v>
      </c>
      <c r="K1536" s="513">
        <v>-5122.5</v>
      </c>
      <c r="L1536" s="513">
        <v>1405</v>
      </c>
      <c r="M1536" s="513" t="s">
        <v>5881</v>
      </c>
      <c r="N1536" s="513" t="s">
        <v>1540</v>
      </c>
      <c r="O1536" s="513" t="s">
        <v>1407</v>
      </c>
      <c r="P1536" s="518" t="s">
        <v>5948</v>
      </c>
      <c r="Q1536" s="152" t="s">
        <v>5933</v>
      </c>
      <c r="R1536" s="152" t="s">
        <v>5949</v>
      </c>
      <c r="S1536" s="152" t="s">
        <v>5949</v>
      </c>
      <c r="T1536" s="152" t="s">
        <v>5950</v>
      </c>
      <c r="U1536" s="152" t="s">
        <v>786</v>
      </c>
    </row>
    <row r="1537" spans="4:21">
      <c r="D1537" s="152" t="s">
        <v>2821</v>
      </c>
      <c r="G1537" s="474" t="s">
        <v>373</v>
      </c>
      <c r="H1537" s="210" t="s">
        <v>374</v>
      </c>
      <c r="I1537" s="210"/>
      <c r="J1537" s="513">
        <v>2725700</v>
      </c>
      <c r="K1537" s="513">
        <v>1940</v>
      </c>
      <c r="L1537" s="513">
        <v>1405</v>
      </c>
      <c r="M1537" s="513" t="s">
        <v>5975</v>
      </c>
      <c r="N1537" s="513" t="s">
        <v>1566</v>
      </c>
      <c r="O1537" s="513" t="s">
        <v>1407</v>
      </c>
      <c r="P1537" s="518" t="s">
        <v>5996</v>
      </c>
      <c r="Q1537" s="152" t="s">
        <v>5895</v>
      </c>
      <c r="R1537" s="152" t="s">
        <v>5997</v>
      </c>
      <c r="S1537" s="152" t="s">
        <v>5998</v>
      </c>
      <c r="T1537" s="152" t="s">
        <v>5999</v>
      </c>
      <c r="U1537" s="152" t="s">
        <v>786</v>
      </c>
    </row>
    <row r="1538" spans="4:21">
      <c r="D1538" s="152" t="s">
        <v>2821</v>
      </c>
      <c r="G1538" s="474" t="s">
        <v>373</v>
      </c>
      <c r="H1538" s="210" t="s">
        <v>374</v>
      </c>
      <c r="I1538" s="210"/>
      <c r="J1538" s="513">
        <v>6649162.5</v>
      </c>
      <c r="K1538" s="513">
        <v>4732.5</v>
      </c>
      <c r="L1538" s="513">
        <v>1405</v>
      </c>
      <c r="M1538" s="513" t="s">
        <v>5975</v>
      </c>
      <c r="N1538" s="513" t="s">
        <v>1566</v>
      </c>
      <c r="O1538" s="513" t="s">
        <v>1407</v>
      </c>
      <c r="P1538" s="518" t="s">
        <v>6000</v>
      </c>
      <c r="Q1538" s="152" t="s">
        <v>5895</v>
      </c>
      <c r="R1538" s="152" t="s">
        <v>6001</v>
      </c>
      <c r="S1538" s="152" t="s">
        <v>5998</v>
      </c>
      <c r="T1538" s="152" t="s">
        <v>6002</v>
      </c>
      <c r="U1538" s="152" t="s">
        <v>786</v>
      </c>
    </row>
    <row r="1539" spans="4:21">
      <c r="D1539" s="152" t="s">
        <v>2821</v>
      </c>
      <c r="G1539" s="474" t="s">
        <v>373</v>
      </c>
      <c r="H1539" s="210" t="s">
        <v>374</v>
      </c>
      <c r="I1539" s="210"/>
      <c r="J1539" s="513">
        <v>3983175</v>
      </c>
      <c r="K1539" s="513">
        <v>2835</v>
      </c>
      <c r="L1539" s="513">
        <v>1405</v>
      </c>
      <c r="M1539" s="513" t="s">
        <v>5975</v>
      </c>
      <c r="N1539" s="513" t="s">
        <v>1566</v>
      </c>
      <c r="O1539" s="513" t="s">
        <v>1407</v>
      </c>
      <c r="P1539" s="518" t="s">
        <v>6003</v>
      </c>
      <c r="Q1539" s="152" t="s">
        <v>5895</v>
      </c>
      <c r="R1539" s="152" t="s">
        <v>6004</v>
      </c>
      <c r="S1539" s="152" t="s">
        <v>5998</v>
      </c>
      <c r="T1539" s="152" t="s">
        <v>6005</v>
      </c>
      <c r="U1539" s="152" t="s">
        <v>786</v>
      </c>
    </row>
    <row r="1540" spans="4:21">
      <c r="D1540" s="152" t="s">
        <v>2821</v>
      </c>
      <c r="G1540" s="474" t="s">
        <v>373</v>
      </c>
      <c r="H1540" s="210" t="s">
        <v>374</v>
      </c>
      <c r="I1540" s="210"/>
      <c r="J1540" s="513">
        <v>344225</v>
      </c>
      <c r="K1540" s="513">
        <v>245</v>
      </c>
      <c r="L1540" s="513">
        <v>1405</v>
      </c>
      <c r="M1540" s="513" t="s">
        <v>5975</v>
      </c>
      <c r="N1540" s="513" t="s">
        <v>1566</v>
      </c>
      <c r="O1540" s="513" t="s">
        <v>1407</v>
      </c>
      <c r="P1540" s="518" t="s">
        <v>6006</v>
      </c>
      <c r="Q1540" s="152" t="s">
        <v>5895</v>
      </c>
      <c r="R1540" s="152" t="s">
        <v>6007</v>
      </c>
      <c r="S1540" s="152" t="s">
        <v>6008</v>
      </c>
      <c r="T1540" s="152" t="s">
        <v>6009</v>
      </c>
      <c r="U1540" s="152" t="s">
        <v>786</v>
      </c>
    </row>
    <row r="1541" spans="4:21">
      <c r="D1541" s="152" t="s">
        <v>2821</v>
      </c>
      <c r="G1541" s="474" t="s">
        <v>373</v>
      </c>
      <c r="H1541" s="210" t="s">
        <v>374</v>
      </c>
      <c r="I1541" s="210"/>
      <c r="J1541" s="513">
        <v>344225</v>
      </c>
      <c r="K1541" s="513">
        <v>245</v>
      </c>
      <c r="L1541" s="513">
        <v>1405</v>
      </c>
      <c r="M1541" s="513" t="s">
        <v>5975</v>
      </c>
      <c r="N1541" s="513" t="s">
        <v>1566</v>
      </c>
      <c r="O1541" s="513" t="s">
        <v>1407</v>
      </c>
      <c r="P1541" s="518" t="s">
        <v>6010</v>
      </c>
      <c r="Q1541" s="152" t="s">
        <v>5895</v>
      </c>
      <c r="R1541" s="152" t="s">
        <v>6011</v>
      </c>
      <c r="S1541" s="152" t="s">
        <v>6008</v>
      </c>
      <c r="T1541" s="152" t="s">
        <v>6012</v>
      </c>
      <c r="U1541" s="152" t="s">
        <v>786</v>
      </c>
    </row>
    <row r="1542" spans="4:21">
      <c r="D1542" s="152" t="s">
        <v>2821</v>
      </c>
      <c r="G1542" s="474" t="s">
        <v>373</v>
      </c>
      <c r="H1542" s="210" t="s">
        <v>374</v>
      </c>
      <c r="I1542" s="210"/>
      <c r="J1542" s="513">
        <v>-3161250</v>
      </c>
      <c r="K1542" s="513">
        <v>-2250</v>
      </c>
      <c r="L1542" s="513">
        <v>1405</v>
      </c>
      <c r="M1542" s="513" t="s">
        <v>5975</v>
      </c>
      <c r="N1542" s="513" t="s">
        <v>1540</v>
      </c>
      <c r="O1542" s="513" t="s">
        <v>1407</v>
      </c>
      <c r="P1542" s="518" t="s">
        <v>6013</v>
      </c>
      <c r="Q1542" s="152" t="s">
        <v>5933</v>
      </c>
      <c r="R1542" s="152" t="s">
        <v>6014</v>
      </c>
      <c r="S1542" s="152" t="s">
        <v>6014</v>
      </c>
      <c r="T1542" s="152" t="s">
        <v>6015</v>
      </c>
      <c r="U1542" s="152" t="s">
        <v>786</v>
      </c>
    </row>
    <row r="1543" spans="4:21">
      <c r="D1543" s="152" t="s">
        <v>2821</v>
      </c>
      <c r="G1543" s="474" t="s">
        <v>373</v>
      </c>
      <c r="H1543" s="210" t="s">
        <v>374</v>
      </c>
      <c r="I1543" s="210"/>
      <c r="J1543" s="513">
        <v>-2177750</v>
      </c>
      <c r="K1543" s="513">
        <v>-1550</v>
      </c>
      <c r="L1543" s="513">
        <v>1405</v>
      </c>
      <c r="M1543" s="513" t="s">
        <v>5975</v>
      </c>
      <c r="N1543" s="513" t="s">
        <v>1540</v>
      </c>
      <c r="O1543" s="513" t="s">
        <v>1407</v>
      </c>
      <c r="P1543" s="518" t="s">
        <v>6016</v>
      </c>
      <c r="Q1543" s="152" t="s">
        <v>5933</v>
      </c>
      <c r="R1543" s="152" t="s">
        <v>6017</v>
      </c>
      <c r="S1543" s="152" t="s">
        <v>6017</v>
      </c>
      <c r="T1543" s="152" t="s">
        <v>6018</v>
      </c>
      <c r="U1543" s="152" t="s">
        <v>786</v>
      </c>
    </row>
    <row r="1544" spans="4:21">
      <c r="D1544" s="152" t="s">
        <v>2821</v>
      </c>
      <c r="G1544" s="474" t="s">
        <v>373</v>
      </c>
      <c r="H1544" s="210" t="s">
        <v>374</v>
      </c>
      <c r="I1544" s="210"/>
      <c r="J1544" s="513">
        <v>-4141237.5</v>
      </c>
      <c r="K1544" s="513">
        <v>-2947.5</v>
      </c>
      <c r="L1544" s="513">
        <v>1405</v>
      </c>
      <c r="M1544" s="513" t="s">
        <v>6019</v>
      </c>
      <c r="N1544" s="513" t="s">
        <v>1540</v>
      </c>
      <c r="O1544" s="513" t="s">
        <v>1407</v>
      </c>
      <c r="P1544" s="518" t="s">
        <v>6020</v>
      </c>
      <c r="Q1544" s="152" t="s">
        <v>5933</v>
      </c>
      <c r="R1544" s="152" t="s">
        <v>6021</v>
      </c>
      <c r="S1544" s="152" t="s">
        <v>6021</v>
      </c>
      <c r="T1544" s="152" t="s">
        <v>6022</v>
      </c>
      <c r="U1544" s="152" t="s">
        <v>786</v>
      </c>
    </row>
    <row r="1545" spans="4:21">
      <c r="D1545" s="152" t="s">
        <v>2821</v>
      </c>
      <c r="G1545" s="474" t="s">
        <v>373</v>
      </c>
      <c r="H1545" s="210" t="s">
        <v>374</v>
      </c>
      <c r="I1545" s="210"/>
      <c r="J1545" s="513">
        <v>5985300</v>
      </c>
      <c r="K1545" s="513">
        <v>4260</v>
      </c>
      <c r="L1545" s="513">
        <v>1405</v>
      </c>
      <c r="M1545" s="513" t="s">
        <v>6059</v>
      </c>
      <c r="N1545" s="513" t="s">
        <v>1566</v>
      </c>
      <c r="O1545" s="513" t="s">
        <v>1407</v>
      </c>
      <c r="P1545" s="518" t="s">
        <v>6218</v>
      </c>
      <c r="Q1545" s="152" t="s">
        <v>5895</v>
      </c>
      <c r="R1545" s="152" t="s">
        <v>6219</v>
      </c>
      <c r="S1545" s="152" t="s">
        <v>6220</v>
      </c>
      <c r="T1545" s="152" t="s">
        <v>6221</v>
      </c>
      <c r="U1545" s="152" t="s">
        <v>786</v>
      </c>
    </row>
    <row r="1546" spans="4:21">
      <c r="D1546" s="152" t="s">
        <v>2821</v>
      </c>
      <c r="G1546" s="474" t="s">
        <v>373</v>
      </c>
      <c r="H1546" s="210" t="s">
        <v>374</v>
      </c>
      <c r="I1546" s="210"/>
      <c r="J1546" s="513">
        <v>7632662.5</v>
      </c>
      <c r="K1546" s="513">
        <v>5432.5</v>
      </c>
      <c r="L1546" s="513">
        <v>1405</v>
      </c>
      <c r="M1546" s="513" t="s">
        <v>6059</v>
      </c>
      <c r="N1546" s="513" t="s">
        <v>1566</v>
      </c>
      <c r="O1546" s="513" t="s">
        <v>1407</v>
      </c>
      <c r="P1546" s="518" t="s">
        <v>6222</v>
      </c>
      <c r="Q1546" s="152" t="s">
        <v>5895</v>
      </c>
      <c r="R1546" s="152" t="s">
        <v>6223</v>
      </c>
      <c r="S1546" s="152" t="s">
        <v>6220</v>
      </c>
      <c r="T1546" s="152" t="s">
        <v>6224</v>
      </c>
      <c r="U1546" s="152" t="s">
        <v>786</v>
      </c>
    </row>
    <row r="1547" spans="4:21">
      <c r="D1547" s="152" t="s">
        <v>2821</v>
      </c>
      <c r="G1547" s="474" t="s">
        <v>373</v>
      </c>
      <c r="H1547" s="210" t="s">
        <v>374</v>
      </c>
      <c r="I1547" s="210"/>
      <c r="J1547" s="513">
        <v>5209037.5</v>
      </c>
      <c r="K1547" s="513">
        <v>3707.5</v>
      </c>
      <c r="L1547" s="513">
        <v>1405</v>
      </c>
      <c r="M1547" s="513" t="s">
        <v>6059</v>
      </c>
      <c r="N1547" s="513" t="s">
        <v>1566</v>
      </c>
      <c r="O1547" s="513" t="s">
        <v>1407</v>
      </c>
      <c r="P1547" s="518" t="s">
        <v>6225</v>
      </c>
      <c r="Q1547" s="152" t="s">
        <v>5895</v>
      </c>
      <c r="R1547" s="152" t="s">
        <v>6226</v>
      </c>
      <c r="S1547" s="152" t="s">
        <v>6227</v>
      </c>
      <c r="T1547" s="152" t="s">
        <v>6228</v>
      </c>
      <c r="U1547" s="152" t="s">
        <v>786</v>
      </c>
    </row>
    <row r="1548" spans="4:21">
      <c r="D1548" s="152" t="s">
        <v>2821</v>
      </c>
      <c r="G1548" s="474" t="s">
        <v>373</v>
      </c>
      <c r="H1548" s="210" t="s">
        <v>374</v>
      </c>
      <c r="I1548" s="210"/>
      <c r="J1548" s="513">
        <v>3414150</v>
      </c>
      <c r="K1548" s="513">
        <v>2430</v>
      </c>
      <c r="L1548" s="513">
        <v>1405</v>
      </c>
      <c r="M1548" s="513" t="s">
        <v>6059</v>
      </c>
      <c r="N1548" s="513" t="s">
        <v>1566</v>
      </c>
      <c r="O1548" s="513" t="s">
        <v>1407</v>
      </c>
      <c r="P1548" s="518" t="s">
        <v>6229</v>
      </c>
      <c r="Q1548" s="152" t="s">
        <v>5895</v>
      </c>
      <c r="R1548" s="152" t="s">
        <v>6230</v>
      </c>
      <c r="S1548" s="152" t="s">
        <v>6227</v>
      </c>
      <c r="T1548" s="152" t="s">
        <v>6231</v>
      </c>
      <c r="U1548" s="152" t="s">
        <v>786</v>
      </c>
    </row>
    <row r="1549" spans="4:21">
      <c r="D1549" s="152" t="s">
        <v>2821</v>
      </c>
      <c r="G1549" s="474" t="s">
        <v>373</v>
      </c>
      <c r="H1549" s="210" t="s">
        <v>374</v>
      </c>
      <c r="I1549" s="210"/>
      <c r="J1549" s="513">
        <v>3702175</v>
      </c>
      <c r="K1549" s="513">
        <v>2635</v>
      </c>
      <c r="L1549" s="513">
        <v>1405</v>
      </c>
      <c r="M1549" s="513" t="s">
        <v>6059</v>
      </c>
      <c r="N1549" s="513" t="s">
        <v>1566</v>
      </c>
      <c r="O1549" s="513" t="s">
        <v>1407</v>
      </c>
      <c r="P1549" s="518" t="s">
        <v>6232</v>
      </c>
      <c r="Q1549" s="152" t="s">
        <v>5895</v>
      </c>
      <c r="R1549" s="152" t="s">
        <v>6233</v>
      </c>
      <c r="S1549" s="152" t="s">
        <v>6227</v>
      </c>
      <c r="T1549" s="152" t="s">
        <v>6234</v>
      </c>
      <c r="U1549" s="152" t="s">
        <v>786</v>
      </c>
    </row>
    <row r="1550" spans="4:21">
      <c r="D1550" s="152" t="s">
        <v>2821</v>
      </c>
      <c r="G1550" s="474" t="s">
        <v>373</v>
      </c>
      <c r="H1550" s="210" t="s">
        <v>374</v>
      </c>
      <c r="I1550" s="210"/>
      <c r="J1550" s="513">
        <v>4060450</v>
      </c>
      <c r="K1550" s="513">
        <v>2890</v>
      </c>
      <c r="L1550" s="513">
        <v>1405</v>
      </c>
      <c r="M1550" s="513" t="s">
        <v>6059</v>
      </c>
      <c r="N1550" s="513" t="s">
        <v>1566</v>
      </c>
      <c r="O1550" s="513" t="s">
        <v>1407</v>
      </c>
      <c r="P1550" s="518" t="s">
        <v>6235</v>
      </c>
      <c r="Q1550" s="152" t="s">
        <v>5895</v>
      </c>
      <c r="R1550" s="152" t="s">
        <v>6236</v>
      </c>
      <c r="S1550" s="152" t="s">
        <v>6227</v>
      </c>
      <c r="T1550" s="152" t="s">
        <v>6237</v>
      </c>
      <c r="U1550" s="152" t="s">
        <v>786</v>
      </c>
    </row>
    <row r="1551" spans="4:21">
      <c r="D1551" s="152" t="s">
        <v>2821</v>
      </c>
      <c r="G1551" s="474" t="s">
        <v>373</v>
      </c>
      <c r="H1551" s="210" t="s">
        <v>374</v>
      </c>
      <c r="I1551" s="210"/>
      <c r="J1551" s="513">
        <v>3544112.5</v>
      </c>
      <c r="K1551" s="513">
        <v>2522.5</v>
      </c>
      <c r="L1551" s="513">
        <v>1405</v>
      </c>
      <c r="M1551" s="513" t="s">
        <v>6059</v>
      </c>
      <c r="N1551" s="513" t="s">
        <v>1566</v>
      </c>
      <c r="O1551" s="513" t="s">
        <v>1407</v>
      </c>
      <c r="P1551" s="518" t="s">
        <v>6238</v>
      </c>
      <c r="Q1551" s="152" t="s">
        <v>5895</v>
      </c>
      <c r="R1551" s="152" t="s">
        <v>6239</v>
      </c>
      <c r="S1551" s="152" t="s">
        <v>6240</v>
      </c>
      <c r="T1551" s="152" t="s">
        <v>6241</v>
      </c>
      <c r="U1551" s="152" t="s">
        <v>786</v>
      </c>
    </row>
    <row r="1552" spans="4:21">
      <c r="D1552" s="152" t="s">
        <v>2821</v>
      </c>
      <c r="G1552" s="474" t="s">
        <v>373</v>
      </c>
      <c r="H1552" s="210" t="s">
        <v>374</v>
      </c>
      <c r="I1552" s="210"/>
      <c r="J1552" s="513">
        <v>5019362.5</v>
      </c>
      <c r="K1552" s="513">
        <v>3572.5</v>
      </c>
      <c r="L1552" s="513">
        <v>1405</v>
      </c>
      <c r="M1552" s="513" t="s">
        <v>6059</v>
      </c>
      <c r="N1552" s="513" t="s">
        <v>1566</v>
      </c>
      <c r="O1552" s="513" t="s">
        <v>1407</v>
      </c>
      <c r="P1552" s="518" t="s">
        <v>6242</v>
      </c>
      <c r="Q1552" s="152" t="s">
        <v>5895</v>
      </c>
      <c r="R1552" s="152" t="s">
        <v>6243</v>
      </c>
      <c r="S1552" s="152" t="s">
        <v>6240</v>
      </c>
      <c r="T1552" s="152" t="s">
        <v>6244</v>
      </c>
      <c r="U1552" s="152" t="s">
        <v>786</v>
      </c>
    </row>
    <row r="1553" spans="4:21">
      <c r="D1553" s="152" t="s">
        <v>2821</v>
      </c>
      <c r="G1553" s="474" t="s">
        <v>373</v>
      </c>
      <c r="H1553" s="210" t="s">
        <v>374</v>
      </c>
      <c r="I1553" s="210"/>
      <c r="J1553" s="513">
        <v>1408512.5</v>
      </c>
      <c r="K1553" s="513">
        <v>1002.5</v>
      </c>
      <c r="L1553" s="513">
        <v>1405</v>
      </c>
      <c r="M1553" s="513" t="s">
        <v>6059</v>
      </c>
      <c r="N1553" s="513" t="s">
        <v>1566</v>
      </c>
      <c r="O1553" s="513" t="s">
        <v>1407</v>
      </c>
      <c r="P1553" s="518" t="s">
        <v>6245</v>
      </c>
      <c r="Q1553" s="152" t="s">
        <v>5895</v>
      </c>
      <c r="R1553" s="152" t="s">
        <v>6246</v>
      </c>
      <c r="S1553" s="152" t="s">
        <v>6240</v>
      </c>
      <c r="T1553" s="152" t="s">
        <v>6247</v>
      </c>
      <c r="U1553" s="152" t="s">
        <v>786</v>
      </c>
    </row>
    <row r="1554" spans="4:21">
      <c r="D1554" s="152" t="s">
        <v>2821</v>
      </c>
      <c r="G1554" s="474" t="s">
        <v>373</v>
      </c>
      <c r="H1554" s="210" t="s">
        <v>374</v>
      </c>
      <c r="I1554" s="210"/>
      <c r="J1554" s="513">
        <v>1952950</v>
      </c>
      <c r="K1554" s="513">
        <v>1390</v>
      </c>
      <c r="L1554" s="513">
        <v>1405</v>
      </c>
      <c r="M1554" s="513" t="s">
        <v>6059</v>
      </c>
      <c r="N1554" s="513" t="s">
        <v>1566</v>
      </c>
      <c r="O1554" s="513" t="s">
        <v>1407</v>
      </c>
      <c r="P1554" s="518" t="s">
        <v>6248</v>
      </c>
      <c r="Q1554" s="152" t="s">
        <v>5895</v>
      </c>
      <c r="R1554" s="152" t="s">
        <v>6249</v>
      </c>
      <c r="S1554" s="152" t="s">
        <v>6240</v>
      </c>
      <c r="T1554" s="152" t="s">
        <v>6250</v>
      </c>
      <c r="U1554" s="152" t="s">
        <v>786</v>
      </c>
    </row>
    <row r="1555" spans="4:21">
      <c r="D1555" s="152" t="s">
        <v>2821</v>
      </c>
      <c r="G1555" s="474" t="s">
        <v>373</v>
      </c>
      <c r="H1555" s="210" t="s">
        <v>374</v>
      </c>
      <c r="I1555" s="210"/>
      <c r="J1555" s="513">
        <v>1362850</v>
      </c>
      <c r="K1555" s="513">
        <v>970</v>
      </c>
      <c r="L1555" s="513">
        <v>1405</v>
      </c>
      <c r="M1555" s="513" t="s">
        <v>6059</v>
      </c>
      <c r="N1555" s="513" t="s">
        <v>1566</v>
      </c>
      <c r="O1555" s="513" t="s">
        <v>1407</v>
      </c>
      <c r="P1555" s="518" t="s">
        <v>6251</v>
      </c>
      <c r="Q1555" s="152" t="s">
        <v>5895</v>
      </c>
      <c r="R1555" s="152" t="s">
        <v>6252</v>
      </c>
      <c r="S1555" s="152" t="s">
        <v>6240</v>
      </c>
      <c r="T1555" s="152" t="s">
        <v>6253</v>
      </c>
      <c r="U1555" s="152" t="s">
        <v>786</v>
      </c>
    </row>
    <row r="1556" spans="4:21">
      <c r="D1556" s="152" t="s">
        <v>2821</v>
      </c>
      <c r="G1556" s="474" t="s">
        <v>373</v>
      </c>
      <c r="H1556" s="210" t="s">
        <v>374</v>
      </c>
      <c r="I1556" s="210"/>
      <c r="J1556" s="513">
        <v>3175300</v>
      </c>
      <c r="K1556" s="513">
        <v>2260</v>
      </c>
      <c r="L1556" s="513">
        <v>1405</v>
      </c>
      <c r="M1556" s="513" t="s">
        <v>6059</v>
      </c>
      <c r="N1556" s="513" t="s">
        <v>1566</v>
      </c>
      <c r="O1556" s="513" t="s">
        <v>1407</v>
      </c>
      <c r="P1556" s="518" t="s">
        <v>6254</v>
      </c>
      <c r="Q1556" s="152" t="s">
        <v>5895</v>
      </c>
      <c r="R1556" s="152" t="s">
        <v>6255</v>
      </c>
      <c r="S1556" s="152" t="s">
        <v>6240</v>
      </c>
      <c r="T1556" s="152" t="s">
        <v>6256</v>
      </c>
      <c r="U1556" s="152" t="s">
        <v>786</v>
      </c>
    </row>
    <row r="1557" spans="4:21">
      <c r="D1557" s="152" t="s">
        <v>2821</v>
      </c>
      <c r="G1557" s="474" t="s">
        <v>373</v>
      </c>
      <c r="H1557" s="210" t="s">
        <v>374</v>
      </c>
      <c r="I1557" s="210"/>
      <c r="J1557" s="513">
        <v>2567637.5</v>
      </c>
      <c r="K1557" s="513">
        <v>1827.5</v>
      </c>
      <c r="L1557" s="513">
        <v>1405</v>
      </c>
      <c r="M1557" s="513" t="s">
        <v>6059</v>
      </c>
      <c r="N1557" s="513" t="s">
        <v>1566</v>
      </c>
      <c r="O1557" s="513" t="s">
        <v>1407</v>
      </c>
      <c r="P1557" s="518" t="s">
        <v>6257</v>
      </c>
      <c r="Q1557" s="152" t="s">
        <v>5895</v>
      </c>
      <c r="R1557" s="152" t="s">
        <v>6258</v>
      </c>
      <c r="S1557" s="152" t="s">
        <v>6259</v>
      </c>
      <c r="T1557" s="152" t="s">
        <v>6260</v>
      </c>
      <c r="U1557" s="152" t="s">
        <v>786</v>
      </c>
    </row>
    <row r="1558" spans="4:21">
      <c r="D1558" s="152" t="s">
        <v>2821</v>
      </c>
      <c r="G1558" s="474" t="s">
        <v>373</v>
      </c>
      <c r="H1558" s="210" t="s">
        <v>374</v>
      </c>
      <c r="I1558" s="210"/>
      <c r="J1558" s="513">
        <v>2352672.5</v>
      </c>
      <c r="K1558" s="513">
        <v>1674.5</v>
      </c>
      <c r="L1558" s="513">
        <v>1405</v>
      </c>
      <c r="M1558" s="513" t="s">
        <v>6059</v>
      </c>
      <c r="N1558" s="513" t="s">
        <v>1566</v>
      </c>
      <c r="O1558" s="513" t="s">
        <v>1407</v>
      </c>
      <c r="P1558" s="518" t="s">
        <v>6261</v>
      </c>
      <c r="Q1558" s="152" t="s">
        <v>5895</v>
      </c>
      <c r="R1558" s="152" t="s">
        <v>6262</v>
      </c>
      <c r="S1558" s="152" t="s">
        <v>6259</v>
      </c>
      <c r="T1558" s="152" t="s">
        <v>6263</v>
      </c>
      <c r="U1558" s="152" t="s">
        <v>786</v>
      </c>
    </row>
    <row r="1559" spans="4:21">
      <c r="D1559" s="152" t="s">
        <v>2821</v>
      </c>
      <c r="G1559" s="474" t="s">
        <v>373</v>
      </c>
      <c r="H1559" s="210" t="s">
        <v>374</v>
      </c>
      <c r="I1559" s="210"/>
      <c r="J1559" s="513">
        <v>2606275</v>
      </c>
      <c r="K1559" s="513">
        <v>1855</v>
      </c>
      <c r="L1559" s="513">
        <v>1405</v>
      </c>
      <c r="M1559" s="513" t="s">
        <v>6059</v>
      </c>
      <c r="N1559" s="513" t="s">
        <v>1566</v>
      </c>
      <c r="O1559" s="513" t="s">
        <v>1407</v>
      </c>
      <c r="P1559" s="518" t="s">
        <v>6264</v>
      </c>
      <c r="Q1559" s="152" t="s">
        <v>5895</v>
      </c>
      <c r="R1559" s="152" t="s">
        <v>6265</v>
      </c>
      <c r="S1559" s="152" t="s">
        <v>6259</v>
      </c>
      <c r="T1559" s="152" t="s">
        <v>6266</v>
      </c>
      <c r="U1559" s="152" t="s">
        <v>786</v>
      </c>
    </row>
    <row r="1560" spans="4:21">
      <c r="D1560" s="152" t="s">
        <v>2821</v>
      </c>
      <c r="G1560" s="474" t="s">
        <v>373</v>
      </c>
      <c r="H1560" s="210" t="s">
        <v>374</v>
      </c>
      <c r="I1560" s="210"/>
      <c r="J1560" s="513">
        <v>2553587.5</v>
      </c>
      <c r="K1560" s="513">
        <v>1817.5</v>
      </c>
      <c r="L1560" s="513">
        <v>1405</v>
      </c>
      <c r="M1560" s="513" t="s">
        <v>6059</v>
      </c>
      <c r="N1560" s="513" t="s">
        <v>1566</v>
      </c>
      <c r="O1560" s="513" t="s">
        <v>1407</v>
      </c>
      <c r="P1560" s="518" t="s">
        <v>6267</v>
      </c>
      <c r="Q1560" s="152" t="s">
        <v>5895</v>
      </c>
      <c r="R1560" s="152" t="s">
        <v>6268</v>
      </c>
      <c r="S1560" s="152" t="s">
        <v>6259</v>
      </c>
      <c r="T1560" s="152" t="s">
        <v>6269</v>
      </c>
      <c r="U1560" s="152" t="s">
        <v>786</v>
      </c>
    </row>
    <row r="1561" spans="4:21">
      <c r="D1561" s="152" t="s">
        <v>2821</v>
      </c>
      <c r="G1561" s="474" t="s">
        <v>373</v>
      </c>
      <c r="H1561" s="210" t="s">
        <v>374</v>
      </c>
      <c r="I1561" s="210"/>
      <c r="J1561" s="513">
        <v>-6561350</v>
      </c>
      <c r="K1561" s="513">
        <v>-4670</v>
      </c>
      <c r="L1561" s="513">
        <v>1405</v>
      </c>
      <c r="M1561" s="513" t="s">
        <v>6296</v>
      </c>
      <c r="N1561" s="513" t="s">
        <v>1540</v>
      </c>
      <c r="O1561" s="513" t="s">
        <v>1407</v>
      </c>
      <c r="P1561" s="518" t="s">
        <v>6297</v>
      </c>
      <c r="Q1561" s="152" t="s">
        <v>5933</v>
      </c>
      <c r="R1561" s="152" t="s">
        <v>6298</v>
      </c>
      <c r="S1561" s="152" t="s">
        <v>6298</v>
      </c>
      <c r="T1561" s="152" t="s">
        <v>6299</v>
      </c>
      <c r="U1561" s="152" t="s">
        <v>786</v>
      </c>
    </row>
    <row r="1562" spans="4:21">
      <c r="D1562" s="152" t="s">
        <v>2821</v>
      </c>
      <c r="G1562" s="474" t="s">
        <v>373</v>
      </c>
      <c r="H1562" s="210" t="s">
        <v>374</v>
      </c>
      <c r="I1562" s="210"/>
      <c r="J1562" s="513">
        <v>6561350</v>
      </c>
      <c r="K1562" s="513">
        <v>4670</v>
      </c>
      <c r="L1562" s="513">
        <v>1405</v>
      </c>
      <c r="M1562" s="513" t="s">
        <v>6296</v>
      </c>
      <c r="N1562" s="513" t="s">
        <v>1540</v>
      </c>
      <c r="O1562" s="513" t="s">
        <v>1407</v>
      </c>
      <c r="P1562" s="518" t="s">
        <v>6300</v>
      </c>
      <c r="Q1562" s="152" t="s">
        <v>5933</v>
      </c>
      <c r="R1562" s="152" t="s">
        <v>6301</v>
      </c>
      <c r="S1562" s="152" t="s">
        <v>6301</v>
      </c>
      <c r="T1562" s="152" t="s">
        <v>6302</v>
      </c>
      <c r="U1562" s="152" t="s">
        <v>786</v>
      </c>
    </row>
    <row r="1563" spans="4:21">
      <c r="D1563" s="152" t="s">
        <v>2821</v>
      </c>
      <c r="G1563" s="474" t="s">
        <v>373</v>
      </c>
      <c r="H1563" s="210" t="s">
        <v>374</v>
      </c>
      <c r="I1563" s="210"/>
      <c r="J1563" s="513">
        <v>3976150</v>
      </c>
      <c r="K1563" s="513">
        <v>2830</v>
      </c>
      <c r="L1563" s="513">
        <v>1405</v>
      </c>
      <c r="M1563" s="513" t="s">
        <v>6303</v>
      </c>
      <c r="N1563" s="513" t="s">
        <v>1566</v>
      </c>
      <c r="O1563" s="513" t="s">
        <v>1407</v>
      </c>
      <c r="P1563" s="518" t="s">
        <v>6574</v>
      </c>
      <c r="Q1563" s="152" t="s">
        <v>5895</v>
      </c>
      <c r="R1563" s="152" t="s">
        <v>6575</v>
      </c>
      <c r="S1563" s="152" t="s">
        <v>6576</v>
      </c>
      <c r="T1563" s="152" t="s">
        <v>6577</v>
      </c>
      <c r="U1563" s="152" t="s">
        <v>786</v>
      </c>
    </row>
    <row r="1564" spans="4:21">
      <c r="D1564" s="152" t="s">
        <v>2821</v>
      </c>
      <c r="G1564" s="474" t="s">
        <v>373</v>
      </c>
      <c r="H1564" s="210" t="s">
        <v>374</v>
      </c>
      <c r="I1564" s="210"/>
      <c r="J1564" s="513">
        <v>5184450</v>
      </c>
      <c r="K1564" s="513">
        <v>3690</v>
      </c>
      <c r="L1564" s="513">
        <v>1405</v>
      </c>
      <c r="M1564" s="513" t="s">
        <v>6303</v>
      </c>
      <c r="N1564" s="513" t="s">
        <v>1566</v>
      </c>
      <c r="O1564" s="513" t="s">
        <v>1407</v>
      </c>
      <c r="P1564" s="518" t="s">
        <v>6578</v>
      </c>
      <c r="Q1564" s="152" t="s">
        <v>5895</v>
      </c>
      <c r="R1564" s="152" t="s">
        <v>6579</v>
      </c>
      <c r="S1564" s="152" t="s">
        <v>6576</v>
      </c>
      <c r="T1564" s="152" t="s">
        <v>6580</v>
      </c>
      <c r="U1564" s="152" t="s">
        <v>786</v>
      </c>
    </row>
    <row r="1565" spans="4:21">
      <c r="D1565" s="152" t="s">
        <v>2821</v>
      </c>
      <c r="G1565" s="474" t="s">
        <v>373</v>
      </c>
      <c r="H1565" s="210" t="s">
        <v>374</v>
      </c>
      <c r="I1565" s="210"/>
      <c r="J1565" s="513">
        <v>4777000</v>
      </c>
      <c r="K1565" s="513">
        <v>3400</v>
      </c>
      <c r="L1565" s="513">
        <v>1405</v>
      </c>
      <c r="M1565" s="513" t="s">
        <v>6303</v>
      </c>
      <c r="N1565" s="513" t="s">
        <v>1566</v>
      </c>
      <c r="O1565" s="513" t="s">
        <v>1407</v>
      </c>
      <c r="P1565" s="518" t="s">
        <v>6581</v>
      </c>
      <c r="Q1565" s="152" t="s">
        <v>5895</v>
      </c>
      <c r="R1565" s="152" t="s">
        <v>6582</v>
      </c>
      <c r="S1565" s="152" t="s">
        <v>6576</v>
      </c>
      <c r="T1565" s="152" t="s">
        <v>6583</v>
      </c>
      <c r="U1565" s="152" t="s">
        <v>786</v>
      </c>
    </row>
    <row r="1566" spans="4:21">
      <c r="D1566" s="152" t="s">
        <v>2821</v>
      </c>
      <c r="G1566" s="474" t="s">
        <v>373</v>
      </c>
      <c r="H1566" s="210" t="s">
        <v>374</v>
      </c>
      <c r="I1566" s="210"/>
      <c r="J1566" s="513">
        <v>3298237.5</v>
      </c>
      <c r="K1566" s="513">
        <v>2347.5</v>
      </c>
      <c r="L1566" s="513">
        <v>1405</v>
      </c>
      <c r="M1566" s="513" t="s">
        <v>6303</v>
      </c>
      <c r="N1566" s="513" t="s">
        <v>1566</v>
      </c>
      <c r="O1566" s="513" t="s">
        <v>1407</v>
      </c>
      <c r="P1566" s="518" t="s">
        <v>6584</v>
      </c>
      <c r="Q1566" s="152" t="s">
        <v>5895</v>
      </c>
      <c r="R1566" s="152" t="s">
        <v>6585</v>
      </c>
      <c r="S1566" s="152" t="s">
        <v>6576</v>
      </c>
      <c r="T1566" s="152" t="s">
        <v>6586</v>
      </c>
      <c r="U1566" s="152" t="s">
        <v>786</v>
      </c>
    </row>
    <row r="1567" spans="4:21">
      <c r="D1567" s="152" t="s">
        <v>2821</v>
      </c>
      <c r="G1567" s="474" t="s">
        <v>373</v>
      </c>
      <c r="H1567" s="210" t="s">
        <v>374</v>
      </c>
      <c r="I1567" s="210"/>
      <c r="J1567" s="513">
        <v>11689600</v>
      </c>
      <c r="K1567" s="513">
        <v>8320</v>
      </c>
      <c r="L1567" s="513">
        <v>1405</v>
      </c>
      <c r="M1567" s="513" t="s">
        <v>6303</v>
      </c>
      <c r="N1567" s="513" t="s">
        <v>1566</v>
      </c>
      <c r="O1567" s="513" t="s">
        <v>1407</v>
      </c>
      <c r="P1567" s="518" t="s">
        <v>6587</v>
      </c>
      <c r="Q1567" s="152" t="s">
        <v>5895</v>
      </c>
      <c r="R1567" s="152" t="s">
        <v>6588</v>
      </c>
      <c r="S1567" s="152" t="s">
        <v>6589</v>
      </c>
      <c r="T1567" s="152" t="s">
        <v>6590</v>
      </c>
      <c r="U1567" s="152" t="s">
        <v>786</v>
      </c>
    </row>
    <row r="1568" spans="4:21">
      <c r="D1568" s="152" t="s">
        <v>2821</v>
      </c>
      <c r="G1568" s="474" t="s">
        <v>373</v>
      </c>
      <c r="H1568" s="210" t="s">
        <v>374</v>
      </c>
      <c r="I1568" s="210"/>
      <c r="J1568" s="513">
        <v>3881312.5</v>
      </c>
      <c r="K1568" s="513">
        <v>2762.5</v>
      </c>
      <c r="L1568" s="513">
        <v>1405</v>
      </c>
      <c r="M1568" s="513" t="s">
        <v>6303</v>
      </c>
      <c r="N1568" s="513" t="s">
        <v>1566</v>
      </c>
      <c r="O1568" s="513" t="s">
        <v>1407</v>
      </c>
      <c r="P1568" s="518" t="s">
        <v>6591</v>
      </c>
      <c r="Q1568" s="152" t="s">
        <v>5895</v>
      </c>
      <c r="R1568" s="152" t="s">
        <v>6592</v>
      </c>
      <c r="S1568" s="152" t="s">
        <v>6589</v>
      </c>
      <c r="T1568" s="152" t="s">
        <v>6593</v>
      </c>
      <c r="U1568" s="152" t="s">
        <v>786</v>
      </c>
    </row>
    <row r="1569" spans="4:21">
      <c r="D1569" s="152" t="s">
        <v>2821</v>
      </c>
      <c r="G1569" s="474" t="s">
        <v>373</v>
      </c>
      <c r="H1569" s="210" t="s">
        <v>374</v>
      </c>
      <c r="I1569" s="210"/>
      <c r="J1569" s="513">
        <v>5374125</v>
      </c>
      <c r="K1569" s="513">
        <v>3825</v>
      </c>
      <c r="L1569" s="513">
        <v>1405</v>
      </c>
      <c r="M1569" s="513" t="s">
        <v>6303</v>
      </c>
      <c r="N1569" s="513" t="s">
        <v>1566</v>
      </c>
      <c r="O1569" s="513" t="s">
        <v>1407</v>
      </c>
      <c r="P1569" s="518" t="s">
        <v>6594</v>
      </c>
      <c r="Q1569" s="152" t="s">
        <v>5895</v>
      </c>
      <c r="R1569" s="152" t="s">
        <v>6595</v>
      </c>
      <c r="S1569" s="152" t="s">
        <v>6589</v>
      </c>
      <c r="T1569" s="152" t="s">
        <v>6596</v>
      </c>
      <c r="U1569" s="152" t="s">
        <v>786</v>
      </c>
    </row>
    <row r="1570" spans="4:21">
      <c r="D1570" s="152" t="s">
        <v>2821</v>
      </c>
      <c r="G1570" s="474" t="s">
        <v>373</v>
      </c>
      <c r="H1570" s="210" t="s">
        <v>374</v>
      </c>
      <c r="I1570" s="210"/>
      <c r="J1570" s="513">
        <v>7365712.5</v>
      </c>
      <c r="K1570" s="513">
        <v>5242.5</v>
      </c>
      <c r="L1570" s="513">
        <v>1405</v>
      </c>
      <c r="M1570" s="513" t="s">
        <v>6303</v>
      </c>
      <c r="N1570" s="513" t="s">
        <v>1566</v>
      </c>
      <c r="O1570" s="513" t="s">
        <v>1407</v>
      </c>
      <c r="P1570" s="518" t="s">
        <v>6597</v>
      </c>
      <c r="Q1570" s="152" t="s">
        <v>5895</v>
      </c>
      <c r="R1570" s="152" t="s">
        <v>6598</v>
      </c>
      <c r="S1570" s="152" t="s">
        <v>6589</v>
      </c>
      <c r="T1570" s="152" t="s">
        <v>6599</v>
      </c>
      <c r="U1570" s="152" t="s">
        <v>786</v>
      </c>
    </row>
    <row r="1571" spans="4:21">
      <c r="D1571" s="152" t="s">
        <v>2821</v>
      </c>
      <c r="G1571" s="474" t="s">
        <v>373</v>
      </c>
      <c r="H1571" s="210" t="s">
        <v>374</v>
      </c>
      <c r="I1571" s="210"/>
      <c r="J1571" s="513">
        <v>3140175</v>
      </c>
      <c r="K1571" s="513">
        <v>2235</v>
      </c>
      <c r="L1571" s="513">
        <v>1405</v>
      </c>
      <c r="M1571" s="513" t="s">
        <v>6303</v>
      </c>
      <c r="N1571" s="513" t="s">
        <v>1566</v>
      </c>
      <c r="O1571" s="513" t="s">
        <v>1407</v>
      </c>
      <c r="P1571" s="518" t="s">
        <v>6600</v>
      </c>
      <c r="Q1571" s="152" t="s">
        <v>5895</v>
      </c>
      <c r="R1571" s="152" t="s">
        <v>6601</v>
      </c>
      <c r="S1571" s="152" t="s">
        <v>6589</v>
      </c>
      <c r="T1571" s="152" t="s">
        <v>6602</v>
      </c>
      <c r="U1571" s="152" t="s">
        <v>786</v>
      </c>
    </row>
    <row r="1572" spans="4:21">
      <c r="D1572" s="152" t="s">
        <v>2821</v>
      </c>
      <c r="G1572" s="474" t="s">
        <v>373</v>
      </c>
      <c r="H1572" s="210" t="s">
        <v>374</v>
      </c>
      <c r="I1572" s="210"/>
      <c r="J1572" s="513">
        <v>1405000</v>
      </c>
      <c r="K1572" s="513">
        <v>1000</v>
      </c>
      <c r="L1572" s="513">
        <v>1405</v>
      </c>
      <c r="M1572" s="513" t="s">
        <v>6303</v>
      </c>
      <c r="N1572" s="513" t="s">
        <v>1566</v>
      </c>
      <c r="O1572" s="513" t="s">
        <v>1407</v>
      </c>
      <c r="P1572" s="518" t="s">
        <v>6603</v>
      </c>
      <c r="Q1572" s="152" t="s">
        <v>5895</v>
      </c>
      <c r="R1572" s="152" t="s">
        <v>6604</v>
      </c>
      <c r="S1572" s="152" t="s">
        <v>6605</v>
      </c>
      <c r="T1572" s="152" t="s">
        <v>6606</v>
      </c>
      <c r="U1572" s="152" t="s">
        <v>786</v>
      </c>
    </row>
    <row r="1573" spans="4:21">
      <c r="D1573" s="152" t="s">
        <v>2821</v>
      </c>
      <c r="G1573" s="474" t="s">
        <v>373</v>
      </c>
      <c r="H1573" s="210" t="s">
        <v>374</v>
      </c>
      <c r="I1573" s="210"/>
      <c r="J1573" s="513">
        <v>1405000</v>
      </c>
      <c r="K1573" s="513">
        <v>1000</v>
      </c>
      <c r="L1573" s="513">
        <v>1405</v>
      </c>
      <c r="M1573" s="513" t="s">
        <v>6303</v>
      </c>
      <c r="N1573" s="513" t="s">
        <v>1566</v>
      </c>
      <c r="O1573" s="513" t="s">
        <v>1407</v>
      </c>
      <c r="P1573" s="518" t="s">
        <v>6607</v>
      </c>
      <c r="Q1573" s="152" t="s">
        <v>5895</v>
      </c>
      <c r="R1573" s="152" t="s">
        <v>6608</v>
      </c>
      <c r="S1573" s="152" t="s">
        <v>6605</v>
      </c>
      <c r="T1573" s="152" t="s">
        <v>6609</v>
      </c>
      <c r="U1573" s="152" t="s">
        <v>786</v>
      </c>
    </row>
    <row r="1574" spans="4:21">
      <c r="D1574" s="152" t="s">
        <v>2821</v>
      </c>
      <c r="G1574" s="474" t="s">
        <v>373</v>
      </c>
      <c r="H1574" s="210" t="s">
        <v>374</v>
      </c>
      <c r="I1574" s="210"/>
      <c r="J1574" s="513">
        <v>7362208.1490000002</v>
      </c>
      <c r="K1574" s="513">
        <v>5240.0057999999999</v>
      </c>
      <c r="L1574" s="513">
        <v>1405</v>
      </c>
      <c r="M1574" s="513" t="s">
        <v>6303</v>
      </c>
      <c r="N1574" s="513" t="s">
        <v>1566</v>
      </c>
      <c r="O1574" s="513" t="s">
        <v>1407</v>
      </c>
      <c r="P1574" s="518" t="s">
        <v>6610</v>
      </c>
      <c r="Q1574" s="152" t="s">
        <v>5895</v>
      </c>
      <c r="R1574" s="152" t="s">
        <v>6611</v>
      </c>
      <c r="S1574" s="152" t="s">
        <v>6612</v>
      </c>
      <c r="T1574" s="152" t="s">
        <v>6613</v>
      </c>
      <c r="U1574" s="152" t="s">
        <v>786</v>
      </c>
    </row>
    <row r="1575" spans="4:21">
      <c r="D1575" s="152" t="s">
        <v>2821</v>
      </c>
      <c r="G1575" s="474" t="s">
        <v>373</v>
      </c>
      <c r="H1575" s="210" t="s">
        <v>374</v>
      </c>
      <c r="I1575" s="210"/>
      <c r="J1575" s="513">
        <v>5785086.0949999997</v>
      </c>
      <c r="K1575" s="513">
        <v>4117.4989999999998</v>
      </c>
      <c r="L1575" s="513">
        <v>1405</v>
      </c>
      <c r="M1575" s="513" t="s">
        <v>6303</v>
      </c>
      <c r="N1575" s="513" t="s">
        <v>1566</v>
      </c>
      <c r="O1575" s="513" t="s">
        <v>1407</v>
      </c>
      <c r="P1575" s="518" t="s">
        <v>6614</v>
      </c>
      <c r="Q1575" s="152" t="s">
        <v>5895</v>
      </c>
      <c r="R1575" s="152" t="s">
        <v>6615</v>
      </c>
      <c r="S1575" s="152" t="s">
        <v>6612</v>
      </c>
      <c r="T1575" s="152" t="s">
        <v>6616</v>
      </c>
      <c r="U1575" s="152" t="s">
        <v>786</v>
      </c>
    </row>
    <row r="1576" spans="4:21">
      <c r="D1576" s="152" t="s">
        <v>2821</v>
      </c>
      <c r="G1576" s="474" t="s">
        <v>373</v>
      </c>
      <c r="H1576" s="210" t="s">
        <v>374</v>
      </c>
      <c r="I1576" s="210"/>
      <c r="J1576" s="513">
        <v>3712010</v>
      </c>
      <c r="K1576" s="513">
        <v>2642</v>
      </c>
      <c r="L1576" s="513">
        <v>1405</v>
      </c>
      <c r="M1576" s="513" t="s">
        <v>6303</v>
      </c>
      <c r="N1576" s="513" t="s">
        <v>1566</v>
      </c>
      <c r="O1576" s="513" t="s">
        <v>1407</v>
      </c>
      <c r="P1576" s="518" t="s">
        <v>6617</v>
      </c>
      <c r="Q1576" s="152" t="s">
        <v>5895</v>
      </c>
      <c r="R1576" s="152" t="s">
        <v>6618</v>
      </c>
      <c r="S1576" s="152" t="s">
        <v>6612</v>
      </c>
      <c r="T1576" s="152" t="s">
        <v>6619</v>
      </c>
      <c r="U1576" s="152" t="s">
        <v>786</v>
      </c>
    </row>
    <row r="1577" spans="4:21">
      <c r="D1577" s="152" t="s">
        <v>2821</v>
      </c>
      <c r="G1577" s="474" t="s">
        <v>373</v>
      </c>
      <c r="H1577" s="210" t="s">
        <v>374</v>
      </c>
      <c r="I1577" s="210"/>
      <c r="J1577" s="513">
        <v>4618937.5</v>
      </c>
      <c r="K1577" s="513">
        <v>3287.5</v>
      </c>
      <c r="L1577" s="513">
        <v>1405</v>
      </c>
      <c r="M1577" s="513" t="s">
        <v>6303</v>
      </c>
      <c r="N1577" s="513" t="s">
        <v>1566</v>
      </c>
      <c r="O1577" s="513" t="s">
        <v>1407</v>
      </c>
      <c r="P1577" s="518" t="s">
        <v>6620</v>
      </c>
      <c r="Q1577" s="152" t="s">
        <v>5895</v>
      </c>
      <c r="R1577" s="152" t="s">
        <v>6621</v>
      </c>
      <c r="S1577" s="152" t="s">
        <v>6612</v>
      </c>
      <c r="T1577" s="152" t="s">
        <v>6622</v>
      </c>
      <c r="U1577" s="152" t="s">
        <v>786</v>
      </c>
    </row>
    <row r="1578" spans="4:21">
      <c r="D1578" s="152" t="s">
        <v>2821</v>
      </c>
      <c r="G1578" s="474" t="s">
        <v>373</v>
      </c>
      <c r="H1578" s="210" t="s">
        <v>374</v>
      </c>
      <c r="I1578" s="210"/>
      <c r="J1578" s="513">
        <v>4498810</v>
      </c>
      <c r="K1578" s="513">
        <v>3202</v>
      </c>
      <c r="L1578" s="513">
        <v>1405</v>
      </c>
      <c r="M1578" s="513" t="s">
        <v>6303</v>
      </c>
      <c r="N1578" s="513" t="s">
        <v>1566</v>
      </c>
      <c r="O1578" s="513" t="s">
        <v>1407</v>
      </c>
      <c r="P1578" s="518" t="s">
        <v>6623</v>
      </c>
      <c r="Q1578" s="152" t="s">
        <v>5895</v>
      </c>
      <c r="R1578" s="152" t="s">
        <v>6624</v>
      </c>
      <c r="S1578" s="152" t="s">
        <v>6612</v>
      </c>
      <c r="T1578" s="152" t="s">
        <v>6625</v>
      </c>
      <c r="U1578" s="152" t="s">
        <v>786</v>
      </c>
    </row>
    <row r="1579" spans="4:21">
      <c r="D1579" s="152" t="s">
        <v>2821</v>
      </c>
      <c r="G1579" s="474" t="s">
        <v>373</v>
      </c>
      <c r="H1579" s="210" t="s">
        <v>374</v>
      </c>
      <c r="I1579" s="210"/>
      <c r="J1579" s="513">
        <v>6297914.3265000004</v>
      </c>
      <c r="K1579" s="513">
        <v>4482.5012999999999</v>
      </c>
      <c r="L1579" s="513">
        <v>1405</v>
      </c>
      <c r="M1579" s="513" t="s">
        <v>6303</v>
      </c>
      <c r="N1579" s="513" t="s">
        <v>1566</v>
      </c>
      <c r="O1579" s="513" t="s">
        <v>1407</v>
      </c>
      <c r="P1579" s="518" t="s">
        <v>6626</v>
      </c>
      <c r="Q1579" s="152" t="s">
        <v>5895</v>
      </c>
      <c r="R1579" s="152" t="s">
        <v>6627</v>
      </c>
      <c r="S1579" s="152" t="s">
        <v>6612</v>
      </c>
      <c r="T1579" s="152" t="s">
        <v>6628</v>
      </c>
      <c r="U1579" s="152" t="s">
        <v>786</v>
      </c>
    </row>
    <row r="1580" spans="4:21">
      <c r="D1580" s="152" t="s">
        <v>2821</v>
      </c>
      <c r="G1580" s="474" t="s">
        <v>373</v>
      </c>
      <c r="H1580" s="210" t="s">
        <v>374</v>
      </c>
      <c r="I1580" s="210"/>
      <c r="J1580" s="513">
        <v>4668109.1279999996</v>
      </c>
      <c r="K1580" s="513">
        <v>3322.4976000000001</v>
      </c>
      <c r="L1580" s="513">
        <v>1405</v>
      </c>
      <c r="M1580" s="513" t="s">
        <v>6303</v>
      </c>
      <c r="N1580" s="513" t="s">
        <v>1566</v>
      </c>
      <c r="O1580" s="513" t="s">
        <v>1407</v>
      </c>
      <c r="P1580" s="518" t="s">
        <v>6629</v>
      </c>
      <c r="Q1580" s="152" t="s">
        <v>5895</v>
      </c>
      <c r="R1580" s="152" t="s">
        <v>6630</v>
      </c>
      <c r="S1580" s="152" t="s">
        <v>6612</v>
      </c>
      <c r="T1580" s="152" t="s">
        <v>6631</v>
      </c>
      <c r="U1580" s="152" t="s">
        <v>786</v>
      </c>
    </row>
    <row r="1581" spans="4:21">
      <c r="D1581" s="152" t="s">
        <v>2821</v>
      </c>
      <c r="G1581" s="474" t="s">
        <v>373</v>
      </c>
      <c r="H1581" s="210" t="s">
        <v>374</v>
      </c>
      <c r="I1581" s="210"/>
      <c r="J1581" s="513">
        <v>4850759.1279999996</v>
      </c>
      <c r="K1581" s="513">
        <v>3452.4976000000001</v>
      </c>
      <c r="L1581" s="513">
        <v>1405</v>
      </c>
      <c r="M1581" s="513" t="s">
        <v>6303</v>
      </c>
      <c r="N1581" s="513" t="s">
        <v>1566</v>
      </c>
      <c r="O1581" s="513" t="s">
        <v>1407</v>
      </c>
      <c r="P1581" s="518" t="s">
        <v>6634</v>
      </c>
      <c r="Q1581" s="152" t="s">
        <v>5895</v>
      </c>
      <c r="R1581" s="152" t="s">
        <v>6635</v>
      </c>
      <c r="S1581" s="152" t="s">
        <v>6612</v>
      </c>
      <c r="T1581" s="152" t="s">
        <v>6636</v>
      </c>
      <c r="U1581" s="152" t="s">
        <v>786</v>
      </c>
    </row>
    <row r="1582" spans="4:21">
      <c r="D1582" s="152" t="s">
        <v>2821</v>
      </c>
      <c r="G1582" s="474" t="s">
        <v>373</v>
      </c>
      <c r="H1582" s="210" t="s">
        <v>374</v>
      </c>
      <c r="I1582" s="210"/>
      <c r="J1582" s="513">
        <v>6463000</v>
      </c>
      <c r="K1582" s="513">
        <v>4600</v>
      </c>
      <c r="L1582" s="513">
        <v>1405</v>
      </c>
      <c r="M1582" s="513" t="s">
        <v>6303</v>
      </c>
      <c r="N1582" s="513" t="s">
        <v>1566</v>
      </c>
      <c r="O1582" s="513" t="s">
        <v>1407</v>
      </c>
      <c r="P1582" s="518" t="s">
        <v>6637</v>
      </c>
      <c r="Q1582" s="152" t="s">
        <v>5895</v>
      </c>
      <c r="R1582" s="152" t="s">
        <v>6638</v>
      </c>
      <c r="S1582" s="152" t="s">
        <v>6612</v>
      </c>
      <c r="T1582" s="152" t="s">
        <v>6639</v>
      </c>
      <c r="U1582" s="152" t="s">
        <v>786</v>
      </c>
    </row>
    <row r="1583" spans="4:21">
      <c r="D1583" s="152" t="s">
        <v>2821</v>
      </c>
      <c r="G1583" s="474" t="s">
        <v>373</v>
      </c>
      <c r="H1583" s="210" t="s">
        <v>374</v>
      </c>
      <c r="I1583" s="210"/>
      <c r="J1583" s="513">
        <v>-547950</v>
      </c>
      <c r="K1583" s="513">
        <v>-390</v>
      </c>
      <c r="L1583" s="513">
        <v>1405</v>
      </c>
      <c r="M1583" s="513" t="s">
        <v>6303</v>
      </c>
      <c r="N1583" s="513" t="s">
        <v>1566</v>
      </c>
      <c r="O1583" s="513" t="s">
        <v>1407</v>
      </c>
      <c r="P1583" s="518" t="s">
        <v>6640</v>
      </c>
      <c r="Q1583" s="152" t="s">
        <v>5895</v>
      </c>
      <c r="R1583" s="152" t="s">
        <v>6641</v>
      </c>
      <c r="S1583" s="152" t="s">
        <v>6641</v>
      </c>
      <c r="T1583" s="152" t="s">
        <v>6642</v>
      </c>
      <c r="U1583" s="152" t="s">
        <v>786</v>
      </c>
    </row>
    <row r="1584" spans="4:21">
      <c r="D1584" s="152" t="s">
        <v>2821</v>
      </c>
      <c r="G1584" s="474" t="s">
        <v>373</v>
      </c>
      <c r="H1584" s="210" t="s">
        <v>374</v>
      </c>
      <c r="I1584" s="210"/>
      <c r="J1584" s="513">
        <v>-547950</v>
      </c>
      <c r="K1584" s="513">
        <v>-390</v>
      </c>
      <c r="L1584" s="513">
        <v>1405</v>
      </c>
      <c r="M1584" s="513" t="s">
        <v>6303</v>
      </c>
      <c r="N1584" s="513" t="s">
        <v>1566</v>
      </c>
      <c r="O1584" s="513" t="s">
        <v>1407</v>
      </c>
      <c r="P1584" s="518" t="s">
        <v>6643</v>
      </c>
      <c r="Q1584" s="152" t="s">
        <v>5895</v>
      </c>
      <c r="R1584" s="152" t="s">
        <v>6644</v>
      </c>
      <c r="S1584" s="152" t="s">
        <v>6644</v>
      </c>
      <c r="T1584" s="152" t="s">
        <v>6645</v>
      </c>
      <c r="U1584" s="152" t="s">
        <v>786</v>
      </c>
    </row>
    <row r="1585" spans="4:21">
      <c r="D1585" s="152" t="s">
        <v>2821</v>
      </c>
      <c r="G1585" s="474" t="s">
        <v>373</v>
      </c>
      <c r="H1585" s="210" t="s">
        <v>374</v>
      </c>
      <c r="I1585" s="210"/>
      <c r="J1585" s="513">
        <v>-547950</v>
      </c>
      <c r="K1585" s="513">
        <v>-390</v>
      </c>
      <c r="L1585" s="513">
        <v>1405</v>
      </c>
      <c r="M1585" s="513" t="s">
        <v>6303</v>
      </c>
      <c r="N1585" s="513" t="s">
        <v>1566</v>
      </c>
      <c r="O1585" s="513" t="s">
        <v>1407</v>
      </c>
      <c r="P1585" s="518" t="s">
        <v>6646</v>
      </c>
      <c r="Q1585" s="152" t="s">
        <v>5895</v>
      </c>
      <c r="R1585" s="152" t="s">
        <v>6647</v>
      </c>
      <c r="S1585" s="152" t="s">
        <v>6647</v>
      </c>
      <c r="T1585" s="152" t="s">
        <v>6648</v>
      </c>
      <c r="U1585" s="152" t="s">
        <v>786</v>
      </c>
    </row>
    <row r="1586" spans="4:21">
      <c r="D1586" s="152" t="s">
        <v>2821</v>
      </c>
      <c r="G1586" s="474" t="s">
        <v>373</v>
      </c>
      <c r="H1586" s="210" t="s">
        <v>374</v>
      </c>
      <c r="I1586" s="210"/>
      <c r="J1586" s="513">
        <v>-547950</v>
      </c>
      <c r="K1586" s="513">
        <v>-390</v>
      </c>
      <c r="L1586" s="513">
        <v>1405</v>
      </c>
      <c r="M1586" s="513" t="s">
        <v>6303</v>
      </c>
      <c r="N1586" s="513" t="s">
        <v>1566</v>
      </c>
      <c r="O1586" s="513" t="s">
        <v>1407</v>
      </c>
      <c r="P1586" s="518" t="s">
        <v>6649</v>
      </c>
      <c r="Q1586" s="152" t="s">
        <v>5895</v>
      </c>
      <c r="R1586" s="152" t="s">
        <v>6650</v>
      </c>
      <c r="S1586" s="152" t="s">
        <v>6650</v>
      </c>
      <c r="T1586" s="152" t="s">
        <v>6651</v>
      </c>
      <c r="U1586" s="152" t="s">
        <v>786</v>
      </c>
    </row>
    <row r="1587" spans="4:21">
      <c r="D1587" s="152" t="s">
        <v>2821</v>
      </c>
      <c r="G1587" s="474" t="s">
        <v>373</v>
      </c>
      <c r="H1587" s="210" t="s">
        <v>374</v>
      </c>
      <c r="I1587" s="210"/>
      <c r="J1587" s="513">
        <v>-547950</v>
      </c>
      <c r="K1587" s="513">
        <v>-390</v>
      </c>
      <c r="L1587" s="513">
        <v>1405</v>
      </c>
      <c r="M1587" s="513" t="s">
        <v>6303</v>
      </c>
      <c r="N1587" s="513" t="s">
        <v>1566</v>
      </c>
      <c r="O1587" s="513" t="s">
        <v>1407</v>
      </c>
      <c r="P1587" s="518" t="s">
        <v>6652</v>
      </c>
      <c r="Q1587" s="152" t="s">
        <v>5895</v>
      </c>
      <c r="R1587" s="152" t="s">
        <v>6653</v>
      </c>
      <c r="S1587" s="152" t="s">
        <v>6653</v>
      </c>
      <c r="T1587" s="152" t="s">
        <v>6654</v>
      </c>
      <c r="U1587" s="152" t="s">
        <v>786</v>
      </c>
    </row>
    <row r="1588" spans="4:21">
      <c r="D1588" s="152" t="s">
        <v>2821</v>
      </c>
      <c r="G1588" s="474" t="s">
        <v>373</v>
      </c>
      <c r="H1588" s="210" t="s">
        <v>374</v>
      </c>
      <c r="I1588" s="210"/>
      <c r="J1588" s="513">
        <v>-547950</v>
      </c>
      <c r="K1588" s="513">
        <v>-390</v>
      </c>
      <c r="L1588" s="513">
        <v>1405</v>
      </c>
      <c r="M1588" s="513" t="s">
        <v>6303</v>
      </c>
      <c r="N1588" s="513" t="s">
        <v>1566</v>
      </c>
      <c r="O1588" s="513" t="s">
        <v>1407</v>
      </c>
      <c r="P1588" s="518" t="s">
        <v>6655</v>
      </c>
      <c r="Q1588" s="152" t="s">
        <v>5895</v>
      </c>
      <c r="R1588" s="152" t="s">
        <v>6656</v>
      </c>
      <c r="S1588" s="152" t="s">
        <v>6656</v>
      </c>
      <c r="T1588" s="152" t="s">
        <v>6657</v>
      </c>
      <c r="U1588" s="152" t="s">
        <v>786</v>
      </c>
    </row>
    <row r="1589" spans="4:21">
      <c r="D1589" s="152" t="s">
        <v>2821</v>
      </c>
      <c r="G1589" s="474" t="s">
        <v>373</v>
      </c>
      <c r="H1589" s="210" t="s">
        <v>374</v>
      </c>
      <c r="I1589" s="210"/>
      <c r="J1589" s="513">
        <v>-547950</v>
      </c>
      <c r="K1589" s="513">
        <v>-390</v>
      </c>
      <c r="L1589" s="513">
        <v>1405</v>
      </c>
      <c r="M1589" s="513" t="s">
        <v>6303</v>
      </c>
      <c r="N1589" s="513" t="s">
        <v>1566</v>
      </c>
      <c r="O1589" s="513" t="s">
        <v>1407</v>
      </c>
      <c r="P1589" s="518" t="s">
        <v>6658</v>
      </c>
      <c r="Q1589" s="152" t="s">
        <v>5895</v>
      </c>
      <c r="R1589" s="152" t="s">
        <v>6659</v>
      </c>
      <c r="S1589" s="152" t="s">
        <v>6659</v>
      </c>
      <c r="T1589" s="152" t="s">
        <v>6660</v>
      </c>
      <c r="U1589" s="152" t="s">
        <v>786</v>
      </c>
    </row>
    <row r="1590" spans="4:21">
      <c r="D1590" s="152" t="s">
        <v>2821</v>
      </c>
      <c r="G1590" s="474" t="s">
        <v>373</v>
      </c>
      <c r="H1590" s="210" t="s">
        <v>374</v>
      </c>
      <c r="I1590" s="210"/>
      <c r="J1590" s="513">
        <v>-547950</v>
      </c>
      <c r="K1590" s="513">
        <v>-390</v>
      </c>
      <c r="L1590" s="513">
        <v>1405</v>
      </c>
      <c r="M1590" s="513" t="s">
        <v>6303</v>
      </c>
      <c r="N1590" s="513" t="s">
        <v>1566</v>
      </c>
      <c r="O1590" s="513" t="s">
        <v>1407</v>
      </c>
      <c r="P1590" s="518" t="s">
        <v>6661</v>
      </c>
      <c r="Q1590" s="152" t="s">
        <v>5895</v>
      </c>
      <c r="R1590" s="152" t="s">
        <v>6662</v>
      </c>
      <c r="S1590" s="152" t="s">
        <v>6662</v>
      </c>
      <c r="T1590" s="152" t="s">
        <v>6663</v>
      </c>
      <c r="U1590" s="152" t="s">
        <v>786</v>
      </c>
    </row>
    <row r="1591" spans="4:21">
      <c r="D1591" s="152" t="s">
        <v>2821</v>
      </c>
      <c r="G1591" s="474" t="s">
        <v>373</v>
      </c>
      <c r="H1591" s="210" t="s">
        <v>374</v>
      </c>
      <c r="I1591" s="210"/>
      <c r="J1591" s="513">
        <v>-547950</v>
      </c>
      <c r="K1591" s="513">
        <v>-390</v>
      </c>
      <c r="L1591" s="513">
        <v>1405</v>
      </c>
      <c r="M1591" s="513" t="s">
        <v>6303</v>
      </c>
      <c r="N1591" s="513" t="s">
        <v>1566</v>
      </c>
      <c r="O1591" s="513" t="s">
        <v>1407</v>
      </c>
      <c r="P1591" s="518" t="s">
        <v>6664</v>
      </c>
      <c r="Q1591" s="152" t="s">
        <v>5895</v>
      </c>
      <c r="R1591" s="152" t="s">
        <v>6665</v>
      </c>
      <c r="S1591" s="152" t="s">
        <v>6665</v>
      </c>
      <c r="T1591" s="152" t="s">
        <v>6666</v>
      </c>
      <c r="U1591" s="152" t="s">
        <v>786</v>
      </c>
    </row>
    <row r="1592" spans="4:21">
      <c r="D1592" s="152" t="s">
        <v>2821</v>
      </c>
      <c r="G1592" s="474" t="s">
        <v>373</v>
      </c>
      <c r="H1592" s="210" t="s">
        <v>374</v>
      </c>
      <c r="I1592" s="210"/>
      <c r="J1592" s="513">
        <v>-547950</v>
      </c>
      <c r="K1592" s="513">
        <v>-390</v>
      </c>
      <c r="L1592" s="513">
        <v>1405</v>
      </c>
      <c r="M1592" s="513" t="s">
        <v>6303</v>
      </c>
      <c r="N1592" s="513" t="s">
        <v>1566</v>
      </c>
      <c r="O1592" s="513" t="s">
        <v>1407</v>
      </c>
      <c r="P1592" s="518" t="s">
        <v>6667</v>
      </c>
      <c r="Q1592" s="152" t="s">
        <v>5895</v>
      </c>
      <c r="R1592" s="152" t="s">
        <v>6668</v>
      </c>
      <c r="S1592" s="152" t="s">
        <v>6668</v>
      </c>
      <c r="T1592" s="152" t="s">
        <v>6669</v>
      </c>
      <c r="U1592" s="152" t="s">
        <v>786</v>
      </c>
    </row>
    <row r="1593" spans="4:21">
      <c r="D1593" s="152" t="s">
        <v>2821</v>
      </c>
      <c r="G1593" s="474" t="s">
        <v>373</v>
      </c>
      <c r="H1593" s="210" t="s">
        <v>374</v>
      </c>
      <c r="I1593" s="210"/>
      <c r="J1593" s="513">
        <v>-1095900</v>
      </c>
      <c r="K1593" s="513">
        <v>-780</v>
      </c>
      <c r="L1593" s="513">
        <v>1405</v>
      </c>
      <c r="M1593" s="513" t="s">
        <v>6303</v>
      </c>
      <c r="N1593" s="513" t="s">
        <v>1566</v>
      </c>
      <c r="O1593" s="513" t="s">
        <v>1407</v>
      </c>
      <c r="P1593" s="518" t="s">
        <v>6670</v>
      </c>
      <c r="Q1593" s="152" t="s">
        <v>5895</v>
      </c>
      <c r="R1593" s="152" t="s">
        <v>6671</v>
      </c>
      <c r="S1593" s="152" t="s">
        <v>6671</v>
      </c>
      <c r="T1593" s="152" t="s">
        <v>6672</v>
      </c>
      <c r="U1593" s="152" t="s">
        <v>786</v>
      </c>
    </row>
    <row r="1594" spans="4:21">
      <c r="D1594" s="152" t="s">
        <v>2821</v>
      </c>
      <c r="G1594" s="474" t="s">
        <v>373</v>
      </c>
      <c r="H1594" s="210" t="s">
        <v>374</v>
      </c>
      <c r="I1594" s="210"/>
      <c r="J1594" s="513">
        <v>-547950</v>
      </c>
      <c r="K1594" s="513">
        <v>-390</v>
      </c>
      <c r="L1594" s="513">
        <v>1405</v>
      </c>
      <c r="M1594" s="513" t="s">
        <v>6303</v>
      </c>
      <c r="N1594" s="513" t="s">
        <v>1566</v>
      </c>
      <c r="O1594" s="513" t="s">
        <v>1407</v>
      </c>
      <c r="P1594" s="518" t="s">
        <v>6673</v>
      </c>
      <c r="Q1594" s="152" t="s">
        <v>5895</v>
      </c>
      <c r="R1594" s="152" t="s">
        <v>6674</v>
      </c>
      <c r="S1594" s="152" t="s">
        <v>6674</v>
      </c>
      <c r="T1594" s="152" t="s">
        <v>6675</v>
      </c>
      <c r="U1594" s="152" t="s">
        <v>786</v>
      </c>
    </row>
    <row r="1595" spans="4:21">
      <c r="D1595" s="152" t="s">
        <v>2821</v>
      </c>
      <c r="G1595" s="474" t="s">
        <v>373</v>
      </c>
      <c r="H1595" s="210" t="s">
        <v>374</v>
      </c>
      <c r="I1595" s="210"/>
      <c r="J1595" s="513">
        <v>-547950</v>
      </c>
      <c r="K1595" s="513">
        <v>-390</v>
      </c>
      <c r="L1595" s="513">
        <v>1405</v>
      </c>
      <c r="M1595" s="513" t="s">
        <v>6303</v>
      </c>
      <c r="N1595" s="513" t="s">
        <v>1566</v>
      </c>
      <c r="O1595" s="513" t="s">
        <v>1407</v>
      </c>
      <c r="P1595" s="518" t="s">
        <v>6676</v>
      </c>
      <c r="Q1595" s="152" t="s">
        <v>5895</v>
      </c>
      <c r="R1595" s="152" t="s">
        <v>6677</v>
      </c>
      <c r="S1595" s="152" t="s">
        <v>6677</v>
      </c>
      <c r="T1595" s="152" t="s">
        <v>6678</v>
      </c>
      <c r="U1595" s="152" t="s">
        <v>786</v>
      </c>
    </row>
    <row r="1596" spans="4:21">
      <c r="D1596" s="152" t="s">
        <v>2821</v>
      </c>
      <c r="G1596" s="474" t="s">
        <v>373</v>
      </c>
      <c r="H1596" s="210" t="s">
        <v>374</v>
      </c>
      <c r="I1596" s="210"/>
      <c r="J1596" s="513">
        <v>-547950</v>
      </c>
      <c r="K1596" s="513">
        <v>-390</v>
      </c>
      <c r="L1596" s="513">
        <v>1405</v>
      </c>
      <c r="M1596" s="513" t="s">
        <v>6303</v>
      </c>
      <c r="N1596" s="513" t="s">
        <v>1566</v>
      </c>
      <c r="O1596" s="513" t="s">
        <v>1407</v>
      </c>
      <c r="P1596" s="518" t="s">
        <v>6679</v>
      </c>
      <c r="Q1596" s="152" t="s">
        <v>5895</v>
      </c>
      <c r="R1596" s="152" t="s">
        <v>6680</v>
      </c>
      <c r="S1596" s="152" t="s">
        <v>6680</v>
      </c>
      <c r="T1596" s="152" t="s">
        <v>6681</v>
      </c>
      <c r="U1596" s="152" t="s">
        <v>786</v>
      </c>
    </row>
    <row r="1597" spans="4:21">
      <c r="D1597" s="152" t="s">
        <v>2821</v>
      </c>
      <c r="G1597" s="474" t="s">
        <v>373</v>
      </c>
      <c r="H1597" s="210" t="s">
        <v>374</v>
      </c>
      <c r="I1597" s="210"/>
      <c r="J1597" s="513">
        <v>-547950</v>
      </c>
      <c r="K1597" s="513">
        <v>-390</v>
      </c>
      <c r="L1597" s="513">
        <v>1405</v>
      </c>
      <c r="M1597" s="513" t="s">
        <v>6303</v>
      </c>
      <c r="N1597" s="513" t="s">
        <v>1566</v>
      </c>
      <c r="O1597" s="513" t="s">
        <v>1407</v>
      </c>
      <c r="P1597" s="518" t="s">
        <v>6682</v>
      </c>
      <c r="Q1597" s="152" t="s">
        <v>5895</v>
      </c>
      <c r="R1597" s="152" t="s">
        <v>6683</v>
      </c>
      <c r="S1597" s="152" t="s">
        <v>6683</v>
      </c>
      <c r="T1597" s="152" t="s">
        <v>6684</v>
      </c>
      <c r="U1597" s="152" t="s">
        <v>786</v>
      </c>
    </row>
    <row r="1598" spans="4:21">
      <c r="D1598" s="152" t="s">
        <v>2821</v>
      </c>
      <c r="G1598" s="474" t="s">
        <v>373</v>
      </c>
      <c r="H1598" s="210" t="s">
        <v>374</v>
      </c>
      <c r="I1598" s="210"/>
      <c r="J1598" s="513">
        <v>-547950</v>
      </c>
      <c r="K1598" s="513">
        <v>-390</v>
      </c>
      <c r="L1598" s="513">
        <v>1405</v>
      </c>
      <c r="M1598" s="513" t="s">
        <v>6303</v>
      </c>
      <c r="N1598" s="513" t="s">
        <v>1566</v>
      </c>
      <c r="O1598" s="513" t="s">
        <v>1407</v>
      </c>
      <c r="P1598" s="518" t="s">
        <v>6685</v>
      </c>
      <c r="Q1598" s="152" t="s">
        <v>5895</v>
      </c>
      <c r="R1598" s="152" t="s">
        <v>6686</v>
      </c>
      <c r="S1598" s="152" t="s">
        <v>6686</v>
      </c>
      <c r="T1598" s="152" t="s">
        <v>6687</v>
      </c>
      <c r="U1598" s="152" t="s">
        <v>786</v>
      </c>
    </row>
    <row r="1599" spans="4:21">
      <c r="D1599" s="152" t="s">
        <v>2821</v>
      </c>
      <c r="G1599" s="474" t="s">
        <v>373</v>
      </c>
      <c r="H1599" s="210" t="s">
        <v>374</v>
      </c>
      <c r="I1599" s="210"/>
      <c r="J1599" s="513">
        <v>-547950</v>
      </c>
      <c r="K1599" s="513">
        <v>-390</v>
      </c>
      <c r="L1599" s="513">
        <v>1405</v>
      </c>
      <c r="M1599" s="513" t="s">
        <v>6303</v>
      </c>
      <c r="N1599" s="513" t="s">
        <v>1566</v>
      </c>
      <c r="O1599" s="513" t="s">
        <v>1407</v>
      </c>
      <c r="P1599" s="518" t="s">
        <v>6688</v>
      </c>
      <c r="Q1599" s="152" t="s">
        <v>5895</v>
      </c>
      <c r="R1599" s="152" t="s">
        <v>6689</v>
      </c>
      <c r="S1599" s="152" t="s">
        <v>6689</v>
      </c>
      <c r="T1599" s="152" t="s">
        <v>6690</v>
      </c>
      <c r="U1599" s="152" t="s">
        <v>786</v>
      </c>
    </row>
    <row r="1600" spans="4:21">
      <c r="D1600" s="152" t="s">
        <v>2821</v>
      </c>
      <c r="G1600" s="474" t="s">
        <v>373</v>
      </c>
      <c r="H1600" s="210" t="s">
        <v>374</v>
      </c>
      <c r="I1600" s="210"/>
      <c r="J1600" s="513">
        <v>-730600</v>
      </c>
      <c r="K1600" s="513">
        <v>-520</v>
      </c>
      <c r="L1600" s="513">
        <v>1405</v>
      </c>
      <c r="M1600" s="513" t="s">
        <v>6303</v>
      </c>
      <c r="N1600" s="513" t="s">
        <v>1566</v>
      </c>
      <c r="O1600" s="513" t="s">
        <v>1407</v>
      </c>
      <c r="P1600" s="518" t="s">
        <v>6691</v>
      </c>
      <c r="Q1600" s="152" t="s">
        <v>5895</v>
      </c>
      <c r="R1600" s="152" t="s">
        <v>6692</v>
      </c>
      <c r="S1600" s="152" t="s">
        <v>6692</v>
      </c>
      <c r="T1600" s="152" t="s">
        <v>6693</v>
      </c>
      <c r="U1600" s="152" t="s">
        <v>786</v>
      </c>
    </row>
    <row r="1601" spans="4:21">
      <c r="D1601" s="152" t="s">
        <v>2821</v>
      </c>
      <c r="G1601" s="474" t="s">
        <v>373</v>
      </c>
      <c r="H1601" s="210" t="s">
        <v>374</v>
      </c>
      <c r="I1601" s="210"/>
      <c r="J1601" s="513">
        <v>-730600</v>
      </c>
      <c r="K1601" s="513">
        <v>-520</v>
      </c>
      <c r="L1601" s="513">
        <v>1405</v>
      </c>
      <c r="M1601" s="513" t="s">
        <v>6303</v>
      </c>
      <c r="N1601" s="513" t="s">
        <v>1566</v>
      </c>
      <c r="O1601" s="513" t="s">
        <v>1407</v>
      </c>
      <c r="P1601" s="518" t="s">
        <v>6694</v>
      </c>
      <c r="Q1601" s="152" t="s">
        <v>5895</v>
      </c>
      <c r="R1601" s="152" t="s">
        <v>6695</v>
      </c>
      <c r="S1601" s="152" t="s">
        <v>6695</v>
      </c>
      <c r="T1601" s="152" t="s">
        <v>6696</v>
      </c>
      <c r="U1601" s="152" t="s">
        <v>786</v>
      </c>
    </row>
    <row r="1602" spans="4:21">
      <c r="D1602" s="152" t="s">
        <v>2821</v>
      </c>
      <c r="G1602" s="474" t="s">
        <v>373</v>
      </c>
      <c r="H1602" s="210" t="s">
        <v>374</v>
      </c>
      <c r="I1602" s="210"/>
      <c r="J1602" s="513">
        <v>-2149650</v>
      </c>
      <c r="K1602" s="513">
        <v>-1530</v>
      </c>
      <c r="L1602" s="513">
        <v>1405</v>
      </c>
      <c r="M1602" s="513" t="s">
        <v>6303</v>
      </c>
      <c r="N1602" s="513" t="s">
        <v>1566</v>
      </c>
      <c r="O1602" s="513" t="s">
        <v>1407</v>
      </c>
      <c r="P1602" s="518" t="s">
        <v>6697</v>
      </c>
      <c r="Q1602" s="152" t="s">
        <v>5895</v>
      </c>
      <c r="R1602" s="152" t="s">
        <v>6698</v>
      </c>
      <c r="S1602" s="152" t="s">
        <v>6698</v>
      </c>
      <c r="T1602" s="152" t="s">
        <v>6699</v>
      </c>
      <c r="U1602" s="152" t="s">
        <v>786</v>
      </c>
    </row>
    <row r="1603" spans="4:21">
      <c r="D1603" s="152" t="s">
        <v>2821</v>
      </c>
      <c r="G1603" s="474" t="s">
        <v>373</v>
      </c>
      <c r="H1603" s="210" t="s">
        <v>374</v>
      </c>
      <c r="I1603" s="210"/>
      <c r="J1603" s="513">
        <v>-730600</v>
      </c>
      <c r="K1603" s="513">
        <v>-520</v>
      </c>
      <c r="L1603" s="513">
        <v>1405</v>
      </c>
      <c r="M1603" s="513" t="s">
        <v>6303</v>
      </c>
      <c r="N1603" s="513" t="s">
        <v>1566</v>
      </c>
      <c r="O1603" s="513" t="s">
        <v>1407</v>
      </c>
      <c r="P1603" s="518" t="s">
        <v>6700</v>
      </c>
      <c r="Q1603" s="152" t="s">
        <v>5895</v>
      </c>
      <c r="R1603" s="152" t="s">
        <v>6701</v>
      </c>
      <c r="S1603" s="152" t="s">
        <v>6701</v>
      </c>
      <c r="T1603" s="152" t="s">
        <v>6702</v>
      </c>
      <c r="U1603" s="152" t="s">
        <v>786</v>
      </c>
    </row>
    <row r="1604" spans="4:21">
      <c r="D1604" s="152" t="s">
        <v>2821</v>
      </c>
      <c r="G1604" s="474" t="s">
        <v>373</v>
      </c>
      <c r="H1604" s="210" t="s">
        <v>374</v>
      </c>
      <c r="I1604" s="210"/>
      <c r="J1604" s="513">
        <v>-730600</v>
      </c>
      <c r="K1604" s="513">
        <v>-520</v>
      </c>
      <c r="L1604" s="513">
        <v>1405</v>
      </c>
      <c r="M1604" s="513" t="s">
        <v>6303</v>
      </c>
      <c r="N1604" s="513" t="s">
        <v>1566</v>
      </c>
      <c r="O1604" s="513" t="s">
        <v>1407</v>
      </c>
      <c r="P1604" s="518" t="s">
        <v>6703</v>
      </c>
      <c r="Q1604" s="152" t="s">
        <v>5895</v>
      </c>
      <c r="R1604" s="152" t="s">
        <v>6704</v>
      </c>
      <c r="S1604" s="152" t="s">
        <v>6704</v>
      </c>
      <c r="T1604" s="152" t="s">
        <v>6705</v>
      </c>
      <c r="U1604" s="152" t="s">
        <v>786</v>
      </c>
    </row>
    <row r="1605" spans="4:21">
      <c r="D1605" s="152" t="s">
        <v>2821</v>
      </c>
      <c r="G1605" s="474" t="s">
        <v>373</v>
      </c>
      <c r="H1605" s="210" t="s">
        <v>374</v>
      </c>
      <c r="I1605" s="210"/>
      <c r="J1605" s="513">
        <v>-730600</v>
      </c>
      <c r="K1605" s="513">
        <v>-520</v>
      </c>
      <c r="L1605" s="513">
        <v>1405</v>
      </c>
      <c r="M1605" s="513" t="s">
        <v>6303</v>
      </c>
      <c r="N1605" s="513" t="s">
        <v>1566</v>
      </c>
      <c r="O1605" s="513" t="s">
        <v>1407</v>
      </c>
      <c r="P1605" s="518" t="s">
        <v>6706</v>
      </c>
      <c r="Q1605" s="152" t="s">
        <v>5895</v>
      </c>
      <c r="R1605" s="152" t="s">
        <v>6707</v>
      </c>
      <c r="S1605" s="152" t="s">
        <v>6707</v>
      </c>
      <c r="T1605" s="152" t="s">
        <v>6708</v>
      </c>
      <c r="U1605" s="152" t="s">
        <v>786</v>
      </c>
    </row>
    <row r="1606" spans="4:21">
      <c r="D1606" s="152" t="s">
        <v>2821</v>
      </c>
      <c r="G1606" s="474" t="s">
        <v>373</v>
      </c>
      <c r="H1606" s="210" t="s">
        <v>374</v>
      </c>
      <c r="I1606" s="210"/>
      <c r="J1606" s="513">
        <v>-2149650</v>
      </c>
      <c r="K1606" s="513">
        <v>-1530</v>
      </c>
      <c r="L1606" s="513">
        <v>1405</v>
      </c>
      <c r="M1606" s="513" t="s">
        <v>6303</v>
      </c>
      <c r="N1606" s="513" t="s">
        <v>1566</v>
      </c>
      <c r="O1606" s="513" t="s">
        <v>1407</v>
      </c>
      <c r="P1606" s="518" t="s">
        <v>6709</v>
      </c>
      <c r="Q1606" s="152" t="s">
        <v>5895</v>
      </c>
      <c r="R1606" s="152" t="s">
        <v>6710</v>
      </c>
      <c r="S1606" s="152" t="s">
        <v>6710</v>
      </c>
      <c r="T1606" s="152" t="s">
        <v>6711</v>
      </c>
      <c r="U1606" s="152" t="s">
        <v>786</v>
      </c>
    </row>
    <row r="1607" spans="4:21">
      <c r="D1607" s="152" t="s">
        <v>2821</v>
      </c>
      <c r="G1607" s="474" t="s">
        <v>373</v>
      </c>
      <c r="H1607" s="210" t="s">
        <v>374</v>
      </c>
      <c r="I1607" s="210"/>
      <c r="J1607" s="513">
        <v>-2149650</v>
      </c>
      <c r="K1607" s="513">
        <v>-1530</v>
      </c>
      <c r="L1607" s="513">
        <v>1405</v>
      </c>
      <c r="M1607" s="513" t="s">
        <v>6303</v>
      </c>
      <c r="N1607" s="513" t="s">
        <v>1566</v>
      </c>
      <c r="O1607" s="513" t="s">
        <v>1407</v>
      </c>
      <c r="P1607" s="518" t="s">
        <v>6712</v>
      </c>
      <c r="Q1607" s="152" t="s">
        <v>5895</v>
      </c>
      <c r="R1607" s="152" t="s">
        <v>6713</v>
      </c>
      <c r="S1607" s="152" t="s">
        <v>6713</v>
      </c>
      <c r="T1607" s="152" t="s">
        <v>6714</v>
      </c>
      <c r="U1607" s="152" t="s">
        <v>786</v>
      </c>
    </row>
    <row r="1608" spans="4:21">
      <c r="D1608" s="152" t="s">
        <v>2821</v>
      </c>
      <c r="G1608" s="474" t="s">
        <v>373</v>
      </c>
      <c r="H1608" s="210" t="s">
        <v>374</v>
      </c>
      <c r="I1608" s="210"/>
      <c r="J1608" s="513">
        <v>-2149650</v>
      </c>
      <c r="K1608" s="513">
        <v>-1530</v>
      </c>
      <c r="L1608" s="513">
        <v>1405</v>
      </c>
      <c r="M1608" s="513" t="s">
        <v>6303</v>
      </c>
      <c r="N1608" s="513" t="s">
        <v>1566</v>
      </c>
      <c r="O1608" s="513" t="s">
        <v>1407</v>
      </c>
      <c r="P1608" s="518" t="s">
        <v>6715</v>
      </c>
      <c r="Q1608" s="152" t="s">
        <v>5895</v>
      </c>
      <c r="R1608" s="152" t="s">
        <v>6716</v>
      </c>
      <c r="S1608" s="152" t="s">
        <v>6716</v>
      </c>
      <c r="T1608" s="152" t="s">
        <v>6717</v>
      </c>
      <c r="U1608" s="152" t="s">
        <v>786</v>
      </c>
    </row>
    <row r="1609" spans="4:21">
      <c r="D1609" s="152" t="s">
        <v>2821</v>
      </c>
      <c r="G1609" s="474" t="s">
        <v>373</v>
      </c>
      <c r="H1609" s="210" t="s">
        <v>374</v>
      </c>
      <c r="I1609" s="210"/>
      <c r="J1609" s="513">
        <v>-2149650</v>
      </c>
      <c r="K1609" s="513">
        <v>-1530</v>
      </c>
      <c r="L1609" s="513">
        <v>1405</v>
      </c>
      <c r="M1609" s="513" t="s">
        <v>6303</v>
      </c>
      <c r="N1609" s="513" t="s">
        <v>1566</v>
      </c>
      <c r="O1609" s="513" t="s">
        <v>1407</v>
      </c>
      <c r="P1609" s="518" t="s">
        <v>6718</v>
      </c>
      <c r="Q1609" s="152" t="s">
        <v>5895</v>
      </c>
      <c r="R1609" s="152" t="s">
        <v>6719</v>
      </c>
      <c r="S1609" s="152" t="s">
        <v>6719</v>
      </c>
      <c r="T1609" s="152" t="s">
        <v>6720</v>
      </c>
      <c r="U1609" s="152" t="s">
        <v>786</v>
      </c>
    </row>
    <row r="1610" spans="4:21">
      <c r="D1610" s="152" t="s">
        <v>2821</v>
      </c>
      <c r="G1610" s="474" t="s">
        <v>373</v>
      </c>
      <c r="H1610" s="210" t="s">
        <v>374</v>
      </c>
      <c r="I1610" s="210"/>
      <c r="J1610" s="513">
        <v>-2149650</v>
      </c>
      <c r="K1610" s="513">
        <v>-1530</v>
      </c>
      <c r="L1610" s="513">
        <v>1405</v>
      </c>
      <c r="M1610" s="513" t="s">
        <v>6303</v>
      </c>
      <c r="N1610" s="513" t="s">
        <v>1566</v>
      </c>
      <c r="O1610" s="513" t="s">
        <v>1407</v>
      </c>
      <c r="P1610" s="518" t="s">
        <v>6721</v>
      </c>
      <c r="Q1610" s="152" t="s">
        <v>5895</v>
      </c>
      <c r="R1610" s="152" t="s">
        <v>6722</v>
      </c>
      <c r="S1610" s="152" t="s">
        <v>6722</v>
      </c>
      <c r="T1610" s="152" t="s">
        <v>6723</v>
      </c>
      <c r="U1610" s="152" t="s">
        <v>786</v>
      </c>
    </row>
    <row r="1611" spans="4:21">
      <c r="D1611" s="152" t="s">
        <v>2821</v>
      </c>
      <c r="G1611" s="474" t="s">
        <v>373</v>
      </c>
      <c r="H1611" s="210" t="s">
        <v>374</v>
      </c>
      <c r="I1611" s="210"/>
      <c r="J1611" s="513">
        <v>-2149650</v>
      </c>
      <c r="K1611" s="513">
        <v>-1530</v>
      </c>
      <c r="L1611" s="513">
        <v>1405</v>
      </c>
      <c r="M1611" s="513" t="s">
        <v>6303</v>
      </c>
      <c r="N1611" s="513" t="s">
        <v>1566</v>
      </c>
      <c r="O1611" s="513" t="s">
        <v>1407</v>
      </c>
      <c r="P1611" s="518" t="s">
        <v>6724</v>
      </c>
      <c r="Q1611" s="152" t="s">
        <v>5895</v>
      </c>
      <c r="R1611" s="152" t="s">
        <v>6725</v>
      </c>
      <c r="S1611" s="152" t="s">
        <v>6725</v>
      </c>
      <c r="T1611" s="152" t="s">
        <v>6726</v>
      </c>
      <c r="U1611" s="152" t="s">
        <v>786</v>
      </c>
    </row>
    <row r="1612" spans="4:21">
      <c r="D1612" s="152" t="s">
        <v>2821</v>
      </c>
      <c r="G1612" s="474" t="s">
        <v>373</v>
      </c>
      <c r="H1612" s="210" t="s">
        <v>374</v>
      </c>
      <c r="I1612" s="210"/>
      <c r="J1612" s="513">
        <v>-3934000</v>
      </c>
      <c r="K1612" s="513">
        <v>-2800</v>
      </c>
      <c r="L1612" s="513">
        <v>1405</v>
      </c>
      <c r="M1612" s="513" t="s">
        <v>6303</v>
      </c>
      <c r="N1612" s="513" t="s">
        <v>1540</v>
      </c>
      <c r="O1612" s="513" t="s">
        <v>1407</v>
      </c>
      <c r="P1612" s="518" t="s">
        <v>6727</v>
      </c>
      <c r="Q1612" s="152" t="s">
        <v>5933</v>
      </c>
      <c r="R1612" s="152" t="s">
        <v>6728</v>
      </c>
      <c r="S1612" s="152" t="s">
        <v>6728</v>
      </c>
      <c r="T1612" s="152" t="s">
        <v>6729</v>
      </c>
      <c r="U1612" s="152" t="s">
        <v>786</v>
      </c>
    </row>
    <row r="1613" spans="4:21">
      <c r="D1613" s="152" t="s">
        <v>2821</v>
      </c>
      <c r="G1613" s="474" t="s">
        <v>373</v>
      </c>
      <c r="H1613" s="210" t="s">
        <v>374</v>
      </c>
      <c r="I1613" s="210"/>
      <c r="J1613" s="513">
        <v>-2750287.5</v>
      </c>
      <c r="K1613" s="513">
        <v>-1957.5</v>
      </c>
      <c r="L1613" s="513">
        <v>1405</v>
      </c>
      <c r="M1613" s="513" t="s">
        <v>6303</v>
      </c>
      <c r="N1613" s="513" t="s">
        <v>1540</v>
      </c>
      <c r="O1613" s="513" t="s">
        <v>1407</v>
      </c>
      <c r="P1613" s="518" t="s">
        <v>6730</v>
      </c>
      <c r="Q1613" s="152" t="s">
        <v>5933</v>
      </c>
      <c r="R1613" s="152" t="s">
        <v>6731</v>
      </c>
      <c r="S1613" s="152" t="s">
        <v>6731</v>
      </c>
      <c r="T1613" s="152" t="s">
        <v>6732</v>
      </c>
      <c r="U1613" s="152" t="s">
        <v>786</v>
      </c>
    </row>
    <row r="1614" spans="4:21">
      <c r="D1614" s="152" t="s">
        <v>2821</v>
      </c>
      <c r="G1614" s="474" t="s">
        <v>373</v>
      </c>
      <c r="H1614" s="210" t="s">
        <v>374</v>
      </c>
      <c r="I1614" s="210"/>
      <c r="J1614" s="513">
        <v>-3428200</v>
      </c>
      <c r="K1614" s="513">
        <v>-2440</v>
      </c>
      <c r="L1614" s="513">
        <v>1405</v>
      </c>
      <c r="M1614" s="513" t="s">
        <v>6303</v>
      </c>
      <c r="N1614" s="513" t="s">
        <v>1540</v>
      </c>
      <c r="O1614" s="513" t="s">
        <v>1407</v>
      </c>
      <c r="P1614" s="518" t="s">
        <v>6733</v>
      </c>
      <c r="Q1614" s="152" t="s">
        <v>5933</v>
      </c>
      <c r="R1614" s="152" t="s">
        <v>6734</v>
      </c>
      <c r="S1614" s="152" t="s">
        <v>6734</v>
      </c>
      <c r="T1614" s="152" t="s">
        <v>6735</v>
      </c>
      <c r="U1614" s="152" t="s">
        <v>786</v>
      </c>
    </row>
    <row r="1615" spans="4:21">
      <c r="D1615" s="152" t="s">
        <v>2821</v>
      </c>
      <c r="G1615" s="474" t="s">
        <v>373</v>
      </c>
      <c r="H1615" s="210" t="s">
        <v>374</v>
      </c>
      <c r="I1615" s="210"/>
      <c r="J1615" s="513">
        <v>-4229050</v>
      </c>
      <c r="K1615" s="513">
        <v>-3010</v>
      </c>
      <c r="L1615" s="513">
        <v>1405</v>
      </c>
      <c r="M1615" s="513" t="s">
        <v>6303</v>
      </c>
      <c r="N1615" s="513" t="s">
        <v>1540</v>
      </c>
      <c r="O1615" s="513" t="s">
        <v>1407</v>
      </c>
      <c r="P1615" s="518" t="s">
        <v>6736</v>
      </c>
      <c r="Q1615" s="152" t="s">
        <v>5933</v>
      </c>
      <c r="R1615" s="152" t="s">
        <v>6737</v>
      </c>
      <c r="S1615" s="152" t="s">
        <v>6737</v>
      </c>
      <c r="T1615" s="152" t="s">
        <v>6738</v>
      </c>
      <c r="U1615" s="152" t="s">
        <v>786</v>
      </c>
    </row>
    <row r="1616" spans="4:21">
      <c r="D1616" s="152" t="s">
        <v>2821</v>
      </c>
      <c r="G1616" s="474" t="s">
        <v>373</v>
      </c>
      <c r="H1616" s="210" t="s">
        <v>374</v>
      </c>
      <c r="I1616" s="210"/>
      <c r="J1616" s="513">
        <v>-562000</v>
      </c>
      <c r="K1616" s="513">
        <v>-400</v>
      </c>
      <c r="L1616" s="513">
        <v>1405</v>
      </c>
      <c r="M1616" s="513" t="s">
        <v>6303</v>
      </c>
      <c r="N1616" s="513" t="s">
        <v>1540</v>
      </c>
      <c r="O1616" s="513" t="s">
        <v>1407</v>
      </c>
      <c r="P1616" s="518" t="s">
        <v>6739</v>
      </c>
      <c r="Q1616" s="152" t="s">
        <v>5933</v>
      </c>
      <c r="R1616" s="152" t="s">
        <v>6740</v>
      </c>
      <c r="S1616" s="152" t="s">
        <v>6740</v>
      </c>
      <c r="T1616" s="152" t="s">
        <v>6741</v>
      </c>
      <c r="U1616" s="152" t="s">
        <v>786</v>
      </c>
    </row>
    <row r="1617" spans="4:21">
      <c r="D1617" s="152" t="s">
        <v>2821</v>
      </c>
      <c r="G1617" s="474" t="s">
        <v>373</v>
      </c>
      <c r="H1617" s="210" t="s">
        <v>374</v>
      </c>
      <c r="I1617" s="210"/>
      <c r="J1617" s="513">
        <v>-562000</v>
      </c>
      <c r="K1617" s="513">
        <v>-400</v>
      </c>
      <c r="L1617" s="513">
        <v>1405</v>
      </c>
      <c r="M1617" s="513" t="s">
        <v>6303</v>
      </c>
      <c r="N1617" s="513" t="s">
        <v>1540</v>
      </c>
      <c r="O1617" s="513" t="s">
        <v>1407</v>
      </c>
      <c r="P1617" s="518" t="s">
        <v>6742</v>
      </c>
      <c r="Q1617" s="152" t="s">
        <v>5933</v>
      </c>
      <c r="R1617" s="152" t="s">
        <v>6743</v>
      </c>
      <c r="S1617" s="152" t="s">
        <v>6743</v>
      </c>
      <c r="T1617" s="152" t="s">
        <v>6744</v>
      </c>
      <c r="U1617" s="152" t="s">
        <v>786</v>
      </c>
    </row>
    <row r="1618" spans="4:21">
      <c r="D1618" s="152" t="s">
        <v>2821</v>
      </c>
      <c r="G1618" s="474" t="s">
        <v>373</v>
      </c>
      <c r="H1618" s="210" t="s">
        <v>374</v>
      </c>
      <c r="I1618" s="210"/>
      <c r="J1618" s="513">
        <v>-702500</v>
      </c>
      <c r="K1618" s="513">
        <v>-500</v>
      </c>
      <c r="L1618" s="513">
        <v>1405</v>
      </c>
      <c r="M1618" s="513" t="s">
        <v>6303</v>
      </c>
      <c r="N1618" s="513" t="s">
        <v>1540</v>
      </c>
      <c r="O1618" s="513" t="s">
        <v>1407</v>
      </c>
      <c r="P1618" s="518" t="s">
        <v>6745</v>
      </c>
      <c r="Q1618" s="152" t="s">
        <v>5933</v>
      </c>
      <c r="R1618" s="152" t="s">
        <v>6746</v>
      </c>
      <c r="S1618" s="152" t="s">
        <v>6746</v>
      </c>
      <c r="T1618" s="152" t="s">
        <v>6747</v>
      </c>
      <c r="U1618" s="152" t="s">
        <v>786</v>
      </c>
    </row>
    <row r="1619" spans="4:21">
      <c r="D1619" s="152" t="s">
        <v>2821</v>
      </c>
      <c r="G1619" s="474" t="s">
        <v>373</v>
      </c>
      <c r="H1619" s="210" t="s">
        <v>374</v>
      </c>
      <c r="I1619" s="210"/>
      <c r="J1619" s="513">
        <v>-6635112.5</v>
      </c>
      <c r="K1619" s="513">
        <v>-4722.5</v>
      </c>
      <c r="L1619" s="513">
        <v>1405</v>
      </c>
      <c r="M1619" s="513" t="s">
        <v>6303</v>
      </c>
      <c r="N1619" s="513" t="s">
        <v>1540</v>
      </c>
      <c r="O1619" s="513" t="s">
        <v>1407</v>
      </c>
      <c r="P1619" s="518" t="s">
        <v>6748</v>
      </c>
      <c r="Q1619" s="152" t="s">
        <v>5933</v>
      </c>
      <c r="R1619" s="152" t="s">
        <v>6749</v>
      </c>
      <c r="S1619" s="152" t="s">
        <v>6749</v>
      </c>
      <c r="T1619" s="152" t="s">
        <v>6750</v>
      </c>
      <c r="U1619" s="152" t="s">
        <v>786</v>
      </c>
    </row>
    <row r="1620" spans="4:21">
      <c r="D1620" s="152" t="s">
        <v>2821</v>
      </c>
      <c r="G1620" s="474" t="s">
        <v>373</v>
      </c>
      <c r="H1620" s="210" t="s">
        <v>374</v>
      </c>
      <c r="I1620" s="210"/>
      <c r="J1620" s="513">
        <v>-2349160</v>
      </c>
      <c r="K1620" s="513">
        <v>-1672</v>
      </c>
      <c r="L1620" s="513">
        <v>1405</v>
      </c>
      <c r="M1620" s="513" t="s">
        <v>6303</v>
      </c>
      <c r="N1620" s="513" t="s">
        <v>1540</v>
      </c>
      <c r="O1620" s="513" t="s">
        <v>1407</v>
      </c>
      <c r="P1620" s="518" t="s">
        <v>6751</v>
      </c>
      <c r="Q1620" s="152" t="s">
        <v>5933</v>
      </c>
      <c r="R1620" s="152" t="s">
        <v>6752</v>
      </c>
      <c r="S1620" s="152" t="s">
        <v>6752</v>
      </c>
      <c r="T1620" s="152" t="s">
        <v>6753</v>
      </c>
      <c r="U1620" s="152" t="s">
        <v>786</v>
      </c>
    </row>
    <row r="1621" spans="4:21">
      <c r="D1621" s="152" t="s">
        <v>2821</v>
      </c>
      <c r="G1621" s="474" t="s">
        <v>373</v>
      </c>
      <c r="H1621" s="210" t="s">
        <v>374</v>
      </c>
      <c r="I1621" s="210"/>
      <c r="J1621" s="513">
        <v>-2529000</v>
      </c>
      <c r="K1621" s="513">
        <v>-1800</v>
      </c>
      <c r="L1621" s="513">
        <v>1405</v>
      </c>
      <c r="M1621" s="513" t="s">
        <v>6303</v>
      </c>
      <c r="N1621" s="513" t="s">
        <v>1540</v>
      </c>
      <c r="O1621" s="513" t="s">
        <v>1407</v>
      </c>
      <c r="P1621" s="518" t="s">
        <v>6754</v>
      </c>
      <c r="Q1621" s="152" t="s">
        <v>5933</v>
      </c>
      <c r="R1621" s="152" t="s">
        <v>6755</v>
      </c>
      <c r="S1621" s="152" t="s">
        <v>6755</v>
      </c>
      <c r="T1621" s="152" t="s">
        <v>6756</v>
      </c>
      <c r="U1621" s="152" t="s">
        <v>786</v>
      </c>
    </row>
    <row r="1622" spans="4:21">
      <c r="D1622" s="152" t="s">
        <v>2821</v>
      </c>
      <c r="G1622" s="474" t="s">
        <v>373</v>
      </c>
      <c r="H1622" s="210" t="s">
        <v>374</v>
      </c>
      <c r="I1622" s="210"/>
      <c r="J1622" s="513">
        <v>-3301750</v>
      </c>
      <c r="K1622" s="513">
        <v>-2350</v>
      </c>
      <c r="L1622" s="513">
        <v>1405</v>
      </c>
      <c r="M1622" s="513" t="s">
        <v>6303</v>
      </c>
      <c r="N1622" s="513" t="s">
        <v>1540</v>
      </c>
      <c r="O1622" s="513" t="s">
        <v>1407</v>
      </c>
      <c r="P1622" s="518" t="s">
        <v>6757</v>
      </c>
      <c r="Q1622" s="152" t="s">
        <v>5933</v>
      </c>
      <c r="R1622" s="152" t="s">
        <v>6758</v>
      </c>
      <c r="S1622" s="152" t="s">
        <v>6758</v>
      </c>
      <c r="T1622" s="152" t="s">
        <v>6759</v>
      </c>
      <c r="U1622" s="152" t="s">
        <v>786</v>
      </c>
    </row>
    <row r="1623" spans="4:21">
      <c r="D1623" s="152" t="s">
        <v>2821</v>
      </c>
      <c r="G1623" s="474" t="s">
        <v>373</v>
      </c>
      <c r="H1623" s="210" t="s">
        <v>374</v>
      </c>
      <c r="I1623" s="210"/>
      <c r="J1623" s="513">
        <v>-1405000</v>
      </c>
      <c r="K1623" s="513">
        <v>-1000</v>
      </c>
      <c r="L1623" s="513">
        <v>1405</v>
      </c>
      <c r="M1623" s="513" t="s">
        <v>6303</v>
      </c>
      <c r="N1623" s="513" t="s">
        <v>1540</v>
      </c>
      <c r="O1623" s="513" t="s">
        <v>1407</v>
      </c>
      <c r="P1623" s="518" t="s">
        <v>6760</v>
      </c>
      <c r="Q1623" s="152" t="s">
        <v>5933</v>
      </c>
      <c r="R1623" s="152" t="s">
        <v>6761</v>
      </c>
      <c r="S1623" s="152" t="s">
        <v>6761</v>
      </c>
      <c r="T1623" s="152" t="s">
        <v>6762</v>
      </c>
      <c r="U1623" s="152" t="s">
        <v>786</v>
      </c>
    </row>
    <row r="1624" spans="4:21">
      <c r="D1624" s="152" t="s">
        <v>2821</v>
      </c>
      <c r="G1624" s="474" t="s">
        <v>373</v>
      </c>
      <c r="H1624" s="210" t="s">
        <v>374</v>
      </c>
      <c r="I1624" s="210"/>
      <c r="J1624" s="513">
        <v>-2248000</v>
      </c>
      <c r="K1624" s="513">
        <v>-1600</v>
      </c>
      <c r="L1624" s="513">
        <v>1405</v>
      </c>
      <c r="M1624" s="513" t="s">
        <v>6303</v>
      </c>
      <c r="N1624" s="513" t="s">
        <v>1540</v>
      </c>
      <c r="O1624" s="513" t="s">
        <v>1407</v>
      </c>
      <c r="P1624" s="518" t="s">
        <v>6763</v>
      </c>
      <c r="Q1624" s="152" t="s">
        <v>5933</v>
      </c>
      <c r="R1624" s="152" t="s">
        <v>6764</v>
      </c>
      <c r="S1624" s="152" t="s">
        <v>6764</v>
      </c>
      <c r="T1624" s="152" t="s">
        <v>6765</v>
      </c>
      <c r="U1624" s="152" t="s">
        <v>786</v>
      </c>
    </row>
    <row r="1625" spans="4:21">
      <c r="D1625" s="152" t="s">
        <v>2821</v>
      </c>
      <c r="G1625" s="474" t="s">
        <v>373</v>
      </c>
      <c r="H1625" s="210" t="s">
        <v>374</v>
      </c>
      <c r="I1625" s="210"/>
      <c r="J1625" s="513">
        <v>-2518462.5</v>
      </c>
      <c r="K1625" s="513">
        <v>-1792.5</v>
      </c>
      <c r="L1625" s="513">
        <v>1405</v>
      </c>
      <c r="M1625" s="513" t="s">
        <v>6303</v>
      </c>
      <c r="N1625" s="513" t="s">
        <v>1540</v>
      </c>
      <c r="O1625" s="513" t="s">
        <v>1407</v>
      </c>
      <c r="P1625" s="518" t="s">
        <v>6766</v>
      </c>
      <c r="Q1625" s="152" t="s">
        <v>5933</v>
      </c>
      <c r="R1625" s="152" t="s">
        <v>6767</v>
      </c>
      <c r="S1625" s="152" t="s">
        <v>6767</v>
      </c>
      <c r="T1625" s="152" t="s">
        <v>6768</v>
      </c>
      <c r="U1625" s="152" t="s">
        <v>786</v>
      </c>
    </row>
    <row r="1626" spans="4:21">
      <c r="D1626" s="152" t="s">
        <v>2821</v>
      </c>
      <c r="G1626" s="474" t="s">
        <v>373</v>
      </c>
      <c r="H1626" s="210" t="s">
        <v>374</v>
      </c>
      <c r="I1626" s="210"/>
      <c r="J1626" s="513">
        <v>-1562360</v>
      </c>
      <c r="K1626" s="513">
        <v>-1112</v>
      </c>
      <c r="L1626" s="513">
        <v>1405</v>
      </c>
      <c r="M1626" s="513" t="s">
        <v>6303</v>
      </c>
      <c r="N1626" s="513" t="s">
        <v>1540</v>
      </c>
      <c r="O1626" s="513" t="s">
        <v>1407</v>
      </c>
      <c r="P1626" s="518" t="s">
        <v>6769</v>
      </c>
      <c r="Q1626" s="152" t="s">
        <v>5933</v>
      </c>
      <c r="R1626" s="152" t="s">
        <v>6770</v>
      </c>
      <c r="S1626" s="152" t="s">
        <v>6770</v>
      </c>
      <c r="T1626" s="152" t="s">
        <v>6771</v>
      </c>
      <c r="U1626" s="152" t="s">
        <v>786</v>
      </c>
    </row>
    <row r="1627" spans="4:21">
      <c r="D1627" s="152" t="s">
        <v>2821</v>
      </c>
      <c r="G1627" s="474" t="s">
        <v>373</v>
      </c>
      <c r="H1627" s="210" t="s">
        <v>374</v>
      </c>
      <c r="I1627" s="210"/>
      <c r="J1627" s="513">
        <v>-1878485</v>
      </c>
      <c r="K1627" s="513">
        <v>-1337</v>
      </c>
      <c r="L1627" s="513">
        <v>1405</v>
      </c>
      <c r="M1627" s="513" t="s">
        <v>6303</v>
      </c>
      <c r="N1627" s="513" t="s">
        <v>1540</v>
      </c>
      <c r="O1627" s="513" t="s">
        <v>1407</v>
      </c>
      <c r="P1627" s="518" t="s">
        <v>6772</v>
      </c>
      <c r="Q1627" s="152" t="s">
        <v>5933</v>
      </c>
      <c r="R1627" s="152" t="s">
        <v>6773</v>
      </c>
      <c r="S1627" s="152" t="s">
        <v>6773</v>
      </c>
      <c r="T1627" s="152" t="s">
        <v>6774</v>
      </c>
      <c r="U1627" s="152" t="s">
        <v>786</v>
      </c>
    </row>
    <row r="1628" spans="4:21">
      <c r="D1628" s="152" t="s">
        <v>2821</v>
      </c>
      <c r="G1628" s="474" t="s">
        <v>373</v>
      </c>
      <c r="H1628" s="210" t="s">
        <v>374</v>
      </c>
      <c r="I1628" s="210"/>
      <c r="J1628" s="513">
        <v>-3252575</v>
      </c>
      <c r="K1628" s="513">
        <v>-2315</v>
      </c>
      <c r="L1628" s="513">
        <v>1405</v>
      </c>
      <c r="M1628" s="513" t="s">
        <v>6303</v>
      </c>
      <c r="N1628" s="513" t="s">
        <v>1540</v>
      </c>
      <c r="O1628" s="513" t="s">
        <v>1407</v>
      </c>
      <c r="P1628" s="518" t="s">
        <v>6775</v>
      </c>
      <c r="Q1628" s="152" t="s">
        <v>5933</v>
      </c>
      <c r="R1628" s="152" t="s">
        <v>6776</v>
      </c>
      <c r="S1628" s="152" t="s">
        <v>6776</v>
      </c>
      <c r="T1628" s="152" t="s">
        <v>6777</v>
      </c>
      <c r="U1628" s="152" t="s">
        <v>786</v>
      </c>
    </row>
    <row r="1629" spans="4:21">
      <c r="D1629" s="152" t="s">
        <v>2821</v>
      </c>
      <c r="G1629" s="474" t="s">
        <v>373</v>
      </c>
      <c r="H1629" s="210" t="s">
        <v>374</v>
      </c>
      <c r="I1629" s="210"/>
      <c r="J1629" s="513">
        <v>-5893975</v>
      </c>
      <c r="K1629" s="513">
        <v>-4195</v>
      </c>
      <c r="L1629" s="513">
        <v>1405</v>
      </c>
      <c r="M1629" s="513" t="s">
        <v>6303</v>
      </c>
      <c r="N1629" s="513" t="s">
        <v>1540</v>
      </c>
      <c r="O1629" s="513" t="s">
        <v>1407</v>
      </c>
      <c r="P1629" s="518" t="s">
        <v>6778</v>
      </c>
      <c r="Q1629" s="152" t="s">
        <v>5933</v>
      </c>
      <c r="R1629" s="152" t="s">
        <v>6779</v>
      </c>
      <c r="S1629" s="152" t="s">
        <v>6779</v>
      </c>
      <c r="T1629" s="152" t="s">
        <v>6780</v>
      </c>
      <c r="U1629" s="152" t="s">
        <v>786</v>
      </c>
    </row>
    <row r="1630" spans="4:21">
      <c r="D1630" s="152" t="s">
        <v>2821</v>
      </c>
      <c r="G1630" s="474" t="s">
        <v>373</v>
      </c>
      <c r="H1630" s="210" t="s">
        <v>374</v>
      </c>
      <c r="I1630" s="210"/>
      <c r="J1630" s="513">
        <v>-2866200</v>
      </c>
      <c r="K1630" s="513">
        <v>-2040</v>
      </c>
      <c r="L1630" s="513">
        <v>1405</v>
      </c>
      <c r="M1630" s="513" t="s">
        <v>6303</v>
      </c>
      <c r="N1630" s="513" t="s">
        <v>1540</v>
      </c>
      <c r="O1630" s="513" t="s">
        <v>1407</v>
      </c>
      <c r="P1630" s="518" t="s">
        <v>6781</v>
      </c>
      <c r="Q1630" s="152" t="s">
        <v>5933</v>
      </c>
      <c r="R1630" s="152" t="s">
        <v>6782</v>
      </c>
      <c r="S1630" s="152" t="s">
        <v>6782</v>
      </c>
      <c r="T1630" s="152" t="s">
        <v>6783</v>
      </c>
      <c r="U1630" s="152" t="s">
        <v>786</v>
      </c>
    </row>
    <row r="1631" spans="4:21">
      <c r="D1631" s="152" t="s">
        <v>2821</v>
      </c>
      <c r="G1631" s="474" t="s">
        <v>373</v>
      </c>
      <c r="H1631" s="210" t="s">
        <v>374</v>
      </c>
      <c r="I1631" s="210"/>
      <c r="J1631" s="513">
        <v>-3059387.5</v>
      </c>
      <c r="K1631" s="513">
        <v>-2177.5</v>
      </c>
      <c r="L1631" s="513">
        <v>1405</v>
      </c>
      <c r="M1631" s="513" t="s">
        <v>6303</v>
      </c>
      <c r="N1631" s="513" t="s">
        <v>1540</v>
      </c>
      <c r="O1631" s="513" t="s">
        <v>1407</v>
      </c>
      <c r="P1631" s="518" t="s">
        <v>6784</v>
      </c>
      <c r="Q1631" s="152" t="s">
        <v>5933</v>
      </c>
      <c r="R1631" s="152" t="s">
        <v>6785</v>
      </c>
      <c r="S1631" s="152" t="s">
        <v>6785</v>
      </c>
      <c r="T1631" s="152" t="s">
        <v>6786</v>
      </c>
      <c r="U1631" s="152" t="s">
        <v>786</v>
      </c>
    </row>
    <row r="1632" spans="4:21">
      <c r="D1632" s="152" t="s">
        <v>2821</v>
      </c>
      <c r="G1632" s="474" t="s">
        <v>373</v>
      </c>
      <c r="H1632" s="210" t="s">
        <v>374</v>
      </c>
      <c r="I1632" s="210"/>
      <c r="J1632" s="513">
        <v>-5553262.5</v>
      </c>
      <c r="K1632" s="513">
        <v>-3952.5</v>
      </c>
      <c r="L1632" s="513">
        <v>1405</v>
      </c>
      <c r="M1632" s="513" t="s">
        <v>6303</v>
      </c>
      <c r="N1632" s="513" t="s">
        <v>1540</v>
      </c>
      <c r="O1632" s="513" t="s">
        <v>1407</v>
      </c>
      <c r="P1632" s="518" t="s">
        <v>6787</v>
      </c>
      <c r="Q1632" s="152" t="s">
        <v>5933</v>
      </c>
      <c r="R1632" s="152" t="s">
        <v>6788</v>
      </c>
      <c r="S1632" s="152" t="s">
        <v>6788</v>
      </c>
      <c r="T1632" s="152" t="s">
        <v>6789</v>
      </c>
      <c r="U1632" s="152" t="s">
        <v>786</v>
      </c>
    </row>
    <row r="1633" spans="4:21">
      <c r="D1633" s="152" t="s">
        <v>2821</v>
      </c>
      <c r="G1633" s="474" t="s">
        <v>373</v>
      </c>
      <c r="H1633" s="210" t="s">
        <v>374</v>
      </c>
      <c r="I1633" s="210"/>
      <c r="J1633" s="513">
        <v>-273975</v>
      </c>
      <c r="K1633" s="513">
        <v>-195</v>
      </c>
      <c r="L1633" s="513">
        <v>1405</v>
      </c>
      <c r="M1633" s="513" t="s">
        <v>6303</v>
      </c>
      <c r="N1633" s="513" t="s">
        <v>1540</v>
      </c>
      <c r="O1633" s="513" t="s">
        <v>1407</v>
      </c>
      <c r="P1633" s="518" t="s">
        <v>6790</v>
      </c>
      <c r="Q1633" s="152" t="s">
        <v>5933</v>
      </c>
      <c r="R1633" s="152" t="s">
        <v>6791</v>
      </c>
      <c r="S1633" s="152" t="s">
        <v>6791</v>
      </c>
      <c r="T1633" s="152" t="s">
        <v>6792</v>
      </c>
      <c r="U1633" s="152" t="s">
        <v>786</v>
      </c>
    </row>
    <row r="1634" spans="4:21">
      <c r="D1634" s="152" t="s">
        <v>2821</v>
      </c>
      <c r="G1634" s="474" t="s">
        <v>373</v>
      </c>
      <c r="H1634" s="210" t="s">
        <v>374</v>
      </c>
      <c r="I1634" s="210"/>
      <c r="J1634" s="513">
        <v>-702500</v>
      </c>
      <c r="K1634" s="513">
        <v>-500</v>
      </c>
      <c r="L1634" s="513">
        <v>1405</v>
      </c>
      <c r="M1634" s="513" t="s">
        <v>6303</v>
      </c>
      <c r="N1634" s="513" t="s">
        <v>1540</v>
      </c>
      <c r="O1634" s="513" t="s">
        <v>1407</v>
      </c>
      <c r="P1634" s="518" t="s">
        <v>6793</v>
      </c>
      <c r="Q1634" s="152" t="s">
        <v>5933</v>
      </c>
      <c r="R1634" s="152" t="s">
        <v>6794</v>
      </c>
      <c r="S1634" s="152" t="s">
        <v>6794</v>
      </c>
      <c r="T1634" s="152" t="s">
        <v>6795</v>
      </c>
      <c r="U1634" s="152" t="s">
        <v>786</v>
      </c>
    </row>
    <row r="1635" spans="4:21">
      <c r="D1635" s="152" t="s">
        <v>2821</v>
      </c>
      <c r="G1635" s="474" t="s">
        <v>373</v>
      </c>
      <c r="H1635" s="210" t="s">
        <v>374</v>
      </c>
      <c r="I1635" s="210"/>
      <c r="J1635" s="513">
        <v>-5026387.5</v>
      </c>
      <c r="K1635" s="513">
        <v>-3577.5</v>
      </c>
      <c r="L1635" s="513">
        <v>1405</v>
      </c>
      <c r="M1635" s="513" t="s">
        <v>6303</v>
      </c>
      <c r="N1635" s="513" t="s">
        <v>1540</v>
      </c>
      <c r="O1635" s="513" t="s">
        <v>1407</v>
      </c>
      <c r="P1635" s="518" t="s">
        <v>6796</v>
      </c>
      <c r="Q1635" s="152" t="s">
        <v>5933</v>
      </c>
      <c r="R1635" s="152" t="s">
        <v>6797</v>
      </c>
      <c r="S1635" s="152" t="s">
        <v>6797</v>
      </c>
      <c r="T1635" s="152" t="s">
        <v>6798</v>
      </c>
      <c r="U1635" s="152" t="s">
        <v>786</v>
      </c>
    </row>
    <row r="1636" spans="4:21">
      <c r="D1636" s="152" t="s">
        <v>2821</v>
      </c>
      <c r="G1636" s="474" t="s">
        <v>373</v>
      </c>
      <c r="H1636" s="210" t="s">
        <v>374</v>
      </c>
      <c r="I1636" s="210"/>
      <c r="J1636" s="513">
        <v>-3941025</v>
      </c>
      <c r="K1636" s="513">
        <v>-2805</v>
      </c>
      <c r="L1636" s="513">
        <v>1405</v>
      </c>
      <c r="M1636" s="513" t="s">
        <v>6303</v>
      </c>
      <c r="N1636" s="513" t="s">
        <v>1540</v>
      </c>
      <c r="O1636" s="513" t="s">
        <v>1407</v>
      </c>
      <c r="P1636" s="518" t="s">
        <v>6799</v>
      </c>
      <c r="Q1636" s="152" t="s">
        <v>5933</v>
      </c>
      <c r="R1636" s="152" t="s">
        <v>6800</v>
      </c>
      <c r="S1636" s="152" t="s">
        <v>6800</v>
      </c>
      <c r="T1636" s="152" t="s">
        <v>6801</v>
      </c>
      <c r="U1636" s="152" t="s">
        <v>786</v>
      </c>
    </row>
    <row r="1637" spans="4:21">
      <c r="D1637" s="152" t="s">
        <v>2821</v>
      </c>
      <c r="G1637" s="474" t="s">
        <v>373</v>
      </c>
      <c r="H1637" s="210" t="s">
        <v>374</v>
      </c>
      <c r="I1637" s="210"/>
      <c r="J1637" s="513">
        <v>-1847575</v>
      </c>
      <c r="K1637" s="513">
        <v>-1315</v>
      </c>
      <c r="L1637" s="513">
        <v>1405</v>
      </c>
      <c r="M1637" s="513" t="s">
        <v>6303</v>
      </c>
      <c r="N1637" s="513" t="s">
        <v>1540</v>
      </c>
      <c r="O1637" s="513" t="s">
        <v>1407</v>
      </c>
      <c r="P1637" s="518" t="s">
        <v>6802</v>
      </c>
      <c r="Q1637" s="152" t="s">
        <v>5933</v>
      </c>
      <c r="R1637" s="152" t="s">
        <v>6803</v>
      </c>
      <c r="S1637" s="152" t="s">
        <v>6803</v>
      </c>
      <c r="T1637" s="152" t="s">
        <v>6804</v>
      </c>
      <c r="U1637" s="152" t="s">
        <v>786</v>
      </c>
    </row>
    <row r="1638" spans="4:21">
      <c r="D1638" s="152" t="s">
        <v>2821</v>
      </c>
      <c r="G1638" s="474" t="s">
        <v>373</v>
      </c>
      <c r="H1638" s="210" t="s">
        <v>374</v>
      </c>
      <c r="I1638" s="210"/>
      <c r="J1638" s="513">
        <v>-2588712.5</v>
      </c>
      <c r="K1638" s="513">
        <v>-1842.5</v>
      </c>
      <c r="L1638" s="513">
        <v>1405</v>
      </c>
      <c r="M1638" s="513" t="s">
        <v>6303</v>
      </c>
      <c r="N1638" s="513" t="s">
        <v>1540</v>
      </c>
      <c r="O1638" s="513" t="s">
        <v>1407</v>
      </c>
      <c r="P1638" s="518" t="s">
        <v>6805</v>
      </c>
      <c r="Q1638" s="152" t="s">
        <v>5933</v>
      </c>
      <c r="R1638" s="152" t="s">
        <v>6806</v>
      </c>
      <c r="S1638" s="152" t="s">
        <v>6806</v>
      </c>
      <c r="T1638" s="152" t="s">
        <v>6807</v>
      </c>
      <c r="U1638" s="152" t="s">
        <v>786</v>
      </c>
    </row>
    <row r="1639" spans="4:21">
      <c r="D1639" s="152" t="s">
        <v>2821</v>
      </c>
      <c r="G1639" s="474" t="s">
        <v>373</v>
      </c>
      <c r="H1639" s="210" t="s">
        <v>374</v>
      </c>
      <c r="I1639" s="210"/>
      <c r="J1639" s="513">
        <v>-4397650</v>
      </c>
      <c r="K1639" s="513">
        <v>-3130</v>
      </c>
      <c r="L1639" s="513">
        <v>1405</v>
      </c>
      <c r="M1639" s="513" t="s">
        <v>6303</v>
      </c>
      <c r="N1639" s="513" t="s">
        <v>1540</v>
      </c>
      <c r="O1639" s="513" t="s">
        <v>1407</v>
      </c>
      <c r="P1639" s="518" t="s">
        <v>6808</v>
      </c>
      <c r="Q1639" s="152" t="s">
        <v>5933</v>
      </c>
      <c r="R1639" s="152" t="s">
        <v>6809</v>
      </c>
      <c r="S1639" s="152" t="s">
        <v>6809</v>
      </c>
      <c r="T1639" s="152" t="s">
        <v>6810</v>
      </c>
      <c r="U1639" s="152" t="s">
        <v>786</v>
      </c>
    </row>
    <row r="1640" spans="4:21">
      <c r="D1640" s="152" t="s">
        <v>2821</v>
      </c>
      <c r="G1640" s="474" t="s">
        <v>373</v>
      </c>
      <c r="H1640" s="210" t="s">
        <v>374</v>
      </c>
      <c r="I1640" s="210"/>
      <c r="J1640" s="513">
        <v>-3256087.5</v>
      </c>
      <c r="K1640" s="513">
        <v>-2317.5</v>
      </c>
      <c r="L1640" s="513">
        <v>1405</v>
      </c>
      <c r="M1640" s="513" t="s">
        <v>6303</v>
      </c>
      <c r="N1640" s="513" t="s">
        <v>1540</v>
      </c>
      <c r="O1640" s="513" t="s">
        <v>1407</v>
      </c>
      <c r="P1640" s="518" t="s">
        <v>6811</v>
      </c>
      <c r="Q1640" s="152" t="s">
        <v>5933</v>
      </c>
      <c r="R1640" s="152" t="s">
        <v>6812</v>
      </c>
      <c r="S1640" s="152" t="s">
        <v>6812</v>
      </c>
      <c r="T1640" s="152" t="s">
        <v>6813</v>
      </c>
      <c r="U1640" s="152" t="s">
        <v>786</v>
      </c>
    </row>
    <row r="1641" spans="4:21">
      <c r="D1641" s="152" t="s">
        <v>2821</v>
      </c>
      <c r="G1641" s="474" t="s">
        <v>373</v>
      </c>
      <c r="H1641" s="210" t="s">
        <v>374</v>
      </c>
      <c r="I1641" s="210"/>
      <c r="J1641" s="513">
        <v>-2163700</v>
      </c>
      <c r="K1641" s="513">
        <v>-1540</v>
      </c>
      <c r="L1641" s="513">
        <v>1405</v>
      </c>
      <c r="M1641" s="513" t="s">
        <v>6303</v>
      </c>
      <c r="N1641" s="513" t="s">
        <v>1540</v>
      </c>
      <c r="O1641" s="513" t="s">
        <v>1407</v>
      </c>
      <c r="P1641" s="518" t="s">
        <v>6814</v>
      </c>
      <c r="Q1641" s="152" t="s">
        <v>5933</v>
      </c>
      <c r="R1641" s="152" t="s">
        <v>6815</v>
      </c>
      <c r="S1641" s="152" t="s">
        <v>6815</v>
      </c>
      <c r="T1641" s="152" t="s">
        <v>6816</v>
      </c>
      <c r="U1641" s="152" t="s">
        <v>786</v>
      </c>
    </row>
    <row r="1642" spans="4:21">
      <c r="D1642" s="152" t="s">
        <v>2821</v>
      </c>
      <c r="G1642" s="474" t="s">
        <v>373</v>
      </c>
      <c r="H1642" s="210" t="s">
        <v>374</v>
      </c>
      <c r="I1642" s="210"/>
      <c r="J1642" s="513">
        <v>-3512500</v>
      </c>
      <c r="K1642" s="513">
        <v>-2500</v>
      </c>
      <c r="L1642" s="513">
        <v>1405</v>
      </c>
      <c r="M1642" s="513" t="s">
        <v>6303</v>
      </c>
      <c r="N1642" s="513" t="s">
        <v>1540</v>
      </c>
      <c r="O1642" s="513" t="s">
        <v>1407</v>
      </c>
      <c r="P1642" s="518" t="s">
        <v>6817</v>
      </c>
      <c r="Q1642" s="152" t="s">
        <v>5933</v>
      </c>
      <c r="R1642" s="152" t="s">
        <v>6818</v>
      </c>
      <c r="S1642" s="152" t="s">
        <v>6818</v>
      </c>
      <c r="T1642" s="152" t="s">
        <v>6819</v>
      </c>
      <c r="U1642" s="152" t="s">
        <v>786</v>
      </c>
    </row>
    <row r="1643" spans="4:21">
      <c r="D1643" s="152" t="s">
        <v>2821</v>
      </c>
      <c r="G1643" s="474" t="s">
        <v>373</v>
      </c>
      <c r="H1643" s="210" t="s">
        <v>374</v>
      </c>
      <c r="I1643" s="210"/>
      <c r="J1643" s="513">
        <v>-2030225</v>
      </c>
      <c r="K1643" s="513">
        <v>-1445</v>
      </c>
      <c r="L1643" s="513">
        <v>1405</v>
      </c>
      <c r="M1643" s="513" t="s">
        <v>6303</v>
      </c>
      <c r="N1643" s="513" t="s">
        <v>1540</v>
      </c>
      <c r="O1643" s="513" t="s">
        <v>1407</v>
      </c>
      <c r="P1643" s="518" t="s">
        <v>6820</v>
      </c>
      <c r="Q1643" s="152" t="s">
        <v>5933</v>
      </c>
      <c r="R1643" s="152" t="s">
        <v>6821</v>
      </c>
      <c r="S1643" s="152" t="s">
        <v>6821</v>
      </c>
      <c r="T1643" s="152" t="s">
        <v>6822</v>
      </c>
      <c r="U1643" s="152" t="s">
        <v>786</v>
      </c>
    </row>
    <row r="1644" spans="4:21">
      <c r="D1644" s="152" t="s">
        <v>2821</v>
      </c>
      <c r="G1644" s="474" t="s">
        <v>373</v>
      </c>
      <c r="H1644" s="210" t="s">
        <v>374</v>
      </c>
      <c r="I1644" s="210"/>
      <c r="J1644" s="513">
        <v>-2472800</v>
      </c>
      <c r="K1644" s="513">
        <v>-1760</v>
      </c>
      <c r="L1644" s="513">
        <v>1405</v>
      </c>
      <c r="M1644" s="513" t="s">
        <v>6303</v>
      </c>
      <c r="N1644" s="513" t="s">
        <v>1540</v>
      </c>
      <c r="O1644" s="513" t="s">
        <v>1407</v>
      </c>
      <c r="P1644" s="518" t="s">
        <v>6823</v>
      </c>
      <c r="Q1644" s="152" t="s">
        <v>5933</v>
      </c>
      <c r="R1644" s="152" t="s">
        <v>6824</v>
      </c>
      <c r="S1644" s="152" t="s">
        <v>6824</v>
      </c>
      <c r="T1644" s="152" t="s">
        <v>6825</v>
      </c>
      <c r="U1644" s="152" t="s">
        <v>786</v>
      </c>
    </row>
    <row r="1645" spans="4:21">
      <c r="D1645" s="152" t="s">
        <v>2821</v>
      </c>
      <c r="G1645" s="474" t="s">
        <v>373</v>
      </c>
      <c r="H1645" s="210" t="s">
        <v>374</v>
      </c>
      <c r="I1645" s="210"/>
      <c r="J1645" s="513">
        <v>-126450</v>
      </c>
      <c r="K1645" s="513">
        <v>-90</v>
      </c>
      <c r="L1645" s="513">
        <v>1405</v>
      </c>
      <c r="M1645" s="513" t="s">
        <v>6303</v>
      </c>
      <c r="N1645" s="513" t="s">
        <v>1540</v>
      </c>
      <c r="O1645" s="513" t="s">
        <v>1407</v>
      </c>
      <c r="P1645" s="518" t="s">
        <v>6826</v>
      </c>
      <c r="Q1645" s="152" t="s">
        <v>5933</v>
      </c>
      <c r="R1645" s="152" t="s">
        <v>6827</v>
      </c>
      <c r="S1645" s="152" t="s">
        <v>6827</v>
      </c>
      <c r="T1645" s="152" t="s">
        <v>6828</v>
      </c>
      <c r="U1645" s="152" t="s">
        <v>786</v>
      </c>
    </row>
    <row r="1646" spans="4:21">
      <c r="D1646" s="152" t="s">
        <v>2821</v>
      </c>
      <c r="G1646" s="474" t="s">
        <v>373</v>
      </c>
      <c r="H1646" s="210" t="s">
        <v>374</v>
      </c>
      <c r="I1646" s="210"/>
      <c r="J1646" s="513">
        <v>-660350</v>
      </c>
      <c r="K1646" s="513">
        <v>-470</v>
      </c>
      <c r="L1646" s="513">
        <v>1405</v>
      </c>
      <c r="M1646" s="513" t="s">
        <v>6303</v>
      </c>
      <c r="N1646" s="513" t="s">
        <v>1540</v>
      </c>
      <c r="O1646" s="513" t="s">
        <v>1407</v>
      </c>
      <c r="P1646" s="518" t="s">
        <v>6829</v>
      </c>
      <c r="Q1646" s="152" t="s">
        <v>5933</v>
      </c>
      <c r="R1646" s="152" t="s">
        <v>6830</v>
      </c>
      <c r="S1646" s="152" t="s">
        <v>6830</v>
      </c>
      <c r="T1646" s="152" t="s">
        <v>6831</v>
      </c>
      <c r="U1646" s="152" t="s">
        <v>786</v>
      </c>
    </row>
    <row r="1647" spans="4:21">
      <c r="D1647" s="152" t="s">
        <v>2821</v>
      </c>
      <c r="G1647" s="474" t="s">
        <v>373</v>
      </c>
      <c r="H1647" s="210" t="s">
        <v>374</v>
      </c>
      <c r="I1647" s="210"/>
      <c r="J1647" s="513">
        <v>-5019362.5</v>
      </c>
      <c r="K1647" s="513">
        <v>-3572.5</v>
      </c>
      <c r="L1647" s="513">
        <v>1405</v>
      </c>
      <c r="M1647" s="513" t="s">
        <v>6303</v>
      </c>
      <c r="N1647" s="513" t="s">
        <v>1540</v>
      </c>
      <c r="O1647" s="513" t="s">
        <v>1407</v>
      </c>
      <c r="P1647" s="518" t="s">
        <v>6832</v>
      </c>
      <c r="Q1647" s="152" t="s">
        <v>5933</v>
      </c>
      <c r="R1647" s="152" t="s">
        <v>6833</v>
      </c>
      <c r="S1647" s="152" t="s">
        <v>6833</v>
      </c>
      <c r="T1647" s="152" t="s">
        <v>6834</v>
      </c>
      <c r="U1647" s="152" t="s">
        <v>786</v>
      </c>
    </row>
    <row r="1648" spans="4:21">
      <c r="D1648" s="152" t="s">
        <v>2821</v>
      </c>
      <c r="G1648" s="474" t="s">
        <v>373</v>
      </c>
      <c r="H1648" s="210" t="s">
        <v>374</v>
      </c>
      <c r="I1648" s="210"/>
      <c r="J1648" s="513">
        <v>-3544112.5</v>
      </c>
      <c r="K1648" s="513">
        <v>-2522.5</v>
      </c>
      <c r="L1648" s="513">
        <v>1405</v>
      </c>
      <c r="M1648" s="513" t="s">
        <v>6303</v>
      </c>
      <c r="N1648" s="513" t="s">
        <v>1540</v>
      </c>
      <c r="O1648" s="513" t="s">
        <v>1407</v>
      </c>
      <c r="P1648" s="518" t="s">
        <v>6835</v>
      </c>
      <c r="Q1648" s="152" t="s">
        <v>5933</v>
      </c>
      <c r="R1648" s="152" t="s">
        <v>6836</v>
      </c>
      <c r="S1648" s="152" t="s">
        <v>6836</v>
      </c>
      <c r="T1648" s="152" t="s">
        <v>6837</v>
      </c>
      <c r="U1648" s="152" t="s">
        <v>786</v>
      </c>
    </row>
    <row r="1649" spans="4:21">
      <c r="D1649" s="152" t="s">
        <v>2821</v>
      </c>
      <c r="G1649" s="474" t="s">
        <v>373</v>
      </c>
      <c r="H1649" s="210" t="s">
        <v>374</v>
      </c>
      <c r="I1649" s="210"/>
      <c r="J1649" s="513">
        <v>-4215000</v>
      </c>
      <c r="K1649" s="513">
        <v>-3000</v>
      </c>
      <c r="L1649" s="513">
        <v>1405</v>
      </c>
      <c r="M1649" s="513" t="s">
        <v>6303</v>
      </c>
      <c r="N1649" s="513" t="s">
        <v>1540</v>
      </c>
      <c r="O1649" s="513" t="s">
        <v>1407</v>
      </c>
      <c r="P1649" s="518" t="s">
        <v>6838</v>
      </c>
      <c r="Q1649" s="152" t="s">
        <v>5933</v>
      </c>
      <c r="R1649" s="152" t="s">
        <v>6839</v>
      </c>
      <c r="S1649" s="152" t="s">
        <v>6839</v>
      </c>
      <c r="T1649" s="152" t="s">
        <v>6840</v>
      </c>
      <c r="U1649" s="152" t="s">
        <v>786</v>
      </c>
    </row>
    <row r="1650" spans="4:21">
      <c r="D1650" s="152" t="s">
        <v>2821</v>
      </c>
      <c r="G1650" s="474" t="s">
        <v>373</v>
      </c>
      <c r="H1650" s="210" t="s">
        <v>374</v>
      </c>
      <c r="I1650" s="210"/>
      <c r="J1650" s="513">
        <v>-1756952.5</v>
      </c>
      <c r="K1650" s="513">
        <v>-1250.5</v>
      </c>
      <c r="L1650" s="513">
        <v>1405</v>
      </c>
      <c r="M1650" s="513" t="s">
        <v>6303</v>
      </c>
      <c r="N1650" s="513" t="s">
        <v>1540</v>
      </c>
      <c r="O1650" s="513" t="s">
        <v>1407</v>
      </c>
      <c r="P1650" s="518" t="s">
        <v>6841</v>
      </c>
      <c r="Q1650" s="152" t="s">
        <v>5933</v>
      </c>
      <c r="R1650" s="152" t="s">
        <v>6842</v>
      </c>
      <c r="S1650" s="152" t="s">
        <v>6842</v>
      </c>
      <c r="T1650" s="152" t="s">
        <v>6843</v>
      </c>
      <c r="U1650" s="152" t="s">
        <v>786</v>
      </c>
    </row>
    <row r="1651" spans="4:21">
      <c r="D1651" s="152" t="s">
        <v>2821</v>
      </c>
      <c r="G1651" s="474" t="s">
        <v>373</v>
      </c>
      <c r="H1651" s="210" t="s">
        <v>374</v>
      </c>
      <c r="I1651" s="210"/>
      <c r="J1651" s="513">
        <v>-1296112.5</v>
      </c>
      <c r="K1651" s="513">
        <v>-922.5</v>
      </c>
      <c r="L1651" s="513">
        <v>1405</v>
      </c>
      <c r="M1651" s="513" t="s">
        <v>6303</v>
      </c>
      <c r="N1651" s="513" t="s">
        <v>1540</v>
      </c>
      <c r="O1651" s="513" t="s">
        <v>1407</v>
      </c>
      <c r="P1651" s="518" t="s">
        <v>6844</v>
      </c>
      <c r="Q1651" s="152" t="s">
        <v>5933</v>
      </c>
      <c r="R1651" s="152" t="s">
        <v>6845</v>
      </c>
      <c r="S1651" s="152" t="s">
        <v>6845</v>
      </c>
      <c r="T1651" s="152" t="s">
        <v>6846</v>
      </c>
      <c r="U1651" s="152" t="s">
        <v>786</v>
      </c>
    </row>
    <row r="1652" spans="4:21">
      <c r="D1652" s="152" t="s">
        <v>2821</v>
      </c>
      <c r="G1652" s="474" t="s">
        <v>373</v>
      </c>
      <c r="H1652" s="210" t="s">
        <v>374</v>
      </c>
      <c r="I1652" s="210"/>
      <c r="J1652" s="513">
        <v>-846512.5</v>
      </c>
      <c r="K1652" s="513">
        <v>-602.5</v>
      </c>
      <c r="L1652" s="513">
        <v>1405</v>
      </c>
      <c r="M1652" s="513" t="s">
        <v>6303</v>
      </c>
      <c r="N1652" s="513" t="s">
        <v>1540</v>
      </c>
      <c r="O1652" s="513" t="s">
        <v>1407</v>
      </c>
      <c r="P1652" s="518" t="s">
        <v>6847</v>
      </c>
      <c r="Q1652" s="152" t="s">
        <v>5933</v>
      </c>
      <c r="R1652" s="152" t="s">
        <v>6848</v>
      </c>
      <c r="S1652" s="152" t="s">
        <v>6848</v>
      </c>
      <c r="T1652" s="152" t="s">
        <v>6849</v>
      </c>
      <c r="U1652" s="152" t="s">
        <v>786</v>
      </c>
    </row>
    <row r="1653" spans="4:21">
      <c r="D1653" s="152" t="s">
        <v>2821</v>
      </c>
      <c r="G1653" s="474" t="s">
        <v>373</v>
      </c>
      <c r="H1653" s="210" t="s">
        <v>374</v>
      </c>
      <c r="I1653" s="210"/>
      <c r="J1653" s="513">
        <v>-2683550</v>
      </c>
      <c r="K1653" s="513">
        <v>-1910</v>
      </c>
      <c r="L1653" s="513">
        <v>1405</v>
      </c>
      <c r="M1653" s="513" t="s">
        <v>6303</v>
      </c>
      <c r="N1653" s="513" t="s">
        <v>1540</v>
      </c>
      <c r="O1653" s="513" t="s">
        <v>1407</v>
      </c>
      <c r="P1653" s="518" t="s">
        <v>6850</v>
      </c>
      <c r="Q1653" s="152" t="s">
        <v>5933</v>
      </c>
      <c r="R1653" s="152" t="s">
        <v>6851</v>
      </c>
      <c r="S1653" s="152" t="s">
        <v>6851</v>
      </c>
      <c r="T1653" s="152" t="s">
        <v>6852</v>
      </c>
      <c r="U1653" s="152" t="s">
        <v>786</v>
      </c>
    </row>
    <row r="1654" spans="4:21">
      <c r="D1654" s="152" t="s">
        <v>2821</v>
      </c>
      <c r="G1654" s="474" t="s">
        <v>373</v>
      </c>
      <c r="H1654" s="210" t="s">
        <v>374</v>
      </c>
      <c r="I1654" s="210"/>
      <c r="J1654" s="513">
        <v>-4618937.5</v>
      </c>
      <c r="K1654" s="513">
        <v>-3287.5</v>
      </c>
      <c r="L1654" s="513">
        <v>1405</v>
      </c>
      <c r="M1654" s="513" t="s">
        <v>6303</v>
      </c>
      <c r="N1654" s="513" t="s">
        <v>1540</v>
      </c>
      <c r="O1654" s="513" t="s">
        <v>1407</v>
      </c>
      <c r="P1654" s="518" t="s">
        <v>6853</v>
      </c>
      <c r="Q1654" s="152" t="s">
        <v>5933</v>
      </c>
      <c r="R1654" s="152" t="s">
        <v>6854</v>
      </c>
      <c r="S1654" s="152" t="s">
        <v>6854</v>
      </c>
      <c r="T1654" s="152" t="s">
        <v>6855</v>
      </c>
      <c r="U1654" s="152" t="s">
        <v>786</v>
      </c>
    </row>
    <row r="1655" spans="4:21">
      <c r="D1655" s="152" t="s">
        <v>2821</v>
      </c>
      <c r="G1655" s="474" t="s">
        <v>373</v>
      </c>
      <c r="H1655" s="210" t="s">
        <v>374</v>
      </c>
      <c r="I1655" s="210"/>
      <c r="J1655" s="513">
        <v>-2553587.5</v>
      </c>
      <c r="K1655" s="513">
        <v>-1817.5</v>
      </c>
      <c r="L1655" s="513">
        <v>1405</v>
      </c>
      <c r="M1655" s="513" t="s">
        <v>6303</v>
      </c>
      <c r="N1655" s="513" t="s">
        <v>1540</v>
      </c>
      <c r="O1655" s="513" t="s">
        <v>1407</v>
      </c>
      <c r="P1655" s="518" t="s">
        <v>6856</v>
      </c>
      <c r="Q1655" s="152" t="s">
        <v>5933</v>
      </c>
      <c r="R1655" s="152" t="s">
        <v>6857</v>
      </c>
      <c r="S1655" s="152" t="s">
        <v>6857</v>
      </c>
      <c r="T1655" s="152" t="s">
        <v>6858</v>
      </c>
      <c r="U1655" s="152" t="s">
        <v>786</v>
      </c>
    </row>
    <row r="1656" spans="4:21">
      <c r="D1656" s="152" t="s">
        <v>2821</v>
      </c>
      <c r="G1656" s="474" t="s">
        <v>373</v>
      </c>
      <c r="H1656" s="210" t="s">
        <v>374</v>
      </c>
      <c r="I1656" s="210"/>
      <c r="J1656" s="513">
        <v>-2606275</v>
      </c>
      <c r="K1656" s="513">
        <v>-1855</v>
      </c>
      <c r="L1656" s="513">
        <v>1405</v>
      </c>
      <c r="M1656" s="513" t="s">
        <v>6303</v>
      </c>
      <c r="N1656" s="513" t="s">
        <v>1540</v>
      </c>
      <c r="O1656" s="513" t="s">
        <v>1407</v>
      </c>
      <c r="P1656" s="518" t="s">
        <v>6859</v>
      </c>
      <c r="Q1656" s="152" t="s">
        <v>5933</v>
      </c>
      <c r="R1656" s="152" t="s">
        <v>6860</v>
      </c>
      <c r="S1656" s="152" t="s">
        <v>6860</v>
      </c>
      <c r="T1656" s="152" t="s">
        <v>6861</v>
      </c>
      <c r="U1656" s="152" t="s">
        <v>786</v>
      </c>
    </row>
    <row r="1657" spans="4:21">
      <c r="D1657" s="152" t="s">
        <v>2821</v>
      </c>
      <c r="G1657" s="474" t="s">
        <v>373</v>
      </c>
      <c r="H1657" s="210" t="s">
        <v>374</v>
      </c>
      <c r="I1657" s="210"/>
      <c r="J1657" s="513">
        <v>-2567637.5</v>
      </c>
      <c r="K1657" s="513">
        <v>-1827.5</v>
      </c>
      <c r="L1657" s="513">
        <v>1405</v>
      </c>
      <c r="M1657" s="513" t="s">
        <v>6303</v>
      </c>
      <c r="N1657" s="513" t="s">
        <v>1540</v>
      </c>
      <c r="O1657" s="513" t="s">
        <v>1407</v>
      </c>
      <c r="P1657" s="518" t="s">
        <v>6862</v>
      </c>
      <c r="Q1657" s="152" t="s">
        <v>5933</v>
      </c>
      <c r="R1657" s="152" t="s">
        <v>6863</v>
      </c>
      <c r="S1657" s="152" t="s">
        <v>6863</v>
      </c>
      <c r="T1657" s="152" t="s">
        <v>6864</v>
      </c>
      <c r="U1657" s="152" t="s">
        <v>786</v>
      </c>
    </row>
    <row r="1658" spans="4:21">
      <c r="D1658" s="152" t="s">
        <v>2821</v>
      </c>
      <c r="G1658" s="474" t="s">
        <v>373</v>
      </c>
      <c r="H1658" s="210" t="s">
        <v>374</v>
      </c>
      <c r="I1658" s="210"/>
      <c r="J1658" s="513">
        <v>-2352672.5</v>
      </c>
      <c r="K1658" s="513">
        <v>-1674.5</v>
      </c>
      <c r="L1658" s="513">
        <v>1405</v>
      </c>
      <c r="M1658" s="513" t="s">
        <v>6303</v>
      </c>
      <c r="N1658" s="513" t="s">
        <v>1540</v>
      </c>
      <c r="O1658" s="513" t="s">
        <v>1407</v>
      </c>
      <c r="P1658" s="518" t="s">
        <v>6865</v>
      </c>
      <c r="Q1658" s="152" t="s">
        <v>5933</v>
      </c>
      <c r="R1658" s="152" t="s">
        <v>6866</v>
      </c>
      <c r="S1658" s="152" t="s">
        <v>6866</v>
      </c>
      <c r="T1658" s="152" t="s">
        <v>6867</v>
      </c>
      <c r="U1658" s="152" t="s">
        <v>786</v>
      </c>
    </row>
    <row r="1659" spans="4:21">
      <c r="D1659" s="152" t="s">
        <v>2821</v>
      </c>
      <c r="G1659" s="474" t="s">
        <v>373</v>
      </c>
      <c r="H1659" s="210" t="s">
        <v>374</v>
      </c>
      <c r="I1659" s="210"/>
      <c r="J1659" s="513">
        <v>-4260662.5</v>
      </c>
      <c r="K1659" s="513">
        <v>-3032.5</v>
      </c>
      <c r="L1659" s="513">
        <v>1405</v>
      </c>
      <c r="M1659" s="513" t="s">
        <v>6303</v>
      </c>
      <c r="N1659" s="513" t="s">
        <v>1540</v>
      </c>
      <c r="O1659" s="513" t="s">
        <v>1407</v>
      </c>
      <c r="P1659" s="518" t="s">
        <v>6868</v>
      </c>
      <c r="Q1659" s="152" t="s">
        <v>5933</v>
      </c>
      <c r="R1659" s="152" t="s">
        <v>6869</v>
      </c>
      <c r="S1659" s="152" t="s">
        <v>6869</v>
      </c>
      <c r="T1659" s="152" t="s">
        <v>6870</v>
      </c>
      <c r="U1659" s="152" t="s">
        <v>786</v>
      </c>
    </row>
    <row r="1660" spans="4:21">
      <c r="D1660" s="152" t="s">
        <v>2821</v>
      </c>
      <c r="G1660" s="474" t="s">
        <v>373</v>
      </c>
      <c r="H1660" s="210" t="s">
        <v>374</v>
      </c>
      <c r="I1660" s="210"/>
      <c r="J1660" s="513">
        <v>-3740812.5</v>
      </c>
      <c r="K1660" s="513">
        <v>-2662.5</v>
      </c>
      <c r="L1660" s="513">
        <v>1405</v>
      </c>
      <c r="M1660" s="513" t="s">
        <v>6303</v>
      </c>
      <c r="N1660" s="513" t="s">
        <v>1540</v>
      </c>
      <c r="O1660" s="513" t="s">
        <v>1407</v>
      </c>
      <c r="P1660" s="518" t="s">
        <v>6871</v>
      </c>
      <c r="Q1660" s="152" t="s">
        <v>5933</v>
      </c>
      <c r="R1660" s="152" t="s">
        <v>6872</v>
      </c>
      <c r="S1660" s="152" t="s">
        <v>6872</v>
      </c>
      <c r="T1660" s="152" t="s">
        <v>6873</v>
      </c>
      <c r="U1660" s="152" t="s">
        <v>786</v>
      </c>
    </row>
    <row r="1661" spans="4:21">
      <c r="D1661" s="152" t="s">
        <v>2821</v>
      </c>
      <c r="G1661" s="474" t="s">
        <v>373</v>
      </c>
      <c r="H1661" s="210" t="s">
        <v>374</v>
      </c>
      <c r="I1661" s="210"/>
      <c r="J1661" s="513">
        <v>-3161250</v>
      </c>
      <c r="K1661" s="513">
        <v>-2250</v>
      </c>
      <c r="L1661" s="513">
        <v>1405</v>
      </c>
      <c r="M1661" s="513" t="s">
        <v>6303</v>
      </c>
      <c r="N1661" s="513" t="s">
        <v>1540</v>
      </c>
      <c r="O1661" s="513" t="s">
        <v>1407</v>
      </c>
      <c r="P1661" s="518" t="s">
        <v>6874</v>
      </c>
      <c r="Q1661" s="152" t="s">
        <v>5933</v>
      </c>
      <c r="R1661" s="152" t="s">
        <v>6875</v>
      </c>
      <c r="S1661" s="152" t="s">
        <v>6875</v>
      </c>
      <c r="T1661" s="152" t="s">
        <v>6876</v>
      </c>
      <c r="U1661" s="152" t="s">
        <v>786</v>
      </c>
    </row>
    <row r="1662" spans="4:21">
      <c r="D1662" s="152" t="s">
        <v>2821</v>
      </c>
      <c r="G1662" s="474" t="s">
        <v>373</v>
      </c>
      <c r="H1662" s="210" t="s">
        <v>374</v>
      </c>
      <c r="I1662" s="210"/>
      <c r="J1662" s="513">
        <v>-4552200</v>
      </c>
      <c r="K1662" s="513">
        <v>-3240</v>
      </c>
      <c r="L1662" s="513">
        <v>1405</v>
      </c>
      <c r="M1662" s="513" t="s">
        <v>6303</v>
      </c>
      <c r="N1662" s="513" t="s">
        <v>1540</v>
      </c>
      <c r="O1662" s="513" t="s">
        <v>1407</v>
      </c>
      <c r="P1662" s="518" t="s">
        <v>6877</v>
      </c>
      <c r="Q1662" s="152" t="s">
        <v>5933</v>
      </c>
      <c r="R1662" s="152" t="s">
        <v>6878</v>
      </c>
      <c r="S1662" s="152" t="s">
        <v>6878</v>
      </c>
      <c r="T1662" s="152" t="s">
        <v>6879</v>
      </c>
      <c r="U1662" s="152" t="s">
        <v>786</v>
      </c>
    </row>
    <row r="1663" spans="4:21">
      <c r="D1663" s="152" t="s">
        <v>2821</v>
      </c>
      <c r="G1663" s="474" t="s">
        <v>373</v>
      </c>
      <c r="H1663" s="210" t="s">
        <v>374</v>
      </c>
      <c r="I1663" s="210"/>
      <c r="J1663" s="513">
        <v>-1826500</v>
      </c>
      <c r="K1663" s="513">
        <v>-1300</v>
      </c>
      <c r="L1663" s="513">
        <v>1405</v>
      </c>
      <c r="M1663" s="513" t="s">
        <v>6303</v>
      </c>
      <c r="N1663" s="513" t="s">
        <v>1540</v>
      </c>
      <c r="O1663" s="513" t="s">
        <v>1407</v>
      </c>
      <c r="P1663" s="518" t="s">
        <v>6880</v>
      </c>
      <c r="Q1663" s="152" t="s">
        <v>5933</v>
      </c>
      <c r="R1663" s="152" t="s">
        <v>6881</v>
      </c>
      <c r="S1663" s="152" t="s">
        <v>6881</v>
      </c>
      <c r="T1663" s="152" t="s">
        <v>6882</v>
      </c>
      <c r="U1663" s="152" t="s">
        <v>786</v>
      </c>
    </row>
    <row r="1664" spans="4:21">
      <c r="D1664" s="152" t="s">
        <v>2821</v>
      </c>
      <c r="G1664" s="474" t="s">
        <v>373</v>
      </c>
      <c r="H1664" s="210" t="s">
        <v>374</v>
      </c>
      <c r="I1664" s="210"/>
      <c r="J1664" s="513">
        <v>-1282062.5</v>
      </c>
      <c r="K1664" s="513">
        <v>-912.5</v>
      </c>
      <c r="L1664" s="513">
        <v>1405</v>
      </c>
      <c r="M1664" s="513" t="s">
        <v>6303</v>
      </c>
      <c r="N1664" s="513" t="s">
        <v>1540</v>
      </c>
      <c r="O1664" s="513" t="s">
        <v>1407</v>
      </c>
      <c r="P1664" s="518" t="s">
        <v>6883</v>
      </c>
      <c r="Q1664" s="152" t="s">
        <v>5933</v>
      </c>
      <c r="R1664" s="152" t="s">
        <v>6884</v>
      </c>
      <c r="S1664" s="152" t="s">
        <v>6884</v>
      </c>
      <c r="T1664" s="152" t="s">
        <v>6885</v>
      </c>
      <c r="U1664" s="152" t="s">
        <v>786</v>
      </c>
    </row>
    <row r="1665" spans="4:21">
      <c r="D1665" s="152" t="s">
        <v>2821</v>
      </c>
      <c r="G1665" s="474" t="s">
        <v>360</v>
      </c>
      <c r="H1665" s="210" t="s">
        <v>361</v>
      </c>
      <c r="I1665" s="210"/>
      <c r="J1665" s="513">
        <v>21075000</v>
      </c>
      <c r="K1665" s="513">
        <v>15000</v>
      </c>
      <c r="L1665" s="513">
        <v>1405</v>
      </c>
      <c r="M1665" s="513" t="s">
        <v>6023</v>
      </c>
      <c r="N1665" s="513" t="s">
        <v>780</v>
      </c>
      <c r="O1665" s="513" t="s">
        <v>781</v>
      </c>
      <c r="P1665" s="518" t="s">
        <v>6024</v>
      </c>
      <c r="Q1665" s="152" t="s">
        <v>5873</v>
      </c>
      <c r="R1665" s="152" t="s">
        <v>6025</v>
      </c>
      <c r="S1665" s="152" t="s">
        <v>6026</v>
      </c>
      <c r="T1665" s="152" t="s">
        <v>6027</v>
      </c>
      <c r="U1665" s="152" t="s">
        <v>786</v>
      </c>
    </row>
    <row r="1666" spans="4:21">
      <c r="D1666" s="152" t="s">
        <v>2821</v>
      </c>
      <c r="G1666" s="474" t="s">
        <v>360</v>
      </c>
      <c r="H1666" s="210" t="s">
        <v>361</v>
      </c>
      <c r="I1666" s="210"/>
      <c r="J1666" s="513">
        <v>2697.6</v>
      </c>
      <c r="K1666" s="513">
        <v>1.92</v>
      </c>
      <c r="L1666" s="513">
        <v>1405</v>
      </c>
      <c r="M1666" s="513" t="s">
        <v>6059</v>
      </c>
      <c r="N1666" s="513" t="s">
        <v>780</v>
      </c>
      <c r="O1666" s="513" t="s">
        <v>781</v>
      </c>
      <c r="P1666" s="518" t="s">
        <v>6065</v>
      </c>
      <c r="Q1666" s="152" t="s">
        <v>5873</v>
      </c>
      <c r="R1666" s="152" t="s">
        <v>6066</v>
      </c>
      <c r="S1666" s="152" t="s">
        <v>953</v>
      </c>
      <c r="T1666" s="152" t="s">
        <v>6068</v>
      </c>
      <c r="U1666" s="152" t="s">
        <v>786</v>
      </c>
    </row>
    <row r="1667" spans="4:21">
      <c r="D1667" s="152" t="s">
        <v>2821</v>
      </c>
      <c r="G1667" s="474" t="s">
        <v>360</v>
      </c>
      <c r="H1667" s="210" t="s">
        <v>361</v>
      </c>
      <c r="I1667" s="210"/>
      <c r="J1667" s="513">
        <v>1011600</v>
      </c>
      <c r="K1667" s="513">
        <v>720</v>
      </c>
      <c r="L1667" s="513">
        <v>1405</v>
      </c>
      <c r="M1667" s="513" t="s">
        <v>6059</v>
      </c>
      <c r="N1667" s="513" t="s">
        <v>780</v>
      </c>
      <c r="O1667" s="513" t="s">
        <v>781</v>
      </c>
      <c r="P1667" s="518" t="s">
        <v>6065</v>
      </c>
      <c r="Q1667" s="152" t="s">
        <v>5873</v>
      </c>
      <c r="R1667" s="152" t="s">
        <v>6066</v>
      </c>
      <c r="S1667" s="152" t="s">
        <v>6079</v>
      </c>
      <c r="T1667" s="152" t="s">
        <v>6068</v>
      </c>
      <c r="U1667" s="152" t="s">
        <v>786</v>
      </c>
    </row>
    <row r="1668" spans="4:21">
      <c r="D1668" s="152" t="s">
        <v>2821</v>
      </c>
      <c r="G1668" s="474" t="s">
        <v>360</v>
      </c>
      <c r="H1668" s="210" t="s">
        <v>361</v>
      </c>
      <c r="I1668" s="210"/>
      <c r="J1668" s="513">
        <v>21075000</v>
      </c>
      <c r="K1668" s="513">
        <v>15000</v>
      </c>
      <c r="L1668" s="513">
        <v>1405</v>
      </c>
      <c r="M1668" s="513" t="s">
        <v>6270</v>
      </c>
      <c r="N1668" s="513" t="s">
        <v>780</v>
      </c>
      <c r="O1668" s="513" t="s">
        <v>781</v>
      </c>
      <c r="P1668" s="518" t="s">
        <v>6271</v>
      </c>
      <c r="Q1668" s="152" t="s">
        <v>5873</v>
      </c>
      <c r="R1668" s="152" t="s">
        <v>6272</v>
      </c>
      <c r="S1668" s="152" t="s">
        <v>6273</v>
      </c>
      <c r="T1668" s="152" t="s">
        <v>6274</v>
      </c>
      <c r="U1668" s="152" t="s">
        <v>786</v>
      </c>
    </row>
    <row r="1669" spans="4:21">
      <c r="D1669" s="152" t="s">
        <v>2821</v>
      </c>
      <c r="G1669" s="474" t="s">
        <v>362</v>
      </c>
      <c r="H1669" s="210" t="s">
        <v>363</v>
      </c>
      <c r="I1669" s="210"/>
      <c r="J1669" s="513">
        <v>165112.5</v>
      </c>
      <c r="K1669" s="513">
        <v>117.517793594306</v>
      </c>
      <c r="L1669" s="513">
        <v>1405</v>
      </c>
      <c r="M1669" s="513" t="s">
        <v>6303</v>
      </c>
      <c r="N1669" s="513" t="s">
        <v>780</v>
      </c>
      <c r="O1669" s="513" t="s">
        <v>781</v>
      </c>
      <c r="P1669" s="518" t="s">
        <v>6393</v>
      </c>
      <c r="Q1669" s="152" t="s">
        <v>5873</v>
      </c>
      <c r="R1669" s="152" t="s">
        <v>6394</v>
      </c>
      <c r="S1669" s="152" t="s">
        <v>6395</v>
      </c>
      <c r="T1669" s="152" t="s">
        <v>6396</v>
      </c>
      <c r="U1669" s="152" t="s">
        <v>786</v>
      </c>
    </row>
    <row r="1670" spans="4:21">
      <c r="D1670" s="152" t="s">
        <v>2821</v>
      </c>
      <c r="G1670" s="474" t="s">
        <v>362</v>
      </c>
      <c r="H1670" s="210" t="s">
        <v>363</v>
      </c>
      <c r="I1670" s="210"/>
      <c r="J1670" s="513">
        <v>165112.5</v>
      </c>
      <c r="K1670" s="513">
        <v>117.517793594306</v>
      </c>
      <c r="L1670" s="513">
        <v>1405</v>
      </c>
      <c r="M1670" s="513" t="s">
        <v>6303</v>
      </c>
      <c r="N1670" s="513" t="s">
        <v>780</v>
      </c>
      <c r="O1670" s="513" t="s">
        <v>1272</v>
      </c>
      <c r="P1670" s="518" t="s">
        <v>6393</v>
      </c>
      <c r="Q1670" s="152" t="s">
        <v>5873</v>
      </c>
      <c r="R1670" s="152" t="s">
        <v>6394</v>
      </c>
      <c r="S1670" s="152" t="s">
        <v>6405</v>
      </c>
      <c r="T1670" s="152" t="s">
        <v>6396</v>
      </c>
      <c r="U1670" s="152" t="s">
        <v>786</v>
      </c>
    </row>
    <row r="1671" spans="4:21">
      <c r="D1671" s="152" t="s">
        <v>2821</v>
      </c>
      <c r="G1671" s="474" t="s">
        <v>362</v>
      </c>
      <c r="H1671" s="210" t="s">
        <v>363</v>
      </c>
      <c r="I1671" s="210"/>
      <c r="J1671" s="513">
        <v>3798754.7</v>
      </c>
      <c r="K1671" s="513">
        <v>2703.74</v>
      </c>
      <c r="L1671" s="513">
        <v>1405</v>
      </c>
      <c r="M1671" s="513" t="s">
        <v>6059</v>
      </c>
      <c r="N1671" s="513" t="s">
        <v>780</v>
      </c>
      <c r="O1671" s="513" t="s">
        <v>1407</v>
      </c>
      <c r="P1671" s="518" t="s">
        <v>6114</v>
      </c>
      <c r="Q1671" s="152" t="s">
        <v>5873</v>
      </c>
      <c r="R1671" s="152" t="s">
        <v>6115</v>
      </c>
      <c r="S1671" s="152" t="s">
        <v>6196</v>
      </c>
      <c r="T1671" s="152" t="s">
        <v>6116</v>
      </c>
      <c r="U1671" s="152" t="s">
        <v>786</v>
      </c>
    </row>
    <row r="1672" spans="4:21">
      <c r="D1672" s="152" t="s">
        <v>2821</v>
      </c>
      <c r="G1672" s="474" t="s">
        <v>362</v>
      </c>
      <c r="H1672" s="210" t="s">
        <v>363</v>
      </c>
      <c r="I1672" s="210"/>
      <c r="J1672" s="513">
        <v>195000</v>
      </c>
      <c r="K1672" s="513">
        <v>138.79003558718901</v>
      </c>
      <c r="L1672" s="513">
        <v>1405</v>
      </c>
      <c r="M1672" s="513" t="s">
        <v>6270</v>
      </c>
      <c r="N1672" s="513" t="s">
        <v>780</v>
      </c>
      <c r="O1672" s="513" t="s">
        <v>1407</v>
      </c>
      <c r="P1672" s="518" t="s">
        <v>6285</v>
      </c>
      <c r="Q1672" s="152" t="s">
        <v>5873</v>
      </c>
      <c r="R1672" s="152" t="s">
        <v>6286</v>
      </c>
      <c r="S1672" s="152" t="s">
        <v>6290</v>
      </c>
      <c r="T1672" s="152" t="s">
        <v>6288</v>
      </c>
      <c r="U1672" s="152" t="s">
        <v>786</v>
      </c>
    </row>
    <row r="1673" spans="4:21">
      <c r="D1673" s="152" t="s">
        <v>2821</v>
      </c>
      <c r="G1673" s="474" t="s">
        <v>362</v>
      </c>
      <c r="H1673" s="210" t="s">
        <v>363</v>
      </c>
      <c r="I1673" s="210"/>
      <c r="J1673" s="513">
        <v>100471.55</v>
      </c>
      <c r="K1673" s="513">
        <v>71.510000000000005</v>
      </c>
      <c r="L1673" s="513">
        <v>1405</v>
      </c>
      <c r="M1673" s="513" t="s">
        <v>6303</v>
      </c>
      <c r="N1673" s="513" t="s">
        <v>780</v>
      </c>
      <c r="O1673" s="513" t="s">
        <v>1407</v>
      </c>
      <c r="P1673" s="518" t="s">
        <v>6345</v>
      </c>
      <c r="Q1673" s="152" t="s">
        <v>5873</v>
      </c>
      <c r="R1673" s="152" t="s">
        <v>6346</v>
      </c>
      <c r="S1673" s="152" t="s">
        <v>6417</v>
      </c>
      <c r="T1673" s="152" t="s">
        <v>6348</v>
      </c>
      <c r="U1673" s="152" t="s">
        <v>786</v>
      </c>
    </row>
    <row r="1674" spans="4:21">
      <c r="D1674" s="152" t="s">
        <v>2821</v>
      </c>
      <c r="G1674" s="474" t="s">
        <v>362</v>
      </c>
      <c r="H1674" s="210" t="s">
        <v>363</v>
      </c>
      <c r="I1674" s="210"/>
      <c r="J1674" s="513">
        <v>794330.8</v>
      </c>
      <c r="K1674" s="513">
        <v>565.36</v>
      </c>
      <c r="L1674" s="513">
        <v>1405</v>
      </c>
      <c r="M1674" s="513" t="s">
        <v>6303</v>
      </c>
      <c r="N1674" s="513" t="s">
        <v>780</v>
      </c>
      <c r="O1674" s="513" t="s">
        <v>1407</v>
      </c>
      <c r="P1674" s="518" t="s">
        <v>6345</v>
      </c>
      <c r="Q1674" s="152" t="s">
        <v>5873</v>
      </c>
      <c r="R1674" s="152" t="s">
        <v>6346</v>
      </c>
      <c r="S1674" s="152" t="s">
        <v>6501</v>
      </c>
      <c r="T1674" s="152" t="s">
        <v>6348</v>
      </c>
      <c r="U1674" s="152" t="s">
        <v>786</v>
      </c>
    </row>
    <row r="1675" spans="4:21">
      <c r="D1675" s="152" t="s">
        <v>2821</v>
      </c>
      <c r="G1675" s="474" t="s">
        <v>362</v>
      </c>
      <c r="H1675" s="210" t="s">
        <v>363</v>
      </c>
      <c r="I1675" s="210"/>
      <c r="J1675" s="513">
        <v>165112.5</v>
      </c>
      <c r="K1675" s="513">
        <v>117.517793594306</v>
      </c>
      <c r="L1675" s="513">
        <v>1405</v>
      </c>
      <c r="M1675" s="513" t="s">
        <v>6303</v>
      </c>
      <c r="N1675" s="513" t="s">
        <v>780</v>
      </c>
      <c r="O1675" s="513" t="s">
        <v>1407</v>
      </c>
      <c r="P1675" s="518" t="s">
        <v>6393</v>
      </c>
      <c r="Q1675" s="152" t="s">
        <v>5873</v>
      </c>
      <c r="R1675" s="152" t="s">
        <v>6394</v>
      </c>
      <c r="S1675" s="152" t="s">
        <v>6570</v>
      </c>
      <c r="T1675" s="152" t="s">
        <v>6396</v>
      </c>
      <c r="U1675" s="152" t="s">
        <v>786</v>
      </c>
    </row>
    <row r="1676" spans="4:21">
      <c r="D1676" s="152" t="s">
        <v>2821</v>
      </c>
      <c r="G1676" s="474" t="s">
        <v>364</v>
      </c>
      <c r="H1676" s="210" t="s">
        <v>365</v>
      </c>
      <c r="I1676" s="210"/>
      <c r="J1676" s="513">
        <v>-5549750</v>
      </c>
      <c r="K1676" s="513">
        <v>-3950</v>
      </c>
      <c r="L1676" s="513">
        <v>1405</v>
      </c>
      <c r="M1676" s="513" t="s">
        <v>6270</v>
      </c>
      <c r="N1676" s="513" t="s">
        <v>780</v>
      </c>
      <c r="O1676" s="513" t="s">
        <v>781</v>
      </c>
      <c r="P1676" s="518" t="s">
        <v>6276</v>
      </c>
      <c r="Q1676" s="152" t="s">
        <v>5873</v>
      </c>
      <c r="R1676" s="152" t="s">
        <v>6277</v>
      </c>
      <c r="S1676" s="152" t="s">
        <v>6284</v>
      </c>
      <c r="T1676" s="152" t="s">
        <v>6279</v>
      </c>
      <c r="U1676" s="152" t="s">
        <v>786</v>
      </c>
    </row>
    <row r="1677" spans="4:21">
      <c r="D1677" s="152" t="s">
        <v>2821</v>
      </c>
      <c r="G1677" s="474" t="s">
        <v>364</v>
      </c>
      <c r="H1677" s="210" t="s">
        <v>365</v>
      </c>
      <c r="I1677" s="210"/>
      <c r="J1677" s="513">
        <v>-5549750</v>
      </c>
      <c r="K1677" s="513">
        <v>-3950</v>
      </c>
      <c r="L1677" s="513">
        <v>1405</v>
      </c>
      <c r="M1677" s="513" t="s">
        <v>6303</v>
      </c>
      <c r="N1677" s="513" t="s">
        <v>780</v>
      </c>
      <c r="O1677" s="513" t="s">
        <v>781</v>
      </c>
      <c r="P1677" s="518" t="s">
        <v>6382</v>
      </c>
      <c r="Q1677" s="152" t="s">
        <v>5873</v>
      </c>
      <c r="R1677" s="152" t="s">
        <v>6383</v>
      </c>
      <c r="S1677" s="152" t="s">
        <v>6386</v>
      </c>
      <c r="T1677" s="152" t="s">
        <v>6385</v>
      </c>
      <c r="U1677" s="152" t="s">
        <v>786</v>
      </c>
    </row>
    <row r="1678" spans="4:21">
      <c r="D1678" s="152" t="s">
        <v>2821</v>
      </c>
      <c r="G1678" s="474" t="s">
        <v>364</v>
      </c>
      <c r="H1678" s="210" t="s">
        <v>365</v>
      </c>
      <c r="I1678" s="210"/>
      <c r="J1678" s="513">
        <v>-6747512.5</v>
      </c>
      <c r="K1678" s="513">
        <v>-4802.5</v>
      </c>
      <c r="L1678" s="513">
        <v>1405</v>
      </c>
      <c r="M1678" s="513" t="s">
        <v>6303</v>
      </c>
      <c r="N1678" s="513" t="s">
        <v>780</v>
      </c>
      <c r="O1678" s="513" t="s">
        <v>781</v>
      </c>
      <c r="P1678" s="518" t="s">
        <v>6387</v>
      </c>
      <c r="Q1678" s="152" t="s">
        <v>5873</v>
      </c>
      <c r="R1678" s="152" t="s">
        <v>6388</v>
      </c>
      <c r="S1678" s="152" t="s">
        <v>6389</v>
      </c>
      <c r="T1678" s="152" t="s">
        <v>6390</v>
      </c>
      <c r="U1678" s="152" t="s">
        <v>786</v>
      </c>
    </row>
    <row r="1679" spans="4:21">
      <c r="D1679" s="152" t="s">
        <v>2821</v>
      </c>
      <c r="G1679" s="474" t="s">
        <v>364</v>
      </c>
      <c r="H1679" s="210" t="s">
        <v>365</v>
      </c>
      <c r="I1679" s="210"/>
      <c r="J1679" s="513">
        <v>-6983678.9500000002</v>
      </c>
      <c r="K1679" s="513">
        <v>-4970.59</v>
      </c>
      <c r="L1679" s="513">
        <v>1405</v>
      </c>
      <c r="M1679" s="513" t="s">
        <v>6303</v>
      </c>
      <c r="N1679" s="513" t="s">
        <v>780</v>
      </c>
      <c r="O1679" s="513" t="s">
        <v>781</v>
      </c>
      <c r="P1679" s="518" t="s">
        <v>6387</v>
      </c>
      <c r="Q1679" s="152" t="s">
        <v>5873</v>
      </c>
      <c r="R1679" s="152" t="s">
        <v>6388</v>
      </c>
      <c r="S1679" s="152" t="s">
        <v>6391</v>
      </c>
      <c r="T1679" s="152" t="s">
        <v>6390</v>
      </c>
      <c r="U1679" s="152" t="s">
        <v>786</v>
      </c>
    </row>
    <row r="1680" spans="4:21">
      <c r="D1680" s="152" t="s">
        <v>2821</v>
      </c>
      <c r="G1680" s="474" t="s">
        <v>364</v>
      </c>
      <c r="H1680" s="210" t="s">
        <v>365</v>
      </c>
      <c r="I1680" s="210"/>
      <c r="J1680" s="513">
        <v>-3877800</v>
      </c>
      <c r="K1680" s="513">
        <v>-2760</v>
      </c>
      <c r="L1680" s="513">
        <v>1405</v>
      </c>
      <c r="M1680" s="513" t="s">
        <v>5951</v>
      </c>
      <c r="N1680" s="513" t="s">
        <v>780</v>
      </c>
      <c r="O1680" s="513" t="s">
        <v>1407</v>
      </c>
      <c r="P1680" s="518" t="s">
        <v>5956</v>
      </c>
      <c r="Q1680" s="152" t="s">
        <v>5873</v>
      </c>
      <c r="R1680" s="152" t="s">
        <v>5957</v>
      </c>
      <c r="S1680" s="152" t="s">
        <v>5970</v>
      </c>
      <c r="T1680" s="152" t="s">
        <v>5959</v>
      </c>
      <c r="U1680" s="152" t="s">
        <v>786</v>
      </c>
    </row>
    <row r="1681" spans="4:21">
      <c r="D1681" s="152" t="s">
        <v>2821</v>
      </c>
      <c r="G1681" s="474" t="s">
        <v>364</v>
      </c>
      <c r="H1681" s="210" t="s">
        <v>365</v>
      </c>
      <c r="I1681" s="210"/>
      <c r="J1681" s="513">
        <v>-9244900</v>
      </c>
      <c r="K1681" s="513">
        <v>-6580</v>
      </c>
      <c r="L1681" s="513">
        <v>1405</v>
      </c>
      <c r="M1681" s="513" t="s">
        <v>5951</v>
      </c>
      <c r="N1681" s="513" t="s">
        <v>780</v>
      </c>
      <c r="O1681" s="513" t="s">
        <v>1407</v>
      </c>
      <c r="P1681" s="518" t="s">
        <v>5956</v>
      </c>
      <c r="Q1681" s="152" t="s">
        <v>5873</v>
      </c>
      <c r="R1681" s="152" t="s">
        <v>5957</v>
      </c>
      <c r="S1681" s="152" t="s">
        <v>5971</v>
      </c>
      <c r="T1681" s="152" t="s">
        <v>5959</v>
      </c>
      <c r="U1681" s="152" t="s">
        <v>786</v>
      </c>
    </row>
    <row r="1682" spans="4:21">
      <c r="D1682" s="152" t="s">
        <v>2821</v>
      </c>
      <c r="G1682" s="474" t="s">
        <v>364</v>
      </c>
      <c r="H1682" s="210" t="s">
        <v>365</v>
      </c>
      <c r="I1682" s="210"/>
      <c r="J1682" s="513">
        <v>-3512500</v>
      </c>
      <c r="K1682" s="513">
        <v>-2500</v>
      </c>
      <c r="L1682" s="513">
        <v>1405</v>
      </c>
      <c r="M1682" s="513" t="s">
        <v>5951</v>
      </c>
      <c r="N1682" s="513" t="s">
        <v>780</v>
      </c>
      <c r="O1682" s="513" t="s">
        <v>1407</v>
      </c>
      <c r="P1682" s="518" t="s">
        <v>5956</v>
      </c>
      <c r="Q1682" s="152" t="s">
        <v>5873</v>
      </c>
      <c r="R1682" s="152" t="s">
        <v>5957</v>
      </c>
      <c r="S1682" s="152" t="s">
        <v>5973</v>
      </c>
      <c r="T1682" s="152" t="s">
        <v>5959</v>
      </c>
      <c r="U1682" s="152" t="s">
        <v>786</v>
      </c>
    </row>
    <row r="1683" spans="4:21">
      <c r="D1683" s="152" t="s">
        <v>2821</v>
      </c>
      <c r="G1683" s="474" t="s">
        <v>364</v>
      </c>
      <c r="H1683" s="210" t="s">
        <v>365</v>
      </c>
      <c r="I1683" s="210"/>
      <c r="J1683" s="513">
        <v>-5072050</v>
      </c>
      <c r="K1683" s="513">
        <v>-3610</v>
      </c>
      <c r="L1683" s="513">
        <v>1405</v>
      </c>
      <c r="M1683" s="513" t="s">
        <v>5951</v>
      </c>
      <c r="N1683" s="513" t="s">
        <v>780</v>
      </c>
      <c r="O1683" s="513" t="s">
        <v>1407</v>
      </c>
      <c r="P1683" s="518" t="s">
        <v>5956</v>
      </c>
      <c r="Q1683" s="152" t="s">
        <v>5873</v>
      </c>
      <c r="R1683" s="152" t="s">
        <v>5957</v>
      </c>
      <c r="S1683" s="152" t="s">
        <v>5974</v>
      </c>
      <c r="T1683" s="152" t="s">
        <v>5959</v>
      </c>
      <c r="U1683" s="152" t="s">
        <v>786</v>
      </c>
    </row>
    <row r="1684" spans="4:21">
      <c r="D1684" s="152" t="s">
        <v>2821</v>
      </c>
      <c r="G1684" s="474" t="s">
        <v>364</v>
      </c>
      <c r="H1684" s="210" t="s">
        <v>365</v>
      </c>
      <c r="I1684" s="210"/>
      <c r="J1684" s="513">
        <v>-4987750</v>
      </c>
      <c r="K1684" s="513">
        <v>-3550</v>
      </c>
      <c r="L1684" s="513">
        <v>1405</v>
      </c>
      <c r="M1684" s="513" t="s">
        <v>6023</v>
      </c>
      <c r="N1684" s="513" t="s">
        <v>780</v>
      </c>
      <c r="O1684" s="513" t="s">
        <v>1407</v>
      </c>
      <c r="P1684" s="518" t="s">
        <v>6029</v>
      </c>
      <c r="Q1684" s="152" t="s">
        <v>5873</v>
      </c>
      <c r="R1684" s="152" t="s">
        <v>6030</v>
      </c>
      <c r="S1684" s="152" t="s">
        <v>6039</v>
      </c>
      <c r="T1684" s="152" t="s">
        <v>6032</v>
      </c>
      <c r="U1684" s="152" t="s">
        <v>786</v>
      </c>
    </row>
    <row r="1685" spans="4:21">
      <c r="D1685" s="152" t="s">
        <v>2821</v>
      </c>
      <c r="G1685" s="474" t="s">
        <v>364</v>
      </c>
      <c r="H1685" s="210" t="s">
        <v>365</v>
      </c>
      <c r="I1685" s="210"/>
      <c r="J1685" s="513">
        <v>-3976150</v>
      </c>
      <c r="K1685" s="513">
        <v>-2830</v>
      </c>
      <c r="L1685" s="513">
        <v>1405</v>
      </c>
      <c r="M1685" s="513" t="s">
        <v>6023</v>
      </c>
      <c r="N1685" s="513" t="s">
        <v>780</v>
      </c>
      <c r="O1685" s="513" t="s">
        <v>1407</v>
      </c>
      <c r="P1685" s="518" t="s">
        <v>6029</v>
      </c>
      <c r="Q1685" s="152" t="s">
        <v>5873</v>
      </c>
      <c r="R1685" s="152" t="s">
        <v>6030</v>
      </c>
      <c r="S1685" s="152" t="s">
        <v>6040</v>
      </c>
      <c r="T1685" s="152" t="s">
        <v>6032</v>
      </c>
      <c r="U1685" s="152" t="s">
        <v>786</v>
      </c>
    </row>
    <row r="1686" spans="4:21">
      <c r="D1686" s="152" t="s">
        <v>2821</v>
      </c>
      <c r="G1686" s="474" t="s">
        <v>364</v>
      </c>
      <c r="H1686" s="210" t="s">
        <v>365</v>
      </c>
      <c r="I1686" s="210"/>
      <c r="J1686" s="513">
        <v>-983500</v>
      </c>
      <c r="K1686" s="513">
        <v>-700</v>
      </c>
      <c r="L1686" s="513">
        <v>1405</v>
      </c>
      <c r="M1686" s="513" t="s">
        <v>6023</v>
      </c>
      <c r="N1686" s="513" t="s">
        <v>780</v>
      </c>
      <c r="O1686" s="513" t="s">
        <v>1407</v>
      </c>
      <c r="P1686" s="518" t="s">
        <v>6029</v>
      </c>
      <c r="Q1686" s="152" t="s">
        <v>5873</v>
      </c>
      <c r="R1686" s="152" t="s">
        <v>6030</v>
      </c>
      <c r="S1686" s="152" t="s">
        <v>6041</v>
      </c>
      <c r="T1686" s="152" t="s">
        <v>6032</v>
      </c>
      <c r="U1686" s="152" t="s">
        <v>786</v>
      </c>
    </row>
    <row r="1687" spans="4:21">
      <c r="D1687" s="152" t="s">
        <v>2821</v>
      </c>
      <c r="G1687" s="474" t="s">
        <v>364</v>
      </c>
      <c r="H1687" s="210" t="s">
        <v>365</v>
      </c>
      <c r="I1687" s="210"/>
      <c r="J1687" s="513">
        <v>-5072050</v>
      </c>
      <c r="K1687" s="513">
        <v>-3610</v>
      </c>
      <c r="L1687" s="513">
        <v>1405</v>
      </c>
      <c r="M1687" s="513" t="s">
        <v>6270</v>
      </c>
      <c r="N1687" s="513" t="s">
        <v>780</v>
      </c>
      <c r="O1687" s="513" t="s">
        <v>1407</v>
      </c>
      <c r="P1687" s="518" t="s">
        <v>6276</v>
      </c>
      <c r="Q1687" s="152" t="s">
        <v>5873</v>
      </c>
      <c r="R1687" s="152" t="s">
        <v>6277</v>
      </c>
      <c r="S1687" s="152" t="s">
        <v>6291</v>
      </c>
      <c r="T1687" s="152" t="s">
        <v>6279</v>
      </c>
      <c r="U1687" s="152" t="s">
        <v>786</v>
      </c>
    </row>
    <row r="1688" spans="4:21">
      <c r="D1688" s="152" t="s">
        <v>2821</v>
      </c>
      <c r="G1688" s="474" t="s">
        <v>364</v>
      </c>
      <c r="H1688" s="210" t="s">
        <v>365</v>
      </c>
      <c r="I1688" s="210"/>
      <c r="J1688" s="513">
        <v>-1352312.5</v>
      </c>
      <c r="K1688" s="513">
        <v>-962.5</v>
      </c>
      <c r="L1688" s="513">
        <v>1405</v>
      </c>
      <c r="M1688" s="513" t="s">
        <v>6303</v>
      </c>
      <c r="N1688" s="513" t="s">
        <v>780</v>
      </c>
      <c r="O1688" s="513" t="s">
        <v>1407</v>
      </c>
      <c r="P1688" s="518" t="s">
        <v>6387</v>
      </c>
      <c r="Q1688" s="152" t="s">
        <v>5873</v>
      </c>
      <c r="R1688" s="152" t="s">
        <v>6388</v>
      </c>
      <c r="S1688" s="152" t="s">
        <v>6423</v>
      </c>
      <c r="T1688" s="152" t="s">
        <v>6390</v>
      </c>
      <c r="U1688" s="152" t="s">
        <v>786</v>
      </c>
    </row>
    <row r="1689" spans="4:21">
      <c r="D1689" s="152" t="s">
        <v>2821</v>
      </c>
      <c r="G1689" s="474" t="s">
        <v>364</v>
      </c>
      <c r="H1689" s="210" t="s">
        <v>365</v>
      </c>
      <c r="I1689" s="210"/>
      <c r="J1689" s="513">
        <v>-4026730</v>
      </c>
      <c r="K1689" s="513">
        <v>-2866</v>
      </c>
      <c r="L1689" s="513">
        <v>1405</v>
      </c>
      <c r="M1689" s="513" t="s">
        <v>6303</v>
      </c>
      <c r="N1689" s="513" t="s">
        <v>780</v>
      </c>
      <c r="O1689" s="513" t="s">
        <v>1407</v>
      </c>
      <c r="P1689" s="518" t="s">
        <v>6387</v>
      </c>
      <c r="Q1689" s="152" t="s">
        <v>5873</v>
      </c>
      <c r="R1689" s="152" t="s">
        <v>6388</v>
      </c>
      <c r="S1689" s="152" t="s">
        <v>6425</v>
      </c>
      <c r="T1689" s="152" t="s">
        <v>6390</v>
      </c>
      <c r="U1689" s="152" t="s">
        <v>786</v>
      </c>
    </row>
    <row r="1690" spans="4:21">
      <c r="D1690" s="152" t="s">
        <v>2821</v>
      </c>
      <c r="G1690" s="474" t="s">
        <v>364</v>
      </c>
      <c r="H1690" s="210" t="s">
        <v>365</v>
      </c>
      <c r="I1690" s="210"/>
      <c r="J1690" s="513">
        <v>-5123473</v>
      </c>
      <c r="K1690" s="513">
        <v>-3646.6</v>
      </c>
      <c r="L1690" s="513">
        <v>1405</v>
      </c>
      <c r="M1690" s="513" t="s">
        <v>6303</v>
      </c>
      <c r="N1690" s="513" t="s">
        <v>780</v>
      </c>
      <c r="O1690" s="513" t="s">
        <v>1407</v>
      </c>
      <c r="P1690" s="518" t="s">
        <v>6387</v>
      </c>
      <c r="Q1690" s="152" t="s">
        <v>5873</v>
      </c>
      <c r="R1690" s="152" t="s">
        <v>6388</v>
      </c>
      <c r="S1690" s="152" t="s">
        <v>6427</v>
      </c>
      <c r="T1690" s="152" t="s">
        <v>6390</v>
      </c>
      <c r="U1690" s="152" t="s">
        <v>786</v>
      </c>
    </row>
    <row r="1691" spans="4:21">
      <c r="D1691" s="152" t="s">
        <v>2821</v>
      </c>
      <c r="G1691" s="474" t="s">
        <v>364</v>
      </c>
      <c r="H1691" s="210" t="s">
        <v>365</v>
      </c>
      <c r="I1691" s="210"/>
      <c r="J1691" s="513">
        <v>-20990700</v>
      </c>
      <c r="K1691" s="513">
        <v>-14940</v>
      </c>
      <c r="L1691" s="513">
        <v>1405</v>
      </c>
      <c r="M1691" s="513" t="s">
        <v>6303</v>
      </c>
      <c r="N1691" s="513" t="s">
        <v>780</v>
      </c>
      <c r="O1691" s="513" t="s">
        <v>1407</v>
      </c>
      <c r="P1691" s="518" t="s">
        <v>6387</v>
      </c>
      <c r="Q1691" s="152" t="s">
        <v>5873</v>
      </c>
      <c r="R1691" s="152" t="s">
        <v>6388</v>
      </c>
      <c r="S1691" s="152" t="s">
        <v>6429</v>
      </c>
      <c r="T1691" s="152" t="s">
        <v>6390</v>
      </c>
      <c r="U1691" s="152" t="s">
        <v>786</v>
      </c>
    </row>
    <row r="1692" spans="4:21">
      <c r="D1692" s="152" t="s">
        <v>2821</v>
      </c>
      <c r="G1692" s="474" t="s">
        <v>364</v>
      </c>
      <c r="H1692" s="210" t="s">
        <v>365</v>
      </c>
      <c r="I1692" s="210"/>
      <c r="J1692" s="513">
        <v>-6674663.25</v>
      </c>
      <c r="K1692" s="513">
        <v>-4750.6499999999996</v>
      </c>
      <c r="L1692" s="513">
        <v>1405</v>
      </c>
      <c r="M1692" s="513" t="s">
        <v>6303</v>
      </c>
      <c r="N1692" s="513" t="s">
        <v>780</v>
      </c>
      <c r="O1692" s="513" t="s">
        <v>1407</v>
      </c>
      <c r="P1692" s="518" t="s">
        <v>6387</v>
      </c>
      <c r="Q1692" s="152" t="s">
        <v>5873</v>
      </c>
      <c r="R1692" s="152" t="s">
        <v>6388</v>
      </c>
      <c r="S1692" s="152" t="s">
        <v>6431</v>
      </c>
      <c r="T1692" s="152" t="s">
        <v>6390</v>
      </c>
      <c r="U1692" s="152" t="s">
        <v>786</v>
      </c>
    </row>
    <row r="1693" spans="4:21">
      <c r="D1693" s="152" t="s">
        <v>2821</v>
      </c>
      <c r="G1693" s="474" t="s">
        <v>364</v>
      </c>
      <c r="H1693" s="210" t="s">
        <v>365</v>
      </c>
      <c r="I1693" s="210"/>
      <c r="J1693" s="513">
        <v>-1967000</v>
      </c>
      <c r="K1693" s="513">
        <v>-1400</v>
      </c>
      <c r="L1693" s="513">
        <v>1405</v>
      </c>
      <c r="M1693" s="513" t="s">
        <v>6303</v>
      </c>
      <c r="N1693" s="513" t="s">
        <v>780</v>
      </c>
      <c r="O1693" s="513" t="s">
        <v>1407</v>
      </c>
      <c r="P1693" s="518" t="s">
        <v>6387</v>
      </c>
      <c r="Q1693" s="152" t="s">
        <v>5873</v>
      </c>
      <c r="R1693" s="152" t="s">
        <v>6388</v>
      </c>
      <c r="S1693" s="152" t="s">
        <v>6433</v>
      </c>
      <c r="T1693" s="152" t="s">
        <v>6390</v>
      </c>
      <c r="U1693" s="152" t="s">
        <v>786</v>
      </c>
    </row>
    <row r="1694" spans="4:21">
      <c r="D1694" s="152" t="s">
        <v>2821</v>
      </c>
      <c r="G1694" s="474" t="s">
        <v>364</v>
      </c>
      <c r="H1694" s="210" t="s">
        <v>365</v>
      </c>
      <c r="I1694" s="210"/>
      <c r="J1694" s="513">
        <v>-983500</v>
      </c>
      <c r="K1694" s="513">
        <v>-700</v>
      </c>
      <c r="L1694" s="513">
        <v>1405</v>
      </c>
      <c r="M1694" s="513" t="s">
        <v>6303</v>
      </c>
      <c r="N1694" s="513" t="s">
        <v>780</v>
      </c>
      <c r="O1694" s="513" t="s">
        <v>1407</v>
      </c>
      <c r="P1694" s="518" t="s">
        <v>6387</v>
      </c>
      <c r="Q1694" s="152" t="s">
        <v>5873</v>
      </c>
      <c r="R1694" s="152" t="s">
        <v>6388</v>
      </c>
      <c r="S1694" s="152" t="s">
        <v>6434</v>
      </c>
      <c r="T1694" s="152" t="s">
        <v>6390</v>
      </c>
      <c r="U1694" s="152" t="s">
        <v>786</v>
      </c>
    </row>
    <row r="1695" spans="4:21">
      <c r="D1695" s="152" t="s">
        <v>2821</v>
      </c>
      <c r="G1695" s="474" t="s">
        <v>364</v>
      </c>
      <c r="H1695" s="210" t="s">
        <v>365</v>
      </c>
      <c r="I1695" s="210"/>
      <c r="J1695" s="513">
        <v>-3962100</v>
      </c>
      <c r="K1695" s="513">
        <v>-2820</v>
      </c>
      <c r="L1695" s="513">
        <v>1405</v>
      </c>
      <c r="M1695" s="513" t="s">
        <v>6303</v>
      </c>
      <c r="N1695" s="513" t="s">
        <v>780</v>
      </c>
      <c r="O1695" s="513" t="s">
        <v>1407</v>
      </c>
      <c r="P1695" s="518" t="s">
        <v>6387</v>
      </c>
      <c r="Q1695" s="152" t="s">
        <v>5873</v>
      </c>
      <c r="R1695" s="152" t="s">
        <v>6388</v>
      </c>
      <c r="S1695" s="152" t="s">
        <v>6436</v>
      </c>
      <c r="T1695" s="152" t="s">
        <v>6390</v>
      </c>
      <c r="U1695" s="152" t="s">
        <v>786</v>
      </c>
    </row>
    <row r="1696" spans="4:21">
      <c r="D1696" s="152" t="s">
        <v>2821</v>
      </c>
      <c r="G1696" s="474" t="s">
        <v>364</v>
      </c>
      <c r="H1696" s="210" t="s">
        <v>365</v>
      </c>
      <c r="I1696" s="210"/>
      <c r="J1696" s="513">
        <v>-1051333.3999999999</v>
      </c>
      <c r="K1696" s="513">
        <v>-748.28</v>
      </c>
      <c r="L1696" s="513">
        <v>1405</v>
      </c>
      <c r="M1696" s="513" t="s">
        <v>6303</v>
      </c>
      <c r="N1696" s="513" t="s">
        <v>780</v>
      </c>
      <c r="O1696" s="513" t="s">
        <v>1407</v>
      </c>
      <c r="P1696" s="518" t="s">
        <v>6387</v>
      </c>
      <c r="Q1696" s="152" t="s">
        <v>5873</v>
      </c>
      <c r="R1696" s="152" t="s">
        <v>6388</v>
      </c>
      <c r="S1696" s="152" t="s">
        <v>6550</v>
      </c>
      <c r="T1696" s="152" t="s">
        <v>6390</v>
      </c>
      <c r="U1696" s="152" t="s">
        <v>786</v>
      </c>
    </row>
    <row r="1697" spans="4:21">
      <c r="D1697" s="152" t="s">
        <v>2821</v>
      </c>
      <c r="G1697" s="474" t="s">
        <v>364</v>
      </c>
      <c r="H1697" s="210" t="s">
        <v>365</v>
      </c>
      <c r="I1697" s="210"/>
      <c r="J1697" s="513">
        <v>-1051333.3999999999</v>
      </c>
      <c r="K1697" s="513">
        <v>-748.28</v>
      </c>
      <c r="L1697" s="513">
        <v>1405</v>
      </c>
      <c r="M1697" s="513" t="s">
        <v>6303</v>
      </c>
      <c r="N1697" s="513" t="s">
        <v>780</v>
      </c>
      <c r="O1697" s="513" t="s">
        <v>1407</v>
      </c>
      <c r="P1697" s="518" t="s">
        <v>6387</v>
      </c>
      <c r="Q1697" s="152" t="s">
        <v>5873</v>
      </c>
      <c r="R1697" s="152" t="s">
        <v>6388</v>
      </c>
      <c r="S1697" s="152" t="s">
        <v>6550</v>
      </c>
      <c r="T1697" s="152" t="s">
        <v>6390</v>
      </c>
      <c r="U1697" s="152" t="s">
        <v>786</v>
      </c>
    </row>
    <row r="1698" spans="4:21">
      <c r="D1698" s="152" t="s">
        <v>2821</v>
      </c>
      <c r="G1698" s="474" t="s">
        <v>364</v>
      </c>
      <c r="H1698" s="210" t="s">
        <v>365</v>
      </c>
      <c r="I1698" s="210"/>
      <c r="J1698" s="513">
        <v>-1938900</v>
      </c>
      <c r="K1698" s="513">
        <v>-1380</v>
      </c>
      <c r="L1698" s="513">
        <v>1405</v>
      </c>
      <c r="M1698" s="513" t="s">
        <v>6303</v>
      </c>
      <c r="N1698" s="513" t="s">
        <v>780</v>
      </c>
      <c r="O1698" s="513" t="s">
        <v>1407</v>
      </c>
      <c r="P1698" s="518" t="s">
        <v>6387</v>
      </c>
      <c r="Q1698" s="152" t="s">
        <v>5873</v>
      </c>
      <c r="R1698" s="152" t="s">
        <v>6388</v>
      </c>
      <c r="S1698" s="152" t="s">
        <v>6552</v>
      </c>
      <c r="T1698" s="152" t="s">
        <v>6390</v>
      </c>
      <c r="U1698" s="152" t="s">
        <v>786</v>
      </c>
    </row>
    <row r="1699" spans="4:21">
      <c r="D1699" s="152" t="s">
        <v>2821</v>
      </c>
      <c r="G1699" s="474" t="s">
        <v>364</v>
      </c>
      <c r="H1699" s="210" t="s">
        <v>365</v>
      </c>
      <c r="I1699" s="210"/>
      <c r="J1699" s="513">
        <v>-15462025</v>
      </c>
      <c r="K1699" s="513">
        <v>-11005</v>
      </c>
      <c r="L1699" s="513">
        <v>1405</v>
      </c>
      <c r="M1699" s="513" t="s">
        <v>6303</v>
      </c>
      <c r="N1699" s="513" t="s">
        <v>780</v>
      </c>
      <c r="O1699" s="513" t="s">
        <v>1407</v>
      </c>
      <c r="P1699" s="518" t="s">
        <v>6387</v>
      </c>
      <c r="Q1699" s="152" t="s">
        <v>5873</v>
      </c>
      <c r="R1699" s="152" t="s">
        <v>6388</v>
      </c>
      <c r="S1699" s="152" t="s">
        <v>6564</v>
      </c>
      <c r="T1699" s="152" t="s">
        <v>6390</v>
      </c>
      <c r="U1699" s="152" t="s">
        <v>786</v>
      </c>
    </row>
    <row r="1700" spans="4:21">
      <c r="D1700" s="152" t="s">
        <v>2821</v>
      </c>
      <c r="G1700" s="474" t="s">
        <v>364</v>
      </c>
      <c r="H1700" s="210" t="s">
        <v>365</v>
      </c>
      <c r="I1700" s="210"/>
      <c r="J1700" s="513">
        <v>-3962100</v>
      </c>
      <c r="K1700" s="513">
        <v>-2820</v>
      </c>
      <c r="L1700" s="513">
        <v>1405</v>
      </c>
      <c r="M1700" s="513" t="s">
        <v>6303</v>
      </c>
      <c r="N1700" s="513" t="s">
        <v>780</v>
      </c>
      <c r="O1700" s="513" t="s">
        <v>1407</v>
      </c>
      <c r="P1700" s="518" t="s">
        <v>6382</v>
      </c>
      <c r="Q1700" s="152" t="s">
        <v>5873</v>
      </c>
      <c r="R1700" s="152" t="s">
        <v>6383</v>
      </c>
      <c r="S1700" s="152" t="s">
        <v>6567</v>
      </c>
      <c r="T1700" s="152" t="s">
        <v>6385</v>
      </c>
      <c r="U1700" s="152" t="s">
        <v>786</v>
      </c>
    </row>
    <row r="1701" spans="4:21">
      <c r="D1701" s="152" t="s">
        <v>2821</v>
      </c>
      <c r="G1701" s="474" t="s">
        <v>364</v>
      </c>
      <c r="H1701" s="210" t="s">
        <v>365</v>
      </c>
      <c r="I1701" s="210"/>
      <c r="J1701" s="513">
        <v>-1981050</v>
      </c>
      <c r="K1701" s="513">
        <v>-1410</v>
      </c>
      <c r="L1701" s="513">
        <v>1405</v>
      </c>
      <c r="M1701" s="513" t="s">
        <v>6303</v>
      </c>
      <c r="N1701" s="513" t="s">
        <v>780</v>
      </c>
      <c r="O1701" s="513" t="s">
        <v>1407</v>
      </c>
      <c r="P1701" s="518" t="s">
        <v>6387</v>
      </c>
      <c r="Q1701" s="152" t="s">
        <v>5873</v>
      </c>
      <c r="R1701" s="152" t="s">
        <v>6388</v>
      </c>
      <c r="S1701" s="152" t="s">
        <v>6568</v>
      </c>
      <c r="T1701" s="152" t="s">
        <v>6390</v>
      </c>
      <c r="U1701" s="152" t="s">
        <v>786</v>
      </c>
    </row>
    <row r="1702" spans="4:21">
      <c r="D1702" s="152" t="s">
        <v>2821</v>
      </c>
      <c r="G1702" s="474" t="s">
        <v>364</v>
      </c>
      <c r="H1702" s="210" t="s">
        <v>365</v>
      </c>
      <c r="I1702" s="210"/>
      <c r="J1702" s="513">
        <v>-1981050</v>
      </c>
      <c r="K1702" s="513">
        <v>-1410</v>
      </c>
      <c r="L1702" s="513">
        <v>1405</v>
      </c>
      <c r="M1702" s="513" t="s">
        <v>6303</v>
      </c>
      <c r="N1702" s="513" t="s">
        <v>780</v>
      </c>
      <c r="O1702" s="513" t="s">
        <v>1407</v>
      </c>
      <c r="P1702" s="518" t="s">
        <v>6382</v>
      </c>
      <c r="Q1702" s="152" t="s">
        <v>5873</v>
      </c>
      <c r="R1702" s="152" t="s">
        <v>6383</v>
      </c>
      <c r="S1702" s="152" t="s">
        <v>6569</v>
      </c>
      <c r="T1702" s="152" t="s">
        <v>6385</v>
      </c>
      <c r="U1702" s="152" t="s">
        <v>786</v>
      </c>
    </row>
    <row r="1703" spans="4:21">
      <c r="D1703" s="152" t="s">
        <v>2821</v>
      </c>
      <c r="G1703" s="474" t="s">
        <v>3143</v>
      </c>
      <c r="H1703" s="210" t="s">
        <v>3144</v>
      </c>
      <c r="I1703" s="210"/>
      <c r="J1703" s="513">
        <v>-161575</v>
      </c>
      <c r="K1703" s="513">
        <v>-115</v>
      </c>
      <c r="L1703" s="513">
        <v>1405</v>
      </c>
      <c r="M1703" s="513" t="s">
        <v>6303</v>
      </c>
      <c r="N1703" s="513" t="s">
        <v>1566</v>
      </c>
      <c r="O1703" s="513" t="s">
        <v>1407</v>
      </c>
      <c r="P1703" s="518" t="s">
        <v>6578</v>
      </c>
      <c r="Q1703" s="152" t="s">
        <v>5895</v>
      </c>
      <c r="R1703" s="152" t="s">
        <v>6579</v>
      </c>
      <c r="S1703" s="152" t="s">
        <v>6576</v>
      </c>
      <c r="T1703" s="152" t="s">
        <v>6580</v>
      </c>
      <c r="U1703" s="152" t="s">
        <v>786</v>
      </c>
    </row>
    <row r="1704" spans="4:21">
      <c r="D1704" s="152" t="s">
        <v>2821</v>
      </c>
      <c r="G1704" s="474" t="s">
        <v>4309</v>
      </c>
      <c r="H1704" s="210" t="s">
        <v>4310</v>
      </c>
      <c r="I1704" s="210"/>
      <c r="J1704" s="513">
        <v>-491750</v>
      </c>
      <c r="K1704" s="513">
        <v>-350</v>
      </c>
      <c r="L1704" s="513">
        <v>1405</v>
      </c>
      <c r="M1704" s="513" t="s">
        <v>6059</v>
      </c>
      <c r="N1704" s="513" t="s">
        <v>1566</v>
      </c>
      <c r="O1704" s="513" t="s">
        <v>1407</v>
      </c>
      <c r="P1704" s="518" t="s">
        <v>6225</v>
      </c>
      <c r="Q1704" s="152" t="s">
        <v>5895</v>
      </c>
      <c r="R1704" s="152" t="s">
        <v>6226</v>
      </c>
      <c r="S1704" s="152" t="s">
        <v>6227</v>
      </c>
      <c r="T1704" s="152" t="s">
        <v>6228</v>
      </c>
      <c r="U1704" s="152" t="s">
        <v>786</v>
      </c>
    </row>
    <row r="1705" spans="4:21">
      <c r="D1705" s="152" t="s">
        <v>2821</v>
      </c>
      <c r="G1705" s="474" t="s">
        <v>4309</v>
      </c>
      <c r="H1705" s="210" t="s">
        <v>4310</v>
      </c>
      <c r="I1705" s="210"/>
      <c r="J1705" s="513">
        <v>-491750</v>
      </c>
      <c r="K1705" s="513">
        <v>-350</v>
      </c>
      <c r="L1705" s="513">
        <v>1405</v>
      </c>
      <c r="M1705" s="513" t="s">
        <v>6059</v>
      </c>
      <c r="N1705" s="513" t="s">
        <v>1566</v>
      </c>
      <c r="O1705" s="513" t="s">
        <v>1407</v>
      </c>
      <c r="P1705" s="518" t="s">
        <v>6242</v>
      </c>
      <c r="Q1705" s="152" t="s">
        <v>5895</v>
      </c>
      <c r="R1705" s="152" t="s">
        <v>6243</v>
      </c>
      <c r="S1705" s="152" t="s">
        <v>6240</v>
      </c>
      <c r="T1705" s="152" t="s">
        <v>6244</v>
      </c>
      <c r="U1705" s="152" t="s">
        <v>786</v>
      </c>
    </row>
    <row r="1706" spans="4:21">
      <c r="D1706" s="152" t="s">
        <v>2821</v>
      </c>
      <c r="G1706" s="474" t="s">
        <v>4309</v>
      </c>
      <c r="H1706" s="210" t="s">
        <v>4310</v>
      </c>
      <c r="I1706" s="210"/>
      <c r="J1706" s="513">
        <v>-491750</v>
      </c>
      <c r="K1706" s="513">
        <v>-350</v>
      </c>
      <c r="L1706" s="513">
        <v>1405</v>
      </c>
      <c r="M1706" s="513" t="s">
        <v>6303</v>
      </c>
      <c r="N1706" s="513" t="s">
        <v>1566</v>
      </c>
      <c r="O1706" s="513" t="s">
        <v>1407</v>
      </c>
      <c r="P1706" s="518" t="s">
        <v>6587</v>
      </c>
      <c r="Q1706" s="152" t="s">
        <v>5895</v>
      </c>
      <c r="R1706" s="152" t="s">
        <v>6588</v>
      </c>
      <c r="S1706" s="152" t="s">
        <v>6589</v>
      </c>
      <c r="T1706" s="152" t="s">
        <v>6590</v>
      </c>
      <c r="U1706" s="152" t="s">
        <v>786</v>
      </c>
    </row>
    <row r="1707" spans="4:21">
      <c r="D1707" s="152" t="s">
        <v>2821</v>
      </c>
      <c r="G1707" s="474" t="s">
        <v>4309</v>
      </c>
      <c r="H1707" s="210" t="s">
        <v>4310</v>
      </c>
      <c r="I1707" s="210"/>
      <c r="J1707" s="513">
        <v>-351250</v>
      </c>
      <c r="K1707" s="513">
        <v>-250</v>
      </c>
      <c r="L1707" s="513">
        <v>1405</v>
      </c>
      <c r="M1707" s="513" t="s">
        <v>6303</v>
      </c>
      <c r="N1707" s="513" t="s">
        <v>1566</v>
      </c>
      <c r="O1707" s="513" t="s">
        <v>1407</v>
      </c>
      <c r="P1707" s="518" t="s">
        <v>6610</v>
      </c>
      <c r="Q1707" s="152" t="s">
        <v>5895</v>
      </c>
      <c r="R1707" s="152" t="s">
        <v>6611</v>
      </c>
      <c r="S1707" s="152" t="s">
        <v>6612</v>
      </c>
      <c r="T1707" s="152" t="s">
        <v>6613</v>
      </c>
      <c r="U1707" s="152" t="s">
        <v>786</v>
      </c>
    </row>
    <row r="1708" spans="4:21">
      <c r="D1708" s="152" t="s">
        <v>2821</v>
      </c>
      <c r="G1708" s="474" t="s">
        <v>4309</v>
      </c>
      <c r="H1708" s="210" t="s">
        <v>4310</v>
      </c>
      <c r="I1708" s="210"/>
      <c r="J1708" s="513">
        <v>-351250</v>
      </c>
      <c r="K1708" s="513">
        <v>-250</v>
      </c>
      <c r="L1708" s="513">
        <v>1405</v>
      </c>
      <c r="M1708" s="513" t="s">
        <v>6303</v>
      </c>
      <c r="N1708" s="513" t="s">
        <v>1566</v>
      </c>
      <c r="O1708" s="513" t="s">
        <v>1407</v>
      </c>
      <c r="P1708" s="518" t="s">
        <v>6614</v>
      </c>
      <c r="Q1708" s="152" t="s">
        <v>5895</v>
      </c>
      <c r="R1708" s="152" t="s">
        <v>6615</v>
      </c>
      <c r="S1708" s="152" t="s">
        <v>6612</v>
      </c>
      <c r="T1708" s="152" t="s">
        <v>6616</v>
      </c>
      <c r="U1708" s="152" t="s">
        <v>786</v>
      </c>
    </row>
    <row r="1709" spans="4:21">
      <c r="D1709" s="152" t="s">
        <v>2821</v>
      </c>
      <c r="G1709" s="474" t="s">
        <v>4309</v>
      </c>
      <c r="H1709" s="210" t="s">
        <v>4310</v>
      </c>
      <c r="I1709" s="210"/>
      <c r="J1709" s="513">
        <v>-491750</v>
      </c>
      <c r="K1709" s="513">
        <v>-350</v>
      </c>
      <c r="L1709" s="513">
        <v>1405</v>
      </c>
      <c r="M1709" s="513" t="s">
        <v>6303</v>
      </c>
      <c r="N1709" s="513" t="s">
        <v>1566</v>
      </c>
      <c r="O1709" s="513" t="s">
        <v>1407</v>
      </c>
      <c r="P1709" s="518" t="s">
        <v>6626</v>
      </c>
      <c r="Q1709" s="152" t="s">
        <v>5895</v>
      </c>
      <c r="R1709" s="152" t="s">
        <v>6627</v>
      </c>
      <c r="S1709" s="152" t="s">
        <v>6612</v>
      </c>
      <c r="T1709" s="152" t="s">
        <v>6628</v>
      </c>
      <c r="U1709" s="152" t="s">
        <v>786</v>
      </c>
    </row>
    <row r="1710" spans="4:21">
      <c r="D1710" s="152" t="s">
        <v>2821</v>
      </c>
      <c r="G1710" s="474" t="s">
        <v>289</v>
      </c>
      <c r="H1710" s="210" t="s">
        <v>290</v>
      </c>
      <c r="I1710" s="210"/>
      <c r="J1710" s="513">
        <v>-11598275</v>
      </c>
      <c r="K1710" s="513">
        <v>-8255</v>
      </c>
      <c r="L1710" s="513">
        <v>1405</v>
      </c>
      <c r="M1710" s="513" t="s">
        <v>5951</v>
      </c>
      <c r="N1710" s="513" t="s">
        <v>780</v>
      </c>
      <c r="O1710" s="513" t="s">
        <v>781</v>
      </c>
      <c r="P1710" s="518" t="s">
        <v>5956</v>
      </c>
      <c r="Q1710" s="152" t="s">
        <v>5873</v>
      </c>
      <c r="R1710" s="152" t="s">
        <v>5957</v>
      </c>
      <c r="S1710" s="152" t="s">
        <v>5958</v>
      </c>
      <c r="T1710" s="152" t="s">
        <v>5959</v>
      </c>
      <c r="U1710" s="152" t="s">
        <v>786</v>
      </c>
    </row>
    <row r="1711" spans="4:21">
      <c r="D1711" s="152" t="s">
        <v>2821</v>
      </c>
      <c r="G1711" s="474" t="s">
        <v>289</v>
      </c>
      <c r="H1711" s="210" t="s">
        <v>290</v>
      </c>
      <c r="I1711" s="210"/>
      <c r="J1711" s="513">
        <v>-11598275</v>
      </c>
      <c r="K1711" s="513">
        <v>-8255</v>
      </c>
      <c r="L1711" s="513">
        <v>1405</v>
      </c>
      <c r="M1711" s="513" t="s">
        <v>5951</v>
      </c>
      <c r="N1711" s="513" t="s">
        <v>780</v>
      </c>
      <c r="O1711" s="513" t="s">
        <v>781</v>
      </c>
      <c r="P1711" s="518" t="s">
        <v>5956</v>
      </c>
      <c r="Q1711" s="152" t="s">
        <v>5873</v>
      </c>
      <c r="R1711" s="152" t="s">
        <v>5957</v>
      </c>
      <c r="S1711" s="152" t="s">
        <v>5960</v>
      </c>
      <c r="T1711" s="152" t="s">
        <v>5959</v>
      </c>
      <c r="U1711" s="152" t="s">
        <v>786</v>
      </c>
    </row>
    <row r="1712" spans="4:21">
      <c r="D1712" s="152" t="s">
        <v>2821</v>
      </c>
      <c r="G1712" s="474" t="s">
        <v>289</v>
      </c>
      <c r="H1712" s="210" t="s">
        <v>290</v>
      </c>
      <c r="I1712" s="210"/>
      <c r="J1712" s="513">
        <v>1320700</v>
      </c>
      <c r="K1712" s="513">
        <v>940</v>
      </c>
      <c r="L1712" s="513">
        <v>1405</v>
      </c>
      <c r="M1712" s="513" t="s">
        <v>5951</v>
      </c>
      <c r="N1712" s="513" t="s">
        <v>780</v>
      </c>
      <c r="O1712" s="513" t="s">
        <v>781</v>
      </c>
      <c r="P1712" s="518" t="s">
        <v>5952</v>
      </c>
      <c r="Q1712" s="152" t="s">
        <v>5873</v>
      </c>
      <c r="R1712" s="152" t="s">
        <v>5953</v>
      </c>
      <c r="S1712" s="152" t="s">
        <v>5961</v>
      </c>
      <c r="T1712" s="152" t="s">
        <v>5955</v>
      </c>
      <c r="U1712" s="152" t="s">
        <v>786</v>
      </c>
    </row>
    <row r="1713" spans="4:21">
      <c r="D1713" s="152" t="s">
        <v>2821</v>
      </c>
      <c r="G1713" s="474" t="s">
        <v>289</v>
      </c>
      <c r="H1713" s="210" t="s">
        <v>290</v>
      </c>
      <c r="I1713" s="210"/>
      <c r="J1713" s="513">
        <v>-9820950</v>
      </c>
      <c r="K1713" s="513">
        <v>-6990</v>
      </c>
      <c r="L1713" s="513">
        <v>1405</v>
      </c>
      <c r="M1713" s="513" t="s">
        <v>6023</v>
      </c>
      <c r="N1713" s="513" t="s">
        <v>780</v>
      </c>
      <c r="O1713" s="513" t="s">
        <v>781</v>
      </c>
      <c r="P1713" s="518" t="s">
        <v>6029</v>
      </c>
      <c r="Q1713" s="152" t="s">
        <v>5873</v>
      </c>
      <c r="R1713" s="152" t="s">
        <v>6030</v>
      </c>
      <c r="S1713" s="152" t="s">
        <v>6031</v>
      </c>
      <c r="T1713" s="152" t="s">
        <v>6032</v>
      </c>
      <c r="U1713" s="152" t="s">
        <v>786</v>
      </c>
    </row>
    <row r="1714" spans="4:21">
      <c r="D1714" s="152" t="s">
        <v>2821</v>
      </c>
      <c r="G1714" s="474" t="s">
        <v>289</v>
      </c>
      <c r="H1714" s="210" t="s">
        <v>290</v>
      </c>
      <c r="I1714" s="210"/>
      <c r="J1714" s="513">
        <v>-9820950</v>
      </c>
      <c r="K1714" s="513">
        <v>-6990</v>
      </c>
      <c r="L1714" s="513">
        <v>1405</v>
      </c>
      <c r="M1714" s="513" t="s">
        <v>6023</v>
      </c>
      <c r="N1714" s="513" t="s">
        <v>780</v>
      </c>
      <c r="O1714" s="513" t="s">
        <v>781</v>
      </c>
      <c r="P1714" s="518" t="s">
        <v>6029</v>
      </c>
      <c r="Q1714" s="152" t="s">
        <v>5873</v>
      </c>
      <c r="R1714" s="152" t="s">
        <v>6030</v>
      </c>
      <c r="S1714" s="152" t="s">
        <v>6033</v>
      </c>
      <c r="T1714" s="152" t="s">
        <v>6032</v>
      </c>
      <c r="U1714" s="152" t="s">
        <v>786</v>
      </c>
    </row>
    <row r="1715" spans="4:21">
      <c r="D1715" s="152" t="s">
        <v>2821</v>
      </c>
      <c r="G1715" s="474" t="s">
        <v>289</v>
      </c>
      <c r="H1715" s="210" t="s">
        <v>290</v>
      </c>
      <c r="I1715" s="210"/>
      <c r="J1715" s="513">
        <v>-28100</v>
      </c>
      <c r="K1715" s="513">
        <v>-20</v>
      </c>
      <c r="L1715" s="513">
        <v>1405</v>
      </c>
      <c r="M1715" s="513" t="s">
        <v>6023</v>
      </c>
      <c r="N1715" s="513" t="s">
        <v>780</v>
      </c>
      <c r="O1715" s="513" t="s">
        <v>781</v>
      </c>
      <c r="P1715" s="518" t="s">
        <v>6029</v>
      </c>
      <c r="Q1715" s="152" t="s">
        <v>5873</v>
      </c>
      <c r="R1715" s="152" t="s">
        <v>6030</v>
      </c>
      <c r="S1715" s="152" t="s">
        <v>6034</v>
      </c>
      <c r="T1715" s="152" t="s">
        <v>6032</v>
      </c>
      <c r="U1715" s="152" t="s">
        <v>786</v>
      </c>
    </row>
    <row r="1716" spans="4:21">
      <c r="D1716" s="152" t="s">
        <v>2821</v>
      </c>
      <c r="G1716" s="474" t="s">
        <v>289</v>
      </c>
      <c r="H1716" s="210" t="s">
        <v>290</v>
      </c>
      <c r="I1716" s="210"/>
      <c r="J1716" s="513">
        <v>-7393110</v>
      </c>
      <c r="K1716" s="513">
        <v>-5262</v>
      </c>
      <c r="L1716" s="513">
        <v>1405</v>
      </c>
      <c r="M1716" s="513" t="s">
        <v>6270</v>
      </c>
      <c r="N1716" s="513" t="s">
        <v>780</v>
      </c>
      <c r="O1716" s="513" t="s">
        <v>781</v>
      </c>
      <c r="P1716" s="518" t="s">
        <v>6276</v>
      </c>
      <c r="Q1716" s="152" t="s">
        <v>5873</v>
      </c>
      <c r="R1716" s="152" t="s">
        <v>6277</v>
      </c>
      <c r="S1716" s="152" t="s">
        <v>6278</v>
      </c>
      <c r="T1716" s="152" t="s">
        <v>6279</v>
      </c>
      <c r="U1716" s="152" t="s">
        <v>786</v>
      </c>
    </row>
    <row r="1717" spans="4:21">
      <c r="D1717" s="152" t="s">
        <v>2821</v>
      </c>
      <c r="G1717" s="474" t="s">
        <v>289</v>
      </c>
      <c r="H1717" s="210" t="s">
        <v>290</v>
      </c>
      <c r="I1717" s="210"/>
      <c r="J1717" s="513">
        <v>-3696555</v>
      </c>
      <c r="K1717" s="513">
        <v>-2631</v>
      </c>
      <c r="L1717" s="513">
        <v>1405</v>
      </c>
      <c r="M1717" s="513" t="s">
        <v>6270</v>
      </c>
      <c r="N1717" s="513" t="s">
        <v>780</v>
      </c>
      <c r="O1717" s="513" t="s">
        <v>781</v>
      </c>
      <c r="P1717" s="518" t="s">
        <v>6276</v>
      </c>
      <c r="Q1717" s="152" t="s">
        <v>5873</v>
      </c>
      <c r="R1717" s="152" t="s">
        <v>6277</v>
      </c>
      <c r="S1717" s="152" t="s">
        <v>6280</v>
      </c>
      <c r="T1717" s="152" t="s">
        <v>6279</v>
      </c>
      <c r="U1717" s="152" t="s">
        <v>786</v>
      </c>
    </row>
    <row r="1718" spans="4:21">
      <c r="D1718" s="152" t="s">
        <v>2821</v>
      </c>
      <c r="G1718" s="474" t="s">
        <v>289</v>
      </c>
      <c r="H1718" s="210" t="s">
        <v>290</v>
      </c>
      <c r="I1718" s="210"/>
      <c r="J1718" s="513">
        <v>-3696555</v>
      </c>
      <c r="K1718" s="513">
        <v>-2631</v>
      </c>
      <c r="L1718" s="513">
        <v>1405</v>
      </c>
      <c r="M1718" s="513" t="s">
        <v>6270</v>
      </c>
      <c r="N1718" s="513" t="s">
        <v>780</v>
      </c>
      <c r="O1718" s="513" t="s">
        <v>781</v>
      </c>
      <c r="P1718" s="518" t="s">
        <v>6276</v>
      </c>
      <c r="Q1718" s="152" t="s">
        <v>5873</v>
      </c>
      <c r="R1718" s="152" t="s">
        <v>6277</v>
      </c>
      <c r="S1718" s="152" t="s">
        <v>6281</v>
      </c>
      <c r="T1718" s="152" t="s">
        <v>6279</v>
      </c>
      <c r="U1718" s="152" t="s">
        <v>786</v>
      </c>
    </row>
    <row r="1719" spans="4:21">
      <c r="D1719" s="152" t="s">
        <v>2821</v>
      </c>
      <c r="G1719" s="474" t="s">
        <v>289</v>
      </c>
      <c r="H1719" s="210" t="s">
        <v>290</v>
      </c>
      <c r="I1719" s="210"/>
      <c r="J1719" s="513">
        <v>-3696555</v>
      </c>
      <c r="K1719" s="513">
        <v>-2631</v>
      </c>
      <c r="L1719" s="513">
        <v>1405</v>
      </c>
      <c r="M1719" s="513" t="s">
        <v>6270</v>
      </c>
      <c r="N1719" s="513" t="s">
        <v>780</v>
      </c>
      <c r="O1719" s="513" t="s">
        <v>781</v>
      </c>
      <c r="P1719" s="518" t="s">
        <v>6276</v>
      </c>
      <c r="Q1719" s="152" t="s">
        <v>5873</v>
      </c>
      <c r="R1719" s="152" t="s">
        <v>6277</v>
      </c>
      <c r="S1719" s="152" t="s">
        <v>6282</v>
      </c>
      <c r="T1719" s="152" t="s">
        <v>6279</v>
      </c>
      <c r="U1719" s="152" t="s">
        <v>786</v>
      </c>
    </row>
    <row r="1720" spans="4:21">
      <c r="D1720" s="152" t="s">
        <v>2821</v>
      </c>
      <c r="G1720" s="474" t="s">
        <v>289</v>
      </c>
      <c r="H1720" s="210" t="s">
        <v>290</v>
      </c>
      <c r="I1720" s="210"/>
      <c r="J1720" s="513">
        <v>5549750</v>
      </c>
      <c r="K1720" s="513">
        <v>3950</v>
      </c>
      <c r="L1720" s="513">
        <v>1405</v>
      </c>
      <c r="M1720" s="513" t="s">
        <v>6270</v>
      </c>
      <c r="N1720" s="513" t="s">
        <v>780</v>
      </c>
      <c r="O1720" s="513" t="s">
        <v>781</v>
      </c>
      <c r="P1720" s="518" t="s">
        <v>6271</v>
      </c>
      <c r="Q1720" s="152" t="s">
        <v>5873</v>
      </c>
      <c r="R1720" s="152" t="s">
        <v>6272</v>
      </c>
      <c r="S1720" s="152" t="s">
        <v>6283</v>
      </c>
      <c r="T1720" s="152" t="s">
        <v>6274</v>
      </c>
      <c r="U1720" s="152" t="s">
        <v>786</v>
      </c>
    </row>
    <row r="1721" spans="4:21">
      <c r="D1721" s="152" t="s">
        <v>2821</v>
      </c>
      <c r="G1721" s="474" t="s">
        <v>289</v>
      </c>
      <c r="H1721" s="210" t="s">
        <v>290</v>
      </c>
      <c r="I1721" s="210"/>
      <c r="J1721" s="513">
        <v>-3738705</v>
      </c>
      <c r="K1721" s="513">
        <v>-2661</v>
      </c>
      <c r="L1721" s="513">
        <v>1405</v>
      </c>
      <c r="M1721" s="513" t="s">
        <v>6303</v>
      </c>
      <c r="N1721" s="513" t="s">
        <v>780</v>
      </c>
      <c r="O1721" s="513" t="s">
        <v>781</v>
      </c>
      <c r="P1721" s="518" t="s">
        <v>6382</v>
      </c>
      <c r="Q1721" s="152" t="s">
        <v>5873</v>
      </c>
      <c r="R1721" s="152" t="s">
        <v>6383</v>
      </c>
      <c r="S1721" s="152" t="s">
        <v>6384</v>
      </c>
      <c r="T1721" s="152" t="s">
        <v>6385</v>
      </c>
      <c r="U1721" s="152" t="s">
        <v>786</v>
      </c>
    </row>
    <row r="1722" spans="4:21">
      <c r="D1722" s="152" t="s">
        <v>2821</v>
      </c>
      <c r="G1722" s="474" t="s">
        <v>289</v>
      </c>
      <c r="H1722" s="210" t="s">
        <v>290</v>
      </c>
      <c r="I1722" s="210"/>
      <c r="J1722" s="513">
        <v>3062900</v>
      </c>
      <c r="K1722" s="513">
        <v>2180</v>
      </c>
      <c r="L1722" s="513">
        <v>1405</v>
      </c>
      <c r="M1722" s="513" t="s">
        <v>5951</v>
      </c>
      <c r="N1722" s="513" t="s">
        <v>780</v>
      </c>
      <c r="O1722" s="513" t="s">
        <v>1272</v>
      </c>
      <c r="P1722" s="518" t="s">
        <v>5952</v>
      </c>
      <c r="Q1722" s="152" t="s">
        <v>5873</v>
      </c>
      <c r="R1722" s="152" t="s">
        <v>5953</v>
      </c>
      <c r="S1722" s="152" t="s">
        <v>5962</v>
      </c>
      <c r="T1722" s="152" t="s">
        <v>5955</v>
      </c>
      <c r="U1722" s="152" t="s">
        <v>786</v>
      </c>
    </row>
    <row r="1723" spans="4:21">
      <c r="D1723" s="152" t="s">
        <v>2821</v>
      </c>
      <c r="G1723" s="474" t="s">
        <v>289</v>
      </c>
      <c r="H1723" s="210" t="s">
        <v>290</v>
      </c>
      <c r="I1723" s="210"/>
      <c r="J1723" s="513">
        <v>11598275</v>
      </c>
      <c r="K1723" s="513">
        <v>8255</v>
      </c>
      <c r="L1723" s="513">
        <v>1405</v>
      </c>
      <c r="M1723" s="513" t="s">
        <v>5951</v>
      </c>
      <c r="N1723" s="513" t="s">
        <v>780</v>
      </c>
      <c r="O1723" s="513" t="s">
        <v>1272</v>
      </c>
      <c r="P1723" s="518" t="s">
        <v>5952</v>
      </c>
      <c r="Q1723" s="152" t="s">
        <v>5873</v>
      </c>
      <c r="R1723" s="152" t="s">
        <v>5953</v>
      </c>
      <c r="S1723" s="152" t="s">
        <v>5963</v>
      </c>
      <c r="T1723" s="152" t="s">
        <v>5955</v>
      </c>
      <c r="U1723" s="152" t="s">
        <v>786</v>
      </c>
    </row>
    <row r="1724" spans="4:21">
      <c r="D1724" s="152" t="s">
        <v>2821</v>
      </c>
      <c r="G1724" s="474" t="s">
        <v>289</v>
      </c>
      <c r="H1724" s="210" t="s">
        <v>290</v>
      </c>
      <c r="I1724" s="210"/>
      <c r="J1724" s="513">
        <v>11598275</v>
      </c>
      <c r="K1724" s="513">
        <v>8255</v>
      </c>
      <c r="L1724" s="513">
        <v>1405</v>
      </c>
      <c r="M1724" s="513" t="s">
        <v>5951</v>
      </c>
      <c r="N1724" s="513" t="s">
        <v>780</v>
      </c>
      <c r="O1724" s="513" t="s">
        <v>1272</v>
      </c>
      <c r="P1724" s="518" t="s">
        <v>5952</v>
      </c>
      <c r="Q1724" s="152" t="s">
        <v>5873</v>
      </c>
      <c r="R1724" s="152" t="s">
        <v>5953</v>
      </c>
      <c r="S1724" s="152" t="s">
        <v>5964</v>
      </c>
      <c r="T1724" s="152" t="s">
        <v>5955</v>
      </c>
      <c r="U1724" s="152" t="s">
        <v>786</v>
      </c>
    </row>
    <row r="1725" spans="4:21">
      <c r="D1725" s="152" t="s">
        <v>2821</v>
      </c>
      <c r="G1725" s="474" t="s">
        <v>289</v>
      </c>
      <c r="H1725" s="210" t="s">
        <v>290</v>
      </c>
      <c r="I1725" s="210"/>
      <c r="J1725" s="513">
        <v>15721950</v>
      </c>
      <c r="K1725" s="513">
        <v>11190</v>
      </c>
      <c r="L1725" s="513">
        <v>1405</v>
      </c>
      <c r="M1725" s="513" t="s">
        <v>5951</v>
      </c>
      <c r="N1725" s="513" t="s">
        <v>780</v>
      </c>
      <c r="O1725" s="513" t="s">
        <v>1272</v>
      </c>
      <c r="P1725" s="518" t="s">
        <v>5952</v>
      </c>
      <c r="Q1725" s="152" t="s">
        <v>5873</v>
      </c>
      <c r="R1725" s="152" t="s">
        <v>5953</v>
      </c>
      <c r="S1725" s="152" t="s">
        <v>5965</v>
      </c>
      <c r="T1725" s="152" t="s">
        <v>5955</v>
      </c>
      <c r="U1725" s="152" t="s">
        <v>786</v>
      </c>
    </row>
    <row r="1726" spans="4:21">
      <c r="D1726" s="152" t="s">
        <v>2821</v>
      </c>
      <c r="G1726" s="474" t="s">
        <v>289</v>
      </c>
      <c r="H1726" s="210" t="s">
        <v>290</v>
      </c>
      <c r="I1726" s="210"/>
      <c r="J1726" s="513">
        <v>-4833200</v>
      </c>
      <c r="K1726" s="513">
        <v>-3440</v>
      </c>
      <c r="L1726" s="513">
        <v>1405</v>
      </c>
      <c r="M1726" s="513" t="s">
        <v>6023</v>
      </c>
      <c r="N1726" s="513" t="s">
        <v>780</v>
      </c>
      <c r="O1726" s="513" t="s">
        <v>1407</v>
      </c>
      <c r="P1726" s="518" t="s">
        <v>6029</v>
      </c>
      <c r="Q1726" s="152" t="s">
        <v>5873</v>
      </c>
      <c r="R1726" s="152" t="s">
        <v>6030</v>
      </c>
      <c r="S1726" s="152" t="s">
        <v>6042</v>
      </c>
      <c r="T1726" s="152" t="s">
        <v>6032</v>
      </c>
      <c r="U1726" s="152" t="s">
        <v>786</v>
      </c>
    </row>
    <row r="1727" spans="4:21">
      <c r="D1727" s="152" t="s">
        <v>2821</v>
      </c>
      <c r="G1727" s="474" t="s">
        <v>289</v>
      </c>
      <c r="H1727" s="210" t="s">
        <v>290</v>
      </c>
      <c r="I1727" s="210"/>
      <c r="J1727" s="513">
        <v>-3357950</v>
      </c>
      <c r="K1727" s="513">
        <v>-2390</v>
      </c>
      <c r="L1727" s="513">
        <v>1405</v>
      </c>
      <c r="M1727" s="513" t="s">
        <v>6023</v>
      </c>
      <c r="N1727" s="513" t="s">
        <v>780</v>
      </c>
      <c r="O1727" s="513" t="s">
        <v>1407</v>
      </c>
      <c r="P1727" s="518" t="s">
        <v>6029</v>
      </c>
      <c r="Q1727" s="152" t="s">
        <v>5873</v>
      </c>
      <c r="R1727" s="152" t="s">
        <v>6030</v>
      </c>
      <c r="S1727" s="152" t="s">
        <v>6043</v>
      </c>
      <c r="T1727" s="152" t="s">
        <v>6032</v>
      </c>
      <c r="U1727" s="152" t="s">
        <v>786</v>
      </c>
    </row>
    <row r="1728" spans="4:21">
      <c r="D1728" s="152" t="s">
        <v>2821</v>
      </c>
      <c r="G1728" s="474" t="s">
        <v>289</v>
      </c>
      <c r="H1728" s="210" t="s">
        <v>290</v>
      </c>
      <c r="I1728" s="210"/>
      <c r="J1728" s="513">
        <v>-2174237.5</v>
      </c>
      <c r="K1728" s="513">
        <v>-1547.5</v>
      </c>
      <c r="L1728" s="513">
        <v>1405</v>
      </c>
      <c r="M1728" s="513" t="s">
        <v>6303</v>
      </c>
      <c r="N1728" s="513" t="s">
        <v>780</v>
      </c>
      <c r="O1728" s="513" t="s">
        <v>1407</v>
      </c>
      <c r="P1728" s="518" t="s">
        <v>6382</v>
      </c>
      <c r="Q1728" s="152" t="s">
        <v>5873</v>
      </c>
      <c r="R1728" s="152" t="s">
        <v>6383</v>
      </c>
      <c r="S1728" s="152" t="s">
        <v>6445</v>
      </c>
      <c r="T1728" s="152" t="s">
        <v>6385</v>
      </c>
      <c r="U1728" s="152" t="s">
        <v>786</v>
      </c>
    </row>
    <row r="1729" spans="4:21">
      <c r="D1729" s="152" t="s">
        <v>2821</v>
      </c>
      <c r="G1729" s="474" t="s">
        <v>289</v>
      </c>
      <c r="H1729" s="210" t="s">
        <v>290</v>
      </c>
      <c r="I1729" s="210"/>
      <c r="J1729" s="513">
        <v>-2174237.5</v>
      </c>
      <c r="K1729" s="513">
        <v>-1547.5</v>
      </c>
      <c r="L1729" s="513">
        <v>1405</v>
      </c>
      <c r="M1729" s="513" t="s">
        <v>6303</v>
      </c>
      <c r="N1729" s="513" t="s">
        <v>780</v>
      </c>
      <c r="O1729" s="513" t="s">
        <v>1407</v>
      </c>
      <c r="P1729" s="518" t="s">
        <v>6382</v>
      </c>
      <c r="Q1729" s="152" t="s">
        <v>5873</v>
      </c>
      <c r="R1729" s="152" t="s">
        <v>6383</v>
      </c>
      <c r="S1729" s="152" t="s">
        <v>6446</v>
      </c>
      <c r="T1729" s="152" t="s">
        <v>6385</v>
      </c>
      <c r="U1729" s="152" t="s">
        <v>786</v>
      </c>
    </row>
    <row r="1730" spans="4:21">
      <c r="D1730" s="152" t="s">
        <v>2821</v>
      </c>
      <c r="G1730" s="474" t="s">
        <v>289</v>
      </c>
      <c r="H1730" s="210" t="s">
        <v>290</v>
      </c>
      <c r="I1730" s="210"/>
      <c r="J1730" s="513">
        <v>-2174237.5</v>
      </c>
      <c r="K1730" s="513">
        <v>-1547.5</v>
      </c>
      <c r="L1730" s="513">
        <v>1405</v>
      </c>
      <c r="M1730" s="513" t="s">
        <v>6303</v>
      </c>
      <c r="N1730" s="513" t="s">
        <v>780</v>
      </c>
      <c r="O1730" s="513" t="s">
        <v>1407</v>
      </c>
      <c r="P1730" s="518" t="s">
        <v>6382</v>
      </c>
      <c r="Q1730" s="152" t="s">
        <v>5873</v>
      </c>
      <c r="R1730" s="152" t="s">
        <v>6383</v>
      </c>
      <c r="S1730" s="152" t="s">
        <v>6447</v>
      </c>
      <c r="T1730" s="152" t="s">
        <v>6385</v>
      </c>
      <c r="U1730" s="152" t="s">
        <v>786</v>
      </c>
    </row>
    <row r="1731" spans="4:21">
      <c r="D1731" s="152" t="s">
        <v>2821</v>
      </c>
      <c r="G1731" s="474" t="s">
        <v>289</v>
      </c>
      <c r="H1731" s="210" t="s">
        <v>290</v>
      </c>
      <c r="I1731" s="210"/>
      <c r="J1731" s="513">
        <v>-1401487.5</v>
      </c>
      <c r="K1731" s="513">
        <v>-997.5</v>
      </c>
      <c r="L1731" s="513">
        <v>1405</v>
      </c>
      <c r="M1731" s="513" t="s">
        <v>6303</v>
      </c>
      <c r="N1731" s="513" t="s">
        <v>780</v>
      </c>
      <c r="O1731" s="513" t="s">
        <v>1407</v>
      </c>
      <c r="P1731" s="518" t="s">
        <v>6387</v>
      </c>
      <c r="Q1731" s="152" t="s">
        <v>5873</v>
      </c>
      <c r="R1731" s="152" t="s">
        <v>6388</v>
      </c>
      <c r="S1731" s="152" t="s">
        <v>6448</v>
      </c>
      <c r="T1731" s="152" t="s">
        <v>6390</v>
      </c>
      <c r="U1731" s="152" t="s">
        <v>786</v>
      </c>
    </row>
    <row r="1732" spans="4:21">
      <c r="D1732" s="152" t="s">
        <v>2821</v>
      </c>
      <c r="G1732" s="474" t="s">
        <v>289</v>
      </c>
      <c r="H1732" s="210" t="s">
        <v>290</v>
      </c>
      <c r="I1732" s="210"/>
      <c r="J1732" s="513">
        <v>-1678975</v>
      </c>
      <c r="K1732" s="513">
        <v>-1195</v>
      </c>
      <c r="L1732" s="513">
        <v>1405</v>
      </c>
      <c r="M1732" s="513" t="s">
        <v>6303</v>
      </c>
      <c r="N1732" s="513" t="s">
        <v>780</v>
      </c>
      <c r="O1732" s="513" t="s">
        <v>1407</v>
      </c>
      <c r="P1732" s="518" t="s">
        <v>6382</v>
      </c>
      <c r="Q1732" s="152" t="s">
        <v>5873</v>
      </c>
      <c r="R1732" s="152" t="s">
        <v>6383</v>
      </c>
      <c r="S1732" s="152" t="s">
        <v>6449</v>
      </c>
      <c r="T1732" s="152" t="s">
        <v>6385</v>
      </c>
      <c r="U1732" s="152" t="s">
        <v>786</v>
      </c>
    </row>
    <row r="1733" spans="4:21">
      <c r="D1733" s="152" t="s">
        <v>2821</v>
      </c>
      <c r="G1733" s="474" t="s">
        <v>289</v>
      </c>
      <c r="H1733" s="210" t="s">
        <v>290</v>
      </c>
      <c r="I1733" s="210"/>
      <c r="J1733" s="513">
        <v>-1928362.5</v>
      </c>
      <c r="K1733" s="513">
        <v>-1372.5</v>
      </c>
      <c r="L1733" s="513">
        <v>1405</v>
      </c>
      <c r="M1733" s="513" t="s">
        <v>6303</v>
      </c>
      <c r="N1733" s="513" t="s">
        <v>780</v>
      </c>
      <c r="O1733" s="513" t="s">
        <v>1407</v>
      </c>
      <c r="P1733" s="518" t="s">
        <v>6387</v>
      </c>
      <c r="Q1733" s="152" t="s">
        <v>5873</v>
      </c>
      <c r="R1733" s="152" t="s">
        <v>6388</v>
      </c>
      <c r="S1733" s="152" t="s">
        <v>6536</v>
      </c>
      <c r="T1733" s="152" t="s">
        <v>6390</v>
      </c>
      <c r="U1733" s="152" t="s">
        <v>786</v>
      </c>
    </row>
    <row r="1734" spans="4:21">
      <c r="D1734" s="152" t="s">
        <v>2821</v>
      </c>
      <c r="G1734" s="474" t="s">
        <v>289</v>
      </c>
      <c r="H1734" s="210" t="s">
        <v>290</v>
      </c>
      <c r="I1734" s="210"/>
      <c r="J1734" s="513">
        <v>-4100773.5</v>
      </c>
      <c r="K1734" s="513">
        <v>-2918.7</v>
      </c>
      <c r="L1734" s="513">
        <v>1405</v>
      </c>
      <c r="M1734" s="513" t="s">
        <v>6303</v>
      </c>
      <c r="N1734" s="513" t="s">
        <v>780</v>
      </c>
      <c r="O1734" s="513" t="s">
        <v>1407</v>
      </c>
      <c r="P1734" s="518" t="s">
        <v>6387</v>
      </c>
      <c r="Q1734" s="152" t="s">
        <v>5873</v>
      </c>
      <c r="R1734" s="152" t="s">
        <v>6388</v>
      </c>
      <c r="S1734" s="152" t="s">
        <v>6554</v>
      </c>
      <c r="T1734" s="152" t="s">
        <v>6390</v>
      </c>
      <c r="U1734" s="152" t="s">
        <v>786</v>
      </c>
    </row>
    <row r="1735" spans="4:21">
      <c r="D1735" s="152" t="s">
        <v>2821</v>
      </c>
      <c r="G1735" s="474" t="s">
        <v>289</v>
      </c>
      <c r="H1735" s="210" t="s">
        <v>290</v>
      </c>
      <c r="I1735" s="210"/>
      <c r="J1735" s="513">
        <v>547950</v>
      </c>
      <c r="K1735" s="513">
        <v>390</v>
      </c>
      <c r="L1735" s="513">
        <v>1405</v>
      </c>
      <c r="M1735" s="513" t="s">
        <v>6303</v>
      </c>
      <c r="N1735" s="513" t="s">
        <v>1566</v>
      </c>
      <c r="O1735" s="513" t="s">
        <v>1407</v>
      </c>
      <c r="P1735" s="518" t="s">
        <v>6640</v>
      </c>
      <c r="Q1735" s="152" t="s">
        <v>5895</v>
      </c>
      <c r="R1735" s="152" t="s">
        <v>6641</v>
      </c>
      <c r="S1735" s="152" t="s">
        <v>6641</v>
      </c>
      <c r="T1735" s="152" t="s">
        <v>6642</v>
      </c>
      <c r="U1735" s="152" t="s">
        <v>786</v>
      </c>
    </row>
    <row r="1736" spans="4:21">
      <c r="D1736" s="152" t="s">
        <v>2821</v>
      </c>
      <c r="G1736" s="474" t="s">
        <v>289</v>
      </c>
      <c r="H1736" s="210" t="s">
        <v>290</v>
      </c>
      <c r="I1736" s="210"/>
      <c r="J1736" s="513">
        <v>547950</v>
      </c>
      <c r="K1736" s="513">
        <v>390</v>
      </c>
      <c r="L1736" s="513">
        <v>1405</v>
      </c>
      <c r="M1736" s="513" t="s">
        <v>6303</v>
      </c>
      <c r="N1736" s="513" t="s">
        <v>1566</v>
      </c>
      <c r="O1736" s="513" t="s">
        <v>1407</v>
      </c>
      <c r="P1736" s="518" t="s">
        <v>6643</v>
      </c>
      <c r="Q1736" s="152" t="s">
        <v>5895</v>
      </c>
      <c r="R1736" s="152" t="s">
        <v>6644</v>
      </c>
      <c r="S1736" s="152" t="s">
        <v>6644</v>
      </c>
      <c r="T1736" s="152" t="s">
        <v>6645</v>
      </c>
      <c r="U1736" s="152" t="s">
        <v>786</v>
      </c>
    </row>
    <row r="1737" spans="4:21">
      <c r="D1737" s="152" t="s">
        <v>2821</v>
      </c>
      <c r="G1737" s="474" t="s">
        <v>289</v>
      </c>
      <c r="H1737" s="210" t="s">
        <v>290</v>
      </c>
      <c r="I1737" s="210"/>
      <c r="J1737" s="513">
        <v>547950</v>
      </c>
      <c r="K1737" s="513">
        <v>390</v>
      </c>
      <c r="L1737" s="513">
        <v>1405</v>
      </c>
      <c r="M1737" s="513" t="s">
        <v>6303</v>
      </c>
      <c r="N1737" s="513" t="s">
        <v>1566</v>
      </c>
      <c r="O1737" s="513" t="s">
        <v>1407</v>
      </c>
      <c r="P1737" s="518" t="s">
        <v>6646</v>
      </c>
      <c r="Q1737" s="152" t="s">
        <v>5895</v>
      </c>
      <c r="R1737" s="152" t="s">
        <v>6647</v>
      </c>
      <c r="S1737" s="152" t="s">
        <v>6647</v>
      </c>
      <c r="T1737" s="152" t="s">
        <v>6648</v>
      </c>
      <c r="U1737" s="152" t="s">
        <v>786</v>
      </c>
    </row>
    <row r="1738" spans="4:21">
      <c r="D1738" s="152" t="s">
        <v>2821</v>
      </c>
      <c r="G1738" s="474" t="s">
        <v>289</v>
      </c>
      <c r="H1738" s="210" t="s">
        <v>290</v>
      </c>
      <c r="I1738" s="210"/>
      <c r="J1738" s="513">
        <v>547950</v>
      </c>
      <c r="K1738" s="513">
        <v>390</v>
      </c>
      <c r="L1738" s="513">
        <v>1405</v>
      </c>
      <c r="M1738" s="513" t="s">
        <v>6303</v>
      </c>
      <c r="N1738" s="513" t="s">
        <v>1566</v>
      </c>
      <c r="O1738" s="513" t="s">
        <v>1407</v>
      </c>
      <c r="P1738" s="518" t="s">
        <v>6649</v>
      </c>
      <c r="Q1738" s="152" t="s">
        <v>5895</v>
      </c>
      <c r="R1738" s="152" t="s">
        <v>6650</v>
      </c>
      <c r="S1738" s="152" t="s">
        <v>6650</v>
      </c>
      <c r="T1738" s="152" t="s">
        <v>6651</v>
      </c>
      <c r="U1738" s="152" t="s">
        <v>786</v>
      </c>
    </row>
    <row r="1739" spans="4:21">
      <c r="D1739" s="152" t="s">
        <v>2821</v>
      </c>
      <c r="G1739" s="474" t="s">
        <v>289</v>
      </c>
      <c r="H1739" s="210" t="s">
        <v>290</v>
      </c>
      <c r="I1739" s="210"/>
      <c r="J1739" s="513">
        <v>547950</v>
      </c>
      <c r="K1739" s="513">
        <v>390</v>
      </c>
      <c r="L1739" s="513">
        <v>1405</v>
      </c>
      <c r="M1739" s="513" t="s">
        <v>6303</v>
      </c>
      <c r="N1739" s="513" t="s">
        <v>1566</v>
      </c>
      <c r="O1739" s="513" t="s">
        <v>1407</v>
      </c>
      <c r="P1739" s="518" t="s">
        <v>6652</v>
      </c>
      <c r="Q1739" s="152" t="s">
        <v>5895</v>
      </c>
      <c r="R1739" s="152" t="s">
        <v>6653</v>
      </c>
      <c r="S1739" s="152" t="s">
        <v>6653</v>
      </c>
      <c r="T1739" s="152" t="s">
        <v>6654</v>
      </c>
      <c r="U1739" s="152" t="s">
        <v>786</v>
      </c>
    </row>
    <row r="1740" spans="4:21">
      <c r="D1740" s="152" t="s">
        <v>2821</v>
      </c>
      <c r="G1740" s="474" t="s">
        <v>289</v>
      </c>
      <c r="H1740" s="210" t="s">
        <v>290</v>
      </c>
      <c r="I1740" s="210"/>
      <c r="J1740" s="513">
        <v>547950</v>
      </c>
      <c r="K1740" s="513">
        <v>390</v>
      </c>
      <c r="L1740" s="513">
        <v>1405</v>
      </c>
      <c r="M1740" s="513" t="s">
        <v>6303</v>
      </c>
      <c r="N1740" s="513" t="s">
        <v>1566</v>
      </c>
      <c r="O1740" s="513" t="s">
        <v>1407</v>
      </c>
      <c r="P1740" s="518" t="s">
        <v>6655</v>
      </c>
      <c r="Q1740" s="152" t="s">
        <v>5895</v>
      </c>
      <c r="R1740" s="152" t="s">
        <v>6656</v>
      </c>
      <c r="S1740" s="152" t="s">
        <v>6656</v>
      </c>
      <c r="T1740" s="152" t="s">
        <v>6657</v>
      </c>
      <c r="U1740" s="152" t="s">
        <v>786</v>
      </c>
    </row>
    <row r="1741" spans="4:21">
      <c r="D1741" s="152" t="s">
        <v>2821</v>
      </c>
      <c r="G1741" s="474" t="s">
        <v>289</v>
      </c>
      <c r="H1741" s="210" t="s">
        <v>290</v>
      </c>
      <c r="I1741" s="210"/>
      <c r="J1741" s="513">
        <v>547950</v>
      </c>
      <c r="K1741" s="513">
        <v>390</v>
      </c>
      <c r="L1741" s="513">
        <v>1405</v>
      </c>
      <c r="M1741" s="513" t="s">
        <v>6303</v>
      </c>
      <c r="N1741" s="513" t="s">
        <v>1566</v>
      </c>
      <c r="O1741" s="513" t="s">
        <v>1407</v>
      </c>
      <c r="P1741" s="518" t="s">
        <v>6658</v>
      </c>
      <c r="Q1741" s="152" t="s">
        <v>5895</v>
      </c>
      <c r="R1741" s="152" t="s">
        <v>6659</v>
      </c>
      <c r="S1741" s="152" t="s">
        <v>6659</v>
      </c>
      <c r="T1741" s="152" t="s">
        <v>6660</v>
      </c>
      <c r="U1741" s="152" t="s">
        <v>786</v>
      </c>
    </row>
    <row r="1742" spans="4:21">
      <c r="D1742" s="152" t="s">
        <v>2821</v>
      </c>
      <c r="G1742" s="474" t="s">
        <v>289</v>
      </c>
      <c r="H1742" s="210" t="s">
        <v>290</v>
      </c>
      <c r="I1742" s="210"/>
      <c r="J1742" s="513">
        <v>547950</v>
      </c>
      <c r="K1742" s="513">
        <v>390</v>
      </c>
      <c r="L1742" s="513">
        <v>1405</v>
      </c>
      <c r="M1742" s="513" t="s">
        <v>6303</v>
      </c>
      <c r="N1742" s="513" t="s">
        <v>1566</v>
      </c>
      <c r="O1742" s="513" t="s">
        <v>1407</v>
      </c>
      <c r="P1742" s="518" t="s">
        <v>6661</v>
      </c>
      <c r="Q1742" s="152" t="s">
        <v>5895</v>
      </c>
      <c r="R1742" s="152" t="s">
        <v>6662</v>
      </c>
      <c r="S1742" s="152" t="s">
        <v>6662</v>
      </c>
      <c r="T1742" s="152" t="s">
        <v>6663</v>
      </c>
      <c r="U1742" s="152" t="s">
        <v>786</v>
      </c>
    </row>
    <row r="1743" spans="4:21">
      <c r="D1743" s="152" t="s">
        <v>2821</v>
      </c>
      <c r="G1743" s="474" t="s">
        <v>289</v>
      </c>
      <c r="H1743" s="210" t="s">
        <v>290</v>
      </c>
      <c r="I1743" s="210"/>
      <c r="J1743" s="513">
        <v>547950</v>
      </c>
      <c r="K1743" s="513">
        <v>390</v>
      </c>
      <c r="L1743" s="513">
        <v>1405</v>
      </c>
      <c r="M1743" s="513" t="s">
        <v>6303</v>
      </c>
      <c r="N1743" s="513" t="s">
        <v>1566</v>
      </c>
      <c r="O1743" s="513" t="s">
        <v>1407</v>
      </c>
      <c r="P1743" s="518" t="s">
        <v>6664</v>
      </c>
      <c r="Q1743" s="152" t="s">
        <v>5895</v>
      </c>
      <c r="R1743" s="152" t="s">
        <v>6665</v>
      </c>
      <c r="S1743" s="152" t="s">
        <v>6665</v>
      </c>
      <c r="T1743" s="152" t="s">
        <v>6666</v>
      </c>
      <c r="U1743" s="152" t="s">
        <v>786</v>
      </c>
    </row>
    <row r="1744" spans="4:21">
      <c r="D1744" s="152" t="s">
        <v>2821</v>
      </c>
      <c r="G1744" s="474" t="s">
        <v>289</v>
      </c>
      <c r="H1744" s="210" t="s">
        <v>290</v>
      </c>
      <c r="I1744" s="210"/>
      <c r="J1744" s="513">
        <v>547950</v>
      </c>
      <c r="K1744" s="513">
        <v>390</v>
      </c>
      <c r="L1744" s="513">
        <v>1405</v>
      </c>
      <c r="M1744" s="513" t="s">
        <v>6303</v>
      </c>
      <c r="N1744" s="513" t="s">
        <v>1566</v>
      </c>
      <c r="O1744" s="513" t="s">
        <v>1407</v>
      </c>
      <c r="P1744" s="518" t="s">
        <v>6667</v>
      </c>
      <c r="Q1744" s="152" t="s">
        <v>5895</v>
      </c>
      <c r="R1744" s="152" t="s">
        <v>6668</v>
      </c>
      <c r="S1744" s="152" t="s">
        <v>6668</v>
      </c>
      <c r="T1744" s="152" t="s">
        <v>6669</v>
      </c>
      <c r="U1744" s="152" t="s">
        <v>786</v>
      </c>
    </row>
    <row r="1745" spans="4:21">
      <c r="D1745" s="152" t="s">
        <v>2821</v>
      </c>
      <c r="G1745" s="474" t="s">
        <v>289</v>
      </c>
      <c r="H1745" s="210" t="s">
        <v>290</v>
      </c>
      <c r="I1745" s="210"/>
      <c r="J1745" s="513">
        <v>1095900</v>
      </c>
      <c r="K1745" s="513">
        <v>780</v>
      </c>
      <c r="L1745" s="513">
        <v>1405</v>
      </c>
      <c r="M1745" s="513" t="s">
        <v>6303</v>
      </c>
      <c r="N1745" s="513" t="s">
        <v>1566</v>
      </c>
      <c r="O1745" s="513" t="s">
        <v>1407</v>
      </c>
      <c r="P1745" s="518" t="s">
        <v>6670</v>
      </c>
      <c r="Q1745" s="152" t="s">
        <v>5895</v>
      </c>
      <c r="R1745" s="152" t="s">
        <v>6671</v>
      </c>
      <c r="S1745" s="152" t="s">
        <v>6671</v>
      </c>
      <c r="T1745" s="152" t="s">
        <v>6672</v>
      </c>
      <c r="U1745" s="152" t="s">
        <v>786</v>
      </c>
    </row>
    <row r="1746" spans="4:21">
      <c r="D1746" s="152" t="s">
        <v>2821</v>
      </c>
      <c r="G1746" s="474" t="s">
        <v>289</v>
      </c>
      <c r="H1746" s="210" t="s">
        <v>290</v>
      </c>
      <c r="I1746" s="210"/>
      <c r="J1746" s="513">
        <v>547950</v>
      </c>
      <c r="K1746" s="513">
        <v>390</v>
      </c>
      <c r="L1746" s="513">
        <v>1405</v>
      </c>
      <c r="M1746" s="513" t="s">
        <v>6303</v>
      </c>
      <c r="N1746" s="513" t="s">
        <v>1566</v>
      </c>
      <c r="O1746" s="513" t="s">
        <v>1407</v>
      </c>
      <c r="P1746" s="518" t="s">
        <v>6673</v>
      </c>
      <c r="Q1746" s="152" t="s">
        <v>5895</v>
      </c>
      <c r="R1746" s="152" t="s">
        <v>6674</v>
      </c>
      <c r="S1746" s="152" t="s">
        <v>6674</v>
      </c>
      <c r="T1746" s="152" t="s">
        <v>6675</v>
      </c>
      <c r="U1746" s="152" t="s">
        <v>786</v>
      </c>
    </row>
    <row r="1747" spans="4:21">
      <c r="D1747" s="152" t="s">
        <v>2821</v>
      </c>
      <c r="G1747" s="474" t="s">
        <v>289</v>
      </c>
      <c r="H1747" s="210" t="s">
        <v>290</v>
      </c>
      <c r="I1747" s="210"/>
      <c r="J1747" s="513">
        <v>547950</v>
      </c>
      <c r="K1747" s="513">
        <v>390</v>
      </c>
      <c r="L1747" s="513">
        <v>1405</v>
      </c>
      <c r="M1747" s="513" t="s">
        <v>6303</v>
      </c>
      <c r="N1747" s="513" t="s">
        <v>1566</v>
      </c>
      <c r="O1747" s="513" t="s">
        <v>1407</v>
      </c>
      <c r="P1747" s="518" t="s">
        <v>6676</v>
      </c>
      <c r="Q1747" s="152" t="s">
        <v>5895</v>
      </c>
      <c r="R1747" s="152" t="s">
        <v>6677</v>
      </c>
      <c r="S1747" s="152" t="s">
        <v>6677</v>
      </c>
      <c r="T1747" s="152" t="s">
        <v>6678</v>
      </c>
      <c r="U1747" s="152" t="s">
        <v>786</v>
      </c>
    </row>
    <row r="1748" spans="4:21">
      <c r="D1748" s="152" t="s">
        <v>2821</v>
      </c>
      <c r="G1748" s="474" t="s">
        <v>289</v>
      </c>
      <c r="H1748" s="210" t="s">
        <v>290</v>
      </c>
      <c r="I1748" s="210"/>
      <c r="J1748" s="513">
        <v>547950</v>
      </c>
      <c r="K1748" s="513">
        <v>390</v>
      </c>
      <c r="L1748" s="513">
        <v>1405</v>
      </c>
      <c r="M1748" s="513" t="s">
        <v>6303</v>
      </c>
      <c r="N1748" s="513" t="s">
        <v>1566</v>
      </c>
      <c r="O1748" s="513" t="s">
        <v>1407</v>
      </c>
      <c r="P1748" s="518" t="s">
        <v>6679</v>
      </c>
      <c r="Q1748" s="152" t="s">
        <v>5895</v>
      </c>
      <c r="R1748" s="152" t="s">
        <v>6680</v>
      </c>
      <c r="S1748" s="152" t="s">
        <v>6680</v>
      </c>
      <c r="T1748" s="152" t="s">
        <v>6681</v>
      </c>
      <c r="U1748" s="152" t="s">
        <v>786</v>
      </c>
    </row>
    <row r="1749" spans="4:21">
      <c r="D1749" s="152" t="s">
        <v>2821</v>
      </c>
      <c r="G1749" s="474" t="s">
        <v>289</v>
      </c>
      <c r="H1749" s="210" t="s">
        <v>290</v>
      </c>
      <c r="I1749" s="210"/>
      <c r="J1749" s="513">
        <v>547950</v>
      </c>
      <c r="K1749" s="513">
        <v>390</v>
      </c>
      <c r="L1749" s="513">
        <v>1405</v>
      </c>
      <c r="M1749" s="513" t="s">
        <v>6303</v>
      </c>
      <c r="N1749" s="513" t="s">
        <v>1566</v>
      </c>
      <c r="O1749" s="513" t="s">
        <v>1407</v>
      </c>
      <c r="P1749" s="518" t="s">
        <v>6682</v>
      </c>
      <c r="Q1749" s="152" t="s">
        <v>5895</v>
      </c>
      <c r="R1749" s="152" t="s">
        <v>6683</v>
      </c>
      <c r="S1749" s="152" t="s">
        <v>6683</v>
      </c>
      <c r="T1749" s="152" t="s">
        <v>6684</v>
      </c>
      <c r="U1749" s="152" t="s">
        <v>786</v>
      </c>
    </row>
    <row r="1750" spans="4:21">
      <c r="D1750" s="152" t="s">
        <v>2821</v>
      </c>
      <c r="G1750" s="474" t="s">
        <v>289</v>
      </c>
      <c r="H1750" s="210" t="s">
        <v>290</v>
      </c>
      <c r="I1750" s="210"/>
      <c r="J1750" s="513">
        <v>547950</v>
      </c>
      <c r="K1750" s="513">
        <v>390</v>
      </c>
      <c r="L1750" s="513">
        <v>1405</v>
      </c>
      <c r="M1750" s="513" t="s">
        <v>6303</v>
      </c>
      <c r="N1750" s="513" t="s">
        <v>1566</v>
      </c>
      <c r="O1750" s="513" t="s">
        <v>1407</v>
      </c>
      <c r="P1750" s="518" t="s">
        <v>6685</v>
      </c>
      <c r="Q1750" s="152" t="s">
        <v>5895</v>
      </c>
      <c r="R1750" s="152" t="s">
        <v>6686</v>
      </c>
      <c r="S1750" s="152" t="s">
        <v>6686</v>
      </c>
      <c r="T1750" s="152" t="s">
        <v>6687</v>
      </c>
      <c r="U1750" s="152" t="s">
        <v>786</v>
      </c>
    </row>
    <row r="1751" spans="4:21">
      <c r="D1751" s="152" t="s">
        <v>2821</v>
      </c>
      <c r="G1751" s="474" t="s">
        <v>289</v>
      </c>
      <c r="H1751" s="210" t="s">
        <v>290</v>
      </c>
      <c r="I1751" s="210"/>
      <c r="J1751" s="513">
        <v>547950</v>
      </c>
      <c r="K1751" s="513">
        <v>390</v>
      </c>
      <c r="L1751" s="513">
        <v>1405</v>
      </c>
      <c r="M1751" s="513" t="s">
        <v>6303</v>
      </c>
      <c r="N1751" s="513" t="s">
        <v>1566</v>
      </c>
      <c r="O1751" s="513" t="s">
        <v>1407</v>
      </c>
      <c r="P1751" s="518" t="s">
        <v>6688</v>
      </c>
      <c r="Q1751" s="152" t="s">
        <v>5895</v>
      </c>
      <c r="R1751" s="152" t="s">
        <v>6689</v>
      </c>
      <c r="S1751" s="152" t="s">
        <v>6689</v>
      </c>
      <c r="T1751" s="152" t="s">
        <v>6690</v>
      </c>
      <c r="U1751" s="152" t="s">
        <v>786</v>
      </c>
    </row>
    <row r="1752" spans="4:21">
      <c r="D1752" s="152" t="s">
        <v>2821</v>
      </c>
      <c r="G1752" s="474" t="s">
        <v>289</v>
      </c>
      <c r="H1752" s="210" t="s">
        <v>290</v>
      </c>
      <c r="I1752" s="210"/>
      <c r="J1752" s="513">
        <v>730600</v>
      </c>
      <c r="K1752" s="513">
        <v>520</v>
      </c>
      <c r="L1752" s="513">
        <v>1405</v>
      </c>
      <c r="M1752" s="513" t="s">
        <v>6303</v>
      </c>
      <c r="N1752" s="513" t="s">
        <v>1566</v>
      </c>
      <c r="O1752" s="513" t="s">
        <v>1407</v>
      </c>
      <c r="P1752" s="518" t="s">
        <v>6691</v>
      </c>
      <c r="Q1752" s="152" t="s">
        <v>5895</v>
      </c>
      <c r="R1752" s="152" t="s">
        <v>6692</v>
      </c>
      <c r="S1752" s="152" t="s">
        <v>6692</v>
      </c>
      <c r="T1752" s="152" t="s">
        <v>6693</v>
      </c>
      <c r="U1752" s="152" t="s">
        <v>786</v>
      </c>
    </row>
    <row r="1753" spans="4:21">
      <c r="D1753" s="152" t="s">
        <v>2821</v>
      </c>
      <c r="G1753" s="474" t="s">
        <v>289</v>
      </c>
      <c r="H1753" s="210" t="s">
        <v>290</v>
      </c>
      <c r="I1753" s="210"/>
      <c r="J1753" s="513">
        <v>730600</v>
      </c>
      <c r="K1753" s="513">
        <v>520</v>
      </c>
      <c r="L1753" s="513">
        <v>1405</v>
      </c>
      <c r="M1753" s="513" t="s">
        <v>6303</v>
      </c>
      <c r="N1753" s="513" t="s">
        <v>1566</v>
      </c>
      <c r="O1753" s="513" t="s">
        <v>1407</v>
      </c>
      <c r="P1753" s="518" t="s">
        <v>6694</v>
      </c>
      <c r="Q1753" s="152" t="s">
        <v>5895</v>
      </c>
      <c r="R1753" s="152" t="s">
        <v>6695</v>
      </c>
      <c r="S1753" s="152" t="s">
        <v>6695</v>
      </c>
      <c r="T1753" s="152" t="s">
        <v>6696</v>
      </c>
      <c r="U1753" s="152" t="s">
        <v>786</v>
      </c>
    </row>
    <row r="1754" spans="4:21">
      <c r="D1754" s="152" t="s">
        <v>2821</v>
      </c>
      <c r="G1754" s="474" t="s">
        <v>289</v>
      </c>
      <c r="H1754" s="210" t="s">
        <v>290</v>
      </c>
      <c r="I1754" s="210"/>
      <c r="J1754" s="513">
        <v>2149650</v>
      </c>
      <c r="K1754" s="513">
        <v>1530</v>
      </c>
      <c r="L1754" s="513">
        <v>1405</v>
      </c>
      <c r="M1754" s="513" t="s">
        <v>6303</v>
      </c>
      <c r="N1754" s="513" t="s">
        <v>1566</v>
      </c>
      <c r="O1754" s="513" t="s">
        <v>1407</v>
      </c>
      <c r="P1754" s="518" t="s">
        <v>6697</v>
      </c>
      <c r="Q1754" s="152" t="s">
        <v>5895</v>
      </c>
      <c r="R1754" s="152" t="s">
        <v>6698</v>
      </c>
      <c r="S1754" s="152" t="s">
        <v>6698</v>
      </c>
      <c r="T1754" s="152" t="s">
        <v>6699</v>
      </c>
      <c r="U1754" s="152" t="s">
        <v>786</v>
      </c>
    </row>
    <row r="1755" spans="4:21">
      <c r="D1755" s="152" t="s">
        <v>2821</v>
      </c>
      <c r="G1755" s="474" t="s">
        <v>289</v>
      </c>
      <c r="H1755" s="210" t="s">
        <v>290</v>
      </c>
      <c r="I1755" s="210"/>
      <c r="J1755" s="513">
        <v>730600</v>
      </c>
      <c r="K1755" s="513">
        <v>520</v>
      </c>
      <c r="L1755" s="513">
        <v>1405</v>
      </c>
      <c r="M1755" s="513" t="s">
        <v>6303</v>
      </c>
      <c r="N1755" s="513" t="s">
        <v>1566</v>
      </c>
      <c r="O1755" s="513" t="s">
        <v>1407</v>
      </c>
      <c r="P1755" s="518" t="s">
        <v>6700</v>
      </c>
      <c r="Q1755" s="152" t="s">
        <v>5895</v>
      </c>
      <c r="R1755" s="152" t="s">
        <v>6701</v>
      </c>
      <c r="S1755" s="152" t="s">
        <v>6701</v>
      </c>
      <c r="T1755" s="152" t="s">
        <v>6702</v>
      </c>
      <c r="U1755" s="152" t="s">
        <v>786</v>
      </c>
    </row>
    <row r="1756" spans="4:21">
      <c r="D1756" s="152" t="s">
        <v>2821</v>
      </c>
      <c r="G1756" s="474" t="s">
        <v>289</v>
      </c>
      <c r="H1756" s="210" t="s">
        <v>290</v>
      </c>
      <c r="I1756" s="210"/>
      <c r="J1756" s="513">
        <v>730600</v>
      </c>
      <c r="K1756" s="513">
        <v>520</v>
      </c>
      <c r="L1756" s="513">
        <v>1405</v>
      </c>
      <c r="M1756" s="513" t="s">
        <v>6303</v>
      </c>
      <c r="N1756" s="513" t="s">
        <v>1566</v>
      </c>
      <c r="O1756" s="513" t="s">
        <v>1407</v>
      </c>
      <c r="P1756" s="518" t="s">
        <v>6703</v>
      </c>
      <c r="Q1756" s="152" t="s">
        <v>5895</v>
      </c>
      <c r="R1756" s="152" t="s">
        <v>6704</v>
      </c>
      <c r="S1756" s="152" t="s">
        <v>6704</v>
      </c>
      <c r="T1756" s="152" t="s">
        <v>6705</v>
      </c>
      <c r="U1756" s="152" t="s">
        <v>786</v>
      </c>
    </row>
    <row r="1757" spans="4:21">
      <c r="D1757" s="152" t="s">
        <v>2821</v>
      </c>
      <c r="G1757" s="474" t="s">
        <v>289</v>
      </c>
      <c r="H1757" s="210" t="s">
        <v>290</v>
      </c>
      <c r="I1757" s="210"/>
      <c r="J1757" s="513">
        <v>730600</v>
      </c>
      <c r="K1757" s="513">
        <v>520</v>
      </c>
      <c r="L1757" s="513">
        <v>1405</v>
      </c>
      <c r="M1757" s="513" t="s">
        <v>6303</v>
      </c>
      <c r="N1757" s="513" t="s">
        <v>1566</v>
      </c>
      <c r="O1757" s="513" t="s">
        <v>1407</v>
      </c>
      <c r="P1757" s="518" t="s">
        <v>6706</v>
      </c>
      <c r="Q1757" s="152" t="s">
        <v>5895</v>
      </c>
      <c r="R1757" s="152" t="s">
        <v>6707</v>
      </c>
      <c r="S1757" s="152" t="s">
        <v>6707</v>
      </c>
      <c r="T1757" s="152" t="s">
        <v>6708</v>
      </c>
      <c r="U1757" s="152" t="s">
        <v>786</v>
      </c>
    </row>
    <row r="1758" spans="4:21">
      <c r="D1758" s="152" t="s">
        <v>2821</v>
      </c>
      <c r="G1758" s="474" t="s">
        <v>289</v>
      </c>
      <c r="H1758" s="210" t="s">
        <v>290</v>
      </c>
      <c r="I1758" s="210"/>
      <c r="J1758" s="513">
        <v>2149650</v>
      </c>
      <c r="K1758" s="513">
        <v>1530</v>
      </c>
      <c r="L1758" s="513">
        <v>1405</v>
      </c>
      <c r="M1758" s="513" t="s">
        <v>6303</v>
      </c>
      <c r="N1758" s="513" t="s">
        <v>1566</v>
      </c>
      <c r="O1758" s="513" t="s">
        <v>1407</v>
      </c>
      <c r="P1758" s="518" t="s">
        <v>6709</v>
      </c>
      <c r="Q1758" s="152" t="s">
        <v>5895</v>
      </c>
      <c r="R1758" s="152" t="s">
        <v>6710</v>
      </c>
      <c r="S1758" s="152" t="s">
        <v>6710</v>
      </c>
      <c r="T1758" s="152" t="s">
        <v>6711</v>
      </c>
      <c r="U1758" s="152" t="s">
        <v>786</v>
      </c>
    </row>
    <row r="1759" spans="4:21">
      <c r="D1759" s="152" t="s">
        <v>2821</v>
      </c>
      <c r="G1759" s="474" t="s">
        <v>289</v>
      </c>
      <c r="H1759" s="210" t="s">
        <v>290</v>
      </c>
      <c r="I1759" s="210"/>
      <c r="J1759" s="513">
        <v>2149650</v>
      </c>
      <c r="K1759" s="513">
        <v>1530</v>
      </c>
      <c r="L1759" s="513">
        <v>1405</v>
      </c>
      <c r="M1759" s="513" t="s">
        <v>6303</v>
      </c>
      <c r="N1759" s="513" t="s">
        <v>1566</v>
      </c>
      <c r="O1759" s="513" t="s">
        <v>1407</v>
      </c>
      <c r="P1759" s="518" t="s">
        <v>6712</v>
      </c>
      <c r="Q1759" s="152" t="s">
        <v>5895</v>
      </c>
      <c r="R1759" s="152" t="s">
        <v>6713</v>
      </c>
      <c r="S1759" s="152" t="s">
        <v>6713</v>
      </c>
      <c r="T1759" s="152" t="s">
        <v>6714</v>
      </c>
      <c r="U1759" s="152" t="s">
        <v>786</v>
      </c>
    </row>
    <row r="1760" spans="4:21">
      <c r="D1760" s="152" t="s">
        <v>2821</v>
      </c>
      <c r="G1760" s="474" t="s">
        <v>289</v>
      </c>
      <c r="H1760" s="210" t="s">
        <v>290</v>
      </c>
      <c r="I1760" s="210"/>
      <c r="J1760" s="513">
        <v>2149650</v>
      </c>
      <c r="K1760" s="513">
        <v>1530</v>
      </c>
      <c r="L1760" s="513">
        <v>1405</v>
      </c>
      <c r="M1760" s="513" t="s">
        <v>6303</v>
      </c>
      <c r="N1760" s="513" t="s">
        <v>1566</v>
      </c>
      <c r="O1760" s="513" t="s">
        <v>1407</v>
      </c>
      <c r="P1760" s="518" t="s">
        <v>6715</v>
      </c>
      <c r="Q1760" s="152" t="s">
        <v>5895</v>
      </c>
      <c r="R1760" s="152" t="s">
        <v>6716</v>
      </c>
      <c r="S1760" s="152" t="s">
        <v>6716</v>
      </c>
      <c r="T1760" s="152" t="s">
        <v>6717</v>
      </c>
      <c r="U1760" s="152" t="s">
        <v>786</v>
      </c>
    </row>
    <row r="1761" spans="4:21">
      <c r="D1761" s="152" t="s">
        <v>2821</v>
      </c>
      <c r="G1761" s="474" t="s">
        <v>289</v>
      </c>
      <c r="H1761" s="210" t="s">
        <v>290</v>
      </c>
      <c r="I1761" s="210"/>
      <c r="J1761" s="513">
        <v>2149650</v>
      </c>
      <c r="K1761" s="513">
        <v>1530</v>
      </c>
      <c r="L1761" s="513">
        <v>1405</v>
      </c>
      <c r="M1761" s="513" t="s">
        <v>6303</v>
      </c>
      <c r="N1761" s="513" t="s">
        <v>1566</v>
      </c>
      <c r="O1761" s="513" t="s">
        <v>1407</v>
      </c>
      <c r="P1761" s="518" t="s">
        <v>6718</v>
      </c>
      <c r="Q1761" s="152" t="s">
        <v>5895</v>
      </c>
      <c r="R1761" s="152" t="s">
        <v>6719</v>
      </c>
      <c r="S1761" s="152" t="s">
        <v>6719</v>
      </c>
      <c r="T1761" s="152" t="s">
        <v>6720</v>
      </c>
      <c r="U1761" s="152" t="s">
        <v>786</v>
      </c>
    </row>
    <row r="1762" spans="4:21">
      <c r="D1762" s="152" t="s">
        <v>2821</v>
      </c>
      <c r="G1762" s="474" t="s">
        <v>289</v>
      </c>
      <c r="H1762" s="210" t="s">
        <v>290</v>
      </c>
      <c r="I1762" s="210"/>
      <c r="J1762" s="513">
        <v>2149650</v>
      </c>
      <c r="K1762" s="513">
        <v>1530</v>
      </c>
      <c r="L1762" s="513">
        <v>1405</v>
      </c>
      <c r="M1762" s="513" t="s">
        <v>6303</v>
      </c>
      <c r="N1762" s="513" t="s">
        <v>1566</v>
      </c>
      <c r="O1762" s="513" t="s">
        <v>1407</v>
      </c>
      <c r="P1762" s="518" t="s">
        <v>6721</v>
      </c>
      <c r="Q1762" s="152" t="s">
        <v>5895</v>
      </c>
      <c r="R1762" s="152" t="s">
        <v>6722</v>
      </c>
      <c r="S1762" s="152" t="s">
        <v>6722</v>
      </c>
      <c r="T1762" s="152" t="s">
        <v>6723</v>
      </c>
      <c r="U1762" s="152" t="s">
        <v>786</v>
      </c>
    </row>
    <row r="1763" spans="4:21">
      <c r="D1763" s="152" t="s">
        <v>2821</v>
      </c>
      <c r="G1763" s="474" t="s">
        <v>289</v>
      </c>
      <c r="H1763" s="210" t="s">
        <v>290</v>
      </c>
      <c r="I1763" s="210"/>
      <c r="J1763" s="513">
        <v>2149650</v>
      </c>
      <c r="K1763" s="513">
        <v>1530</v>
      </c>
      <c r="L1763" s="513">
        <v>1405</v>
      </c>
      <c r="M1763" s="513" t="s">
        <v>6303</v>
      </c>
      <c r="N1763" s="513" t="s">
        <v>1566</v>
      </c>
      <c r="O1763" s="513" t="s">
        <v>1407</v>
      </c>
      <c r="P1763" s="518" t="s">
        <v>6724</v>
      </c>
      <c r="Q1763" s="152" t="s">
        <v>5895</v>
      </c>
      <c r="R1763" s="152" t="s">
        <v>6725</v>
      </c>
      <c r="S1763" s="152" t="s">
        <v>6725</v>
      </c>
      <c r="T1763" s="152" t="s">
        <v>6726</v>
      </c>
      <c r="U1763" s="152" t="s">
        <v>786</v>
      </c>
    </row>
    <row r="1764" spans="4:21">
      <c r="D1764" s="152" t="s">
        <v>2821</v>
      </c>
      <c r="G1764" s="474" t="s">
        <v>295</v>
      </c>
      <c r="H1764" s="210" t="s">
        <v>296</v>
      </c>
      <c r="I1764" s="210"/>
      <c r="J1764" s="513">
        <v>-3477375</v>
      </c>
      <c r="K1764" s="513">
        <v>-2475</v>
      </c>
      <c r="L1764" s="513">
        <v>1405</v>
      </c>
      <c r="M1764" s="513" t="s">
        <v>5881</v>
      </c>
      <c r="N1764" s="513" t="s">
        <v>1566</v>
      </c>
      <c r="O1764" s="513" t="s">
        <v>1407</v>
      </c>
      <c r="P1764" s="518" t="s">
        <v>5894</v>
      </c>
      <c r="Q1764" s="152" t="s">
        <v>5895</v>
      </c>
      <c r="R1764" s="152" t="s">
        <v>5896</v>
      </c>
      <c r="S1764" s="152" t="s">
        <v>5897</v>
      </c>
      <c r="T1764" s="152" t="s">
        <v>5898</v>
      </c>
      <c r="U1764" s="152" t="s">
        <v>786</v>
      </c>
    </row>
    <row r="1765" spans="4:21">
      <c r="D1765" s="152" t="s">
        <v>2821</v>
      </c>
      <c r="G1765" s="474" t="s">
        <v>295</v>
      </c>
      <c r="H1765" s="210" t="s">
        <v>296</v>
      </c>
      <c r="I1765" s="210"/>
      <c r="J1765" s="513">
        <v>-3361462.5</v>
      </c>
      <c r="K1765" s="513">
        <v>-2392.5</v>
      </c>
      <c r="L1765" s="513">
        <v>1405</v>
      </c>
      <c r="M1765" s="513" t="s">
        <v>5881</v>
      </c>
      <c r="N1765" s="513" t="s">
        <v>1566</v>
      </c>
      <c r="O1765" s="513" t="s">
        <v>1407</v>
      </c>
      <c r="P1765" s="518" t="s">
        <v>5899</v>
      </c>
      <c r="Q1765" s="152" t="s">
        <v>5895</v>
      </c>
      <c r="R1765" s="152" t="s">
        <v>5900</v>
      </c>
      <c r="S1765" s="152" t="s">
        <v>5897</v>
      </c>
      <c r="T1765" s="152" t="s">
        <v>5901</v>
      </c>
      <c r="U1765" s="152" t="s">
        <v>786</v>
      </c>
    </row>
    <row r="1766" spans="4:21">
      <c r="D1766" s="152" t="s">
        <v>2821</v>
      </c>
      <c r="G1766" s="474" t="s">
        <v>295</v>
      </c>
      <c r="H1766" s="210" t="s">
        <v>296</v>
      </c>
      <c r="I1766" s="210"/>
      <c r="J1766" s="513">
        <v>-2820537.5</v>
      </c>
      <c r="K1766" s="513">
        <v>-2007.5</v>
      </c>
      <c r="L1766" s="513">
        <v>1405</v>
      </c>
      <c r="M1766" s="513" t="s">
        <v>5881</v>
      </c>
      <c r="N1766" s="513" t="s">
        <v>1566</v>
      </c>
      <c r="O1766" s="513" t="s">
        <v>1407</v>
      </c>
      <c r="P1766" s="518" t="s">
        <v>5902</v>
      </c>
      <c r="Q1766" s="152" t="s">
        <v>5895</v>
      </c>
      <c r="R1766" s="152" t="s">
        <v>5903</v>
      </c>
      <c r="S1766" s="152" t="s">
        <v>5897</v>
      </c>
      <c r="T1766" s="152" t="s">
        <v>5904</v>
      </c>
      <c r="U1766" s="152" t="s">
        <v>786</v>
      </c>
    </row>
    <row r="1767" spans="4:21">
      <c r="D1767" s="152" t="s">
        <v>2821</v>
      </c>
      <c r="G1767" s="474" t="s">
        <v>295</v>
      </c>
      <c r="H1767" s="210" t="s">
        <v>296</v>
      </c>
      <c r="I1767" s="210"/>
      <c r="J1767" s="513">
        <v>-2318250</v>
      </c>
      <c r="K1767" s="513">
        <v>-1650</v>
      </c>
      <c r="L1767" s="513">
        <v>1405</v>
      </c>
      <c r="M1767" s="513" t="s">
        <v>5881</v>
      </c>
      <c r="N1767" s="513" t="s">
        <v>1566</v>
      </c>
      <c r="O1767" s="513" t="s">
        <v>1407</v>
      </c>
      <c r="P1767" s="518" t="s">
        <v>5905</v>
      </c>
      <c r="Q1767" s="152" t="s">
        <v>5895</v>
      </c>
      <c r="R1767" s="152" t="s">
        <v>5906</v>
      </c>
      <c r="S1767" s="152" t="s">
        <v>5897</v>
      </c>
      <c r="T1767" s="152" t="s">
        <v>5907</v>
      </c>
      <c r="U1767" s="152" t="s">
        <v>786</v>
      </c>
    </row>
    <row r="1768" spans="4:21">
      <c r="D1768" s="152" t="s">
        <v>2821</v>
      </c>
      <c r="G1768" s="474" t="s">
        <v>295</v>
      </c>
      <c r="H1768" s="210" t="s">
        <v>296</v>
      </c>
      <c r="I1768" s="210"/>
      <c r="J1768" s="513">
        <v>-2356887.5</v>
      </c>
      <c r="K1768" s="513">
        <v>-1677.5</v>
      </c>
      <c r="L1768" s="513">
        <v>1405</v>
      </c>
      <c r="M1768" s="513" t="s">
        <v>5881</v>
      </c>
      <c r="N1768" s="513" t="s">
        <v>1566</v>
      </c>
      <c r="O1768" s="513" t="s">
        <v>1407</v>
      </c>
      <c r="P1768" s="518" t="s">
        <v>5908</v>
      </c>
      <c r="Q1768" s="152" t="s">
        <v>5895</v>
      </c>
      <c r="R1768" s="152" t="s">
        <v>5909</v>
      </c>
      <c r="S1768" s="152" t="s">
        <v>5910</v>
      </c>
      <c r="T1768" s="152" t="s">
        <v>5911</v>
      </c>
      <c r="U1768" s="152" t="s">
        <v>786</v>
      </c>
    </row>
    <row r="1769" spans="4:21">
      <c r="D1769" s="152" t="s">
        <v>2821</v>
      </c>
      <c r="G1769" s="474" t="s">
        <v>295</v>
      </c>
      <c r="H1769" s="210" t="s">
        <v>296</v>
      </c>
      <c r="I1769" s="210"/>
      <c r="J1769" s="513">
        <v>-5022875</v>
      </c>
      <c r="K1769" s="513">
        <v>-3575</v>
      </c>
      <c r="L1769" s="513">
        <v>1405</v>
      </c>
      <c r="M1769" s="513" t="s">
        <v>5881</v>
      </c>
      <c r="N1769" s="513" t="s">
        <v>1566</v>
      </c>
      <c r="O1769" s="513" t="s">
        <v>1407</v>
      </c>
      <c r="P1769" s="518" t="s">
        <v>5912</v>
      </c>
      <c r="Q1769" s="152" t="s">
        <v>5895</v>
      </c>
      <c r="R1769" s="152" t="s">
        <v>5913</v>
      </c>
      <c r="S1769" s="152" t="s">
        <v>5910</v>
      </c>
      <c r="T1769" s="152" t="s">
        <v>5914</v>
      </c>
      <c r="U1769" s="152" t="s">
        <v>786</v>
      </c>
    </row>
    <row r="1770" spans="4:21">
      <c r="D1770" s="152" t="s">
        <v>2821</v>
      </c>
      <c r="G1770" s="474" t="s">
        <v>295</v>
      </c>
      <c r="H1770" s="210" t="s">
        <v>296</v>
      </c>
      <c r="I1770" s="210"/>
      <c r="J1770" s="513">
        <v>-2318250</v>
      </c>
      <c r="K1770" s="513">
        <v>-1650</v>
      </c>
      <c r="L1770" s="513">
        <v>1405</v>
      </c>
      <c r="M1770" s="513" t="s">
        <v>5881</v>
      </c>
      <c r="N1770" s="513" t="s">
        <v>1566</v>
      </c>
      <c r="O1770" s="513" t="s">
        <v>1407</v>
      </c>
      <c r="P1770" s="518" t="s">
        <v>5915</v>
      </c>
      <c r="Q1770" s="152" t="s">
        <v>5895</v>
      </c>
      <c r="R1770" s="152" t="s">
        <v>5916</v>
      </c>
      <c r="S1770" s="152" t="s">
        <v>5910</v>
      </c>
      <c r="T1770" s="152" t="s">
        <v>5917</v>
      </c>
      <c r="U1770" s="152" t="s">
        <v>786</v>
      </c>
    </row>
    <row r="1771" spans="4:21">
      <c r="D1771" s="152" t="s">
        <v>2821</v>
      </c>
      <c r="G1771" s="474" t="s">
        <v>295</v>
      </c>
      <c r="H1771" s="210" t="s">
        <v>296</v>
      </c>
      <c r="I1771" s="210"/>
      <c r="J1771" s="513">
        <v>-2704625</v>
      </c>
      <c r="K1771" s="513">
        <v>-1925</v>
      </c>
      <c r="L1771" s="513">
        <v>1405</v>
      </c>
      <c r="M1771" s="513" t="s">
        <v>5881</v>
      </c>
      <c r="N1771" s="513" t="s">
        <v>1566</v>
      </c>
      <c r="O1771" s="513" t="s">
        <v>1407</v>
      </c>
      <c r="P1771" s="518" t="s">
        <v>5918</v>
      </c>
      <c r="Q1771" s="152" t="s">
        <v>5895</v>
      </c>
      <c r="R1771" s="152" t="s">
        <v>5919</v>
      </c>
      <c r="S1771" s="152" t="s">
        <v>5910</v>
      </c>
      <c r="T1771" s="152" t="s">
        <v>5920</v>
      </c>
      <c r="U1771" s="152" t="s">
        <v>786</v>
      </c>
    </row>
    <row r="1772" spans="4:21">
      <c r="D1772" s="152" t="s">
        <v>2821</v>
      </c>
      <c r="G1772" s="474" t="s">
        <v>295</v>
      </c>
      <c r="H1772" s="210" t="s">
        <v>296</v>
      </c>
      <c r="I1772" s="210"/>
      <c r="J1772" s="513">
        <v>-2781900</v>
      </c>
      <c r="K1772" s="513">
        <v>-1980</v>
      </c>
      <c r="L1772" s="513">
        <v>1405</v>
      </c>
      <c r="M1772" s="513" t="s">
        <v>5881</v>
      </c>
      <c r="N1772" s="513" t="s">
        <v>1566</v>
      </c>
      <c r="O1772" s="513" t="s">
        <v>1407</v>
      </c>
      <c r="P1772" s="518" t="s">
        <v>5921</v>
      </c>
      <c r="Q1772" s="152" t="s">
        <v>5895</v>
      </c>
      <c r="R1772" s="152" t="s">
        <v>5922</v>
      </c>
      <c r="S1772" s="152" t="s">
        <v>5923</v>
      </c>
      <c r="T1772" s="152" t="s">
        <v>5924</v>
      </c>
      <c r="U1772" s="152" t="s">
        <v>786</v>
      </c>
    </row>
    <row r="1773" spans="4:21">
      <c r="D1773" s="152" t="s">
        <v>2821</v>
      </c>
      <c r="G1773" s="474" t="s">
        <v>295</v>
      </c>
      <c r="H1773" s="210" t="s">
        <v>296</v>
      </c>
      <c r="I1773" s="210"/>
      <c r="J1773" s="513">
        <v>-3052362.5</v>
      </c>
      <c r="K1773" s="513">
        <v>-2172.5</v>
      </c>
      <c r="L1773" s="513">
        <v>1405</v>
      </c>
      <c r="M1773" s="513" t="s">
        <v>5881</v>
      </c>
      <c r="N1773" s="513" t="s">
        <v>1566</v>
      </c>
      <c r="O1773" s="513" t="s">
        <v>1407</v>
      </c>
      <c r="P1773" s="518" t="s">
        <v>5925</v>
      </c>
      <c r="Q1773" s="152" t="s">
        <v>5895</v>
      </c>
      <c r="R1773" s="152" t="s">
        <v>5926</v>
      </c>
      <c r="S1773" s="152" t="s">
        <v>5923</v>
      </c>
      <c r="T1773" s="152" t="s">
        <v>5927</v>
      </c>
      <c r="U1773" s="152" t="s">
        <v>786</v>
      </c>
    </row>
    <row r="1774" spans="4:21">
      <c r="D1774" s="152" t="s">
        <v>2821</v>
      </c>
      <c r="G1774" s="474" t="s">
        <v>295</v>
      </c>
      <c r="H1774" s="210" t="s">
        <v>296</v>
      </c>
      <c r="I1774" s="210"/>
      <c r="J1774" s="513">
        <v>-6375187.5</v>
      </c>
      <c r="K1774" s="513">
        <v>-4537.5</v>
      </c>
      <c r="L1774" s="513">
        <v>1405</v>
      </c>
      <c r="M1774" s="513" t="s">
        <v>5881</v>
      </c>
      <c r="N1774" s="513" t="s">
        <v>1566</v>
      </c>
      <c r="O1774" s="513" t="s">
        <v>1407</v>
      </c>
      <c r="P1774" s="518" t="s">
        <v>5928</v>
      </c>
      <c r="Q1774" s="152" t="s">
        <v>5895</v>
      </c>
      <c r="R1774" s="152" t="s">
        <v>5929</v>
      </c>
      <c r="S1774" s="152" t="s">
        <v>5930</v>
      </c>
      <c r="T1774" s="152" t="s">
        <v>5931</v>
      </c>
      <c r="U1774" s="152" t="s">
        <v>786</v>
      </c>
    </row>
    <row r="1775" spans="4:21">
      <c r="D1775" s="152" t="s">
        <v>2821</v>
      </c>
      <c r="G1775" s="474" t="s">
        <v>295</v>
      </c>
      <c r="H1775" s="210" t="s">
        <v>296</v>
      </c>
      <c r="I1775" s="210"/>
      <c r="J1775" s="513">
        <v>-1352312.5</v>
      </c>
      <c r="K1775" s="513">
        <v>-962.5</v>
      </c>
      <c r="L1775" s="513">
        <v>1405</v>
      </c>
      <c r="M1775" s="513" t="s">
        <v>5975</v>
      </c>
      <c r="N1775" s="513" t="s">
        <v>1566</v>
      </c>
      <c r="O1775" s="513" t="s">
        <v>1407</v>
      </c>
      <c r="P1775" s="518" t="s">
        <v>5996</v>
      </c>
      <c r="Q1775" s="152" t="s">
        <v>5895</v>
      </c>
      <c r="R1775" s="152" t="s">
        <v>5997</v>
      </c>
      <c r="S1775" s="152" t="s">
        <v>5998</v>
      </c>
      <c r="T1775" s="152" t="s">
        <v>5999</v>
      </c>
      <c r="U1775" s="152" t="s">
        <v>786</v>
      </c>
    </row>
    <row r="1776" spans="4:21">
      <c r="D1776" s="152" t="s">
        <v>2821</v>
      </c>
      <c r="G1776" s="474" t="s">
        <v>295</v>
      </c>
      <c r="H1776" s="210" t="s">
        <v>296</v>
      </c>
      <c r="I1776" s="210"/>
      <c r="J1776" s="513">
        <v>-3284187.5</v>
      </c>
      <c r="K1776" s="513">
        <v>-2337.5</v>
      </c>
      <c r="L1776" s="513">
        <v>1405</v>
      </c>
      <c r="M1776" s="513" t="s">
        <v>5975</v>
      </c>
      <c r="N1776" s="513" t="s">
        <v>1566</v>
      </c>
      <c r="O1776" s="513" t="s">
        <v>1407</v>
      </c>
      <c r="P1776" s="518" t="s">
        <v>6000</v>
      </c>
      <c r="Q1776" s="152" t="s">
        <v>5895</v>
      </c>
      <c r="R1776" s="152" t="s">
        <v>6001</v>
      </c>
      <c r="S1776" s="152" t="s">
        <v>5998</v>
      </c>
      <c r="T1776" s="152" t="s">
        <v>6002</v>
      </c>
      <c r="U1776" s="152" t="s">
        <v>786</v>
      </c>
    </row>
    <row r="1777" spans="4:21">
      <c r="D1777" s="152" t="s">
        <v>2821</v>
      </c>
      <c r="G1777" s="474" t="s">
        <v>295</v>
      </c>
      <c r="H1777" s="210" t="s">
        <v>296</v>
      </c>
      <c r="I1777" s="210"/>
      <c r="J1777" s="513">
        <v>-1622775</v>
      </c>
      <c r="K1777" s="513">
        <v>-1155</v>
      </c>
      <c r="L1777" s="513">
        <v>1405</v>
      </c>
      <c r="M1777" s="513" t="s">
        <v>5975</v>
      </c>
      <c r="N1777" s="513" t="s">
        <v>1566</v>
      </c>
      <c r="O1777" s="513" t="s">
        <v>1407</v>
      </c>
      <c r="P1777" s="518" t="s">
        <v>6003</v>
      </c>
      <c r="Q1777" s="152" t="s">
        <v>5895</v>
      </c>
      <c r="R1777" s="152" t="s">
        <v>6004</v>
      </c>
      <c r="S1777" s="152" t="s">
        <v>5998</v>
      </c>
      <c r="T1777" s="152" t="s">
        <v>6005</v>
      </c>
      <c r="U1777" s="152" t="s">
        <v>786</v>
      </c>
    </row>
    <row r="1778" spans="4:21">
      <c r="D1778" s="152" t="s">
        <v>2821</v>
      </c>
      <c r="G1778" s="474" t="s">
        <v>295</v>
      </c>
      <c r="H1778" s="210" t="s">
        <v>296</v>
      </c>
      <c r="I1778" s="210"/>
      <c r="J1778" s="513">
        <v>-3245550</v>
      </c>
      <c r="K1778" s="513">
        <v>-2310</v>
      </c>
      <c r="L1778" s="513">
        <v>1405</v>
      </c>
      <c r="M1778" s="513" t="s">
        <v>6059</v>
      </c>
      <c r="N1778" s="513" t="s">
        <v>1566</v>
      </c>
      <c r="O1778" s="513" t="s">
        <v>1407</v>
      </c>
      <c r="P1778" s="518" t="s">
        <v>6218</v>
      </c>
      <c r="Q1778" s="152" t="s">
        <v>5895</v>
      </c>
      <c r="R1778" s="152" t="s">
        <v>6219</v>
      </c>
      <c r="S1778" s="152" t="s">
        <v>6220</v>
      </c>
      <c r="T1778" s="152" t="s">
        <v>6221</v>
      </c>
      <c r="U1778" s="152" t="s">
        <v>786</v>
      </c>
    </row>
    <row r="1779" spans="4:21">
      <c r="D1779" s="152" t="s">
        <v>2821</v>
      </c>
      <c r="G1779" s="474" t="s">
        <v>295</v>
      </c>
      <c r="H1779" s="210" t="s">
        <v>296</v>
      </c>
      <c r="I1779" s="210"/>
      <c r="J1779" s="513">
        <v>-4134212.5</v>
      </c>
      <c r="K1779" s="513">
        <v>-2942.5</v>
      </c>
      <c r="L1779" s="513">
        <v>1405</v>
      </c>
      <c r="M1779" s="513" t="s">
        <v>6059</v>
      </c>
      <c r="N1779" s="513" t="s">
        <v>1566</v>
      </c>
      <c r="O1779" s="513" t="s">
        <v>1407</v>
      </c>
      <c r="P1779" s="518" t="s">
        <v>6222</v>
      </c>
      <c r="Q1779" s="152" t="s">
        <v>5895</v>
      </c>
      <c r="R1779" s="152" t="s">
        <v>6223</v>
      </c>
      <c r="S1779" s="152" t="s">
        <v>6220</v>
      </c>
      <c r="T1779" s="152" t="s">
        <v>6224</v>
      </c>
      <c r="U1779" s="152" t="s">
        <v>786</v>
      </c>
    </row>
    <row r="1780" spans="4:21">
      <c r="D1780" s="152" t="s">
        <v>2821</v>
      </c>
      <c r="G1780" s="474" t="s">
        <v>295</v>
      </c>
      <c r="H1780" s="210" t="s">
        <v>296</v>
      </c>
      <c r="I1780" s="210"/>
      <c r="J1780" s="513">
        <v>-2588712.5</v>
      </c>
      <c r="K1780" s="513">
        <v>-1842.5</v>
      </c>
      <c r="L1780" s="513">
        <v>1405</v>
      </c>
      <c r="M1780" s="513" t="s">
        <v>6059</v>
      </c>
      <c r="N1780" s="513" t="s">
        <v>1566</v>
      </c>
      <c r="O1780" s="513" t="s">
        <v>1407</v>
      </c>
      <c r="P1780" s="518" t="s">
        <v>6225</v>
      </c>
      <c r="Q1780" s="152" t="s">
        <v>5895</v>
      </c>
      <c r="R1780" s="152" t="s">
        <v>6226</v>
      </c>
      <c r="S1780" s="152" t="s">
        <v>6227</v>
      </c>
      <c r="T1780" s="152" t="s">
        <v>6228</v>
      </c>
      <c r="U1780" s="152" t="s">
        <v>786</v>
      </c>
    </row>
    <row r="1781" spans="4:21">
      <c r="D1781" s="152" t="s">
        <v>2821</v>
      </c>
      <c r="G1781" s="474" t="s">
        <v>295</v>
      </c>
      <c r="H1781" s="210" t="s">
        <v>296</v>
      </c>
      <c r="I1781" s="210"/>
      <c r="J1781" s="513">
        <v>-2163700</v>
      </c>
      <c r="K1781" s="513">
        <v>-1540</v>
      </c>
      <c r="L1781" s="513">
        <v>1405</v>
      </c>
      <c r="M1781" s="513" t="s">
        <v>6059</v>
      </c>
      <c r="N1781" s="513" t="s">
        <v>1566</v>
      </c>
      <c r="O1781" s="513" t="s">
        <v>1407</v>
      </c>
      <c r="P1781" s="518" t="s">
        <v>6229</v>
      </c>
      <c r="Q1781" s="152" t="s">
        <v>5895</v>
      </c>
      <c r="R1781" s="152" t="s">
        <v>6230</v>
      </c>
      <c r="S1781" s="152" t="s">
        <v>6227</v>
      </c>
      <c r="T1781" s="152" t="s">
        <v>6231</v>
      </c>
      <c r="U1781" s="152" t="s">
        <v>786</v>
      </c>
    </row>
    <row r="1782" spans="4:21">
      <c r="D1782" s="152" t="s">
        <v>2821</v>
      </c>
      <c r="G1782" s="474" t="s">
        <v>295</v>
      </c>
      <c r="H1782" s="210" t="s">
        <v>296</v>
      </c>
      <c r="I1782" s="210"/>
      <c r="J1782" s="513">
        <v>-1854600</v>
      </c>
      <c r="K1782" s="513">
        <v>-1320</v>
      </c>
      <c r="L1782" s="513">
        <v>1405</v>
      </c>
      <c r="M1782" s="513" t="s">
        <v>6059</v>
      </c>
      <c r="N1782" s="513" t="s">
        <v>1566</v>
      </c>
      <c r="O1782" s="513" t="s">
        <v>1407</v>
      </c>
      <c r="P1782" s="518" t="s">
        <v>6232</v>
      </c>
      <c r="Q1782" s="152" t="s">
        <v>5895</v>
      </c>
      <c r="R1782" s="152" t="s">
        <v>6233</v>
      </c>
      <c r="S1782" s="152" t="s">
        <v>6227</v>
      </c>
      <c r="T1782" s="152" t="s">
        <v>6234</v>
      </c>
      <c r="U1782" s="152" t="s">
        <v>786</v>
      </c>
    </row>
    <row r="1783" spans="4:21">
      <c r="D1783" s="152" t="s">
        <v>2821</v>
      </c>
      <c r="G1783" s="474" t="s">
        <v>295</v>
      </c>
      <c r="H1783" s="210" t="s">
        <v>296</v>
      </c>
      <c r="I1783" s="210"/>
      <c r="J1783" s="513">
        <v>-1931875</v>
      </c>
      <c r="K1783" s="513">
        <v>-1375</v>
      </c>
      <c r="L1783" s="513">
        <v>1405</v>
      </c>
      <c r="M1783" s="513" t="s">
        <v>6059</v>
      </c>
      <c r="N1783" s="513" t="s">
        <v>1566</v>
      </c>
      <c r="O1783" s="513" t="s">
        <v>1407</v>
      </c>
      <c r="P1783" s="518" t="s">
        <v>6235</v>
      </c>
      <c r="Q1783" s="152" t="s">
        <v>5895</v>
      </c>
      <c r="R1783" s="152" t="s">
        <v>6236</v>
      </c>
      <c r="S1783" s="152" t="s">
        <v>6227</v>
      </c>
      <c r="T1783" s="152" t="s">
        <v>6237</v>
      </c>
      <c r="U1783" s="152" t="s">
        <v>786</v>
      </c>
    </row>
    <row r="1784" spans="4:21">
      <c r="D1784" s="152" t="s">
        <v>2821</v>
      </c>
      <c r="G1784" s="474" t="s">
        <v>295</v>
      </c>
      <c r="H1784" s="210" t="s">
        <v>296</v>
      </c>
      <c r="I1784" s="210"/>
      <c r="J1784" s="513">
        <v>-1815962.5</v>
      </c>
      <c r="K1784" s="513">
        <v>-1292.5</v>
      </c>
      <c r="L1784" s="513">
        <v>1405</v>
      </c>
      <c r="M1784" s="513" t="s">
        <v>6059</v>
      </c>
      <c r="N1784" s="513" t="s">
        <v>1566</v>
      </c>
      <c r="O1784" s="513" t="s">
        <v>1407</v>
      </c>
      <c r="P1784" s="518" t="s">
        <v>6238</v>
      </c>
      <c r="Q1784" s="152" t="s">
        <v>5895</v>
      </c>
      <c r="R1784" s="152" t="s">
        <v>6239</v>
      </c>
      <c r="S1784" s="152" t="s">
        <v>6240</v>
      </c>
      <c r="T1784" s="152" t="s">
        <v>6241</v>
      </c>
      <c r="U1784" s="152" t="s">
        <v>786</v>
      </c>
    </row>
    <row r="1785" spans="4:21">
      <c r="D1785" s="152" t="s">
        <v>2821</v>
      </c>
      <c r="G1785" s="474" t="s">
        <v>295</v>
      </c>
      <c r="H1785" s="210" t="s">
        <v>296</v>
      </c>
      <c r="I1785" s="210"/>
      <c r="J1785" s="513">
        <v>-2975087.5</v>
      </c>
      <c r="K1785" s="513">
        <v>-2117.5</v>
      </c>
      <c r="L1785" s="513">
        <v>1405</v>
      </c>
      <c r="M1785" s="513" t="s">
        <v>6059</v>
      </c>
      <c r="N1785" s="513" t="s">
        <v>1566</v>
      </c>
      <c r="O1785" s="513" t="s">
        <v>1407</v>
      </c>
      <c r="P1785" s="518" t="s">
        <v>6242</v>
      </c>
      <c r="Q1785" s="152" t="s">
        <v>5895</v>
      </c>
      <c r="R1785" s="152" t="s">
        <v>6243</v>
      </c>
      <c r="S1785" s="152" t="s">
        <v>6240</v>
      </c>
      <c r="T1785" s="152" t="s">
        <v>6244</v>
      </c>
      <c r="U1785" s="152" t="s">
        <v>786</v>
      </c>
    </row>
    <row r="1786" spans="4:21">
      <c r="D1786" s="152" t="s">
        <v>2821</v>
      </c>
      <c r="G1786" s="474" t="s">
        <v>295</v>
      </c>
      <c r="H1786" s="210" t="s">
        <v>296</v>
      </c>
      <c r="I1786" s="210"/>
      <c r="J1786" s="513">
        <v>-425012.5</v>
      </c>
      <c r="K1786" s="513">
        <v>-302.5</v>
      </c>
      <c r="L1786" s="513">
        <v>1405</v>
      </c>
      <c r="M1786" s="513" t="s">
        <v>6059</v>
      </c>
      <c r="N1786" s="513" t="s">
        <v>1566</v>
      </c>
      <c r="O1786" s="513" t="s">
        <v>1407</v>
      </c>
      <c r="P1786" s="518" t="s">
        <v>6245</v>
      </c>
      <c r="Q1786" s="152" t="s">
        <v>5895</v>
      </c>
      <c r="R1786" s="152" t="s">
        <v>6246</v>
      </c>
      <c r="S1786" s="152" t="s">
        <v>6240</v>
      </c>
      <c r="T1786" s="152" t="s">
        <v>6247</v>
      </c>
      <c r="U1786" s="152" t="s">
        <v>786</v>
      </c>
    </row>
    <row r="1787" spans="4:21">
      <c r="D1787" s="152" t="s">
        <v>2821</v>
      </c>
      <c r="G1787" s="474" t="s">
        <v>295</v>
      </c>
      <c r="H1787" s="210" t="s">
        <v>296</v>
      </c>
      <c r="I1787" s="210"/>
      <c r="J1787" s="513">
        <v>-695475</v>
      </c>
      <c r="K1787" s="513">
        <v>-495</v>
      </c>
      <c r="L1787" s="513">
        <v>1405</v>
      </c>
      <c r="M1787" s="513" t="s">
        <v>6059</v>
      </c>
      <c r="N1787" s="513" t="s">
        <v>1566</v>
      </c>
      <c r="O1787" s="513" t="s">
        <v>1407</v>
      </c>
      <c r="P1787" s="518" t="s">
        <v>6248</v>
      </c>
      <c r="Q1787" s="152" t="s">
        <v>5895</v>
      </c>
      <c r="R1787" s="152" t="s">
        <v>6249</v>
      </c>
      <c r="S1787" s="152" t="s">
        <v>6240</v>
      </c>
      <c r="T1787" s="152" t="s">
        <v>6250</v>
      </c>
      <c r="U1787" s="152" t="s">
        <v>786</v>
      </c>
    </row>
    <row r="1788" spans="4:21">
      <c r="D1788" s="152" t="s">
        <v>2821</v>
      </c>
      <c r="G1788" s="474" t="s">
        <v>295</v>
      </c>
      <c r="H1788" s="210" t="s">
        <v>296</v>
      </c>
      <c r="I1788" s="210"/>
      <c r="J1788" s="513">
        <v>-386375</v>
      </c>
      <c r="K1788" s="513">
        <v>-275</v>
      </c>
      <c r="L1788" s="513">
        <v>1405</v>
      </c>
      <c r="M1788" s="513" t="s">
        <v>6059</v>
      </c>
      <c r="N1788" s="513" t="s">
        <v>1566</v>
      </c>
      <c r="O1788" s="513" t="s">
        <v>1407</v>
      </c>
      <c r="P1788" s="518" t="s">
        <v>6251</v>
      </c>
      <c r="Q1788" s="152" t="s">
        <v>5895</v>
      </c>
      <c r="R1788" s="152" t="s">
        <v>6252</v>
      </c>
      <c r="S1788" s="152" t="s">
        <v>6240</v>
      </c>
      <c r="T1788" s="152" t="s">
        <v>6253</v>
      </c>
      <c r="U1788" s="152" t="s">
        <v>786</v>
      </c>
    </row>
    <row r="1789" spans="4:21">
      <c r="D1789" s="152" t="s">
        <v>2821</v>
      </c>
      <c r="G1789" s="474" t="s">
        <v>295</v>
      </c>
      <c r="H1789" s="210" t="s">
        <v>296</v>
      </c>
      <c r="I1789" s="210"/>
      <c r="J1789" s="513">
        <v>-1854600</v>
      </c>
      <c r="K1789" s="513">
        <v>-1320</v>
      </c>
      <c r="L1789" s="513">
        <v>1405</v>
      </c>
      <c r="M1789" s="513" t="s">
        <v>6059</v>
      </c>
      <c r="N1789" s="513" t="s">
        <v>1566</v>
      </c>
      <c r="O1789" s="513" t="s">
        <v>1407</v>
      </c>
      <c r="P1789" s="518" t="s">
        <v>6254</v>
      </c>
      <c r="Q1789" s="152" t="s">
        <v>5895</v>
      </c>
      <c r="R1789" s="152" t="s">
        <v>6255</v>
      </c>
      <c r="S1789" s="152" t="s">
        <v>6240</v>
      </c>
      <c r="T1789" s="152" t="s">
        <v>6256</v>
      </c>
      <c r="U1789" s="152" t="s">
        <v>786</v>
      </c>
    </row>
    <row r="1790" spans="4:21">
      <c r="D1790" s="152" t="s">
        <v>2821</v>
      </c>
      <c r="G1790" s="474" t="s">
        <v>295</v>
      </c>
      <c r="H1790" s="210" t="s">
        <v>296</v>
      </c>
      <c r="I1790" s="210"/>
      <c r="J1790" s="513">
        <v>-1352312.5</v>
      </c>
      <c r="K1790" s="513">
        <v>-962.5</v>
      </c>
      <c r="L1790" s="513">
        <v>1405</v>
      </c>
      <c r="M1790" s="513" t="s">
        <v>6059</v>
      </c>
      <c r="N1790" s="513" t="s">
        <v>1566</v>
      </c>
      <c r="O1790" s="513" t="s">
        <v>1407</v>
      </c>
      <c r="P1790" s="518" t="s">
        <v>6257</v>
      </c>
      <c r="Q1790" s="152" t="s">
        <v>5895</v>
      </c>
      <c r="R1790" s="152" t="s">
        <v>6258</v>
      </c>
      <c r="S1790" s="152" t="s">
        <v>6259</v>
      </c>
      <c r="T1790" s="152" t="s">
        <v>6260</v>
      </c>
      <c r="U1790" s="152" t="s">
        <v>786</v>
      </c>
    </row>
    <row r="1791" spans="4:21">
      <c r="D1791" s="152" t="s">
        <v>2821</v>
      </c>
      <c r="G1791" s="474" t="s">
        <v>295</v>
      </c>
      <c r="H1791" s="210" t="s">
        <v>296</v>
      </c>
      <c r="I1791" s="210"/>
      <c r="J1791" s="513">
        <v>-1275037.5</v>
      </c>
      <c r="K1791" s="513">
        <v>-907.5</v>
      </c>
      <c r="L1791" s="513">
        <v>1405</v>
      </c>
      <c r="M1791" s="513" t="s">
        <v>6059</v>
      </c>
      <c r="N1791" s="513" t="s">
        <v>1566</v>
      </c>
      <c r="O1791" s="513" t="s">
        <v>1407</v>
      </c>
      <c r="P1791" s="518" t="s">
        <v>6261</v>
      </c>
      <c r="Q1791" s="152" t="s">
        <v>5895</v>
      </c>
      <c r="R1791" s="152" t="s">
        <v>6262</v>
      </c>
      <c r="S1791" s="152" t="s">
        <v>6259</v>
      </c>
      <c r="T1791" s="152" t="s">
        <v>6263</v>
      </c>
      <c r="U1791" s="152" t="s">
        <v>786</v>
      </c>
    </row>
    <row r="1792" spans="4:21">
      <c r="D1792" s="152" t="s">
        <v>2821</v>
      </c>
      <c r="G1792" s="474" t="s">
        <v>295</v>
      </c>
      <c r="H1792" s="210" t="s">
        <v>296</v>
      </c>
      <c r="I1792" s="210"/>
      <c r="J1792" s="513">
        <v>-1390950</v>
      </c>
      <c r="K1792" s="513">
        <v>-990</v>
      </c>
      <c r="L1792" s="513">
        <v>1405</v>
      </c>
      <c r="M1792" s="513" t="s">
        <v>6059</v>
      </c>
      <c r="N1792" s="513" t="s">
        <v>1566</v>
      </c>
      <c r="O1792" s="513" t="s">
        <v>1407</v>
      </c>
      <c r="P1792" s="518" t="s">
        <v>6264</v>
      </c>
      <c r="Q1792" s="152" t="s">
        <v>5895</v>
      </c>
      <c r="R1792" s="152" t="s">
        <v>6265</v>
      </c>
      <c r="S1792" s="152" t="s">
        <v>6259</v>
      </c>
      <c r="T1792" s="152" t="s">
        <v>6266</v>
      </c>
      <c r="U1792" s="152" t="s">
        <v>786</v>
      </c>
    </row>
    <row r="1793" spans="4:21">
      <c r="D1793" s="152" t="s">
        <v>2821</v>
      </c>
      <c r="G1793" s="474" t="s">
        <v>295</v>
      </c>
      <c r="H1793" s="210" t="s">
        <v>296</v>
      </c>
      <c r="I1793" s="210"/>
      <c r="J1793" s="513">
        <v>-1429587.5</v>
      </c>
      <c r="K1793" s="513">
        <v>-1017.5</v>
      </c>
      <c r="L1793" s="513">
        <v>1405</v>
      </c>
      <c r="M1793" s="513" t="s">
        <v>6059</v>
      </c>
      <c r="N1793" s="513" t="s">
        <v>1566</v>
      </c>
      <c r="O1793" s="513" t="s">
        <v>1407</v>
      </c>
      <c r="P1793" s="518" t="s">
        <v>6267</v>
      </c>
      <c r="Q1793" s="152" t="s">
        <v>5895</v>
      </c>
      <c r="R1793" s="152" t="s">
        <v>6268</v>
      </c>
      <c r="S1793" s="152" t="s">
        <v>6259</v>
      </c>
      <c r="T1793" s="152" t="s">
        <v>6269</v>
      </c>
      <c r="U1793" s="152" t="s">
        <v>786</v>
      </c>
    </row>
    <row r="1794" spans="4:21">
      <c r="D1794" s="152" t="s">
        <v>2821</v>
      </c>
      <c r="G1794" s="474" t="s">
        <v>295</v>
      </c>
      <c r="H1794" s="210" t="s">
        <v>296</v>
      </c>
      <c r="I1794" s="210"/>
      <c r="J1794" s="513">
        <v>-2550075</v>
      </c>
      <c r="K1794" s="513">
        <v>-1815</v>
      </c>
      <c r="L1794" s="513">
        <v>1405</v>
      </c>
      <c r="M1794" s="513" t="s">
        <v>6303</v>
      </c>
      <c r="N1794" s="513" t="s">
        <v>1566</v>
      </c>
      <c r="O1794" s="513" t="s">
        <v>1407</v>
      </c>
      <c r="P1794" s="518" t="s">
        <v>6574</v>
      </c>
      <c r="Q1794" s="152" t="s">
        <v>5895</v>
      </c>
      <c r="R1794" s="152" t="s">
        <v>6575</v>
      </c>
      <c r="S1794" s="152" t="s">
        <v>6576</v>
      </c>
      <c r="T1794" s="152" t="s">
        <v>6577</v>
      </c>
      <c r="U1794" s="152" t="s">
        <v>786</v>
      </c>
    </row>
    <row r="1795" spans="4:21">
      <c r="D1795" s="152" t="s">
        <v>2821</v>
      </c>
      <c r="G1795" s="474" t="s">
        <v>295</v>
      </c>
      <c r="H1795" s="210" t="s">
        <v>296</v>
      </c>
      <c r="I1795" s="210"/>
      <c r="J1795" s="513">
        <v>-3631925</v>
      </c>
      <c r="K1795" s="513">
        <v>-2585</v>
      </c>
      <c r="L1795" s="513">
        <v>1405</v>
      </c>
      <c r="M1795" s="513" t="s">
        <v>6303</v>
      </c>
      <c r="N1795" s="513" t="s">
        <v>1566</v>
      </c>
      <c r="O1795" s="513" t="s">
        <v>1407</v>
      </c>
      <c r="P1795" s="518" t="s">
        <v>6578</v>
      </c>
      <c r="Q1795" s="152" t="s">
        <v>5895</v>
      </c>
      <c r="R1795" s="152" t="s">
        <v>6579</v>
      </c>
      <c r="S1795" s="152" t="s">
        <v>6576</v>
      </c>
      <c r="T1795" s="152" t="s">
        <v>6580</v>
      </c>
      <c r="U1795" s="152" t="s">
        <v>786</v>
      </c>
    </row>
    <row r="1796" spans="4:21">
      <c r="D1796" s="152" t="s">
        <v>2821</v>
      </c>
      <c r="G1796" s="474" t="s">
        <v>295</v>
      </c>
      <c r="H1796" s="210" t="s">
        <v>296</v>
      </c>
      <c r="I1796" s="210"/>
      <c r="J1796" s="513">
        <v>-3245550</v>
      </c>
      <c r="K1796" s="513">
        <v>-2310</v>
      </c>
      <c r="L1796" s="513">
        <v>1405</v>
      </c>
      <c r="M1796" s="513" t="s">
        <v>6303</v>
      </c>
      <c r="N1796" s="513" t="s">
        <v>1566</v>
      </c>
      <c r="O1796" s="513" t="s">
        <v>1407</v>
      </c>
      <c r="P1796" s="518" t="s">
        <v>6581</v>
      </c>
      <c r="Q1796" s="152" t="s">
        <v>5895</v>
      </c>
      <c r="R1796" s="152" t="s">
        <v>6582</v>
      </c>
      <c r="S1796" s="152" t="s">
        <v>6576</v>
      </c>
      <c r="T1796" s="152" t="s">
        <v>6583</v>
      </c>
      <c r="U1796" s="152" t="s">
        <v>786</v>
      </c>
    </row>
    <row r="1797" spans="4:21">
      <c r="D1797" s="152" t="s">
        <v>2821</v>
      </c>
      <c r="G1797" s="474" t="s">
        <v>295</v>
      </c>
      <c r="H1797" s="210" t="s">
        <v>296</v>
      </c>
      <c r="I1797" s="210"/>
      <c r="J1797" s="513">
        <v>-2047787.5</v>
      </c>
      <c r="K1797" s="513">
        <v>-1457.5</v>
      </c>
      <c r="L1797" s="513">
        <v>1405</v>
      </c>
      <c r="M1797" s="513" t="s">
        <v>6303</v>
      </c>
      <c r="N1797" s="513" t="s">
        <v>1566</v>
      </c>
      <c r="O1797" s="513" t="s">
        <v>1407</v>
      </c>
      <c r="P1797" s="518" t="s">
        <v>6584</v>
      </c>
      <c r="Q1797" s="152" t="s">
        <v>5895</v>
      </c>
      <c r="R1797" s="152" t="s">
        <v>6585</v>
      </c>
      <c r="S1797" s="152" t="s">
        <v>6576</v>
      </c>
      <c r="T1797" s="152" t="s">
        <v>6586</v>
      </c>
      <c r="U1797" s="152" t="s">
        <v>786</v>
      </c>
    </row>
    <row r="1798" spans="4:21">
      <c r="D1798" s="152" t="s">
        <v>2821</v>
      </c>
      <c r="G1798" s="474" t="s">
        <v>295</v>
      </c>
      <c r="H1798" s="210" t="s">
        <v>296</v>
      </c>
      <c r="I1798" s="210"/>
      <c r="J1798" s="513">
        <v>-8500250</v>
      </c>
      <c r="K1798" s="513">
        <v>-6050</v>
      </c>
      <c r="L1798" s="513">
        <v>1405</v>
      </c>
      <c r="M1798" s="513" t="s">
        <v>6303</v>
      </c>
      <c r="N1798" s="513" t="s">
        <v>1566</v>
      </c>
      <c r="O1798" s="513" t="s">
        <v>1407</v>
      </c>
      <c r="P1798" s="518" t="s">
        <v>6587</v>
      </c>
      <c r="Q1798" s="152" t="s">
        <v>5895</v>
      </c>
      <c r="R1798" s="152" t="s">
        <v>6588</v>
      </c>
      <c r="S1798" s="152" t="s">
        <v>6589</v>
      </c>
      <c r="T1798" s="152" t="s">
        <v>6590</v>
      </c>
      <c r="U1798" s="152" t="s">
        <v>786</v>
      </c>
    </row>
    <row r="1799" spans="4:21">
      <c r="D1799" s="152" t="s">
        <v>2821</v>
      </c>
      <c r="G1799" s="474" t="s">
        <v>295</v>
      </c>
      <c r="H1799" s="210" t="s">
        <v>296</v>
      </c>
      <c r="I1799" s="210"/>
      <c r="J1799" s="513">
        <v>-2588712.5</v>
      </c>
      <c r="K1799" s="513">
        <v>-1842.5</v>
      </c>
      <c r="L1799" s="513">
        <v>1405</v>
      </c>
      <c r="M1799" s="513" t="s">
        <v>6303</v>
      </c>
      <c r="N1799" s="513" t="s">
        <v>1566</v>
      </c>
      <c r="O1799" s="513" t="s">
        <v>1407</v>
      </c>
      <c r="P1799" s="518" t="s">
        <v>6591</v>
      </c>
      <c r="Q1799" s="152" t="s">
        <v>5895</v>
      </c>
      <c r="R1799" s="152" t="s">
        <v>6592</v>
      </c>
      <c r="S1799" s="152" t="s">
        <v>6589</v>
      </c>
      <c r="T1799" s="152" t="s">
        <v>6593</v>
      </c>
      <c r="U1799" s="152" t="s">
        <v>786</v>
      </c>
    </row>
    <row r="1800" spans="4:21">
      <c r="D1800" s="152" t="s">
        <v>2821</v>
      </c>
      <c r="G1800" s="474" t="s">
        <v>295</v>
      </c>
      <c r="H1800" s="210" t="s">
        <v>296</v>
      </c>
      <c r="I1800" s="210"/>
      <c r="J1800" s="513">
        <v>-3941025</v>
      </c>
      <c r="K1800" s="513">
        <v>-2805</v>
      </c>
      <c r="L1800" s="513">
        <v>1405</v>
      </c>
      <c r="M1800" s="513" t="s">
        <v>6303</v>
      </c>
      <c r="N1800" s="513" t="s">
        <v>1566</v>
      </c>
      <c r="O1800" s="513" t="s">
        <v>1407</v>
      </c>
      <c r="P1800" s="518" t="s">
        <v>6594</v>
      </c>
      <c r="Q1800" s="152" t="s">
        <v>5895</v>
      </c>
      <c r="R1800" s="152" t="s">
        <v>6595</v>
      </c>
      <c r="S1800" s="152" t="s">
        <v>6589</v>
      </c>
      <c r="T1800" s="152" t="s">
        <v>6596</v>
      </c>
      <c r="U1800" s="152" t="s">
        <v>786</v>
      </c>
    </row>
    <row r="1801" spans="4:21">
      <c r="D1801" s="152" t="s">
        <v>2821</v>
      </c>
      <c r="G1801" s="474" t="s">
        <v>295</v>
      </c>
      <c r="H1801" s="210" t="s">
        <v>296</v>
      </c>
      <c r="I1801" s="210"/>
      <c r="J1801" s="513">
        <v>-5370612.5</v>
      </c>
      <c r="K1801" s="513">
        <v>-3822.5</v>
      </c>
      <c r="L1801" s="513">
        <v>1405</v>
      </c>
      <c r="M1801" s="513" t="s">
        <v>6303</v>
      </c>
      <c r="N1801" s="513" t="s">
        <v>1566</v>
      </c>
      <c r="O1801" s="513" t="s">
        <v>1407</v>
      </c>
      <c r="P1801" s="518" t="s">
        <v>6597</v>
      </c>
      <c r="Q1801" s="152" t="s">
        <v>5895</v>
      </c>
      <c r="R1801" s="152" t="s">
        <v>6598</v>
      </c>
      <c r="S1801" s="152" t="s">
        <v>6589</v>
      </c>
      <c r="T1801" s="152" t="s">
        <v>6599</v>
      </c>
      <c r="U1801" s="152" t="s">
        <v>786</v>
      </c>
    </row>
    <row r="1802" spans="4:21">
      <c r="D1802" s="152" t="s">
        <v>2821</v>
      </c>
      <c r="G1802" s="474" t="s">
        <v>295</v>
      </c>
      <c r="H1802" s="210" t="s">
        <v>296</v>
      </c>
      <c r="I1802" s="210"/>
      <c r="J1802" s="513">
        <v>-1777325</v>
      </c>
      <c r="K1802" s="513">
        <v>-1265</v>
      </c>
      <c r="L1802" s="513">
        <v>1405</v>
      </c>
      <c r="M1802" s="513" t="s">
        <v>6303</v>
      </c>
      <c r="N1802" s="513" t="s">
        <v>1566</v>
      </c>
      <c r="O1802" s="513" t="s">
        <v>1407</v>
      </c>
      <c r="P1802" s="518" t="s">
        <v>6600</v>
      </c>
      <c r="Q1802" s="152" t="s">
        <v>5895</v>
      </c>
      <c r="R1802" s="152" t="s">
        <v>6601</v>
      </c>
      <c r="S1802" s="152" t="s">
        <v>6589</v>
      </c>
      <c r="T1802" s="152" t="s">
        <v>6602</v>
      </c>
      <c r="U1802" s="152" t="s">
        <v>786</v>
      </c>
    </row>
    <row r="1803" spans="4:21">
      <c r="D1803" s="152" t="s">
        <v>2821</v>
      </c>
      <c r="G1803" s="474" t="s">
        <v>295</v>
      </c>
      <c r="H1803" s="210" t="s">
        <v>296</v>
      </c>
      <c r="I1803" s="210"/>
      <c r="J1803" s="513">
        <v>-4390633.1500000004</v>
      </c>
      <c r="K1803" s="513">
        <v>-3125.00580071174</v>
      </c>
      <c r="L1803" s="513">
        <v>1405</v>
      </c>
      <c r="M1803" s="513" t="s">
        <v>6303</v>
      </c>
      <c r="N1803" s="513" t="s">
        <v>1566</v>
      </c>
      <c r="O1803" s="513" t="s">
        <v>1407</v>
      </c>
      <c r="P1803" s="518" t="s">
        <v>6610</v>
      </c>
      <c r="Q1803" s="152" t="s">
        <v>5895</v>
      </c>
      <c r="R1803" s="152" t="s">
        <v>6611</v>
      </c>
      <c r="S1803" s="152" t="s">
        <v>6612</v>
      </c>
      <c r="T1803" s="152" t="s">
        <v>6613</v>
      </c>
      <c r="U1803" s="152" t="s">
        <v>786</v>
      </c>
    </row>
    <row r="1804" spans="4:21">
      <c r="D1804" s="152" t="s">
        <v>2821</v>
      </c>
      <c r="G1804" s="474" t="s">
        <v>295</v>
      </c>
      <c r="H1804" s="210" t="s">
        <v>296</v>
      </c>
      <c r="I1804" s="210"/>
      <c r="J1804" s="513">
        <v>-2883761.1</v>
      </c>
      <c r="K1804" s="513">
        <v>-2052.4990035587198</v>
      </c>
      <c r="L1804" s="513">
        <v>1405</v>
      </c>
      <c r="M1804" s="513" t="s">
        <v>6303</v>
      </c>
      <c r="N1804" s="513" t="s">
        <v>1566</v>
      </c>
      <c r="O1804" s="513" t="s">
        <v>1407</v>
      </c>
      <c r="P1804" s="518" t="s">
        <v>6614</v>
      </c>
      <c r="Q1804" s="152" t="s">
        <v>5895</v>
      </c>
      <c r="R1804" s="152" t="s">
        <v>6615</v>
      </c>
      <c r="S1804" s="152" t="s">
        <v>6612</v>
      </c>
      <c r="T1804" s="152" t="s">
        <v>6616</v>
      </c>
      <c r="U1804" s="152" t="s">
        <v>786</v>
      </c>
    </row>
    <row r="1805" spans="4:21">
      <c r="D1805" s="152" t="s">
        <v>2821</v>
      </c>
      <c r="G1805" s="474" t="s">
        <v>295</v>
      </c>
      <c r="H1805" s="210" t="s">
        <v>296</v>
      </c>
      <c r="I1805" s="210"/>
      <c r="J1805" s="513">
        <v>-2149650</v>
      </c>
      <c r="K1805" s="513">
        <v>-1530</v>
      </c>
      <c r="L1805" s="513">
        <v>1405</v>
      </c>
      <c r="M1805" s="513" t="s">
        <v>6303</v>
      </c>
      <c r="N1805" s="513" t="s">
        <v>1566</v>
      </c>
      <c r="O1805" s="513" t="s">
        <v>1407</v>
      </c>
      <c r="P1805" s="518" t="s">
        <v>6617</v>
      </c>
      <c r="Q1805" s="152" t="s">
        <v>5895</v>
      </c>
      <c r="R1805" s="152" t="s">
        <v>6618</v>
      </c>
      <c r="S1805" s="152" t="s">
        <v>6612</v>
      </c>
      <c r="T1805" s="152" t="s">
        <v>6619</v>
      </c>
      <c r="U1805" s="152" t="s">
        <v>786</v>
      </c>
    </row>
    <row r="1806" spans="4:21">
      <c r="D1806" s="152" t="s">
        <v>2821</v>
      </c>
      <c r="G1806" s="474" t="s">
        <v>295</v>
      </c>
      <c r="H1806" s="210" t="s">
        <v>296</v>
      </c>
      <c r="I1806" s="210"/>
      <c r="J1806" s="513">
        <v>-2356887.5</v>
      </c>
      <c r="K1806" s="513">
        <v>-1677.5</v>
      </c>
      <c r="L1806" s="513">
        <v>1405</v>
      </c>
      <c r="M1806" s="513" t="s">
        <v>6303</v>
      </c>
      <c r="N1806" s="513" t="s">
        <v>1566</v>
      </c>
      <c r="O1806" s="513" t="s">
        <v>1407</v>
      </c>
      <c r="P1806" s="518" t="s">
        <v>6620</v>
      </c>
      <c r="Q1806" s="152" t="s">
        <v>5895</v>
      </c>
      <c r="R1806" s="152" t="s">
        <v>6621</v>
      </c>
      <c r="S1806" s="152" t="s">
        <v>6612</v>
      </c>
      <c r="T1806" s="152" t="s">
        <v>6622</v>
      </c>
      <c r="U1806" s="152" t="s">
        <v>786</v>
      </c>
    </row>
    <row r="1807" spans="4:21">
      <c r="D1807" s="152" t="s">
        <v>2821</v>
      </c>
      <c r="G1807" s="474" t="s">
        <v>295</v>
      </c>
      <c r="H1807" s="210" t="s">
        <v>296</v>
      </c>
      <c r="I1807" s="210"/>
      <c r="J1807" s="513">
        <v>-2304200</v>
      </c>
      <c r="K1807" s="513">
        <v>-1640</v>
      </c>
      <c r="L1807" s="513">
        <v>1405</v>
      </c>
      <c r="M1807" s="513" t="s">
        <v>6303</v>
      </c>
      <c r="N1807" s="513" t="s">
        <v>1566</v>
      </c>
      <c r="O1807" s="513" t="s">
        <v>1407</v>
      </c>
      <c r="P1807" s="518" t="s">
        <v>6623</v>
      </c>
      <c r="Q1807" s="152" t="s">
        <v>5895</v>
      </c>
      <c r="R1807" s="152" t="s">
        <v>6624</v>
      </c>
      <c r="S1807" s="152" t="s">
        <v>6612</v>
      </c>
      <c r="T1807" s="152" t="s">
        <v>6625</v>
      </c>
      <c r="U1807" s="152" t="s">
        <v>786</v>
      </c>
    </row>
    <row r="1808" spans="4:21">
      <c r="D1808" s="152" t="s">
        <v>2821</v>
      </c>
      <c r="G1808" s="474" t="s">
        <v>295</v>
      </c>
      <c r="H1808" s="210" t="s">
        <v>296</v>
      </c>
      <c r="I1808" s="210"/>
      <c r="J1808" s="513">
        <v>-3270139.33</v>
      </c>
      <c r="K1808" s="513">
        <v>-2327.5013024911</v>
      </c>
      <c r="L1808" s="513">
        <v>1405</v>
      </c>
      <c r="M1808" s="513" t="s">
        <v>6303</v>
      </c>
      <c r="N1808" s="513" t="s">
        <v>1566</v>
      </c>
      <c r="O1808" s="513" t="s">
        <v>1407</v>
      </c>
      <c r="P1808" s="518" t="s">
        <v>6626</v>
      </c>
      <c r="Q1808" s="152" t="s">
        <v>5895</v>
      </c>
      <c r="R1808" s="152" t="s">
        <v>6627</v>
      </c>
      <c r="S1808" s="152" t="s">
        <v>6612</v>
      </c>
      <c r="T1808" s="152" t="s">
        <v>6628</v>
      </c>
      <c r="U1808" s="152" t="s">
        <v>786</v>
      </c>
    </row>
    <row r="1809" spans="4:21">
      <c r="D1809" s="152" t="s">
        <v>2821</v>
      </c>
      <c r="G1809" s="474" t="s">
        <v>295</v>
      </c>
      <c r="H1809" s="210" t="s">
        <v>296</v>
      </c>
      <c r="I1809" s="210"/>
      <c r="J1809" s="513">
        <v>-2265559.13</v>
      </c>
      <c r="K1809" s="513">
        <v>-1612.4976014234901</v>
      </c>
      <c r="L1809" s="513">
        <v>1405</v>
      </c>
      <c r="M1809" s="513" t="s">
        <v>6303</v>
      </c>
      <c r="N1809" s="513" t="s">
        <v>1566</v>
      </c>
      <c r="O1809" s="513" t="s">
        <v>1407</v>
      </c>
      <c r="P1809" s="518" t="s">
        <v>6629</v>
      </c>
      <c r="Q1809" s="152" t="s">
        <v>5895</v>
      </c>
      <c r="R1809" s="152" t="s">
        <v>6630</v>
      </c>
      <c r="S1809" s="152" t="s">
        <v>6612</v>
      </c>
      <c r="T1809" s="152" t="s">
        <v>6631</v>
      </c>
      <c r="U1809" s="152" t="s">
        <v>786</v>
      </c>
    </row>
    <row r="1810" spans="4:21">
      <c r="D1810" s="152" t="s">
        <v>2821</v>
      </c>
      <c r="G1810" s="474" t="s">
        <v>295</v>
      </c>
      <c r="H1810" s="210" t="s">
        <v>296</v>
      </c>
      <c r="I1810" s="210"/>
      <c r="J1810" s="513">
        <v>-2265559.13</v>
      </c>
      <c r="K1810" s="513">
        <v>-1612.4976014234901</v>
      </c>
      <c r="L1810" s="513">
        <v>1405</v>
      </c>
      <c r="M1810" s="513" t="s">
        <v>6303</v>
      </c>
      <c r="N1810" s="513" t="s">
        <v>1566</v>
      </c>
      <c r="O1810" s="513" t="s">
        <v>1407</v>
      </c>
      <c r="P1810" s="518" t="s">
        <v>6634</v>
      </c>
      <c r="Q1810" s="152" t="s">
        <v>5895</v>
      </c>
      <c r="R1810" s="152" t="s">
        <v>6635</v>
      </c>
      <c r="S1810" s="152" t="s">
        <v>6612</v>
      </c>
      <c r="T1810" s="152" t="s">
        <v>6636</v>
      </c>
      <c r="U1810" s="152" t="s">
        <v>786</v>
      </c>
    </row>
    <row r="1811" spans="4:21">
      <c r="D1811" s="152" t="s">
        <v>2821</v>
      </c>
      <c r="G1811" s="474" t="s">
        <v>295</v>
      </c>
      <c r="H1811" s="210" t="s">
        <v>296</v>
      </c>
      <c r="I1811" s="210"/>
      <c r="J1811" s="513">
        <v>-4327400</v>
      </c>
      <c r="K1811" s="513">
        <v>-3080</v>
      </c>
      <c r="L1811" s="513">
        <v>1405</v>
      </c>
      <c r="M1811" s="513" t="s">
        <v>6303</v>
      </c>
      <c r="N1811" s="513" t="s">
        <v>1566</v>
      </c>
      <c r="O1811" s="513" t="s">
        <v>1407</v>
      </c>
      <c r="P1811" s="518" t="s">
        <v>6637</v>
      </c>
      <c r="Q1811" s="152" t="s">
        <v>5895</v>
      </c>
      <c r="R1811" s="152" t="s">
        <v>6638</v>
      </c>
      <c r="S1811" s="152" t="s">
        <v>6612</v>
      </c>
      <c r="T1811" s="152" t="s">
        <v>6639</v>
      </c>
      <c r="U1811" s="152" t="s">
        <v>786</v>
      </c>
    </row>
    <row r="1812" spans="4:21">
      <c r="D1812" s="152" t="s">
        <v>2821</v>
      </c>
      <c r="G1812" s="474" t="s">
        <v>305</v>
      </c>
      <c r="H1812" s="210" t="s">
        <v>306</v>
      </c>
      <c r="I1812" s="210"/>
      <c r="J1812" s="513">
        <v>438809.59999999998</v>
      </c>
      <c r="K1812" s="513">
        <v>312.32</v>
      </c>
      <c r="L1812" s="513">
        <v>1405</v>
      </c>
      <c r="M1812" s="513" t="s">
        <v>6303</v>
      </c>
      <c r="N1812" s="513" t="s">
        <v>780</v>
      </c>
      <c r="O1812" s="513" t="s">
        <v>781</v>
      </c>
      <c r="P1812" s="518" t="s">
        <v>6304</v>
      </c>
      <c r="Q1812" s="152" t="s">
        <v>5873</v>
      </c>
      <c r="R1812" s="152" t="s">
        <v>6305</v>
      </c>
      <c r="S1812" s="152" t="s">
        <v>937</v>
      </c>
      <c r="T1812" s="152" t="s">
        <v>6307</v>
      </c>
      <c r="U1812" s="152" t="s">
        <v>786</v>
      </c>
    </row>
    <row r="1813" spans="4:21">
      <c r="D1813" s="152" t="s">
        <v>2821</v>
      </c>
      <c r="G1813" s="474" t="s">
        <v>47</v>
      </c>
      <c r="H1813" s="210" t="s">
        <v>46</v>
      </c>
      <c r="I1813" s="210"/>
      <c r="J1813" s="513">
        <v>154550</v>
      </c>
      <c r="K1813" s="513">
        <v>110</v>
      </c>
      <c r="L1813" s="513">
        <v>1405</v>
      </c>
      <c r="M1813" s="513" t="s">
        <v>5881</v>
      </c>
      <c r="N1813" s="513" t="s">
        <v>780</v>
      </c>
      <c r="O1813" s="513" t="s">
        <v>1407</v>
      </c>
      <c r="P1813" s="518" t="s">
        <v>5882</v>
      </c>
      <c r="Q1813" s="152" t="s">
        <v>5873</v>
      </c>
      <c r="R1813" s="152" t="s">
        <v>5883</v>
      </c>
      <c r="S1813" s="152" t="s">
        <v>3898</v>
      </c>
      <c r="T1813" s="152" t="s">
        <v>5885</v>
      </c>
      <c r="U1813" s="152" t="s">
        <v>786</v>
      </c>
    </row>
    <row r="1814" spans="4:21">
      <c r="D1814" s="152" t="s">
        <v>2821</v>
      </c>
      <c r="G1814" s="474" t="s">
        <v>47</v>
      </c>
      <c r="H1814" s="210" t="s">
        <v>46</v>
      </c>
      <c r="I1814" s="210"/>
      <c r="J1814" s="513">
        <v>491750</v>
      </c>
      <c r="K1814" s="513">
        <v>350</v>
      </c>
      <c r="L1814" s="513">
        <v>1405</v>
      </c>
      <c r="M1814" s="513" t="s">
        <v>6059</v>
      </c>
      <c r="N1814" s="513" t="s">
        <v>780</v>
      </c>
      <c r="O1814" s="513" t="s">
        <v>1407</v>
      </c>
      <c r="P1814" s="518" t="s">
        <v>6110</v>
      </c>
      <c r="Q1814" s="152" t="s">
        <v>5873</v>
      </c>
      <c r="R1814" s="152" t="s">
        <v>6111</v>
      </c>
      <c r="S1814" s="152" t="s">
        <v>6112</v>
      </c>
      <c r="T1814" s="152" t="s">
        <v>6113</v>
      </c>
      <c r="U1814" s="152" t="s">
        <v>786</v>
      </c>
    </row>
    <row r="1815" spans="4:21">
      <c r="D1815" s="152" t="s">
        <v>2821</v>
      </c>
      <c r="G1815" s="474" t="s">
        <v>47</v>
      </c>
      <c r="H1815" s="210" t="s">
        <v>46</v>
      </c>
      <c r="I1815" s="210"/>
      <c r="J1815" s="513">
        <v>70250</v>
      </c>
      <c r="K1815" s="513">
        <v>50</v>
      </c>
      <c r="L1815" s="513">
        <v>1405</v>
      </c>
      <c r="M1815" s="513" t="s">
        <v>6059</v>
      </c>
      <c r="N1815" s="513" t="s">
        <v>780</v>
      </c>
      <c r="O1815" s="513" t="s">
        <v>1407</v>
      </c>
      <c r="P1815" s="518" t="s">
        <v>6110</v>
      </c>
      <c r="Q1815" s="152" t="s">
        <v>5873</v>
      </c>
      <c r="R1815" s="152" t="s">
        <v>6111</v>
      </c>
      <c r="S1815" s="152" t="s">
        <v>3898</v>
      </c>
      <c r="T1815" s="152" t="s">
        <v>6113</v>
      </c>
      <c r="U1815" s="152" t="s">
        <v>786</v>
      </c>
    </row>
    <row r="1816" spans="4:21">
      <c r="D1816" s="152" t="s">
        <v>2821</v>
      </c>
      <c r="G1816" s="474" t="s">
        <v>47</v>
      </c>
      <c r="H1816" s="210" t="s">
        <v>46</v>
      </c>
      <c r="I1816" s="210"/>
      <c r="J1816" s="513">
        <v>154550</v>
      </c>
      <c r="K1816" s="513">
        <v>110</v>
      </c>
      <c r="L1816" s="513">
        <v>1405</v>
      </c>
      <c r="M1816" s="513" t="s">
        <v>6059</v>
      </c>
      <c r="N1816" s="513" t="s">
        <v>780</v>
      </c>
      <c r="O1816" s="513" t="s">
        <v>1407</v>
      </c>
      <c r="P1816" s="518" t="s">
        <v>6110</v>
      </c>
      <c r="Q1816" s="152" t="s">
        <v>5873</v>
      </c>
      <c r="R1816" s="152" t="s">
        <v>6111</v>
      </c>
      <c r="S1816" s="152" t="s">
        <v>3898</v>
      </c>
      <c r="T1816" s="152" t="s">
        <v>6113</v>
      </c>
      <c r="U1816" s="152" t="s">
        <v>786</v>
      </c>
    </row>
    <row r="1817" spans="4:21">
      <c r="D1817" s="152" t="s">
        <v>2821</v>
      </c>
      <c r="G1817" s="474" t="s">
        <v>47</v>
      </c>
      <c r="H1817" s="210" t="s">
        <v>46</v>
      </c>
      <c r="I1817" s="210"/>
      <c r="J1817" s="513">
        <v>281000</v>
      </c>
      <c r="K1817" s="513">
        <v>200</v>
      </c>
      <c r="L1817" s="513">
        <v>1405</v>
      </c>
      <c r="M1817" s="513" t="s">
        <v>6059</v>
      </c>
      <c r="N1817" s="513" t="s">
        <v>780</v>
      </c>
      <c r="O1817" s="513" t="s">
        <v>1407</v>
      </c>
      <c r="P1817" s="518" t="s">
        <v>6110</v>
      </c>
      <c r="Q1817" s="152" t="s">
        <v>5873</v>
      </c>
      <c r="R1817" s="152" t="s">
        <v>6111</v>
      </c>
      <c r="S1817" s="152" t="s">
        <v>3898</v>
      </c>
      <c r="T1817" s="152" t="s">
        <v>6113</v>
      </c>
      <c r="U1817" s="152" t="s">
        <v>786</v>
      </c>
    </row>
    <row r="1818" spans="4:21">
      <c r="D1818" s="152" t="s">
        <v>2821</v>
      </c>
      <c r="G1818" s="474" t="s">
        <v>47</v>
      </c>
      <c r="H1818" s="210" t="s">
        <v>46</v>
      </c>
      <c r="I1818" s="210"/>
      <c r="J1818" s="513">
        <v>997550</v>
      </c>
      <c r="K1818" s="513">
        <v>710</v>
      </c>
      <c r="L1818" s="513">
        <v>1405</v>
      </c>
      <c r="M1818" s="513" t="s">
        <v>6059</v>
      </c>
      <c r="N1818" s="513" t="s">
        <v>780</v>
      </c>
      <c r="O1818" s="513" t="s">
        <v>1407</v>
      </c>
      <c r="P1818" s="518" t="s">
        <v>6110</v>
      </c>
      <c r="Q1818" s="152" t="s">
        <v>5873</v>
      </c>
      <c r="R1818" s="152" t="s">
        <v>6111</v>
      </c>
      <c r="S1818" s="152" t="s">
        <v>4088</v>
      </c>
      <c r="T1818" s="152" t="s">
        <v>6113</v>
      </c>
      <c r="U1818" s="152" t="s">
        <v>786</v>
      </c>
    </row>
    <row r="1819" spans="4:21">
      <c r="D1819" s="152" t="s">
        <v>2821</v>
      </c>
      <c r="G1819" s="474" t="s">
        <v>47</v>
      </c>
      <c r="H1819" s="210" t="s">
        <v>46</v>
      </c>
      <c r="I1819" s="210"/>
      <c r="J1819" s="513">
        <v>3217450</v>
      </c>
      <c r="K1819" s="513">
        <v>2290</v>
      </c>
      <c r="L1819" s="513">
        <v>1405</v>
      </c>
      <c r="M1819" s="513" t="s">
        <v>6059</v>
      </c>
      <c r="N1819" s="513" t="s">
        <v>780</v>
      </c>
      <c r="O1819" s="513" t="s">
        <v>1407</v>
      </c>
      <c r="P1819" s="518" t="s">
        <v>6119</v>
      </c>
      <c r="Q1819" s="152" t="s">
        <v>5873</v>
      </c>
      <c r="R1819" s="152" t="s">
        <v>6120</v>
      </c>
      <c r="S1819" s="152" t="s">
        <v>6213</v>
      </c>
      <c r="T1819" s="152" t="s">
        <v>6122</v>
      </c>
      <c r="U1819" s="152" t="s">
        <v>786</v>
      </c>
    </row>
    <row r="1820" spans="4:21">
      <c r="D1820" s="152" t="s">
        <v>2821</v>
      </c>
      <c r="G1820" s="474" t="s">
        <v>47</v>
      </c>
      <c r="H1820" s="210" t="s">
        <v>46</v>
      </c>
      <c r="I1820" s="210"/>
      <c r="J1820" s="513">
        <v>196700</v>
      </c>
      <c r="K1820" s="513">
        <v>140</v>
      </c>
      <c r="L1820" s="513">
        <v>1405</v>
      </c>
      <c r="M1820" s="513" t="s">
        <v>6303</v>
      </c>
      <c r="N1820" s="513" t="s">
        <v>780</v>
      </c>
      <c r="O1820" s="513" t="s">
        <v>1407</v>
      </c>
      <c r="P1820" s="518" t="s">
        <v>6345</v>
      </c>
      <c r="Q1820" s="152" t="s">
        <v>5873</v>
      </c>
      <c r="R1820" s="152" t="s">
        <v>6346</v>
      </c>
      <c r="S1820" s="152" t="s">
        <v>3898</v>
      </c>
      <c r="T1820" s="152" t="s">
        <v>6348</v>
      </c>
      <c r="U1820" s="152" t="s">
        <v>786</v>
      </c>
    </row>
    <row r="1821" spans="4:21">
      <c r="D1821" s="152" t="s">
        <v>2821</v>
      </c>
      <c r="G1821" s="474" t="s">
        <v>341</v>
      </c>
      <c r="H1821" s="210" t="s">
        <v>342</v>
      </c>
      <c r="I1821" s="210"/>
      <c r="J1821" s="513">
        <v>28100</v>
      </c>
      <c r="K1821" s="513">
        <v>20</v>
      </c>
      <c r="L1821" s="513">
        <v>1405</v>
      </c>
      <c r="M1821" s="513" t="s">
        <v>6059</v>
      </c>
      <c r="N1821" s="513" t="s">
        <v>780</v>
      </c>
      <c r="O1821" s="513" t="s">
        <v>781</v>
      </c>
      <c r="P1821" s="518" t="s">
        <v>6060</v>
      </c>
      <c r="Q1821" s="152" t="s">
        <v>5873</v>
      </c>
      <c r="R1821" s="152" t="s">
        <v>6061</v>
      </c>
      <c r="S1821" s="152" t="s">
        <v>4816</v>
      </c>
      <c r="T1821" s="152" t="s">
        <v>6063</v>
      </c>
      <c r="U1821" s="152" t="s">
        <v>786</v>
      </c>
    </row>
    <row r="1822" spans="4:21">
      <c r="D1822" s="152" t="s">
        <v>2821</v>
      </c>
      <c r="G1822" s="474" t="s">
        <v>341</v>
      </c>
      <c r="H1822" s="210" t="s">
        <v>342</v>
      </c>
      <c r="I1822" s="210"/>
      <c r="J1822" s="513">
        <v>44960</v>
      </c>
      <c r="K1822" s="513">
        <v>32</v>
      </c>
      <c r="L1822" s="513">
        <v>1405</v>
      </c>
      <c r="M1822" s="513" t="s">
        <v>6303</v>
      </c>
      <c r="N1822" s="513" t="s">
        <v>780</v>
      </c>
      <c r="O1822" s="513" t="s">
        <v>781</v>
      </c>
      <c r="P1822" s="518" t="s">
        <v>6310</v>
      </c>
      <c r="Q1822" s="152" t="s">
        <v>5873</v>
      </c>
      <c r="R1822" s="152" t="s">
        <v>6311</v>
      </c>
      <c r="S1822" s="152" t="s">
        <v>851</v>
      </c>
      <c r="T1822" s="152" t="s">
        <v>6313</v>
      </c>
      <c r="U1822" s="152" t="s">
        <v>786</v>
      </c>
    </row>
    <row r="1823" spans="4:21">
      <c r="D1823" s="152" t="s">
        <v>2821</v>
      </c>
      <c r="G1823" s="474" t="s">
        <v>341</v>
      </c>
      <c r="H1823" s="210" t="s">
        <v>342</v>
      </c>
      <c r="I1823" s="210"/>
      <c r="J1823" s="513">
        <v>-4439.8</v>
      </c>
      <c r="K1823" s="513">
        <v>-3.16</v>
      </c>
      <c r="L1823" s="513">
        <v>1405</v>
      </c>
      <c r="M1823" s="513" t="s">
        <v>6303</v>
      </c>
      <c r="N1823" s="513" t="s">
        <v>780</v>
      </c>
      <c r="O1823" s="513" t="s">
        <v>781</v>
      </c>
      <c r="P1823" s="518" t="s">
        <v>6327</v>
      </c>
      <c r="Q1823" s="152" t="s">
        <v>5873</v>
      </c>
      <c r="R1823" s="152" t="s">
        <v>6328</v>
      </c>
      <c r="S1823" s="152" t="s">
        <v>6352</v>
      </c>
      <c r="T1823" s="152" t="s">
        <v>6330</v>
      </c>
      <c r="U1823" s="152" t="s">
        <v>786</v>
      </c>
    </row>
    <row r="1824" spans="4:21">
      <c r="D1824" s="152" t="s">
        <v>2821</v>
      </c>
      <c r="G1824" s="474" t="s">
        <v>341</v>
      </c>
      <c r="H1824" s="210" t="s">
        <v>342</v>
      </c>
      <c r="I1824" s="210"/>
      <c r="J1824" s="513">
        <v>-10635.85</v>
      </c>
      <c r="K1824" s="513">
        <v>-7.57</v>
      </c>
      <c r="L1824" s="513">
        <v>1405</v>
      </c>
      <c r="M1824" s="513" t="s">
        <v>6303</v>
      </c>
      <c r="N1824" s="513" t="s">
        <v>780</v>
      </c>
      <c r="O1824" s="513" t="s">
        <v>781</v>
      </c>
      <c r="P1824" s="518" t="s">
        <v>6327</v>
      </c>
      <c r="Q1824" s="152" t="s">
        <v>5873</v>
      </c>
      <c r="R1824" s="152" t="s">
        <v>6328</v>
      </c>
      <c r="S1824" s="152" t="s">
        <v>6352</v>
      </c>
      <c r="T1824" s="152" t="s">
        <v>6330</v>
      </c>
      <c r="U1824" s="152" t="s">
        <v>786</v>
      </c>
    </row>
    <row r="1825" spans="4:21">
      <c r="D1825" s="152" t="s">
        <v>2821</v>
      </c>
      <c r="G1825" s="474" t="s">
        <v>341</v>
      </c>
      <c r="H1825" s="210" t="s">
        <v>342</v>
      </c>
      <c r="I1825" s="210"/>
      <c r="J1825" s="513">
        <v>-182.65</v>
      </c>
      <c r="K1825" s="513">
        <v>-0.13</v>
      </c>
      <c r="L1825" s="513">
        <v>1405</v>
      </c>
      <c r="M1825" s="513" t="s">
        <v>6303</v>
      </c>
      <c r="N1825" s="513" t="s">
        <v>780</v>
      </c>
      <c r="O1825" s="513" t="s">
        <v>781</v>
      </c>
      <c r="P1825" s="518" t="s">
        <v>6327</v>
      </c>
      <c r="Q1825" s="152" t="s">
        <v>5873</v>
      </c>
      <c r="R1825" s="152" t="s">
        <v>6328</v>
      </c>
      <c r="S1825" s="152" t="s">
        <v>6352</v>
      </c>
      <c r="T1825" s="152" t="s">
        <v>6330</v>
      </c>
      <c r="U1825" s="152" t="s">
        <v>786</v>
      </c>
    </row>
    <row r="1826" spans="4:21">
      <c r="D1826" s="152" t="s">
        <v>2821</v>
      </c>
      <c r="G1826" s="474" t="s">
        <v>341</v>
      </c>
      <c r="H1826" s="210" t="s">
        <v>342</v>
      </c>
      <c r="I1826" s="210"/>
      <c r="J1826" s="513">
        <v>30544.7</v>
      </c>
      <c r="K1826" s="513">
        <v>21.74</v>
      </c>
      <c r="L1826" s="513">
        <v>1405</v>
      </c>
      <c r="M1826" s="513" t="s">
        <v>6303</v>
      </c>
      <c r="N1826" s="513" t="s">
        <v>780</v>
      </c>
      <c r="O1826" s="513" t="s">
        <v>1272</v>
      </c>
      <c r="P1826" s="518" t="s">
        <v>6406</v>
      </c>
      <c r="Q1826" s="152" t="s">
        <v>5873</v>
      </c>
      <c r="R1826" s="152" t="s">
        <v>6407</v>
      </c>
      <c r="S1826" s="152" t="s">
        <v>1296</v>
      </c>
      <c r="T1826" s="152" t="s">
        <v>6408</v>
      </c>
      <c r="U1826" s="152" t="s">
        <v>786</v>
      </c>
    </row>
    <row r="1827" spans="4:21">
      <c r="D1827" s="152" t="s">
        <v>2821</v>
      </c>
      <c r="G1827" s="474" t="s">
        <v>341</v>
      </c>
      <c r="H1827" s="210" t="s">
        <v>342</v>
      </c>
      <c r="I1827" s="210"/>
      <c r="J1827" s="513">
        <v>28100</v>
      </c>
      <c r="K1827" s="513">
        <v>20</v>
      </c>
      <c r="L1827" s="513">
        <v>1405</v>
      </c>
      <c r="M1827" s="513" t="s">
        <v>6303</v>
      </c>
      <c r="N1827" s="513" t="s">
        <v>780</v>
      </c>
      <c r="O1827" s="513" t="s">
        <v>1272</v>
      </c>
      <c r="P1827" s="518" t="s">
        <v>6409</v>
      </c>
      <c r="Q1827" s="152" t="s">
        <v>5873</v>
      </c>
      <c r="R1827" s="152" t="s">
        <v>6410</v>
      </c>
      <c r="S1827" s="152" t="s">
        <v>1296</v>
      </c>
      <c r="T1827" s="152" t="s">
        <v>6411</v>
      </c>
      <c r="U1827" s="152" t="s">
        <v>786</v>
      </c>
    </row>
    <row r="1828" spans="4:21">
      <c r="D1828" s="152" t="s">
        <v>2821</v>
      </c>
      <c r="G1828" s="474" t="s">
        <v>341</v>
      </c>
      <c r="H1828" s="210" t="s">
        <v>342</v>
      </c>
      <c r="I1828" s="210"/>
      <c r="J1828" s="513">
        <v>44960</v>
      </c>
      <c r="K1828" s="513">
        <v>32</v>
      </c>
      <c r="L1828" s="513">
        <v>1405</v>
      </c>
      <c r="M1828" s="513" t="s">
        <v>6059</v>
      </c>
      <c r="N1828" s="513" t="s">
        <v>780</v>
      </c>
      <c r="O1828" s="513" t="s">
        <v>1407</v>
      </c>
      <c r="P1828" s="518" t="s">
        <v>6119</v>
      </c>
      <c r="Q1828" s="152" t="s">
        <v>5873</v>
      </c>
      <c r="R1828" s="152" t="s">
        <v>6120</v>
      </c>
      <c r="S1828" s="152" t="s">
        <v>1474</v>
      </c>
      <c r="T1828" s="152" t="s">
        <v>6122</v>
      </c>
      <c r="U1828" s="152" t="s">
        <v>786</v>
      </c>
    </row>
    <row r="1829" spans="4:21">
      <c r="D1829" s="152" t="s">
        <v>2821</v>
      </c>
      <c r="G1829" s="474" t="s">
        <v>341</v>
      </c>
      <c r="H1829" s="210" t="s">
        <v>342</v>
      </c>
      <c r="I1829" s="210"/>
      <c r="J1829" s="513">
        <v>473218.05</v>
      </c>
      <c r="K1829" s="513">
        <v>336.81</v>
      </c>
      <c r="L1829" s="513">
        <v>1405</v>
      </c>
      <c r="M1829" s="513" t="s">
        <v>6023</v>
      </c>
      <c r="N1829" s="513" t="s">
        <v>780</v>
      </c>
      <c r="O1829" s="513" t="s">
        <v>2705</v>
      </c>
      <c r="P1829" s="518" t="s">
        <v>6024</v>
      </c>
      <c r="Q1829" s="152" t="s">
        <v>5873</v>
      </c>
      <c r="R1829" s="152" t="s">
        <v>6025</v>
      </c>
      <c r="S1829" s="152" t="s">
        <v>6055</v>
      </c>
      <c r="T1829" s="152" t="s">
        <v>6027</v>
      </c>
      <c r="U1829" s="152" t="s">
        <v>786</v>
      </c>
    </row>
    <row r="1830" spans="4:21">
      <c r="D1830" s="152" t="s">
        <v>2821</v>
      </c>
      <c r="G1830" s="474" t="s">
        <v>343</v>
      </c>
      <c r="H1830" s="210" t="s">
        <v>344</v>
      </c>
      <c r="I1830" s="210"/>
      <c r="J1830" s="513">
        <v>498803.1</v>
      </c>
      <c r="K1830" s="513">
        <v>355.02</v>
      </c>
      <c r="L1830" s="513">
        <v>1405</v>
      </c>
      <c r="M1830" s="513" t="s">
        <v>6303</v>
      </c>
      <c r="N1830" s="513" t="s">
        <v>780</v>
      </c>
      <c r="O1830" s="513" t="s">
        <v>781</v>
      </c>
      <c r="P1830" s="518" t="s">
        <v>6304</v>
      </c>
      <c r="Q1830" s="152" t="s">
        <v>5873</v>
      </c>
      <c r="R1830" s="152" t="s">
        <v>6305</v>
      </c>
      <c r="S1830" s="152" t="s">
        <v>1251</v>
      </c>
      <c r="T1830" s="152" t="s">
        <v>6307</v>
      </c>
      <c r="U1830" s="152" t="s">
        <v>786</v>
      </c>
    </row>
    <row r="1831" spans="4:21">
      <c r="D1831" s="152" t="s">
        <v>2821</v>
      </c>
      <c r="G1831" s="474" t="s">
        <v>343</v>
      </c>
      <c r="H1831" s="210" t="s">
        <v>344</v>
      </c>
      <c r="I1831" s="210"/>
      <c r="J1831" s="513">
        <v>379434.3</v>
      </c>
      <c r="K1831" s="513">
        <v>270.06</v>
      </c>
      <c r="L1831" s="513">
        <v>1405</v>
      </c>
      <c r="M1831" s="513" t="s">
        <v>6059</v>
      </c>
      <c r="N1831" s="513" t="s">
        <v>780</v>
      </c>
      <c r="O1831" s="513" t="s">
        <v>1407</v>
      </c>
      <c r="P1831" s="518" t="s">
        <v>6114</v>
      </c>
      <c r="Q1831" s="152" t="s">
        <v>5873</v>
      </c>
      <c r="R1831" s="152" t="s">
        <v>6115</v>
      </c>
      <c r="S1831" s="152" t="s">
        <v>6193</v>
      </c>
      <c r="T1831" s="152" t="s">
        <v>6116</v>
      </c>
      <c r="U1831" s="152" t="s">
        <v>786</v>
      </c>
    </row>
    <row r="1832" spans="4:21">
      <c r="D1832" s="152" t="s">
        <v>2821</v>
      </c>
      <c r="G1832" s="474" t="s">
        <v>2747</v>
      </c>
      <c r="H1832" s="210" t="s">
        <v>2748</v>
      </c>
      <c r="I1832" s="210"/>
      <c r="J1832" s="513">
        <v>0</v>
      </c>
      <c r="K1832" s="513">
        <v>-1.4E-3</v>
      </c>
      <c r="L1832" s="513">
        <v>1</v>
      </c>
      <c r="M1832" s="513" t="s">
        <v>5877</v>
      </c>
      <c r="N1832" s="513" t="s">
        <v>780</v>
      </c>
      <c r="O1832" s="513" t="s">
        <v>2705</v>
      </c>
      <c r="P1832" s="518" t="s">
        <v>5878</v>
      </c>
      <c r="Q1832" s="152" t="s">
        <v>5873</v>
      </c>
      <c r="R1832" s="152" t="s">
        <v>5879</v>
      </c>
      <c r="S1832" s="152" t="s">
        <v>5879</v>
      </c>
      <c r="T1832" s="152" t="s">
        <v>5880</v>
      </c>
      <c r="U1832" s="152" t="s">
        <v>786</v>
      </c>
    </row>
    <row r="1833" spans="4:21">
      <c r="D1833" s="152" t="s">
        <v>2821</v>
      </c>
      <c r="G1833" s="474" t="s">
        <v>2747</v>
      </c>
      <c r="H1833" s="210" t="s">
        <v>2748</v>
      </c>
      <c r="I1833" s="210"/>
      <c r="J1833" s="513">
        <v>-2</v>
      </c>
      <c r="K1833" s="513">
        <v>0</v>
      </c>
      <c r="L1833" s="513">
        <v>1</v>
      </c>
      <c r="M1833" s="513" t="s">
        <v>5877</v>
      </c>
      <c r="N1833" s="513" t="s">
        <v>780</v>
      </c>
      <c r="O1833" s="513" t="s">
        <v>2705</v>
      </c>
      <c r="P1833" s="518" t="s">
        <v>5878</v>
      </c>
      <c r="Q1833" s="152" t="s">
        <v>5873</v>
      </c>
      <c r="R1833" s="152" t="s">
        <v>5879</v>
      </c>
      <c r="S1833" s="152" t="s">
        <v>5879</v>
      </c>
      <c r="T1833" s="152" t="s">
        <v>5880</v>
      </c>
      <c r="U1833" s="152" t="s">
        <v>786</v>
      </c>
    </row>
    <row r="1834" spans="4:21">
      <c r="D1834" s="152" t="s">
        <v>2821</v>
      </c>
      <c r="G1834" s="474" t="s">
        <v>2747</v>
      </c>
      <c r="H1834" s="210" t="s">
        <v>2748</v>
      </c>
      <c r="I1834" s="210"/>
      <c r="J1834" s="513">
        <v>0</v>
      </c>
      <c r="K1834" s="513">
        <v>-5.9999999999999995E-4</v>
      </c>
      <c r="L1834" s="513">
        <v>1</v>
      </c>
      <c r="M1834" s="513" t="s">
        <v>6023</v>
      </c>
      <c r="N1834" s="513" t="s">
        <v>780</v>
      </c>
      <c r="O1834" s="513" t="s">
        <v>2705</v>
      </c>
      <c r="P1834" s="518" t="s">
        <v>6056</v>
      </c>
      <c r="Q1834" s="152" t="s">
        <v>5873</v>
      </c>
      <c r="R1834" s="152" t="s">
        <v>6057</v>
      </c>
      <c r="S1834" s="152" t="s">
        <v>6057</v>
      </c>
      <c r="T1834" s="152" t="s">
        <v>6058</v>
      </c>
      <c r="U1834" s="152" t="s">
        <v>786</v>
      </c>
    </row>
    <row r="1835" spans="4:21">
      <c r="D1835" s="152" t="s">
        <v>2821</v>
      </c>
      <c r="G1835" s="474" t="s">
        <v>2747</v>
      </c>
      <c r="H1835" s="210" t="s">
        <v>2748</v>
      </c>
      <c r="I1835" s="210"/>
      <c r="J1835" s="513">
        <v>-0.9</v>
      </c>
      <c r="K1835" s="513">
        <v>0</v>
      </c>
      <c r="L1835" s="513">
        <v>1</v>
      </c>
      <c r="M1835" s="513" t="s">
        <v>6023</v>
      </c>
      <c r="N1835" s="513" t="s">
        <v>780</v>
      </c>
      <c r="O1835" s="513" t="s">
        <v>2705</v>
      </c>
      <c r="P1835" s="518" t="s">
        <v>6056</v>
      </c>
      <c r="Q1835" s="152" t="s">
        <v>5873</v>
      </c>
      <c r="R1835" s="152" t="s">
        <v>6057</v>
      </c>
      <c r="S1835" s="152" t="s">
        <v>6057</v>
      </c>
      <c r="T1835" s="152" t="s">
        <v>6058</v>
      </c>
      <c r="U1835" s="152" t="s">
        <v>786</v>
      </c>
    </row>
    <row r="1836" spans="4:21">
      <c r="D1836" s="152" t="s">
        <v>2821</v>
      </c>
      <c r="G1836" s="474" t="s">
        <v>2747</v>
      </c>
      <c r="H1836" s="210" t="s">
        <v>2748</v>
      </c>
      <c r="I1836" s="210"/>
      <c r="J1836" s="513">
        <v>1.75</v>
      </c>
      <c r="K1836" s="513">
        <v>0</v>
      </c>
      <c r="L1836" s="513">
        <v>1</v>
      </c>
      <c r="M1836" s="513" t="s">
        <v>6270</v>
      </c>
      <c r="N1836" s="513" t="s">
        <v>780</v>
      </c>
      <c r="O1836" s="513" t="s">
        <v>2705</v>
      </c>
      <c r="P1836" s="518" t="s">
        <v>6293</v>
      </c>
      <c r="Q1836" s="152" t="s">
        <v>5873</v>
      </c>
      <c r="R1836" s="152" t="s">
        <v>6294</v>
      </c>
      <c r="S1836" s="152" t="s">
        <v>6294</v>
      </c>
      <c r="T1836" s="152" t="s">
        <v>6295</v>
      </c>
      <c r="U1836" s="152" t="s">
        <v>786</v>
      </c>
    </row>
    <row r="1837" spans="4:21">
      <c r="D1837" s="152" t="s">
        <v>2821</v>
      </c>
      <c r="G1837" s="474" t="s">
        <v>2747</v>
      </c>
      <c r="H1837" s="210" t="s">
        <v>2748</v>
      </c>
      <c r="I1837" s="210"/>
      <c r="J1837" s="513">
        <v>0</v>
      </c>
      <c r="K1837" s="513">
        <v>1.1999999999999999E-3</v>
      </c>
      <c r="L1837" s="513">
        <v>1</v>
      </c>
      <c r="M1837" s="513" t="s">
        <v>6270</v>
      </c>
      <c r="N1837" s="513" t="s">
        <v>780</v>
      </c>
      <c r="O1837" s="513" t="s">
        <v>2705</v>
      </c>
      <c r="P1837" s="518" t="s">
        <v>6293</v>
      </c>
      <c r="Q1837" s="152" t="s">
        <v>5873</v>
      </c>
      <c r="R1837" s="152" t="s">
        <v>6294</v>
      </c>
      <c r="S1837" s="152" t="s">
        <v>6294</v>
      </c>
      <c r="T1837" s="152" t="s">
        <v>6295</v>
      </c>
      <c r="U1837" s="152" t="s">
        <v>786</v>
      </c>
    </row>
    <row r="1838" spans="4:21">
      <c r="D1838" s="152" t="s">
        <v>2821</v>
      </c>
      <c r="G1838" s="474" t="s">
        <v>2747</v>
      </c>
      <c r="H1838" s="210" t="s">
        <v>2748</v>
      </c>
      <c r="I1838" s="210"/>
      <c r="J1838" s="513">
        <v>1E-3</v>
      </c>
      <c r="K1838" s="513">
        <v>0</v>
      </c>
      <c r="L1838" s="513">
        <v>1</v>
      </c>
      <c r="M1838" s="513" t="s">
        <v>6303</v>
      </c>
      <c r="N1838" s="513" t="s">
        <v>1566</v>
      </c>
      <c r="O1838" s="513" t="s">
        <v>2705</v>
      </c>
      <c r="P1838" s="518" t="s">
        <v>6610</v>
      </c>
      <c r="Q1838" s="152" t="s">
        <v>5895</v>
      </c>
      <c r="R1838" s="152" t="s">
        <v>6611</v>
      </c>
      <c r="S1838" s="152" t="s">
        <v>6611</v>
      </c>
      <c r="T1838" s="152" t="s">
        <v>6613</v>
      </c>
      <c r="U1838" s="152" t="s">
        <v>786</v>
      </c>
    </row>
    <row r="1839" spans="4:21">
      <c r="D1839" s="152" t="s">
        <v>2821</v>
      </c>
      <c r="G1839" s="474" t="s">
        <v>2747</v>
      </c>
      <c r="H1839" s="210" t="s">
        <v>2748</v>
      </c>
      <c r="I1839" s="210"/>
      <c r="J1839" s="513">
        <v>5.0000000000000001E-3</v>
      </c>
      <c r="K1839" s="513">
        <v>0</v>
      </c>
      <c r="L1839" s="513">
        <v>1</v>
      </c>
      <c r="M1839" s="513" t="s">
        <v>6303</v>
      </c>
      <c r="N1839" s="513" t="s">
        <v>1566</v>
      </c>
      <c r="O1839" s="513" t="s">
        <v>2705</v>
      </c>
      <c r="P1839" s="518" t="s">
        <v>6614</v>
      </c>
      <c r="Q1839" s="152" t="s">
        <v>5895</v>
      </c>
      <c r="R1839" s="152" t="s">
        <v>6615</v>
      </c>
      <c r="S1839" s="152" t="s">
        <v>6615</v>
      </c>
      <c r="T1839" s="152" t="s">
        <v>6616</v>
      </c>
      <c r="U1839" s="152" t="s">
        <v>786</v>
      </c>
    </row>
    <row r="1840" spans="4:21">
      <c r="D1840" s="152" t="s">
        <v>2821</v>
      </c>
      <c r="G1840" s="474" t="s">
        <v>2747</v>
      </c>
      <c r="H1840" s="210" t="s">
        <v>2748</v>
      </c>
      <c r="I1840" s="210"/>
      <c r="J1840" s="513">
        <v>3.5000000000000001E-3</v>
      </c>
      <c r="K1840" s="513">
        <v>0</v>
      </c>
      <c r="L1840" s="513">
        <v>1</v>
      </c>
      <c r="M1840" s="513" t="s">
        <v>6303</v>
      </c>
      <c r="N1840" s="513" t="s">
        <v>1566</v>
      </c>
      <c r="O1840" s="513" t="s">
        <v>2705</v>
      </c>
      <c r="P1840" s="518" t="s">
        <v>6626</v>
      </c>
      <c r="Q1840" s="152" t="s">
        <v>5895</v>
      </c>
      <c r="R1840" s="152" t="s">
        <v>6627</v>
      </c>
      <c r="S1840" s="152" t="s">
        <v>6627</v>
      </c>
      <c r="T1840" s="152" t="s">
        <v>6628</v>
      </c>
      <c r="U1840" s="152" t="s">
        <v>786</v>
      </c>
    </row>
    <row r="1841" spans="4:21">
      <c r="D1841" s="152" t="s">
        <v>2821</v>
      </c>
      <c r="G1841" s="474" t="s">
        <v>2747</v>
      </c>
      <c r="H1841" s="210" t="s">
        <v>2748</v>
      </c>
      <c r="I1841" s="210"/>
      <c r="J1841" s="513">
        <v>2E-3</v>
      </c>
      <c r="K1841" s="513">
        <v>0</v>
      </c>
      <c r="L1841" s="513">
        <v>1</v>
      </c>
      <c r="M1841" s="513" t="s">
        <v>6303</v>
      </c>
      <c r="N1841" s="513" t="s">
        <v>1566</v>
      </c>
      <c r="O1841" s="513" t="s">
        <v>2705</v>
      </c>
      <c r="P1841" s="518" t="s">
        <v>6629</v>
      </c>
      <c r="Q1841" s="152" t="s">
        <v>5895</v>
      </c>
      <c r="R1841" s="152" t="s">
        <v>6630</v>
      </c>
      <c r="S1841" s="152" t="s">
        <v>6630</v>
      </c>
      <c r="T1841" s="152" t="s">
        <v>6631</v>
      </c>
      <c r="U1841" s="152" t="s">
        <v>786</v>
      </c>
    </row>
    <row r="1842" spans="4:21">
      <c r="D1842" s="152" t="s">
        <v>2821</v>
      </c>
      <c r="G1842" s="474" t="s">
        <v>2747</v>
      </c>
      <c r="H1842" s="210" t="s">
        <v>2748</v>
      </c>
      <c r="I1842" s="210"/>
      <c r="J1842" s="513">
        <v>2E-3</v>
      </c>
      <c r="K1842" s="513">
        <v>0</v>
      </c>
      <c r="L1842" s="513">
        <v>1</v>
      </c>
      <c r="M1842" s="513" t="s">
        <v>6303</v>
      </c>
      <c r="N1842" s="513" t="s">
        <v>1566</v>
      </c>
      <c r="O1842" s="513" t="s">
        <v>2705</v>
      </c>
      <c r="P1842" s="518" t="s">
        <v>6634</v>
      </c>
      <c r="Q1842" s="152" t="s">
        <v>5895</v>
      </c>
      <c r="R1842" s="152" t="s">
        <v>6635</v>
      </c>
      <c r="S1842" s="152" t="s">
        <v>6635</v>
      </c>
      <c r="T1842" s="152" t="s">
        <v>6636</v>
      </c>
      <c r="U1842" s="152" t="s">
        <v>786</v>
      </c>
    </row>
    <row r="1843" spans="4:21">
      <c r="D1843" s="152" t="s">
        <v>2821</v>
      </c>
      <c r="G1843" s="474" t="s">
        <v>354</v>
      </c>
      <c r="H1843" s="210" t="s">
        <v>355</v>
      </c>
      <c r="I1843" s="210"/>
      <c r="J1843" s="513">
        <v>244427.85</v>
      </c>
      <c r="K1843" s="513">
        <v>173.97</v>
      </c>
      <c r="L1843" s="513">
        <v>1405</v>
      </c>
      <c r="M1843" s="513" t="s">
        <v>6303</v>
      </c>
      <c r="N1843" s="513" t="s">
        <v>780</v>
      </c>
      <c r="O1843" s="513" t="s">
        <v>781</v>
      </c>
      <c r="P1843" s="518" t="s">
        <v>6369</v>
      </c>
      <c r="Q1843" s="152" t="s">
        <v>5873</v>
      </c>
      <c r="R1843" s="152" t="s">
        <v>6370</v>
      </c>
      <c r="S1843" s="152" t="s">
        <v>6392</v>
      </c>
      <c r="T1843" s="152" t="s">
        <v>6372</v>
      </c>
      <c r="U1843" s="152" t="s">
        <v>786</v>
      </c>
    </row>
    <row r="1844" spans="4:21">
      <c r="D1844" s="152" t="s">
        <v>2821</v>
      </c>
      <c r="G1844" s="474" t="s">
        <v>354</v>
      </c>
      <c r="H1844" s="210" t="s">
        <v>355</v>
      </c>
      <c r="I1844" s="210"/>
      <c r="J1844" s="513">
        <v>40969.800000000003</v>
      </c>
      <c r="K1844" s="513">
        <v>29.16</v>
      </c>
      <c r="L1844" s="513">
        <v>1405</v>
      </c>
      <c r="M1844" s="513" t="s">
        <v>6303</v>
      </c>
      <c r="N1844" s="513" t="s">
        <v>780</v>
      </c>
      <c r="O1844" s="513" t="s">
        <v>781</v>
      </c>
      <c r="P1844" s="518" t="s">
        <v>6369</v>
      </c>
      <c r="Q1844" s="152" t="s">
        <v>5873</v>
      </c>
      <c r="R1844" s="152" t="s">
        <v>6370</v>
      </c>
      <c r="S1844" s="152" t="s">
        <v>6404</v>
      </c>
      <c r="T1844" s="152" t="s">
        <v>6372</v>
      </c>
      <c r="U1844" s="152" t="s">
        <v>786</v>
      </c>
    </row>
    <row r="1845" spans="4:21">
      <c r="D1845" s="152" t="s">
        <v>2821</v>
      </c>
      <c r="G1845" s="474" t="s">
        <v>354</v>
      </c>
      <c r="H1845" s="210" t="s">
        <v>355</v>
      </c>
      <c r="I1845" s="210"/>
      <c r="J1845" s="513">
        <v>-550029.4</v>
      </c>
      <c r="K1845" s="513">
        <v>-391.48</v>
      </c>
      <c r="L1845" s="513">
        <v>1405</v>
      </c>
      <c r="M1845" s="513" t="s">
        <v>6303</v>
      </c>
      <c r="N1845" s="513" t="s">
        <v>780</v>
      </c>
      <c r="O1845" s="513" t="s">
        <v>1407</v>
      </c>
      <c r="P1845" s="518" t="s">
        <v>6418</v>
      </c>
      <c r="Q1845" s="152" t="s">
        <v>5873</v>
      </c>
      <c r="R1845" s="152" t="s">
        <v>6419</v>
      </c>
      <c r="S1845" s="152" t="s">
        <v>6420</v>
      </c>
      <c r="T1845" s="152" t="s">
        <v>6421</v>
      </c>
      <c r="U1845" s="152" t="s">
        <v>786</v>
      </c>
    </row>
    <row r="1846" spans="4:21">
      <c r="D1846" s="152" t="s">
        <v>2821</v>
      </c>
      <c r="G1846" s="474" t="s">
        <v>354</v>
      </c>
      <c r="H1846" s="210" t="s">
        <v>355</v>
      </c>
      <c r="I1846" s="210"/>
      <c r="J1846" s="513">
        <v>569277.9</v>
      </c>
      <c r="K1846" s="513">
        <v>405.18</v>
      </c>
      <c r="L1846" s="513">
        <v>1405</v>
      </c>
      <c r="M1846" s="513" t="s">
        <v>6303</v>
      </c>
      <c r="N1846" s="513" t="s">
        <v>780</v>
      </c>
      <c r="O1846" s="513" t="s">
        <v>1407</v>
      </c>
      <c r="P1846" s="518" t="s">
        <v>6369</v>
      </c>
      <c r="Q1846" s="152" t="s">
        <v>5873</v>
      </c>
      <c r="R1846" s="152" t="s">
        <v>6370</v>
      </c>
      <c r="S1846" s="152" t="s">
        <v>6422</v>
      </c>
      <c r="T1846" s="152" t="s">
        <v>6372</v>
      </c>
      <c r="U1846" s="152" t="s">
        <v>786</v>
      </c>
    </row>
    <row r="1847" spans="4:21">
      <c r="D1847" s="152" t="s">
        <v>2821</v>
      </c>
      <c r="G1847" s="474" t="s">
        <v>354</v>
      </c>
      <c r="H1847" s="210" t="s">
        <v>355</v>
      </c>
      <c r="I1847" s="210"/>
      <c r="J1847" s="513">
        <v>47334.45</v>
      </c>
      <c r="K1847" s="513">
        <v>33.69</v>
      </c>
      <c r="L1847" s="513">
        <v>1405</v>
      </c>
      <c r="M1847" s="513" t="s">
        <v>6303</v>
      </c>
      <c r="N1847" s="513" t="s">
        <v>780</v>
      </c>
      <c r="O1847" s="513" t="s">
        <v>1407</v>
      </c>
      <c r="P1847" s="518" t="s">
        <v>6369</v>
      </c>
      <c r="Q1847" s="152" t="s">
        <v>5873</v>
      </c>
      <c r="R1847" s="152" t="s">
        <v>6370</v>
      </c>
      <c r="S1847" s="152" t="s">
        <v>6424</v>
      </c>
      <c r="T1847" s="152" t="s">
        <v>6372</v>
      </c>
      <c r="U1847" s="152" t="s">
        <v>786</v>
      </c>
    </row>
    <row r="1848" spans="4:21">
      <c r="D1848" s="152" t="s">
        <v>2821</v>
      </c>
      <c r="G1848" s="474" t="s">
        <v>354</v>
      </c>
      <c r="H1848" s="210" t="s">
        <v>355</v>
      </c>
      <c r="I1848" s="210"/>
      <c r="J1848" s="513">
        <v>140935.54999999999</v>
      </c>
      <c r="K1848" s="513">
        <v>100.31</v>
      </c>
      <c r="L1848" s="513">
        <v>1405</v>
      </c>
      <c r="M1848" s="513" t="s">
        <v>6303</v>
      </c>
      <c r="N1848" s="513" t="s">
        <v>780</v>
      </c>
      <c r="O1848" s="513" t="s">
        <v>1407</v>
      </c>
      <c r="P1848" s="518" t="s">
        <v>6369</v>
      </c>
      <c r="Q1848" s="152" t="s">
        <v>5873</v>
      </c>
      <c r="R1848" s="152" t="s">
        <v>6370</v>
      </c>
      <c r="S1848" s="152" t="s">
        <v>6426</v>
      </c>
      <c r="T1848" s="152" t="s">
        <v>6372</v>
      </c>
      <c r="U1848" s="152" t="s">
        <v>786</v>
      </c>
    </row>
    <row r="1849" spans="4:21">
      <c r="D1849" s="152" t="s">
        <v>2821</v>
      </c>
      <c r="G1849" s="474" t="s">
        <v>354</v>
      </c>
      <c r="H1849" s="210" t="s">
        <v>355</v>
      </c>
      <c r="I1849" s="210"/>
      <c r="J1849" s="513">
        <v>179320.15</v>
      </c>
      <c r="K1849" s="513">
        <v>127.63</v>
      </c>
      <c r="L1849" s="513">
        <v>1405</v>
      </c>
      <c r="M1849" s="513" t="s">
        <v>6303</v>
      </c>
      <c r="N1849" s="513" t="s">
        <v>780</v>
      </c>
      <c r="O1849" s="513" t="s">
        <v>1407</v>
      </c>
      <c r="P1849" s="518" t="s">
        <v>6369</v>
      </c>
      <c r="Q1849" s="152" t="s">
        <v>5873</v>
      </c>
      <c r="R1849" s="152" t="s">
        <v>6370</v>
      </c>
      <c r="S1849" s="152" t="s">
        <v>6428</v>
      </c>
      <c r="T1849" s="152" t="s">
        <v>6372</v>
      </c>
      <c r="U1849" s="152" t="s">
        <v>786</v>
      </c>
    </row>
    <row r="1850" spans="4:21">
      <c r="D1850" s="152" t="s">
        <v>2821</v>
      </c>
      <c r="G1850" s="474" t="s">
        <v>354</v>
      </c>
      <c r="H1850" s="210" t="s">
        <v>355</v>
      </c>
      <c r="I1850" s="210"/>
      <c r="J1850" s="513">
        <v>734674.5</v>
      </c>
      <c r="K1850" s="513">
        <v>522.9</v>
      </c>
      <c r="L1850" s="513">
        <v>1405</v>
      </c>
      <c r="M1850" s="513" t="s">
        <v>6303</v>
      </c>
      <c r="N1850" s="513" t="s">
        <v>780</v>
      </c>
      <c r="O1850" s="513" t="s">
        <v>1407</v>
      </c>
      <c r="P1850" s="518" t="s">
        <v>6369</v>
      </c>
      <c r="Q1850" s="152" t="s">
        <v>5873</v>
      </c>
      <c r="R1850" s="152" t="s">
        <v>6370</v>
      </c>
      <c r="S1850" s="152" t="s">
        <v>6430</v>
      </c>
      <c r="T1850" s="152" t="s">
        <v>6372</v>
      </c>
      <c r="U1850" s="152" t="s">
        <v>786</v>
      </c>
    </row>
    <row r="1851" spans="4:21">
      <c r="D1851" s="152" t="s">
        <v>2821</v>
      </c>
      <c r="G1851" s="474" t="s">
        <v>354</v>
      </c>
      <c r="H1851" s="210" t="s">
        <v>355</v>
      </c>
      <c r="I1851" s="210"/>
      <c r="J1851" s="513">
        <v>233609.35</v>
      </c>
      <c r="K1851" s="513">
        <v>166.27</v>
      </c>
      <c r="L1851" s="513">
        <v>1405</v>
      </c>
      <c r="M1851" s="513" t="s">
        <v>6303</v>
      </c>
      <c r="N1851" s="513" t="s">
        <v>780</v>
      </c>
      <c r="O1851" s="513" t="s">
        <v>1407</v>
      </c>
      <c r="P1851" s="518" t="s">
        <v>6369</v>
      </c>
      <c r="Q1851" s="152" t="s">
        <v>5873</v>
      </c>
      <c r="R1851" s="152" t="s">
        <v>6370</v>
      </c>
      <c r="S1851" s="152" t="s">
        <v>6432</v>
      </c>
      <c r="T1851" s="152" t="s">
        <v>6372</v>
      </c>
      <c r="U1851" s="152" t="s">
        <v>786</v>
      </c>
    </row>
    <row r="1852" spans="4:21">
      <c r="D1852" s="152" t="s">
        <v>2821</v>
      </c>
      <c r="G1852" s="474" t="s">
        <v>354</v>
      </c>
      <c r="H1852" s="210" t="s">
        <v>355</v>
      </c>
      <c r="I1852" s="210"/>
      <c r="J1852" s="513">
        <v>34422.5</v>
      </c>
      <c r="K1852" s="513">
        <v>24.5</v>
      </c>
      <c r="L1852" s="513">
        <v>1405</v>
      </c>
      <c r="M1852" s="513" t="s">
        <v>6303</v>
      </c>
      <c r="N1852" s="513" t="s">
        <v>780</v>
      </c>
      <c r="O1852" s="513" t="s">
        <v>1407</v>
      </c>
      <c r="P1852" s="518" t="s">
        <v>6369</v>
      </c>
      <c r="Q1852" s="152" t="s">
        <v>5873</v>
      </c>
      <c r="R1852" s="152" t="s">
        <v>6370</v>
      </c>
      <c r="S1852" s="152" t="s">
        <v>6435</v>
      </c>
      <c r="T1852" s="152" t="s">
        <v>6372</v>
      </c>
      <c r="U1852" s="152" t="s">
        <v>786</v>
      </c>
    </row>
    <row r="1853" spans="4:21">
      <c r="D1853" s="152" t="s">
        <v>2821</v>
      </c>
      <c r="G1853" s="474" t="s">
        <v>354</v>
      </c>
      <c r="H1853" s="210" t="s">
        <v>355</v>
      </c>
      <c r="I1853" s="210"/>
      <c r="J1853" s="513">
        <v>-113847.15</v>
      </c>
      <c r="K1853" s="513">
        <v>-81.03</v>
      </c>
      <c r="L1853" s="513">
        <v>1405</v>
      </c>
      <c r="M1853" s="513" t="s">
        <v>6303</v>
      </c>
      <c r="N1853" s="513" t="s">
        <v>780</v>
      </c>
      <c r="O1853" s="513" t="s">
        <v>1407</v>
      </c>
      <c r="P1853" s="518" t="s">
        <v>6418</v>
      </c>
      <c r="Q1853" s="152" t="s">
        <v>5873</v>
      </c>
      <c r="R1853" s="152" t="s">
        <v>6419</v>
      </c>
      <c r="S1853" s="152" t="s">
        <v>6437</v>
      </c>
      <c r="T1853" s="152" t="s">
        <v>6421</v>
      </c>
      <c r="U1853" s="152" t="s">
        <v>786</v>
      </c>
    </row>
    <row r="1854" spans="4:21">
      <c r="D1854" s="152" t="s">
        <v>2821</v>
      </c>
      <c r="G1854" s="474" t="s">
        <v>354</v>
      </c>
      <c r="H1854" s="210" t="s">
        <v>355</v>
      </c>
      <c r="I1854" s="210"/>
      <c r="J1854" s="513">
        <v>117823.3</v>
      </c>
      <c r="K1854" s="513">
        <v>83.86</v>
      </c>
      <c r="L1854" s="513">
        <v>1405</v>
      </c>
      <c r="M1854" s="513" t="s">
        <v>6303</v>
      </c>
      <c r="N1854" s="513" t="s">
        <v>780</v>
      </c>
      <c r="O1854" s="513" t="s">
        <v>1407</v>
      </c>
      <c r="P1854" s="518" t="s">
        <v>6369</v>
      </c>
      <c r="Q1854" s="152" t="s">
        <v>5873</v>
      </c>
      <c r="R1854" s="152" t="s">
        <v>6370</v>
      </c>
      <c r="S1854" s="152" t="s">
        <v>6438</v>
      </c>
      <c r="T1854" s="152" t="s">
        <v>6372</v>
      </c>
      <c r="U1854" s="152" t="s">
        <v>786</v>
      </c>
    </row>
    <row r="1855" spans="4:21">
      <c r="D1855" s="152" t="s">
        <v>2821</v>
      </c>
      <c r="G1855" s="474" t="s">
        <v>354</v>
      </c>
      <c r="H1855" s="210" t="s">
        <v>355</v>
      </c>
      <c r="I1855" s="210"/>
      <c r="J1855" s="513">
        <v>-206296.15</v>
      </c>
      <c r="K1855" s="513">
        <v>-146.83000000000001</v>
      </c>
      <c r="L1855" s="513">
        <v>1405</v>
      </c>
      <c r="M1855" s="513" t="s">
        <v>6303</v>
      </c>
      <c r="N1855" s="513" t="s">
        <v>780</v>
      </c>
      <c r="O1855" s="513" t="s">
        <v>1407</v>
      </c>
      <c r="P1855" s="518" t="s">
        <v>6418</v>
      </c>
      <c r="Q1855" s="152" t="s">
        <v>5873</v>
      </c>
      <c r="R1855" s="152" t="s">
        <v>6419</v>
      </c>
      <c r="S1855" s="152" t="s">
        <v>6439</v>
      </c>
      <c r="T1855" s="152" t="s">
        <v>6421</v>
      </c>
      <c r="U1855" s="152" t="s">
        <v>786</v>
      </c>
    </row>
    <row r="1856" spans="4:21">
      <c r="D1856" s="152" t="s">
        <v>2821</v>
      </c>
      <c r="G1856" s="474" t="s">
        <v>354</v>
      </c>
      <c r="H1856" s="210" t="s">
        <v>355</v>
      </c>
      <c r="I1856" s="210"/>
      <c r="J1856" s="513">
        <v>213503.8</v>
      </c>
      <c r="K1856" s="513">
        <v>151.96</v>
      </c>
      <c r="L1856" s="513">
        <v>1405</v>
      </c>
      <c r="M1856" s="513" t="s">
        <v>6303</v>
      </c>
      <c r="N1856" s="513" t="s">
        <v>780</v>
      </c>
      <c r="O1856" s="513" t="s">
        <v>1407</v>
      </c>
      <c r="P1856" s="518" t="s">
        <v>6369</v>
      </c>
      <c r="Q1856" s="152" t="s">
        <v>5873</v>
      </c>
      <c r="R1856" s="152" t="s">
        <v>6370</v>
      </c>
      <c r="S1856" s="152" t="s">
        <v>6440</v>
      </c>
      <c r="T1856" s="152" t="s">
        <v>6372</v>
      </c>
      <c r="U1856" s="152" t="s">
        <v>786</v>
      </c>
    </row>
    <row r="1857" spans="4:21">
      <c r="D1857" s="152" t="s">
        <v>2821</v>
      </c>
      <c r="G1857" s="474" t="s">
        <v>354</v>
      </c>
      <c r="H1857" s="210" t="s">
        <v>355</v>
      </c>
      <c r="I1857" s="210"/>
      <c r="J1857" s="513">
        <v>-41307</v>
      </c>
      <c r="K1857" s="513">
        <v>-29.4</v>
      </c>
      <c r="L1857" s="513">
        <v>1405</v>
      </c>
      <c r="M1857" s="513" t="s">
        <v>6303</v>
      </c>
      <c r="N1857" s="513" t="s">
        <v>780</v>
      </c>
      <c r="O1857" s="513" t="s">
        <v>1407</v>
      </c>
      <c r="P1857" s="518" t="s">
        <v>6418</v>
      </c>
      <c r="Q1857" s="152" t="s">
        <v>5873</v>
      </c>
      <c r="R1857" s="152" t="s">
        <v>6419</v>
      </c>
      <c r="S1857" s="152" t="s">
        <v>6441</v>
      </c>
      <c r="T1857" s="152" t="s">
        <v>6421</v>
      </c>
      <c r="U1857" s="152" t="s">
        <v>786</v>
      </c>
    </row>
    <row r="1858" spans="4:21">
      <c r="D1858" s="152" t="s">
        <v>2821</v>
      </c>
      <c r="G1858" s="474" t="s">
        <v>354</v>
      </c>
      <c r="H1858" s="210" t="s">
        <v>355</v>
      </c>
      <c r="I1858" s="210"/>
      <c r="J1858" s="513">
        <v>-59010</v>
      </c>
      <c r="K1858" s="513">
        <v>-42</v>
      </c>
      <c r="L1858" s="513">
        <v>1405</v>
      </c>
      <c r="M1858" s="513" t="s">
        <v>6303</v>
      </c>
      <c r="N1858" s="513" t="s">
        <v>780</v>
      </c>
      <c r="O1858" s="513" t="s">
        <v>1407</v>
      </c>
      <c r="P1858" s="518" t="s">
        <v>6418</v>
      </c>
      <c r="Q1858" s="152" t="s">
        <v>5873</v>
      </c>
      <c r="R1858" s="152" t="s">
        <v>6419</v>
      </c>
      <c r="S1858" s="152" t="s">
        <v>6441</v>
      </c>
      <c r="T1858" s="152" t="s">
        <v>6421</v>
      </c>
      <c r="U1858" s="152" t="s">
        <v>786</v>
      </c>
    </row>
    <row r="1859" spans="4:21">
      <c r="D1859" s="152" t="s">
        <v>2821</v>
      </c>
      <c r="G1859" s="474" t="s">
        <v>354</v>
      </c>
      <c r="H1859" s="210" t="s">
        <v>355</v>
      </c>
      <c r="I1859" s="210"/>
      <c r="J1859" s="513">
        <v>61075.35</v>
      </c>
      <c r="K1859" s="513">
        <v>43.47</v>
      </c>
      <c r="L1859" s="513">
        <v>1405</v>
      </c>
      <c r="M1859" s="513" t="s">
        <v>6303</v>
      </c>
      <c r="N1859" s="513" t="s">
        <v>780</v>
      </c>
      <c r="O1859" s="513" t="s">
        <v>1407</v>
      </c>
      <c r="P1859" s="518" t="s">
        <v>6369</v>
      </c>
      <c r="Q1859" s="152" t="s">
        <v>5873</v>
      </c>
      <c r="R1859" s="152" t="s">
        <v>6370</v>
      </c>
      <c r="S1859" s="152" t="s">
        <v>6442</v>
      </c>
      <c r="T1859" s="152" t="s">
        <v>6372</v>
      </c>
      <c r="U1859" s="152" t="s">
        <v>786</v>
      </c>
    </row>
    <row r="1860" spans="4:21">
      <c r="D1860" s="152" t="s">
        <v>2821</v>
      </c>
      <c r="G1860" s="474" t="s">
        <v>354</v>
      </c>
      <c r="H1860" s="210" t="s">
        <v>355</v>
      </c>
      <c r="I1860" s="210"/>
      <c r="J1860" s="513">
        <v>42754.15</v>
      </c>
      <c r="K1860" s="513">
        <v>30.43</v>
      </c>
      <c r="L1860" s="513">
        <v>1405</v>
      </c>
      <c r="M1860" s="513" t="s">
        <v>6303</v>
      </c>
      <c r="N1860" s="513" t="s">
        <v>780</v>
      </c>
      <c r="O1860" s="513" t="s">
        <v>1407</v>
      </c>
      <c r="P1860" s="518" t="s">
        <v>6369</v>
      </c>
      <c r="Q1860" s="152" t="s">
        <v>5873</v>
      </c>
      <c r="R1860" s="152" t="s">
        <v>6370</v>
      </c>
      <c r="S1860" s="152" t="s">
        <v>6442</v>
      </c>
      <c r="T1860" s="152" t="s">
        <v>6372</v>
      </c>
      <c r="U1860" s="152" t="s">
        <v>786</v>
      </c>
    </row>
    <row r="1861" spans="4:21">
      <c r="D1861" s="152" t="s">
        <v>2821</v>
      </c>
      <c r="G1861" s="474" t="s">
        <v>354</v>
      </c>
      <c r="H1861" s="210" t="s">
        <v>355</v>
      </c>
      <c r="I1861" s="210"/>
      <c r="J1861" s="513">
        <v>-107075.05</v>
      </c>
      <c r="K1861" s="513">
        <v>-76.209999999999994</v>
      </c>
      <c r="L1861" s="513">
        <v>1405</v>
      </c>
      <c r="M1861" s="513" t="s">
        <v>6303</v>
      </c>
      <c r="N1861" s="513" t="s">
        <v>780</v>
      </c>
      <c r="O1861" s="513" t="s">
        <v>1407</v>
      </c>
      <c r="P1861" s="518" t="s">
        <v>6418</v>
      </c>
      <c r="Q1861" s="152" t="s">
        <v>5873</v>
      </c>
      <c r="R1861" s="152" t="s">
        <v>6419</v>
      </c>
      <c r="S1861" s="152" t="s">
        <v>6443</v>
      </c>
      <c r="T1861" s="152" t="s">
        <v>6421</v>
      </c>
      <c r="U1861" s="152" t="s">
        <v>786</v>
      </c>
    </row>
    <row r="1862" spans="4:21">
      <c r="D1862" s="152" t="s">
        <v>2821</v>
      </c>
      <c r="G1862" s="474" t="s">
        <v>354</v>
      </c>
      <c r="H1862" s="210" t="s">
        <v>355</v>
      </c>
      <c r="I1862" s="210"/>
      <c r="J1862" s="513">
        <v>110826.4</v>
      </c>
      <c r="K1862" s="513">
        <v>78.88</v>
      </c>
      <c r="L1862" s="513">
        <v>1405</v>
      </c>
      <c r="M1862" s="513" t="s">
        <v>6303</v>
      </c>
      <c r="N1862" s="513" t="s">
        <v>780</v>
      </c>
      <c r="O1862" s="513" t="s">
        <v>1407</v>
      </c>
      <c r="P1862" s="518" t="s">
        <v>6369</v>
      </c>
      <c r="Q1862" s="152" t="s">
        <v>5873</v>
      </c>
      <c r="R1862" s="152" t="s">
        <v>6370</v>
      </c>
      <c r="S1862" s="152" t="s">
        <v>6444</v>
      </c>
      <c r="T1862" s="152" t="s">
        <v>6372</v>
      </c>
      <c r="U1862" s="152" t="s">
        <v>786</v>
      </c>
    </row>
    <row r="1863" spans="4:21">
      <c r="D1863" s="152" t="s">
        <v>2821</v>
      </c>
      <c r="G1863" s="474" t="s">
        <v>354</v>
      </c>
      <c r="H1863" s="210" t="s">
        <v>355</v>
      </c>
      <c r="I1863" s="210"/>
      <c r="J1863" s="513">
        <v>-194367.7</v>
      </c>
      <c r="K1863" s="513">
        <v>-138.34</v>
      </c>
      <c r="L1863" s="513">
        <v>1405</v>
      </c>
      <c r="M1863" s="513" t="s">
        <v>6303</v>
      </c>
      <c r="N1863" s="513" t="s">
        <v>780</v>
      </c>
      <c r="O1863" s="513" t="s">
        <v>1407</v>
      </c>
      <c r="P1863" s="518" t="s">
        <v>6418</v>
      </c>
      <c r="Q1863" s="152" t="s">
        <v>5873</v>
      </c>
      <c r="R1863" s="152" t="s">
        <v>6419</v>
      </c>
      <c r="S1863" s="152" t="s">
        <v>6450</v>
      </c>
      <c r="T1863" s="152" t="s">
        <v>6421</v>
      </c>
      <c r="U1863" s="152" t="s">
        <v>786</v>
      </c>
    </row>
    <row r="1864" spans="4:21">
      <c r="D1864" s="152" t="s">
        <v>2821</v>
      </c>
      <c r="G1864" s="474" t="s">
        <v>354</v>
      </c>
      <c r="H1864" s="210" t="s">
        <v>355</v>
      </c>
      <c r="I1864" s="210"/>
      <c r="J1864" s="513">
        <v>201167.9</v>
      </c>
      <c r="K1864" s="513">
        <v>143.18</v>
      </c>
      <c r="L1864" s="513">
        <v>1405</v>
      </c>
      <c r="M1864" s="513" t="s">
        <v>6303</v>
      </c>
      <c r="N1864" s="513" t="s">
        <v>780</v>
      </c>
      <c r="O1864" s="513" t="s">
        <v>1407</v>
      </c>
      <c r="P1864" s="518" t="s">
        <v>6369</v>
      </c>
      <c r="Q1864" s="152" t="s">
        <v>5873</v>
      </c>
      <c r="R1864" s="152" t="s">
        <v>6370</v>
      </c>
      <c r="S1864" s="152" t="s">
        <v>6451</v>
      </c>
      <c r="T1864" s="152" t="s">
        <v>6372</v>
      </c>
      <c r="U1864" s="152" t="s">
        <v>786</v>
      </c>
    </row>
    <row r="1865" spans="4:21">
      <c r="D1865" s="152" t="s">
        <v>2821</v>
      </c>
      <c r="G1865" s="474" t="s">
        <v>354</v>
      </c>
      <c r="H1865" s="210" t="s">
        <v>355</v>
      </c>
      <c r="I1865" s="210"/>
      <c r="J1865" s="513">
        <v>-9596.15</v>
      </c>
      <c r="K1865" s="513">
        <v>-6.83</v>
      </c>
      <c r="L1865" s="513">
        <v>1405</v>
      </c>
      <c r="M1865" s="513" t="s">
        <v>6303</v>
      </c>
      <c r="N1865" s="513" t="s">
        <v>780</v>
      </c>
      <c r="O1865" s="513" t="s">
        <v>1407</v>
      </c>
      <c r="P1865" s="518" t="s">
        <v>6418</v>
      </c>
      <c r="Q1865" s="152" t="s">
        <v>5873</v>
      </c>
      <c r="R1865" s="152" t="s">
        <v>6419</v>
      </c>
      <c r="S1865" s="152" t="s">
        <v>6452</v>
      </c>
      <c r="T1865" s="152" t="s">
        <v>6421</v>
      </c>
      <c r="U1865" s="152" t="s">
        <v>786</v>
      </c>
    </row>
    <row r="1866" spans="4:21">
      <c r="D1866" s="152" t="s">
        <v>2821</v>
      </c>
      <c r="G1866" s="474" t="s">
        <v>354</v>
      </c>
      <c r="H1866" s="210" t="s">
        <v>355</v>
      </c>
      <c r="I1866" s="210"/>
      <c r="J1866" s="513">
        <v>9919.2999999999993</v>
      </c>
      <c r="K1866" s="513">
        <v>7.06</v>
      </c>
      <c r="L1866" s="513">
        <v>1405</v>
      </c>
      <c r="M1866" s="513" t="s">
        <v>6303</v>
      </c>
      <c r="N1866" s="513" t="s">
        <v>780</v>
      </c>
      <c r="O1866" s="513" t="s">
        <v>1407</v>
      </c>
      <c r="P1866" s="518" t="s">
        <v>6369</v>
      </c>
      <c r="Q1866" s="152" t="s">
        <v>5873</v>
      </c>
      <c r="R1866" s="152" t="s">
        <v>6370</v>
      </c>
      <c r="S1866" s="152" t="s">
        <v>6453</v>
      </c>
      <c r="T1866" s="152" t="s">
        <v>6372</v>
      </c>
      <c r="U1866" s="152" t="s">
        <v>786</v>
      </c>
    </row>
    <row r="1867" spans="4:21">
      <c r="D1867" s="152" t="s">
        <v>2821</v>
      </c>
      <c r="G1867" s="474" t="s">
        <v>354</v>
      </c>
      <c r="H1867" s="210" t="s">
        <v>355</v>
      </c>
      <c r="I1867" s="210"/>
      <c r="J1867" s="513">
        <v>-24587.5</v>
      </c>
      <c r="K1867" s="513">
        <v>-17.5</v>
      </c>
      <c r="L1867" s="513">
        <v>1405</v>
      </c>
      <c r="M1867" s="513" t="s">
        <v>6303</v>
      </c>
      <c r="N1867" s="513" t="s">
        <v>780</v>
      </c>
      <c r="O1867" s="513" t="s">
        <v>1407</v>
      </c>
      <c r="P1867" s="518" t="s">
        <v>6418</v>
      </c>
      <c r="Q1867" s="152" t="s">
        <v>5873</v>
      </c>
      <c r="R1867" s="152" t="s">
        <v>6419</v>
      </c>
      <c r="S1867" s="152" t="s">
        <v>6454</v>
      </c>
      <c r="T1867" s="152" t="s">
        <v>6421</v>
      </c>
      <c r="U1867" s="152" t="s">
        <v>786</v>
      </c>
    </row>
    <row r="1868" spans="4:21">
      <c r="D1868" s="152" t="s">
        <v>2821</v>
      </c>
      <c r="G1868" s="474" t="s">
        <v>354</v>
      </c>
      <c r="H1868" s="210" t="s">
        <v>355</v>
      </c>
      <c r="I1868" s="210"/>
      <c r="J1868" s="513">
        <v>25444.55</v>
      </c>
      <c r="K1868" s="513">
        <v>18.11</v>
      </c>
      <c r="L1868" s="513">
        <v>1405</v>
      </c>
      <c r="M1868" s="513" t="s">
        <v>6303</v>
      </c>
      <c r="N1868" s="513" t="s">
        <v>780</v>
      </c>
      <c r="O1868" s="513" t="s">
        <v>1407</v>
      </c>
      <c r="P1868" s="518" t="s">
        <v>6369</v>
      </c>
      <c r="Q1868" s="152" t="s">
        <v>5873</v>
      </c>
      <c r="R1868" s="152" t="s">
        <v>6370</v>
      </c>
      <c r="S1868" s="152" t="s">
        <v>6455</v>
      </c>
      <c r="T1868" s="152" t="s">
        <v>6372</v>
      </c>
      <c r="U1868" s="152" t="s">
        <v>786</v>
      </c>
    </row>
    <row r="1869" spans="4:21">
      <c r="D1869" s="152" t="s">
        <v>2821</v>
      </c>
      <c r="G1869" s="474" t="s">
        <v>354</v>
      </c>
      <c r="H1869" s="210" t="s">
        <v>355</v>
      </c>
      <c r="I1869" s="210"/>
      <c r="J1869" s="513">
        <v>-175920.05</v>
      </c>
      <c r="K1869" s="513">
        <v>-125.21</v>
      </c>
      <c r="L1869" s="513">
        <v>1405</v>
      </c>
      <c r="M1869" s="513" t="s">
        <v>6303</v>
      </c>
      <c r="N1869" s="513" t="s">
        <v>780</v>
      </c>
      <c r="O1869" s="513" t="s">
        <v>1407</v>
      </c>
      <c r="P1869" s="518" t="s">
        <v>6418</v>
      </c>
      <c r="Q1869" s="152" t="s">
        <v>5873</v>
      </c>
      <c r="R1869" s="152" t="s">
        <v>6419</v>
      </c>
      <c r="S1869" s="152" t="s">
        <v>6456</v>
      </c>
      <c r="T1869" s="152" t="s">
        <v>6421</v>
      </c>
      <c r="U1869" s="152" t="s">
        <v>786</v>
      </c>
    </row>
    <row r="1870" spans="4:21">
      <c r="D1870" s="152" t="s">
        <v>2821</v>
      </c>
      <c r="G1870" s="474" t="s">
        <v>354</v>
      </c>
      <c r="H1870" s="210" t="s">
        <v>355</v>
      </c>
      <c r="I1870" s="210"/>
      <c r="J1870" s="513">
        <v>182073.95</v>
      </c>
      <c r="K1870" s="513">
        <v>129.59</v>
      </c>
      <c r="L1870" s="513">
        <v>1405</v>
      </c>
      <c r="M1870" s="513" t="s">
        <v>6303</v>
      </c>
      <c r="N1870" s="513" t="s">
        <v>780</v>
      </c>
      <c r="O1870" s="513" t="s">
        <v>1407</v>
      </c>
      <c r="P1870" s="518" t="s">
        <v>6369</v>
      </c>
      <c r="Q1870" s="152" t="s">
        <v>5873</v>
      </c>
      <c r="R1870" s="152" t="s">
        <v>6370</v>
      </c>
      <c r="S1870" s="152" t="s">
        <v>6457</v>
      </c>
      <c r="T1870" s="152" t="s">
        <v>6372</v>
      </c>
      <c r="U1870" s="152" t="s">
        <v>786</v>
      </c>
    </row>
    <row r="1871" spans="4:21">
      <c r="D1871" s="152" t="s">
        <v>2821</v>
      </c>
      <c r="G1871" s="474" t="s">
        <v>354</v>
      </c>
      <c r="H1871" s="210" t="s">
        <v>355</v>
      </c>
      <c r="I1871" s="210"/>
      <c r="J1871" s="513">
        <v>-137942.9</v>
      </c>
      <c r="K1871" s="513">
        <v>-98.18</v>
      </c>
      <c r="L1871" s="513">
        <v>1405</v>
      </c>
      <c r="M1871" s="513" t="s">
        <v>6303</v>
      </c>
      <c r="N1871" s="513" t="s">
        <v>780</v>
      </c>
      <c r="O1871" s="513" t="s">
        <v>1407</v>
      </c>
      <c r="P1871" s="518" t="s">
        <v>6418</v>
      </c>
      <c r="Q1871" s="152" t="s">
        <v>5873</v>
      </c>
      <c r="R1871" s="152" t="s">
        <v>6419</v>
      </c>
      <c r="S1871" s="152" t="s">
        <v>6458</v>
      </c>
      <c r="T1871" s="152" t="s">
        <v>6421</v>
      </c>
      <c r="U1871" s="152" t="s">
        <v>786</v>
      </c>
    </row>
    <row r="1872" spans="4:21">
      <c r="D1872" s="152" t="s">
        <v>2821</v>
      </c>
      <c r="G1872" s="474" t="s">
        <v>354</v>
      </c>
      <c r="H1872" s="210" t="s">
        <v>355</v>
      </c>
      <c r="I1872" s="210"/>
      <c r="J1872" s="513">
        <v>142762.04999999999</v>
      </c>
      <c r="K1872" s="513">
        <v>101.61</v>
      </c>
      <c r="L1872" s="513">
        <v>1405</v>
      </c>
      <c r="M1872" s="513" t="s">
        <v>6303</v>
      </c>
      <c r="N1872" s="513" t="s">
        <v>780</v>
      </c>
      <c r="O1872" s="513" t="s">
        <v>1407</v>
      </c>
      <c r="P1872" s="518" t="s">
        <v>6369</v>
      </c>
      <c r="Q1872" s="152" t="s">
        <v>5873</v>
      </c>
      <c r="R1872" s="152" t="s">
        <v>6370</v>
      </c>
      <c r="S1872" s="152" t="s">
        <v>6459</v>
      </c>
      <c r="T1872" s="152" t="s">
        <v>6372</v>
      </c>
      <c r="U1872" s="152" t="s">
        <v>786</v>
      </c>
    </row>
    <row r="1873" spans="4:21">
      <c r="D1873" s="152" t="s">
        <v>2821</v>
      </c>
      <c r="G1873" s="474" t="s">
        <v>354</v>
      </c>
      <c r="H1873" s="210" t="s">
        <v>355</v>
      </c>
      <c r="I1873" s="210"/>
      <c r="J1873" s="513">
        <v>-64672.15</v>
      </c>
      <c r="K1873" s="513">
        <v>-46.03</v>
      </c>
      <c r="L1873" s="513">
        <v>1405</v>
      </c>
      <c r="M1873" s="513" t="s">
        <v>6303</v>
      </c>
      <c r="N1873" s="513" t="s">
        <v>780</v>
      </c>
      <c r="O1873" s="513" t="s">
        <v>1407</v>
      </c>
      <c r="P1873" s="518" t="s">
        <v>6418</v>
      </c>
      <c r="Q1873" s="152" t="s">
        <v>5873</v>
      </c>
      <c r="R1873" s="152" t="s">
        <v>6419</v>
      </c>
      <c r="S1873" s="152" t="s">
        <v>6460</v>
      </c>
      <c r="T1873" s="152" t="s">
        <v>6421</v>
      </c>
      <c r="U1873" s="152" t="s">
        <v>786</v>
      </c>
    </row>
    <row r="1874" spans="4:21">
      <c r="D1874" s="152" t="s">
        <v>2821</v>
      </c>
      <c r="G1874" s="474" t="s">
        <v>354</v>
      </c>
      <c r="H1874" s="210" t="s">
        <v>355</v>
      </c>
      <c r="I1874" s="210"/>
      <c r="J1874" s="513">
        <v>66934.2</v>
      </c>
      <c r="K1874" s="513">
        <v>47.64</v>
      </c>
      <c r="L1874" s="513">
        <v>1405</v>
      </c>
      <c r="M1874" s="513" t="s">
        <v>6303</v>
      </c>
      <c r="N1874" s="513" t="s">
        <v>780</v>
      </c>
      <c r="O1874" s="513" t="s">
        <v>1407</v>
      </c>
      <c r="P1874" s="518" t="s">
        <v>6369</v>
      </c>
      <c r="Q1874" s="152" t="s">
        <v>5873</v>
      </c>
      <c r="R1874" s="152" t="s">
        <v>6370</v>
      </c>
      <c r="S1874" s="152" t="s">
        <v>6461</v>
      </c>
      <c r="T1874" s="152" t="s">
        <v>6372</v>
      </c>
      <c r="U1874" s="152" t="s">
        <v>786</v>
      </c>
    </row>
    <row r="1875" spans="4:21">
      <c r="D1875" s="152" t="s">
        <v>2821</v>
      </c>
      <c r="G1875" s="474" t="s">
        <v>354</v>
      </c>
      <c r="H1875" s="210" t="s">
        <v>355</v>
      </c>
      <c r="I1875" s="210"/>
      <c r="J1875" s="513">
        <v>-90608.45</v>
      </c>
      <c r="K1875" s="513">
        <v>-64.489999999999995</v>
      </c>
      <c r="L1875" s="513">
        <v>1405</v>
      </c>
      <c r="M1875" s="513" t="s">
        <v>6303</v>
      </c>
      <c r="N1875" s="513" t="s">
        <v>780</v>
      </c>
      <c r="O1875" s="513" t="s">
        <v>1407</v>
      </c>
      <c r="P1875" s="518" t="s">
        <v>6418</v>
      </c>
      <c r="Q1875" s="152" t="s">
        <v>5873</v>
      </c>
      <c r="R1875" s="152" t="s">
        <v>6419</v>
      </c>
      <c r="S1875" s="152" t="s">
        <v>6462</v>
      </c>
      <c r="T1875" s="152" t="s">
        <v>6421</v>
      </c>
      <c r="U1875" s="152" t="s">
        <v>786</v>
      </c>
    </row>
    <row r="1876" spans="4:21">
      <c r="D1876" s="152" t="s">
        <v>2821</v>
      </c>
      <c r="G1876" s="474" t="s">
        <v>354</v>
      </c>
      <c r="H1876" s="210" t="s">
        <v>355</v>
      </c>
      <c r="I1876" s="210"/>
      <c r="J1876" s="513">
        <v>93769.7</v>
      </c>
      <c r="K1876" s="513">
        <v>66.739999999999995</v>
      </c>
      <c r="L1876" s="513">
        <v>1405</v>
      </c>
      <c r="M1876" s="513" t="s">
        <v>6303</v>
      </c>
      <c r="N1876" s="513" t="s">
        <v>780</v>
      </c>
      <c r="O1876" s="513" t="s">
        <v>1407</v>
      </c>
      <c r="P1876" s="518" t="s">
        <v>6369</v>
      </c>
      <c r="Q1876" s="152" t="s">
        <v>5873</v>
      </c>
      <c r="R1876" s="152" t="s">
        <v>6370</v>
      </c>
      <c r="S1876" s="152" t="s">
        <v>6463</v>
      </c>
      <c r="T1876" s="152" t="s">
        <v>6372</v>
      </c>
      <c r="U1876" s="152" t="s">
        <v>786</v>
      </c>
    </row>
    <row r="1877" spans="4:21">
      <c r="D1877" s="152" t="s">
        <v>2821</v>
      </c>
      <c r="G1877" s="474" t="s">
        <v>354</v>
      </c>
      <c r="H1877" s="210" t="s">
        <v>355</v>
      </c>
      <c r="I1877" s="210"/>
      <c r="J1877" s="513">
        <v>-147525</v>
      </c>
      <c r="K1877" s="513">
        <v>-105</v>
      </c>
      <c r="L1877" s="513">
        <v>1405</v>
      </c>
      <c r="M1877" s="513" t="s">
        <v>6303</v>
      </c>
      <c r="N1877" s="513" t="s">
        <v>780</v>
      </c>
      <c r="O1877" s="513" t="s">
        <v>1407</v>
      </c>
      <c r="P1877" s="518" t="s">
        <v>6418</v>
      </c>
      <c r="Q1877" s="152" t="s">
        <v>5873</v>
      </c>
      <c r="R1877" s="152" t="s">
        <v>6419</v>
      </c>
      <c r="S1877" s="152" t="s">
        <v>6464</v>
      </c>
      <c r="T1877" s="152" t="s">
        <v>6421</v>
      </c>
      <c r="U1877" s="152" t="s">
        <v>786</v>
      </c>
    </row>
    <row r="1878" spans="4:21">
      <c r="D1878" s="152" t="s">
        <v>2821</v>
      </c>
      <c r="G1878" s="474" t="s">
        <v>354</v>
      </c>
      <c r="H1878" s="210" t="s">
        <v>355</v>
      </c>
      <c r="I1878" s="210"/>
      <c r="J1878" s="513">
        <v>-6392.75</v>
      </c>
      <c r="K1878" s="513">
        <v>-4.55</v>
      </c>
      <c r="L1878" s="513">
        <v>1405</v>
      </c>
      <c r="M1878" s="513" t="s">
        <v>6303</v>
      </c>
      <c r="N1878" s="513" t="s">
        <v>780</v>
      </c>
      <c r="O1878" s="513" t="s">
        <v>1407</v>
      </c>
      <c r="P1878" s="518" t="s">
        <v>6418</v>
      </c>
      <c r="Q1878" s="152" t="s">
        <v>5873</v>
      </c>
      <c r="R1878" s="152" t="s">
        <v>6419</v>
      </c>
      <c r="S1878" s="152" t="s">
        <v>6464</v>
      </c>
      <c r="T1878" s="152" t="s">
        <v>6421</v>
      </c>
      <c r="U1878" s="152" t="s">
        <v>786</v>
      </c>
    </row>
    <row r="1879" spans="4:21">
      <c r="D1879" s="152" t="s">
        <v>2821</v>
      </c>
      <c r="G1879" s="474" t="s">
        <v>354</v>
      </c>
      <c r="H1879" s="210" t="s">
        <v>355</v>
      </c>
      <c r="I1879" s="210"/>
      <c r="J1879" s="513">
        <v>6617.55</v>
      </c>
      <c r="K1879" s="513">
        <v>4.71</v>
      </c>
      <c r="L1879" s="513">
        <v>1405</v>
      </c>
      <c r="M1879" s="513" t="s">
        <v>6303</v>
      </c>
      <c r="N1879" s="513" t="s">
        <v>780</v>
      </c>
      <c r="O1879" s="513" t="s">
        <v>1407</v>
      </c>
      <c r="P1879" s="518" t="s">
        <v>6369</v>
      </c>
      <c r="Q1879" s="152" t="s">
        <v>5873</v>
      </c>
      <c r="R1879" s="152" t="s">
        <v>6370</v>
      </c>
      <c r="S1879" s="152" t="s">
        <v>6465</v>
      </c>
      <c r="T1879" s="152" t="s">
        <v>6372</v>
      </c>
      <c r="U1879" s="152" t="s">
        <v>786</v>
      </c>
    </row>
    <row r="1880" spans="4:21">
      <c r="D1880" s="152" t="s">
        <v>2821</v>
      </c>
      <c r="G1880" s="474" t="s">
        <v>354</v>
      </c>
      <c r="H1880" s="210" t="s">
        <v>355</v>
      </c>
      <c r="I1880" s="210"/>
      <c r="J1880" s="513">
        <v>152695.4</v>
      </c>
      <c r="K1880" s="513">
        <v>108.68</v>
      </c>
      <c r="L1880" s="513">
        <v>1405</v>
      </c>
      <c r="M1880" s="513" t="s">
        <v>6303</v>
      </c>
      <c r="N1880" s="513" t="s">
        <v>780</v>
      </c>
      <c r="O1880" s="513" t="s">
        <v>1407</v>
      </c>
      <c r="P1880" s="518" t="s">
        <v>6369</v>
      </c>
      <c r="Q1880" s="152" t="s">
        <v>5873</v>
      </c>
      <c r="R1880" s="152" t="s">
        <v>6370</v>
      </c>
      <c r="S1880" s="152" t="s">
        <v>6465</v>
      </c>
      <c r="T1880" s="152" t="s">
        <v>6372</v>
      </c>
      <c r="U1880" s="152" t="s">
        <v>786</v>
      </c>
    </row>
    <row r="1881" spans="4:21">
      <c r="D1881" s="152" t="s">
        <v>2821</v>
      </c>
      <c r="G1881" s="474" t="s">
        <v>354</v>
      </c>
      <c r="H1881" s="210" t="s">
        <v>355</v>
      </c>
      <c r="I1881" s="210"/>
      <c r="J1881" s="513">
        <v>-113959.55</v>
      </c>
      <c r="K1881" s="513">
        <v>-81.11</v>
      </c>
      <c r="L1881" s="513">
        <v>1405</v>
      </c>
      <c r="M1881" s="513" t="s">
        <v>6303</v>
      </c>
      <c r="N1881" s="513" t="s">
        <v>780</v>
      </c>
      <c r="O1881" s="513" t="s">
        <v>1407</v>
      </c>
      <c r="P1881" s="518" t="s">
        <v>6418</v>
      </c>
      <c r="Q1881" s="152" t="s">
        <v>5873</v>
      </c>
      <c r="R1881" s="152" t="s">
        <v>6419</v>
      </c>
      <c r="S1881" s="152" t="s">
        <v>6466</v>
      </c>
      <c r="T1881" s="152" t="s">
        <v>6421</v>
      </c>
      <c r="U1881" s="152" t="s">
        <v>786</v>
      </c>
    </row>
    <row r="1882" spans="4:21">
      <c r="D1882" s="152" t="s">
        <v>2821</v>
      </c>
      <c r="G1882" s="474" t="s">
        <v>354</v>
      </c>
      <c r="H1882" s="210" t="s">
        <v>355</v>
      </c>
      <c r="I1882" s="210"/>
      <c r="J1882" s="513">
        <v>117949.75</v>
      </c>
      <c r="K1882" s="513">
        <v>83.95</v>
      </c>
      <c r="L1882" s="513">
        <v>1405</v>
      </c>
      <c r="M1882" s="513" t="s">
        <v>6303</v>
      </c>
      <c r="N1882" s="513" t="s">
        <v>780</v>
      </c>
      <c r="O1882" s="513" t="s">
        <v>1407</v>
      </c>
      <c r="P1882" s="518" t="s">
        <v>6369</v>
      </c>
      <c r="Q1882" s="152" t="s">
        <v>5873</v>
      </c>
      <c r="R1882" s="152" t="s">
        <v>6370</v>
      </c>
      <c r="S1882" s="152" t="s">
        <v>6467</v>
      </c>
      <c r="T1882" s="152" t="s">
        <v>6372</v>
      </c>
      <c r="U1882" s="152" t="s">
        <v>786</v>
      </c>
    </row>
    <row r="1883" spans="4:21">
      <c r="D1883" s="152" t="s">
        <v>2821</v>
      </c>
      <c r="G1883" s="474" t="s">
        <v>354</v>
      </c>
      <c r="H1883" s="210" t="s">
        <v>355</v>
      </c>
      <c r="I1883" s="210"/>
      <c r="J1883" s="513">
        <v>-75729.5</v>
      </c>
      <c r="K1883" s="513">
        <v>-53.9</v>
      </c>
      <c r="L1883" s="513">
        <v>1405</v>
      </c>
      <c r="M1883" s="513" t="s">
        <v>6303</v>
      </c>
      <c r="N1883" s="513" t="s">
        <v>780</v>
      </c>
      <c r="O1883" s="513" t="s">
        <v>1407</v>
      </c>
      <c r="P1883" s="518" t="s">
        <v>6418</v>
      </c>
      <c r="Q1883" s="152" t="s">
        <v>5873</v>
      </c>
      <c r="R1883" s="152" t="s">
        <v>6419</v>
      </c>
      <c r="S1883" s="152" t="s">
        <v>6468</v>
      </c>
      <c r="T1883" s="152" t="s">
        <v>6421</v>
      </c>
      <c r="U1883" s="152" t="s">
        <v>786</v>
      </c>
    </row>
    <row r="1884" spans="4:21">
      <c r="D1884" s="152" t="s">
        <v>2821</v>
      </c>
      <c r="G1884" s="474" t="s">
        <v>354</v>
      </c>
      <c r="H1884" s="210" t="s">
        <v>355</v>
      </c>
      <c r="I1884" s="210"/>
      <c r="J1884" s="513">
        <v>78384.95</v>
      </c>
      <c r="K1884" s="513">
        <v>55.79</v>
      </c>
      <c r="L1884" s="513">
        <v>1405</v>
      </c>
      <c r="M1884" s="513" t="s">
        <v>6303</v>
      </c>
      <c r="N1884" s="513" t="s">
        <v>780</v>
      </c>
      <c r="O1884" s="513" t="s">
        <v>1407</v>
      </c>
      <c r="P1884" s="518" t="s">
        <v>6369</v>
      </c>
      <c r="Q1884" s="152" t="s">
        <v>5873</v>
      </c>
      <c r="R1884" s="152" t="s">
        <v>6370</v>
      </c>
      <c r="S1884" s="152" t="s">
        <v>6469</v>
      </c>
      <c r="T1884" s="152" t="s">
        <v>6372</v>
      </c>
      <c r="U1884" s="152" t="s">
        <v>786</v>
      </c>
    </row>
    <row r="1885" spans="4:21">
      <c r="D1885" s="152" t="s">
        <v>2821</v>
      </c>
      <c r="G1885" s="474" t="s">
        <v>354</v>
      </c>
      <c r="H1885" s="210" t="s">
        <v>355</v>
      </c>
      <c r="I1885" s="210"/>
      <c r="J1885" s="513">
        <v>-122937.5</v>
      </c>
      <c r="K1885" s="513">
        <v>-87.5</v>
      </c>
      <c r="L1885" s="513">
        <v>1405</v>
      </c>
      <c r="M1885" s="513" t="s">
        <v>6303</v>
      </c>
      <c r="N1885" s="513" t="s">
        <v>780</v>
      </c>
      <c r="O1885" s="513" t="s">
        <v>1407</v>
      </c>
      <c r="P1885" s="518" t="s">
        <v>6418</v>
      </c>
      <c r="Q1885" s="152" t="s">
        <v>5873</v>
      </c>
      <c r="R1885" s="152" t="s">
        <v>6419</v>
      </c>
      <c r="S1885" s="152" t="s">
        <v>6470</v>
      </c>
      <c r="T1885" s="152" t="s">
        <v>6421</v>
      </c>
      <c r="U1885" s="152" t="s">
        <v>786</v>
      </c>
    </row>
    <row r="1886" spans="4:21">
      <c r="D1886" s="152" t="s">
        <v>2821</v>
      </c>
      <c r="G1886" s="474" t="s">
        <v>354</v>
      </c>
      <c r="H1886" s="210" t="s">
        <v>355</v>
      </c>
      <c r="I1886" s="210"/>
      <c r="J1886" s="513">
        <v>127236.8</v>
      </c>
      <c r="K1886" s="513">
        <v>90.56</v>
      </c>
      <c r="L1886" s="513">
        <v>1405</v>
      </c>
      <c r="M1886" s="513" t="s">
        <v>6303</v>
      </c>
      <c r="N1886" s="513" t="s">
        <v>780</v>
      </c>
      <c r="O1886" s="513" t="s">
        <v>1407</v>
      </c>
      <c r="P1886" s="518" t="s">
        <v>6369</v>
      </c>
      <c r="Q1886" s="152" t="s">
        <v>5873</v>
      </c>
      <c r="R1886" s="152" t="s">
        <v>6370</v>
      </c>
      <c r="S1886" s="152" t="s">
        <v>6471</v>
      </c>
      <c r="T1886" s="152" t="s">
        <v>6372</v>
      </c>
      <c r="U1886" s="152" t="s">
        <v>786</v>
      </c>
    </row>
    <row r="1887" spans="4:21">
      <c r="D1887" s="152" t="s">
        <v>2821</v>
      </c>
      <c r="G1887" s="474" t="s">
        <v>354</v>
      </c>
      <c r="H1887" s="210" t="s">
        <v>355</v>
      </c>
      <c r="I1887" s="210"/>
      <c r="J1887" s="513">
        <v>-71064.899999999994</v>
      </c>
      <c r="K1887" s="513">
        <v>-50.58</v>
      </c>
      <c r="L1887" s="513">
        <v>1405</v>
      </c>
      <c r="M1887" s="513" t="s">
        <v>6303</v>
      </c>
      <c r="N1887" s="513" t="s">
        <v>780</v>
      </c>
      <c r="O1887" s="513" t="s">
        <v>1407</v>
      </c>
      <c r="P1887" s="518" t="s">
        <v>6418</v>
      </c>
      <c r="Q1887" s="152" t="s">
        <v>5873</v>
      </c>
      <c r="R1887" s="152" t="s">
        <v>6419</v>
      </c>
      <c r="S1887" s="152" t="s">
        <v>6472</v>
      </c>
      <c r="T1887" s="152" t="s">
        <v>6421</v>
      </c>
      <c r="U1887" s="152" t="s">
        <v>786</v>
      </c>
    </row>
    <row r="1888" spans="4:21">
      <c r="D1888" s="152" t="s">
        <v>2821</v>
      </c>
      <c r="G1888" s="474" t="s">
        <v>354</v>
      </c>
      <c r="H1888" s="210" t="s">
        <v>355</v>
      </c>
      <c r="I1888" s="210"/>
      <c r="J1888" s="513">
        <v>73551.75</v>
      </c>
      <c r="K1888" s="513">
        <v>52.35</v>
      </c>
      <c r="L1888" s="513">
        <v>1405</v>
      </c>
      <c r="M1888" s="513" t="s">
        <v>6303</v>
      </c>
      <c r="N1888" s="513" t="s">
        <v>780</v>
      </c>
      <c r="O1888" s="513" t="s">
        <v>1407</v>
      </c>
      <c r="P1888" s="518" t="s">
        <v>6369</v>
      </c>
      <c r="Q1888" s="152" t="s">
        <v>5873</v>
      </c>
      <c r="R1888" s="152" t="s">
        <v>6370</v>
      </c>
      <c r="S1888" s="152" t="s">
        <v>6473</v>
      </c>
      <c r="T1888" s="152" t="s">
        <v>6372</v>
      </c>
      <c r="U1888" s="152" t="s">
        <v>786</v>
      </c>
    </row>
    <row r="1889" spans="4:21">
      <c r="D1889" s="152" t="s">
        <v>2821</v>
      </c>
      <c r="G1889" s="474" t="s">
        <v>354</v>
      </c>
      <c r="H1889" s="210" t="s">
        <v>355</v>
      </c>
      <c r="I1889" s="210"/>
      <c r="J1889" s="513">
        <v>-49175</v>
      </c>
      <c r="K1889" s="513">
        <v>-35</v>
      </c>
      <c r="L1889" s="513">
        <v>1405</v>
      </c>
      <c r="M1889" s="513" t="s">
        <v>6303</v>
      </c>
      <c r="N1889" s="513" t="s">
        <v>780</v>
      </c>
      <c r="O1889" s="513" t="s">
        <v>1407</v>
      </c>
      <c r="P1889" s="518" t="s">
        <v>6418</v>
      </c>
      <c r="Q1889" s="152" t="s">
        <v>5873</v>
      </c>
      <c r="R1889" s="152" t="s">
        <v>6419</v>
      </c>
      <c r="S1889" s="152" t="s">
        <v>6474</v>
      </c>
      <c r="T1889" s="152" t="s">
        <v>6421</v>
      </c>
      <c r="U1889" s="152" t="s">
        <v>786</v>
      </c>
    </row>
    <row r="1890" spans="4:21">
      <c r="D1890" s="152" t="s">
        <v>2821</v>
      </c>
      <c r="G1890" s="474" t="s">
        <v>354</v>
      </c>
      <c r="H1890" s="210" t="s">
        <v>355</v>
      </c>
      <c r="I1890" s="210"/>
      <c r="J1890" s="513">
        <v>-37373</v>
      </c>
      <c r="K1890" s="513">
        <v>-26.6</v>
      </c>
      <c r="L1890" s="513">
        <v>1405</v>
      </c>
      <c r="M1890" s="513" t="s">
        <v>6303</v>
      </c>
      <c r="N1890" s="513" t="s">
        <v>780</v>
      </c>
      <c r="O1890" s="513" t="s">
        <v>1407</v>
      </c>
      <c r="P1890" s="518" t="s">
        <v>6418</v>
      </c>
      <c r="Q1890" s="152" t="s">
        <v>5873</v>
      </c>
      <c r="R1890" s="152" t="s">
        <v>6419</v>
      </c>
      <c r="S1890" s="152" t="s">
        <v>6474</v>
      </c>
      <c r="T1890" s="152" t="s">
        <v>6421</v>
      </c>
      <c r="U1890" s="152" t="s">
        <v>786</v>
      </c>
    </row>
    <row r="1891" spans="4:21">
      <c r="D1891" s="152" t="s">
        <v>2821</v>
      </c>
      <c r="G1891" s="474" t="s">
        <v>354</v>
      </c>
      <c r="H1891" s="210" t="s">
        <v>355</v>
      </c>
      <c r="I1891" s="210"/>
      <c r="J1891" s="513">
        <v>50903.15</v>
      </c>
      <c r="K1891" s="513">
        <v>36.229999999999997</v>
      </c>
      <c r="L1891" s="513">
        <v>1405</v>
      </c>
      <c r="M1891" s="513" t="s">
        <v>6303</v>
      </c>
      <c r="N1891" s="513" t="s">
        <v>780</v>
      </c>
      <c r="O1891" s="513" t="s">
        <v>1407</v>
      </c>
      <c r="P1891" s="518" t="s">
        <v>6369</v>
      </c>
      <c r="Q1891" s="152" t="s">
        <v>5873</v>
      </c>
      <c r="R1891" s="152" t="s">
        <v>6370</v>
      </c>
      <c r="S1891" s="152" t="s">
        <v>6475</v>
      </c>
      <c r="T1891" s="152" t="s">
        <v>6372</v>
      </c>
      <c r="U1891" s="152" t="s">
        <v>786</v>
      </c>
    </row>
    <row r="1892" spans="4:21">
      <c r="D1892" s="152" t="s">
        <v>2821</v>
      </c>
      <c r="G1892" s="474" t="s">
        <v>354</v>
      </c>
      <c r="H1892" s="210" t="s">
        <v>355</v>
      </c>
      <c r="I1892" s="210"/>
      <c r="J1892" s="513">
        <v>38679.65</v>
      </c>
      <c r="K1892" s="513">
        <v>27.53</v>
      </c>
      <c r="L1892" s="513">
        <v>1405</v>
      </c>
      <c r="M1892" s="513" t="s">
        <v>6303</v>
      </c>
      <c r="N1892" s="513" t="s">
        <v>780</v>
      </c>
      <c r="O1892" s="513" t="s">
        <v>1407</v>
      </c>
      <c r="P1892" s="518" t="s">
        <v>6369</v>
      </c>
      <c r="Q1892" s="152" t="s">
        <v>5873</v>
      </c>
      <c r="R1892" s="152" t="s">
        <v>6370</v>
      </c>
      <c r="S1892" s="152" t="s">
        <v>6475</v>
      </c>
      <c r="T1892" s="152" t="s">
        <v>6372</v>
      </c>
      <c r="U1892" s="152" t="s">
        <v>786</v>
      </c>
    </row>
    <row r="1893" spans="4:21">
      <c r="D1893" s="152" t="s">
        <v>2821</v>
      </c>
      <c r="G1893" s="474" t="s">
        <v>354</v>
      </c>
      <c r="H1893" s="210" t="s">
        <v>355</v>
      </c>
      <c r="I1893" s="210"/>
      <c r="J1893" s="513">
        <v>117191.05</v>
      </c>
      <c r="K1893" s="513">
        <v>83.41</v>
      </c>
      <c r="L1893" s="513">
        <v>1405</v>
      </c>
      <c r="M1893" s="513" t="s">
        <v>6303</v>
      </c>
      <c r="N1893" s="513" t="s">
        <v>780</v>
      </c>
      <c r="O1893" s="513" t="s">
        <v>1407</v>
      </c>
      <c r="P1893" s="518" t="s">
        <v>6369</v>
      </c>
      <c r="Q1893" s="152" t="s">
        <v>5873</v>
      </c>
      <c r="R1893" s="152" t="s">
        <v>6370</v>
      </c>
      <c r="S1893" s="152" t="s">
        <v>6476</v>
      </c>
      <c r="T1893" s="152" t="s">
        <v>6372</v>
      </c>
      <c r="U1893" s="152" t="s">
        <v>786</v>
      </c>
    </row>
    <row r="1894" spans="4:21">
      <c r="D1894" s="152" t="s">
        <v>2821</v>
      </c>
      <c r="G1894" s="474" t="s">
        <v>354</v>
      </c>
      <c r="H1894" s="210" t="s">
        <v>355</v>
      </c>
      <c r="I1894" s="210"/>
      <c r="J1894" s="513">
        <v>4580.3</v>
      </c>
      <c r="K1894" s="513">
        <v>3.26</v>
      </c>
      <c r="L1894" s="513">
        <v>1405</v>
      </c>
      <c r="M1894" s="513" t="s">
        <v>6303</v>
      </c>
      <c r="N1894" s="513" t="s">
        <v>780</v>
      </c>
      <c r="O1894" s="513" t="s">
        <v>1407</v>
      </c>
      <c r="P1894" s="518" t="s">
        <v>6369</v>
      </c>
      <c r="Q1894" s="152" t="s">
        <v>5873</v>
      </c>
      <c r="R1894" s="152" t="s">
        <v>6370</v>
      </c>
      <c r="S1894" s="152" t="s">
        <v>6476</v>
      </c>
      <c r="T1894" s="152" t="s">
        <v>6372</v>
      </c>
      <c r="U1894" s="152" t="s">
        <v>786</v>
      </c>
    </row>
    <row r="1895" spans="4:21">
      <c r="D1895" s="152" t="s">
        <v>2821</v>
      </c>
      <c r="G1895" s="474" t="s">
        <v>354</v>
      </c>
      <c r="H1895" s="210" t="s">
        <v>355</v>
      </c>
      <c r="I1895" s="210"/>
      <c r="J1895" s="513">
        <v>-113228.95</v>
      </c>
      <c r="K1895" s="513">
        <v>-80.59</v>
      </c>
      <c r="L1895" s="513">
        <v>1405</v>
      </c>
      <c r="M1895" s="513" t="s">
        <v>6303</v>
      </c>
      <c r="N1895" s="513" t="s">
        <v>780</v>
      </c>
      <c r="O1895" s="513" t="s">
        <v>1407</v>
      </c>
      <c r="P1895" s="518" t="s">
        <v>6418</v>
      </c>
      <c r="Q1895" s="152" t="s">
        <v>5873</v>
      </c>
      <c r="R1895" s="152" t="s">
        <v>6419</v>
      </c>
      <c r="S1895" s="152" t="s">
        <v>6476</v>
      </c>
      <c r="T1895" s="152" t="s">
        <v>6421</v>
      </c>
      <c r="U1895" s="152" t="s">
        <v>786</v>
      </c>
    </row>
    <row r="1896" spans="4:21">
      <c r="D1896" s="152" t="s">
        <v>2821</v>
      </c>
      <c r="G1896" s="474" t="s">
        <v>354</v>
      </c>
      <c r="H1896" s="210" t="s">
        <v>355</v>
      </c>
      <c r="I1896" s="210"/>
      <c r="J1896" s="513">
        <v>-4425.75</v>
      </c>
      <c r="K1896" s="513">
        <v>-3.15</v>
      </c>
      <c r="L1896" s="513">
        <v>1405</v>
      </c>
      <c r="M1896" s="513" t="s">
        <v>6303</v>
      </c>
      <c r="N1896" s="513" t="s">
        <v>780</v>
      </c>
      <c r="O1896" s="513" t="s">
        <v>1407</v>
      </c>
      <c r="P1896" s="518" t="s">
        <v>6418</v>
      </c>
      <c r="Q1896" s="152" t="s">
        <v>5873</v>
      </c>
      <c r="R1896" s="152" t="s">
        <v>6419</v>
      </c>
      <c r="S1896" s="152" t="s">
        <v>6476</v>
      </c>
      <c r="T1896" s="152" t="s">
        <v>6421</v>
      </c>
      <c r="U1896" s="152" t="s">
        <v>786</v>
      </c>
    </row>
    <row r="1897" spans="4:21">
      <c r="D1897" s="152" t="s">
        <v>2821</v>
      </c>
      <c r="G1897" s="474" t="s">
        <v>354</v>
      </c>
      <c r="H1897" s="210" t="s">
        <v>355</v>
      </c>
      <c r="I1897" s="210"/>
      <c r="J1897" s="513">
        <v>-23112.25</v>
      </c>
      <c r="K1897" s="513">
        <v>-16.45</v>
      </c>
      <c r="L1897" s="513">
        <v>1405</v>
      </c>
      <c r="M1897" s="513" t="s">
        <v>6303</v>
      </c>
      <c r="N1897" s="513" t="s">
        <v>780</v>
      </c>
      <c r="O1897" s="513" t="s">
        <v>1407</v>
      </c>
      <c r="P1897" s="518" t="s">
        <v>6418</v>
      </c>
      <c r="Q1897" s="152" t="s">
        <v>5873</v>
      </c>
      <c r="R1897" s="152" t="s">
        <v>6419</v>
      </c>
      <c r="S1897" s="152" t="s">
        <v>6477</v>
      </c>
      <c r="T1897" s="152" t="s">
        <v>6421</v>
      </c>
      <c r="U1897" s="152" t="s">
        <v>786</v>
      </c>
    </row>
    <row r="1898" spans="4:21">
      <c r="D1898" s="152" t="s">
        <v>2821</v>
      </c>
      <c r="G1898" s="474" t="s">
        <v>354</v>
      </c>
      <c r="H1898" s="210" t="s">
        <v>355</v>
      </c>
      <c r="I1898" s="210"/>
      <c r="J1898" s="513">
        <v>23927.15</v>
      </c>
      <c r="K1898" s="513">
        <v>17.03</v>
      </c>
      <c r="L1898" s="513">
        <v>1405</v>
      </c>
      <c r="M1898" s="513" t="s">
        <v>6303</v>
      </c>
      <c r="N1898" s="513" t="s">
        <v>780</v>
      </c>
      <c r="O1898" s="513" t="s">
        <v>1407</v>
      </c>
      <c r="P1898" s="518" t="s">
        <v>6369</v>
      </c>
      <c r="Q1898" s="152" t="s">
        <v>5873</v>
      </c>
      <c r="R1898" s="152" t="s">
        <v>6370</v>
      </c>
      <c r="S1898" s="152" t="s">
        <v>6478</v>
      </c>
      <c r="T1898" s="152" t="s">
        <v>6372</v>
      </c>
      <c r="U1898" s="152" t="s">
        <v>786</v>
      </c>
    </row>
    <row r="1899" spans="4:21">
      <c r="D1899" s="152" t="s">
        <v>2821</v>
      </c>
      <c r="G1899" s="474" t="s">
        <v>354</v>
      </c>
      <c r="H1899" s="210" t="s">
        <v>355</v>
      </c>
      <c r="I1899" s="210"/>
      <c r="J1899" s="513">
        <v>-175681.2</v>
      </c>
      <c r="K1899" s="513">
        <v>-125.04</v>
      </c>
      <c r="L1899" s="513">
        <v>1405</v>
      </c>
      <c r="M1899" s="513" t="s">
        <v>6303</v>
      </c>
      <c r="N1899" s="513" t="s">
        <v>780</v>
      </c>
      <c r="O1899" s="513" t="s">
        <v>1407</v>
      </c>
      <c r="P1899" s="518" t="s">
        <v>6418</v>
      </c>
      <c r="Q1899" s="152" t="s">
        <v>5873</v>
      </c>
      <c r="R1899" s="152" t="s">
        <v>6419</v>
      </c>
      <c r="S1899" s="152" t="s">
        <v>6479</v>
      </c>
      <c r="T1899" s="152" t="s">
        <v>6421</v>
      </c>
      <c r="U1899" s="152" t="s">
        <v>786</v>
      </c>
    </row>
    <row r="1900" spans="4:21">
      <c r="D1900" s="152" t="s">
        <v>2821</v>
      </c>
      <c r="G1900" s="474" t="s">
        <v>354</v>
      </c>
      <c r="H1900" s="210" t="s">
        <v>355</v>
      </c>
      <c r="I1900" s="210"/>
      <c r="J1900" s="513">
        <v>181821.05</v>
      </c>
      <c r="K1900" s="513">
        <v>129.41</v>
      </c>
      <c r="L1900" s="513">
        <v>1405</v>
      </c>
      <c r="M1900" s="513" t="s">
        <v>6303</v>
      </c>
      <c r="N1900" s="513" t="s">
        <v>780</v>
      </c>
      <c r="O1900" s="513" t="s">
        <v>1407</v>
      </c>
      <c r="P1900" s="518" t="s">
        <v>6369</v>
      </c>
      <c r="Q1900" s="152" t="s">
        <v>5873</v>
      </c>
      <c r="R1900" s="152" t="s">
        <v>6370</v>
      </c>
      <c r="S1900" s="152" t="s">
        <v>6480</v>
      </c>
      <c r="T1900" s="152" t="s">
        <v>6372</v>
      </c>
      <c r="U1900" s="152" t="s">
        <v>786</v>
      </c>
    </row>
    <row r="1901" spans="4:21">
      <c r="D1901" s="152" t="s">
        <v>2821</v>
      </c>
      <c r="G1901" s="474" t="s">
        <v>354</v>
      </c>
      <c r="H1901" s="210" t="s">
        <v>355</v>
      </c>
      <c r="I1901" s="210"/>
      <c r="J1901" s="513">
        <v>-121588.7</v>
      </c>
      <c r="K1901" s="513">
        <v>-86.54</v>
      </c>
      <c r="L1901" s="513">
        <v>1405</v>
      </c>
      <c r="M1901" s="513" t="s">
        <v>6303</v>
      </c>
      <c r="N1901" s="513" t="s">
        <v>780</v>
      </c>
      <c r="O1901" s="513" t="s">
        <v>1407</v>
      </c>
      <c r="P1901" s="518" t="s">
        <v>6418</v>
      </c>
      <c r="Q1901" s="152" t="s">
        <v>5873</v>
      </c>
      <c r="R1901" s="152" t="s">
        <v>6419</v>
      </c>
      <c r="S1901" s="152" t="s">
        <v>6481</v>
      </c>
      <c r="T1901" s="152" t="s">
        <v>6421</v>
      </c>
      <c r="U1901" s="152" t="s">
        <v>786</v>
      </c>
    </row>
    <row r="1902" spans="4:21">
      <c r="D1902" s="152" t="s">
        <v>2821</v>
      </c>
      <c r="G1902" s="474" t="s">
        <v>354</v>
      </c>
      <c r="H1902" s="210" t="s">
        <v>355</v>
      </c>
      <c r="I1902" s="210"/>
      <c r="J1902" s="513">
        <v>-2458.75</v>
      </c>
      <c r="K1902" s="513">
        <v>-1.75</v>
      </c>
      <c r="L1902" s="513">
        <v>1405</v>
      </c>
      <c r="M1902" s="513" t="s">
        <v>6303</v>
      </c>
      <c r="N1902" s="513" t="s">
        <v>780</v>
      </c>
      <c r="O1902" s="513" t="s">
        <v>1407</v>
      </c>
      <c r="P1902" s="518" t="s">
        <v>6418</v>
      </c>
      <c r="Q1902" s="152" t="s">
        <v>5873</v>
      </c>
      <c r="R1902" s="152" t="s">
        <v>6419</v>
      </c>
      <c r="S1902" s="152" t="s">
        <v>6481</v>
      </c>
      <c r="T1902" s="152" t="s">
        <v>6421</v>
      </c>
      <c r="U1902" s="152" t="s">
        <v>786</v>
      </c>
    </row>
    <row r="1903" spans="4:21">
      <c r="D1903" s="152" t="s">
        <v>2821</v>
      </c>
      <c r="G1903" s="474" t="s">
        <v>354</v>
      </c>
      <c r="H1903" s="210" t="s">
        <v>355</v>
      </c>
      <c r="I1903" s="210"/>
      <c r="J1903" s="513">
        <v>125845.85</v>
      </c>
      <c r="K1903" s="513">
        <v>89.57</v>
      </c>
      <c r="L1903" s="513">
        <v>1405</v>
      </c>
      <c r="M1903" s="513" t="s">
        <v>6303</v>
      </c>
      <c r="N1903" s="513" t="s">
        <v>780</v>
      </c>
      <c r="O1903" s="513" t="s">
        <v>1407</v>
      </c>
      <c r="P1903" s="518" t="s">
        <v>6369</v>
      </c>
      <c r="Q1903" s="152" t="s">
        <v>5873</v>
      </c>
      <c r="R1903" s="152" t="s">
        <v>6370</v>
      </c>
      <c r="S1903" s="152" t="s">
        <v>6482</v>
      </c>
      <c r="T1903" s="152" t="s">
        <v>6372</v>
      </c>
      <c r="U1903" s="152" t="s">
        <v>786</v>
      </c>
    </row>
    <row r="1904" spans="4:21">
      <c r="D1904" s="152" t="s">
        <v>2821</v>
      </c>
      <c r="G1904" s="474" t="s">
        <v>354</v>
      </c>
      <c r="H1904" s="210" t="s">
        <v>355</v>
      </c>
      <c r="I1904" s="210"/>
      <c r="J1904" s="513">
        <v>2543.0500000000002</v>
      </c>
      <c r="K1904" s="513">
        <v>1.81</v>
      </c>
      <c r="L1904" s="513">
        <v>1405</v>
      </c>
      <c r="M1904" s="513" t="s">
        <v>6303</v>
      </c>
      <c r="N1904" s="513" t="s">
        <v>780</v>
      </c>
      <c r="O1904" s="513" t="s">
        <v>1407</v>
      </c>
      <c r="P1904" s="518" t="s">
        <v>6369</v>
      </c>
      <c r="Q1904" s="152" t="s">
        <v>5873</v>
      </c>
      <c r="R1904" s="152" t="s">
        <v>6370</v>
      </c>
      <c r="S1904" s="152" t="s">
        <v>6482</v>
      </c>
      <c r="T1904" s="152" t="s">
        <v>6372</v>
      </c>
      <c r="U1904" s="152" t="s">
        <v>786</v>
      </c>
    </row>
    <row r="1905" spans="4:21">
      <c r="D1905" s="152" t="s">
        <v>2821</v>
      </c>
      <c r="G1905" s="474" t="s">
        <v>354</v>
      </c>
      <c r="H1905" s="210" t="s">
        <v>355</v>
      </c>
      <c r="I1905" s="210"/>
      <c r="J1905" s="513">
        <v>67496.2</v>
      </c>
      <c r="K1905" s="513">
        <v>48.04</v>
      </c>
      <c r="L1905" s="513">
        <v>1405</v>
      </c>
      <c r="M1905" s="513" t="s">
        <v>6303</v>
      </c>
      <c r="N1905" s="513" t="s">
        <v>780</v>
      </c>
      <c r="O1905" s="513" t="s">
        <v>1407</v>
      </c>
      <c r="P1905" s="518" t="s">
        <v>6369</v>
      </c>
      <c r="Q1905" s="152" t="s">
        <v>5873</v>
      </c>
      <c r="R1905" s="152" t="s">
        <v>6370</v>
      </c>
      <c r="S1905" s="152" t="s">
        <v>6537</v>
      </c>
      <c r="T1905" s="152" t="s">
        <v>6372</v>
      </c>
      <c r="U1905" s="152" t="s">
        <v>786</v>
      </c>
    </row>
    <row r="1906" spans="4:21">
      <c r="D1906" s="152" t="s">
        <v>2821</v>
      </c>
      <c r="G1906" s="474" t="s">
        <v>354</v>
      </c>
      <c r="H1906" s="210" t="s">
        <v>355</v>
      </c>
      <c r="I1906" s="210"/>
      <c r="J1906" s="513">
        <v>-147525</v>
      </c>
      <c r="K1906" s="513">
        <v>-105</v>
      </c>
      <c r="L1906" s="513">
        <v>1405</v>
      </c>
      <c r="M1906" s="513" t="s">
        <v>6303</v>
      </c>
      <c r="N1906" s="513" t="s">
        <v>780</v>
      </c>
      <c r="O1906" s="513" t="s">
        <v>1407</v>
      </c>
      <c r="P1906" s="518" t="s">
        <v>6418</v>
      </c>
      <c r="Q1906" s="152" t="s">
        <v>5873</v>
      </c>
      <c r="R1906" s="152" t="s">
        <v>6419</v>
      </c>
      <c r="S1906" s="152" t="s">
        <v>6538</v>
      </c>
      <c r="T1906" s="152" t="s">
        <v>6421</v>
      </c>
      <c r="U1906" s="152" t="s">
        <v>786</v>
      </c>
    </row>
    <row r="1907" spans="4:21">
      <c r="D1907" s="152" t="s">
        <v>2821</v>
      </c>
      <c r="G1907" s="474" t="s">
        <v>354</v>
      </c>
      <c r="H1907" s="210" t="s">
        <v>355</v>
      </c>
      <c r="I1907" s="210"/>
      <c r="J1907" s="513">
        <v>152695.4</v>
      </c>
      <c r="K1907" s="513">
        <v>108.68</v>
      </c>
      <c r="L1907" s="513">
        <v>1405</v>
      </c>
      <c r="M1907" s="513" t="s">
        <v>6303</v>
      </c>
      <c r="N1907" s="513" t="s">
        <v>780</v>
      </c>
      <c r="O1907" s="513" t="s">
        <v>1407</v>
      </c>
      <c r="P1907" s="518" t="s">
        <v>6369</v>
      </c>
      <c r="Q1907" s="152" t="s">
        <v>5873</v>
      </c>
      <c r="R1907" s="152" t="s">
        <v>6370</v>
      </c>
      <c r="S1907" s="152" t="s">
        <v>6539</v>
      </c>
      <c r="T1907" s="152" t="s">
        <v>6372</v>
      </c>
      <c r="U1907" s="152" t="s">
        <v>786</v>
      </c>
    </row>
    <row r="1908" spans="4:21">
      <c r="D1908" s="152" t="s">
        <v>2821</v>
      </c>
      <c r="G1908" s="474" t="s">
        <v>354</v>
      </c>
      <c r="H1908" s="210" t="s">
        <v>355</v>
      </c>
      <c r="I1908" s="210"/>
      <c r="J1908" s="513">
        <v>-61496.85</v>
      </c>
      <c r="K1908" s="513">
        <v>-43.77</v>
      </c>
      <c r="L1908" s="513">
        <v>1405</v>
      </c>
      <c r="M1908" s="513" t="s">
        <v>6303</v>
      </c>
      <c r="N1908" s="513" t="s">
        <v>780</v>
      </c>
      <c r="O1908" s="513" t="s">
        <v>1407</v>
      </c>
      <c r="P1908" s="518" t="s">
        <v>6418</v>
      </c>
      <c r="Q1908" s="152" t="s">
        <v>5873</v>
      </c>
      <c r="R1908" s="152" t="s">
        <v>6419</v>
      </c>
      <c r="S1908" s="152" t="s">
        <v>6540</v>
      </c>
      <c r="T1908" s="152" t="s">
        <v>6421</v>
      </c>
      <c r="U1908" s="152" t="s">
        <v>786</v>
      </c>
    </row>
    <row r="1909" spans="4:21">
      <c r="D1909" s="152" t="s">
        <v>2821</v>
      </c>
      <c r="G1909" s="474" t="s">
        <v>354</v>
      </c>
      <c r="H1909" s="210" t="s">
        <v>355</v>
      </c>
      <c r="I1909" s="210"/>
      <c r="J1909" s="513">
        <v>63646.5</v>
      </c>
      <c r="K1909" s="513">
        <v>45.3</v>
      </c>
      <c r="L1909" s="513">
        <v>1405</v>
      </c>
      <c r="M1909" s="513" t="s">
        <v>6303</v>
      </c>
      <c r="N1909" s="513" t="s">
        <v>780</v>
      </c>
      <c r="O1909" s="513" t="s">
        <v>1407</v>
      </c>
      <c r="P1909" s="518" t="s">
        <v>6369</v>
      </c>
      <c r="Q1909" s="152" t="s">
        <v>5873</v>
      </c>
      <c r="R1909" s="152" t="s">
        <v>6370</v>
      </c>
      <c r="S1909" s="152" t="s">
        <v>6541</v>
      </c>
      <c r="T1909" s="152" t="s">
        <v>6372</v>
      </c>
      <c r="U1909" s="152" t="s">
        <v>786</v>
      </c>
    </row>
    <row r="1910" spans="4:21">
      <c r="D1910" s="152" t="s">
        <v>2821</v>
      </c>
      <c r="G1910" s="474" t="s">
        <v>354</v>
      </c>
      <c r="H1910" s="210" t="s">
        <v>355</v>
      </c>
      <c r="I1910" s="210"/>
      <c r="J1910" s="513">
        <v>-45367.45</v>
      </c>
      <c r="K1910" s="513">
        <v>-32.29</v>
      </c>
      <c r="L1910" s="513">
        <v>1405</v>
      </c>
      <c r="M1910" s="513" t="s">
        <v>6303</v>
      </c>
      <c r="N1910" s="513" t="s">
        <v>780</v>
      </c>
      <c r="O1910" s="513" t="s">
        <v>1407</v>
      </c>
      <c r="P1910" s="518" t="s">
        <v>6418</v>
      </c>
      <c r="Q1910" s="152" t="s">
        <v>5873</v>
      </c>
      <c r="R1910" s="152" t="s">
        <v>6419</v>
      </c>
      <c r="S1910" s="152" t="s">
        <v>6542</v>
      </c>
      <c r="T1910" s="152" t="s">
        <v>6421</v>
      </c>
      <c r="U1910" s="152" t="s">
        <v>786</v>
      </c>
    </row>
    <row r="1911" spans="4:21">
      <c r="D1911" s="152" t="s">
        <v>2821</v>
      </c>
      <c r="G1911" s="474" t="s">
        <v>354</v>
      </c>
      <c r="H1911" s="210" t="s">
        <v>355</v>
      </c>
      <c r="I1911" s="210"/>
      <c r="J1911" s="513">
        <v>46955.1</v>
      </c>
      <c r="K1911" s="513">
        <v>33.42</v>
      </c>
      <c r="L1911" s="513">
        <v>1405</v>
      </c>
      <c r="M1911" s="513" t="s">
        <v>6303</v>
      </c>
      <c r="N1911" s="513" t="s">
        <v>780</v>
      </c>
      <c r="O1911" s="513" t="s">
        <v>1407</v>
      </c>
      <c r="P1911" s="518" t="s">
        <v>6369</v>
      </c>
      <c r="Q1911" s="152" t="s">
        <v>5873</v>
      </c>
      <c r="R1911" s="152" t="s">
        <v>6370</v>
      </c>
      <c r="S1911" s="152" t="s">
        <v>6543</v>
      </c>
      <c r="T1911" s="152" t="s">
        <v>6372</v>
      </c>
      <c r="U1911" s="152" t="s">
        <v>786</v>
      </c>
    </row>
    <row r="1912" spans="4:21">
      <c r="D1912" s="152" t="s">
        <v>2821</v>
      </c>
      <c r="G1912" s="474" t="s">
        <v>354</v>
      </c>
      <c r="H1912" s="210" t="s">
        <v>355</v>
      </c>
      <c r="I1912" s="210"/>
      <c r="J1912" s="513">
        <v>-29631.45</v>
      </c>
      <c r="K1912" s="513">
        <v>-21.09</v>
      </c>
      <c r="L1912" s="513">
        <v>1405</v>
      </c>
      <c r="M1912" s="513" t="s">
        <v>6303</v>
      </c>
      <c r="N1912" s="513" t="s">
        <v>780</v>
      </c>
      <c r="O1912" s="513" t="s">
        <v>1407</v>
      </c>
      <c r="P1912" s="518" t="s">
        <v>6418</v>
      </c>
      <c r="Q1912" s="152" t="s">
        <v>5873</v>
      </c>
      <c r="R1912" s="152" t="s">
        <v>6419</v>
      </c>
      <c r="S1912" s="152" t="s">
        <v>6544</v>
      </c>
      <c r="T1912" s="152" t="s">
        <v>6421</v>
      </c>
      <c r="U1912" s="152" t="s">
        <v>786</v>
      </c>
    </row>
    <row r="1913" spans="4:21">
      <c r="D1913" s="152" t="s">
        <v>2821</v>
      </c>
      <c r="G1913" s="474" t="s">
        <v>354</v>
      </c>
      <c r="H1913" s="210" t="s">
        <v>355</v>
      </c>
      <c r="I1913" s="210"/>
      <c r="J1913" s="513">
        <v>30671.15</v>
      </c>
      <c r="K1913" s="513">
        <v>21.83</v>
      </c>
      <c r="L1913" s="513">
        <v>1405</v>
      </c>
      <c r="M1913" s="513" t="s">
        <v>6303</v>
      </c>
      <c r="N1913" s="513" t="s">
        <v>780</v>
      </c>
      <c r="O1913" s="513" t="s">
        <v>1407</v>
      </c>
      <c r="P1913" s="518" t="s">
        <v>6369</v>
      </c>
      <c r="Q1913" s="152" t="s">
        <v>5873</v>
      </c>
      <c r="R1913" s="152" t="s">
        <v>6370</v>
      </c>
      <c r="S1913" s="152" t="s">
        <v>6545</v>
      </c>
      <c r="T1913" s="152" t="s">
        <v>6372</v>
      </c>
      <c r="U1913" s="152" t="s">
        <v>786</v>
      </c>
    </row>
    <row r="1914" spans="4:21">
      <c r="D1914" s="152" t="s">
        <v>2821</v>
      </c>
      <c r="G1914" s="474" t="s">
        <v>354</v>
      </c>
      <c r="H1914" s="210" t="s">
        <v>355</v>
      </c>
      <c r="I1914" s="210"/>
      <c r="J1914" s="513">
        <v>-93924.25</v>
      </c>
      <c r="K1914" s="513">
        <v>-66.849999999999994</v>
      </c>
      <c r="L1914" s="513">
        <v>1405</v>
      </c>
      <c r="M1914" s="513" t="s">
        <v>6303</v>
      </c>
      <c r="N1914" s="513" t="s">
        <v>780</v>
      </c>
      <c r="O1914" s="513" t="s">
        <v>1407</v>
      </c>
      <c r="P1914" s="518" t="s">
        <v>6418</v>
      </c>
      <c r="Q1914" s="152" t="s">
        <v>5873</v>
      </c>
      <c r="R1914" s="152" t="s">
        <v>6419</v>
      </c>
      <c r="S1914" s="152" t="s">
        <v>6546</v>
      </c>
      <c r="T1914" s="152" t="s">
        <v>6421</v>
      </c>
      <c r="U1914" s="152" t="s">
        <v>786</v>
      </c>
    </row>
    <row r="1915" spans="4:21">
      <c r="D1915" s="152" t="s">
        <v>2821</v>
      </c>
      <c r="G1915" s="474" t="s">
        <v>354</v>
      </c>
      <c r="H1915" s="210" t="s">
        <v>355</v>
      </c>
      <c r="I1915" s="210"/>
      <c r="J1915" s="513">
        <v>97211.95</v>
      </c>
      <c r="K1915" s="513">
        <v>69.19</v>
      </c>
      <c r="L1915" s="513">
        <v>1405</v>
      </c>
      <c r="M1915" s="513" t="s">
        <v>6303</v>
      </c>
      <c r="N1915" s="513" t="s">
        <v>780</v>
      </c>
      <c r="O1915" s="513" t="s">
        <v>1407</v>
      </c>
      <c r="P1915" s="518" t="s">
        <v>6369</v>
      </c>
      <c r="Q1915" s="152" t="s">
        <v>5873</v>
      </c>
      <c r="R1915" s="152" t="s">
        <v>6370</v>
      </c>
      <c r="S1915" s="152" t="s">
        <v>6547</v>
      </c>
      <c r="T1915" s="152" t="s">
        <v>6372</v>
      </c>
      <c r="U1915" s="152" t="s">
        <v>786</v>
      </c>
    </row>
    <row r="1916" spans="4:21">
      <c r="D1916" s="152" t="s">
        <v>2821</v>
      </c>
      <c r="G1916" s="474" t="s">
        <v>354</v>
      </c>
      <c r="H1916" s="210" t="s">
        <v>355</v>
      </c>
      <c r="I1916" s="210"/>
      <c r="J1916" s="513">
        <v>-161659.29999999999</v>
      </c>
      <c r="K1916" s="513">
        <v>-115.06</v>
      </c>
      <c r="L1916" s="513">
        <v>1405</v>
      </c>
      <c r="M1916" s="513" t="s">
        <v>6303</v>
      </c>
      <c r="N1916" s="513" t="s">
        <v>780</v>
      </c>
      <c r="O1916" s="513" t="s">
        <v>1407</v>
      </c>
      <c r="P1916" s="518" t="s">
        <v>6418</v>
      </c>
      <c r="Q1916" s="152" t="s">
        <v>5873</v>
      </c>
      <c r="R1916" s="152" t="s">
        <v>6419</v>
      </c>
      <c r="S1916" s="152" t="s">
        <v>6548</v>
      </c>
      <c r="T1916" s="152" t="s">
        <v>6421</v>
      </c>
      <c r="U1916" s="152" t="s">
        <v>786</v>
      </c>
    </row>
    <row r="1917" spans="4:21">
      <c r="D1917" s="152" t="s">
        <v>2821</v>
      </c>
      <c r="G1917" s="474" t="s">
        <v>354</v>
      </c>
      <c r="H1917" s="210" t="s">
        <v>355</v>
      </c>
      <c r="I1917" s="210"/>
      <c r="J1917" s="513">
        <v>167321.45000000001</v>
      </c>
      <c r="K1917" s="513">
        <v>119.09</v>
      </c>
      <c r="L1917" s="513">
        <v>1405</v>
      </c>
      <c r="M1917" s="513" t="s">
        <v>6303</v>
      </c>
      <c r="N1917" s="513" t="s">
        <v>780</v>
      </c>
      <c r="O1917" s="513" t="s">
        <v>1407</v>
      </c>
      <c r="P1917" s="518" t="s">
        <v>6369</v>
      </c>
      <c r="Q1917" s="152" t="s">
        <v>5873</v>
      </c>
      <c r="R1917" s="152" t="s">
        <v>6370</v>
      </c>
      <c r="S1917" s="152" t="s">
        <v>6549</v>
      </c>
      <c r="T1917" s="152" t="s">
        <v>6372</v>
      </c>
      <c r="U1917" s="152" t="s">
        <v>786</v>
      </c>
    </row>
    <row r="1918" spans="4:21">
      <c r="D1918" s="152" t="s">
        <v>2821</v>
      </c>
      <c r="G1918" s="474" t="s">
        <v>354</v>
      </c>
      <c r="H1918" s="210" t="s">
        <v>355</v>
      </c>
      <c r="I1918" s="210"/>
      <c r="J1918" s="513">
        <v>36796.949999999997</v>
      </c>
      <c r="K1918" s="513">
        <v>26.19</v>
      </c>
      <c r="L1918" s="513">
        <v>1405</v>
      </c>
      <c r="M1918" s="513" t="s">
        <v>6303</v>
      </c>
      <c r="N1918" s="513" t="s">
        <v>780</v>
      </c>
      <c r="O1918" s="513" t="s">
        <v>1407</v>
      </c>
      <c r="P1918" s="518" t="s">
        <v>6369</v>
      </c>
      <c r="Q1918" s="152" t="s">
        <v>5873</v>
      </c>
      <c r="R1918" s="152" t="s">
        <v>6370</v>
      </c>
      <c r="S1918" s="152" t="s">
        <v>6551</v>
      </c>
      <c r="T1918" s="152" t="s">
        <v>6372</v>
      </c>
      <c r="U1918" s="152" t="s">
        <v>786</v>
      </c>
    </row>
    <row r="1919" spans="4:21">
      <c r="D1919" s="152" t="s">
        <v>2821</v>
      </c>
      <c r="G1919" s="474" t="s">
        <v>354</v>
      </c>
      <c r="H1919" s="210" t="s">
        <v>355</v>
      </c>
      <c r="I1919" s="210"/>
      <c r="J1919" s="513">
        <v>36796.949999999997</v>
      </c>
      <c r="K1919" s="513">
        <v>26.19</v>
      </c>
      <c r="L1919" s="513">
        <v>1405</v>
      </c>
      <c r="M1919" s="513" t="s">
        <v>6303</v>
      </c>
      <c r="N1919" s="513" t="s">
        <v>780</v>
      </c>
      <c r="O1919" s="513" t="s">
        <v>1407</v>
      </c>
      <c r="P1919" s="518" t="s">
        <v>6369</v>
      </c>
      <c r="Q1919" s="152" t="s">
        <v>5873</v>
      </c>
      <c r="R1919" s="152" t="s">
        <v>6370</v>
      </c>
      <c r="S1919" s="152" t="s">
        <v>6551</v>
      </c>
      <c r="T1919" s="152" t="s">
        <v>6372</v>
      </c>
      <c r="U1919" s="152" t="s">
        <v>786</v>
      </c>
    </row>
    <row r="1920" spans="4:21">
      <c r="D1920" s="152" t="s">
        <v>2821</v>
      </c>
      <c r="G1920" s="474" t="s">
        <v>354</v>
      </c>
      <c r="H1920" s="210" t="s">
        <v>355</v>
      </c>
      <c r="I1920" s="210"/>
      <c r="J1920" s="513">
        <v>67861.5</v>
      </c>
      <c r="K1920" s="513">
        <v>48.3</v>
      </c>
      <c r="L1920" s="513">
        <v>1405</v>
      </c>
      <c r="M1920" s="513" t="s">
        <v>6303</v>
      </c>
      <c r="N1920" s="513" t="s">
        <v>780</v>
      </c>
      <c r="O1920" s="513" t="s">
        <v>1407</v>
      </c>
      <c r="P1920" s="518" t="s">
        <v>6369</v>
      </c>
      <c r="Q1920" s="152" t="s">
        <v>5873</v>
      </c>
      <c r="R1920" s="152" t="s">
        <v>6370</v>
      </c>
      <c r="S1920" s="152" t="s">
        <v>6553</v>
      </c>
      <c r="T1920" s="152" t="s">
        <v>6372</v>
      </c>
      <c r="U1920" s="152" t="s">
        <v>786</v>
      </c>
    </row>
    <row r="1921" spans="4:21">
      <c r="D1921" s="152" t="s">
        <v>2821</v>
      </c>
      <c r="G1921" s="474" t="s">
        <v>354</v>
      </c>
      <c r="H1921" s="210" t="s">
        <v>355</v>
      </c>
      <c r="I1921" s="210"/>
      <c r="J1921" s="513">
        <v>143520.75</v>
      </c>
      <c r="K1921" s="513">
        <v>102.15</v>
      </c>
      <c r="L1921" s="513">
        <v>1405</v>
      </c>
      <c r="M1921" s="513" t="s">
        <v>6303</v>
      </c>
      <c r="N1921" s="513" t="s">
        <v>780</v>
      </c>
      <c r="O1921" s="513" t="s">
        <v>1407</v>
      </c>
      <c r="P1921" s="518" t="s">
        <v>6369</v>
      </c>
      <c r="Q1921" s="152" t="s">
        <v>5873</v>
      </c>
      <c r="R1921" s="152" t="s">
        <v>6370</v>
      </c>
      <c r="S1921" s="152" t="s">
        <v>6555</v>
      </c>
      <c r="T1921" s="152" t="s">
        <v>6372</v>
      </c>
      <c r="U1921" s="152" t="s">
        <v>786</v>
      </c>
    </row>
    <row r="1922" spans="4:21">
      <c r="D1922" s="152" t="s">
        <v>2821</v>
      </c>
      <c r="G1922" s="474" t="s">
        <v>354</v>
      </c>
      <c r="H1922" s="210" t="s">
        <v>355</v>
      </c>
      <c r="I1922" s="210"/>
      <c r="J1922" s="513">
        <v>-89372.05</v>
      </c>
      <c r="K1922" s="513">
        <v>-63.61</v>
      </c>
      <c r="L1922" s="513">
        <v>1405</v>
      </c>
      <c r="M1922" s="513" t="s">
        <v>6303</v>
      </c>
      <c r="N1922" s="513" t="s">
        <v>780</v>
      </c>
      <c r="O1922" s="513" t="s">
        <v>1407</v>
      </c>
      <c r="P1922" s="518" t="s">
        <v>6418</v>
      </c>
      <c r="Q1922" s="152" t="s">
        <v>5873</v>
      </c>
      <c r="R1922" s="152" t="s">
        <v>6419</v>
      </c>
      <c r="S1922" s="152" t="s">
        <v>6556</v>
      </c>
      <c r="T1922" s="152" t="s">
        <v>6421</v>
      </c>
      <c r="U1922" s="152" t="s">
        <v>786</v>
      </c>
    </row>
    <row r="1923" spans="4:21">
      <c r="D1923" s="152" t="s">
        <v>2821</v>
      </c>
      <c r="G1923" s="474" t="s">
        <v>354</v>
      </c>
      <c r="H1923" s="210" t="s">
        <v>355</v>
      </c>
      <c r="I1923" s="210"/>
      <c r="J1923" s="513">
        <v>92505.2</v>
      </c>
      <c r="K1923" s="513">
        <v>65.84</v>
      </c>
      <c r="L1923" s="513">
        <v>1405</v>
      </c>
      <c r="M1923" s="513" t="s">
        <v>6303</v>
      </c>
      <c r="N1923" s="513" t="s">
        <v>780</v>
      </c>
      <c r="O1923" s="513" t="s">
        <v>1407</v>
      </c>
      <c r="P1923" s="518" t="s">
        <v>6369</v>
      </c>
      <c r="Q1923" s="152" t="s">
        <v>5873</v>
      </c>
      <c r="R1923" s="152" t="s">
        <v>6370</v>
      </c>
      <c r="S1923" s="152" t="s">
        <v>6557</v>
      </c>
      <c r="T1923" s="152" t="s">
        <v>6372</v>
      </c>
      <c r="U1923" s="152" t="s">
        <v>786</v>
      </c>
    </row>
    <row r="1924" spans="4:21">
      <c r="D1924" s="152" t="s">
        <v>2821</v>
      </c>
      <c r="G1924" s="474" t="s">
        <v>354</v>
      </c>
      <c r="H1924" s="210" t="s">
        <v>355</v>
      </c>
      <c r="I1924" s="210"/>
      <c r="J1924" s="513">
        <v>-91226.65</v>
      </c>
      <c r="K1924" s="513">
        <v>-64.930000000000007</v>
      </c>
      <c r="L1924" s="513">
        <v>1405</v>
      </c>
      <c r="M1924" s="513" t="s">
        <v>6303</v>
      </c>
      <c r="N1924" s="513" t="s">
        <v>780</v>
      </c>
      <c r="O1924" s="513" t="s">
        <v>1407</v>
      </c>
      <c r="P1924" s="518" t="s">
        <v>6418</v>
      </c>
      <c r="Q1924" s="152" t="s">
        <v>5873</v>
      </c>
      <c r="R1924" s="152" t="s">
        <v>6419</v>
      </c>
      <c r="S1924" s="152" t="s">
        <v>6558</v>
      </c>
      <c r="T1924" s="152" t="s">
        <v>6421</v>
      </c>
      <c r="U1924" s="152" t="s">
        <v>786</v>
      </c>
    </row>
    <row r="1925" spans="4:21">
      <c r="D1925" s="152" t="s">
        <v>2821</v>
      </c>
      <c r="G1925" s="474" t="s">
        <v>354</v>
      </c>
      <c r="H1925" s="210" t="s">
        <v>355</v>
      </c>
      <c r="I1925" s="210"/>
      <c r="J1925" s="513">
        <v>94416</v>
      </c>
      <c r="K1925" s="513">
        <v>67.2</v>
      </c>
      <c r="L1925" s="513">
        <v>1405</v>
      </c>
      <c r="M1925" s="513" t="s">
        <v>6303</v>
      </c>
      <c r="N1925" s="513" t="s">
        <v>780</v>
      </c>
      <c r="O1925" s="513" t="s">
        <v>1407</v>
      </c>
      <c r="P1925" s="518" t="s">
        <v>6369</v>
      </c>
      <c r="Q1925" s="152" t="s">
        <v>5873</v>
      </c>
      <c r="R1925" s="152" t="s">
        <v>6370</v>
      </c>
      <c r="S1925" s="152" t="s">
        <v>6559</v>
      </c>
      <c r="T1925" s="152" t="s">
        <v>6372</v>
      </c>
      <c r="U1925" s="152" t="s">
        <v>786</v>
      </c>
    </row>
    <row r="1926" spans="4:21">
      <c r="D1926" s="152" t="s">
        <v>2821</v>
      </c>
      <c r="G1926" s="474" t="s">
        <v>354</v>
      </c>
      <c r="H1926" s="210" t="s">
        <v>355</v>
      </c>
      <c r="I1926" s="210"/>
      <c r="J1926" s="513">
        <v>-89863.8</v>
      </c>
      <c r="K1926" s="513">
        <v>-63.96</v>
      </c>
      <c r="L1926" s="513">
        <v>1405</v>
      </c>
      <c r="M1926" s="513" t="s">
        <v>6303</v>
      </c>
      <c r="N1926" s="513" t="s">
        <v>780</v>
      </c>
      <c r="O1926" s="513" t="s">
        <v>1407</v>
      </c>
      <c r="P1926" s="518" t="s">
        <v>6418</v>
      </c>
      <c r="Q1926" s="152" t="s">
        <v>5873</v>
      </c>
      <c r="R1926" s="152" t="s">
        <v>6419</v>
      </c>
      <c r="S1926" s="152" t="s">
        <v>6560</v>
      </c>
      <c r="T1926" s="152" t="s">
        <v>6421</v>
      </c>
      <c r="U1926" s="152" t="s">
        <v>786</v>
      </c>
    </row>
    <row r="1927" spans="4:21">
      <c r="D1927" s="152" t="s">
        <v>2821</v>
      </c>
      <c r="G1927" s="474" t="s">
        <v>354</v>
      </c>
      <c r="H1927" s="210" t="s">
        <v>355</v>
      </c>
      <c r="I1927" s="210"/>
      <c r="J1927" s="513">
        <v>93011</v>
      </c>
      <c r="K1927" s="513">
        <v>66.2</v>
      </c>
      <c r="L1927" s="513">
        <v>1405</v>
      </c>
      <c r="M1927" s="513" t="s">
        <v>6303</v>
      </c>
      <c r="N1927" s="513" t="s">
        <v>780</v>
      </c>
      <c r="O1927" s="513" t="s">
        <v>1407</v>
      </c>
      <c r="P1927" s="518" t="s">
        <v>6369</v>
      </c>
      <c r="Q1927" s="152" t="s">
        <v>5873</v>
      </c>
      <c r="R1927" s="152" t="s">
        <v>6370</v>
      </c>
      <c r="S1927" s="152" t="s">
        <v>6561</v>
      </c>
      <c r="T1927" s="152" t="s">
        <v>6372</v>
      </c>
      <c r="U1927" s="152" t="s">
        <v>786</v>
      </c>
    </row>
    <row r="1928" spans="4:21">
      <c r="D1928" s="152" t="s">
        <v>2821</v>
      </c>
      <c r="G1928" s="474" t="s">
        <v>354</v>
      </c>
      <c r="H1928" s="210" t="s">
        <v>355</v>
      </c>
      <c r="I1928" s="210"/>
      <c r="J1928" s="513">
        <v>-8458.1</v>
      </c>
      <c r="K1928" s="513">
        <v>-6.02</v>
      </c>
      <c r="L1928" s="513">
        <v>1405</v>
      </c>
      <c r="M1928" s="513" t="s">
        <v>6303</v>
      </c>
      <c r="N1928" s="513" t="s">
        <v>780</v>
      </c>
      <c r="O1928" s="513" t="s">
        <v>1407</v>
      </c>
      <c r="P1928" s="518" t="s">
        <v>6418</v>
      </c>
      <c r="Q1928" s="152" t="s">
        <v>5873</v>
      </c>
      <c r="R1928" s="152" t="s">
        <v>6419</v>
      </c>
      <c r="S1928" s="152" t="s">
        <v>6562</v>
      </c>
      <c r="T1928" s="152" t="s">
        <v>6421</v>
      </c>
      <c r="U1928" s="152" t="s">
        <v>786</v>
      </c>
    </row>
    <row r="1929" spans="4:21">
      <c r="D1929" s="152" t="s">
        <v>2821</v>
      </c>
      <c r="G1929" s="474" t="s">
        <v>354</v>
      </c>
      <c r="H1929" s="210" t="s">
        <v>355</v>
      </c>
      <c r="I1929" s="210"/>
      <c r="J1929" s="513">
        <v>-73888.95</v>
      </c>
      <c r="K1929" s="513">
        <v>-52.59</v>
      </c>
      <c r="L1929" s="513">
        <v>1405</v>
      </c>
      <c r="M1929" s="513" t="s">
        <v>6303</v>
      </c>
      <c r="N1929" s="513" t="s">
        <v>780</v>
      </c>
      <c r="O1929" s="513" t="s">
        <v>1407</v>
      </c>
      <c r="P1929" s="518" t="s">
        <v>6418</v>
      </c>
      <c r="Q1929" s="152" t="s">
        <v>5873</v>
      </c>
      <c r="R1929" s="152" t="s">
        <v>6419</v>
      </c>
      <c r="S1929" s="152" t="s">
        <v>6562</v>
      </c>
      <c r="T1929" s="152" t="s">
        <v>6421</v>
      </c>
      <c r="U1929" s="152" t="s">
        <v>786</v>
      </c>
    </row>
    <row r="1930" spans="4:21">
      <c r="D1930" s="152" t="s">
        <v>2821</v>
      </c>
      <c r="G1930" s="474" t="s">
        <v>354</v>
      </c>
      <c r="H1930" s="210" t="s">
        <v>355</v>
      </c>
      <c r="I1930" s="210"/>
      <c r="J1930" s="513">
        <v>8753.15</v>
      </c>
      <c r="K1930" s="513">
        <v>6.23</v>
      </c>
      <c r="L1930" s="513">
        <v>1405</v>
      </c>
      <c r="M1930" s="513" t="s">
        <v>6303</v>
      </c>
      <c r="N1930" s="513" t="s">
        <v>780</v>
      </c>
      <c r="O1930" s="513" t="s">
        <v>1407</v>
      </c>
      <c r="P1930" s="518" t="s">
        <v>6369</v>
      </c>
      <c r="Q1930" s="152" t="s">
        <v>5873</v>
      </c>
      <c r="R1930" s="152" t="s">
        <v>6370</v>
      </c>
      <c r="S1930" s="152" t="s">
        <v>6563</v>
      </c>
      <c r="T1930" s="152" t="s">
        <v>6372</v>
      </c>
      <c r="U1930" s="152" t="s">
        <v>786</v>
      </c>
    </row>
    <row r="1931" spans="4:21">
      <c r="D1931" s="152" t="s">
        <v>2821</v>
      </c>
      <c r="G1931" s="474" t="s">
        <v>354</v>
      </c>
      <c r="H1931" s="210" t="s">
        <v>355</v>
      </c>
      <c r="I1931" s="210"/>
      <c r="J1931" s="513">
        <v>76474.149999999994</v>
      </c>
      <c r="K1931" s="513">
        <v>54.43</v>
      </c>
      <c r="L1931" s="513">
        <v>1405</v>
      </c>
      <c r="M1931" s="513" t="s">
        <v>6303</v>
      </c>
      <c r="N1931" s="513" t="s">
        <v>780</v>
      </c>
      <c r="O1931" s="513" t="s">
        <v>1407</v>
      </c>
      <c r="P1931" s="518" t="s">
        <v>6369</v>
      </c>
      <c r="Q1931" s="152" t="s">
        <v>5873</v>
      </c>
      <c r="R1931" s="152" t="s">
        <v>6370</v>
      </c>
      <c r="S1931" s="152" t="s">
        <v>6563</v>
      </c>
      <c r="T1931" s="152" t="s">
        <v>6372</v>
      </c>
      <c r="U1931" s="152" t="s">
        <v>786</v>
      </c>
    </row>
    <row r="1932" spans="4:21">
      <c r="D1932" s="152" t="s">
        <v>2821</v>
      </c>
      <c r="G1932" s="474" t="s">
        <v>354</v>
      </c>
      <c r="H1932" s="210" t="s">
        <v>355</v>
      </c>
      <c r="I1932" s="210"/>
      <c r="J1932" s="513">
        <v>541177.9</v>
      </c>
      <c r="K1932" s="513">
        <v>385.18</v>
      </c>
      <c r="L1932" s="513">
        <v>1405</v>
      </c>
      <c r="M1932" s="513" t="s">
        <v>6303</v>
      </c>
      <c r="N1932" s="513" t="s">
        <v>780</v>
      </c>
      <c r="O1932" s="513" t="s">
        <v>1407</v>
      </c>
      <c r="P1932" s="518" t="s">
        <v>6369</v>
      </c>
      <c r="Q1932" s="152" t="s">
        <v>5873</v>
      </c>
      <c r="R1932" s="152" t="s">
        <v>6370</v>
      </c>
      <c r="S1932" s="152" t="s">
        <v>6565</v>
      </c>
      <c r="T1932" s="152" t="s">
        <v>6372</v>
      </c>
      <c r="U1932" s="152" t="s">
        <v>786</v>
      </c>
    </row>
    <row r="1933" spans="4:21">
      <c r="D1933" s="152" t="s">
        <v>2821</v>
      </c>
      <c r="G1933" s="474" t="s">
        <v>354</v>
      </c>
      <c r="H1933" s="210" t="s">
        <v>355</v>
      </c>
      <c r="I1933" s="210"/>
      <c r="J1933" s="513">
        <v>1027040.95</v>
      </c>
      <c r="K1933" s="513">
        <v>730.99</v>
      </c>
      <c r="L1933" s="513">
        <v>1405</v>
      </c>
      <c r="M1933" s="513" t="s">
        <v>6303</v>
      </c>
      <c r="N1933" s="513" t="s">
        <v>780</v>
      </c>
      <c r="O1933" s="513" t="s">
        <v>1407</v>
      </c>
      <c r="P1933" s="518" t="s">
        <v>6369</v>
      </c>
      <c r="Q1933" s="152" t="s">
        <v>5873</v>
      </c>
      <c r="R1933" s="152" t="s">
        <v>6370</v>
      </c>
      <c r="S1933" s="152" t="s">
        <v>6573</v>
      </c>
      <c r="T1933" s="152" t="s">
        <v>6372</v>
      </c>
      <c r="U1933" s="152" t="s">
        <v>786</v>
      </c>
    </row>
    <row r="1934" spans="4:21">
      <c r="D1934" s="152" t="s">
        <v>2821</v>
      </c>
      <c r="G1934" s="474" t="s">
        <v>354</v>
      </c>
      <c r="H1934" s="210" t="s">
        <v>355</v>
      </c>
      <c r="I1934" s="210"/>
      <c r="J1934" s="513">
        <v>1264500</v>
      </c>
      <c r="K1934" s="513">
        <v>900</v>
      </c>
      <c r="L1934" s="513">
        <v>1405</v>
      </c>
      <c r="M1934" s="513" t="s">
        <v>6303</v>
      </c>
      <c r="N1934" s="513" t="s">
        <v>780</v>
      </c>
      <c r="O1934" s="513" t="s">
        <v>2705</v>
      </c>
      <c r="P1934" s="518" t="s">
        <v>6369</v>
      </c>
      <c r="Q1934" s="152" t="s">
        <v>5873</v>
      </c>
      <c r="R1934" s="152" t="s">
        <v>6370</v>
      </c>
      <c r="S1934" s="152" t="s">
        <v>6886</v>
      </c>
      <c r="T1934" s="152" t="s">
        <v>6372</v>
      </c>
      <c r="U1934" s="152" t="s">
        <v>786</v>
      </c>
    </row>
    <row r="1935" spans="4:21">
      <c r="D1935" s="152" t="s">
        <v>2821</v>
      </c>
      <c r="G1935" s="474" t="s">
        <v>6632</v>
      </c>
      <c r="H1935" s="210" t="s">
        <v>6633</v>
      </c>
      <c r="I1935" s="210"/>
      <c r="J1935" s="513">
        <v>0</v>
      </c>
      <c r="K1935" s="513">
        <v>0</v>
      </c>
      <c r="L1935" s="513">
        <v>1405</v>
      </c>
      <c r="M1935" s="513" t="s">
        <v>6303</v>
      </c>
      <c r="N1935" s="513" t="s">
        <v>1566</v>
      </c>
      <c r="O1935" s="513" t="s">
        <v>1407</v>
      </c>
      <c r="P1935" s="518" t="s">
        <v>6629</v>
      </c>
      <c r="Q1935" s="152" t="s">
        <v>5895</v>
      </c>
      <c r="R1935" s="152" t="s">
        <v>6630</v>
      </c>
      <c r="S1935" s="152" t="s">
        <v>6612</v>
      </c>
      <c r="T1935" s="152" t="s">
        <v>6631</v>
      </c>
      <c r="U1935" s="152" t="s">
        <v>786</v>
      </c>
    </row>
    <row r="1936" spans="4:21">
      <c r="D1936" s="152" t="s">
        <v>2821</v>
      </c>
      <c r="G1936" s="474" t="s">
        <v>6632</v>
      </c>
      <c r="H1936" s="210" t="s">
        <v>6633</v>
      </c>
      <c r="I1936" s="210"/>
      <c r="J1936" s="513">
        <v>0</v>
      </c>
      <c r="K1936" s="513">
        <v>0</v>
      </c>
      <c r="L1936" s="513">
        <v>1405</v>
      </c>
      <c r="M1936" s="513" t="s">
        <v>6303</v>
      </c>
      <c r="N1936" s="513" t="s">
        <v>1566</v>
      </c>
      <c r="O1936" s="513" t="s">
        <v>1407</v>
      </c>
      <c r="P1936" s="518" t="s">
        <v>6634</v>
      </c>
      <c r="Q1936" s="152" t="s">
        <v>5895</v>
      </c>
      <c r="R1936" s="152" t="s">
        <v>6635</v>
      </c>
      <c r="S1936" s="152" t="s">
        <v>6612</v>
      </c>
      <c r="T1936" s="152" t="s">
        <v>6636</v>
      </c>
      <c r="U1936" s="152" t="s">
        <v>786</v>
      </c>
    </row>
    <row r="1937" spans="2:21">
      <c r="G1937" s="474"/>
      <c r="H1937" s="210"/>
      <c r="I1937" s="210"/>
      <c r="M1937" s="513"/>
      <c r="N1937" s="513"/>
      <c r="O1937" s="513"/>
      <c r="P1937" s="518"/>
    </row>
    <row r="1938" spans="2:21" ht="13">
      <c r="B1938" s="750" t="s">
        <v>5842</v>
      </c>
      <c r="C1938" s="750" t="s">
        <v>7077</v>
      </c>
      <c r="D1938" s="751" t="s">
        <v>2821</v>
      </c>
      <c r="E1938" s="752"/>
      <c r="F1938" s="750"/>
      <c r="G1938" s="752" t="s">
        <v>341</v>
      </c>
      <c r="H1938" s="750" t="s">
        <v>342</v>
      </c>
      <c r="I1938" s="829"/>
      <c r="J1938" s="470">
        <v>2669.5</v>
      </c>
      <c r="K1938" s="470">
        <v>1.9</v>
      </c>
      <c r="L1938" s="470">
        <v>1405</v>
      </c>
      <c r="M1938" s="470" t="s">
        <v>6059</v>
      </c>
      <c r="N1938" s="470" t="s">
        <v>780</v>
      </c>
      <c r="O1938" s="470" t="s">
        <v>781</v>
      </c>
      <c r="P1938" s="756" t="s">
        <v>6060</v>
      </c>
      <c r="Q1938" s="751" t="s">
        <v>5873</v>
      </c>
      <c r="R1938" s="751" t="s">
        <v>6061</v>
      </c>
      <c r="S1938" s="751" t="s">
        <v>953</v>
      </c>
      <c r="T1938" s="751" t="s">
        <v>6063</v>
      </c>
      <c r="U1938" s="751" t="s">
        <v>786</v>
      </c>
    </row>
    <row r="1939" spans="2:21" ht="13">
      <c r="B1939" s="750" t="s">
        <v>5842</v>
      </c>
      <c r="C1939" s="750" t="s">
        <v>7077</v>
      </c>
      <c r="D1939" s="751" t="s">
        <v>2821</v>
      </c>
      <c r="E1939" s="752"/>
      <c r="F1939" s="750"/>
      <c r="G1939" s="752" t="s">
        <v>341</v>
      </c>
      <c r="H1939" s="750" t="s">
        <v>342</v>
      </c>
      <c r="I1939" s="829"/>
      <c r="J1939" s="470">
        <v>2669.5</v>
      </c>
      <c r="K1939" s="470">
        <v>1.9</v>
      </c>
      <c r="L1939" s="470">
        <v>1405</v>
      </c>
      <c r="M1939" s="470" t="s">
        <v>6059</v>
      </c>
      <c r="N1939" s="470" t="s">
        <v>780</v>
      </c>
      <c r="O1939" s="470" t="s">
        <v>781</v>
      </c>
      <c r="P1939" s="756" t="s">
        <v>6060</v>
      </c>
      <c r="Q1939" s="751" t="s">
        <v>5873</v>
      </c>
      <c r="R1939" s="751" t="s">
        <v>6061</v>
      </c>
      <c r="S1939" s="751" t="s">
        <v>953</v>
      </c>
      <c r="T1939" s="751" t="s">
        <v>6063</v>
      </c>
      <c r="U1939" s="751" t="s">
        <v>786</v>
      </c>
    </row>
    <row r="1940" spans="2:21" ht="13">
      <c r="B1940" s="750" t="s">
        <v>5842</v>
      </c>
      <c r="C1940" s="750" t="s">
        <v>7077</v>
      </c>
      <c r="D1940" s="751" t="s">
        <v>2821</v>
      </c>
      <c r="E1940" s="752"/>
      <c r="F1940" s="750"/>
      <c r="G1940" s="752" t="s">
        <v>341</v>
      </c>
      <c r="H1940" s="750" t="s">
        <v>342</v>
      </c>
      <c r="I1940" s="829"/>
      <c r="J1940" s="470">
        <v>2669.5</v>
      </c>
      <c r="K1940" s="470">
        <v>1.9</v>
      </c>
      <c r="L1940" s="470">
        <v>1405</v>
      </c>
      <c r="M1940" s="470" t="s">
        <v>6059</v>
      </c>
      <c r="N1940" s="470" t="s">
        <v>780</v>
      </c>
      <c r="O1940" s="470" t="s">
        <v>781</v>
      </c>
      <c r="P1940" s="756" t="s">
        <v>6060</v>
      </c>
      <c r="Q1940" s="751" t="s">
        <v>5873</v>
      </c>
      <c r="R1940" s="751" t="s">
        <v>6061</v>
      </c>
      <c r="S1940" s="751" t="s">
        <v>953</v>
      </c>
      <c r="T1940" s="751" t="s">
        <v>6063</v>
      </c>
      <c r="U1940" s="751" t="s">
        <v>786</v>
      </c>
    </row>
    <row r="1941" spans="2:21" ht="13">
      <c r="B1941" s="750" t="s">
        <v>5842</v>
      </c>
      <c r="C1941" s="750" t="s">
        <v>7077</v>
      </c>
      <c r="D1941" s="751" t="s">
        <v>2821</v>
      </c>
      <c r="E1941" s="752"/>
      <c r="F1941" s="750"/>
      <c r="G1941" s="752" t="s">
        <v>341</v>
      </c>
      <c r="H1941" s="750" t="s">
        <v>342</v>
      </c>
      <c r="I1941" s="829"/>
      <c r="J1941" s="470">
        <v>2669.5</v>
      </c>
      <c r="K1941" s="470">
        <v>1.9</v>
      </c>
      <c r="L1941" s="470">
        <v>1405</v>
      </c>
      <c r="M1941" s="470" t="s">
        <v>6059</v>
      </c>
      <c r="N1941" s="470" t="s">
        <v>780</v>
      </c>
      <c r="O1941" s="470" t="s">
        <v>781</v>
      </c>
      <c r="P1941" s="756" t="s">
        <v>6060</v>
      </c>
      <c r="Q1941" s="751" t="s">
        <v>5873</v>
      </c>
      <c r="R1941" s="751" t="s">
        <v>6061</v>
      </c>
      <c r="S1941" s="751" t="s">
        <v>953</v>
      </c>
      <c r="T1941" s="751" t="s">
        <v>6063</v>
      </c>
      <c r="U1941" s="751" t="s">
        <v>786</v>
      </c>
    </row>
    <row r="1942" spans="2:21" ht="13">
      <c r="B1942" s="750" t="s">
        <v>5842</v>
      </c>
      <c r="C1942" s="750" t="s">
        <v>7077</v>
      </c>
      <c r="D1942" s="751" t="s">
        <v>2821</v>
      </c>
      <c r="E1942" s="752"/>
      <c r="F1942" s="750"/>
      <c r="G1942" s="752" t="s">
        <v>341</v>
      </c>
      <c r="H1942" s="750" t="s">
        <v>342</v>
      </c>
      <c r="I1942" s="829"/>
      <c r="J1942" s="470">
        <v>2669.5</v>
      </c>
      <c r="K1942" s="470">
        <v>1.9</v>
      </c>
      <c r="L1942" s="470">
        <v>1405</v>
      </c>
      <c r="M1942" s="470" t="s">
        <v>6059</v>
      </c>
      <c r="N1942" s="470" t="s">
        <v>780</v>
      </c>
      <c r="O1942" s="470" t="s">
        <v>781</v>
      </c>
      <c r="P1942" s="756" t="s">
        <v>6060</v>
      </c>
      <c r="Q1942" s="751" t="s">
        <v>5873</v>
      </c>
      <c r="R1942" s="751" t="s">
        <v>6061</v>
      </c>
      <c r="S1942" s="751" t="s">
        <v>953</v>
      </c>
      <c r="T1942" s="751" t="s">
        <v>6063</v>
      </c>
      <c r="U1942" s="751" t="s">
        <v>786</v>
      </c>
    </row>
    <row r="1943" spans="2:21" ht="13">
      <c r="B1943" s="750" t="s">
        <v>5842</v>
      </c>
      <c r="C1943" s="750" t="s">
        <v>7077</v>
      </c>
      <c r="D1943" s="751" t="s">
        <v>2821</v>
      </c>
      <c r="E1943" s="752"/>
      <c r="F1943" s="750"/>
      <c r="G1943" s="752" t="s">
        <v>341</v>
      </c>
      <c r="H1943" s="750" t="s">
        <v>342</v>
      </c>
      <c r="I1943" s="829"/>
      <c r="J1943" s="470">
        <v>2669.5</v>
      </c>
      <c r="K1943" s="470">
        <v>1.9</v>
      </c>
      <c r="L1943" s="470">
        <v>1405</v>
      </c>
      <c r="M1943" s="470" t="s">
        <v>6059</v>
      </c>
      <c r="N1943" s="470" t="s">
        <v>780</v>
      </c>
      <c r="O1943" s="470" t="s">
        <v>781</v>
      </c>
      <c r="P1943" s="756" t="s">
        <v>6060</v>
      </c>
      <c r="Q1943" s="751" t="s">
        <v>5873</v>
      </c>
      <c r="R1943" s="751" t="s">
        <v>6061</v>
      </c>
      <c r="S1943" s="751" t="s">
        <v>953</v>
      </c>
      <c r="T1943" s="751" t="s">
        <v>6063</v>
      </c>
      <c r="U1943" s="751" t="s">
        <v>786</v>
      </c>
    </row>
    <row r="1944" spans="2:21" ht="13">
      <c r="B1944" s="750" t="s">
        <v>5842</v>
      </c>
      <c r="C1944" s="750" t="s">
        <v>7077</v>
      </c>
      <c r="D1944" s="751" t="s">
        <v>2821</v>
      </c>
      <c r="E1944" s="752"/>
      <c r="F1944" s="750"/>
      <c r="G1944" s="752" t="s">
        <v>341</v>
      </c>
      <c r="H1944" s="750" t="s">
        <v>342</v>
      </c>
      <c r="I1944" s="829"/>
      <c r="J1944" s="470">
        <v>2669.5</v>
      </c>
      <c r="K1944" s="470">
        <v>1.9</v>
      </c>
      <c r="L1944" s="470">
        <v>1405</v>
      </c>
      <c r="M1944" s="470" t="s">
        <v>6059</v>
      </c>
      <c r="N1944" s="470" t="s">
        <v>780</v>
      </c>
      <c r="O1944" s="470" t="s">
        <v>781</v>
      </c>
      <c r="P1944" s="756" t="s">
        <v>6060</v>
      </c>
      <c r="Q1944" s="751" t="s">
        <v>5873</v>
      </c>
      <c r="R1944" s="751" t="s">
        <v>6061</v>
      </c>
      <c r="S1944" s="751" t="s">
        <v>953</v>
      </c>
      <c r="T1944" s="751" t="s">
        <v>6063</v>
      </c>
      <c r="U1944" s="751" t="s">
        <v>786</v>
      </c>
    </row>
    <row r="1945" spans="2:21" ht="13">
      <c r="B1945" s="750" t="s">
        <v>5842</v>
      </c>
      <c r="C1945" s="750" t="s">
        <v>7077</v>
      </c>
      <c r="D1945" s="751" t="s">
        <v>2821</v>
      </c>
      <c r="E1945" s="752"/>
      <c r="F1945" s="750"/>
      <c r="G1945" s="752" t="s">
        <v>341</v>
      </c>
      <c r="H1945" s="750" t="s">
        <v>342</v>
      </c>
      <c r="I1945" s="829"/>
      <c r="J1945" s="470">
        <v>2669.5</v>
      </c>
      <c r="K1945" s="470">
        <v>1.9</v>
      </c>
      <c r="L1945" s="470">
        <v>1405</v>
      </c>
      <c r="M1945" s="470" t="s">
        <v>6059</v>
      </c>
      <c r="N1945" s="470" t="s">
        <v>780</v>
      </c>
      <c r="O1945" s="470" t="s">
        <v>781</v>
      </c>
      <c r="P1945" s="756" t="s">
        <v>6060</v>
      </c>
      <c r="Q1945" s="751" t="s">
        <v>5873</v>
      </c>
      <c r="R1945" s="751" t="s">
        <v>6061</v>
      </c>
      <c r="S1945" s="751" t="s">
        <v>6072</v>
      </c>
      <c r="T1945" s="751" t="s">
        <v>6063</v>
      </c>
      <c r="U1945" s="751" t="s">
        <v>786</v>
      </c>
    </row>
    <row r="1946" spans="2:21" ht="13">
      <c r="B1946" s="750" t="s">
        <v>5842</v>
      </c>
      <c r="C1946" s="750" t="s">
        <v>7077</v>
      </c>
      <c r="D1946" s="751" t="s">
        <v>2821</v>
      </c>
      <c r="E1946" s="752"/>
      <c r="F1946" s="750"/>
      <c r="G1946" s="752" t="s">
        <v>341</v>
      </c>
      <c r="H1946" s="750" t="s">
        <v>342</v>
      </c>
      <c r="I1946" s="829"/>
      <c r="J1946" s="470">
        <v>2711.65</v>
      </c>
      <c r="K1946" s="470">
        <v>1.93</v>
      </c>
      <c r="L1946" s="470">
        <v>1405</v>
      </c>
      <c r="M1946" s="470" t="s">
        <v>6059</v>
      </c>
      <c r="N1946" s="470" t="s">
        <v>780</v>
      </c>
      <c r="O1946" s="470" t="s">
        <v>781</v>
      </c>
      <c r="P1946" s="756" t="s">
        <v>6065</v>
      </c>
      <c r="Q1946" s="751" t="s">
        <v>5873</v>
      </c>
      <c r="R1946" s="751" t="s">
        <v>6066</v>
      </c>
      <c r="S1946" s="751" t="s">
        <v>953</v>
      </c>
      <c r="T1946" s="751" t="s">
        <v>6068</v>
      </c>
      <c r="U1946" s="751" t="s">
        <v>786</v>
      </c>
    </row>
    <row r="1947" spans="2:21" ht="13">
      <c r="B1947" s="750" t="s">
        <v>5842</v>
      </c>
      <c r="C1947" s="750" t="s">
        <v>7077</v>
      </c>
      <c r="D1947" s="751" t="s">
        <v>2821</v>
      </c>
      <c r="E1947" s="752"/>
      <c r="F1947" s="750"/>
      <c r="G1947" s="752" t="s">
        <v>341</v>
      </c>
      <c r="H1947" s="750" t="s">
        <v>342</v>
      </c>
      <c r="I1947" s="829"/>
      <c r="J1947" s="470">
        <v>52603.199999999997</v>
      </c>
      <c r="K1947" s="470">
        <v>37.44</v>
      </c>
      <c r="L1947" s="470">
        <v>1405</v>
      </c>
      <c r="M1947" s="470" t="s">
        <v>6059</v>
      </c>
      <c r="N1947" s="470" t="s">
        <v>780</v>
      </c>
      <c r="O1947" s="470" t="s">
        <v>1407</v>
      </c>
      <c r="P1947" s="756" t="s">
        <v>6119</v>
      </c>
      <c r="Q1947" s="751" t="s">
        <v>5873</v>
      </c>
      <c r="R1947" s="751" t="s">
        <v>6120</v>
      </c>
      <c r="S1947" s="751" t="s">
        <v>6161</v>
      </c>
      <c r="T1947" s="751" t="s">
        <v>6122</v>
      </c>
      <c r="U1947" s="751" t="s">
        <v>786</v>
      </c>
    </row>
    <row r="1948" spans="2:21" ht="13">
      <c r="B1948" s="750" t="s">
        <v>5842</v>
      </c>
      <c r="C1948" s="750" t="s">
        <v>7077</v>
      </c>
      <c r="D1948" s="751" t="s">
        <v>2821</v>
      </c>
      <c r="E1948" s="752"/>
      <c r="F1948" s="750"/>
      <c r="G1948" s="752" t="s">
        <v>341</v>
      </c>
      <c r="H1948" s="750" t="s">
        <v>342</v>
      </c>
      <c r="I1948" s="829"/>
      <c r="J1948" s="470">
        <v>63140.7</v>
      </c>
      <c r="K1948" s="470">
        <v>44.94</v>
      </c>
      <c r="L1948" s="470">
        <v>1405</v>
      </c>
      <c r="M1948" s="470" t="s">
        <v>6059</v>
      </c>
      <c r="N1948" s="470" t="s">
        <v>780</v>
      </c>
      <c r="O1948" s="470" t="s">
        <v>1407</v>
      </c>
      <c r="P1948" s="756" t="s">
        <v>6119</v>
      </c>
      <c r="Q1948" s="751" t="s">
        <v>5873</v>
      </c>
      <c r="R1948" s="751" t="s">
        <v>6120</v>
      </c>
      <c r="S1948" s="751" t="s">
        <v>6163</v>
      </c>
      <c r="T1948" s="751" t="s">
        <v>6122</v>
      </c>
      <c r="U1948" s="751" t="s">
        <v>786</v>
      </c>
    </row>
    <row r="1949" spans="2:21" ht="13">
      <c r="B1949" s="750" t="s">
        <v>5842</v>
      </c>
      <c r="C1949" s="750" t="s">
        <v>7077</v>
      </c>
      <c r="D1949" s="751" t="s">
        <v>2821</v>
      </c>
      <c r="E1949" s="752"/>
      <c r="F1949" s="750"/>
      <c r="G1949" s="752" t="s">
        <v>341</v>
      </c>
      <c r="H1949" s="750" t="s">
        <v>342</v>
      </c>
      <c r="I1949" s="829"/>
      <c r="J1949" s="470">
        <v>73678.2</v>
      </c>
      <c r="K1949" s="470">
        <v>52.44</v>
      </c>
      <c r="L1949" s="470">
        <v>1405</v>
      </c>
      <c r="M1949" s="470" t="s">
        <v>6059</v>
      </c>
      <c r="N1949" s="470" t="s">
        <v>780</v>
      </c>
      <c r="O1949" s="470" t="s">
        <v>781</v>
      </c>
      <c r="P1949" s="756" t="s">
        <v>6060</v>
      </c>
      <c r="Q1949" s="751" t="s">
        <v>5873</v>
      </c>
      <c r="R1949" s="751" t="s">
        <v>6061</v>
      </c>
      <c r="S1949" s="751" t="s">
        <v>4800</v>
      </c>
      <c r="T1949" s="751" t="s">
        <v>6063</v>
      </c>
      <c r="U1949" s="751" t="s">
        <v>786</v>
      </c>
    </row>
    <row r="1950" spans="2:21" ht="13">
      <c r="B1950" s="750" t="s">
        <v>5842</v>
      </c>
      <c r="C1950" s="750" t="s">
        <v>7077</v>
      </c>
      <c r="D1950" s="751" t="s">
        <v>2821</v>
      </c>
      <c r="E1950" s="752"/>
      <c r="F1950" s="750"/>
      <c r="G1950" s="752" t="s">
        <v>341</v>
      </c>
      <c r="H1950" s="750" t="s">
        <v>342</v>
      </c>
      <c r="I1950" s="829"/>
      <c r="J1950" s="470">
        <v>35125</v>
      </c>
      <c r="K1950" s="470">
        <v>25</v>
      </c>
      <c r="L1950" s="470">
        <v>1405</v>
      </c>
      <c r="M1950" s="470" t="s">
        <v>6303</v>
      </c>
      <c r="N1950" s="470" t="s">
        <v>780</v>
      </c>
      <c r="O1950" s="470" t="s">
        <v>781</v>
      </c>
      <c r="P1950" s="756" t="s">
        <v>6310</v>
      </c>
      <c r="Q1950" s="751" t="s">
        <v>5873</v>
      </c>
      <c r="R1950" s="751" t="s">
        <v>6311</v>
      </c>
      <c r="S1950" s="751" t="s">
        <v>1188</v>
      </c>
      <c r="T1950" s="751" t="s">
        <v>6313</v>
      </c>
      <c r="U1950" s="751" t="s">
        <v>786</v>
      </c>
    </row>
    <row r="1951" spans="2:21" ht="13">
      <c r="B1951" s="750" t="s">
        <v>5842</v>
      </c>
      <c r="C1951" s="750" t="s">
        <v>7077</v>
      </c>
      <c r="D1951" s="751" t="s">
        <v>2821</v>
      </c>
      <c r="E1951" s="752"/>
      <c r="F1951" s="750"/>
      <c r="G1951" s="752" t="s">
        <v>341</v>
      </c>
      <c r="H1951" s="750" t="s">
        <v>342</v>
      </c>
      <c r="I1951" s="829"/>
      <c r="J1951" s="470">
        <v>35125</v>
      </c>
      <c r="K1951" s="470">
        <v>25</v>
      </c>
      <c r="L1951" s="470">
        <v>1405</v>
      </c>
      <c r="M1951" s="470" t="s">
        <v>6303</v>
      </c>
      <c r="N1951" s="470" t="s">
        <v>780</v>
      </c>
      <c r="O1951" s="470" t="s">
        <v>781</v>
      </c>
      <c r="P1951" s="756" t="s">
        <v>6310</v>
      </c>
      <c r="Q1951" s="751" t="s">
        <v>5873</v>
      </c>
      <c r="R1951" s="751" t="s">
        <v>6311</v>
      </c>
      <c r="S1951" s="751" t="s">
        <v>852</v>
      </c>
      <c r="T1951" s="751" t="s">
        <v>6313</v>
      </c>
      <c r="U1951" s="751" t="s">
        <v>786</v>
      </c>
    </row>
    <row r="1952" spans="2:21" ht="13">
      <c r="B1952" s="750"/>
      <c r="C1952" s="750"/>
      <c r="D1952" s="751"/>
      <c r="E1952" s="752"/>
      <c r="F1952" s="750"/>
      <c r="G1952" s="752"/>
      <c r="H1952" s="750"/>
      <c r="I1952" s="829"/>
      <c r="J1952" s="470"/>
      <c r="K1952" s="470"/>
      <c r="L1952" s="470"/>
      <c r="M1952" s="470"/>
      <c r="N1952" s="470"/>
      <c r="O1952" s="470"/>
      <c r="P1952" s="756"/>
      <c r="Q1952" s="751"/>
      <c r="R1952" s="751"/>
      <c r="S1952" s="751"/>
      <c r="T1952" s="751"/>
      <c r="U1952" s="751"/>
    </row>
    <row r="1953" spans="2:21" ht="13">
      <c r="B1953" s="835" t="s">
        <v>5842</v>
      </c>
      <c r="C1953" s="835"/>
      <c r="D1953" s="836" t="s">
        <v>2821</v>
      </c>
      <c r="E1953" s="837"/>
      <c r="F1953" s="835"/>
      <c r="G1953" s="837" t="s">
        <v>358</v>
      </c>
      <c r="H1953" s="835" t="s">
        <v>359</v>
      </c>
      <c r="I1953" s="838"/>
      <c r="J1953" s="839">
        <v>42150000</v>
      </c>
      <c r="K1953" s="839">
        <v>30000</v>
      </c>
      <c r="L1953" s="839">
        <v>1405</v>
      </c>
      <c r="M1953" s="839" t="s">
        <v>5951</v>
      </c>
      <c r="N1953" s="839" t="s">
        <v>780</v>
      </c>
      <c r="O1953" s="839" t="s">
        <v>1407</v>
      </c>
      <c r="P1953" s="840" t="s">
        <v>5952</v>
      </c>
      <c r="Q1953" s="836" t="s">
        <v>5873</v>
      </c>
      <c r="R1953" s="836" t="s">
        <v>5953</v>
      </c>
      <c r="S1953" s="836" t="s">
        <v>5972</v>
      </c>
      <c r="T1953" s="836" t="s">
        <v>5955</v>
      </c>
      <c r="U1953" s="836" t="s">
        <v>786</v>
      </c>
    </row>
    <row r="1954" spans="2:21" ht="13">
      <c r="B1954" s="835" t="s">
        <v>5842</v>
      </c>
      <c r="C1954" s="835"/>
      <c r="D1954" s="836" t="s">
        <v>2821</v>
      </c>
      <c r="E1954" s="837"/>
      <c r="F1954" s="835"/>
      <c r="G1954" s="837" t="s">
        <v>358</v>
      </c>
      <c r="H1954" s="835" t="s">
        <v>359</v>
      </c>
      <c r="I1954" s="838"/>
      <c r="J1954" s="839">
        <v>-42100825</v>
      </c>
      <c r="K1954" s="839">
        <v>-29965</v>
      </c>
      <c r="L1954" s="839">
        <v>1405</v>
      </c>
      <c r="M1954" s="839" t="s">
        <v>6059</v>
      </c>
      <c r="N1954" s="839" t="s">
        <v>780</v>
      </c>
      <c r="O1954" s="839" t="s">
        <v>1407</v>
      </c>
      <c r="P1954" s="840" t="s">
        <v>6176</v>
      </c>
      <c r="Q1954" s="836" t="s">
        <v>5873</v>
      </c>
      <c r="R1954" s="836" t="s">
        <v>6177</v>
      </c>
      <c r="S1954" s="836" t="s">
        <v>1432</v>
      </c>
      <c r="T1954" s="836" t="s">
        <v>6178</v>
      </c>
      <c r="U1954" s="836" t="s">
        <v>786</v>
      </c>
    </row>
    <row r="1955" spans="2:21" ht="13">
      <c r="B1955" s="835" t="s">
        <v>5842</v>
      </c>
      <c r="C1955" s="835"/>
      <c r="D1955" s="836" t="s">
        <v>2821</v>
      </c>
      <c r="E1955" s="837"/>
      <c r="F1955" s="835"/>
      <c r="G1955" s="837" t="s">
        <v>358</v>
      </c>
      <c r="H1955" s="835" t="s">
        <v>359</v>
      </c>
      <c r="I1955" s="838"/>
      <c r="J1955" s="839">
        <v>49175000</v>
      </c>
      <c r="K1955" s="839">
        <v>35000</v>
      </c>
      <c r="L1955" s="839">
        <v>1405</v>
      </c>
      <c r="M1955" s="839" t="s">
        <v>5951</v>
      </c>
      <c r="N1955" s="839" t="s">
        <v>780</v>
      </c>
      <c r="O1955" s="839" t="s">
        <v>781</v>
      </c>
      <c r="P1955" s="840" t="s">
        <v>5952</v>
      </c>
      <c r="Q1955" s="836" t="s">
        <v>5873</v>
      </c>
      <c r="R1955" s="836" t="s">
        <v>5953</v>
      </c>
      <c r="S1955" s="836" t="s">
        <v>5954</v>
      </c>
      <c r="T1955" s="836" t="s">
        <v>5955</v>
      </c>
      <c r="U1955" s="836" t="s">
        <v>786</v>
      </c>
    </row>
    <row r="1956" spans="2:21" ht="13">
      <c r="B1956" s="835" t="s">
        <v>5842</v>
      </c>
      <c r="C1956" s="835"/>
      <c r="D1956" s="836" t="s">
        <v>2821</v>
      </c>
      <c r="E1956" s="837"/>
      <c r="F1956" s="835"/>
      <c r="G1956" s="837" t="s">
        <v>358</v>
      </c>
      <c r="H1956" s="835" t="s">
        <v>359</v>
      </c>
      <c r="I1956" s="838"/>
      <c r="J1956" s="839">
        <v>-49125825</v>
      </c>
      <c r="K1956" s="839">
        <v>-34965</v>
      </c>
      <c r="L1956" s="839">
        <v>1405</v>
      </c>
      <c r="M1956" s="839" t="s">
        <v>6059</v>
      </c>
      <c r="N1956" s="839" t="s">
        <v>780</v>
      </c>
      <c r="O1956" s="839" t="s">
        <v>781</v>
      </c>
      <c r="P1956" s="840" t="s">
        <v>6082</v>
      </c>
      <c r="Q1956" s="836" t="s">
        <v>5873</v>
      </c>
      <c r="R1956" s="836" t="s">
        <v>6083</v>
      </c>
      <c r="S1956" s="836" t="s">
        <v>806</v>
      </c>
      <c r="T1956" s="836" t="s">
        <v>6084</v>
      </c>
      <c r="U1956" s="836" t="s">
        <v>786</v>
      </c>
    </row>
    <row r="1957" spans="2:21" ht="13">
      <c r="B1957" s="835" t="s">
        <v>5842</v>
      </c>
      <c r="C1957" s="835"/>
      <c r="D1957" s="836" t="s">
        <v>2821</v>
      </c>
      <c r="E1957" s="837"/>
      <c r="F1957" s="835"/>
      <c r="G1957" s="837" t="s">
        <v>358</v>
      </c>
      <c r="H1957" s="835" t="s">
        <v>359</v>
      </c>
      <c r="I1957" s="838"/>
      <c r="J1957" s="839">
        <v>35125000</v>
      </c>
      <c r="K1957" s="839">
        <v>25000</v>
      </c>
      <c r="L1957" s="839">
        <v>1405</v>
      </c>
      <c r="M1957" s="839" t="s">
        <v>6023</v>
      </c>
      <c r="N1957" s="839" t="s">
        <v>780</v>
      </c>
      <c r="O1957" s="839" t="s">
        <v>1407</v>
      </c>
      <c r="P1957" s="840" t="s">
        <v>6024</v>
      </c>
      <c r="Q1957" s="836" t="s">
        <v>5873</v>
      </c>
      <c r="R1957" s="836" t="s">
        <v>6025</v>
      </c>
      <c r="S1957" s="836" t="s">
        <v>6044</v>
      </c>
      <c r="T1957" s="836" t="s">
        <v>6027</v>
      </c>
      <c r="U1957" s="836" t="s">
        <v>786</v>
      </c>
    </row>
    <row r="1958" spans="2:21" ht="13">
      <c r="B1958" s="835" t="s">
        <v>5842</v>
      </c>
      <c r="C1958" s="835"/>
      <c r="D1958" s="836" t="s">
        <v>2821</v>
      </c>
      <c r="E1958" s="837"/>
      <c r="F1958" s="835"/>
      <c r="G1958" s="837" t="s">
        <v>358</v>
      </c>
      <c r="H1958" s="835" t="s">
        <v>359</v>
      </c>
      <c r="I1958" s="838"/>
      <c r="J1958" s="839">
        <v>-35075825</v>
      </c>
      <c r="K1958" s="839">
        <v>-24965</v>
      </c>
      <c r="L1958" s="839">
        <v>1405</v>
      </c>
      <c r="M1958" s="839" t="s">
        <v>6059</v>
      </c>
      <c r="N1958" s="839" t="s">
        <v>780</v>
      </c>
      <c r="O1958" s="839" t="s">
        <v>1407</v>
      </c>
      <c r="P1958" s="840" t="s">
        <v>6176</v>
      </c>
      <c r="Q1958" s="836" t="s">
        <v>5873</v>
      </c>
      <c r="R1958" s="836" t="s">
        <v>6177</v>
      </c>
      <c r="S1958" s="836" t="s">
        <v>1432</v>
      </c>
      <c r="T1958" s="836" t="s">
        <v>6178</v>
      </c>
      <c r="U1958" s="836" t="s">
        <v>786</v>
      </c>
    </row>
    <row r="1959" spans="2:21" ht="13">
      <c r="B1959" s="835" t="s">
        <v>5842</v>
      </c>
      <c r="C1959" s="835"/>
      <c r="D1959" s="836" t="s">
        <v>2821</v>
      </c>
      <c r="E1959" s="837"/>
      <c r="F1959" s="835"/>
      <c r="G1959" s="837" t="s">
        <v>358</v>
      </c>
      <c r="H1959" s="835" t="s">
        <v>359</v>
      </c>
      <c r="I1959" s="838"/>
      <c r="J1959" s="839">
        <v>21075000</v>
      </c>
      <c r="K1959" s="839">
        <v>15000</v>
      </c>
      <c r="L1959" s="839">
        <v>1405</v>
      </c>
      <c r="M1959" s="839" t="s">
        <v>6023</v>
      </c>
      <c r="N1959" s="839" t="s">
        <v>780</v>
      </c>
      <c r="O1959" s="839" t="s">
        <v>781</v>
      </c>
      <c r="P1959" s="840" t="s">
        <v>6024</v>
      </c>
      <c r="Q1959" s="836" t="s">
        <v>5873</v>
      </c>
      <c r="R1959" s="836" t="s">
        <v>6025</v>
      </c>
      <c r="S1959" s="836" t="s">
        <v>6028</v>
      </c>
      <c r="T1959" s="836" t="s">
        <v>6027</v>
      </c>
      <c r="U1959" s="836" t="s">
        <v>786</v>
      </c>
    </row>
    <row r="1960" spans="2:21" ht="13">
      <c r="B1960" s="835" t="s">
        <v>5842</v>
      </c>
      <c r="C1960" s="835"/>
      <c r="D1960" s="836" t="s">
        <v>2821</v>
      </c>
      <c r="E1960" s="837"/>
      <c r="F1960" s="835"/>
      <c r="G1960" s="837" t="s">
        <v>358</v>
      </c>
      <c r="H1960" s="835" t="s">
        <v>359</v>
      </c>
      <c r="I1960" s="838"/>
      <c r="J1960" s="839">
        <v>21075000</v>
      </c>
      <c r="K1960" s="839">
        <v>15000</v>
      </c>
      <c r="L1960" s="839">
        <v>1405</v>
      </c>
      <c r="M1960" s="839" t="s">
        <v>6270</v>
      </c>
      <c r="N1960" s="839" t="s">
        <v>780</v>
      </c>
      <c r="O1960" s="839" t="s">
        <v>781</v>
      </c>
      <c r="P1960" s="840" t="s">
        <v>6271</v>
      </c>
      <c r="Q1960" s="836" t="s">
        <v>5873</v>
      </c>
      <c r="R1960" s="836" t="s">
        <v>6272</v>
      </c>
      <c r="S1960" s="836" t="s">
        <v>6275</v>
      </c>
      <c r="T1960" s="836" t="s">
        <v>6274</v>
      </c>
      <c r="U1960" s="836" t="s">
        <v>786</v>
      </c>
    </row>
    <row r="1961" spans="2:21" ht="13">
      <c r="B1961" s="835" t="s">
        <v>5842</v>
      </c>
      <c r="C1961" s="835"/>
      <c r="D1961" s="836" t="s">
        <v>2821</v>
      </c>
      <c r="E1961" s="837"/>
      <c r="F1961" s="835"/>
      <c r="G1961" s="837" t="s">
        <v>358</v>
      </c>
      <c r="H1961" s="835" t="s">
        <v>359</v>
      </c>
      <c r="I1961" s="838"/>
      <c r="J1961" s="839">
        <v>-21039875</v>
      </c>
      <c r="K1961" s="839">
        <v>-14975</v>
      </c>
      <c r="L1961" s="839">
        <v>1405</v>
      </c>
      <c r="M1961" s="839" t="s">
        <v>6303</v>
      </c>
      <c r="N1961" s="839" t="s">
        <v>780</v>
      </c>
      <c r="O1961" s="839" t="s">
        <v>781</v>
      </c>
      <c r="P1961" s="840" t="s">
        <v>6335</v>
      </c>
      <c r="Q1961" s="836" t="s">
        <v>5873</v>
      </c>
      <c r="R1961" s="836" t="s">
        <v>6336</v>
      </c>
      <c r="S1961" s="836" t="s">
        <v>806</v>
      </c>
      <c r="T1961" s="836" t="s">
        <v>6337</v>
      </c>
      <c r="U1961" s="836" t="s">
        <v>786</v>
      </c>
    </row>
    <row r="1962" spans="2:21" ht="13">
      <c r="B1962" s="835" t="s">
        <v>5842</v>
      </c>
      <c r="C1962" s="835"/>
      <c r="D1962" s="836" t="s">
        <v>2821</v>
      </c>
      <c r="E1962" s="837"/>
      <c r="F1962" s="835"/>
      <c r="G1962" s="837" t="s">
        <v>358</v>
      </c>
      <c r="H1962" s="835" t="s">
        <v>359</v>
      </c>
      <c r="I1962" s="838"/>
      <c r="J1962" s="839">
        <v>-21039875</v>
      </c>
      <c r="K1962" s="839">
        <v>-14975</v>
      </c>
      <c r="L1962" s="839">
        <v>1405</v>
      </c>
      <c r="M1962" s="839" t="s">
        <v>6303</v>
      </c>
      <c r="N1962" s="839" t="s">
        <v>780</v>
      </c>
      <c r="O1962" s="839" t="s">
        <v>781</v>
      </c>
      <c r="P1962" s="840" t="s">
        <v>6335</v>
      </c>
      <c r="Q1962" s="836" t="s">
        <v>5873</v>
      </c>
      <c r="R1962" s="836" t="s">
        <v>6336</v>
      </c>
      <c r="S1962" s="836" t="s">
        <v>806</v>
      </c>
      <c r="T1962" s="836" t="s">
        <v>6337</v>
      </c>
      <c r="U1962" s="836" t="s">
        <v>786</v>
      </c>
    </row>
    <row r="1963" spans="2:21">
      <c r="G1963" s="474"/>
      <c r="H1963" s="210"/>
      <c r="I1963" s="827"/>
      <c r="M1963" s="513"/>
      <c r="N1963" s="513"/>
      <c r="O1963" s="513"/>
      <c r="P1963" s="518"/>
    </row>
    <row r="1964" spans="2:21" ht="13">
      <c r="B1964" s="824" t="s">
        <v>382</v>
      </c>
      <c r="C1964" s="824"/>
      <c r="D1964" s="830" t="s">
        <v>2821</v>
      </c>
      <c r="E1964" s="831"/>
      <c r="F1964" s="824"/>
      <c r="G1964" s="831" t="s">
        <v>358</v>
      </c>
      <c r="H1964" s="824" t="s">
        <v>359</v>
      </c>
      <c r="I1964" s="832"/>
      <c r="J1964" s="833">
        <v>-28100</v>
      </c>
      <c r="K1964" s="833">
        <v>-20</v>
      </c>
      <c r="L1964" s="833">
        <v>1405</v>
      </c>
      <c r="M1964" s="833" t="s">
        <v>6303</v>
      </c>
      <c r="N1964" s="833" t="s">
        <v>780</v>
      </c>
      <c r="O1964" s="833" t="s">
        <v>1272</v>
      </c>
      <c r="P1964" s="834" t="s">
        <v>6412</v>
      </c>
      <c r="Q1964" s="830" t="s">
        <v>5873</v>
      </c>
      <c r="R1964" s="830" t="s">
        <v>6413</v>
      </c>
      <c r="S1964" s="830" t="s">
        <v>6414</v>
      </c>
      <c r="T1964" s="830" t="s">
        <v>6415</v>
      </c>
      <c r="U1964" s="830" t="s">
        <v>786</v>
      </c>
    </row>
    <row r="1965" spans="2:21" ht="13">
      <c r="B1965" s="824" t="s">
        <v>382</v>
      </c>
      <c r="C1965" s="824"/>
      <c r="D1965" s="830" t="s">
        <v>2821</v>
      </c>
      <c r="E1965" s="831"/>
      <c r="F1965" s="824"/>
      <c r="G1965" s="831" t="s">
        <v>358</v>
      </c>
      <c r="H1965" s="824" t="s">
        <v>359</v>
      </c>
      <c r="I1965" s="832"/>
      <c r="J1965" s="833">
        <v>28100</v>
      </c>
      <c r="K1965" s="833">
        <v>20</v>
      </c>
      <c r="L1965" s="833">
        <v>1405</v>
      </c>
      <c r="M1965" s="833" t="s">
        <v>6303</v>
      </c>
      <c r="N1965" s="833" t="s">
        <v>780</v>
      </c>
      <c r="O1965" s="833" t="s">
        <v>781</v>
      </c>
      <c r="P1965" s="834" t="s">
        <v>6310</v>
      </c>
      <c r="Q1965" s="830" t="s">
        <v>5873</v>
      </c>
      <c r="R1965" s="830" t="s">
        <v>6311</v>
      </c>
      <c r="S1965" s="830" t="s">
        <v>1146</v>
      </c>
      <c r="T1965" s="830" t="s">
        <v>6313</v>
      </c>
      <c r="U1965" s="830" t="s">
        <v>786</v>
      </c>
    </row>
    <row r="1966" spans="2:21" ht="13">
      <c r="B1966" s="824" t="s">
        <v>382</v>
      </c>
      <c r="C1966" s="824"/>
      <c r="D1966" s="830" t="s">
        <v>2821</v>
      </c>
      <c r="E1966" s="831"/>
      <c r="F1966" s="824"/>
      <c r="G1966" s="831" t="s">
        <v>358</v>
      </c>
      <c r="H1966" s="824" t="s">
        <v>359</v>
      </c>
      <c r="I1966" s="832"/>
      <c r="J1966" s="833">
        <v>-2643423.2000000002</v>
      </c>
      <c r="K1966" s="833">
        <v>-1881.44</v>
      </c>
      <c r="L1966" s="833">
        <v>1405</v>
      </c>
      <c r="M1966" s="833" t="s">
        <v>6303</v>
      </c>
      <c r="N1966" s="833" t="s">
        <v>780</v>
      </c>
      <c r="O1966" s="833" t="s">
        <v>1407</v>
      </c>
      <c r="P1966" s="834" t="s">
        <v>6530</v>
      </c>
      <c r="Q1966" s="830" t="s">
        <v>5873</v>
      </c>
      <c r="R1966" s="830" t="s">
        <v>6531</v>
      </c>
      <c r="S1966" s="830" t="s">
        <v>4093</v>
      </c>
      <c r="T1966" s="830" t="s">
        <v>6532</v>
      </c>
      <c r="U1966" s="830" t="s">
        <v>786</v>
      </c>
    </row>
    <row r="1967" spans="2:21" ht="13">
      <c r="B1967" s="824" t="s">
        <v>382</v>
      </c>
      <c r="C1967" s="824"/>
      <c r="D1967" s="830" t="s">
        <v>2821</v>
      </c>
      <c r="E1967" s="831"/>
      <c r="F1967" s="824"/>
      <c r="G1967" s="831" t="s">
        <v>358</v>
      </c>
      <c r="H1967" s="824" t="s">
        <v>359</v>
      </c>
      <c r="I1967" s="832"/>
      <c r="J1967" s="833">
        <v>2643423.2000000002</v>
      </c>
      <c r="K1967" s="833">
        <v>1881.44</v>
      </c>
      <c r="L1967" s="833">
        <v>1405</v>
      </c>
      <c r="M1967" s="833" t="s">
        <v>6303</v>
      </c>
      <c r="N1967" s="833" t="s">
        <v>780</v>
      </c>
      <c r="O1967" s="833" t="s">
        <v>1407</v>
      </c>
      <c r="P1967" s="834" t="s">
        <v>6509</v>
      </c>
      <c r="Q1967" s="830" t="s">
        <v>5873</v>
      </c>
      <c r="R1967" s="830" t="s">
        <v>6510</v>
      </c>
      <c r="S1967" s="830" t="s">
        <v>4093</v>
      </c>
      <c r="T1967" s="830" t="s">
        <v>6511</v>
      </c>
      <c r="U1967" s="830" t="s">
        <v>786</v>
      </c>
    </row>
    <row r="1968" spans="2:21" ht="13">
      <c r="B1968" s="824" t="s">
        <v>382</v>
      </c>
      <c r="C1968" s="824"/>
      <c r="D1968" s="830" t="s">
        <v>2821</v>
      </c>
      <c r="E1968" s="831"/>
      <c r="F1968" s="824"/>
      <c r="G1968" s="831" t="s">
        <v>358</v>
      </c>
      <c r="H1968" s="824" t="s">
        <v>359</v>
      </c>
      <c r="I1968" s="832"/>
      <c r="J1968" s="833">
        <v>-4215000</v>
      </c>
      <c r="K1968" s="833">
        <v>-3000</v>
      </c>
      <c r="L1968" s="833">
        <v>1405</v>
      </c>
      <c r="M1968" s="833" t="s">
        <v>6059</v>
      </c>
      <c r="N1968" s="833" t="s">
        <v>780</v>
      </c>
      <c r="O1968" s="833" t="s">
        <v>781</v>
      </c>
      <c r="P1968" s="834" t="s">
        <v>6085</v>
      </c>
      <c r="Q1968" s="830" t="s">
        <v>5873</v>
      </c>
      <c r="R1968" s="830" t="s">
        <v>6086</v>
      </c>
      <c r="S1968" s="830" t="s">
        <v>1107</v>
      </c>
      <c r="T1968" s="830" t="s">
        <v>6088</v>
      </c>
      <c r="U1968" s="830" t="s">
        <v>786</v>
      </c>
    </row>
    <row r="1969" spans="2:21" ht="13">
      <c r="B1969" s="824" t="s">
        <v>382</v>
      </c>
      <c r="C1969" s="824"/>
      <c r="D1969" s="830" t="s">
        <v>2821</v>
      </c>
      <c r="E1969" s="831"/>
      <c r="F1969" s="824"/>
      <c r="G1969" s="831" t="s">
        <v>358</v>
      </c>
      <c r="H1969" s="824" t="s">
        <v>359</v>
      </c>
      <c r="I1969" s="832"/>
      <c r="J1969" s="833">
        <v>4215000</v>
      </c>
      <c r="K1969" s="833">
        <v>3000</v>
      </c>
      <c r="L1969" s="833">
        <v>1405</v>
      </c>
      <c r="M1969" s="833" t="s">
        <v>6059</v>
      </c>
      <c r="N1969" s="833" t="s">
        <v>780</v>
      </c>
      <c r="O1969" s="833" t="s">
        <v>781</v>
      </c>
      <c r="P1969" s="834" t="s">
        <v>6060</v>
      </c>
      <c r="Q1969" s="830" t="s">
        <v>5873</v>
      </c>
      <c r="R1969" s="830" t="s">
        <v>6061</v>
      </c>
      <c r="S1969" s="830" t="s">
        <v>1107</v>
      </c>
      <c r="T1969" s="830" t="s">
        <v>6063</v>
      </c>
      <c r="U1969" s="830" t="s">
        <v>786</v>
      </c>
    </row>
    <row r="1970" spans="2:21" ht="13">
      <c r="B1970" s="824" t="s">
        <v>382</v>
      </c>
      <c r="C1970" s="824"/>
      <c r="D1970" s="830" t="s">
        <v>2821</v>
      </c>
      <c r="E1970" s="831"/>
      <c r="F1970" s="824"/>
      <c r="G1970" s="831" t="s">
        <v>358</v>
      </c>
      <c r="H1970" s="824" t="s">
        <v>359</v>
      </c>
      <c r="I1970" s="832"/>
      <c r="J1970" s="833">
        <v>-5620000</v>
      </c>
      <c r="K1970" s="833">
        <v>-4000</v>
      </c>
      <c r="L1970" s="833">
        <v>1405</v>
      </c>
      <c r="M1970" s="833" t="s">
        <v>6303</v>
      </c>
      <c r="N1970" s="833" t="s">
        <v>780</v>
      </c>
      <c r="O1970" s="833" t="s">
        <v>781</v>
      </c>
      <c r="P1970" s="834" t="s">
        <v>6327</v>
      </c>
      <c r="Q1970" s="830" t="s">
        <v>5873</v>
      </c>
      <c r="R1970" s="830" t="s">
        <v>6328</v>
      </c>
      <c r="S1970" s="830" t="s">
        <v>6365</v>
      </c>
      <c r="T1970" s="830" t="s">
        <v>6330</v>
      </c>
      <c r="U1970" s="830" t="s">
        <v>786</v>
      </c>
    </row>
    <row r="1971" spans="2:21" ht="13">
      <c r="B1971" s="824" t="s">
        <v>382</v>
      </c>
      <c r="C1971" s="824"/>
      <c r="D1971" s="830" t="s">
        <v>2821</v>
      </c>
      <c r="E1971" s="831"/>
      <c r="F1971" s="824"/>
      <c r="G1971" s="831" t="s">
        <v>358</v>
      </c>
      <c r="H1971" s="824" t="s">
        <v>359</v>
      </c>
      <c r="I1971" s="832"/>
      <c r="J1971" s="833">
        <v>5620000</v>
      </c>
      <c r="K1971" s="833">
        <v>4000</v>
      </c>
      <c r="L1971" s="833">
        <v>1405</v>
      </c>
      <c r="M1971" s="833" t="s">
        <v>6303</v>
      </c>
      <c r="N1971" s="833" t="s">
        <v>780</v>
      </c>
      <c r="O1971" s="833" t="s">
        <v>781</v>
      </c>
      <c r="P1971" s="834" t="s">
        <v>6310</v>
      </c>
      <c r="Q1971" s="830" t="s">
        <v>5873</v>
      </c>
      <c r="R1971" s="830" t="s">
        <v>6311</v>
      </c>
      <c r="S1971" s="830" t="s">
        <v>6365</v>
      </c>
      <c r="T1971" s="830" t="s">
        <v>6313</v>
      </c>
      <c r="U1971" s="830" t="s">
        <v>786</v>
      </c>
    </row>
    <row r="1972" spans="2:21" ht="13">
      <c r="B1972" s="824" t="s">
        <v>382</v>
      </c>
      <c r="C1972" s="824"/>
      <c r="D1972" s="830" t="s">
        <v>2821</v>
      </c>
      <c r="E1972" s="831"/>
      <c r="F1972" s="824"/>
      <c r="G1972" s="831" t="s">
        <v>358</v>
      </c>
      <c r="H1972" s="824" t="s">
        <v>359</v>
      </c>
      <c r="I1972" s="832"/>
      <c r="J1972" s="833">
        <v>-7025000</v>
      </c>
      <c r="K1972" s="833">
        <v>-5000</v>
      </c>
      <c r="L1972" s="833">
        <v>1405</v>
      </c>
      <c r="M1972" s="833" t="s">
        <v>6303</v>
      </c>
      <c r="N1972" s="833" t="s">
        <v>780</v>
      </c>
      <c r="O1972" s="833" t="s">
        <v>781</v>
      </c>
      <c r="P1972" s="834" t="s">
        <v>6327</v>
      </c>
      <c r="Q1972" s="830" t="s">
        <v>5873</v>
      </c>
      <c r="R1972" s="830" t="s">
        <v>6328</v>
      </c>
      <c r="S1972" s="830" t="s">
        <v>1107</v>
      </c>
      <c r="T1972" s="830" t="s">
        <v>6330</v>
      </c>
      <c r="U1972" s="830" t="s">
        <v>786</v>
      </c>
    </row>
    <row r="1973" spans="2:21" ht="13">
      <c r="B1973" s="824" t="s">
        <v>382</v>
      </c>
      <c r="C1973" s="824"/>
      <c r="D1973" s="830" t="s">
        <v>2821</v>
      </c>
      <c r="E1973" s="831"/>
      <c r="F1973" s="824"/>
      <c r="G1973" s="831" t="s">
        <v>358</v>
      </c>
      <c r="H1973" s="824" t="s">
        <v>359</v>
      </c>
      <c r="I1973" s="832"/>
      <c r="J1973" s="833">
        <v>-7025000</v>
      </c>
      <c r="K1973" s="833">
        <v>-5000</v>
      </c>
      <c r="L1973" s="833">
        <v>1405</v>
      </c>
      <c r="M1973" s="833" t="s">
        <v>6059</v>
      </c>
      <c r="N1973" s="833" t="s">
        <v>780</v>
      </c>
      <c r="O1973" s="833" t="s">
        <v>1407</v>
      </c>
      <c r="P1973" s="834" t="s">
        <v>6166</v>
      </c>
      <c r="Q1973" s="830" t="s">
        <v>5873</v>
      </c>
      <c r="R1973" s="830" t="s">
        <v>6167</v>
      </c>
      <c r="S1973" s="830" t="s">
        <v>4093</v>
      </c>
      <c r="T1973" s="830" t="s">
        <v>6169</v>
      </c>
      <c r="U1973" s="830" t="s">
        <v>786</v>
      </c>
    </row>
    <row r="1974" spans="2:21" ht="13">
      <c r="B1974" s="824" t="s">
        <v>382</v>
      </c>
      <c r="C1974" s="824"/>
      <c r="D1974" s="830" t="s">
        <v>2821</v>
      </c>
      <c r="E1974" s="831"/>
      <c r="F1974" s="824"/>
      <c r="G1974" s="831" t="s">
        <v>358</v>
      </c>
      <c r="H1974" s="824" t="s">
        <v>359</v>
      </c>
      <c r="I1974" s="832"/>
      <c r="J1974" s="833">
        <v>-7025000</v>
      </c>
      <c r="K1974" s="833">
        <v>-5000</v>
      </c>
      <c r="L1974" s="833">
        <v>1405</v>
      </c>
      <c r="M1974" s="833" t="s">
        <v>6059</v>
      </c>
      <c r="N1974" s="833" t="s">
        <v>780</v>
      </c>
      <c r="O1974" s="833" t="s">
        <v>1407</v>
      </c>
      <c r="P1974" s="834" t="s">
        <v>6176</v>
      </c>
      <c r="Q1974" s="830" t="s">
        <v>5873</v>
      </c>
      <c r="R1974" s="830" t="s">
        <v>6177</v>
      </c>
      <c r="S1974" s="830" t="s">
        <v>2318</v>
      </c>
      <c r="T1974" s="830" t="s">
        <v>6178</v>
      </c>
      <c r="U1974" s="830" t="s">
        <v>786</v>
      </c>
    </row>
    <row r="1975" spans="2:21" ht="13">
      <c r="B1975" s="824" t="s">
        <v>382</v>
      </c>
      <c r="C1975" s="824"/>
      <c r="D1975" s="830" t="s">
        <v>2821</v>
      </c>
      <c r="E1975" s="831"/>
      <c r="F1975" s="824"/>
      <c r="G1975" s="831" t="s">
        <v>358</v>
      </c>
      <c r="H1975" s="824" t="s">
        <v>359</v>
      </c>
      <c r="I1975" s="832"/>
      <c r="J1975" s="833">
        <v>-7025000</v>
      </c>
      <c r="K1975" s="833">
        <v>-5000</v>
      </c>
      <c r="L1975" s="833">
        <v>1405</v>
      </c>
      <c r="M1975" s="833" t="s">
        <v>6303</v>
      </c>
      <c r="N1975" s="833" t="s">
        <v>780</v>
      </c>
      <c r="O1975" s="833" t="s">
        <v>1407</v>
      </c>
      <c r="P1975" s="834" t="s">
        <v>6530</v>
      </c>
      <c r="Q1975" s="830" t="s">
        <v>5873</v>
      </c>
      <c r="R1975" s="830" t="s">
        <v>6531</v>
      </c>
      <c r="S1975" s="830" t="s">
        <v>6533</v>
      </c>
      <c r="T1975" s="830" t="s">
        <v>6532</v>
      </c>
      <c r="U1975" s="830" t="s">
        <v>786</v>
      </c>
    </row>
    <row r="1976" spans="2:21" ht="13">
      <c r="B1976" s="824" t="s">
        <v>382</v>
      </c>
      <c r="C1976" s="824"/>
      <c r="D1976" s="830" t="s">
        <v>2821</v>
      </c>
      <c r="E1976" s="831"/>
      <c r="F1976" s="824"/>
      <c r="G1976" s="831" t="s">
        <v>358</v>
      </c>
      <c r="H1976" s="824" t="s">
        <v>359</v>
      </c>
      <c r="I1976" s="832"/>
      <c r="J1976" s="833">
        <v>7025000</v>
      </c>
      <c r="K1976" s="833">
        <v>5000</v>
      </c>
      <c r="L1976" s="833">
        <v>1405</v>
      </c>
      <c r="M1976" s="833" t="s">
        <v>6059</v>
      </c>
      <c r="N1976" s="833" t="s">
        <v>780</v>
      </c>
      <c r="O1976" s="833" t="s">
        <v>781</v>
      </c>
      <c r="P1976" s="834" t="s">
        <v>6060</v>
      </c>
      <c r="Q1976" s="830" t="s">
        <v>5873</v>
      </c>
      <c r="R1976" s="830" t="s">
        <v>6061</v>
      </c>
      <c r="S1976" s="830" t="s">
        <v>1143</v>
      </c>
      <c r="T1976" s="830" t="s">
        <v>6063</v>
      </c>
      <c r="U1976" s="830" t="s">
        <v>786</v>
      </c>
    </row>
    <row r="1977" spans="2:21" ht="13">
      <c r="B1977" s="824" t="s">
        <v>382</v>
      </c>
      <c r="C1977" s="824"/>
      <c r="D1977" s="830" t="s">
        <v>2821</v>
      </c>
      <c r="E1977" s="831"/>
      <c r="F1977" s="824"/>
      <c r="G1977" s="831" t="s">
        <v>358</v>
      </c>
      <c r="H1977" s="824" t="s">
        <v>359</v>
      </c>
      <c r="I1977" s="832"/>
      <c r="J1977" s="833">
        <v>7025000</v>
      </c>
      <c r="K1977" s="833">
        <v>5000</v>
      </c>
      <c r="L1977" s="833">
        <v>1405</v>
      </c>
      <c r="M1977" s="833" t="s">
        <v>6303</v>
      </c>
      <c r="N1977" s="833" t="s">
        <v>780</v>
      </c>
      <c r="O1977" s="833" t="s">
        <v>781</v>
      </c>
      <c r="P1977" s="834" t="s">
        <v>6310</v>
      </c>
      <c r="Q1977" s="830" t="s">
        <v>5873</v>
      </c>
      <c r="R1977" s="830" t="s">
        <v>6311</v>
      </c>
      <c r="S1977" s="830" t="s">
        <v>1107</v>
      </c>
      <c r="T1977" s="830" t="s">
        <v>6313</v>
      </c>
      <c r="U1977" s="830" t="s">
        <v>786</v>
      </c>
    </row>
    <row r="1978" spans="2:21" ht="13">
      <c r="B1978" s="824" t="s">
        <v>382</v>
      </c>
      <c r="C1978" s="824"/>
      <c r="D1978" s="830" t="s">
        <v>2821</v>
      </c>
      <c r="E1978" s="831"/>
      <c r="F1978" s="824"/>
      <c r="G1978" s="831" t="s">
        <v>358</v>
      </c>
      <c r="H1978" s="824" t="s">
        <v>359</v>
      </c>
      <c r="I1978" s="832"/>
      <c r="J1978" s="833">
        <v>7025000</v>
      </c>
      <c r="K1978" s="833">
        <v>5000</v>
      </c>
      <c r="L1978" s="833">
        <v>1405</v>
      </c>
      <c r="M1978" s="833" t="s">
        <v>6059</v>
      </c>
      <c r="N1978" s="833" t="s">
        <v>780</v>
      </c>
      <c r="O1978" s="833" t="s">
        <v>1407</v>
      </c>
      <c r="P1978" s="834" t="s">
        <v>6119</v>
      </c>
      <c r="Q1978" s="830" t="s">
        <v>5873</v>
      </c>
      <c r="R1978" s="830" t="s">
        <v>6120</v>
      </c>
      <c r="S1978" s="830" t="s">
        <v>4093</v>
      </c>
      <c r="T1978" s="830" t="s">
        <v>6122</v>
      </c>
      <c r="U1978" s="830" t="s">
        <v>786</v>
      </c>
    </row>
    <row r="1979" spans="2:21" ht="13">
      <c r="B1979" s="824" t="s">
        <v>382</v>
      </c>
      <c r="C1979" s="824"/>
      <c r="D1979" s="830" t="s">
        <v>2821</v>
      </c>
      <c r="E1979" s="831"/>
      <c r="F1979" s="824"/>
      <c r="G1979" s="831" t="s">
        <v>358</v>
      </c>
      <c r="H1979" s="824" t="s">
        <v>359</v>
      </c>
      <c r="I1979" s="832"/>
      <c r="J1979" s="833">
        <v>7025000</v>
      </c>
      <c r="K1979" s="833">
        <v>5000</v>
      </c>
      <c r="L1979" s="833">
        <v>1405</v>
      </c>
      <c r="M1979" s="833" t="s">
        <v>6303</v>
      </c>
      <c r="N1979" s="833" t="s">
        <v>780</v>
      </c>
      <c r="O1979" s="833" t="s">
        <v>1407</v>
      </c>
      <c r="P1979" s="834" t="s">
        <v>6509</v>
      </c>
      <c r="Q1979" s="830" t="s">
        <v>5873</v>
      </c>
      <c r="R1979" s="830" t="s">
        <v>6510</v>
      </c>
      <c r="S1979" s="830" t="s">
        <v>6533</v>
      </c>
      <c r="T1979" s="830" t="s">
        <v>6511</v>
      </c>
      <c r="U1979" s="830" t="s">
        <v>786</v>
      </c>
    </row>
    <row r="1980" spans="2:21" ht="13">
      <c r="B1980" s="824" t="s">
        <v>382</v>
      </c>
      <c r="C1980" s="824"/>
      <c r="D1980" s="830" t="s">
        <v>2821</v>
      </c>
      <c r="E1980" s="831"/>
      <c r="F1980" s="824"/>
      <c r="G1980" s="831" t="s">
        <v>358</v>
      </c>
      <c r="H1980" s="824" t="s">
        <v>359</v>
      </c>
      <c r="I1980" s="832"/>
      <c r="J1980" s="833">
        <v>-8430000</v>
      </c>
      <c r="K1980" s="833">
        <v>-6000</v>
      </c>
      <c r="L1980" s="833">
        <v>1405</v>
      </c>
      <c r="M1980" s="833" t="s">
        <v>6059</v>
      </c>
      <c r="N1980" s="833" t="s">
        <v>780</v>
      </c>
      <c r="O1980" s="833" t="s">
        <v>781</v>
      </c>
      <c r="P1980" s="834" t="s">
        <v>6085</v>
      </c>
      <c r="Q1980" s="830" t="s">
        <v>5873</v>
      </c>
      <c r="R1980" s="830" t="s">
        <v>6086</v>
      </c>
      <c r="S1980" s="830" t="s">
        <v>1107</v>
      </c>
      <c r="T1980" s="830" t="s">
        <v>6088</v>
      </c>
      <c r="U1980" s="830" t="s">
        <v>786</v>
      </c>
    </row>
    <row r="1981" spans="2:21" ht="13">
      <c r="B1981" s="824" t="s">
        <v>382</v>
      </c>
      <c r="C1981" s="824"/>
      <c r="D1981" s="830" t="s">
        <v>2821</v>
      </c>
      <c r="E1981" s="831"/>
      <c r="F1981" s="824"/>
      <c r="G1981" s="831" t="s">
        <v>358</v>
      </c>
      <c r="H1981" s="824" t="s">
        <v>359</v>
      </c>
      <c r="I1981" s="832"/>
      <c r="J1981" s="833">
        <v>8430000</v>
      </c>
      <c r="K1981" s="833">
        <v>6000</v>
      </c>
      <c r="L1981" s="833">
        <v>1405</v>
      </c>
      <c r="M1981" s="833" t="s">
        <v>6059</v>
      </c>
      <c r="N1981" s="833" t="s">
        <v>780</v>
      </c>
      <c r="O1981" s="833" t="s">
        <v>781</v>
      </c>
      <c r="P1981" s="834" t="s">
        <v>6060</v>
      </c>
      <c r="Q1981" s="830" t="s">
        <v>5873</v>
      </c>
      <c r="R1981" s="830" t="s">
        <v>6061</v>
      </c>
      <c r="S1981" s="830" t="s">
        <v>1107</v>
      </c>
      <c r="T1981" s="830" t="s">
        <v>6063</v>
      </c>
      <c r="U1981" s="830" t="s">
        <v>786</v>
      </c>
    </row>
    <row r="1982" spans="2:21" ht="13">
      <c r="B1982" s="824" t="s">
        <v>382</v>
      </c>
      <c r="C1982" s="824"/>
      <c r="D1982" s="830" t="s">
        <v>2821</v>
      </c>
      <c r="E1982" s="831"/>
      <c r="F1982" s="824"/>
      <c r="G1982" s="831" t="s">
        <v>358</v>
      </c>
      <c r="H1982" s="824" t="s">
        <v>359</v>
      </c>
      <c r="I1982" s="832"/>
      <c r="J1982" s="833">
        <v>-14050000</v>
      </c>
      <c r="K1982" s="833">
        <v>-10000</v>
      </c>
      <c r="L1982" s="833">
        <v>1405</v>
      </c>
      <c r="M1982" s="833" t="s">
        <v>6059</v>
      </c>
      <c r="N1982" s="833" t="s">
        <v>780</v>
      </c>
      <c r="O1982" s="833" t="s">
        <v>1407</v>
      </c>
      <c r="P1982" s="834" t="s">
        <v>6176</v>
      </c>
      <c r="Q1982" s="830" t="s">
        <v>5873</v>
      </c>
      <c r="R1982" s="830" t="s">
        <v>6177</v>
      </c>
      <c r="S1982" s="830" t="s">
        <v>2318</v>
      </c>
      <c r="T1982" s="830" t="s">
        <v>6178</v>
      </c>
      <c r="U1982" s="830" t="s">
        <v>786</v>
      </c>
    </row>
    <row r="1983" spans="2:21" ht="13">
      <c r="B1983" s="824" t="s">
        <v>382</v>
      </c>
      <c r="C1983" s="824"/>
      <c r="D1983" s="830" t="s">
        <v>2821</v>
      </c>
      <c r="E1983" s="831"/>
      <c r="F1983" s="824"/>
      <c r="G1983" s="831" t="s">
        <v>358</v>
      </c>
      <c r="H1983" s="824" t="s">
        <v>359</v>
      </c>
      <c r="I1983" s="832"/>
      <c r="J1983" s="833">
        <v>14050000</v>
      </c>
      <c r="K1983" s="833">
        <v>10000</v>
      </c>
      <c r="L1983" s="833">
        <v>1405</v>
      </c>
      <c r="M1983" s="833" t="s">
        <v>6059</v>
      </c>
      <c r="N1983" s="833" t="s">
        <v>780</v>
      </c>
      <c r="O1983" s="833" t="s">
        <v>781</v>
      </c>
      <c r="P1983" s="834" t="s">
        <v>6060</v>
      </c>
      <c r="Q1983" s="830" t="s">
        <v>5873</v>
      </c>
      <c r="R1983" s="830" t="s">
        <v>6061</v>
      </c>
      <c r="S1983" s="830" t="s">
        <v>1143</v>
      </c>
      <c r="T1983" s="830" t="s">
        <v>6063</v>
      </c>
      <c r="U1983" s="830" t="s">
        <v>786</v>
      </c>
    </row>
    <row r="1984" spans="2:21" ht="13">
      <c r="B1984" s="824" t="s">
        <v>382</v>
      </c>
      <c r="C1984" s="824"/>
      <c r="D1984" s="830" t="s">
        <v>2821</v>
      </c>
      <c r="E1984" s="831"/>
      <c r="F1984" s="824"/>
      <c r="G1984" s="831" t="s">
        <v>358</v>
      </c>
      <c r="H1984" s="824" t="s">
        <v>359</v>
      </c>
      <c r="I1984" s="832"/>
      <c r="J1984" s="833">
        <v>-63225000</v>
      </c>
      <c r="K1984" s="833">
        <v>-45000</v>
      </c>
      <c r="L1984" s="833">
        <v>1405</v>
      </c>
      <c r="M1984" s="833" t="s">
        <v>6059</v>
      </c>
      <c r="N1984" s="833" t="s">
        <v>780</v>
      </c>
      <c r="O1984" s="833" t="s">
        <v>1407</v>
      </c>
      <c r="P1984" s="834" t="s">
        <v>6166</v>
      </c>
      <c r="Q1984" s="830" t="s">
        <v>5873</v>
      </c>
      <c r="R1984" s="830" t="s">
        <v>6167</v>
      </c>
      <c r="S1984" s="830" t="s">
        <v>4093</v>
      </c>
      <c r="T1984" s="830" t="s">
        <v>6169</v>
      </c>
      <c r="U1984" s="830" t="s">
        <v>786</v>
      </c>
    </row>
    <row r="1985" spans="1:41" ht="13">
      <c r="B1985" s="824" t="s">
        <v>382</v>
      </c>
      <c r="C1985" s="824"/>
      <c r="D1985" s="830" t="s">
        <v>2821</v>
      </c>
      <c r="E1985" s="831"/>
      <c r="F1985" s="824"/>
      <c r="G1985" s="831" t="s">
        <v>358</v>
      </c>
      <c r="H1985" s="824" t="s">
        <v>359</v>
      </c>
      <c r="I1985" s="832"/>
      <c r="J1985" s="833">
        <v>63225000</v>
      </c>
      <c r="K1985" s="833">
        <v>45000</v>
      </c>
      <c r="L1985" s="833">
        <v>1405</v>
      </c>
      <c r="M1985" s="833" t="s">
        <v>6059</v>
      </c>
      <c r="N1985" s="833" t="s">
        <v>780</v>
      </c>
      <c r="O1985" s="833" t="s">
        <v>1407</v>
      </c>
      <c r="P1985" s="834" t="s">
        <v>6119</v>
      </c>
      <c r="Q1985" s="830" t="s">
        <v>5873</v>
      </c>
      <c r="R1985" s="830" t="s">
        <v>6120</v>
      </c>
      <c r="S1985" s="830" t="s">
        <v>4093</v>
      </c>
      <c r="T1985" s="830" t="s">
        <v>6122</v>
      </c>
      <c r="U1985" s="830" t="s">
        <v>786</v>
      </c>
    </row>
    <row r="1986" spans="1:41">
      <c r="G1986" s="474"/>
      <c r="H1986" s="210"/>
      <c r="I1986" s="827"/>
      <c r="M1986" s="513"/>
      <c r="N1986" s="513"/>
      <c r="O1986" s="513"/>
      <c r="P1986" s="518"/>
    </row>
    <row r="1987" spans="1:41">
      <c r="G1987" s="474"/>
      <c r="H1987" s="210"/>
      <c r="I1987" s="827"/>
      <c r="M1987" s="513"/>
      <c r="N1987" s="513"/>
      <c r="O1987" s="513"/>
      <c r="P1987" s="518"/>
    </row>
    <row r="1988" spans="1:41" ht="26">
      <c r="B1988" s="794" t="s">
        <v>7079</v>
      </c>
      <c r="C1988" s="794"/>
      <c r="D1988" s="795" t="s">
        <v>2821</v>
      </c>
      <c r="E1988" s="796"/>
      <c r="F1988" s="794"/>
      <c r="G1988" s="796" t="s">
        <v>358</v>
      </c>
      <c r="H1988" s="794" t="s">
        <v>359</v>
      </c>
      <c r="I1988" s="828"/>
      <c r="J1988" s="465">
        <v>710494.45</v>
      </c>
      <c r="K1988" s="465">
        <v>505.69</v>
      </c>
      <c r="L1988" s="465">
        <v>1405</v>
      </c>
      <c r="M1988" s="465" t="s">
        <v>6303</v>
      </c>
      <c r="N1988" s="465" t="s">
        <v>780</v>
      </c>
      <c r="O1988" s="465" t="s">
        <v>781</v>
      </c>
      <c r="P1988" s="798" t="s">
        <v>6304</v>
      </c>
      <c r="Q1988" s="795" t="s">
        <v>5873</v>
      </c>
      <c r="R1988" s="795" t="s">
        <v>6305</v>
      </c>
      <c r="S1988" s="795" t="s">
        <v>6321</v>
      </c>
      <c r="T1988" s="795" t="s">
        <v>6307</v>
      </c>
      <c r="U1988" s="795" t="s">
        <v>786</v>
      </c>
    </row>
    <row r="1989" spans="1:41" ht="26">
      <c r="B1989" s="794" t="s">
        <v>7079</v>
      </c>
      <c r="C1989" s="794"/>
      <c r="D1989" s="795" t="s">
        <v>2821</v>
      </c>
      <c r="E1989" s="796"/>
      <c r="F1989" s="794"/>
      <c r="G1989" s="796" t="s">
        <v>358</v>
      </c>
      <c r="H1989" s="794" t="s">
        <v>359</v>
      </c>
      <c r="I1989" s="828"/>
      <c r="J1989" s="465">
        <v>50580000</v>
      </c>
      <c r="K1989" s="465">
        <v>36000</v>
      </c>
      <c r="L1989" s="465">
        <v>1405</v>
      </c>
      <c r="M1989" s="465" t="s">
        <v>6303</v>
      </c>
      <c r="N1989" s="465" t="s">
        <v>780</v>
      </c>
      <c r="O1989" s="465" t="s">
        <v>781</v>
      </c>
      <c r="P1989" s="798" t="s">
        <v>6374</v>
      </c>
      <c r="Q1989" s="795" t="s">
        <v>5873</v>
      </c>
      <c r="R1989" s="795" t="s">
        <v>6375</v>
      </c>
      <c r="S1989" s="795" t="s">
        <v>6376</v>
      </c>
      <c r="T1989" s="795" t="s">
        <v>6377</v>
      </c>
      <c r="U1989" s="795" t="s">
        <v>786</v>
      </c>
    </row>
    <row r="1990" spans="1:41" ht="26">
      <c r="B1990" s="794" t="s">
        <v>7079</v>
      </c>
      <c r="C1990" s="794"/>
      <c r="D1990" s="795" t="s">
        <v>2821</v>
      </c>
      <c r="E1990" s="796"/>
      <c r="F1990" s="794"/>
      <c r="G1990" s="796" t="s">
        <v>358</v>
      </c>
      <c r="H1990" s="794" t="s">
        <v>359</v>
      </c>
      <c r="I1990" s="828"/>
      <c r="J1990" s="465">
        <v>84300000</v>
      </c>
      <c r="K1990" s="465">
        <v>60000</v>
      </c>
      <c r="L1990" s="465">
        <v>1405</v>
      </c>
      <c r="M1990" s="465" t="s">
        <v>6303</v>
      </c>
      <c r="N1990" s="465" t="s">
        <v>780</v>
      </c>
      <c r="O1990" s="465" t="s">
        <v>1407</v>
      </c>
      <c r="P1990" s="798" t="s">
        <v>6374</v>
      </c>
      <c r="Q1990" s="795" t="s">
        <v>5873</v>
      </c>
      <c r="R1990" s="795" t="s">
        <v>6375</v>
      </c>
      <c r="S1990" s="795" t="s">
        <v>6535</v>
      </c>
      <c r="T1990" s="795" t="s">
        <v>6377</v>
      </c>
      <c r="U1990" s="795" t="s">
        <v>786</v>
      </c>
    </row>
    <row r="1992" spans="1:41">
      <c r="A1992" s="452" t="s">
        <v>84</v>
      </c>
      <c r="B1992" s="452" t="s">
        <v>84</v>
      </c>
      <c r="C1992" s="452" t="s">
        <v>84</v>
      </c>
      <c r="D1992" s="452" t="s">
        <v>84</v>
      </c>
      <c r="E1992" s="11" t="s">
        <v>84</v>
      </c>
      <c r="F1992" s="452" t="s">
        <v>84</v>
      </c>
      <c r="G1992" s="453" t="s">
        <v>84</v>
      </c>
      <c r="H1992" s="453" t="s">
        <v>84</v>
      </c>
      <c r="I1992" s="453" t="s">
        <v>84</v>
      </c>
      <c r="J1992" s="187" t="s">
        <v>84</v>
      </c>
      <c r="K1992" s="187" t="s">
        <v>84</v>
      </c>
      <c r="L1992" s="187" t="s">
        <v>84</v>
      </c>
      <c r="M1992" s="457" t="s">
        <v>84</v>
      </c>
      <c r="N1992" s="453" t="s">
        <v>84</v>
      </c>
      <c r="O1992" s="453" t="s">
        <v>84</v>
      </c>
      <c r="P1992" s="453" t="s">
        <v>84</v>
      </c>
      <c r="Q1992" s="453" t="s">
        <v>84</v>
      </c>
      <c r="R1992" s="453" t="s">
        <v>84</v>
      </c>
      <c r="S1992" s="453" t="s">
        <v>84</v>
      </c>
      <c r="T1992" s="453" t="s">
        <v>84</v>
      </c>
      <c r="U1992" s="453" t="s">
        <v>84</v>
      </c>
      <c r="V1992" s="453" t="s">
        <v>84</v>
      </c>
      <c r="W1992" s="453" t="s">
        <v>84</v>
      </c>
      <c r="X1992" s="453" t="s">
        <v>84</v>
      </c>
      <c r="Y1992" s="453" t="s">
        <v>84</v>
      </c>
      <c r="Z1992" s="453" t="s">
        <v>84</v>
      </c>
      <c r="AA1992" s="453" t="s">
        <v>84</v>
      </c>
      <c r="AB1992" s="453" t="s">
        <v>84</v>
      </c>
      <c r="AC1992" s="453" t="s">
        <v>84</v>
      </c>
      <c r="AD1992" s="453" t="s">
        <v>84</v>
      </c>
      <c r="AE1992" s="453" t="s">
        <v>84</v>
      </c>
      <c r="AF1992" s="453" t="s">
        <v>84</v>
      </c>
      <c r="AG1992" s="453" t="s">
        <v>84</v>
      </c>
      <c r="AH1992" s="453" t="s">
        <v>84</v>
      </c>
      <c r="AI1992" s="453" t="s">
        <v>84</v>
      </c>
      <c r="AJ1992" s="453" t="s">
        <v>84</v>
      </c>
      <c r="AK1992" s="453" t="s">
        <v>84</v>
      </c>
      <c r="AL1992" s="453" t="s">
        <v>84</v>
      </c>
      <c r="AM1992" s="453" t="s">
        <v>84</v>
      </c>
      <c r="AN1992" s="453" t="s">
        <v>84</v>
      </c>
      <c r="AO1992" s="453" t="s">
        <v>84</v>
      </c>
    </row>
  </sheetData>
  <autoFilter ref="A10:AO1992"/>
  <sortState ref="B1970:AO1985">
    <sortCondition ref="M1970"/>
  </sortState>
  <conditionalFormatting sqref="H7:H8">
    <cfRule type="cellIs" dxfId="185" priority="1" stopIfTrue="1" operator="equal">
      <formula>"Check"</formula>
    </cfRule>
  </conditionalFormatting>
  <pageMargins left="0.75" right="0.75" top="1" bottom="1" header="0.3" footer="0.3"/>
  <pageSetup paperSize="9" orientation="portrait" r:id="rId1"/>
</worksheet>
</file>

<file path=xl/worksheets/sheet17.xml><?xml version="1.0" encoding="utf-8"?>
<worksheet xmlns="http://schemas.openxmlformats.org/spreadsheetml/2006/main" xmlns:r="http://schemas.openxmlformats.org/officeDocument/2006/relationships">
  <dimension ref="A1:AO2591"/>
  <sheetViews>
    <sheetView tabSelected="1" zoomScale="55" zoomScaleNormal="55" workbookViewId="0">
      <pane xSplit="8" ySplit="11" topLeftCell="I1112" activePane="bottomRight" state="frozen"/>
      <selection pane="topRight" activeCell="I1" sqref="I1"/>
      <selection pane="bottomLeft" activeCell="A12" sqref="A12"/>
      <selection pane="bottomRight" activeCell="F1122" sqref="F1122"/>
    </sheetView>
  </sheetViews>
  <sheetFormatPr baseColWidth="10" defaultColWidth="10.81640625" defaultRowHeight="12.5"/>
  <cols>
    <col min="1" max="1" width="34.1796875" style="152" bestFit="1" customWidth="1"/>
    <col min="2" max="2" width="26.81640625" style="210" bestFit="1" customWidth="1"/>
    <col min="3" max="3" width="35.453125" style="210" bestFit="1" customWidth="1"/>
    <col min="4" max="4" width="8.1796875" style="152" bestFit="1" customWidth="1"/>
    <col min="5" max="5" width="12.453125" style="474" bestFit="1" customWidth="1"/>
    <col min="6" max="6" width="22.1796875" style="210" customWidth="1"/>
    <col min="7" max="7" width="13.453125" style="152" bestFit="1" customWidth="1"/>
    <col min="8" max="8" width="29.1796875" style="152" bestFit="1" customWidth="1"/>
    <col min="9" max="9" width="16.453125" style="152" customWidth="1"/>
    <col min="10" max="10" width="22.453125" style="513" customWidth="1"/>
    <col min="11" max="11" width="18.1796875" style="513" customWidth="1"/>
    <col min="12" max="12" width="15" style="513" customWidth="1"/>
    <col min="13" max="13" width="12.453125" style="518" customWidth="1"/>
    <col min="14" max="14" width="20.453125" style="152" customWidth="1"/>
    <col min="15" max="15" width="11.81640625" style="152" customWidth="1"/>
    <col min="16" max="16" width="26.453125" style="152" customWidth="1"/>
    <col min="17" max="17" width="39.1796875" style="152" customWidth="1"/>
    <col min="18" max="18" width="13.453125" style="152" customWidth="1"/>
    <col min="19" max="19" width="139.453125" style="152" bestFit="1" customWidth="1"/>
    <col min="20" max="20" width="21.453125" style="152" bestFit="1" customWidth="1"/>
    <col min="21" max="21" width="27.453125" style="152" bestFit="1" customWidth="1"/>
    <col min="22" max="22" width="76.1796875" style="152" bestFit="1" customWidth="1"/>
    <col min="23" max="23" width="33.453125" style="152" bestFit="1" customWidth="1"/>
    <col min="24" max="24" width="13.453125" style="152" bestFit="1" customWidth="1"/>
    <col min="25" max="25" width="14.453125" style="152" bestFit="1" customWidth="1"/>
    <col min="26" max="26" width="10.81640625" style="152"/>
    <col min="27" max="27" width="16.453125" style="152" bestFit="1" customWidth="1"/>
    <col min="28" max="28" width="8.81640625" style="152" bestFit="1" customWidth="1"/>
    <col min="29" max="29" width="11.453125" style="152" bestFit="1" customWidth="1"/>
    <col min="30" max="30" width="11.1796875" style="152" bestFit="1" customWidth="1"/>
    <col min="31" max="31" width="16.453125" style="152" bestFit="1" customWidth="1"/>
    <col min="32" max="32" width="3.453125" style="152" bestFit="1" customWidth="1"/>
    <col min="33" max="33" width="20.453125" style="152" bestFit="1" customWidth="1"/>
    <col min="34" max="34" width="39.1796875" style="152" bestFit="1" customWidth="1"/>
    <col min="35" max="35" width="13.453125" style="152" bestFit="1" customWidth="1"/>
    <col min="36" max="36" width="30.453125" style="152" bestFit="1" customWidth="1"/>
    <col min="37" max="37" width="15.1796875" style="152" bestFit="1" customWidth="1"/>
    <col min="38" max="38" width="21.1796875" style="152" bestFit="1" customWidth="1"/>
    <col min="39" max="39" width="33.1796875" style="152" bestFit="1" customWidth="1"/>
    <col min="40" max="40" width="34.453125" style="152" bestFit="1" customWidth="1"/>
    <col min="41" max="41" width="7.81640625" style="152" bestFit="1" customWidth="1"/>
    <col min="42" max="16384" width="10.81640625" style="152"/>
  </cols>
  <sheetData>
    <row r="1" spans="2:41">
      <c r="L1" s="152"/>
      <c r="M1" s="670"/>
    </row>
    <row r="2" spans="2:41" ht="13">
      <c r="H2" s="305" t="s">
        <v>140</v>
      </c>
      <c r="L2" s="152"/>
      <c r="M2" s="670"/>
    </row>
    <row r="3" spans="2:41" ht="13">
      <c r="D3" s="210"/>
      <c r="E3" s="210"/>
      <c r="H3" s="305" t="s">
        <v>152</v>
      </c>
      <c r="L3" s="152"/>
      <c r="M3" s="670"/>
    </row>
    <row r="4" spans="2:41" ht="13">
      <c r="D4" s="210"/>
      <c r="E4" s="210"/>
      <c r="F4" s="607"/>
      <c r="G4" s="597"/>
      <c r="H4" s="305" t="s">
        <v>155</v>
      </c>
      <c r="L4" s="152"/>
      <c r="M4" s="670"/>
    </row>
    <row r="5" spans="2:41" ht="13">
      <c r="D5" s="210"/>
      <c r="E5" s="210"/>
      <c r="H5" s="305" t="s">
        <v>161</v>
      </c>
      <c r="L5" s="152"/>
      <c r="M5" s="670"/>
    </row>
    <row r="6" spans="2:41" ht="13" thickBot="1">
      <c r="L6" s="152"/>
      <c r="M6" s="670"/>
    </row>
    <row r="7" spans="2:41" ht="13.5" thickBot="1">
      <c r="D7" s="210"/>
      <c r="E7" s="821" t="e">
        <f>+VLOOKUP(G7,'Plan Cuentas Link Armado'!$E$3:$G$105,3,0)</f>
        <v>#N/A</v>
      </c>
      <c r="H7" s="110" t="str">
        <f>+IF(J7+K7=0,"Ok","Check")</f>
        <v>Ok</v>
      </c>
      <c r="J7" s="6">
        <f>ROUND(SUM(J10:J2591),0)</f>
        <v>0</v>
      </c>
      <c r="K7" s="6">
        <f>ROUND(SUM(K10:K2591),0)</f>
        <v>0</v>
      </c>
      <c r="L7" s="152"/>
      <c r="M7" s="670"/>
    </row>
    <row r="8" spans="2:41" ht="25.5" thickBot="1">
      <c r="D8" s="210"/>
      <c r="E8" s="9" t="s">
        <v>482</v>
      </c>
      <c r="F8" s="210" t="s">
        <v>142</v>
      </c>
      <c r="H8" s="110" t="str">
        <f ca="1">+Resumen_Base!D1</f>
        <v>Ok</v>
      </c>
      <c r="L8" s="152"/>
      <c r="M8" s="670"/>
    </row>
    <row r="9" spans="2:41" ht="13.5" thickBot="1">
      <c r="C9" s="210" t="str">
        <f>+G9&amp;$D$9&amp;H9</f>
        <v xml:space="preserve"> </v>
      </c>
      <c r="D9" s="210" t="s">
        <v>87</v>
      </c>
      <c r="E9" s="474" t="e">
        <f>+VLOOKUP(G9,Resumen_Base!$C$8:$F$26,4,0)</f>
        <v>#N/A</v>
      </c>
      <c r="F9" s="684" t="e">
        <f>+VLOOKUP(G9,Resumen_Base!$C$8:$G$156,5,0)</f>
        <v>#N/A</v>
      </c>
      <c r="H9" s="474"/>
      <c r="I9" s="152" t="e">
        <f>+E9&amp;G9</f>
        <v>#N/A</v>
      </c>
      <c r="J9" s="6">
        <f>SUM(J10:J1124)</f>
        <v>94249257.5999998</v>
      </c>
      <c r="K9" s="6">
        <f>SUM(K10:K1124)</f>
        <v>102188.30289077471</v>
      </c>
      <c r="L9" s="152"/>
      <c r="M9" s="670"/>
    </row>
    <row r="10" spans="2:41" s="474" customFormat="1" ht="25">
      <c r="B10" s="9"/>
      <c r="C10" s="515" t="s">
        <v>126</v>
      </c>
      <c r="D10" s="9"/>
      <c r="E10" s="515" t="s">
        <v>75</v>
      </c>
      <c r="F10" s="515" t="s">
        <v>76</v>
      </c>
      <c r="G10" s="153" t="s">
        <v>24</v>
      </c>
      <c r="H10" s="153" t="s">
        <v>23</v>
      </c>
      <c r="I10" s="153"/>
      <c r="J10" s="671" t="s">
        <v>22</v>
      </c>
      <c r="K10" s="671" t="s">
        <v>20</v>
      </c>
      <c r="L10" s="671" t="s">
        <v>74</v>
      </c>
      <c r="M10" s="517" t="s">
        <v>18</v>
      </c>
      <c r="N10" s="153" t="s">
        <v>17</v>
      </c>
      <c r="O10" s="153" t="s">
        <v>16</v>
      </c>
      <c r="P10" s="153" t="s">
        <v>15</v>
      </c>
      <c r="Q10" s="153" t="s">
        <v>14</v>
      </c>
      <c r="R10" s="153" t="s">
        <v>13</v>
      </c>
      <c r="S10" s="153" t="s">
        <v>12</v>
      </c>
      <c r="T10" s="153" t="s">
        <v>11</v>
      </c>
      <c r="U10" s="153" t="s">
        <v>10</v>
      </c>
      <c r="V10" s="674" t="s">
        <v>9</v>
      </c>
      <c r="W10" s="153" t="s">
        <v>8</v>
      </c>
      <c r="X10" s="153" t="s">
        <v>7</v>
      </c>
      <c r="Y10" s="671" t="s">
        <v>21</v>
      </c>
      <c r="Z10" s="153"/>
      <c r="AA10" s="153" t="s">
        <v>20</v>
      </c>
      <c r="AB10" s="153" t="s">
        <v>19</v>
      </c>
      <c r="AD10" s="672" t="s">
        <v>18</v>
      </c>
      <c r="AE10" s="672" t="s">
        <v>17</v>
      </c>
      <c r="AF10" s="672" t="s">
        <v>16</v>
      </c>
      <c r="AG10" s="672" t="s">
        <v>15</v>
      </c>
      <c r="AH10" s="672" t="s">
        <v>14</v>
      </c>
      <c r="AI10" s="672" t="s">
        <v>13</v>
      </c>
      <c r="AJ10" s="672" t="s">
        <v>12</v>
      </c>
      <c r="AK10" s="672" t="s">
        <v>11</v>
      </c>
      <c r="AL10" s="672" t="s">
        <v>10</v>
      </c>
      <c r="AM10" s="673" t="s">
        <v>9</v>
      </c>
      <c r="AN10" s="672" t="s">
        <v>8</v>
      </c>
      <c r="AO10" s="672" t="s">
        <v>7</v>
      </c>
    </row>
    <row r="11" spans="2:41" ht="14.5">
      <c r="D11" s="508"/>
      <c r="G11" s="522"/>
      <c r="H11" s="520"/>
      <c r="I11" s="520"/>
      <c r="J11" s="523"/>
      <c r="K11" s="523"/>
      <c r="L11" s="523"/>
      <c r="N11" s="519"/>
      <c r="Y11" s="513"/>
      <c r="AD11" s="524"/>
      <c r="AE11" s="520"/>
      <c r="AF11" s="520"/>
      <c r="AG11" s="520"/>
      <c r="AH11" s="520"/>
      <c r="AI11" s="522"/>
      <c r="AJ11" s="520"/>
      <c r="AK11" s="520"/>
      <c r="AL11" s="520"/>
      <c r="AM11" s="520"/>
      <c r="AN11" s="520"/>
      <c r="AO11" s="520"/>
    </row>
    <row r="12" spans="2:41">
      <c r="G12" s="474"/>
      <c r="H12" s="210"/>
      <c r="I12" s="827"/>
      <c r="M12" s="513"/>
      <c r="N12" s="513"/>
      <c r="O12" s="513"/>
      <c r="P12" s="518"/>
    </row>
    <row r="13" spans="2:41" ht="50">
      <c r="D13" s="210"/>
      <c r="E13" s="210" t="s">
        <v>670</v>
      </c>
      <c r="F13" s="684" t="str">
        <f>+VLOOKUP(G13,Resumen_Base!$C$8:$G$156,5,0)</f>
        <v>Fixed Asset's Payments (Investments) Mejoras/equipamiento Lodge</v>
      </c>
      <c r="G13" s="152" t="s">
        <v>50</v>
      </c>
      <c r="H13" s="474" t="s">
        <v>51</v>
      </c>
      <c r="I13" s="152" t="str">
        <f t="shared" ref="I13:I76" si="0">+E13&amp;G13</f>
        <v>SJ12020103</v>
      </c>
      <c r="J13" s="847">
        <v>49638.65</v>
      </c>
      <c r="K13" s="513">
        <v>35.33</v>
      </c>
      <c r="L13" s="513">
        <v>1405</v>
      </c>
      <c r="M13" s="152" t="s">
        <v>7116</v>
      </c>
      <c r="N13" s="513" t="s">
        <v>780</v>
      </c>
      <c r="O13" s="513" t="s">
        <v>781</v>
      </c>
      <c r="P13" s="513" t="s">
        <v>7418</v>
      </c>
      <c r="Q13" s="518" t="s">
        <v>7101</v>
      </c>
      <c r="R13" s="152" t="s">
        <v>7419</v>
      </c>
      <c r="S13" s="152" t="s">
        <v>7428</v>
      </c>
      <c r="T13" s="152" t="s">
        <v>7421</v>
      </c>
      <c r="U13" s="152" t="s">
        <v>786</v>
      </c>
    </row>
    <row r="14" spans="2:41" ht="50">
      <c r="D14" s="210"/>
      <c r="E14" s="210" t="s">
        <v>670</v>
      </c>
      <c r="F14" s="684" t="str">
        <f>+VLOOKUP(G14,Resumen_Base!$C$8:$G$156,5,0)</f>
        <v>Fixed Asset's Payments (Investments) Mejoras/equipamiento Lodge</v>
      </c>
      <c r="G14" s="152" t="s">
        <v>50</v>
      </c>
      <c r="H14" s="474" t="s">
        <v>51</v>
      </c>
      <c r="I14" s="152" t="str">
        <f t="shared" si="0"/>
        <v>SJ12020103</v>
      </c>
      <c r="J14" s="847">
        <v>279412.34999999998</v>
      </c>
      <c r="K14" s="513">
        <v>198.87</v>
      </c>
      <c r="L14" s="513">
        <v>1405</v>
      </c>
      <c r="M14" s="152" t="s">
        <v>7116</v>
      </c>
      <c r="N14" s="513" t="s">
        <v>780</v>
      </c>
      <c r="O14" s="513" t="s">
        <v>781</v>
      </c>
      <c r="P14" s="513" t="s">
        <v>7418</v>
      </c>
      <c r="Q14" s="518" t="s">
        <v>7101</v>
      </c>
      <c r="R14" s="152" t="s">
        <v>7419</v>
      </c>
      <c r="S14" s="152" t="s">
        <v>7429</v>
      </c>
      <c r="T14" s="152" t="s">
        <v>7421</v>
      </c>
      <c r="U14" s="152" t="s">
        <v>786</v>
      </c>
    </row>
    <row r="15" spans="2:41" ht="50">
      <c r="D15" s="210"/>
      <c r="E15" s="210" t="s">
        <v>676</v>
      </c>
      <c r="F15" s="684" t="str">
        <f>+VLOOKUP(G15,Resumen_Base!$C$8:$G$156,5,0)</f>
        <v>Fixed Asset's Payments (Investments) Mejoras/equipamiento Lodge</v>
      </c>
      <c r="G15" s="152" t="s">
        <v>50</v>
      </c>
      <c r="H15" s="474" t="s">
        <v>51</v>
      </c>
      <c r="I15" s="152" t="str">
        <f t="shared" si="0"/>
        <v>CAR12020103</v>
      </c>
      <c r="J15" s="847">
        <v>1405000</v>
      </c>
      <c r="K15" s="513">
        <v>1000</v>
      </c>
      <c r="L15" s="513">
        <v>1405</v>
      </c>
      <c r="M15" s="152" t="s">
        <v>7108</v>
      </c>
      <c r="N15" s="513" t="s">
        <v>780</v>
      </c>
      <c r="O15" s="513" t="s">
        <v>1407</v>
      </c>
      <c r="P15" s="513" t="s">
        <v>7245</v>
      </c>
      <c r="Q15" s="518" t="s">
        <v>7101</v>
      </c>
      <c r="R15" s="152" t="s">
        <v>7246</v>
      </c>
      <c r="S15" s="152" t="s">
        <v>7251</v>
      </c>
      <c r="T15" s="152" t="s">
        <v>7248</v>
      </c>
      <c r="U15" s="152" t="s">
        <v>786</v>
      </c>
    </row>
    <row r="16" spans="2:41" ht="50">
      <c r="D16" s="210"/>
      <c r="E16" s="210" t="s">
        <v>670</v>
      </c>
      <c r="F16" s="684" t="str">
        <f>+VLOOKUP(G16,Resumen_Base!$C$8:$G$156,5,0)</f>
        <v>Fixed Asset's Payments (Investments) Mejoras/equipamiento Lodge</v>
      </c>
      <c r="G16" s="152" t="s">
        <v>52</v>
      </c>
      <c r="H16" s="474" t="s">
        <v>53</v>
      </c>
      <c r="I16" s="152" t="str">
        <f t="shared" si="0"/>
        <v>SJ12020201</v>
      </c>
      <c r="J16" s="847">
        <v>68072.25</v>
      </c>
      <c r="K16" s="513">
        <v>48.45</v>
      </c>
      <c r="L16" s="513">
        <v>1405</v>
      </c>
      <c r="M16" s="152" t="s">
        <v>7116</v>
      </c>
      <c r="N16" s="513" t="s">
        <v>780</v>
      </c>
      <c r="O16" s="513" t="s">
        <v>781</v>
      </c>
      <c r="P16" s="513" t="s">
        <v>7179</v>
      </c>
      <c r="Q16" s="518" t="s">
        <v>7101</v>
      </c>
      <c r="R16" s="152" t="s">
        <v>7180</v>
      </c>
      <c r="S16" s="152" t="s">
        <v>7230</v>
      </c>
      <c r="T16" s="152" t="s">
        <v>7182</v>
      </c>
      <c r="U16" s="152" t="s">
        <v>786</v>
      </c>
    </row>
    <row r="17" spans="4:21" ht="50">
      <c r="D17" s="210"/>
      <c r="E17" s="210" t="s">
        <v>670</v>
      </c>
      <c r="F17" s="684" t="str">
        <f>+VLOOKUP(G17,Resumen_Base!$C$8:$G$156,5,0)</f>
        <v>Fixed Asset's Payments (Investments) Mejoras/equipamiento Lodge</v>
      </c>
      <c r="G17" s="152" t="s">
        <v>6</v>
      </c>
      <c r="H17" s="474" t="s">
        <v>5</v>
      </c>
      <c r="I17" s="152" t="str">
        <f t="shared" si="0"/>
        <v>SJ12020301</v>
      </c>
      <c r="J17" s="847">
        <v>338338.05</v>
      </c>
      <c r="K17" s="513">
        <v>240.81</v>
      </c>
      <c r="L17" s="513">
        <v>1405</v>
      </c>
      <c r="M17" s="152" t="s">
        <v>7116</v>
      </c>
      <c r="N17" s="513" t="s">
        <v>780</v>
      </c>
      <c r="O17" s="513" t="s">
        <v>781</v>
      </c>
      <c r="P17" s="513" t="s">
        <v>7517</v>
      </c>
      <c r="Q17" s="518" t="s">
        <v>7101</v>
      </c>
      <c r="R17" s="152" t="s">
        <v>7518</v>
      </c>
      <c r="S17" s="152" t="s">
        <v>7615</v>
      </c>
      <c r="T17" s="152" t="s">
        <v>7520</v>
      </c>
      <c r="U17" s="152" t="s">
        <v>786</v>
      </c>
    </row>
    <row r="18" spans="4:21" ht="50">
      <c r="D18" s="210"/>
      <c r="E18" s="210" t="s">
        <v>670</v>
      </c>
      <c r="F18" s="684" t="str">
        <f>+VLOOKUP(G18,Resumen_Base!$C$8:$G$156,5,0)</f>
        <v>Fixed Asset's Payments (Investments) Mejoras/equipamiento Lodge</v>
      </c>
      <c r="G18" s="152" t="s">
        <v>6</v>
      </c>
      <c r="H18" s="474" t="s">
        <v>5</v>
      </c>
      <c r="I18" s="152" t="str">
        <f t="shared" si="0"/>
        <v>SJ12020301</v>
      </c>
      <c r="J18" s="847">
        <v>151725.95000000001</v>
      </c>
      <c r="K18" s="513">
        <v>107.99</v>
      </c>
      <c r="L18" s="513">
        <v>1405</v>
      </c>
      <c r="M18" s="152" t="s">
        <v>7116</v>
      </c>
      <c r="N18" s="513" t="s">
        <v>780</v>
      </c>
      <c r="O18" s="513" t="s">
        <v>781</v>
      </c>
      <c r="P18" s="513" t="s">
        <v>7517</v>
      </c>
      <c r="Q18" s="518" t="s">
        <v>7101</v>
      </c>
      <c r="R18" s="152" t="s">
        <v>7518</v>
      </c>
      <c r="S18" s="152" t="s">
        <v>7577</v>
      </c>
      <c r="T18" s="152" t="s">
        <v>7520</v>
      </c>
      <c r="U18" s="152" t="s">
        <v>786</v>
      </c>
    </row>
    <row r="19" spans="4:21" ht="50">
      <c r="D19" s="210"/>
      <c r="E19" s="210" t="s">
        <v>670</v>
      </c>
      <c r="F19" s="684" t="str">
        <f>+VLOOKUP(G19,Resumen_Base!$C$8:$G$156,5,0)</f>
        <v>Fixed Asset's Payments (Investments) Mejoras/equipamiento Lodge</v>
      </c>
      <c r="G19" s="152" t="s">
        <v>6</v>
      </c>
      <c r="H19" s="474" t="s">
        <v>5</v>
      </c>
      <c r="I19" s="152" t="str">
        <f t="shared" si="0"/>
        <v>SJ12020301</v>
      </c>
      <c r="J19" s="847">
        <v>69083</v>
      </c>
      <c r="K19" s="513">
        <v>48.65</v>
      </c>
      <c r="L19" s="513">
        <v>1420</v>
      </c>
      <c r="M19" s="152" t="s">
        <v>7143</v>
      </c>
      <c r="N19" s="513" t="s">
        <v>780</v>
      </c>
      <c r="O19" s="513" t="s">
        <v>781</v>
      </c>
      <c r="P19" s="513" t="s">
        <v>7653</v>
      </c>
      <c r="Q19" s="518" t="s">
        <v>7101</v>
      </c>
      <c r="R19" s="152" t="s">
        <v>7654</v>
      </c>
      <c r="S19" s="152" t="s">
        <v>7658</v>
      </c>
      <c r="T19" s="152" t="s">
        <v>7655</v>
      </c>
      <c r="U19" s="152" t="s">
        <v>786</v>
      </c>
    </row>
    <row r="20" spans="4:21" ht="50">
      <c r="D20" s="210"/>
      <c r="E20" s="210" t="s">
        <v>670</v>
      </c>
      <c r="F20" s="684" t="str">
        <f>+VLOOKUP(G20,Resumen_Base!$C$8:$G$156,5,0)</f>
        <v>Fixed Asset's Payments (Investments) Mejoras/equipamiento Lodge</v>
      </c>
      <c r="G20" s="152" t="s">
        <v>6</v>
      </c>
      <c r="H20" s="474" t="s">
        <v>5</v>
      </c>
      <c r="I20" s="152" t="str">
        <f t="shared" si="0"/>
        <v>SJ12020301</v>
      </c>
      <c r="J20" s="847">
        <v>1099648</v>
      </c>
      <c r="K20" s="513">
        <v>774.4</v>
      </c>
      <c r="L20" s="513">
        <v>1420</v>
      </c>
      <c r="M20" s="152" t="s">
        <v>7143</v>
      </c>
      <c r="N20" s="513" t="s">
        <v>780</v>
      </c>
      <c r="O20" s="513" t="s">
        <v>781</v>
      </c>
      <c r="P20" s="513" t="s">
        <v>7664</v>
      </c>
      <c r="Q20" s="518" t="s">
        <v>7101</v>
      </c>
      <c r="R20" s="152" t="s">
        <v>7665</v>
      </c>
      <c r="S20" s="152" t="s">
        <v>7678</v>
      </c>
      <c r="T20" s="152" t="s">
        <v>7667</v>
      </c>
      <c r="U20" s="152" t="s">
        <v>786</v>
      </c>
    </row>
    <row r="21" spans="4:21">
      <c r="D21" s="210"/>
      <c r="E21" s="210" t="s">
        <v>670</v>
      </c>
      <c r="F21" s="684" t="str">
        <f>+VLOOKUP(G21,Resumen_Base!$C$8:$G$156,5,0)</f>
        <v>Tips</v>
      </c>
      <c r="G21" s="152" t="s">
        <v>366</v>
      </c>
      <c r="H21" s="474" t="s">
        <v>367</v>
      </c>
      <c r="I21" s="152" t="str">
        <f t="shared" si="0"/>
        <v>SJ210609</v>
      </c>
      <c r="J21" s="847">
        <v>-2248000</v>
      </c>
      <c r="K21" s="513">
        <v>-1600</v>
      </c>
      <c r="L21" s="513">
        <v>1405</v>
      </c>
      <c r="M21" s="152" t="s">
        <v>7143</v>
      </c>
      <c r="N21" s="513" t="s">
        <v>780</v>
      </c>
      <c r="O21" s="513" t="s">
        <v>781</v>
      </c>
      <c r="P21" s="513" t="s">
        <v>7725</v>
      </c>
      <c r="Q21" s="518" t="s">
        <v>7101</v>
      </c>
      <c r="R21" s="152" t="s">
        <v>7726</v>
      </c>
      <c r="S21" s="152" t="s">
        <v>7727</v>
      </c>
      <c r="T21" s="152" t="s">
        <v>7728</v>
      </c>
      <c r="U21" s="152" t="s">
        <v>786</v>
      </c>
    </row>
    <row r="22" spans="4:21">
      <c r="D22" s="210"/>
      <c r="E22" s="210" t="s">
        <v>670</v>
      </c>
      <c r="F22" s="684" t="str">
        <f>+VLOOKUP(G22,Resumen_Base!$C$8:$G$156,5,0)</f>
        <v>Tips</v>
      </c>
      <c r="G22" s="152" t="s">
        <v>366</v>
      </c>
      <c r="H22" s="474" t="s">
        <v>367</v>
      </c>
      <c r="I22" s="152" t="str">
        <f t="shared" si="0"/>
        <v>SJ210609</v>
      </c>
      <c r="J22" s="847">
        <v>-2599250</v>
      </c>
      <c r="K22" s="513">
        <v>-1850</v>
      </c>
      <c r="L22" s="513">
        <v>1405</v>
      </c>
      <c r="M22" s="152" t="s">
        <v>7143</v>
      </c>
      <c r="N22" s="513" t="s">
        <v>780</v>
      </c>
      <c r="O22" s="513" t="s">
        <v>781</v>
      </c>
      <c r="P22" s="513" t="s">
        <v>7725</v>
      </c>
      <c r="Q22" s="518" t="s">
        <v>7101</v>
      </c>
      <c r="R22" s="152" t="s">
        <v>7726</v>
      </c>
      <c r="S22" s="152" t="s">
        <v>7727</v>
      </c>
      <c r="T22" s="152" t="s">
        <v>7728</v>
      </c>
      <c r="U22" s="152" t="s">
        <v>786</v>
      </c>
    </row>
    <row r="23" spans="4:21">
      <c r="D23" s="210"/>
      <c r="E23" s="210" t="s">
        <v>670</v>
      </c>
      <c r="F23" s="684" t="str">
        <f>+VLOOKUP(G23,Resumen_Base!$C$8:$G$156,5,0)</f>
        <v>Tips</v>
      </c>
      <c r="G23" s="152" t="s">
        <v>366</v>
      </c>
      <c r="H23" s="474" t="s">
        <v>367</v>
      </c>
      <c r="I23" s="152" t="str">
        <f t="shared" si="0"/>
        <v>SJ210609</v>
      </c>
      <c r="J23" s="847">
        <v>-2810000</v>
      </c>
      <c r="K23" s="513">
        <v>-2000</v>
      </c>
      <c r="L23" s="513">
        <v>1405</v>
      </c>
      <c r="M23" s="152" t="s">
        <v>7143</v>
      </c>
      <c r="N23" s="513" t="s">
        <v>780</v>
      </c>
      <c r="O23" s="513" t="s">
        <v>781</v>
      </c>
      <c r="P23" s="513" t="s">
        <v>7725</v>
      </c>
      <c r="Q23" s="518" t="s">
        <v>7101</v>
      </c>
      <c r="R23" s="152" t="s">
        <v>7726</v>
      </c>
      <c r="S23" s="152" t="s">
        <v>7732</v>
      </c>
      <c r="T23" s="152" t="s">
        <v>7728</v>
      </c>
      <c r="U23" s="152" t="s">
        <v>786</v>
      </c>
    </row>
    <row r="24" spans="4:21">
      <c r="D24" s="210"/>
      <c r="E24" s="210" t="s">
        <v>670</v>
      </c>
      <c r="F24" s="684" t="str">
        <f>+VLOOKUP(G24,Resumen_Base!$C$8:$G$156,5,0)</f>
        <v>Tips</v>
      </c>
      <c r="G24" s="152" t="s">
        <v>366</v>
      </c>
      <c r="H24" s="474" t="s">
        <v>367</v>
      </c>
      <c r="I24" s="152" t="str">
        <f t="shared" si="0"/>
        <v>SJ210609</v>
      </c>
      <c r="J24" s="847">
        <v>-4074500</v>
      </c>
      <c r="K24" s="513">
        <v>-2900</v>
      </c>
      <c r="L24" s="513">
        <v>1405</v>
      </c>
      <c r="M24" s="152" t="s">
        <v>7143</v>
      </c>
      <c r="N24" s="513" t="s">
        <v>780</v>
      </c>
      <c r="O24" s="513" t="s">
        <v>781</v>
      </c>
      <c r="P24" s="513" t="s">
        <v>7725</v>
      </c>
      <c r="Q24" s="518" t="s">
        <v>7101</v>
      </c>
      <c r="R24" s="152" t="s">
        <v>7726</v>
      </c>
      <c r="S24" s="152" t="s">
        <v>7727</v>
      </c>
      <c r="T24" s="152" t="s">
        <v>7728</v>
      </c>
      <c r="U24" s="152" t="s">
        <v>786</v>
      </c>
    </row>
    <row r="25" spans="4:21">
      <c r="D25" s="210"/>
      <c r="E25" s="210" t="s">
        <v>670</v>
      </c>
      <c r="F25" s="684" t="str">
        <f>+VLOOKUP(G25,Resumen_Base!$C$8:$G$156,5,0)</f>
        <v>Tips</v>
      </c>
      <c r="G25" s="152" t="s">
        <v>366</v>
      </c>
      <c r="H25" s="474" t="s">
        <v>367</v>
      </c>
      <c r="I25" s="152" t="str">
        <f t="shared" si="0"/>
        <v>SJ210609</v>
      </c>
      <c r="J25" s="847">
        <v>-2248000</v>
      </c>
      <c r="K25" s="513">
        <v>-1600</v>
      </c>
      <c r="L25" s="513">
        <v>1405</v>
      </c>
      <c r="M25" s="152" t="s">
        <v>7808</v>
      </c>
      <c r="N25" s="513" t="s">
        <v>1566</v>
      </c>
      <c r="O25" s="513" t="s">
        <v>781</v>
      </c>
      <c r="P25" s="513" t="s">
        <v>7842</v>
      </c>
      <c r="Q25" s="518" t="s">
        <v>7796</v>
      </c>
      <c r="R25" s="152" t="s">
        <v>7843</v>
      </c>
      <c r="S25" s="152" t="s">
        <v>7844</v>
      </c>
      <c r="T25" s="152" t="s">
        <v>7845</v>
      </c>
      <c r="U25" s="152" t="s">
        <v>786</v>
      </c>
    </row>
    <row r="26" spans="4:21">
      <c r="D26" s="210"/>
      <c r="E26" s="210" t="s">
        <v>670</v>
      </c>
      <c r="F26" s="684" t="str">
        <f>+VLOOKUP(G26,Resumen_Base!$C$8:$G$156,5,0)</f>
        <v>Tips</v>
      </c>
      <c r="G26" s="152" t="s">
        <v>366</v>
      </c>
      <c r="H26" s="474" t="s">
        <v>367</v>
      </c>
      <c r="I26" s="152" t="str">
        <f t="shared" si="0"/>
        <v>SJ210609</v>
      </c>
      <c r="J26" s="847">
        <v>-1405000</v>
      </c>
      <c r="K26" s="513">
        <v>-1000</v>
      </c>
      <c r="L26" s="513">
        <v>1405</v>
      </c>
      <c r="M26" s="152" t="s">
        <v>7808</v>
      </c>
      <c r="N26" s="513" t="s">
        <v>1566</v>
      </c>
      <c r="O26" s="513" t="s">
        <v>781</v>
      </c>
      <c r="P26" s="513" t="s">
        <v>7849</v>
      </c>
      <c r="Q26" s="518" t="s">
        <v>7796</v>
      </c>
      <c r="R26" s="152" t="s">
        <v>7850</v>
      </c>
      <c r="S26" s="152" t="s">
        <v>7851</v>
      </c>
      <c r="T26" s="152" t="s">
        <v>7852</v>
      </c>
      <c r="U26" s="152" t="s">
        <v>786</v>
      </c>
    </row>
    <row r="27" spans="4:21">
      <c r="D27" s="210"/>
      <c r="E27" s="210" t="s">
        <v>670</v>
      </c>
      <c r="F27" s="684" t="str">
        <f>+VLOOKUP(G27,Resumen_Base!$C$8:$G$156,5,0)</f>
        <v>Tips</v>
      </c>
      <c r="G27" s="152" t="s">
        <v>366</v>
      </c>
      <c r="H27" s="474" t="s">
        <v>367</v>
      </c>
      <c r="I27" s="152" t="str">
        <f t="shared" si="0"/>
        <v>SJ210609</v>
      </c>
      <c r="J27" s="847">
        <v>-1405000</v>
      </c>
      <c r="K27" s="513">
        <v>-1000</v>
      </c>
      <c r="L27" s="513">
        <v>1405</v>
      </c>
      <c r="M27" s="152" t="s">
        <v>7808</v>
      </c>
      <c r="N27" s="513" t="s">
        <v>1566</v>
      </c>
      <c r="O27" s="513" t="s">
        <v>781</v>
      </c>
      <c r="P27" s="513" t="s">
        <v>7853</v>
      </c>
      <c r="Q27" s="518" t="s">
        <v>7796</v>
      </c>
      <c r="R27" s="152" t="s">
        <v>7854</v>
      </c>
      <c r="S27" s="152" t="s">
        <v>7851</v>
      </c>
      <c r="T27" s="152" t="s">
        <v>7855</v>
      </c>
      <c r="U27" s="152" t="s">
        <v>786</v>
      </c>
    </row>
    <row r="28" spans="4:21">
      <c r="D28" s="210"/>
      <c r="E28" s="210" t="s">
        <v>670</v>
      </c>
      <c r="F28" s="684" t="str">
        <f>+VLOOKUP(G28,Resumen_Base!$C$8:$G$156,5,0)</f>
        <v>Tips</v>
      </c>
      <c r="G28" s="152" t="s">
        <v>366</v>
      </c>
      <c r="H28" s="474" t="s">
        <v>367</v>
      </c>
      <c r="I28" s="152" t="str">
        <f t="shared" si="0"/>
        <v>SJ210609</v>
      </c>
      <c r="J28" s="847">
        <v>-1686000</v>
      </c>
      <c r="K28" s="513">
        <v>-1200</v>
      </c>
      <c r="L28" s="513">
        <v>1405</v>
      </c>
      <c r="M28" s="152" t="s">
        <v>7808</v>
      </c>
      <c r="N28" s="513" t="s">
        <v>1566</v>
      </c>
      <c r="O28" s="513" t="s">
        <v>781</v>
      </c>
      <c r="P28" s="513" t="s">
        <v>7856</v>
      </c>
      <c r="Q28" s="518" t="s">
        <v>7796</v>
      </c>
      <c r="R28" s="152" t="s">
        <v>7857</v>
      </c>
      <c r="S28" s="152" t="s">
        <v>7858</v>
      </c>
      <c r="T28" s="152" t="s">
        <v>7859</v>
      </c>
      <c r="U28" s="152" t="s">
        <v>786</v>
      </c>
    </row>
    <row r="29" spans="4:21">
      <c r="D29" s="210"/>
      <c r="E29" s="210" t="s">
        <v>670</v>
      </c>
      <c r="F29" s="684" t="str">
        <f>+VLOOKUP(G29,Resumen_Base!$C$8:$G$156,5,0)</f>
        <v>Tips</v>
      </c>
      <c r="G29" s="152" t="s">
        <v>366</v>
      </c>
      <c r="H29" s="474" t="s">
        <v>367</v>
      </c>
      <c r="I29" s="152" t="str">
        <f t="shared" si="0"/>
        <v>SJ210609</v>
      </c>
      <c r="J29" s="847">
        <v>-1686000</v>
      </c>
      <c r="K29" s="513">
        <v>-1200</v>
      </c>
      <c r="L29" s="513">
        <v>1405</v>
      </c>
      <c r="M29" s="152" t="s">
        <v>7808</v>
      </c>
      <c r="N29" s="513" t="s">
        <v>1566</v>
      </c>
      <c r="O29" s="513" t="s">
        <v>781</v>
      </c>
      <c r="P29" s="513" t="s">
        <v>7860</v>
      </c>
      <c r="Q29" s="518" t="s">
        <v>7796</v>
      </c>
      <c r="R29" s="152" t="s">
        <v>7861</v>
      </c>
      <c r="S29" s="152" t="s">
        <v>7858</v>
      </c>
      <c r="T29" s="152" t="s">
        <v>7862</v>
      </c>
      <c r="U29" s="152" t="s">
        <v>786</v>
      </c>
    </row>
    <row r="30" spans="4:21">
      <c r="D30" s="210"/>
      <c r="E30" s="210" t="s">
        <v>670</v>
      </c>
      <c r="F30" s="684" t="str">
        <f>+VLOOKUP(G30,Resumen_Base!$C$8:$G$156,5,0)</f>
        <v>Tips</v>
      </c>
      <c r="G30" s="152" t="s">
        <v>366</v>
      </c>
      <c r="H30" s="474" t="s">
        <v>367</v>
      </c>
      <c r="I30" s="152" t="str">
        <f t="shared" si="0"/>
        <v>SJ210609</v>
      </c>
      <c r="J30" s="847">
        <v>-674400</v>
      </c>
      <c r="K30" s="513">
        <v>-480</v>
      </c>
      <c r="L30" s="513">
        <v>1405</v>
      </c>
      <c r="M30" s="152" t="s">
        <v>7808</v>
      </c>
      <c r="N30" s="513" t="s">
        <v>1566</v>
      </c>
      <c r="O30" s="513" t="s">
        <v>781</v>
      </c>
      <c r="P30" s="513" t="s">
        <v>7876</v>
      </c>
      <c r="Q30" s="518" t="s">
        <v>7796</v>
      </c>
      <c r="R30" s="152" t="s">
        <v>7877</v>
      </c>
      <c r="S30" s="152" t="s">
        <v>7878</v>
      </c>
      <c r="T30" s="152" t="s">
        <v>7879</v>
      </c>
      <c r="U30" s="152" t="s">
        <v>786</v>
      </c>
    </row>
    <row r="31" spans="4:21">
      <c r="D31" s="210"/>
      <c r="E31" s="210" t="s">
        <v>670</v>
      </c>
      <c r="F31" s="684" t="str">
        <f>+VLOOKUP(G31,Resumen_Base!$C$8:$G$156,5,0)</f>
        <v>Tips</v>
      </c>
      <c r="G31" s="152" t="s">
        <v>366</v>
      </c>
      <c r="H31" s="474" t="s">
        <v>367</v>
      </c>
      <c r="I31" s="152" t="str">
        <f t="shared" si="0"/>
        <v>SJ210609</v>
      </c>
      <c r="J31" s="847">
        <v>-843000</v>
      </c>
      <c r="K31" s="513">
        <v>-600</v>
      </c>
      <c r="L31" s="513">
        <v>1405</v>
      </c>
      <c r="M31" s="152" t="s">
        <v>7808</v>
      </c>
      <c r="N31" s="513" t="s">
        <v>1566</v>
      </c>
      <c r="O31" s="513" t="s">
        <v>781</v>
      </c>
      <c r="P31" s="513" t="s">
        <v>7880</v>
      </c>
      <c r="Q31" s="518" t="s">
        <v>7796</v>
      </c>
      <c r="R31" s="152" t="s">
        <v>7881</v>
      </c>
      <c r="S31" s="152" t="s">
        <v>7878</v>
      </c>
      <c r="T31" s="152" t="s">
        <v>7882</v>
      </c>
      <c r="U31" s="152" t="s">
        <v>786</v>
      </c>
    </row>
    <row r="32" spans="4:21">
      <c r="D32" s="210"/>
      <c r="E32" s="210" t="s">
        <v>670</v>
      </c>
      <c r="F32" s="684" t="str">
        <f>+VLOOKUP(G32,Resumen_Base!$C$8:$G$156,5,0)</f>
        <v>Tips</v>
      </c>
      <c r="G32" s="152" t="s">
        <v>366</v>
      </c>
      <c r="H32" s="474" t="s">
        <v>367</v>
      </c>
      <c r="I32" s="152" t="str">
        <f t="shared" si="0"/>
        <v>SJ210609</v>
      </c>
      <c r="J32" s="847">
        <v>-674400</v>
      </c>
      <c r="K32" s="513">
        <v>-480</v>
      </c>
      <c r="L32" s="513">
        <v>1405</v>
      </c>
      <c r="M32" s="152" t="s">
        <v>7808</v>
      </c>
      <c r="N32" s="513" t="s">
        <v>1566</v>
      </c>
      <c r="O32" s="513" t="s">
        <v>781</v>
      </c>
      <c r="P32" s="513" t="s">
        <v>7883</v>
      </c>
      <c r="Q32" s="518" t="s">
        <v>7796</v>
      </c>
      <c r="R32" s="152" t="s">
        <v>7884</v>
      </c>
      <c r="S32" s="152" t="s">
        <v>7878</v>
      </c>
      <c r="T32" s="152" t="s">
        <v>7885</v>
      </c>
      <c r="U32" s="152" t="s">
        <v>786</v>
      </c>
    </row>
    <row r="33" spans="4:21">
      <c r="D33" s="210"/>
      <c r="E33" s="210" t="s">
        <v>670</v>
      </c>
      <c r="F33" s="684" t="str">
        <f>+VLOOKUP(G33,Resumen_Base!$C$8:$G$156,5,0)</f>
        <v>Tips</v>
      </c>
      <c r="G33" s="152" t="s">
        <v>366</v>
      </c>
      <c r="H33" s="474" t="s">
        <v>367</v>
      </c>
      <c r="I33" s="152" t="str">
        <f t="shared" si="0"/>
        <v>SJ210609</v>
      </c>
      <c r="J33" s="847">
        <v>-843000</v>
      </c>
      <c r="K33" s="513">
        <v>-600</v>
      </c>
      <c r="L33" s="513">
        <v>1405</v>
      </c>
      <c r="M33" s="152" t="s">
        <v>7808</v>
      </c>
      <c r="N33" s="513" t="s">
        <v>1566</v>
      </c>
      <c r="O33" s="513" t="s">
        <v>781</v>
      </c>
      <c r="P33" s="513" t="s">
        <v>7886</v>
      </c>
      <c r="Q33" s="518" t="s">
        <v>7796</v>
      </c>
      <c r="R33" s="152" t="s">
        <v>7887</v>
      </c>
      <c r="S33" s="152" t="s">
        <v>7878</v>
      </c>
      <c r="T33" s="152" t="s">
        <v>7888</v>
      </c>
      <c r="U33" s="152" t="s">
        <v>786</v>
      </c>
    </row>
    <row r="34" spans="4:21">
      <c r="D34" s="210"/>
      <c r="E34" s="210" t="s">
        <v>670</v>
      </c>
      <c r="F34" s="684" t="str">
        <f>+VLOOKUP(G34,Resumen_Base!$C$8:$G$156,5,0)</f>
        <v>Tips</v>
      </c>
      <c r="G34" s="152" t="s">
        <v>366</v>
      </c>
      <c r="H34" s="474" t="s">
        <v>367</v>
      </c>
      <c r="I34" s="152" t="str">
        <f t="shared" si="0"/>
        <v>SJ210609</v>
      </c>
      <c r="J34" s="847">
        <v>-1053750</v>
      </c>
      <c r="K34" s="513">
        <v>-750</v>
      </c>
      <c r="L34" s="513">
        <v>1405</v>
      </c>
      <c r="M34" s="152" t="s">
        <v>7808</v>
      </c>
      <c r="N34" s="513" t="s">
        <v>1566</v>
      </c>
      <c r="O34" s="513" t="s">
        <v>781</v>
      </c>
      <c r="P34" s="513" t="s">
        <v>7889</v>
      </c>
      <c r="Q34" s="518" t="s">
        <v>7796</v>
      </c>
      <c r="R34" s="152" t="s">
        <v>7890</v>
      </c>
      <c r="S34" s="152" t="s">
        <v>7891</v>
      </c>
      <c r="T34" s="152" t="s">
        <v>7892</v>
      </c>
      <c r="U34" s="152" t="s">
        <v>786</v>
      </c>
    </row>
    <row r="35" spans="4:21">
      <c r="D35" s="210"/>
      <c r="E35" s="210" t="s">
        <v>670</v>
      </c>
      <c r="F35" s="684" t="str">
        <f>+VLOOKUP(G35,Resumen_Base!$C$8:$G$156,5,0)</f>
        <v>Tips</v>
      </c>
      <c r="G35" s="152" t="s">
        <v>366</v>
      </c>
      <c r="H35" s="474" t="s">
        <v>367</v>
      </c>
      <c r="I35" s="152" t="str">
        <f t="shared" si="0"/>
        <v>SJ210609</v>
      </c>
      <c r="J35" s="847">
        <v>-8092800</v>
      </c>
      <c r="K35" s="513">
        <v>-5760</v>
      </c>
      <c r="L35" s="513">
        <v>1405</v>
      </c>
      <c r="M35" s="152" t="s">
        <v>7116</v>
      </c>
      <c r="N35" s="513" t="s">
        <v>1566</v>
      </c>
      <c r="O35" s="513" t="s">
        <v>781</v>
      </c>
      <c r="P35" s="513" t="s">
        <v>7956</v>
      </c>
      <c r="Q35" s="518" t="s">
        <v>7796</v>
      </c>
      <c r="R35" s="152" t="s">
        <v>7957</v>
      </c>
      <c r="S35" s="152" t="s">
        <v>7945</v>
      </c>
      <c r="T35" s="152" t="s">
        <v>7958</v>
      </c>
      <c r="U35" s="152" t="s">
        <v>786</v>
      </c>
    </row>
    <row r="36" spans="4:21">
      <c r="D36" s="210"/>
      <c r="E36" s="210" t="s">
        <v>670</v>
      </c>
      <c r="F36" s="684" t="str">
        <f>+VLOOKUP(G36,Resumen_Base!$C$8:$G$156,5,0)</f>
        <v>Tips</v>
      </c>
      <c r="G36" s="152" t="s">
        <v>366</v>
      </c>
      <c r="H36" s="474" t="s">
        <v>367</v>
      </c>
      <c r="I36" s="152" t="str">
        <f t="shared" si="0"/>
        <v>SJ210609</v>
      </c>
      <c r="J36" s="847">
        <v>-2037250</v>
      </c>
      <c r="K36" s="513">
        <v>-1450</v>
      </c>
      <c r="L36" s="513">
        <v>1405</v>
      </c>
      <c r="M36" s="152" t="s">
        <v>7116</v>
      </c>
      <c r="N36" s="513" t="s">
        <v>1566</v>
      </c>
      <c r="O36" s="513" t="s">
        <v>781</v>
      </c>
      <c r="P36" s="513" t="s">
        <v>7966</v>
      </c>
      <c r="Q36" s="518" t="s">
        <v>7796</v>
      </c>
      <c r="R36" s="152" t="s">
        <v>7967</v>
      </c>
      <c r="S36" s="152" t="s">
        <v>7964</v>
      </c>
      <c r="T36" s="152" t="s">
        <v>7968</v>
      </c>
      <c r="U36" s="152" t="s">
        <v>786</v>
      </c>
    </row>
    <row r="37" spans="4:21">
      <c r="D37" s="210"/>
      <c r="E37" s="210" t="s">
        <v>670</v>
      </c>
      <c r="F37" s="684" t="str">
        <f>+VLOOKUP(G37,Resumen_Base!$C$8:$G$156,5,0)</f>
        <v>Tips</v>
      </c>
      <c r="G37" s="152" t="s">
        <v>366</v>
      </c>
      <c r="H37" s="474" t="s">
        <v>367</v>
      </c>
      <c r="I37" s="152" t="str">
        <f t="shared" si="0"/>
        <v>SJ210609</v>
      </c>
      <c r="J37" s="847">
        <v>-1011600</v>
      </c>
      <c r="K37" s="513">
        <v>-720</v>
      </c>
      <c r="L37" s="513">
        <v>1405</v>
      </c>
      <c r="M37" s="152" t="s">
        <v>7975</v>
      </c>
      <c r="N37" s="513" t="s">
        <v>1566</v>
      </c>
      <c r="O37" s="513" t="s">
        <v>781</v>
      </c>
      <c r="P37" s="513" t="s">
        <v>7998</v>
      </c>
      <c r="Q37" s="518" t="s">
        <v>7796</v>
      </c>
      <c r="R37" s="152" t="s">
        <v>7999</v>
      </c>
      <c r="S37" s="152" t="s">
        <v>8000</v>
      </c>
      <c r="T37" s="152" t="s">
        <v>8001</v>
      </c>
      <c r="U37" s="152" t="s">
        <v>786</v>
      </c>
    </row>
    <row r="38" spans="4:21">
      <c r="D38" s="210"/>
      <c r="E38" s="210" t="s">
        <v>670</v>
      </c>
      <c r="F38" s="684" t="str">
        <f>+VLOOKUP(G38,Resumen_Base!$C$8:$G$156,5,0)</f>
        <v>Tips</v>
      </c>
      <c r="G38" s="152" t="s">
        <v>366</v>
      </c>
      <c r="H38" s="474" t="s">
        <v>367</v>
      </c>
      <c r="I38" s="152" t="str">
        <f t="shared" si="0"/>
        <v>SJ210609</v>
      </c>
      <c r="J38" s="847">
        <v>-674400</v>
      </c>
      <c r="K38" s="513">
        <v>-480</v>
      </c>
      <c r="L38" s="513">
        <v>1405</v>
      </c>
      <c r="M38" s="152" t="s">
        <v>7975</v>
      </c>
      <c r="N38" s="513" t="s">
        <v>1566</v>
      </c>
      <c r="O38" s="513" t="s">
        <v>781</v>
      </c>
      <c r="P38" s="513" t="s">
        <v>8002</v>
      </c>
      <c r="Q38" s="518" t="s">
        <v>7796</v>
      </c>
      <c r="R38" s="152" t="s">
        <v>8003</v>
      </c>
      <c r="S38" s="152" t="s">
        <v>8000</v>
      </c>
      <c r="T38" s="152" t="s">
        <v>8004</v>
      </c>
      <c r="U38" s="152" t="s">
        <v>786</v>
      </c>
    </row>
    <row r="39" spans="4:21">
      <c r="D39" s="210"/>
      <c r="E39" s="210" t="s">
        <v>670</v>
      </c>
      <c r="F39" s="684" t="str">
        <f>+VLOOKUP(G39,Resumen_Base!$C$8:$G$156,5,0)</f>
        <v>Tips</v>
      </c>
      <c r="G39" s="152" t="s">
        <v>366</v>
      </c>
      <c r="H39" s="474" t="s">
        <v>367</v>
      </c>
      <c r="I39" s="152" t="str">
        <f t="shared" si="0"/>
        <v>SJ210609</v>
      </c>
      <c r="J39" s="847">
        <v>-1011600</v>
      </c>
      <c r="K39" s="513">
        <v>-720</v>
      </c>
      <c r="L39" s="513">
        <v>1405</v>
      </c>
      <c r="M39" s="152" t="s">
        <v>7975</v>
      </c>
      <c r="N39" s="513" t="s">
        <v>1566</v>
      </c>
      <c r="O39" s="513" t="s">
        <v>781</v>
      </c>
      <c r="P39" s="513" t="s">
        <v>8005</v>
      </c>
      <c r="Q39" s="518" t="s">
        <v>7796</v>
      </c>
      <c r="R39" s="152" t="s">
        <v>8006</v>
      </c>
      <c r="S39" s="152" t="s">
        <v>8000</v>
      </c>
      <c r="T39" s="152" t="s">
        <v>8007</v>
      </c>
      <c r="U39" s="152" t="s">
        <v>786</v>
      </c>
    </row>
    <row r="40" spans="4:21">
      <c r="D40" s="210"/>
      <c r="E40" s="210" t="s">
        <v>670</v>
      </c>
      <c r="F40" s="684" t="str">
        <f>+VLOOKUP(G40,Resumen_Base!$C$8:$G$156,5,0)</f>
        <v>Tips</v>
      </c>
      <c r="G40" s="152" t="s">
        <v>366</v>
      </c>
      <c r="H40" s="474" t="s">
        <v>367</v>
      </c>
      <c r="I40" s="152" t="str">
        <f t="shared" si="0"/>
        <v>SJ210609</v>
      </c>
      <c r="J40" s="847">
        <v>-1011600</v>
      </c>
      <c r="K40" s="513">
        <v>-720</v>
      </c>
      <c r="L40" s="513">
        <v>1405</v>
      </c>
      <c r="M40" s="152" t="s">
        <v>7975</v>
      </c>
      <c r="N40" s="513" t="s">
        <v>1566</v>
      </c>
      <c r="O40" s="513" t="s">
        <v>781</v>
      </c>
      <c r="P40" s="513" t="s">
        <v>8008</v>
      </c>
      <c r="Q40" s="518" t="s">
        <v>7796</v>
      </c>
      <c r="R40" s="152" t="s">
        <v>8009</v>
      </c>
      <c r="S40" s="152" t="s">
        <v>8000</v>
      </c>
      <c r="T40" s="152" t="s">
        <v>8010</v>
      </c>
      <c r="U40" s="152" t="s">
        <v>786</v>
      </c>
    </row>
    <row r="41" spans="4:21">
      <c r="D41" s="210"/>
      <c r="E41" s="210" t="s">
        <v>670</v>
      </c>
      <c r="F41" s="684" t="str">
        <f>+VLOOKUP(G41,Resumen_Base!$C$8:$G$156,5,0)</f>
        <v>Tips</v>
      </c>
      <c r="G41" s="152" t="s">
        <v>366</v>
      </c>
      <c r="H41" s="474" t="s">
        <v>367</v>
      </c>
      <c r="I41" s="152" t="str">
        <f t="shared" si="0"/>
        <v>SJ210609</v>
      </c>
      <c r="J41" s="847">
        <v>-674400</v>
      </c>
      <c r="K41" s="513">
        <v>-480</v>
      </c>
      <c r="L41" s="513">
        <v>1405</v>
      </c>
      <c r="M41" s="152" t="s">
        <v>7975</v>
      </c>
      <c r="N41" s="513" t="s">
        <v>1566</v>
      </c>
      <c r="O41" s="513" t="s">
        <v>781</v>
      </c>
      <c r="P41" s="513" t="s">
        <v>8011</v>
      </c>
      <c r="Q41" s="518" t="s">
        <v>7796</v>
      </c>
      <c r="R41" s="152" t="s">
        <v>8012</v>
      </c>
      <c r="S41" s="152" t="s">
        <v>8000</v>
      </c>
      <c r="T41" s="152" t="s">
        <v>8013</v>
      </c>
      <c r="U41" s="152" t="s">
        <v>786</v>
      </c>
    </row>
    <row r="42" spans="4:21">
      <c r="D42" s="210"/>
      <c r="E42" s="210" t="s">
        <v>670</v>
      </c>
      <c r="F42" s="684" t="str">
        <f>+VLOOKUP(G42,Resumen_Base!$C$8:$G$156,5,0)</f>
        <v>Tips</v>
      </c>
      <c r="G42" s="152" t="s">
        <v>366</v>
      </c>
      <c r="H42" s="474" t="s">
        <v>367</v>
      </c>
      <c r="I42" s="152" t="str">
        <f t="shared" si="0"/>
        <v>SJ210609</v>
      </c>
      <c r="J42" s="847">
        <v>-1011600</v>
      </c>
      <c r="K42" s="513">
        <v>-720</v>
      </c>
      <c r="L42" s="513">
        <v>1405</v>
      </c>
      <c r="M42" s="152" t="s">
        <v>7975</v>
      </c>
      <c r="N42" s="513" t="s">
        <v>1566</v>
      </c>
      <c r="O42" s="513" t="s">
        <v>781</v>
      </c>
      <c r="P42" s="513" t="s">
        <v>8014</v>
      </c>
      <c r="Q42" s="518" t="s">
        <v>7796</v>
      </c>
      <c r="R42" s="152" t="s">
        <v>8015</v>
      </c>
      <c r="S42" s="152" t="s">
        <v>8000</v>
      </c>
      <c r="T42" s="152" t="s">
        <v>8016</v>
      </c>
      <c r="U42" s="152" t="s">
        <v>786</v>
      </c>
    </row>
    <row r="43" spans="4:21">
      <c r="D43" s="210"/>
      <c r="E43" s="210" t="s">
        <v>670</v>
      </c>
      <c r="F43" s="684" t="str">
        <f>+VLOOKUP(G43,Resumen_Base!$C$8:$G$156,5,0)</f>
        <v>Tips</v>
      </c>
      <c r="G43" s="152" t="s">
        <v>366</v>
      </c>
      <c r="H43" s="474" t="s">
        <v>367</v>
      </c>
      <c r="I43" s="152" t="str">
        <f t="shared" si="0"/>
        <v>SJ210609</v>
      </c>
      <c r="J43" s="847">
        <v>-2107500</v>
      </c>
      <c r="K43" s="513">
        <v>-1500</v>
      </c>
      <c r="L43" s="513">
        <v>1405</v>
      </c>
      <c r="M43" s="152" t="s">
        <v>7975</v>
      </c>
      <c r="N43" s="513" t="s">
        <v>1566</v>
      </c>
      <c r="O43" s="513" t="s">
        <v>781</v>
      </c>
      <c r="P43" s="513" t="s">
        <v>8017</v>
      </c>
      <c r="Q43" s="518" t="s">
        <v>7796</v>
      </c>
      <c r="R43" s="152" t="s">
        <v>8018</v>
      </c>
      <c r="S43" s="152" t="s">
        <v>8019</v>
      </c>
      <c r="T43" s="152" t="s">
        <v>8020</v>
      </c>
      <c r="U43" s="152" t="s">
        <v>786</v>
      </c>
    </row>
    <row r="44" spans="4:21">
      <c r="D44" s="210"/>
      <c r="E44" s="210" t="s">
        <v>670</v>
      </c>
      <c r="F44" s="684" t="str">
        <f>+VLOOKUP(G44,Resumen_Base!$C$8:$G$156,5,0)</f>
        <v>Tips</v>
      </c>
      <c r="G44" s="152" t="s">
        <v>366</v>
      </c>
      <c r="H44" s="474" t="s">
        <v>367</v>
      </c>
      <c r="I44" s="152" t="str">
        <f t="shared" si="0"/>
        <v>SJ210609</v>
      </c>
      <c r="J44" s="847">
        <v>-2810000</v>
      </c>
      <c r="K44" s="513">
        <v>-2000</v>
      </c>
      <c r="L44" s="513">
        <v>1405</v>
      </c>
      <c r="M44" s="152" t="s">
        <v>7975</v>
      </c>
      <c r="N44" s="513" t="s">
        <v>1566</v>
      </c>
      <c r="O44" s="513" t="s">
        <v>781</v>
      </c>
      <c r="P44" s="513" t="s">
        <v>8021</v>
      </c>
      <c r="Q44" s="518" t="s">
        <v>7796</v>
      </c>
      <c r="R44" s="152" t="s">
        <v>8022</v>
      </c>
      <c r="S44" s="152" t="s">
        <v>8019</v>
      </c>
      <c r="T44" s="152" t="s">
        <v>8023</v>
      </c>
      <c r="U44" s="152" t="s">
        <v>786</v>
      </c>
    </row>
    <row r="45" spans="4:21">
      <c r="D45" s="210"/>
      <c r="E45" s="210" t="s">
        <v>670</v>
      </c>
      <c r="F45" s="684" t="str">
        <f>+VLOOKUP(G45,Resumen_Base!$C$8:$G$156,5,0)</f>
        <v>Tips</v>
      </c>
      <c r="G45" s="152" t="s">
        <v>366</v>
      </c>
      <c r="H45" s="474" t="s">
        <v>367</v>
      </c>
      <c r="I45" s="152" t="str">
        <f t="shared" si="0"/>
        <v>SJ210609</v>
      </c>
      <c r="J45" s="847">
        <v>-3512500</v>
      </c>
      <c r="K45" s="513">
        <v>-2500</v>
      </c>
      <c r="L45" s="513">
        <v>1405</v>
      </c>
      <c r="M45" s="152" t="s">
        <v>7975</v>
      </c>
      <c r="N45" s="513" t="s">
        <v>1566</v>
      </c>
      <c r="O45" s="513" t="s">
        <v>781</v>
      </c>
      <c r="P45" s="513" t="s">
        <v>8024</v>
      </c>
      <c r="Q45" s="518" t="s">
        <v>7796</v>
      </c>
      <c r="R45" s="152" t="s">
        <v>8025</v>
      </c>
      <c r="S45" s="152" t="s">
        <v>8019</v>
      </c>
      <c r="T45" s="152" t="s">
        <v>8026</v>
      </c>
      <c r="U45" s="152" t="s">
        <v>786</v>
      </c>
    </row>
    <row r="46" spans="4:21">
      <c r="D46" s="210"/>
      <c r="E46" s="210" t="s">
        <v>670</v>
      </c>
      <c r="F46" s="684" t="str">
        <f>+VLOOKUP(G46,Resumen_Base!$C$8:$G$156,5,0)</f>
        <v>Tips</v>
      </c>
      <c r="G46" s="152" t="s">
        <v>366</v>
      </c>
      <c r="H46" s="474" t="s">
        <v>367</v>
      </c>
      <c r="I46" s="152" t="str">
        <f t="shared" si="0"/>
        <v>SJ210609</v>
      </c>
      <c r="J46" s="847">
        <v>-2840000</v>
      </c>
      <c r="K46" s="513">
        <v>-2000</v>
      </c>
      <c r="L46" s="513">
        <v>1420</v>
      </c>
      <c r="M46" s="152" t="s">
        <v>7143</v>
      </c>
      <c r="N46" s="513" t="s">
        <v>1566</v>
      </c>
      <c r="O46" s="513" t="s">
        <v>781</v>
      </c>
      <c r="P46" s="513" t="s">
        <v>8070</v>
      </c>
      <c r="Q46" s="518" t="s">
        <v>7796</v>
      </c>
      <c r="R46" s="152" t="s">
        <v>8071</v>
      </c>
      <c r="S46" s="152" t="s">
        <v>8072</v>
      </c>
      <c r="T46" s="152" t="s">
        <v>8073</v>
      </c>
      <c r="U46" s="152" t="s">
        <v>786</v>
      </c>
    </row>
    <row r="47" spans="4:21">
      <c r="D47" s="210"/>
      <c r="E47" s="210" t="s">
        <v>670</v>
      </c>
      <c r="F47" s="684" t="str">
        <f>+VLOOKUP(G47,Resumen_Base!$C$8:$G$156,5,0)</f>
        <v>Tips</v>
      </c>
      <c r="G47" s="152" t="s">
        <v>366</v>
      </c>
      <c r="H47" s="474" t="s">
        <v>367</v>
      </c>
      <c r="I47" s="152" t="str">
        <f t="shared" si="0"/>
        <v>SJ210609</v>
      </c>
      <c r="J47" s="847">
        <v>-1065000</v>
      </c>
      <c r="K47" s="513">
        <v>-750</v>
      </c>
      <c r="L47" s="513">
        <v>1420</v>
      </c>
      <c r="M47" s="152" t="s">
        <v>7143</v>
      </c>
      <c r="N47" s="513" t="s">
        <v>1566</v>
      </c>
      <c r="O47" s="513" t="s">
        <v>781</v>
      </c>
      <c r="P47" s="513" t="s">
        <v>8074</v>
      </c>
      <c r="Q47" s="518" t="s">
        <v>7796</v>
      </c>
      <c r="R47" s="152" t="s">
        <v>8075</v>
      </c>
      <c r="S47" s="152" t="s">
        <v>8072</v>
      </c>
      <c r="T47" s="152" t="s">
        <v>8076</v>
      </c>
      <c r="U47" s="152" t="s">
        <v>786</v>
      </c>
    </row>
    <row r="48" spans="4:21">
      <c r="D48" s="210"/>
      <c r="E48" s="210" t="s">
        <v>670</v>
      </c>
      <c r="F48" s="684" t="str">
        <f>+VLOOKUP(G48,Resumen_Base!$C$8:$G$156,5,0)</f>
        <v>Tips</v>
      </c>
      <c r="G48" s="152" t="s">
        <v>366</v>
      </c>
      <c r="H48" s="474" t="s">
        <v>367</v>
      </c>
      <c r="I48" s="152" t="str">
        <f t="shared" si="0"/>
        <v>SJ210609</v>
      </c>
      <c r="J48" s="847">
        <v>-1065000</v>
      </c>
      <c r="K48" s="513">
        <v>-750</v>
      </c>
      <c r="L48" s="513">
        <v>1420</v>
      </c>
      <c r="M48" s="152" t="s">
        <v>7143</v>
      </c>
      <c r="N48" s="513" t="s">
        <v>1566</v>
      </c>
      <c r="O48" s="513" t="s">
        <v>781</v>
      </c>
      <c r="P48" s="513" t="s">
        <v>8077</v>
      </c>
      <c r="Q48" s="518" t="s">
        <v>7796</v>
      </c>
      <c r="R48" s="152" t="s">
        <v>8078</v>
      </c>
      <c r="S48" s="152" t="s">
        <v>8072</v>
      </c>
      <c r="T48" s="152" t="s">
        <v>8079</v>
      </c>
      <c r="U48" s="152" t="s">
        <v>786</v>
      </c>
    </row>
    <row r="49" spans="4:21">
      <c r="D49" s="210"/>
      <c r="E49" s="210" t="s">
        <v>670</v>
      </c>
      <c r="F49" s="684" t="str">
        <f>+VLOOKUP(G49,Resumen_Base!$C$8:$G$156,5,0)</f>
        <v>Tips</v>
      </c>
      <c r="G49" s="152" t="s">
        <v>366</v>
      </c>
      <c r="H49" s="474" t="s">
        <v>367</v>
      </c>
      <c r="I49" s="152" t="str">
        <f t="shared" si="0"/>
        <v>SJ210609</v>
      </c>
      <c r="J49" s="847">
        <v>-1065000</v>
      </c>
      <c r="K49" s="513">
        <v>-750</v>
      </c>
      <c r="L49" s="513">
        <v>1420</v>
      </c>
      <c r="M49" s="152" t="s">
        <v>7143</v>
      </c>
      <c r="N49" s="513" t="s">
        <v>1566</v>
      </c>
      <c r="O49" s="513" t="s">
        <v>781</v>
      </c>
      <c r="P49" s="513" t="s">
        <v>8080</v>
      </c>
      <c r="Q49" s="518" t="s">
        <v>7796</v>
      </c>
      <c r="R49" s="152" t="s">
        <v>8081</v>
      </c>
      <c r="S49" s="152" t="s">
        <v>8072</v>
      </c>
      <c r="T49" s="152" t="s">
        <v>8082</v>
      </c>
      <c r="U49" s="152" t="s">
        <v>786</v>
      </c>
    </row>
    <row r="50" spans="4:21">
      <c r="D50" s="210"/>
      <c r="E50" s="210" t="s">
        <v>670</v>
      </c>
      <c r="F50" s="684" t="str">
        <f>+VLOOKUP(G50,Resumen_Base!$C$8:$G$156,5,0)</f>
        <v>Tips</v>
      </c>
      <c r="G50" s="152" t="s">
        <v>366</v>
      </c>
      <c r="H50" s="474" t="s">
        <v>367</v>
      </c>
      <c r="I50" s="152" t="str">
        <f t="shared" si="0"/>
        <v>SJ210609</v>
      </c>
      <c r="J50" s="847">
        <v>-1065000</v>
      </c>
      <c r="K50" s="513">
        <v>-750</v>
      </c>
      <c r="L50" s="513">
        <v>1420</v>
      </c>
      <c r="M50" s="152" t="s">
        <v>7143</v>
      </c>
      <c r="N50" s="513" t="s">
        <v>1566</v>
      </c>
      <c r="O50" s="513" t="s">
        <v>781</v>
      </c>
      <c r="P50" s="513" t="s">
        <v>8083</v>
      </c>
      <c r="Q50" s="518" t="s">
        <v>7796</v>
      </c>
      <c r="R50" s="152" t="s">
        <v>8084</v>
      </c>
      <c r="S50" s="152" t="s">
        <v>8072</v>
      </c>
      <c r="T50" s="152" t="s">
        <v>8085</v>
      </c>
      <c r="U50" s="152" t="s">
        <v>786</v>
      </c>
    </row>
    <row r="51" spans="4:21">
      <c r="D51" s="210"/>
      <c r="E51" s="210" t="s">
        <v>676</v>
      </c>
      <c r="F51" s="684" t="str">
        <f>+VLOOKUP(G51,Resumen_Base!$C$8:$G$156,5,0)</f>
        <v>Tips</v>
      </c>
      <c r="G51" s="152" t="s">
        <v>366</v>
      </c>
      <c r="H51" s="474" t="s">
        <v>367</v>
      </c>
      <c r="I51" s="152" t="str">
        <f t="shared" si="0"/>
        <v>CAR210609</v>
      </c>
      <c r="J51" s="847">
        <v>-175625</v>
      </c>
      <c r="K51" s="513">
        <v>-125</v>
      </c>
      <c r="L51" s="513">
        <v>1405</v>
      </c>
      <c r="M51" s="152" t="s">
        <v>7808</v>
      </c>
      <c r="N51" s="513" t="s">
        <v>1566</v>
      </c>
      <c r="O51" s="513" t="s">
        <v>1407</v>
      </c>
      <c r="P51" s="513" t="s">
        <v>7809</v>
      </c>
      <c r="Q51" s="518" t="s">
        <v>7796</v>
      </c>
      <c r="R51" s="152" t="s">
        <v>7810</v>
      </c>
      <c r="S51" s="152" t="s">
        <v>7811</v>
      </c>
      <c r="T51" s="152" t="s">
        <v>7812</v>
      </c>
      <c r="U51" s="152" t="s">
        <v>786</v>
      </c>
    </row>
    <row r="52" spans="4:21">
      <c r="D52" s="210"/>
      <c r="E52" s="210" t="s">
        <v>676</v>
      </c>
      <c r="F52" s="684" t="str">
        <f>+VLOOKUP(G52,Resumen_Base!$C$8:$G$156,5,0)</f>
        <v>Tips</v>
      </c>
      <c r="G52" s="152" t="s">
        <v>366</v>
      </c>
      <c r="H52" s="474" t="s">
        <v>367</v>
      </c>
      <c r="I52" s="152" t="str">
        <f t="shared" si="0"/>
        <v>CAR210609</v>
      </c>
      <c r="J52" s="847">
        <v>-175625</v>
      </c>
      <c r="K52" s="513">
        <v>-125</v>
      </c>
      <c r="L52" s="513">
        <v>1405</v>
      </c>
      <c r="M52" s="152" t="s">
        <v>7808</v>
      </c>
      <c r="N52" s="513" t="s">
        <v>1566</v>
      </c>
      <c r="O52" s="513" t="s">
        <v>1407</v>
      </c>
      <c r="P52" s="513" t="s">
        <v>7809</v>
      </c>
      <c r="Q52" s="518" t="s">
        <v>7796</v>
      </c>
      <c r="R52" s="152" t="s">
        <v>7810</v>
      </c>
      <c r="S52" s="152" t="s">
        <v>7811</v>
      </c>
      <c r="T52" s="152" t="s">
        <v>7812</v>
      </c>
      <c r="U52" s="152" t="s">
        <v>786</v>
      </c>
    </row>
    <row r="53" spans="4:21">
      <c r="D53" s="210"/>
      <c r="E53" s="210" t="s">
        <v>676</v>
      </c>
      <c r="F53" s="684" t="str">
        <f>+VLOOKUP(G53,Resumen_Base!$C$8:$G$156,5,0)</f>
        <v>Tips</v>
      </c>
      <c r="G53" s="152" t="s">
        <v>366</v>
      </c>
      <c r="H53" s="474" t="s">
        <v>367</v>
      </c>
      <c r="I53" s="152" t="str">
        <f t="shared" si="0"/>
        <v>CAR210609</v>
      </c>
      <c r="J53" s="847">
        <v>-168600</v>
      </c>
      <c r="K53" s="513">
        <v>-120</v>
      </c>
      <c r="L53" s="513">
        <v>1405</v>
      </c>
      <c r="M53" s="152" t="s">
        <v>7808</v>
      </c>
      <c r="N53" s="513" t="s">
        <v>1566</v>
      </c>
      <c r="O53" s="513" t="s">
        <v>1407</v>
      </c>
      <c r="P53" s="513" t="s">
        <v>7813</v>
      </c>
      <c r="Q53" s="518" t="s">
        <v>7796</v>
      </c>
      <c r="R53" s="152" t="s">
        <v>7814</v>
      </c>
      <c r="S53" s="152" t="s">
        <v>7811</v>
      </c>
      <c r="T53" s="152" t="s">
        <v>7815</v>
      </c>
      <c r="U53" s="152" t="s">
        <v>786</v>
      </c>
    </row>
    <row r="54" spans="4:21">
      <c r="D54" s="210"/>
      <c r="E54" s="210" t="s">
        <v>676</v>
      </c>
      <c r="F54" s="684" t="str">
        <f>+VLOOKUP(G54,Resumen_Base!$C$8:$G$156,5,0)</f>
        <v>Tips</v>
      </c>
      <c r="G54" s="152" t="s">
        <v>366</v>
      </c>
      <c r="H54" s="474" t="s">
        <v>367</v>
      </c>
      <c r="I54" s="152" t="str">
        <f t="shared" si="0"/>
        <v>CAR210609</v>
      </c>
      <c r="J54" s="847">
        <v>-168600</v>
      </c>
      <c r="K54" s="513">
        <v>-120</v>
      </c>
      <c r="L54" s="513">
        <v>1405</v>
      </c>
      <c r="M54" s="152" t="s">
        <v>7808</v>
      </c>
      <c r="N54" s="513" t="s">
        <v>1566</v>
      </c>
      <c r="O54" s="513" t="s">
        <v>1407</v>
      </c>
      <c r="P54" s="513" t="s">
        <v>7813</v>
      </c>
      <c r="Q54" s="518" t="s">
        <v>7796</v>
      </c>
      <c r="R54" s="152" t="s">
        <v>7814</v>
      </c>
      <c r="S54" s="152" t="s">
        <v>7811</v>
      </c>
      <c r="T54" s="152" t="s">
        <v>7815</v>
      </c>
      <c r="U54" s="152" t="s">
        <v>786</v>
      </c>
    </row>
    <row r="55" spans="4:21">
      <c r="D55" s="210"/>
      <c r="E55" s="210" t="s">
        <v>676</v>
      </c>
      <c r="F55" s="684" t="str">
        <f>+VLOOKUP(G55,Resumen_Base!$C$8:$G$156,5,0)</f>
        <v>Tips</v>
      </c>
      <c r="G55" s="152" t="s">
        <v>366</v>
      </c>
      <c r="H55" s="474" t="s">
        <v>367</v>
      </c>
      <c r="I55" s="152" t="str">
        <f t="shared" si="0"/>
        <v>CAR210609</v>
      </c>
      <c r="J55" s="847">
        <v>-351250</v>
      </c>
      <c r="K55" s="513">
        <v>-250</v>
      </c>
      <c r="L55" s="513">
        <v>1405</v>
      </c>
      <c r="M55" s="152" t="s">
        <v>7808</v>
      </c>
      <c r="N55" s="513" t="s">
        <v>1566</v>
      </c>
      <c r="O55" s="513" t="s">
        <v>1407</v>
      </c>
      <c r="P55" s="513" t="s">
        <v>7816</v>
      </c>
      <c r="Q55" s="518" t="s">
        <v>7796</v>
      </c>
      <c r="R55" s="152" t="s">
        <v>7817</v>
      </c>
      <c r="S55" s="152" t="s">
        <v>7818</v>
      </c>
      <c r="T55" s="152" t="s">
        <v>7819</v>
      </c>
      <c r="U55" s="152" t="s">
        <v>786</v>
      </c>
    </row>
    <row r="56" spans="4:21">
      <c r="D56" s="210"/>
      <c r="E56" s="210" t="s">
        <v>676</v>
      </c>
      <c r="F56" s="684" t="str">
        <f>+VLOOKUP(G56,Resumen_Base!$C$8:$G$156,5,0)</f>
        <v>Tips</v>
      </c>
      <c r="G56" s="152" t="s">
        <v>366</v>
      </c>
      <c r="H56" s="474" t="s">
        <v>367</v>
      </c>
      <c r="I56" s="152" t="str">
        <f t="shared" si="0"/>
        <v>CAR210609</v>
      </c>
      <c r="J56" s="847">
        <v>-491750</v>
      </c>
      <c r="K56" s="513">
        <v>-350</v>
      </c>
      <c r="L56" s="513">
        <v>1405</v>
      </c>
      <c r="M56" s="152" t="s">
        <v>7808</v>
      </c>
      <c r="N56" s="513" t="s">
        <v>1566</v>
      </c>
      <c r="O56" s="513" t="s">
        <v>1407</v>
      </c>
      <c r="P56" s="513" t="s">
        <v>7816</v>
      </c>
      <c r="Q56" s="518" t="s">
        <v>7796</v>
      </c>
      <c r="R56" s="152" t="s">
        <v>7817</v>
      </c>
      <c r="S56" s="152" t="s">
        <v>7818</v>
      </c>
      <c r="T56" s="152" t="s">
        <v>7819</v>
      </c>
      <c r="U56" s="152" t="s">
        <v>786</v>
      </c>
    </row>
    <row r="57" spans="4:21">
      <c r="D57" s="210"/>
      <c r="E57" s="210" t="s">
        <v>676</v>
      </c>
      <c r="F57" s="684" t="str">
        <f>+VLOOKUP(G57,Resumen_Base!$C$8:$G$156,5,0)</f>
        <v>Tips</v>
      </c>
      <c r="G57" s="152" t="s">
        <v>366</v>
      </c>
      <c r="H57" s="474" t="s">
        <v>367</v>
      </c>
      <c r="I57" s="152" t="str">
        <f t="shared" si="0"/>
        <v>CAR210609</v>
      </c>
      <c r="J57" s="847">
        <v>-491750</v>
      </c>
      <c r="K57" s="513">
        <v>-350</v>
      </c>
      <c r="L57" s="513">
        <v>1405</v>
      </c>
      <c r="M57" s="152" t="s">
        <v>7808</v>
      </c>
      <c r="N57" s="513" t="s">
        <v>1566</v>
      </c>
      <c r="O57" s="513" t="s">
        <v>1407</v>
      </c>
      <c r="P57" s="513" t="s">
        <v>7820</v>
      </c>
      <c r="Q57" s="518" t="s">
        <v>7796</v>
      </c>
      <c r="R57" s="152" t="s">
        <v>7821</v>
      </c>
      <c r="S57" s="152" t="s">
        <v>7818</v>
      </c>
      <c r="T57" s="152" t="s">
        <v>7822</v>
      </c>
      <c r="U57" s="152" t="s">
        <v>786</v>
      </c>
    </row>
    <row r="58" spans="4:21">
      <c r="D58" s="210"/>
      <c r="E58" s="210" t="s">
        <v>676</v>
      </c>
      <c r="F58" s="684" t="str">
        <f>+VLOOKUP(G58,Resumen_Base!$C$8:$G$156,5,0)</f>
        <v>Tips</v>
      </c>
      <c r="G58" s="152" t="s">
        <v>366</v>
      </c>
      <c r="H58" s="474" t="s">
        <v>367</v>
      </c>
      <c r="I58" s="152" t="str">
        <f t="shared" si="0"/>
        <v>CAR210609</v>
      </c>
      <c r="J58" s="847">
        <v>-351250</v>
      </c>
      <c r="K58" s="513">
        <v>-250</v>
      </c>
      <c r="L58" s="513">
        <v>1405</v>
      </c>
      <c r="M58" s="152" t="s">
        <v>7808</v>
      </c>
      <c r="N58" s="513" t="s">
        <v>1566</v>
      </c>
      <c r="O58" s="513" t="s">
        <v>1407</v>
      </c>
      <c r="P58" s="513" t="s">
        <v>7820</v>
      </c>
      <c r="Q58" s="518" t="s">
        <v>7796</v>
      </c>
      <c r="R58" s="152" t="s">
        <v>7821</v>
      </c>
      <c r="S58" s="152" t="s">
        <v>7818</v>
      </c>
      <c r="T58" s="152" t="s">
        <v>7822</v>
      </c>
      <c r="U58" s="152" t="s">
        <v>786</v>
      </c>
    </row>
    <row r="59" spans="4:21">
      <c r="D59" s="210"/>
      <c r="E59" s="210" t="s">
        <v>676</v>
      </c>
      <c r="F59" s="684" t="str">
        <f>+VLOOKUP(G59,Resumen_Base!$C$8:$G$156,5,0)</f>
        <v>Tips</v>
      </c>
      <c r="G59" s="152" t="s">
        <v>366</v>
      </c>
      <c r="H59" s="474" t="s">
        <v>367</v>
      </c>
      <c r="I59" s="152" t="str">
        <f t="shared" si="0"/>
        <v>CAR210609</v>
      </c>
      <c r="J59" s="847">
        <v>-281000</v>
      </c>
      <c r="K59" s="513">
        <v>-200</v>
      </c>
      <c r="L59" s="513">
        <v>1405</v>
      </c>
      <c r="M59" s="152" t="s">
        <v>7808</v>
      </c>
      <c r="N59" s="513" t="s">
        <v>1566</v>
      </c>
      <c r="O59" s="513" t="s">
        <v>1407</v>
      </c>
      <c r="P59" s="513" t="s">
        <v>7823</v>
      </c>
      <c r="Q59" s="518" t="s">
        <v>7796</v>
      </c>
      <c r="R59" s="152" t="s">
        <v>7824</v>
      </c>
      <c r="S59" s="152" t="s">
        <v>7818</v>
      </c>
      <c r="T59" s="152" t="s">
        <v>7825</v>
      </c>
      <c r="U59" s="152" t="s">
        <v>786</v>
      </c>
    </row>
    <row r="60" spans="4:21">
      <c r="D60" s="210"/>
      <c r="E60" s="210" t="s">
        <v>676</v>
      </c>
      <c r="F60" s="684" t="str">
        <f>+VLOOKUP(G60,Resumen_Base!$C$8:$G$156,5,0)</f>
        <v>Tips</v>
      </c>
      <c r="G60" s="152" t="s">
        <v>366</v>
      </c>
      <c r="H60" s="474" t="s">
        <v>367</v>
      </c>
      <c r="I60" s="152" t="str">
        <f t="shared" si="0"/>
        <v>CAR210609</v>
      </c>
      <c r="J60" s="847">
        <v>-562000</v>
      </c>
      <c r="K60" s="513">
        <v>-400</v>
      </c>
      <c r="L60" s="513">
        <v>1405</v>
      </c>
      <c r="M60" s="152" t="s">
        <v>7808</v>
      </c>
      <c r="N60" s="513" t="s">
        <v>1566</v>
      </c>
      <c r="O60" s="513" t="s">
        <v>1407</v>
      </c>
      <c r="P60" s="513" t="s">
        <v>7823</v>
      </c>
      <c r="Q60" s="518" t="s">
        <v>7796</v>
      </c>
      <c r="R60" s="152" t="s">
        <v>7824</v>
      </c>
      <c r="S60" s="152" t="s">
        <v>7818</v>
      </c>
      <c r="T60" s="152" t="s">
        <v>7825</v>
      </c>
      <c r="U60" s="152" t="s">
        <v>786</v>
      </c>
    </row>
    <row r="61" spans="4:21">
      <c r="D61" s="210"/>
      <c r="E61" s="210" t="s">
        <v>676</v>
      </c>
      <c r="F61" s="684" t="str">
        <f>+VLOOKUP(G61,Resumen_Base!$C$8:$G$156,5,0)</f>
        <v>Tips</v>
      </c>
      <c r="G61" s="152" t="s">
        <v>366</v>
      </c>
      <c r="H61" s="474" t="s">
        <v>367</v>
      </c>
      <c r="I61" s="152" t="str">
        <f t="shared" si="0"/>
        <v>CAR210609</v>
      </c>
      <c r="J61" s="847">
        <v>-245875</v>
      </c>
      <c r="K61" s="513">
        <v>-175</v>
      </c>
      <c r="L61" s="513">
        <v>1405</v>
      </c>
      <c r="M61" s="152" t="s">
        <v>7808</v>
      </c>
      <c r="N61" s="513" t="s">
        <v>1566</v>
      </c>
      <c r="O61" s="513" t="s">
        <v>1407</v>
      </c>
      <c r="P61" s="513" t="s">
        <v>7826</v>
      </c>
      <c r="Q61" s="518" t="s">
        <v>7796</v>
      </c>
      <c r="R61" s="152" t="s">
        <v>7827</v>
      </c>
      <c r="S61" s="152" t="s">
        <v>7818</v>
      </c>
      <c r="T61" s="152" t="s">
        <v>7828</v>
      </c>
      <c r="U61" s="152" t="s">
        <v>786</v>
      </c>
    </row>
    <row r="62" spans="4:21">
      <c r="D62" s="210"/>
      <c r="E62" s="210" t="s">
        <v>676</v>
      </c>
      <c r="F62" s="684" t="str">
        <f>+VLOOKUP(G62,Resumen_Base!$C$8:$G$156,5,0)</f>
        <v>Tips</v>
      </c>
      <c r="G62" s="152" t="s">
        <v>366</v>
      </c>
      <c r="H62" s="474" t="s">
        <v>367</v>
      </c>
      <c r="I62" s="152" t="str">
        <f t="shared" si="0"/>
        <v>CAR210609</v>
      </c>
      <c r="J62" s="847">
        <v>-597125</v>
      </c>
      <c r="K62" s="513">
        <v>-425</v>
      </c>
      <c r="L62" s="513">
        <v>1405</v>
      </c>
      <c r="M62" s="152" t="s">
        <v>7808</v>
      </c>
      <c r="N62" s="513" t="s">
        <v>1566</v>
      </c>
      <c r="O62" s="513" t="s">
        <v>1407</v>
      </c>
      <c r="P62" s="513" t="s">
        <v>7826</v>
      </c>
      <c r="Q62" s="518" t="s">
        <v>7796</v>
      </c>
      <c r="R62" s="152" t="s">
        <v>7827</v>
      </c>
      <c r="S62" s="152" t="s">
        <v>7818</v>
      </c>
      <c r="T62" s="152" t="s">
        <v>7828</v>
      </c>
      <c r="U62" s="152" t="s">
        <v>786</v>
      </c>
    </row>
    <row r="63" spans="4:21">
      <c r="D63" s="210"/>
      <c r="E63" s="210" t="s">
        <v>676</v>
      </c>
      <c r="F63" s="684" t="str">
        <f>+VLOOKUP(G63,Resumen_Base!$C$8:$G$156,5,0)</f>
        <v>Tips</v>
      </c>
      <c r="G63" s="152" t="s">
        <v>366</v>
      </c>
      <c r="H63" s="474" t="s">
        <v>367</v>
      </c>
      <c r="I63" s="152" t="str">
        <f t="shared" si="0"/>
        <v>CAR210609</v>
      </c>
      <c r="J63" s="847">
        <v>-562000</v>
      </c>
      <c r="K63" s="513">
        <v>-400</v>
      </c>
      <c r="L63" s="513">
        <v>1405</v>
      </c>
      <c r="M63" s="152" t="s">
        <v>7808</v>
      </c>
      <c r="N63" s="513" t="s">
        <v>1566</v>
      </c>
      <c r="O63" s="513" t="s">
        <v>1407</v>
      </c>
      <c r="P63" s="513" t="s">
        <v>7829</v>
      </c>
      <c r="Q63" s="518" t="s">
        <v>7796</v>
      </c>
      <c r="R63" s="152" t="s">
        <v>7830</v>
      </c>
      <c r="S63" s="152" t="s">
        <v>7831</v>
      </c>
      <c r="T63" s="152" t="s">
        <v>7832</v>
      </c>
      <c r="U63" s="152" t="s">
        <v>786</v>
      </c>
    </row>
    <row r="64" spans="4:21">
      <c r="D64" s="210"/>
      <c r="E64" s="210" t="s">
        <v>676</v>
      </c>
      <c r="F64" s="684" t="str">
        <f>+VLOOKUP(G64,Resumen_Base!$C$8:$G$156,5,0)</f>
        <v>Tips</v>
      </c>
      <c r="G64" s="152" t="s">
        <v>366</v>
      </c>
      <c r="H64" s="474" t="s">
        <v>367</v>
      </c>
      <c r="I64" s="152" t="str">
        <f t="shared" si="0"/>
        <v>CAR210609</v>
      </c>
      <c r="J64" s="847">
        <v>-421500</v>
      </c>
      <c r="K64" s="513">
        <v>-300</v>
      </c>
      <c r="L64" s="513">
        <v>1405</v>
      </c>
      <c r="M64" s="152" t="s">
        <v>7808</v>
      </c>
      <c r="N64" s="513" t="s">
        <v>1566</v>
      </c>
      <c r="O64" s="513" t="s">
        <v>1407</v>
      </c>
      <c r="P64" s="513" t="s">
        <v>7833</v>
      </c>
      <c r="Q64" s="518" t="s">
        <v>7796</v>
      </c>
      <c r="R64" s="152" t="s">
        <v>7834</v>
      </c>
      <c r="S64" s="152" t="s">
        <v>7831</v>
      </c>
      <c r="T64" s="152" t="s">
        <v>7835</v>
      </c>
      <c r="U64" s="152" t="s">
        <v>786</v>
      </c>
    </row>
    <row r="65" spans="4:21">
      <c r="D65" s="210"/>
      <c r="E65" s="210" t="s">
        <v>676</v>
      </c>
      <c r="F65" s="684" t="str">
        <f>+VLOOKUP(G65,Resumen_Base!$C$8:$G$156,5,0)</f>
        <v>Tips</v>
      </c>
      <c r="G65" s="152" t="s">
        <v>366</v>
      </c>
      <c r="H65" s="474" t="s">
        <v>367</v>
      </c>
      <c r="I65" s="152" t="str">
        <f t="shared" si="0"/>
        <v>CAR210609</v>
      </c>
      <c r="J65" s="847">
        <v>-281000</v>
      </c>
      <c r="K65" s="513">
        <v>-200</v>
      </c>
      <c r="L65" s="513">
        <v>1405</v>
      </c>
      <c r="M65" s="152" t="s">
        <v>7808</v>
      </c>
      <c r="N65" s="513" t="s">
        <v>1566</v>
      </c>
      <c r="O65" s="513" t="s">
        <v>1407</v>
      </c>
      <c r="P65" s="513" t="s">
        <v>7833</v>
      </c>
      <c r="Q65" s="518" t="s">
        <v>7796</v>
      </c>
      <c r="R65" s="152" t="s">
        <v>7834</v>
      </c>
      <c r="S65" s="152" t="s">
        <v>7831</v>
      </c>
      <c r="T65" s="152" t="s">
        <v>7835</v>
      </c>
      <c r="U65" s="152" t="s">
        <v>786</v>
      </c>
    </row>
    <row r="66" spans="4:21">
      <c r="D66" s="210"/>
      <c r="E66" s="210" t="s">
        <v>676</v>
      </c>
      <c r="F66" s="684" t="str">
        <f>+VLOOKUP(G66,Resumen_Base!$C$8:$G$156,5,0)</f>
        <v>Tips</v>
      </c>
      <c r="G66" s="152" t="s">
        <v>366</v>
      </c>
      <c r="H66" s="474" t="s">
        <v>367</v>
      </c>
      <c r="I66" s="152" t="str">
        <f t="shared" si="0"/>
        <v>CAR210609</v>
      </c>
      <c r="J66" s="847">
        <v>-702500</v>
      </c>
      <c r="K66" s="513">
        <v>-500</v>
      </c>
      <c r="L66" s="513">
        <v>1405</v>
      </c>
      <c r="M66" s="152" t="s">
        <v>7808</v>
      </c>
      <c r="N66" s="513" t="s">
        <v>1566</v>
      </c>
      <c r="O66" s="513" t="s">
        <v>1407</v>
      </c>
      <c r="P66" s="513" t="s">
        <v>7836</v>
      </c>
      <c r="Q66" s="518" t="s">
        <v>7796</v>
      </c>
      <c r="R66" s="152" t="s">
        <v>7837</v>
      </c>
      <c r="S66" s="152" t="s">
        <v>7831</v>
      </c>
      <c r="T66" s="152" t="s">
        <v>7838</v>
      </c>
      <c r="U66" s="152" t="s">
        <v>786</v>
      </c>
    </row>
    <row r="67" spans="4:21">
      <c r="D67" s="210"/>
      <c r="E67" s="210" t="s">
        <v>676</v>
      </c>
      <c r="F67" s="684" t="str">
        <f>+VLOOKUP(G67,Resumen_Base!$C$8:$G$156,5,0)</f>
        <v>Tips</v>
      </c>
      <c r="G67" s="152" t="s">
        <v>366</v>
      </c>
      <c r="H67" s="474" t="s">
        <v>367</v>
      </c>
      <c r="I67" s="152" t="str">
        <f t="shared" si="0"/>
        <v>CAR210609</v>
      </c>
      <c r="J67" s="847">
        <v>-562000</v>
      </c>
      <c r="K67" s="513">
        <v>-400</v>
      </c>
      <c r="L67" s="513">
        <v>1405</v>
      </c>
      <c r="M67" s="152" t="s">
        <v>7808</v>
      </c>
      <c r="N67" s="513" t="s">
        <v>1566</v>
      </c>
      <c r="O67" s="513" t="s">
        <v>1407</v>
      </c>
      <c r="P67" s="513" t="s">
        <v>7836</v>
      </c>
      <c r="Q67" s="518" t="s">
        <v>7796</v>
      </c>
      <c r="R67" s="152" t="s">
        <v>7837</v>
      </c>
      <c r="S67" s="152" t="s">
        <v>7831</v>
      </c>
      <c r="T67" s="152" t="s">
        <v>7838</v>
      </c>
      <c r="U67" s="152" t="s">
        <v>786</v>
      </c>
    </row>
    <row r="68" spans="4:21">
      <c r="D68" s="210"/>
      <c r="E68" s="210" t="s">
        <v>676</v>
      </c>
      <c r="F68" s="684" t="str">
        <f>+VLOOKUP(G68,Resumen_Base!$C$8:$G$156,5,0)</f>
        <v>Tips</v>
      </c>
      <c r="G68" s="152" t="s">
        <v>366</v>
      </c>
      <c r="H68" s="474" t="s">
        <v>367</v>
      </c>
      <c r="I68" s="152" t="str">
        <f t="shared" si="0"/>
        <v>CAR210609</v>
      </c>
      <c r="J68" s="847">
        <v>-491750</v>
      </c>
      <c r="K68" s="513">
        <v>-350</v>
      </c>
      <c r="L68" s="513">
        <v>1405</v>
      </c>
      <c r="M68" s="152" t="s">
        <v>7808</v>
      </c>
      <c r="N68" s="513" t="s">
        <v>1566</v>
      </c>
      <c r="O68" s="513" t="s">
        <v>1407</v>
      </c>
      <c r="P68" s="513" t="s">
        <v>7839</v>
      </c>
      <c r="Q68" s="518" t="s">
        <v>7796</v>
      </c>
      <c r="R68" s="152" t="s">
        <v>7840</v>
      </c>
      <c r="S68" s="152" t="s">
        <v>7831</v>
      </c>
      <c r="T68" s="152" t="s">
        <v>7841</v>
      </c>
      <c r="U68" s="152" t="s">
        <v>786</v>
      </c>
    </row>
    <row r="69" spans="4:21">
      <c r="D69" s="210"/>
      <c r="E69" s="210" t="s">
        <v>676</v>
      </c>
      <c r="F69" s="684" t="str">
        <f>+VLOOKUP(G69,Resumen_Base!$C$8:$G$156,5,0)</f>
        <v>Tips</v>
      </c>
      <c r="G69" s="152" t="s">
        <v>366</v>
      </c>
      <c r="H69" s="474" t="s">
        <v>367</v>
      </c>
      <c r="I69" s="152" t="str">
        <f t="shared" si="0"/>
        <v>CAR210609</v>
      </c>
      <c r="J69" s="847">
        <v>-351250</v>
      </c>
      <c r="K69" s="513">
        <v>-250</v>
      </c>
      <c r="L69" s="513">
        <v>1405</v>
      </c>
      <c r="M69" s="152" t="s">
        <v>7808</v>
      </c>
      <c r="N69" s="513" t="s">
        <v>1566</v>
      </c>
      <c r="O69" s="513" t="s">
        <v>1407</v>
      </c>
      <c r="P69" s="513" t="s">
        <v>7839</v>
      </c>
      <c r="Q69" s="518" t="s">
        <v>7796</v>
      </c>
      <c r="R69" s="152" t="s">
        <v>7840</v>
      </c>
      <c r="S69" s="152" t="s">
        <v>7831</v>
      </c>
      <c r="T69" s="152" t="s">
        <v>7841</v>
      </c>
      <c r="U69" s="152" t="s">
        <v>786</v>
      </c>
    </row>
    <row r="70" spans="4:21">
      <c r="D70" s="210"/>
      <c r="E70" s="210" t="s">
        <v>676</v>
      </c>
      <c r="F70" s="684" t="str">
        <f>+VLOOKUP(G70,Resumen_Base!$C$8:$G$156,5,0)</f>
        <v>Tips</v>
      </c>
      <c r="G70" s="152" t="s">
        <v>366</v>
      </c>
      <c r="H70" s="474" t="s">
        <v>367</v>
      </c>
      <c r="I70" s="152" t="str">
        <f t="shared" si="0"/>
        <v>CAR210609</v>
      </c>
      <c r="J70" s="847">
        <v>-281000</v>
      </c>
      <c r="K70" s="513">
        <v>-200</v>
      </c>
      <c r="L70" s="513">
        <v>1405</v>
      </c>
      <c r="M70" s="152" t="s">
        <v>7116</v>
      </c>
      <c r="N70" s="513" t="s">
        <v>1566</v>
      </c>
      <c r="O70" s="513" t="s">
        <v>1407</v>
      </c>
      <c r="P70" s="513" t="s">
        <v>7893</v>
      </c>
      <c r="Q70" s="518" t="s">
        <v>7796</v>
      </c>
      <c r="R70" s="152" t="s">
        <v>7894</v>
      </c>
      <c r="S70" s="152" t="s">
        <v>7895</v>
      </c>
      <c r="T70" s="152" t="s">
        <v>7896</v>
      </c>
      <c r="U70" s="152" t="s">
        <v>786</v>
      </c>
    </row>
    <row r="71" spans="4:21">
      <c r="D71" s="210"/>
      <c r="E71" s="210" t="s">
        <v>676</v>
      </c>
      <c r="F71" s="684" t="str">
        <f>+VLOOKUP(G71,Resumen_Base!$C$8:$G$156,5,0)</f>
        <v>Tips</v>
      </c>
      <c r="G71" s="152" t="s">
        <v>366</v>
      </c>
      <c r="H71" s="474" t="s">
        <v>367</v>
      </c>
      <c r="I71" s="152" t="str">
        <f t="shared" si="0"/>
        <v>CAR210609</v>
      </c>
      <c r="J71" s="847">
        <v>-632250</v>
      </c>
      <c r="K71" s="513">
        <v>-450</v>
      </c>
      <c r="L71" s="513">
        <v>1405</v>
      </c>
      <c r="M71" s="152" t="s">
        <v>7116</v>
      </c>
      <c r="N71" s="513" t="s">
        <v>1566</v>
      </c>
      <c r="O71" s="513" t="s">
        <v>1407</v>
      </c>
      <c r="P71" s="513" t="s">
        <v>7893</v>
      </c>
      <c r="Q71" s="518" t="s">
        <v>7796</v>
      </c>
      <c r="R71" s="152" t="s">
        <v>7894</v>
      </c>
      <c r="S71" s="152" t="s">
        <v>7895</v>
      </c>
      <c r="T71" s="152" t="s">
        <v>7896</v>
      </c>
      <c r="U71" s="152" t="s">
        <v>786</v>
      </c>
    </row>
    <row r="72" spans="4:21">
      <c r="D72" s="210"/>
      <c r="E72" s="210" t="s">
        <v>676</v>
      </c>
      <c r="F72" s="684" t="str">
        <f>+VLOOKUP(G72,Resumen_Base!$C$8:$G$156,5,0)</f>
        <v>Tips</v>
      </c>
      <c r="G72" s="152" t="s">
        <v>366</v>
      </c>
      <c r="H72" s="474" t="s">
        <v>367</v>
      </c>
      <c r="I72" s="152" t="str">
        <f t="shared" si="0"/>
        <v>CAR210609</v>
      </c>
      <c r="J72" s="847">
        <v>-632250</v>
      </c>
      <c r="K72" s="513">
        <v>-450</v>
      </c>
      <c r="L72" s="513">
        <v>1405</v>
      </c>
      <c r="M72" s="152" t="s">
        <v>7116</v>
      </c>
      <c r="N72" s="513" t="s">
        <v>1566</v>
      </c>
      <c r="O72" s="513" t="s">
        <v>1407</v>
      </c>
      <c r="P72" s="513" t="s">
        <v>7897</v>
      </c>
      <c r="Q72" s="518" t="s">
        <v>7796</v>
      </c>
      <c r="R72" s="152" t="s">
        <v>7898</v>
      </c>
      <c r="S72" s="152" t="s">
        <v>7895</v>
      </c>
      <c r="T72" s="152" t="s">
        <v>7899</v>
      </c>
      <c r="U72" s="152" t="s">
        <v>786</v>
      </c>
    </row>
    <row r="73" spans="4:21">
      <c r="D73" s="210"/>
      <c r="E73" s="210" t="s">
        <v>676</v>
      </c>
      <c r="F73" s="684" t="str">
        <f>+VLOOKUP(G73,Resumen_Base!$C$8:$G$156,5,0)</f>
        <v>Tips</v>
      </c>
      <c r="G73" s="152" t="s">
        <v>366</v>
      </c>
      <c r="H73" s="474" t="s">
        <v>367</v>
      </c>
      <c r="I73" s="152" t="str">
        <f t="shared" si="0"/>
        <v>CAR210609</v>
      </c>
      <c r="J73" s="847">
        <v>-281000</v>
      </c>
      <c r="K73" s="513">
        <v>-200</v>
      </c>
      <c r="L73" s="513">
        <v>1405</v>
      </c>
      <c r="M73" s="152" t="s">
        <v>7116</v>
      </c>
      <c r="N73" s="513" t="s">
        <v>1566</v>
      </c>
      <c r="O73" s="513" t="s">
        <v>1407</v>
      </c>
      <c r="P73" s="513" t="s">
        <v>7897</v>
      </c>
      <c r="Q73" s="518" t="s">
        <v>7796</v>
      </c>
      <c r="R73" s="152" t="s">
        <v>7898</v>
      </c>
      <c r="S73" s="152" t="s">
        <v>7895</v>
      </c>
      <c r="T73" s="152" t="s">
        <v>7899</v>
      </c>
      <c r="U73" s="152" t="s">
        <v>786</v>
      </c>
    </row>
    <row r="74" spans="4:21">
      <c r="D74" s="210"/>
      <c r="E74" s="210" t="s">
        <v>676</v>
      </c>
      <c r="F74" s="684" t="str">
        <f>+VLOOKUP(G74,Resumen_Base!$C$8:$G$156,5,0)</f>
        <v>Tips</v>
      </c>
      <c r="G74" s="152" t="s">
        <v>366</v>
      </c>
      <c r="H74" s="474" t="s">
        <v>367</v>
      </c>
      <c r="I74" s="152" t="str">
        <f t="shared" si="0"/>
        <v>CAR210609</v>
      </c>
      <c r="J74" s="847">
        <v>-351250</v>
      </c>
      <c r="K74" s="513">
        <v>-250</v>
      </c>
      <c r="L74" s="513">
        <v>1405</v>
      </c>
      <c r="M74" s="152" t="s">
        <v>7116</v>
      </c>
      <c r="N74" s="513" t="s">
        <v>1566</v>
      </c>
      <c r="O74" s="513" t="s">
        <v>1407</v>
      </c>
      <c r="P74" s="513" t="s">
        <v>7900</v>
      </c>
      <c r="Q74" s="518" t="s">
        <v>7796</v>
      </c>
      <c r="R74" s="152" t="s">
        <v>7901</v>
      </c>
      <c r="S74" s="152" t="s">
        <v>7895</v>
      </c>
      <c r="T74" s="152" t="s">
        <v>7902</v>
      </c>
      <c r="U74" s="152" t="s">
        <v>786</v>
      </c>
    </row>
    <row r="75" spans="4:21">
      <c r="D75" s="210"/>
      <c r="E75" s="210" t="s">
        <v>676</v>
      </c>
      <c r="F75" s="684" t="str">
        <f>+VLOOKUP(G75,Resumen_Base!$C$8:$G$156,5,0)</f>
        <v>Tips</v>
      </c>
      <c r="G75" s="152" t="s">
        <v>366</v>
      </c>
      <c r="H75" s="474" t="s">
        <v>367</v>
      </c>
      <c r="I75" s="152" t="str">
        <f t="shared" si="0"/>
        <v>CAR210609</v>
      </c>
      <c r="J75" s="847">
        <v>-632250</v>
      </c>
      <c r="K75" s="513">
        <v>-450</v>
      </c>
      <c r="L75" s="513">
        <v>1405</v>
      </c>
      <c r="M75" s="152" t="s">
        <v>7116</v>
      </c>
      <c r="N75" s="513" t="s">
        <v>1566</v>
      </c>
      <c r="O75" s="513" t="s">
        <v>1407</v>
      </c>
      <c r="P75" s="513" t="s">
        <v>7900</v>
      </c>
      <c r="Q75" s="518" t="s">
        <v>7796</v>
      </c>
      <c r="R75" s="152" t="s">
        <v>7901</v>
      </c>
      <c r="S75" s="152" t="s">
        <v>7895</v>
      </c>
      <c r="T75" s="152" t="s">
        <v>7902</v>
      </c>
      <c r="U75" s="152" t="s">
        <v>786</v>
      </c>
    </row>
    <row r="76" spans="4:21">
      <c r="D76" s="210"/>
      <c r="E76" s="210" t="s">
        <v>676</v>
      </c>
      <c r="F76" s="684" t="str">
        <f>+VLOOKUP(G76,Resumen_Base!$C$8:$G$156,5,0)</f>
        <v>Tips</v>
      </c>
      <c r="G76" s="152" t="s">
        <v>366</v>
      </c>
      <c r="H76" s="474" t="s">
        <v>367</v>
      </c>
      <c r="I76" s="152" t="str">
        <f t="shared" si="0"/>
        <v>CAR210609</v>
      </c>
      <c r="J76" s="847">
        <v>-632250</v>
      </c>
      <c r="K76" s="513">
        <v>-450</v>
      </c>
      <c r="L76" s="513">
        <v>1405</v>
      </c>
      <c r="M76" s="152" t="s">
        <v>7116</v>
      </c>
      <c r="N76" s="513" t="s">
        <v>1566</v>
      </c>
      <c r="O76" s="513" t="s">
        <v>1407</v>
      </c>
      <c r="P76" s="513" t="s">
        <v>7903</v>
      </c>
      <c r="Q76" s="518" t="s">
        <v>7796</v>
      </c>
      <c r="R76" s="152" t="s">
        <v>7904</v>
      </c>
      <c r="S76" s="152" t="s">
        <v>7895</v>
      </c>
      <c r="T76" s="152" t="s">
        <v>7905</v>
      </c>
      <c r="U76" s="152" t="s">
        <v>786</v>
      </c>
    </row>
    <row r="77" spans="4:21">
      <c r="D77" s="210"/>
      <c r="E77" s="210" t="s">
        <v>676</v>
      </c>
      <c r="F77" s="684" t="str">
        <f>+VLOOKUP(G77,Resumen_Base!$C$8:$G$156,5,0)</f>
        <v>Tips</v>
      </c>
      <c r="G77" s="152" t="s">
        <v>366</v>
      </c>
      <c r="H77" s="474" t="s">
        <v>367</v>
      </c>
      <c r="I77" s="152" t="str">
        <f t="shared" ref="I77:I140" si="1">+E77&amp;G77</f>
        <v>CAR210609</v>
      </c>
      <c r="J77" s="847">
        <v>-351250</v>
      </c>
      <c r="K77" s="513">
        <v>-250</v>
      </c>
      <c r="L77" s="513">
        <v>1405</v>
      </c>
      <c r="M77" s="152" t="s">
        <v>7116</v>
      </c>
      <c r="N77" s="513" t="s">
        <v>1566</v>
      </c>
      <c r="O77" s="513" t="s">
        <v>1407</v>
      </c>
      <c r="P77" s="513" t="s">
        <v>7903</v>
      </c>
      <c r="Q77" s="518" t="s">
        <v>7796</v>
      </c>
      <c r="R77" s="152" t="s">
        <v>7904</v>
      </c>
      <c r="S77" s="152" t="s">
        <v>7895</v>
      </c>
      <c r="T77" s="152" t="s">
        <v>7905</v>
      </c>
      <c r="U77" s="152" t="s">
        <v>786</v>
      </c>
    </row>
    <row r="78" spans="4:21">
      <c r="D78" s="210"/>
      <c r="E78" s="210" t="s">
        <v>676</v>
      </c>
      <c r="F78" s="684" t="str">
        <f>+VLOOKUP(G78,Resumen_Base!$C$8:$G$156,5,0)</f>
        <v>Tips</v>
      </c>
      <c r="G78" s="152" t="s">
        <v>366</v>
      </c>
      <c r="H78" s="474" t="s">
        <v>367</v>
      </c>
      <c r="I78" s="152" t="str">
        <f t="shared" si="1"/>
        <v>CAR210609</v>
      </c>
      <c r="J78" s="847">
        <v>-421500</v>
      </c>
      <c r="K78" s="513">
        <v>-300</v>
      </c>
      <c r="L78" s="513">
        <v>1405</v>
      </c>
      <c r="M78" s="152" t="s">
        <v>7116</v>
      </c>
      <c r="N78" s="513" t="s">
        <v>1566</v>
      </c>
      <c r="O78" s="513" t="s">
        <v>1407</v>
      </c>
      <c r="P78" s="513" t="s">
        <v>7906</v>
      </c>
      <c r="Q78" s="518" t="s">
        <v>7796</v>
      </c>
      <c r="R78" s="152" t="s">
        <v>7907</v>
      </c>
      <c r="S78" s="152" t="s">
        <v>7908</v>
      </c>
      <c r="T78" s="152" t="s">
        <v>7909</v>
      </c>
      <c r="U78" s="152" t="s">
        <v>786</v>
      </c>
    </row>
    <row r="79" spans="4:21">
      <c r="D79" s="210"/>
      <c r="E79" s="210" t="s">
        <v>676</v>
      </c>
      <c r="F79" s="684" t="str">
        <f>+VLOOKUP(G79,Resumen_Base!$C$8:$G$156,5,0)</f>
        <v>Tips</v>
      </c>
      <c r="G79" s="152" t="s">
        <v>366</v>
      </c>
      <c r="H79" s="474" t="s">
        <v>367</v>
      </c>
      <c r="I79" s="152" t="str">
        <f t="shared" si="1"/>
        <v>CAR210609</v>
      </c>
      <c r="J79" s="847">
        <v>-386375</v>
      </c>
      <c r="K79" s="513">
        <v>-275</v>
      </c>
      <c r="L79" s="513">
        <v>1405</v>
      </c>
      <c r="M79" s="152" t="s">
        <v>7116</v>
      </c>
      <c r="N79" s="513" t="s">
        <v>1566</v>
      </c>
      <c r="O79" s="513" t="s">
        <v>1407</v>
      </c>
      <c r="P79" s="513" t="s">
        <v>7906</v>
      </c>
      <c r="Q79" s="518" t="s">
        <v>7796</v>
      </c>
      <c r="R79" s="152" t="s">
        <v>7907</v>
      </c>
      <c r="S79" s="152" t="s">
        <v>7908</v>
      </c>
      <c r="T79" s="152" t="s">
        <v>7909</v>
      </c>
      <c r="U79" s="152" t="s">
        <v>786</v>
      </c>
    </row>
    <row r="80" spans="4:21">
      <c r="D80" s="210"/>
      <c r="E80" s="210" t="s">
        <v>676</v>
      </c>
      <c r="F80" s="684" t="str">
        <f>+VLOOKUP(G80,Resumen_Base!$C$8:$G$156,5,0)</f>
        <v>Tips</v>
      </c>
      <c r="G80" s="152" t="s">
        <v>366</v>
      </c>
      <c r="H80" s="474" t="s">
        <v>367</v>
      </c>
      <c r="I80" s="152" t="str">
        <f t="shared" si="1"/>
        <v>CAR210609</v>
      </c>
      <c r="J80" s="847">
        <v>-421500</v>
      </c>
      <c r="K80" s="513">
        <v>-300</v>
      </c>
      <c r="L80" s="513">
        <v>1405</v>
      </c>
      <c r="M80" s="152" t="s">
        <v>7116</v>
      </c>
      <c r="N80" s="513" t="s">
        <v>1566</v>
      </c>
      <c r="O80" s="513" t="s">
        <v>1407</v>
      </c>
      <c r="P80" s="513" t="s">
        <v>7910</v>
      </c>
      <c r="Q80" s="518" t="s">
        <v>7796</v>
      </c>
      <c r="R80" s="152" t="s">
        <v>7911</v>
      </c>
      <c r="S80" s="152" t="s">
        <v>7908</v>
      </c>
      <c r="T80" s="152" t="s">
        <v>7912</v>
      </c>
      <c r="U80" s="152" t="s">
        <v>786</v>
      </c>
    </row>
    <row r="81" spans="4:21">
      <c r="D81" s="210"/>
      <c r="E81" s="210" t="s">
        <v>676</v>
      </c>
      <c r="F81" s="684" t="str">
        <f>+VLOOKUP(G81,Resumen_Base!$C$8:$G$156,5,0)</f>
        <v>Tips</v>
      </c>
      <c r="G81" s="152" t="s">
        <v>366</v>
      </c>
      <c r="H81" s="474" t="s">
        <v>367</v>
      </c>
      <c r="I81" s="152" t="str">
        <f t="shared" si="1"/>
        <v>CAR210609</v>
      </c>
      <c r="J81" s="847">
        <v>-386375</v>
      </c>
      <c r="K81" s="513">
        <v>-275</v>
      </c>
      <c r="L81" s="513">
        <v>1405</v>
      </c>
      <c r="M81" s="152" t="s">
        <v>7116</v>
      </c>
      <c r="N81" s="513" t="s">
        <v>1566</v>
      </c>
      <c r="O81" s="513" t="s">
        <v>1407</v>
      </c>
      <c r="P81" s="513" t="s">
        <v>7910</v>
      </c>
      <c r="Q81" s="518" t="s">
        <v>7796</v>
      </c>
      <c r="R81" s="152" t="s">
        <v>7911</v>
      </c>
      <c r="S81" s="152" t="s">
        <v>7908</v>
      </c>
      <c r="T81" s="152" t="s">
        <v>7912</v>
      </c>
      <c r="U81" s="152" t="s">
        <v>786</v>
      </c>
    </row>
    <row r="82" spans="4:21">
      <c r="D82" s="210"/>
      <c r="E82" s="210" t="s">
        <v>676</v>
      </c>
      <c r="F82" s="684" t="str">
        <f>+VLOOKUP(G82,Resumen_Base!$C$8:$G$156,5,0)</f>
        <v>Tips</v>
      </c>
      <c r="G82" s="152" t="s">
        <v>366</v>
      </c>
      <c r="H82" s="474" t="s">
        <v>367</v>
      </c>
      <c r="I82" s="152" t="str">
        <f t="shared" si="1"/>
        <v>CAR210609</v>
      </c>
      <c r="J82" s="847">
        <v>-351250</v>
      </c>
      <c r="K82" s="513">
        <v>-250</v>
      </c>
      <c r="L82" s="513">
        <v>1405</v>
      </c>
      <c r="M82" s="152" t="s">
        <v>7116</v>
      </c>
      <c r="N82" s="513" t="s">
        <v>1566</v>
      </c>
      <c r="O82" s="513" t="s">
        <v>1407</v>
      </c>
      <c r="P82" s="513" t="s">
        <v>7913</v>
      </c>
      <c r="Q82" s="518" t="s">
        <v>7796</v>
      </c>
      <c r="R82" s="152" t="s">
        <v>7914</v>
      </c>
      <c r="S82" s="152" t="s">
        <v>7908</v>
      </c>
      <c r="T82" s="152" t="s">
        <v>7915</v>
      </c>
      <c r="U82" s="152" t="s">
        <v>786</v>
      </c>
    </row>
    <row r="83" spans="4:21">
      <c r="D83" s="210"/>
      <c r="E83" s="210" t="s">
        <v>676</v>
      </c>
      <c r="F83" s="684" t="str">
        <f>+VLOOKUP(G83,Resumen_Base!$C$8:$G$156,5,0)</f>
        <v>Tips</v>
      </c>
      <c r="G83" s="152" t="s">
        <v>366</v>
      </c>
      <c r="H83" s="474" t="s">
        <v>367</v>
      </c>
      <c r="I83" s="152" t="str">
        <f t="shared" si="1"/>
        <v>CAR210609</v>
      </c>
      <c r="J83" s="847">
        <v>-491750</v>
      </c>
      <c r="K83" s="513">
        <v>-350</v>
      </c>
      <c r="L83" s="513">
        <v>1405</v>
      </c>
      <c r="M83" s="152" t="s">
        <v>7116</v>
      </c>
      <c r="N83" s="513" t="s">
        <v>1566</v>
      </c>
      <c r="O83" s="513" t="s">
        <v>1407</v>
      </c>
      <c r="P83" s="513" t="s">
        <v>7913</v>
      </c>
      <c r="Q83" s="518" t="s">
        <v>7796</v>
      </c>
      <c r="R83" s="152" t="s">
        <v>7914</v>
      </c>
      <c r="S83" s="152" t="s">
        <v>7908</v>
      </c>
      <c r="T83" s="152" t="s">
        <v>7915</v>
      </c>
      <c r="U83" s="152" t="s">
        <v>786</v>
      </c>
    </row>
    <row r="84" spans="4:21">
      <c r="D84" s="210"/>
      <c r="E84" s="210" t="s">
        <v>676</v>
      </c>
      <c r="F84" s="684" t="str">
        <f>+VLOOKUP(G84,Resumen_Base!$C$8:$G$156,5,0)</f>
        <v>Tips</v>
      </c>
      <c r="G84" s="152" t="s">
        <v>366</v>
      </c>
      <c r="H84" s="474" t="s">
        <v>367</v>
      </c>
      <c r="I84" s="152" t="str">
        <f t="shared" si="1"/>
        <v>CAR210609</v>
      </c>
      <c r="J84" s="847">
        <v>-491750</v>
      </c>
      <c r="K84" s="513">
        <v>-350</v>
      </c>
      <c r="L84" s="513">
        <v>1405</v>
      </c>
      <c r="M84" s="152" t="s">
        <v>7116</v>
      </c>
      <c r="N84" s="513" t="s">
        <v>1566</v>
      </c>
      <c r="O84" s="513" t="s">
        <v>1407</v>
      </c>
      <c r="P84" s="513" t="s">
        <v>7916</v>
      </c>
      <c r="Q84" s="518" t="s">
        <v>7796</v>
      </c>
      <c r="R84" s="152" t="s">
        <v>7917</v>
      </c>
      <c r="S84" s="152" t="s">
        <v>7908</v>
      </c>
      <c r="T84" s="152" t="s">
        <v>7918</v>
      </c>
      <c r="U84" s="152" t="s">
        <v>786</v>
      </c>
    </row>
    <row r="85" spans="4:21">
      <c r="D85" s="210"/>
      <c r="E85" s="210" t="s">
        <v>676</v>
      </c>
      <c r="F85" s="684" t="str">
        <f>+VLOOKUP(G85,Resumen_Base!$C$8:$G$156,5,0)</f>
        <v>Tips</v>
      </c>
      <c r="G85" s="152" t="s">
        <v>366</v>
      </c>
      <c r="H85" s="474" t="s">
        <v>367</v>
      </c>
      <c r="I85" s="152" t="str">
        <f t="shared" si="1"/>
        <v>CAR210609</v>
      </c>
      <c r="J85" s="847">
        <v>-351250</v>
      </c>
      <c r="K85" s="513">
        <v>-250</v>
      </c>
      <c r="L85" s="513">
        <v>1405</v>
      </c>
      <c r="M85" s="152" t="s">
        <v>7116</v>
      </c>
      <c r="N85" s="513" t="s">
        <v>1566</v>
      </c>
      <c r="O85" s="513" t="s">
        <v>1407</v>
      </c>
      <c r="P85" s="513" t="s">
        <v>7916</v>
      </c>
      <c r="Q85" s="518" t="s">
        <v>7796</v>
      </c>
      <c r="R85" s="152" t="s">
        <v>7917</v>
      </c>
      <c r="S85" s="152" t="s">
        <v>7908</v>
      </c>
      <c r="T85" s="152" t="s">
        <v>7918</v>
      </c>
      <c r="U85" s="152" t="s">
        <v>786</v>
      </c>
    </row>
    <row r="86" spans="4:21">
      <c r="D86" s="210"/>
      <c r="E86" s="210" t="s">
        <v>676</v>
      </c>
      <c r="F86" s="684" t="str">
        <f>+VLOOKUP(G86,Resumen_Base!$C$8:$G$156,5,0)</f>
        <v>Tips</v>
      </c>
      <c r="G86" s="152" t="s">
        <v>366</v>
      </c>
      <c r="H86" s="474" t="s">
        <v>367</v>
      </c>
      <c r="I86" s="152" t="str">
        <f t="shared" si="1"/>
        <v>CAR210609</v>
      </c>
      <c r="J86" s="847">
        <v>-562000</v>
      </c>
      <c r="K86" s="513">
        <v>-400</v>
      </c>
      <c r="L86" s="513">
        <v>1405</v>
      </c>
      <c r="M86" s="152" t="s">
        <v>7116</v>
      </c>
      <c r="N86" s="513" t="s">
        <v>1566</v>
      </c>
      <c r="O86" s="513" t="s">
        <v>1407</v>
      </c>
      <c r="P86" s="513" t="s">
        <v>7932</v>
      </c>
      <c r="Q86" s="518" t="s">
        <v>7796</v>
      </c>
      <c r="R86" s="152" t="s">
        <v>7933</v>
      </c>
      <c r="S86" s="152" t="s">
        <v>7934</v>
      </c>
      <c r="T86" s="152" t="s">
        <v>7935</v>
      </c>
      <c r="U86" s="152" t="s">
        <v>786</v>
      </c>
    </row>
    <row r="87" spans="4:21">
      <c r="D87" s="210"/>
      <c r="E87" s="210" t="s">
        <v>676</v>
      </c>
      <c r="F87" s="684" t="str">
        <f>+VLOOKUP(G87,Resumen_Base!$C$8:$G$156,5,0)</f>
        <v>Tips</v>
      </c>
      <c r="G87" s="152" t="s">
        <v>366</v>
      </c>
      <c r="H87" s="474" t="s">
        <v>367</v>
      </c>
      <c r="I87" s="152" t="str">
        <f t="shared" si="1"/>
        <v>CAR210609</v>
      </c>
      <c r="J87" s="847">
        <v>-730600</v>
      </c>
      <c r="K87" s="513">
        <v>-520</v>
      </c>
      <c r="L87" s="513">
        <v>1405</v>
      </c>
      <c r="M87" s="152" t="s">
        <v>7116</v>
      </c>
      <c r="N87" s="513" t="s">
        <v>1566</v>
      </c>
      <c r="O87" s="513" t="s">
        <v>1407</v>
      </c>
      <c r="P87" s="513" t="s">
        <v>7932</v>
      </c>
      <c r="Q87" s="518" t="s">
        <v>7796</v>
      </c>
      <c r="R87" s="152" t="s">
        <v>7933</v>
      </c>
      <c r="S87" s="152" t="s">
        <v>7934</v>
      </c>
      <c r="T87" s="152" t="s">
        <v>7935</v>
      </c>
      <c r="U87" s="152" t="s">
        <v>786</v>
      </c>
    </row>
    <row r="88" spans="4:21">
      <c r="D88" s="210"/>
      <c r="E88" s="210" t="s">
        <v>676</v>
      </c>
      <c r="F88" s="684" t="str">
        <f>+VLOOKUP(G88,Resumen_Base!$C$8:$G$156,5,0)</f>
        <v>Tips</v>
      </c>
      <c r="G88" s="152" t="s">
        <v>366</v>
      </c>
      <c r="H88" s="474" t="s">
        <v>367</v>
      </c>
      <c r="I88" s="152" t="str">
        <f t="shared" si="1"/>
        <v>CAR210609</v>
      </c>
      <c r="J88" s="847">
        <v>-730600</v>
      </c>
      <c r="K88" s="513">
        <v>-520</v>
      </c>
      <c r="L88" s="513">
        <v>1405</v>
      </c>
      <c r="M88" s="152" t="s">
        <v>7116</v>
      </c>
      <c r="N88" s="513" t="s">
        <v>1566</v>
      </c>
      <c r="O88" s="513" t="s">
        <v>1407</v>
      </c>
      <c r="P88" s="513" t="s">
        <v>7936</v>
      </c>
      <c r="Q88" s="518" t="s">
        <v>7796</v>
      </c>
      <c r="R88" s="152" t="s">
        <v>7937</v>
      </c>
      <c r="S88" s="152" t="s">
        <v>7934</v>
      </c>
      <c r="T88" s="152" t="s">
        <v>7938</v>
      </c>
      <c r="U88" s="152" t="s">
        <v>786</v>
      </c>
    </row>
    <row r="89" spans="4:21">
      <c r="D89" s="210"/>
      <c r="E89" s="210" t="s">
        <v>676</v>
      </c>
      <c r="F89" s="684" t="str">
        <f>+VLOOKUP(G89,Resumen_Base!$C$8:$G$156,5,0)</f>
        <v>Tips</v>
      </c>
      <c r="G89" s="152" t="s">
        <v>366</v>
      </c>
      <c r="H89" s="474" t="s">
        <v>367</v>
      </c>
      <c r="I89" s="152" t="str">
        <f t="shared" si="1"/>
        <v>CAR210609</v>
      </c>
      <c r="J89" s="847">
        <v>-562000</v>
      </c>
      <c r="K89" s="513">
        <v>-400</v>
      </c>
      <c r="L89" s="513">
        <v>1405</v>
      </c>
      <c r="M89" s="152" t="s">
        <v>7116</v>
      </c>
      <c r="N89" s="513" t="s">
        <v>1566</v>
      </c>
      <c r="O89" s="513" t="s">
        <v>1407</v>
      </c>
      <c r="P89" s="513" t="s">
        <v>7936</v>
      </c>
      <c r="Q89" s="518" t="s">
        <v>7796</v>
      </c>
      <c r="R89" s="152" t="s">
        <v>7937</v>
      </c>
      <c r="S89" s="152" t="s">
        <v>7934</v>
      </c>
      <c r="T89" s="152" t="s">
        <v>7938</v>
      </c>
      <c r="U89" s="152" t="s">
        <v>786</v>
      </c>
    </row>
    <row r="90" spans="4:21">
      <c r="D90" s="210"/>
      <c r="E90" s="210" t="s">
        <v>676</v>
      </c>
      <c r="F90" s="684" t="str">
        <f>+VLOOKUP(G90,Resumen_Base!$C$8:$G$156,5,0)</f>
        <v>Tips</v>
      </c>
      <c r="G90" s="152" t="s">
        <v>366</v>
      </c>
      <c r="H90" s="474" t="s">
        <v>367</v>
      </c>
      <c r="I90" s="152" t="str">
        <f t="shared" si="1"/>
        <v>CAR210609</v>
      </c>
      <c r="J90" s="847">
        <v>-632250</v>
      </c>
      <c r="K90" s="513">
        <v>-450</v>
      </c>
      <c r="L90" s="513">
        <v>1405</v>
      </c>
      <c r="M90" s="152" t="s">
        <v>7116</v>
      </c>
      <c r="N90" s="513" t="s">
        <v>1566</v>
      </c>
      <c r="O90" s="513" t="s">
        <v>1407</v>
      </c>
      <c r="P90" s="513" t="s">
        <v>7939</v>
      </c>
      <c r="Q90" s="518" t="s">
        <v>7796</v>
      </c>
      <c r="R90" s="152" t="s">
        <v>7940</v>
      </c>
      <c r="S90" s="152" t="s">
        <v>7941</v>
      </c>
      <c r="T90" s="152" t="s">
        <v>7942</v>
      </c>
      <c r="U90" s="152" t="s">
        <v>786</v>
      </c>
    </row>
    <row r="91" spans="4:21">
      <c r="D91" s="210"/>
      <c r="E91" s="210" t="s">
        <v>676</v>
      </c>
      <c r="F91" s="684" t="str">
        <f>+VLOOKUP(G91,Resumen_Base!$C$8:$G$156,5,0)</f>
        <v>Tips</v>
      </c>
      <c r="G91" s="152" t="s">
        <v>366</v>
      </c>
      <c r="H91" s="474" t="s">
        <v>367</v>
      </c>
      <c r="I91" s="152" t="str">
        <f t="shared" si="1"/>
        <v>CAR210609</v>
      </c>
      <c r="J91" s="847">
        <v>-281000</v>
      </c>
      <c r="K91" s="513">
        <v>-200</v>
      </c>
      <c r="L91" s="513">
        <v>1405</v>
      </c>
      <c r="M91" s="152" t="s">
        <v>7116</v>
      </c>
      <c r="N91" s="513" t="s">
        <v>1566</v>
      </c>
      <c r="O91" s="513" t="s">
        <v>1407</v>
      </c>
      <c r="P91" s="513" t="s">
        <v>7939</v>
      </c>
      <c r="Q91" s="518" t="s">
        <v>7796</v>
      </c>
      <c r="R91" s="152" t="s">
        <v>7940</v>
      </c>
      <c r="S91" s="152" t="s">
        <v>7941</v>
      </c>
      <c r="T91" s="152" t="s">
        <v>7942</v>
      </c>
      <c r="U91" s="152" t="s">
        <v>786</v>
      </c>
    </row>
    <row r="92" spans="4:21">
      <c r="D92" s="210"/>
      <c r="E92" s="210" t="s">
        <v>676</v>
      </c>
      <c r="F92" s="684" t="str">
        <f>+VLOOKUP(G92,Resumen_Base!$C$8:$G$156,5,0)</f>
        <v>Tips</v>
      </c>
      <c r="G92" s="152" t="s">
        <v>366</v>
      </c>
      <c r="H92" s="474" t="s">
        <v>367</v>
      </c>
      <c r="I92" s="152" t="str">
        <f t="shared" si="1"/>
        <v>CAR210609</v>
      </c>
      <c r="J92" s="847">
        <v>-505800</v>
      </c>
      <c r="K92" s="513">
        <v>-360</v>
      </c>
      <c r="L92" s="513">
        <v>1405</v>
      </c>
      <c r="M92" s="152" t="s">
        <v>7975</v>
      </c>
      <c r="N92" s="513" t="s">
        <v>1566</v>
      </c>
      <c r="O92" s="513" t="s">
        <v>1407</v>
      </c>
      <c r="P92" s="513" t="s">
        <v>7976</v>
      </c>
      <c r="Q92" s="518" t="s">
        <v>7796</v>
      </c>
      <c r="R92" s="152" t="s">
        <v>7977</v>
      </c>
      <c r="S92" s="152" t="s">
        <v>7978</v>
      </c>
      <c r="T92" s="152" t="s">
        <v>7979</v>
      </c>
      <c r="U92" s="152" t="s">
        <v>786</v>
      </c>
    </row>
    <row r="93" spans="4:21">
      <c r="D93" s="210"/>
      <c r="E93" s="210" t="s">
        <v>676</v>
      </c>
      <c r="F93" s="684" t="str">
        <f>+VLOOKUP(G93,Resumen_Base!$C$8:$G$156,5,0)</f>
        <v>Tips</v>
      </c>
      <c r="G93" s="152" t="s">
        <v>366</v>
      </c>
      <c r="H93" s="474" t="s">
        <v>367</v>
      </c>
      <c r="I93" s="152" t="str">
        <f t="shared" si="1"/>
        <v>CAR210609</v>
      </c>
      <c r="J93" s="847">
        <v>-1039700</v>
      </c>
      <c r="K93" s="513">
        <v>-740</v>
      </c>
      <c r="L93" s="513">
        <v>1405</v>
      </c>
      <c r="M93" s="152" t="s">
        <v>7975</v>
      </c>
      <c r="N93" s="513" t="s">
        <v>1566</v>
      </c>
      <c r="O93" s="513" t="s">
        <v>1407</v>
      </c>
      <c r="P93" s="513" t="s">
        <v>7976</v>
      </c>
      <c r="Q93" s="518" t="s">
        <v>7796</v>
      </c>
      <c r="R93" s="152" t="s">
        <v>7977</v>
      </c>
      <c r="S93" s="152" t="s">
        <v>7978</v>
      </c>
      <c r="T93" s="152" t="s">
        <v>7979</v>
      </c>
      <c r="U93" s="152" t="s">
        <v>786</v>
      </c>
    </row>
    <row r="94" spans="4:21">
      <c r="D94" s="210"/>
      <c r="E94" s="210" t="s">
        <v>676</v>
      </c>
      <c r="F94" s="684" t="str">
        <f>+VLOOKUP(G94,Resumen_Base!$C$8:$G$156,5,0)</f>
        <v>Tips</v>
      </c>
      <c r="G94" s="152" t="s">
        <v>366</v>
      </c>
      <c r="H94" s="474" t="s">
        <v>367</v>
      </c>
      <c r="I94" s="152" t="str">
        <f t="shared" si="1"/>
        <v>CAR210609</v>
      </c>
      <c r="J94" s="847">
        <v>-843000</v>
      </c>
      <c r="K94" s="513">
        <v>-600</v>
      </c>
      <c r="L94" s="513">
        <v>1405</v>
      </c>
      <c r="M94" s="152" t="s">
        <v>7975</v>
      </c>
      <c r="N94" s="513" t="s">
        <v>1566</v>
      </c>
      <c r="O94" s="513" t="s">
        <v>1407</v>
      </c>
      <c r="P94" s="513" t="s">
        <v>7980</v>
      </c>
      <c r="Q94" s="518" t="s">
        <v>7796</v>
      </c>
      <c r="R94" s="152" t="s">
        <v>7981</v>
      </c>
      <c r="S94" s="152" t="s">
        <v>7978</v>
      </c>
      <c r="T94" s="152" t="s">
        <v>7982</v>
      </c>
      <c r="U94" s="152" t="s">
        <v>786</v>
      </c>
    </row>
    <row r="95" spans="4:21">
      <c r="D95" s="210"/>
      <c r="E95" s="210" t="s">
        <v>676</v>
      </c>
      <c r="F95" s="684" t="str">
        <f>+VLOOKUP(G95,Resumen_Base!$C$8:$G$156,5,0)</f>
        <v>Tips</v>
      </c>
      <c r="G95" s="152" t="s">
        <v>366</v>
      </c>
      <c r="H95" s="474" t="s">
        <v>367</v>
      </c>
      <c r="I95" s="152" t="str">
        <f t="shared" si="1"/>
        <v>CAR210609</v>
      </c>
      <c r="J95" s="847">
        <v>-843000</v>
      </c>
      <c r="K95" s="513">
        <v>-600</v>
      </c>
      <c r="L95" s="513">
        <v>1405</v>
      </c>
      <c r="M95" s="152" t="s">
        <v>7975</v>
      </c>
      <c r="N95" s="513" t="s">
        <v>1566</v>
      </c>
      <c r="O95" s="513" t="s">
        <v>1407</v>
      </c>
      <c r="P95" s="513" t="s">
        <v>7980</v>
      </c>
      <c r="Q95" s="518" t="s">
        <v>7796</v>
      </c>
      <c r="R95" s="152" t="s">
        <v>7981</v>
      </c>
      <c r="S95" s="152" t="s">
        <v>7978</v>
      </c>
      <c r="T95" s="152" t="s">
        <v>7982</v>
      </c>
      <c r="U95" s="152" t="s">
        <v>786</v>
      </c>
    </row>
    <row r="96" spans="4:21">
      <c r="D96" s="210"/>
      <c r="E96" s="210" t="s">
        <v>676</v>
      </c>
      <c r="F96" s="684" t="str">
        <f>+VLOOKUP(G96,Resumen_Base!$C$8:$G$156,5,0)</f>
        <v>Tips</v>
      </c>
      <c r="G96" s="152" t="s">
        <v>366</v>
      </c>
      <c r="H96" s="474" t="s">
        <v>367</v>
      </c>
      <c r="I96" s="152" t="str">
        <f t="shared" si="1"/>
        <v>CAR210609</v>
      </c>
      <c r="J96" s="847">
        <v>-576050</v>
      </c>
      <c r="K96" s="513">
        <v>-410</v>
      </c>
      <c r="L96" s="513">
        <v>1405</v>
      </c>
      <c r="M96" s="152" t="s">
        <v>7975</v>
      </c>
      <c r="N96" s="513" t="s">
        <v>1566</v>
      </c>
      <c r="O96" s="513" t="s">
        <v>1407</v>
      </c>
      <c r="P96" s="513" t="s">
        <v>7983</v>
      </c>
      <c r="Q96" s="518" t="s">
        <v>7796</v>
      </c>
      <c r="R96" s="152" t="s">
        <v>7984</v>
      </c>
      <c r="S96" s="152" t="s">
        <v>7978</v>
      </c>
      <c r="T96" s="152" t="s">
        <v>7985</v>
      </c>
      <c r="U96" s="152" t="s">
        <v>786</v>
      </c>
    </row>
    <row r="97" spans="4:21">
      <c r="D97" s="210"/>
      <c r="E97" s="210" t="s">
        <v>676</v>
      </c>
      <c r="F97" s="684" t="str">
        <f>+VLOOKUP(G97,Resumen_Base!$C$8:$G$156,5,0)</f>
        <v>Tips</v>
      </c>
      <c r="G97" s="152" t="s">
        <v>366</v>
      </c>
      <c r="H97" s="474" t="s">
        <v>367</v>
      </c>
      <c r="I97" s="152" t="str">
        <f t="shared" si="1"/>
        <v>CAR210609</v>
      </c>
      <c r="J97" s="847">
        <v>-351250</v>
      </c>
      <c r="K97" s="513">
        <v>-250</v>
      </c>
      <c r="L97" s="513">
        <v>1405</v>
      </c>
      <c r="M97" s="152" t="s">
        <v>7975</v>
      </c>
      <c r="N97" s="513" t="s">
        <v>1566</v>
      </c>
      <c r="O97" s="513" t="s">
        <v>1407</v>
      </c>
      <c r="P97" s="513" t="s">
        <v>7983</v>
      </c>
      <c r="Q97" s="518" t="s">
        <v>7796</v>
      </c>
      <c r="R97" s="152" t="s">
        <v>7984</v>
      </c>
      <c r="S97" s="152" t="s">
        <v>7978</v>
      </c>
      <c r="T97" s="152" t="s">
        <v>7985</v>
      </c>
      <c r="U97" s="152" t="s">
        <v>786</v>
      </c>
    </row>
    <row r="98" spans="4:21">
      <c r="D98" s="210"/>
      <c r="E98" s="210" t="s">
        <v>676</v>
      </c>
      <c r="F98" s="684" t="str">
        <f>+VLOOKUP(G98,Resumen_Base!$C$8:$G$156,5,0)</f>
        <v>Tips</v>
      </c>
      <c r="G98" s="152" t="s">
        <v>366</v>
      </c>
      <c r="H98" s="474" t="s">
        <v>367</v>
      </c>
      <c r="I98" s="152" t="str">
        <f t="shared" si="1"/>
        <v>CAR210609</v>
      </c>
      <c r="J98" s="847">
        <v>-913250</v>
      </c>
      <c r="K98" s="513">
        <v>-650</v>
      </c>
      <c r="L98" s="513">
        <v>1405</v>
      </c>
      <c r="M98" s="152" t="s">
        <v>7975</v>
      </c>
      <c r="N98" s="513" t="s">
        <v>1566</v>
      </c>
      <c r="O98" s="513" t="s">
        <v>1407</v>
      </c>
      <c r="P98" s="513" t="s">
        <v>7986</v>
      </c>
      <c r="Q98" s="518" t="s">
        <v>7796</v>
      </c>
      <c r="R98" s="152" t="s">
        <v>7987</v>
      </c>
      <c r="S98" s="152" t="s">
        <v>7978</v>
      </c>
      <c r="T98" s="152" t="s">
        <v>7988</v>
      </c>
      <c r="U98" s="152" t="s">
        <v>786</v>
      </c>
    </row>
    <row r="99" spans="4:21">
      <c r="D99" s="210"/>
      <c r="E99" s="210" t="s">
        <v>676</v>
      </c>
      <c r="F99" s="684" t="str">
        <f>+VLOOKUP(G99,Resumen_Base!$C$8:$G$156,5,0)</f>
        <v>Tips</v>
      </c>
      <c r="G99" s="152" t="s">
        <v>366</v>
      </c>
      <c r="H99" s="474" t="s">
        <v>367</v>
      </c>
      <c r="I99" s="152" t="str">
        <f t="shared" si="1"/>
        <v>CAR210609</v>
      </c>
      <c r="J99" s="847">
        <v>-772750</v>
      </c>
      <c r="K99" s="513">
        <v>-550</v>
      </c>
      <c r="L99" s="513">
        <v>1405</v>
      </c>
      <c r="M99" s="152" t="s">
        <v>7975</v>
      </c>
      <c r="N99" s="513" t="s">
        <v>1566</v>
      </c>
      <c r="O99" s="513" t="s">
        <v>1407</v>
      </c>
      <c r="P99" s="513" t="s">
        <v>7986</v>
      </c>
      <c r="Q99" s="518" t="s">
        <v>7796</v>
      </c>
      <c r="R99" s="152" t="s">
        <v>7987</v>
      </c>
      <c r="S99" s="152" t="s">
        <v>7978</v>
      </c>
      <c r="T99" s="152" t="s">
        <v>7988</v>
      </c>
      <c r="U99" s="152" t="s">
        <v>786</v>
      </c>
    </row>
    <row r="100" spans="4:21">
      <c r="D100" s="210"/>
      <c r="E100" s="210" t="s">
        <v>676</v>
      </c>
      <c r="F100" s="684" t="str">
        <f>+VLOOKUP(G100,Resumen_Base!$C$8:$G$156,5,0)</f>
        <v>Tips</v>
      </c>
      <c r="G100" s="152" t="s">
        <v>366</v>
      </c>
      <c r="H100" s="474" t="s">
        <v>367</v>
      </c>
      <c r="I100" s="152" t="str">
        <f t="shared" si="1"/>
        <v>CAR210609</v>
      </c>
      <c r="J100" s="847">
        <v>-843000</v>
      </c>
      <c r="K100" s="513">
        <v>-600</v>
      </c>
      <c r="L100" s="513">
        <v>1405</v>
      </c>
      <c r="M100" s="152" t="s">
        <v>7975</v>
      </c>
      <c r="N100" s="513" t="s">
        <v>1566</v>
      </c>
      <c r="O100" s="513" t="s">
        <v>1407</v>
      </c>
      <c r="P100" s="513" t="s">
        <v>7989</v>
      </c>
      <c r="Q100" s="518" t="s">
        <v>7796</v>
      </c>
      <c r="R100" s="152" t="s">
        <v>7990</v>
      </c>
      <c r="S100" s="152" t="s">
        <v>7978</v>
      </c>
      <c r="T100" s="152" t="s">
        <v>7991</v>
      </c>
      <c r="U100" s="152" t="s">
        <v>786</v>
      </c>
    </row>
    <row r="101" spans="4:21">
      <c r="D101" s="210"/>
      <c r="E101" s="210" t="s">
        <v>676</v>
      </c>
      <c r="F101" s="684" t="str">
        <f>+VLOOKUP(G101,Resumen_Base!$C$8:$G$156,5,0)</f>
        <v>Tips</v>
      </c>
      <c r="G101" s="152" t="s">
        <v>366</v>
      </c>
      <c r="H101" s="474" t="s">
        <v>367</v>
      </c>
      <c r="I101" s="152" t="str">
        <f t="shared" si="1"/>
        <v>CAR210609</v>
      </c>
      <c r="J101" s="847">
        <v>-843000</v>
      </c>
      <c r="K101" s="513">
        <v>-600</v>
      </c>
      <c r="L101" s="513">
        <v>1405</v>
      </c>
      <c r="M101" s="152" t="s">
        <v>7975</v>
      </c>
      <c r="N101" s="513" t="s">
        <v>1566</v>
      </c>
      <c r="O101" s="513" t="s">
        <v>1407</v>
      </c>
      <c r="P101" s="513" t="s">
        <v>7989</v>
      </c>
      <c r="Q101" s="518" t="s">
        <v>7796</v>
      </c>
      <c r="R101" s="152" t="s">
        <v>7990</v>
      </c>
      <c r="S101" s="152" t="s">
        <v>7978</v>
      </c>
      <c r="T101" s="152" t="s">
        <v>7991</v>
      </c>
      <c r="U101" s="152" t="s">
        <v>786</v>
      </c>
    </row>
    <row r="102" spans="4:21">
      <c r="D102" s="210"/>
      <c r="E102" s="210" t="s">
        <v>676</v>
      </c>
      <c r="F102" s="684" t="str">
        <f>+VLOOKUP(G102,Resumen_Base!$C$8:$G$156,5,0)</f>
        <v>Tips</v>
      </c>
      <c r="G102" s="152" t="s">
        <v>366</v>
      </c>
      <c r="H102" s="474" t="s">
        <v>367</v>
      </c>
      <c r="I102" s="152" t="str">
        <f t="shared" si="1"/>
        <v>CAR210609</v>
      </c>
      <c r="J102" s="847">
        <v>-576050</v>
      </c>
      <c r="K102" s="513">
        <v>-410</v>
      </c>
      <c r="L102" s="513">
        <v>1405</v>
      </c>
      <c r="M102" s="152" t="s">
        <v>7975</v>
      </c>
      <c r="N102" s="513" t="s">
        <v>1566</v>
      </c>
      <c r="O102" s="513" t="s">
        <v>1407</v>
      </c>
      <c r="P102" s="513" t="s">
        <v>7992</v>
      </c>
      <c r="Q102" s="518" t="s">
        <v>7796</v>
      </c>
      <c r="R102" s="152" t="s">
        <v>7993</v>
      </c>
      <c r="S102" s="152" t="s">
        <v>7978</v>
      </c>
      <c r="T102" s="152" t="s">
        <v>7994</v>
      </c>
      <c r="U102" s="152" t="s">
        <v>786</v>
      </c>
    </row>
    <row r="103" spans="4:21">
      <c r="D103" s="210"/>
      <c r="E103" s="210" t="s">
        <v>676</v>
      </c>
      <c r="F103" s="684" t="str">
        <f>+VLOOKUP(G103,Resumen_Base!$C$8:$G$156,5,0)</f>
        <v>Tips</v>
      </c>
      <c r="G103" s="152" t="s">
        <v>366</v>
      </c>
      <c r="H103" s="474" t="s">
        <v>367</v>
      </c>
      <c r="I103" s="152" t="str">
        <f t="shared" si="1"/>
        <v>CAR210609</v>
      </c>
      <c r="J103" s="847">
        <v>-351250</v>
      </c>
      <c r="K103" s="513">
        <v>-250</v>
      </c>
      <c r="L103" s="513">
        <v>1405</v>
      </c>
      <c r="M103" s="152" t="s">
        <v>7975</v>
      </c>
      <c r="N103" s="513" t="s">
        <v>1566</v>
      </c>
      <c r="O103" s="513" t="s">
        <v>1407</v>
      </c>
      <c r="P103" s="513" t="s">
        <v>7992</v>
      </c>
      <c r="Q103" s="518" t="s">
        <v>7796</v>
      </c>
      <c r="R103" s="152" t="s">
        <v>7993</v>
      </c>
      <c r="S103" s="152" t="s">
        <v>7978</v>
      </c>
      <c r="T103" s="152" t="s">
        <v>7994</v>
      </c>
      <c r="U103" s="152" t="s">
        <v>786</v>
      </c>
    </row>
    <row r="104" spans="4:21">
      <c r="D104" s="210"/>
      <c r="E104" s="210" t="s">
        <v>676</v>
      </c>
      <c r="F104" s="684" t="str">
        <f>+VLOOKUP(G104,Resumen_Base!$C$8:$G$156,5,0)</f>
        <v>Tips</v>
      </c>
      <c r="G104" s="152" t="s">
        <v>366</v>
      </c>
      <c r="H104" s="474" t="s">
        <v>367</v>
      </c>
      <c r="I104" s="152" t="str">
        <f t="shared" si="1"/>
        <v>CAR210609</v>
      </c>
      <c r="J104" s="847">
        <v>-702500</v>
      </c>
      <c r="K104" s="513">
        <v>-500</v>
      </c>
      <c r="L104" s="513">
        <v>1405</v>
      </c>
      <c r="M104" s="152" t="s">
        <v>7975</v>
      </c>
      <c r="N104" s="513" t="s">
        <v>1566</v>
      </c>
      <c r="O104" s="513" t="s">
        <v>1407</v>
      </c>
      <c r="P104" s="513" t="s">
        <v>7995</v>
      </c>
      <c r="Q104" s="518" t="s">
        <v>7796</v>
      </c>
      <c r="R104" s="152" t="s">
        <v>7996</v>
      </c>
      <c r="S104" s="152" t="s">
        <v>7978</v>
      </c>
      <c r="T104" s="152" t="s">
        <v>7997</v>
      </c>
      <c r="U104" s="152" t="s">
        <v>786</v>
      </c>
    </row>
    <row r="105" spans="4:21">
      <c r="D105" s="210"/>
      <c r="E105" s="210" t="s">
        <v>676</v>
      </c>
      <c r="F105" s="684" t="str">
        <f>+VLOOKUP(G105,Resumen_Base!$C$8:$G$156,5,0)</f>
        <v>Tips</v>
      </c>
      <c r="G105" s="152" t="s">
        <v>366</v>
      </c>
      <c r="H105" s="474" t="s">
        <v>367</v>
      </c>
      <c r="I105" s="152" t="str">
        <f t="shared" si="1"/>
        <v>CAR210609</v>
      </c>
      <c r="J105" s="847">
        <v>-983500</v>
      </c>
      <c r="K105" s="513">
        <v>-700</v>
      </c>
      <c r="L105" s="513">
        <v>1405</v>
      </c>
      <c r="M105" s="152" t="s">
        <v>7975</v>
      </c>
      <c r="N105" s="513" t="s">
        <v>1566</v>
      </c>
      <c r="O105" s="513" t="s">
        <v>1407</v>
      </c>
      <c r="P105" s="513" t="s">
        <v>7995</v>
      </c>
      <c r="Q105" s="518" t="s">
        <v>7796</v>
      </c>
      <c r="R105" s="152" t="s">
        <v>7996</v>
      </c>
      <c r="S105" s="152" t="s">
        <v>7978</v>
      </c>
      <c r="T105" s="152" t="s">
        <v>7997</v>
      </c>
      <c r="U105" s="152" t="s">
        <v>786</v>
      </c>
    </row>
    <row r="106" spans="4:21">
      <c r="D106" s="210"/>
      <c r="E106" s="210" t="s">
        <v>676</v>
      </c>
      <c r="F106" s="684" t="str">
        <f>+VLOOKUP(G106,Resumen_Base!$C$8:$G$156,5,0)</f>
        <v>Tips</v>
      </c>
      <c r="G106" s="152" t="s">
        <v>366</v>
      </c>
      <c r="H106" s="474" t="s">
        <v>367</v>
      </c>
      <c r="I106" s="152" t="str">
        <f t="shared" si="1"/>
        <v>CAR210609</v>
      </c>
      <c r="J106" s="847">
        <v>-632250</v>
      </c>
      <c r="K106" s="513">
        <v>-450</v>
      </c>
      <c r="L106" s="513">
        <v>1405</v>
      </c>
      <c r="M106" s="152" t="s">
        <v>7975</v>
      </c>
      <c r="N106" s="513" t="s">
        <v>1566</v>
      </c>
      <c r="O106" s="513" t="s">
        <v>1407</v>
      </c>
      <c r="P106" s="513" t="s">
        <v>8030</v>
      </c>
      <c r="Q106" s="518" t="s">
        <v>7796</v>
      </c>
      <c r="R106" s="152" t="s">
        <v>8031</v>
      </c>
      <c r="S106" s="152" t="s">
        <v>8032</v>
      </c>
      <c r="T106" s="152" t="s">
        <v>8033</v>
      </c>
      <c r="U106" s="152" t="s">
        <v>786</v>
      </c>
    </row>
    <row r="107" spans="4:21">
      <c r="D107" s="210"/>
      <c r="E107" s="210" t="s">
        <v>676</v>
      </c>
      <c r="F107" s="684" t="str">
        <f>+VLOOKUP(G107,Resumen_Base!$C$8:$G$156,5,0)</f>
        <v>Tips</v>
      </c>
      <c r="G107" s="152" t="s">
        <v>366</v>
      </c>
      <c r="H107" s="474" t="s">
        <v>367</v>
      </c>
      <c r="I107" s="152" t="str">
        <f t="shared" si="1"/>
        <v>CAR210609</v>
      </c>
      <c r="J107" s="847">
        <v>-1053750</v>
      </c>
      <c r="K107" s="513">
        <v>-750</v>
      </c>
      <c r="L107" s="513">
        <v>1405</v>
      </c>
      <c r="M107" s="152" t="s">
        <v>7975</v>
      </c>
      <c r="N107" s="513" t="s">
        <v>1566</v>
      </c>
      <c r="O107" s="513" t="s">
        <v>1407</v>
      </c>
      <c r="P107" s="513" t="s">
        <v>8030</v>
      </c>
      <c r="Q107" s="518" t="s">
        <v>7796</v>
      </c>
      <c r="R107" s="152" t="s">
        <v>8031</v>
      </c>
      <c r="S107" s="152" t="s">
        <v>8032</v>
      </c>
      <c r="T107" s="152" t="s">
        <v>8033</v>
      </c>
      <c r="U107" s="152" t="s">
        <v>786</v>
      </c>
    </row>
    <row r="108" spans="4:21">
      <c r="D108" s="210"/>
      <c r="E108" s="210" t="s">
        <v>676</v>
      </c>
      <c r="F108" s="684" t="str">
        <f>+VLOOKUP(G108,Resumen_Base!$C$8:$G$156,5,0)</f>
        <v>Tips</v>
      </c>
      <c r="G108" s="152" t="s">
        <v>366</v>
      </c>
      <c r="H108" s="474" t="s">
        <v>367</v>
      </c>
      <c r="I108" s="152" t="str">
        <f t="shared" si="1"/>
        <v>CAR210609</v>
      </c>
      <c r="J108" s="847">
        <v>-1053750</v>
      </c>
      <c r="K108" s="513">
        <v>-750</v>
      </c>
      <c r="L108" s="513">
        <v>1405</v>
      </c>
      <c r="M108" s="152" t="s">
        <v>7975</v>
      </c>
      <c r="N108" s="513" t="s">
        <v>1566</v>
      </c>
      <c r="O108" s="513" t="s">
        <v>1407</v>
      </c>
      <c r="P108" s="513" t="s">
        <v>8034</v>
      </c>
      <c r="Q108" s="518" t="s">
        <v>7796</v>
      </c>
      <c r="R108" s="152" t="s">
        <v>8035</v>
      </c>
      <c r="S108" s="152" t="s">
        <v>8032</v>
      </c>
      <c r="T108" s="152" t="s">
        <v>8036</v>
      </c>
      <c r="U108" s="152" t="s">
        <v>786</v>
      </c>
    </row>
    <row r="109" spans="4:21">
      <c r="D109" s="210"/>
      <c r="E109" s="210" t="s">
        <v>676</v>
      </c>
      <c r="F109" s="684" t="str">
        <f>+VLOOKUP(G109,Resumen_Base!$C$8:$G$156,5,0)</f>
        <v>Tips</v>
      </c>
      <c r="G109" s="152" t="s">
        <v>366</v>
      </c>
      <c r="H109" s="474" t="s">
        <v>367</v>
      </c>
      <c r="I109" s="152" t="str">
        <f t="shared" si="1"/>
        <v>CAR210609</v>
      </c>
      <c r="J109" s="847">
        <v>-632250</v>
      </c>
      <c r="K109" s="513">
        <v>-450</v>
      </c>
      <c r="L109" s="513">
        <v>1405</v>
      </c>
      <c r="M109" s="152" t="s">
        <v>7975</v>
      </c>
      <c r="N109" s="513" t="s">
        <v>1566</v>
      </c>
      <c r="O109" s="513" t="s">
        <v>1407</v>
      </c>
      <c r="P109" s="513" t="s">
        <v>8034</v>
      </c>
      <c r="Q109" s="518" t="s">
        <v>7796</v>
      </c>
      <c r="R109" s="152" t="s">
        <v>8035</v>
      </c>
      <c r="S109" s="152" t="s">
        <v>8032</v>
      </c>
      <c r="T109" s="152" t="s">
        <v>8036</v>
      </c>
      <c r="U109" s="152" t="s">
        <v>786</v>
      </c>
    </row>
    <row r="110" spans="4:21">
      <c r="D110" s="210"/>
      <c r="E110" s="210" t="s">
        <v>676</v>
      </c>
      <c r="F110" s="684" t="str">
        <f>+VLOOKUP(G110,Resumen_Base!$C$8:$G$156,5,0)</f>
        <v>Tips</v>
      </c>
      <c r="G110" s="152" t="s">
        <v>366</v>
      </c>
      <c r="H110" s="474" t="s">
        <v>367</v>
      </c>
      <c r="I110" s="152" t="str">
        <f t="shared" si="1"/>
        <v>CAR210609</v>
      </c>
      <c r="J110" s="847">
        <v>-1065000</v>
      </c>
      <c r="K110" s="513">
        <v>-750</v>
      </c>
      <c r="L110" s="513">
        <v>1420</v>
      </c>
      <c r="M110" s="152" t="s">
        <v>7143</v>
      </c>
      <c r="N110" s="513" t="s">
        <v>1566</v>
      </c>
      <c r="O110" s="513" t="s">
        <v>1407</v>
      </c>
      <c r="P110" s="513" t="s">
        <v>8037</v>
      </c>
      <c r="Q110" s="518" t="s">
        <v>7796</v>
      </c>
      <c r="R110" s="152" t="s">
        <v>8038</v>
      </c>
      <c r="S110" s="152" t="s">
        <v>8039</v>
      </c>
      <c r="T110" s="152" t="s">
        <v>8040</v>
      </c>
      <c r="U110" s="152" t="s">
        <v>786</v>
      </c>
    </row>
    <row r="111" spans="4:21">
      <c r="D111" s="210"/>
      <c r="E111" s="210" t="s">
        <v>676</v>
      </c>
      <c r="F111" s="684" t="str">
        <f>+VLOOKUP(G111,Resumen_Base!$C$8:$G$156,5,0)</f>
        <v>Tips</v>
      </c>
      <c r="G111" s="152" t="s">
        <v>366</v>
      </c>
      <c r="H111" s="474" t="s">
        <v>367</v>
      </c>
      <c r="I111" s="152" t="str">
        <f t="shared" si="1"/>
        <v>CAR210609</v>
      </c>
      <c r="J111" s="847">
        <v>-639000</v>
      </c>
      <c r="K111" s="513">
        <v>-450</v>
      </c>
      <c r="L111" s="513">
        <v>1420</v>
      </c>
      <c r="M111" s="152" t="s">
        <v>7143</v>
      </c>
      <c r="N111" s="513" t="s">
        <v>1566</v>
      </c>
      <c r="O111" s="513" t="s">
        <v>1407</v>
      </c>
      <c r="P111" s="513" t="s">
        <v>8037</v>
      </c>
      <c r="Q111" s="518" t="s">
        <v>7796</v>
      </c>
      <c r="R111" s="152" t="s">
        <v>8038</v>
      </c>
      <c r="S111" s="152" t="s">
        <v>8039</v>
      </c>
      <c r="T111" s="152" t="s">
        <v>8040</v>
      </c>
      <c r="U111" s="152" t="s">
        <v>786</v>
      </c>
    </row>
    <row r="112" spans="4:21">
      <c r="D112" s="210"/>
      <c r="E112" s="210" t="s">
        <v>676</v>
      </c>
      <c r="F112" s="684" t="str">
        <f>+VLOOKUP(G112,Resumen_Base!$C$8:$G$156,5,0)</f>
        <v>Tips</v>
      </c>
      <c r="G112" s="152" t="s">
        <v>366</v>
      </c>
      <c r="H112" s="474" t="s">
        <v>367</v>
      </c>
      <c r="I112" s="152" t="str">
        <f t="shared" si="1"/>
        <v>CAR210609</v>
      </c>
      <c r="J112" s="847">
        <v>-1065000</v>
      </c>
      <c r="K112" s="513">
        <v>-750</v>
      </c>
      <c r="L112" s="513">
        <v>1420</v>
      </c>
      <c r="M112" s="152" t="s">
        <v>7143</v>
      </c>
      <c r="N112" s="513" t="s">
        <v>1566</v>
      </c>
      <c r="O112" s="513" t="s">
        <v>1407</v>
      </c>
      <c r="P112" s="513" t="s">
        <v>8041</v>
      </c>
      <c r="Q112" s="518" t="s">
        <v>7796</v>
      </c>
      <c r="R112" s="152" t="s">
        <v>8042</v>
      </c>
      <c r="S112" s="152" t="s">
        <v>8039</v>
      </c>
      <c r="T112" s="152" t="s">
        <v>8043</v>
      </c>
      <c r="U112" s="152" t="s">
        <v>786</v>
      </c>
    </row>
    <row r="113" spans="4:21">
      <c r="D113" s="210"/>
      <c r="E113" s="210" t="s">
        <v>676</v>
      </c>
      <c r="F113" s="684" t="str">
        <f>+VLOOKUP(G113,Resumen_Base!$C$8:$G$156,5,0)</f>
        <v>Tips</v>
      </c>
      <c r="G113" s="152" t="s">
        <v>366</v>
      </c>
      <c r="H113" s="474" t="s">
        <v>367</v>
      </c>
      <c r="I113" s="152" t="str">
        <f t="shared" si="1"/>
        <v>CAR210609</v>
      </c>
      <c r="J113" s="847">
        <v>-639000</v>
      </c>
      <c r="K113" s="513">
        <v>-450</v>
      </c>
      <c r="L113" s="513">
        <v>1420</v>
      </c>
      <c r="M113" s="152" t="s">
        <v>7143</v>
      </c>
      <c r="N113" s="513" t="s">
        <v>1566</v>
      </c>
      <c r="O113" s="513" t="s">
        <v>1407</v>
      </c>
      <c r="P113" s="513" t="s">
        <v>8041</v>
      </c>
      <c r="Q113" s="518" t="s">
        <v>7796</v>
      </c>
      <c r="R113" s="152" t="s">
        <v>8042</v>
      </c>
      <c r="S113" s="152" t="s">
        <v>8039</v>
      </c>
      <c r="T113" s="152" t="s">
        <v>8043</v>
      </c>
      <c r="U113" s="152" t="s">
        <v>786</v>
      </c>
    </row>
    <row r="114" spans="4:21">
      <c r="D114" s="210"/>
      <c r="E114" s="210" t="s">
        <v>676</v>
      </c>
      <c r="F114" s="684" t="str">
        <f>+VLOOKUP(G114,Resumen_Base!$C$8:$G$156,5,0)</f>
        <v>Tips</v>
      </c>
      <c r="G114" s="152" t="s">
        <v>366</v>
      </c>
      <c r="H114" s="474" t="s">
        <v>367</v>
      </c>
      <c r="I114" s="152" t="str">
        <f t="shared" si="1"/>
        <v>CAR210609</v>
      </c>
      <c r="J114" s="847">
        <v>-568000</v>
      </c>
      <c r="K114" s="513">
        <v>-400</v>
      </c>
      <c r="L114" s="513">
        <v>1420</v>
      </c>
      <c r="M114" s="152" t="s">
        <v>7143</v>
      </c>
      <c r="N114" s="513" t="s">
        <v>1566</v>
      </c>
      <c r="O114" s="513" t="s">
        <v>1407</v>
      </c>
      <c r="P114" s="513" t="s">
        <v>8044</v>
      </c>
      <c r="Q114" s="518" t="s">
        <v>7796</v>
      </c>
      <c r="R114" s="152" t="s">
        <v>8045</v>
      </c>
      <c r="S114" s="152" t="s">
        <v>8046</v>
      </c>
      <c r="T114" s="152" t="s">
        <v>8047</v>
      </c>
      <c r="U114" s="152" t="s">
        <v>786</v>
      </c>
    </row>
    <row r="115" spans="4:21">
      <c r="D115" s="210"/>
      <c r="E115" s="210" t="s">
        <v>676</v>
      </c>
      <c r="F115" s="684" t="str">
        <f>+VLOOKUP(G115,Resumen_Base!$C$8:$G$156,5,0)</f>
        <v>Tips</v>
      </c>
      <c r="G115" s="152" t="s">
        <v>366</v>
      </c>
      <c r="H115" s="474" t="s">
        <v>367</v>
      </c>
      <c r="I115" s="152" t="str">
        <f t="shared" si="1"/>
        <v>CAR210609</v>
      </c>
      <c r="J115" s="847">
        <v>-1136000</v>
      </c>
      <c r="K115" s="513">
        <v>-800</v>
      </c>
      <c r="L115" s="513">
        <v>1420</v>
      </c>
      <c r="M115" s="152" t="s">
        <v>7143</v>
      </c>
      <c r="N115" s="513" t="s">
        <v>1566</v>
      </c>
      <c r="O115" s="513" t="s">
        <v>1407</v>
      </c>
      <c r="P115" s="513" t="s">
        <v>8044</v>
      </c>
      <c r="Q115" s="518" t="s">
        <v>7796</v>
      </c>
      <c r="R115" s="152" t="s">
        <v>8045</v>
      </c>
      <c r="S115" s="152" t="s">
        <v>8046</v>
      </c>
      <c r="T115" s="152" t="s">
        <v>8047</v>
      </c>
      <c r="U115" s="152" t="s">
        <v>786</v>
      </c>
    </row>
    <row r="116" spans="4:21">
      <c r="D116" s="210"/>
      <c r="E116" s="210" t="s">
        <v>676</v>
      </c>
      <c r="F116" s="684" t="str">
        <f>+VLOOKUP(G116,Resumen_Base!$C$8:$G$156,5,0)</f>
        <v>Tips</v>
      </c>
      <c r="G116" s="152" t="s">
        <v>366</v>
      </c>
      <c r="H116" s="474" t="s">
        <v>367</v>
      </c>
      <c r="I116" s="152" t="str">
        <f t="shared" si="1"/>
        <v>CAR210609</v>
      </c>
      <c r="J116" s="847">
        <v>-1136000</v>
      </c>
      <c r="K116" s="513">
        <v>-800</v>
      </c>
      <c r="L116" s="513">
        <v>1420</v>
      </c>
      <c r="M116" s="152" t="s">
        <v>7143</v>
      </c>
      <c r="N116" s="513" t="s">
        <v>1566</v>
      </c>
      <c r="O116" s="513" t="s">
        <v>1407</v>
      </c>
      <c r="P116" s="513" t="s">
        <v>8048</v>
      </c>
      <c r="Q116" s="518" t="s">
        <v>7796</v>
      </c>
      <c r="R116" s="152" t="s">
        <v>8049</v>
      </c>
      <c r="S116" s="152" t="s">
        <v>8046</v>
      </c>
      <c r="T116" s="152" t="s">
        <v>8050</v>
      </c>
      <c r="U116" s="152" t="s">
        <v>786</v>
      </c>
    </row>
    <row r="117" spans="4:21">
      <c r="D117" s="210"/>
      <c r="E117" s="210" t="s">
        <v>676</v>
      </c>
      <c r="F117" s="684" t="str">
        <f>+VLOOKUP(G117,Resumen_Base!$C$8:$G$156,5,0)</f>
        <v>Tips</v>
      </c>
      <c r="G117" s="152" t="s">
        <v>366</v>
      </c>
      <c r="H117" s="474" t="s">
        <v>367</v>
      </c>
      <c r="I117" s="152" t="str">
        <f t="shared" si="1"/>
        <v>CAR210609</v>
      </c>
      <c r="J117" s="847">
        <v>-568000</v>
      </c>
      <c r="K117" s="513">
        <v>-400</v>
      </c>
      <c r="L117" s="513">
        <v>1420</v>
      </c>
      <c r="M117" s="152" t="s">
        <v>7143</v>
      </c>
      <c r="N117" s="513" t="s">
        <v>1566</v>
      </c>
      <c r="O117" s="513" t="s">
        <v>1407</v>
      </c>
      <c r="P117" s="513" t="s">
        <v>8048</v>
      </c>
      <c r="Q117" s="518" t="s">
        <v>7796</v>
      </c>
      <c r="R117" s="152" t="s">
        <v>8049</v>
      </c>
      <c r="S117" s="152" t="s">
        <v>8046</v>
      </c>
      <c r="T117" s="152" t="s">
        <v>8050</v>
      </c>
      <c r="U117" s="152" t="s">
        <v>786</v>
      </c>
    </row>
    <row r="118" spans="4:21">
      <c r="D118" s="210"/>
      <c r="E118" s="210" t="s">
        <v>676</v>
      </c>
      <c r="F118" s="684" t="str">
        <f>+VLOOKUP(G118,Resumen_Base!$C$8:$G$156,5,0)</f>
        <v>Tips</v>
      </c>
      <c r="G118" s="152" t="s">
        <v>366</v>
      </c>
      <c r="H118" s="474" t="s">
        <v>367</v>
      </c>
      <c r="I118" s="152" t="str">
        <f t="shared" si="1"/>
        <v>CAR210609</v>
      </c>
      <c r="J118" s="847">
        <v>-568000</v>
      </c>
      <c r="K118" s="513">
        <v>-400</v>
      </c>
      <c r="L118" s="513">
        <v>1420</v>
      </c>
      <c r="M118" s="152" t="s">
        <v>7143</v>
      </c>
      <c r="N118" s="513" t="s">
        <v>1566</v>
      </c>
      <c r="O118" s="513" t="s">
        <v>1407</v>
      </c>
      <c r="P118" s="513" t="s">
        <v>8051</v>
      </c>
      <c r="Q118" s="518" t="s">
        <v>7796</v>
      </c>
      <c r="R118" s="152" t="s">
        <v>8052</v>
      </c>
      <c r="S118" s="152" t="s">
        <v>8046</v>
      </c>
      <c r="T118" s="152" t="s">
        <v>8053</v>
      </c>
      <c r="U118" s="152" t="s">
        <v>786</v>
      </c>
    </row>
    <row r="119" spans="4:21">
      <c r="D119" s="210"/>
      <c r="E119" s="210" t="s">
        <v>676</v>
      </c>
      <c r="F119" s="684" t="str">
        <f>+VLOOKUP(G119,Resumen_Base!$C$8:$G$156,5,0)</f>
        <v>Tips</v>
      </c>
      <c r="G119" s="152" t="s">
        <v>366</v>
      </c>
      <c r="H119" s="474" t="s">
        <v>367</v>
      </c>
      <c r="I119" s="152" t="str">
        <f t="shared" si="1"/>
        <v>CAR210609</v>
      </c>
      <c r="J119" s="847">
        <v>-1136000</v>
      </c>
      <c r="K119" s="513">
        <v>-800</v>
      </c>
      <c r="L119" s="513">
        <v>1420</v>
      </c>
      <c r="M119" s="152" t="s">
        <v>7143</v>
      </c>
      <c r="N119" s="513" t="s">
        <v>1566</v>
      </c>
      <c r="O119" s="513" t="s">
        <v>1407</v>
      </c>
      <c r="P119" s="513" t="s">
        <v>8051</v>
      </c>
      <c r="Q119" s="518" t="s">
        <v>7796</v>
      </c>
      <c r="R119" s="152" t="s">
        <v>8052</v>
      </c>
      <c r="S119" s="152" t="s">
        <v>8046</v>
      </c>
      <c r="T119" s="152" t="s">
        <v>8053</v>
      </c>
      <c r="U119" s="152" t="s">
        <v>786</v>
      </c>
    </row>
    <row r="120" spans="4:21">
      <c r="D120" s="210"/>
      <c r="E120" s="210" t="s">
        <v>676</v>
      </c>
      <c r="F120" s="684" t="str">
        <f>+VLOOKUP(G120,Resumen_Base!$C$8:$G$156,5,0)</f>
        <v>Tips</v>
      </c>
      <c r="G120" s="152" t="s">
        <v>366</v>
      </c>
      <c r="H120" s="474" t="s">
        <v>367</v>
      </c>
      <c r="I120" s="152" t="str">
        <f t="shared" si="1"/>
        <v>CAR210609</v>
      </c>
      <c r="J120" s="847">
        <v>-568000</v>
      </c>
      <c r="K120" s="513">
        <v>-400</v>
      </c>
      <c r="L120" s="513">
        <v>1420</v>
      </c>
      <c r="M120" s="152" t="s">
        <v>7143</v>
      </c>
      <c r="N120" s="513" t="s">
        <v>1566</v>
      </c>
      <c r="O120" s="513" t="s">
        <v>1407</v>
      </c>
      <c r="P120" s="513" t="s">
        <v>8054</v>
      </c>
      <c r="Q120" s="518" t="s">
        <v>7796</v>
      </c>
      <c r="R120" s="152" t="s">
        <v>8055</v>
      </c>
      <c r="S120" s="152" t="s">
        <v>8046</v>
      </c>
      <c r="T120" s="152" t="s">
        <v>8056</v>
      </c>
      <c r="U120" s="152" t="s">
        <v>786</v>
      </c>
    </row>
    <row r="121" spans="4:21">
      <c r="D121" s="210"/>
      <c r="E121" s="210" t="s">
        <v>676</v>
      </c>
      <c r="F121" s="684" t="str">
        <f>+VLOOKUP(G121,Resumen_Base!$C$8:$G$156,5,0)</f>
        <v>Tips</v>
      </c>
      <c r="G121" s="152" t="s">
        <v>366</v>
      </c>
      <c r="H121" s="474" t="s">
        <v>367</v>
      </c>
      <c r="I121" s="152" t="str">
        <f t="shared" si="1"/>
        <v>CAR210609</v>
      </c>
      <c r="J121" s="847">
        <v>-1136000</v>
      </c>
      <c r="K121" s="513">
        <v>-800</v>
      </c>
      <c r="L121" s="513">
        <v>1420</v>
      </c>
      <c r="M121" s="152" t="s">
        <v>7143</v>
      </c>
      <c r="N121" s="513" t="s">
        <v>1566</v>
      </c>
      <c r="O121" s="513" t="s">
        <v>1407</v>
      </c>
      <c r="P121" s="513" t="s">
        <v>8054</v>
      </c>
      <c r="Q121" s="518" t="s">
        <v>7796</v>
      </c>
      <c r="R121" s="152" t="s">
        <v>8055</v>
      </c>
      <c r="S121" s="152" t="s">
        <v>8046</v>
      </c>
      <c r="T121" s="152" t="s">
        <v>8056</v>
      </c>
      <c r="U121" s="152" t="s">
        <v>786</v>
      </c>
    </row>
    <row r="122" spans="4:21">
      <c r="D122" s="210"/>
      <c r="E122" s="210" t="s">
        <v>676</v>
      </c>
      <c r="F122" s="684" t="str">
        <f>+VLOOKUP(G122,Resumen_Base!$C$8:$G$156,5,0)</f>
        <v>Tips</v>
      </c>
      <c r="G122" s="152" t="s">
        <v>366</v>
      </c>
      <c r="H122" s="474" t="s">
        <v>367</v>
      </c>
      <c r="I122" s="152" t="str">
        <f t="shared" si="1"/>
        <v>CAR210609</v>
      </c>
      <c r="J122" s="847">
        <v>-497000</v>
      </c>
      <c r="K122" s="513">
        <v>-350</v>
      </c>
      <c r="L122" s="513">
        <v>1420</v>
      </c>
      <c r="M122" s="152" t="s">
        <v>7143</v>
      </c>
      <c r="N122" s="513" t="s">
        <v>1566</v>
      </c>
      <c r="O122" s="513" t="s">
        <v>1407</v>
      </c>
      <c r="P122" s="513" t="s">
        <v>8057</v>
      </c>
      <c r="Q122" s="518" t="s">
        <v>7796</v>
      </c>
      <c r="R122" s="152" t="s">
        <v>8058</v>
      </c>
      <c r="S122" s="152" t="s">
        <v>8059</v>
      </c>
      <c r="T122" s="152" t="s">
        <v>8060</v>
      </c>
      <c r="U122" s="152" t="s">
        <v>786</v>
      </c>
    </row>
    <row r="123" spans="4:21">
      <c r="D123" s="210"/>
      <c r="E123" s="210" t="s">
        <v>676</v>
      </c>
      <c r="F123" s="684" t="str">
        <f>+VLOOKUP(G123,Resumen_Base!$C$8:$G$156,5,0)</f>
        <v>Tips</v>
      </c>
      <c r="G123" s="152" t="s">
        <v>366</v>
      </c>
      <c r="H123" s="474" t="s">
        <v>367</v>
      </c>
      <c r="I123" s="152" t="str">
        <f t="shared" si="1"/>
        <v>CAR210609</v>
      </c>
      <c r="J123" s="847">
        <v>-1306400</v>
      </c>
      <c r="K123" s="513">
        <v>-920</v>
      </c>
      <c r="L123" s="513">
        <v>1420</v>
      </c>
      <c r="M123" s="152" t="s">
        <v>7143</v>
      </c>
      <c r="N123" s="513" t="s">
        <v>1566</v>
      </c>
      <c r="O123" s="513" t="s">
        <v>1407</v>
      </c>
      <c r="P123" s="513" t="s">
        <v>8057</v>
      </c>
      <c r="Q123" s="518" t="s">
        <v>7796</v>
      </c>
      <c r="R123" s="152" t="s">
        <v>8058</v>
      </c>
      <c r="S123" s="152" t="s">
        <v>8059</v>
      </c>
      <c r="T123" s="152" t="s">
        <v>8060</v>
      </c>
      <c r="U123" s="152" t="s">
        <v>786</v>
      </c>
    </row>
    <row r="124" spans="4:21">
      <c r="D124" s="210"/>
      <c r="E124" s="210" t="s">
        <v>676</v>
      </c>
      <c r="F124" s="684" t="str">
        <f>+VLOOKUP(G124,Resumen_Base!$C$8:$G$156,5,0)</f>
        <v>Tips</v>
      </c>
      <c r="G124" s="152" t="s">
        <v>366</v>
      </c>
      <c r="H124" s="474" t="s">
        <v>367</v>
      </c>
      <c r="I124" s="152" t="str">
        <f t="shared" si="1"/>
        <v>CAR210609</v>
      </c>
      <c r="J124" s="847">
        <v>-497000</v>
      </c>
      <c r="K124" s="513">
        <v>-350</v>
      </c>
      <c r="L124" s="513">
        <v>1420</v>
      </c>
      <c r="M124" s="152" t="s">
        <v>7143</v>
      </c>
      <c r="N124" s="513" t="s">
        <v>1566</v>
      </c>
      <c r="O124" s="513" t="s">
        <v>1407</v>
      </c>
      <c r="P124" s="513" t="s">
        <v>8061</v>
      </c>
      <c r="Q124" s="518" t="s">
        <v>7796</v>
      </c>
      <c r="R124" s="152" t="s">
        <v>8062</v>
      </c>
      <c r="S124" s="152" t="s">
        <v>8059</v>
      </c>
      <c r="T124" s="152" t="s">
        <v>8063</v>
      </c>
      <c r="U124" s="152" t="s">
        <v>786</v>
      </c>
    </row>
    <row r="125" spans="4:21">
      <c r="D125" s="210"/>
      <c r="E125" s="210" t="s">
        <v>676</v>
      </c>
      <c r="F125" s="684" t="str">
        <f>+VLOOKUP(G125,Resumen_Base!$C$8:$G$156,5,0)</f>
        <v>Tips</v>
      </c>
      <c r="G125" s="152" t="s">
        <v>366</v>
      </c>
      <c r="H125" s="474" t="s">
        <v>367</v>
      </c>
      <c r="I125" s="152" t="str">
        <f t="shared" si="1"/>
        <v>CAR210609</v>
      </c>
      <c r="J125" s="847">
        <v>-653200</v>
      </c>
      <c r="K125" s="513">
        <v>-460</v>
      </c>
      <c r="L125" s="513">
        <v>1420</v>
      </c>
      <c r="M125" s="152" t="s">
        <v>7143</v>
      </c>
      <c r="N125" s="513" t="s">
        <v>1566</v>
      </c>
      <c r="O125" s="513" t="s">
        <v>1407</v>
      </c>
      <c r="P125" s="513" t="s">
        <v>8061</v>
      </c>
      <c r="Q125" s="518" t="s">
        <v>7796</v>
      </c>
      <c r="R125" s="152" t="s">
        <v>8062</v>
      </c>
      <c r="S125" s="152" t="s">
        <v>8059</v>
      </c>
      <c r="T125" s="152" t="s">
        <v>8063</v>
      </c>
      <c r="U125" s="152" t="s">
        <v>786</v>
      </c>
    </row>
    <row r="126" spans="4:21">
      <c r="D126" s="210"/>
      <c r="E126" s="210" t="s">
        <v>676</v>
      </c>
      <c r="F126" s="684" t="str">
        <f>+VLOOKUP(G126,Resumen_Base!$C$8:$G$156,5,0)</f>
        <v>Tips</v>
      </c>
      <c r="G126" s="152" t="s">
        <v>366</v>
      </c>
      <c r="H126" s="474" t="s">
        <v>367</v>
      </c>
      <c r="I126" s="152" t="str">
        <f t="shared" si="1"/>
        <v>CAR210609</v>
      </c>
      <c r="J126" s="847">
        <v>-653200</v>
      </c>
      <c r="K126" s="513">
        <v>-460</v>
      </c>
      <c r="L126" s="513">
        <v>1420</v>
      </c>
      <c r="M126" s="152" t="s">
        <v>7143</v>
      </c>
      <c r="N126" s="513" t="s">
        <v>1566</v>
      </c>
      <c r="O126" s="513" t="s">
        <v>1407</v>
      </c>
      <c r="P126" s="513" t="s">
        <v>8064</v>
      </c>
      <c r="Q126" s="518" t="s">
        <v>7796</v>
      </c>
      <c r="R126" s="152" t="s">
        <v>8065</v>
      </c>
      <c r="S126" s="152" t="s">
        <v>8059</v>
      </c>
      <c r="T126" s="152" t="s">
        <v>8066</v>
      </c>
      <c r="U126" s="152" t="s">
        <v>786</v>
      </c>
    </row>
    <row r="127" spans="4:21">
      <c r="D127" s="210"/>
      <c r="E127" s="210" t="s">
        <v>676</v>
      </c>
      <c r="F127" s="684" t="str">
        <f>+VLOOKUP(G127,Resumen_Base!$C$8:$G$156,5,0)</f>
        <v>Tips</v>
      </c>
      <c r="G127" s="152" t="s">
        <v>366</v>
      </c>
      <c r="H127" s="474" t="s">
        <v>367</v>
      </c>
      <c r="I127" s="152" t="str">
        <f t="shared" si="1"/>
        <v>CAR210609</v>
      </c>
      <c r="J127" s="847">
        <v>-497000</v>
      </c>
      <c r="K127" s="513">
        <v>-350</v>
      </c>
      <c r="L127" s="513">
        <v>1420</v>
      </c>
      <c r="M127" s="152" t="s">
        <v>7143</v>
      </c>
      <c r="N127" s="513" t="s">
        <v>1566</v>
      </c>
      <c r="O127" s="513" t="s">
        <v>1407</v>
      </c>
      <c r="P127" s="513" t="s">
        <v>8064</v>
      </c>
      <c r="Q127" s="518" t="s">
        <v>7796</v>
      </c>
      <c r="R127" s="152" t="s">
        <v>8065</v>
      </c>
      <c r="S127" s="152" t="s">
        <v>8059</v>
      </c>
      <c r="T127" s="152" t="s">
        <v>8066</v>
      </c>
      <c r="U127" s="152" t="s">
        <v>786</v>
      </c>
    </row>
    <row r="128" spans="4:21">
      <c r="D128" s="210"/>
      <c r="E128" s="210" t="s">
        <v>676</v>
      </c>
      <c r="F128" s="684" t="str">
        <f>+VLOOKUP(G128,Resumen_Base!$C$8:$G$156,5,0)</f>
        <v>Tips</v>
      </c>
      <c r="G128" s="152" t="s">
        <v>366</v>
      </c>
      <c r="H128" s="474" t="s">
        <v>367</v>
      </c>
      <c r="I128" s="152" t="str">
        <f t="shared" si="1"/>
        <v>CAR210609</v>
      </c>
      <c r="J128" s="847">
        <v>-653200</v>
      </c>
      <c r="K128" s="513">
        <v>-460</v>
      </c>
      <c r="L128" s="513">
        <v>1420</v>
      </c>
      <c r="M128" s="152" t="s">
        <v>7143</v>
      </c>
      <c r="N128" s="513" t="s">
        <v>1566</v>
      </c>
      <c r="O128" s="513" t="s">
        <v>1407</v>
      </c>
      <c r="P128" s="513" t="s">
        <v>8067</v>
      </c>
      <c r="Q128" s="518" t="s">
        <v>7796</v>
      </c>
      <c r="R128" s="152" t="s">
        <v>8068</v>
      </c>
      <c r="S128" s="152" t="s">
        <v>8059</v>
      </c>
      <c r="T128" s="152" t="s">
        <v>8069</v>
      </c>
      <c r="U128" s="152" t="s">
        <v>786</v>
      </c>
    </row>
    <row r="129" spans="4:21">
      <c r="D129" s="210"/>
      <c r="E129" s="210" t="s">
        <v>676</v>
      </c>
      <c r="F129" s="684" t="str">
        <f>+VLOOKUP(G129,Resumen_Base!$C$8:$G$156,5,0)</f>
        <v>Tips</v>
      </c>
      <c r="G129" s="152" t="s">
        <v>366</v>
      </c>
      <c r="H129" s="474" t="s">
        <v>367</v>
      </c>
      <c r="I129" s="152" t="str">
        <f t="shared" si="1"/>
        <v>CAR210609</v>
      </c>
      <c r="J129" s="847">
        <v>-497000</v>
      </c>
      <c r="K129" s="513">
        <v>-350</v>
      </c>
      <c r="L129" s="513">
        <v>1420</v>
      </c>
      <c r="M129" s="152" t="s">
        <v>7143</v>
      </c>
      <c r="N129" s="513" t="s">
        <v>1566</v>
      </c>
      <c r="O129" s="513" t="s">
        <v>1407</v>
      </c>
      <c r="P129" s="513" t="s">
        <v>8067</v>
      </c>
      <c r="Q129" s="518" t="s">
        <v>7796</v>
      </c>
      <c r="R129" s="152" t="s">
        <v>8068</v>
      </c>
      <c r="S129" s="152" t="s">
        <v>8059</v>
      </c>
      <c r="T129" s="152" t="s">
        <v>8069</v>
      </c>
      <c r="U129" s="152" t="s">
        <v>786</v>
      </c>
    </row>
    <row r="130" spans="4:21">
      <c r="D130" s="210"/>
      <c r="E130" s="210" t="s">
        <v>676</v>
      </c>
      <c r="F130" s="684" t="str">
        <f>+VLOOKUP(G130,Resumen_Base!$C$8:$G$156,5,0)</f>
        <v>Extras</v>
      </c>
      <c r="G130" s="152" t="s">
        <v>291</v>
      </c>
      <c r="H130" s="474" t="s">
        <v>292</v>
      </c>
      <c r="I130" s="152" t="str">
        <f t="shared" si="1"/>
        <v>CAR4103</v>
      </c>
      <c r="J130" s="847">
        <v>-255710</v>
      </c>
      <c r="K130" s="513">
        <v>-182</v>
      </c>
      <c r="L130" s="513">
        <v>1405</v>
      </c>
      <c r="M130" s="152" t="s">
        <v>7808</v>
      </c>
      <c r="N130" s="513" t="s">
        <v>1566</v>
      </c>
      <c r="O130" s="513" t="s">
        <v>1407</v>
      </c>
      <c r="P130" s="513" t="s">
        <v>7829</v>
      </c>
      <c r="Q130" s="518" t="s">
        <v>7796</v>
      </c>
      <c r="R130" s="152" t="s">
        <v>7830</v>
      </c>
      <c r="S130" s="152" t="s">
        <v>7831</v>
      </c>
      <c r="T130" s="152" t="s">
        <v>7832</v>
      </c>
      <c r="U130" s="152" t="s">
        <v>786</v>
      </c>
    </row>
    <row r="131" spans="4:21">
      <c r="D131" s="210"/>
      <c r="E131" s="210" t="s">
        <v>676</v>
      </c>
      <c r="F131" s="684" t="str">
        <f>+VLOOKUP(G131,Resumen_Base!$C$8:$G$156,5,0)</f>
        <v>Extras</v>
      </c>
      <c r="G131" s="152" t="s">
        <v>291</v>
      </c>
      <c r="H131" s="474" t="s">
        <v>292</v>
      </c>
      <c r="I131" s="152" t="str">
        <f t="shared" si="1"/>
        <v>CAR4103</v>
      </c>
      <c r="J131" s="847">
        <v>-491750</v>
      </c>
      <c r="K131" s="513">
        <v>-350</v>
      </c>
      <c r="L131" s="513">
        <v>1405</v>
      </c>
      <c r="M131" s="152" t="s">
        <v>7808</v>
      </c>
      <c r="N131" s="513" t="s">
        <v>1566</v>
      </c>
      <c r="O131" s="513" t="s">
        <v>1407</v>
      </c>
      <c r="P131" s="513" t="s">
        <v>7836</v>
      </c>
      <c r="Q131" s="518" t="s">
        <v>7796</v>
      </c>
      <c r="R131" s="152" t="s">
        <v>7837</v>
      </c>
      <c r="S131" s="152" t="s">
        <v>7831</v>
      </c>
      <c r="T131" s="152" t="s">
        <v>7838</v>
      </c>
      <c r="U131" s="152" t="s">
        <v>786</v>
      </c>
    </row>
    <row r="132" spans="4:21">
      <c r="D132" s="210"/>
      <c r="E132" s="210" t="s">
        <v>676</v>
      </c>
      <c r="F132" s="684" t="str">
        <f>+VLOOKUP(G132,Resumen_Base!$C$8:$G$156,5,0)</f>
        <v>Extras</v>
      </c>
      <c r="G132" s="152" t="s">
        <v>291</v>
      </c>
      <c r="H132" s="474" t="s">
        <v>292</v>
      </c>
      <c r="I132" s="152" t="str">
        <f t="shared" si="1"/>
        <v>CAR4103</v>
      </c>
      <c r="J132" s="847">
        <v>-983500</v>
      </c>
      <c r="K132" s="513">
        <v>-700</v>
      </c>
      <c r="L132" s="513">
        <v>1405</v>
      </c>
      <c r="M132" s="152" t="s">
        <v>7975</v>
      </c>
      <c r="N132" s="513" t="s">
        <v>1566</v>
      </c>
      <c r="O132" s="513" t="s">
        <v>1407</v>
      </c>
      <c r="P132" s="513" t="s">
        <v>7986</v>
      </c>
      <c r="Q132" s="518" t="s">
        <v>7796</v>
      </c>
      <c r="R132" s="152" t="s">
        <v>7987</v>
      </c>
      <c r="S132" s="152" t="s">
        <v>7978</v>
      </c>
      <c r="T132" s="152" t="s">
        <v>7988</v>
      </c>
      <c r="U132" s="152" t="s">
        <v>786</v>
      </c>
    </row>
    <row r="133" spans="4:21">
      <c r="D133" s="210"/>
      <c r="E133" s="210" t="s">
        <v>676</v>
      </c>
      <c r="F133" s="684" t="str">
        <f>+VLOOKUP(G133,Resumen_Base!$C$8:$G$156,5,0)</f>
        <v>Extras</v>
      </c>
      <c r="G133" s="152" t="s">
        <v>291</v>
      </c>
      <c r="H133" s="474" t="s">
        <v>292</v>
      </c>
      <c r="I133" s="152" t="str">
        <f t="shared" si="1"/>
        <v>CAR4103</v>
      </c>
      <c r="J133" s="847">
        <v>-983500</v>
      </c>
      <c r="K133" s="513">
        <v>-700</v>
      </c>
      <c r="L133" s="513">
        <v>1405</v>
      </c>
      <c r="M133" s="152" t="s">
        <v>7975</v>
      </c>
      <c r="N133" s="513" t="s">
        <v>1566</v>
      </c>
      <c r="O133" s="513" t="s">
        <v>1407</v>
      </c>
      <c r="P133" s="513" t="s">
        <v>7995</v>
      </c>
      <c r="Q133" s="518" t="s">
        <v>7796</v>
      </c>
      <c r="R133" s="152" t="s">
        <v>7996</v>
      </c>
      <c r="S133" s="152" t="s">
        <v>7978</v>
      </c>
      <c r="T133" s="152" t="s">
        <v>7997</v>
      </c>
      <c r="U133" s="152" t="s">
        <v>786</v>
      </c>
    </row>
    <row r="134" spans="4:21">
      <c r="D134" s="210"/>
      <c r="E134" s="210" t="s">
        <v>676</v>
      </c>
      <c r="F134" s="684" t="str">
        <f>+VLOOKUP(G134,Resumen_Base!$C$8:$G$156,5,0)</f>
        <v>Extras</v>
      </c>
      <c r="G134" s="152" t="s">
        <v>291</v>
      </c>
      <c r="H134" s="474" t="s">
        <v>292</v>
      </c>
      <c r="I134" s="152" t="str">
        <f t="shared" si="1"/>
        <v>CAR4103</v>
      </c>
      <c r="J134" s="847">
        <v>-411800</v>
      </c>
      <c r="K134" s="513">
        <v>-290</v>
      </c>
      <c r="L134" s="513">
        <v>1420</v>
      </c>
      <c r="M134" s="152" t="s">
        <v>7143</v>
      </c>
      <c r="N134" s="513" t="s">
        <v>1566</v>
      </c>
      <c r="O134" s="513" t="s">
        <v>1407</v>
      </c>
      <c r="P134" s="513" t="s">
        <v>8057</v>
      </c>
      <c r="Q134" s="518" t="s">
        <v>7796</v>
      </c>
      <c r="R134" s="152" t="s">
        <v>8058</v>
      </c>
      <c r="S134" s="152" t="s">
        <v>8059</v>
      </c>
      <c r="T134" s="152" t="s">
        <v>8060</v>
      </c>
      <c r="U134" s="152" t="s">
        <v>786</v>
      </c>
    </row>
    <row r="135" spans="4:21">
      <c r="D135" s="210"/>
      <c r="E135" s="210" t="s">
        <v>670</v>
      </c>
      <c r="F135" s="684" t="str">
        <f>+VLOOKUP(G135,Resumen_Base!$C$8:$G$156,5,0)</f>
        <v>Shop</v>
      </c>
      <c r="G135" s="152" t="s">
        <v>293</v>
      </c>
      <c r="H135" s="474" t="s">
        <v>294</v>
      </c>
      <c r="I135" s="152" t="str">
        <f t="shared" si="1"/>
        <v>SJ4104</v>
      </c>
      <c r="J135" s="847">
        <v>-21075</v>
      </c>
      <c r="K135" s="513">
        <v>-15</v>
      </c>
      <c r="L135" s="513">
        <v>1405</v>
      </c>
      <c r="M135" s="152" t="s">
        <v>7808</v>
      </c>
      <c r="N135" s="513" t="s">
        <v>1566</v>
      </c>
      <c r="O135" s="513" t="s">
        <v>781</v>
      </c>
      <c r="P135" s="513" t="s">
        <v>7849</v>
      </c>
      <c r="Q135" s="518" t="s">
        <v>7796</v>
      </c>
      <c r="R135" s="152" t="s">
        <v>7850</v>
      </c>
      <c r="S135" s="152" t="s">
        <v>7851</v>
      </c>
      <c r="T135" s="152" t="s">
        <v>7852</v>
      </c>
      <c r="U135" s="152" t="s">
        <v>786</v>
      </c>
    </row>
    <row r="136" spans="4:21">
      <c r="D136" s="210"/>
      <c r="E136" s="210" t="s">
        <v>670</v>
      </c>
      <c r="F136" s="684" t="str">
        <f>+VLOOKUP(G136,Resumen_Base!$C$8:$G$156,5,0)</f>
        <v>Shop</v>
      </c>
      <c r="G136" s="152" t="s">
        <v>293</v>
      </c>
      <c r="H136" s="474" t="s">
        <v>294</v>
      </c>
      <c r="I136" s="152" t="str">
        <f t="shared" si="1"/>
        <v>SJ4104</v>
      </c>
      <c r="J136" s="847">
        <v>-70250</v>
      </c>
      <c r="K136" s="513">
        <v>-50</v>
      </c>
      <c r="L136" s="513">
        <v>1405</v>
      </c>
      <c r="M136" s="152" t="s">
        <v>7808</v>
      </c>
      <c r="N136" s="513" t="s">
        <v>1566</v>
      </c>
      <c r="O136" s="513" t="s">
        <v>781</v>
      </c>
      <c r="P136" s="513" t="s">
        <v>7849</v>
      </c>
      <c r="Q136" s="518" t="s">
        <v>7796</v>
      </c>
      <c r="R136" s="152" t="s">
        <v>7850</v>
      </c>
      <c r="S136" s="152" t="s">
        <v>7851</v>
      </c>
      <c r="T136" s="152" t="s">
        <v>7852</v>
      </c>
      <c r="U136" s="152" t="s">
        <v>786</v>
      </c>
    </row>
    <row r="137" spans="4:21">
      <c r="D137" s="210"/>
      <c r="E137" s="210" t="s">
        <v>670</v>
      </c>
      <c r="F137" s="684" t="str">
        <f>+VLOOKUP(G137,Resumen_Base!$C$8:$G$156,5,0)</f>
        <v>Shop</v>
      </c>
      <c r="G137" s="152" t="s">
        <v>293</v>
      </c>
      <c r="H137" s="474" t="s">
        <v>294</v>
      </c>
      <c r="I137" s="152" t="str">
        <f t="shared" si="1"/>
        <v>SJ4104</v>
      </c>
      <c r="J137" s="847">
        <v>-98350</v>
      </c>
      <c r="K137" s="513">
        <v>-70</v>
      </c>
      <c r="L137" s="513">
        <v>1405</v>
      </c>
      <c r="M137" s="152" t="s">
        <v>7808</v>
      </c>
      <c r="N137" s="513" t="s">
        <v>1566</v>
      </c>
      <c r="O137" s="513" t="s">
        <v>781</v>
      </c>
      <c r="P137" s="513" t="s">
        <v>7849</v>
      </c>
      <c r="Q137" s="518" t="s">
        <v>7796</v>
      </c>
      <c r="R137" s="152" t="s">
        <v>7850</v>
      </c>
      <c r="S137" s="152" t="s">
        <v>7851</v>
      </c>
      <c r="T137" s="152" t="s">
        <v>7852</v>
      </c>
      <c r="U137" s="152" t="s">
        <v>786</v>
      </c>
    </row>
    <row r="138" spans="4:21">
      <c r="D138" s="210"/>
      <c r="E138" s="210" t="s">
        <v>670</v>
      </c>
      <c r="F138" s="684" t="str">
        <f>+VLOOKUP(G138,Resumen_Base!$C$8:$G$156,5,0)</f>
        <v>Shop</v>
      </c>
      <c r="G138" s="152" t="s">
        <v>293</v>
      </c>
      <c r="H138" s="474" t="s">
        <v>294</v>
      </c>
      <c r="I138" s="152" t="str">
        <f t="shared" si="1"/>
        <v>SJ4104</v>
      </c>
      <c r="J138" s="847">
        <v>-56200</v>
      </c>
      <c r="K138" s="513">
        <v>-40</v>
      </c>
      <c r="L138" s="513">
        <v>1405</v>
      </c>
      <c r="M138" s="152" t="s">
        <v>7808</v>
      </c>
      <c r="N138" s="513" t="s">
        <v>1566</v>
      </c>
      <c r="O138" s="513" t="s">
        <v>781</v>
      </c>
      <c r="P138" s="513" t="s">
        <v>7853</v>
      </c>
      <c r="Q138" s="518" t="s">
        <v>7796</v>
      </c>
      <c r="R138" s="152" t="s">
        <v>7854</v>
      </c>
      <c r="S138" s="152" t="s">
        <v>7851</v>
      </c>
      <c r="T138" s="152" t="s">
        <v>7855</v>
      </c>
      <c r="U138" s="152" t="s">
        <v>786</v>
      </c>
    </row>
    <row r="139" spans="4:21">
      <c r="D139" s="210"/>
      <c r="E139" s="210" t="s">
        <v>670</v>
      </c>
      <c r="F139" s="684" t="str">
        <f>+VLOOKUP(G139,Resumen_Base!$C$8:$G$156,5,0)</f>
        <v>Shop</v>
      </c>
      <c r="G139" s="152" t="s">
        <v>293</v>
      </c>
      <c r="H139" s="474" t="s">
        <v>294</v>
      </c>
      <c r="I139" s="152" t="str">
        <f t="shared" si="1"/>
        <v>SJ4104</v>
      </c>
      <c r="J139" s="847">
        <v>-56200</v>
      </c>
      <c r="K139" s="513">
        <v>-40</v>
      </c>
      <c r="L139" s="513">
        <v>1405</v>
      </c>
      <c r="M139" s="152" t="s">
        <v>7808</v>
      </c>
      <c r="N139" s="513" t="s">
        <v>1566</v>
      </c>
      <c r="O139" s="513" t="s">
        <v>781</v>
      </c>
      <c r="P139" s="513" t="s">
        <v>7856</v>
      </c>
      <c r="Q139" s="518" t="s">
        <v>7796</v>
      </c>
      <c r="R139" s="152" t="s">
        <v>7857</v>
      </c>
      <c r="S139" s="152" t="s">
        <v>7858</v>
      </c>
      <c r="T139" s="152" t="s">
        <v>7859</v>
      </c>
      <c r="U139" s="152" t="s">
        <v>786</v>
      </c>
    </row>
    <row r="140" spans="4:21">
      <c r="D140" s="210"/>
      <c r="E140" s="210" t="s">
        <v>670</v>
      </c>
      <c r="F140" s="684" t="str">
        <f>+VLOOKUP(G140,Resumen_Base!$C$8:$G$156,5,0)</f>
        <v>Shop</v>
      </c>
      <c r="G140" s="152" t="s">
        <v>293</v>
      </c>
      <c r="H140" s="474" t="s">
        <v>294</v>
      </c>
      <c r="I140" s="152" t="str">
        <f t="shared" si="1"/>
        <v>SJ4104</v>
      </c>
      <c r="J140" s="847">
        <v>-98350</v>
      </c>
      <c r="K140" s="513">
        <v>-70</v>
      </c>
      <c r="L140" s="513">
        <v>1405</v>
      </c>
      <c r="M140" s="152" t="s">
        <v>7808</v>
      </c>
      <c r="N140" s="513" t="s">
        <v>1566</v>
      </c>
      <c r="O140" s="513" t="s">
        <v>781</v>
      </c>
      <c r="P140" s="513" t="s">
        <v>7856</v>
      </c>
      <c r="Q140" s="518" t="s">
        <v>7796</v>
      </c>
      <c r="R140" s="152" t="s">
        <v>7857</v>
      </c>
      <c r="S140" s="152" t="s">
        <v>7858</v>
      </c>
      <c r="T140" s="152" t="s">
        <v>7859</v>
      </c>
      <c r="U140" s="152" t="s">
        <v>786</v>
      </c>
    </row>
    <row r="141" spans="4:21">
      <c r="D141" s="210"/>
      <c r="E141" s="210" t="s">
        <v>670</v>
      </c>
      <c r="F141" s="684" t="str">
        <f>+VLOOKUP(G141,Resumen_Base!$C$8:$G$156,5,0)</f>
        <v>Shop</v>
      </c>
      <c r="G141" s="152" t="s">
        <v>293</v>
      </c>
      <c r="H141" s="474" t="s">
        <v>294</v>
      </c>
      <c r="I141" s="152" t="str">
        <f t="shared" ref="I141:I204" si="2">+E141&amp;G141</f>
        <v>SJ4104</v>
      </c>
      <c r="J141" s="847">
        <v>-98350</v>
      </c>
      <c r="K141" s="513">
        <v>-70</v>
      </c>
      <c r="L141" s="513">
        <v>1405</v>
      </c>
      <c r="M141" s="152" t="s">
        <v>7808</v>
      </c>
      <c r="N141" s="513" t="s">
        <v>1566</v>
      </c>
      <c r="O141" s="513" t="s">
        <v>781</v>
      </c>
      <c r="P141" s="513" t="s">
        <v>7860</v>
      </c>
      <c r="Q141" s="518" t="s">
        <v>7796</v>
      </c>
      <c r="R141" s="152" t="s">
        <v>7861</v>
      </c>
      <c r="S141" s="152" t="s">
        <v>7858</v>
      </c>
      <c r="T141" s="152" t="s">
        <v>7862</v>
      </c>
      <c r="U141" s="152" t="s">
        <v>786</v>
      </c>
    </row>
    <row r="142" spans="4:21">
      <c r="D142" s="210"/>
      <c r="E142" s="210" t="s">
        <v>670</v>
      </c>
      <c r="F142" s="684" t="str">
        <f>+VLOOKUP(G142,Resumen_Base!$C$8:$G$156,5,0)</f>
        <v>Shop</v>
      </c>
      <c r="G142" s="152" t="s">
        <v>293</v>
      </c>
      <c r="H142" s="474" t="s">
        <v>294</v>
      </c>
      <c r="I142" s="152" t="str">
        <f t="shared" si="2"/>
        <v>SJ4104</v>
      </c>
      <c r="J142" s="847">
        <v>-44960</v>
      </c>
      <c r="K142" s="513">
        <v>-32</v>
      </c>
      <c r="L142" s="513">
        <v>1405</v>
      </c>
      <c r="M142" s="152" t="s">
        <v>7808</v>
      </c>
      <c r="N142" s="513" t="s">
        <v>1566</v>
      </c>
      <c r="O142" s="513" t="s">
        <v>781</v>
      </c>
      <c r="P142" s="513" t="s">
        <v>7876</v>
      </c>
      <c r="Q142" s="518" t="s">
        <v>7796</v>
      </c>
      <c r="R142" s="152" t="s">
        <v>7877</v>
      </c>
      <c r="S142" s="152" t="s">
        <v>7878</v>
      </c>
      <c r="T142" s="152" t="s">
        <v>7879</v>
      </c>
      <c r="U142" s="152" t="s">
        <v>786</v>
      </c>
    </row>
    <row r="143" spans="4:21">
      <c r="D143" s="210"/>
      <c r="E143" s="210" t="s">
        <v>670</v>
      </c>
      <c r="F143" s="684" t="str">
        <f>+VLOOKUP(G143,Resumen_Base!$C$8:$G$156,5,0)</f>
        <v>Shop</v>
      </c>
      <c r="G143" s="152" t="s">
        <v>293</v>
      </c>
      <c r="H143" s="474" t="s">
        <v>294</v>
      </c>
      <c r="I143" s="152" t="str">
        <f t="shared" si="2"/>
        <v>SJ4104</v>
      </c>
      <c r="J143" s="847">
        <v>-266950</v>
      </c>
      <c r="K143" s="513">
        <v>-190</v>
      </c>
      <c r="L143" s="513">
        <v>1405</v>
      </c>
      <c r="M143" s="152" t="s">
        <v>7808</v>
      </c>
      <c r="N143" s="513" t="s">
        <v>1566</v>
      </c>
      <c r="O143" s="513" t="s">
        <v>781</v>
      </c>
      <c r="P143" s="513" t="s">
        <v>7876</v>
      </c>
      <c r="Q143" s="518" t="s">
        <v>7796</v>
      </c>
      <c r="R143" s="152" t="s">
        <v>7877</v>
      </c>
      <c r="S143" s="152" t="s">
        <v>7878</v>
      </c>
      <c r="T143" s="152" t="s">
        <v>7879</v>
      </c>
      <c r="U143" s="152" t="s">
        <v>786</v>
      </c>
    </row>
    <row r="144" spans="4:21">
      <c r="D144" s="210"/>
      <c r="E144" s="210" t="s">
        <v>670</v>
      </c>
      <c r="F144" s="684" t="str">
        <f>+VLOOKUP(G144,Resumen_Base!$C$8:$G$156,5,0)</f>
        <v>Shop</v>
      </c>
      <c r="G144" s="152" t="s">
        <v>293</v>
      </c>
      <c r="H144" s="474" t="s">
        <v>294</v>
      </c>
      <c r="I144" s="152" t="str">
        <f t="shared" si="2"/>
        <v>SJ4104</v>
      </c>
      <c r="J144" s="847">
        <v>-70250</v>
      </c>
      <c r="K144" s="513">
        <v>-50</v>
      </c>
      <c r="L144" s="513">
        <v>1405</v>
      </c>
      <c r="M144" s="152" t="s">
        <v>7808</v>
      </c>
      <c r="N144" s="513" t="s">
        <v>1566</v>
      </c>
      <c r="O144" s="513" t="s">
        <v>781</v>
      </c>
      <c r="P144" s="513" t="s">
        <v>7876</v>
      </c>
      <c r="Q144" s="518" t="s">
        <v>7796</v>
      </c>
      <c r="R144" s="152" t="s">
        <v>7877</v>
      </c>
      <c r="S144" s="152" t="s">
        <v>7878</v>
      </c>
      <c r="T144" s="152" t="s">
        <v>7879</v>
      </c>
      <c r="U144" s="152" t="s">
        <v>786</v>
      </c>
    </row>
    <row r="145" spans="4:21">
      <c r="D145" s="210"/>
      <c r="E145" s="210" t="s">
        <v>670</v>
      </c>
      <c r="F145" s="684" t="str">
        <f>+VLOOKUP(G145,Resumen_Base!$C$8:$G$156,5,0)</f>
        <v>Shop</v>
      </c>
      <c r="G145" s="152" t="s">
        <v>293</v>
      </c>
      <c r="H145" s="474" t="s">
        <v>294</v>
      </c>
      <c r="I145" s="152" t="str">
        <f t="shared" si="2"/>
        <v>SJ4104</v>
      </c>
      <c r="J145" s="847">
        <v>-70250</v>
      </c>
      <c r="K145" s="513">
        <v>-50</v>
      </c>
      <c r="L145" s="513">
        <v>1405</v>
      </c>
      <c r="M145" s="152" t="s">
        <v>7808</v>
      </c>
      <c r="N145" s="513" t="s">
        <v>1566</v>
      </c>
      <c r="O145" s="513" t="s">
        <v>781</v>
      </c>
      <c r="P145" s="513" t="s">
        <v>7886</v>
      </c>
      <c r="Q145" s="518" t="s">
        <v>7796</v>
      </c>
      <c r="R145" s="152" t="s">
        <v>7887</v>
      </c>
      <c r="S145" s="152" t="s">
        <v>7878</v>
      </c>
      <c r="T145" s="152" t="s">
        <v>7888</v>
      </c>
      <c r="U145" s="152" t="s">
        <v>786</v>
      </c>
    </row>
    <row r="146" spans="4:21">
      <c r="D146" s="210"/>
      <c r="E146" s="210" t="s">
        <v>670</v>
      </c>
      <c r="F146" s="684" t="str">
        <f>+VLOOKUP(G146,Resumen_Base!$C$8:$G$156,5,0)</f>
        <v>Shop</v>
      </c>
      <c r="G146" s="152" t="s">
        <v>293</v>
      </c>
      <c r="H146" s="474" t="s">
        <v>294</v>
      </c>
      <c r="I146" s="152" t="str">
        <f t="shared" si="2"/>
        <v>SJ4104</v>
      </c>
      <c r="J146" s="847">
        <v>-98350</v>
      </c>
      <c r="K146" s="513">
        <v>-70</v>
      </c>
      <c r="L146" s="513">
        <v>1405</v>
      </c>
      <c r="M146" s="152" t="s">
        <v>7116</v>
      </c>
      <c r="N146" s="513" t="s">
        <v>1566</v>
      </c>
      <c r="O146" s="513" t="s">
        <v>781</v>
      </c>
      <c r="P146" s="513" t="s">
        <v>7943</v>
      </c>
      <c r="Q146" s="518" t="s">
        <v>7796</v>
      </c>
      <c r="R146" s="152" t="s">
        <v>7944</v>
      </c>
      <c r="S146" s="152" t="s">
        <v>7945</v>
      </c>
      <c r="T146" s="152" t="s">
        <v>7946</v>
      </c>
      <c r="U146" s="152" t="s">
        <v>786</v>
      </c>
    </row>
    <row r="147" spans="4:21">
      <c r="D147" s="210"/>
      <c r="E147" s="210" t="s">
        <v>670</v>
      </c>
      <c r="F147" s="684" t="str">
        <f>+VLOOKUP(G147,Resumen_Base!$C$8:$G$156,5,0)</f>
        <v>Shop</v>
      </c>
      <c r="G147" s="152" t="s">
        <v>293</v>
      </c>
      <c r="H147" s="474" t="s">
        <v>294</v>
      </c>
      <c r="I147" s="152" t="str">
        <f t="shared" si="2"/>
        <v>SJ4104</v>
      </c>
      <c r="J147" s="847">
        <v>-56200</v>
      </c>
      <c r="K147" s="513">
        <v>-40</v>
      </c>
      <c r="L147" s="513">
        <v>1405</v>
      </c>
      <c r="M147" s="152" t="s">
        <v>7116</v>
      </c>
      <c r="N147" s="513" t="s">
        <v>1566</v>
      </c>
      <c r="O147" s="513" t="s">
        <v>781</v>
      </c>
      <c r="P147" s="513" t="s">
        <v>7950</v>
      </c>
      <c r="Q147" s="518" t="s">
        <v>7796</v>
      </c>
      <c r="R147" s="152" t="s">
        <v>7951</v>
      </c>
      <c r="S147" s="152" t="s">
        <v>7945</v>
      </c>
      <c r="T147" s="152" t="s">
        <v>7952</v>
      </c>
      <c r="U147" s="152" t="s">
        <v>786</v>
      </c>
    </row>
    <row r="148" spans="4:21">
      <c r="D148" s="210"/>
      <c r="E148" s="210" t="s">
        <v>670</v>
      </c>
      <c r="F148" s="684" t="str">
        <f>+VLOOKUP(G148,Resumen_Base!$C$8:$G$156,5,0)</f>
        <v>Shop</v>
      </c>
      <c r="G148" s="152" t="s">
        <v>293</v>
      </c>
      <c r="H148" s="474" t="s">
        <v>294</v>
      </c>
      <c r="I148" s="152" t="str">
        <f t="shared" si="2"/>
        <v>SJ4104</v>
      </c>
      <c r="J148" s="847">
        <v>-56200</v>
      </c>
      <c r="K148" s="513">
        <v>-40</v>
      </c>
      <c r="L148" s="513">
        <v>1405</v>
      </c>
      <c r="M148" s="152" t="s">
        <v>7116</v>
      </c>
      <c r="N148" s="513" t="s">
        <v>1566</v>
      </c>
      <c r="O148" s="513" t="s">
        <v>781</v>
      </c>
      <c r="P148" s="513" t="s">
        <v>7959</v>
      </c>
      <c r="Q148" s="518" t="s">
        <v>7796</v>
      </c>
      <c r="R148" s="152" t="s">
        <v>7960</v>
      </c>
      <c r="S148" s="152" t="s">
        <v>7945</v>
      </c>
      <c r="T148" s="152" t="s">
        <v>7961</v>
      </c>
      <c r="U148" s="152" t="s">
        <v>786</v>
      </c>
    </row>
    <row r="149" spans="4:21">
      <c r="D149" s="210"/>
      <c r="E149" s="210" t="s">
        <v>670</v>
      </c>
      <c r="F149" s="684" t="str">
        <f>+VLOOKUP(G149,Resumen_Base!$C$8:$G$156,5,0)</f>
        <v>Shop</v>
      </c>
      <c r="G149" s="152" t="s">
        <v>293</v>
      </c>
      <c r="H149" s="474" t="s">
        <v>294</v>
      </c>
      <c r="I149" s="152" t="str">
        <f t="shared" si="2"/>
        <v>SJ4104</v>
      </c>
      <c r="J149" s="847">
        <v>-98350</v>
      </c>
      <c r="K149" s="513">
        <v>-70</v>
      </c>
      <c r="L149" s="513">
        <v>1405</v>
      </c>
      <c r="M149" s="152" t="s">
        <v>7116</v>
      </c>
      <c r="N149" s="513" t="s">
        <v>1566</v>
      </c>
      <c r="O149" s="513" t="s">
        <v>781</v>
      </c>
      <c r="P149" s="513" t="s">
        <v>7959</v>
      </c>
      <c r="Q149" s="518" t="s">
        <v>7796</v>
      </c>
      <c r="R149" s="152" t="s">
        <v>7960</v>
      </c>
      <c r="S149" s="152" t="s">
        <v>7945</v>
      </c>
      <c r="T149" s="152" t="s">
        <v>7961</v>
      </c>
      <c r="U149" s="152" t="s">
        <v>786</v>
      </c>
    </row>
    <row r="150" spans="4:21">
      <c r="D150" s="210"/>
      <c r="E150" s="210" t="s">
        <v>670</v>
      </c>
      <c r="F150" s="684" t="str">
        <f>+VLOOKUP(G150,Resumen_Base!$C$8:$G$156,5,0)</f>
        <v>Shop</v>
      </c>
      <c r="G150" s="152" t="s">
        <v>293</v>
      </c>
      <c r="H150" s="474" t="s">
        <v>294</v>
      </c>
      <c r="I150" s="152" t="str">
        <f t="shared" si="2"/>
        <v>SJ4104</v>
      </c>
      <c r="J150" s="847">
        <v>-112400</v>
      </c>
      <c r="K150" s="513">
        <v>-80</v>
      </c>
      <c r="L150" s="513">
        <v>1405</v>
      </c>
      <c r="M150" s="152" t="s">
        <v>7116</v>
      </c>
      <c r="N150" s="513" t="s">
        <v>1566</v>
      </c>
      <c r="O150" s="513" t="s">
        <v>781</v>
      </c>
      <c r="P150" s="513" t="s">
        <v>7962</v>
      </c>
      <c r="Q150" s="518" t="s">
        <v>7796</v>
      </c>
      <c r="R150" s="152" t="s">
        <v>7963</v>
      </c>
      <c r="S150" s="152" t="s">
        <v>7964</v>
      </c>
      <c r="T150" s="152" t="s">
        <v>7965</v>
      </c>
      <c r="U150" s="152" t="s">
        <v>786</v>
      </c>
    </row>
    <row r="151" spans="4:21">
      <c r="D151" s="210"/>
      <c r="E151" s="210" t="s">
        <v>670</v>
      </c>
      <c r="F151" s="684" t="str">
        <f>+VLOOKUP(G151,Resumen_Base!$C$8:$G$156,5,0)</f>
        <v>Shop</v>
      </c>
      <c r="G151" s="152" t="s">
        <v>293</v>
      </c>
      <c r="H151" s="474" t="s">
        <v>294</v>
      </c>
      <c r="I151" s="152" t="str">
        <f t="shared" si="2"/>
        <v>SJ4104</v>
      </c>
      <c r="J151" s="847">
        <v>-70250</v>
      </c>
      <c r="K151" s="513">
        <v>-50</v>
      </c>
      <c r="L151" s="513">
        <v>1405</v>
      </c>
      <c r="M151" s="152" t="s">
        <v>7116</v>
      </c>
      <c r="N151" s="513" t="s">
        <v>1566</v>
      </c>
      <c r="O151" s="513" t="s">
        <v>781</v>
      </c>
      <c r="P151" s="513" t="s">
        <v>7972</v>
      </c>
      <c r="Q151" s="518" t="s">
        <v>7796</v>
      </c>
      <c r="R151" s="152" t="s">
        <v>7973</v>
      </c>
      <c r="S151" s="152" t="s">
        <v>7964</v>
      </c>
      <c r="T151" s="152" t="s">
        <v>7974</v>
      </c>
      <c r="U151" s="152" t="s">
        <v>786</v>
      </c>
    </row>
    <row r="152" spans="4:21">
      <c r="D152" s="210"/>
      <c r="E152" s="210" t="s">
        <v>670</v>
      </c>
      <c r="F152" s="684" t="str">
        <f>+VLOOKUP(G152,Resumen_Base!$C$8:$G$156,5,0)</f>
        <v>Shop</v>
      </c>
      <c r="G152" s="152" t="s">
        <v>293</v>
      </c>
      <c r="H152" s="474" t="s">
        <v>294</v>
      </c>
      <c r="I152" s="152" t="str">
        <f t="shared" si="2"/>
        <v>SJ4104</v>
      </c>
      <c r="J152" s="847">
        <v>-70250</v>
      </c>
      <c r="K152" s="513">
        <v>-50</v>
      </c>
      <c r="L152" s="513">
        <v>1405</v>
      </c>
      <c r="M152" s="152" t="s">
        <v>7116</v>
      </c>
      <c r="N152" s="513" t="s">
        <v>1566</v>
      </c>
      <c r="O152" s="513" t="s">
        <v>781</v>
      </c>
      <c r="P152" s="513" t="s">
        <v>7972</v>
      </c>
      <c r="Q152" s="518" t="s">
        <v>7796</v>
      </c>
      <c r="R152" s="152" t="s">
        <v>7973</v>
      </c>
      <c r="S152" s="152" t="s">
        <v>7964</v>
      </c>
      <c r="T152" s="152" t="s">
        <v>7974</v>
      </c>
      <c r="U152" s="152" t="s">
        <v>786</v>
      </c>
    </row>
    <row r="153" spans="4:21">
      <c r="D153" s="210"/>
      <c r="E153" s="210" t="s">
        <v>670</v>
      </c>
      <c r="F153" s="684" t="str">
        <f>+VLOOKUP(G153,Resumen_Base!$C$8:$G$156,5,0)</f>
        <v>Shop</v>
      </c>
      <c r="G153" s="152" t="s">
        <v>293</v>
      </c>
      <c r="H153" s="474" t="s">
        <v>294</v>
      </c>
      <c r="I153" s="152" t="str">
        <f t="shared" si="2"/>
        <v>SJ4104</v>
      </c>
      <c r="J153" s="847">
        <v>-91325</v>
      </c>
      <c r="K153" s="513">
        <v>-65</v>
      </c>
      <c r="L153" s="513">
        <v>1405</v>
      </c>
      <c r="M153" s="152" t="s">
        <v>7975</v>
      </c>
      <c r="N153" s="513" t="s">
        <v>1566</v>
      </c>
      <c r="O153" s="513" t="s">
        <v>781</v>
      </c>
      <c r="P153" s="513" t="s">
        <v>8011</v>
      </c>
      <c r="Q153" s="518" t="s">
        <v>7796</v>
      </c>
      <c r="R153" s="152" t="s">
        <v>8012</v>
      </c>
      <c r="S153" s="152" t="s">
        <v>8000</v>
      </c>
      <c r="T153" s="152" t="s">
        <v>8013</v>
      </c>
      <c r="U153" s="152" t="s">
        <v>786</v>
      </c>
    </row>
    <row r="154" spans="4:21">
      <c r="D154" s="210"/>
      <c r="E154" s="210" t="s">
        <v>670</v>
      </c>
      <c r="F154" s="684" t="str">
        <f>+VLOOKUP(G154,Resumen_Base!$C$8:$G$156,5,0)</f>
        <v>Shop</v>
      </c>
      <c r="G154" s="152" t="s">
        <v>293</v>
      </c>
      <c r="H154" s="474" t="s">
        <v>294</v>
      </c>
      <c r="I154" s="152" t="str">
        <f t="shared" si="2"/>
        <v>SJ4104</v>
      </c>
      <c r="J154" s="847">
        <v>-49175</v>
      </c>
      <c r="K154" s="513">
        <v>-35</v>
      </c>
      <c r="L154" s="513">
        <v>1405</v>
      </c>
      <c r="M154" s="152" t="s">
        <v>7975</v>
      </c>
      <c r="N154" s="513" t="s">
        <v>1566</v>
      </c>
      <c r="O154" s="513" t="s">
        <v>781</v>
      </c>
      <c r="P154" s="513" t="s">
        <v>8017</v>
      </c>
      <c r="Q154" s="518" t="s">
        <v>7796</v>
      </c>
      <c r="R154" s="152" t="s">
        <v>8018</v>
      </c>
      <c r="S154" s="152" t="s">
        <v>8019</v>
      </c>
      <c r="T154" s="152" t="s">
        <v>8020</v>
      </c>
      <c r="U154" s="152" t="s">
        <v>786</v>
      </c>
    </row>
    <row r="155" spans="4:21">
      <c r="D155" s="210"/>
      <c r="E155" s="210" t="s">
        <v>670</v>
      </c>
      <c r="F155" s="684" t="str">
        <f>+VLOOKUP(G155,Resumen_Base!$C$8:$G$156,5,0)</f>
        <v>Shop</v>
      </c>
      <c r="G155" s="152" t="s">
        <v>293</v>
      </c>
      <c r="H155" s="474" t="s">
        <v>294</v>
      </c>
      <c r="I155" s="152" t="str">
        <f t="shared" si="2"/>
        <v>SJ4104</v>
      </c>
      <c r="J155" s="847">
        <v>-70250</v>
      </c>
      <c r="K155" s="513">
        <v>-50</v>
      </c>
      <c r="L155" s="513">
        <v>1405</v>
      </c>
      <c r="M155" s="152" t="s">
        <v>7975</v>
      </c>
      <c r="N155" s="513" t="s">
        <v>1566</v>
      </c>
      <c r="O155" s="513" t="s">
        <v>781</v>
      </c>
      <c r="P155" s="513" t="s">
        <v>8021</v>
      </c>
      <c r="Q155" s="518" t="s">
        <v>7796</v>
      </c>
      <c r="R155" s="152" t="s">
        <v>8022</v>
      </c>
      <c r="S155" s="152" t="s">
        <v>8019</v>
      </c>
      <c r="T155" s="152" t="s">
        <v>8023</v>
      </c>
      <c r="U155" s="152" t="s">
        <v>786</v>
      </c>
    </row>
    <row r="156" spans="4:21">
      <c r="D156" s="210"/>
      <c r="E156" s="210" t="s">
        <v>670</v>
      </c>
      <c r="F156" s="684" t="str">
        <f>+VLOOKUP(G156,Resumen_Base!$C$8:$G$156,5,0)</f>
        <v>Shop</v>
      </c>
      <c r="G156" s="152" t="s">
        <v>293</v>
      </c>
      <c r="H156" s="474" t="s">
        <v>294</v>
      </c>
      <c r="I156" s="152" t="str">
        <f t="shared" si="2"/>
        <v>SJ4104</v>
      </c>
      <c r="J156" s="847">
        <v>-63225</v>
      </c>
      <c r="K156" s="513">
        <v>-45</v>
      </c>
      <c r="L156" s="513">
        <v>1405</v>
      </c>
      <c r="M156" s="152" t="s">
        <v>7975</v>
      </c>
      <c r="N156" s="513" t="s">
        <v>1566</v>
      </c>
      <c r="O156" s="513" t="s">
        <v>781</v>
      </c>
      <c r="P156" s="513" t="s">
        <v>8021</v>
      </c>
      <c r="Q156" s="518" t="s">
        <v>7796</v>
      </c>
      <c r="R156" s="152" t="s">
        <v>8022</v>
      </c>
      <c r="S156" s="152" t="s">
        <v>8019</v>
      </c>
      <c r="T156" s="152" t="s">
        <v>8023</v>
      </c>
      <c r="U156" s="152" t="s">
        <v>786</v>
      </c>
    </row>
    <row r="157" spans="4:21">
      <c r="D157" s="210"/>
      <c r="E157" s="210" t="s">
        <v>670</v>
      </c>
      <c r="F157" s="684" t="str">
        <f>+VLOOKUP(G157,Resumen_Base!$C$8:$G$156,5,0)</f>
        <v>Shop</v>
      </c>
      <c r="G157" s="152" t="s">
        <v>293</v>
      </c>
      <c r="H157" s="474" t="s">
        <v>294</v>
      </c>
      <c r="I157" s="152" t="str">
        <f t="shared" si="2"/>
        <v>SJ4104</v>
      </c>
      <c r="J157" s="847">
        <v>-70250</v>
      </c>
      <c r="K157" s="513">
        <v>-50</v>
      </c>
      <c r="L157" s="513">
        <v>1405</v>
      </c>
      <c r="M157" s="152" t="s">
        <v>7975</v>
      </c>
      <c r="N157" s="513" t="s">
        <v>1566</v>
      </c>
      <c r="O157" s="513" t="s">
        <v>781</v>
      </c>
      <c r="P157" s="513" t="s">
        <v>8024</v>
      </c>
      <c r="Q157" s="518" t="s">
        <v>7796</v>
      </c>
      <c r="R157" s="152" t="s">
        <v>8025</v>
      </c>
      <c r="S157" s="152" t="s">
        <v>8019</v>
      </c>
      <c r="T157" s="152" t="s">
        <v>8026</v>
      </c>
      <c r="U157" s="152" t="s">
        <v>786</v>
      </c>
    </row>
    <row r="158" spans="4:21">
      <c r="D158" s="210"/>
      <c r="E158" s="210" t="s">
        <v>670</v>
      </c>
      <c r="F158" s="684" t="str">
        <f>+VLOOKUP(G158,Resumen_Base!$C$8:$G$156,5,0)</f>
        <v>Shop</v>
      </c>
      <c r="G158" s="152" t="s">
        <v>293</v>
      </c>
      <c r="H158" s="474" t="s">
        <v>294</v>
      </c>
      <c r="I158" s="152" t="str">
        <f t="shared" si="2"/>
        <v>SJ4104</v>
      </c>
      <c r="J158" s="847">
        <v>-71000</v>
      </c>
      <c r="K158" s="513">
        <v>-50</v>
      </c>
      <c r="L158" s="513">
        <v>1420</v>
      </c>
      <c r="M158" s="152" t="s">
        <v>7143</v>
      </c>
      <c r="N158" s="513" t="s">
        <v>1566</v>
      </c>
      <c r="O158" s="513" t="s">
        <v>781</v>
      </c>
      <c r="P158" s="513" t="s">
        <v>8086</v>
      </c>
      <c r="Q158" s="518" t="s">
        <v>7796</v>
      </c>
      <c r="R158" s="152" t="s">
        <v>8087</v>
      </c>
      <c r="S158" s="152" t="s">
        <v>8088</v>
      </c>
      <c r="T158" s="152" t="s">
        <v>8089</v>
      </c>
      <c r="U158" s="152" t="s">
        <v>786</v>
      </c>
    </row>
    <row r="159" spans="4:21">
      <c r="D159" s="210"/>
      <c r="E159" s="210" t="s">
        <v>676</v>
      </c>
      <c r="F159" s="684" t="str">
        <f>+VLOOKUP(G159,Resumen_Base!$C$8:$G$156,5,0)</f>
        <v>Shop</v>
      </c>
      <c r="G159" s="152" t="s">
        <v>293</v>
      </c>
      <c r="H159" s="474" t="s">
        <v>294</v>
      </c>
      <c r="I159" s="152" t="str">
        <f t="shared" si="2"/>
        <v>CAR4104</v>
      </c>
      <c r="J159" s="847">
        <v>-49175</v>
      </c>
      <c r="K159" s="513">
        <v>-35</v>
      </c>
      <c r="L159" s="513">
        <v>1405</v>
      </c>
      <c r="M159" s="152" t="s">
        <v>7808</v>
      </c>
      <c r="N159" s="513" t="s">
        <v>1566</v>
      </c>
      <c r="O159" s="513" t="s">
        <v>1407</v>
      </c>
      <c r="P159" s="513" t="s">
        <v>7829</v>
      </c>
      <c r="Q159" s="518" t="s">
        <v>7796</v>
      </c>
      <c r="R159" s="152" t="s">
        <v>7830</v>
      </c>
      <c r="S159" s="152" t="s">
        <v>7831</v>
      </c>
      <c r="T159" s="152" t="s">
        <v>7832</v>
      </c>
      <c r="U159" s="152" t="s">
        <v>786</v>
      </c>
    </row>
    <row r="160" spans="4:21">
      <c r="D160" s="210"/>
      <c r="E160" s="210" t="s">
        <v>676</v>
      </c>
      <c r="F160" s="684" t="str">
        <f>+VLOOKUP(G160,Resumen_Base!$C$8:$G$156,5,0)</f>
        <v>Shop</v>
      </c>
      <c r="G160" s="152" t="s">
        <v>293</v>
      </c>
      <c r="H160" s="474" t="s">
        <v>294</v>
      </c>
      <c r="I160" s="152" t="str">
        <f t="shared" si="2"/>
        <v>CAR4104</v>
      </c>
      <c r="J160" s="847">
        <v>-126450</v>
      </c>
      <c r="K160" s="513">
        <v>-90</v>
      </c>
      <c r="L160" s="513">
        <v>1405</v>
      </c>
      <c r="M160" s="152" t="s">
        <v>7808</v>
      </c>
      <c r="N160" s="513" t="s">
        <v>1566</v>
      </c>
      <c r="O160" s="513" t="s">
        <v>1407</v>
      </c>
      <c r="P160" s="513" t="s">
        <v>7833</v>
      </c>
      <c r="Q160" s="518" t="s">
        <v>7796</v>
      </c>
      <c r="R160" s="152" t="s">
        <v>7834</v>
      </c>
      <c r="S160" s="152" t="s">
        <v>7831</v>
      </c>
      <c r="T160" s="152" t="s">
        <v>7835</v>
      </c>
      <c r="U160" s="152" t="s">
        <v>786</v>
      </c>
    </row>
    <row r="161" spans="4:21">
      <c r="D161" s="210"/>
      <c r="E161" s="210" t="s">
        <v>676</v>
      </c>
      <c r="F161" s="684" t="str">
        <f>+VLOOKUP(G161,Resumen_Base!$C$8:$G$156,5,0)</f>
        <v>Shop</v>
      </c>
      <c r="G161" s="152" t="s">
        <v>293</v>
      </c>
      <c r="H161" s="474" t="s">
        <v>294</v>
      </c>
      <c r="I161" s="152" t="str">
        <f t="shared" si="2"/>
        <v>CAR4104</v>
      </c>
      <c r="J161" s="847">
        <v>-42150</v>
      </c>
      <c r="K161" s="513">
        <v>-30</v>
      </c>
      <c r="L161" s="513">
        <v>1405</v>
      </c>
      <c r="M161" s="152" t="s">
        <v>7808</v>
      </c>
      <c r="N161" s="513" t="s">
        <v>1566</v>
      </c>
      <c r="O161" s="513" t="s">
        <v>1407</v>
      </c>
      <c r="P161" s="513" t="s">
        <v>7833</v>
      </c>
      <c r="Q161" s="518" t="s">
        <v>7796</v>
      </c>
      <c r="R161" s="152" t="s">
        <v>7834</v>
      </c>
      <c r="S161" s="152" t="s">
        <v>7831</v>
      </c>
      <c r="T161" s="152" t="s">
        <v>7835</v>
      </c>
      <c r="U161" s="152" t="s">
        <v>786</v>
      </c>
    </row>
    <row r="162" spans="4:21">
      <c r="D162" s="210"/>
      <c r="E162" s="210" t="s">
        <v>676</v>
      </c>
      <c r="F162" s="684" t="str">
        <f>+VLOOKUP(G162,Resumen_Base!$C$8:$G$156,5,0)</f>
        <v>Shop</v>
      </c>
      <c r="G162" s="152" t="s">
        <v>293</v>
      </c>
      <c r="H162" s="474" t="s">
        <v>294</v>
      </c>
      <c r="I162" s="152" t="str">
        <f t="shared" si="2"/>
        <v>CAR4104</v>
      </c>
      <c r="J162" s="847">
        <v>-56200</v>
      </c>
      <c r="K162" s="513">
        <v>-40</v>
      </c>
      <c r="L162" s="513">
        <v>1405</v>
      </c>
      <c r="M162" s="152" t="s">
        <v>7116</v>
      </c>
      <c r="N162" s="513" t="s">
        <v>1566</v>
      </c>
      <c r="O162" s="513" t="s">
        <v>1407</v>
      </c>
      <c r="P162" s="513" t="s">
        <v>7897</v>
      </c>
      <c r="Q162" s="518" t="s">
        <v>7796</v>
      </c>
      <c r="R162" s="152" t="s">
        <v>7898</v>
      </c>
      <c r="S162" s="152" t="s">
        <v>7895</v>
      </c>
      <c r="T162" s="152" t="s">
        <v>7899</v>
      </c>
      <c r="U162" s="152" t="s">
        <v>786</v>
      </c>
    </row>
    <row r="163" spans="4:21">
      <c r="D163" s="210"/>
      <c r="E163" s="210" t="s">
        <v>676</v>
      </c>
      <c r="F163" s="684" t="str">
        <f>+VLOOKUP(G163,Resumen_Base!$C$8:$G$156,5,0)</f>
        <v>Shop</v>
      </c>
      <c r="G163" s="152" t="s">
        <v>293</v>
      </c>
      <c r="H163" s="474" t="s">
        <v>294</v>
      </c>
      <c r="I163" s="152" t="str">
        <f t="shared" si="2"/>
        <v>CAR4104</v>
      </c>
      <c r="J163" s="847">
        <v>-56200</v>
      </c>
      <c r="K163" s="513">
        <v>-40</v>
      </c>
      <c r="L163" s="513">
        <v>1405</v>
      </c>
      <c r="M163" s="152" t="s">
        <v>7116</v>
      </c>
      <c r="N163" s="513" t="s">
        <v>1566</v>
      </c>
      <c r="O163" s="513" t="s">
        <v>1407</v>
      </c>
      <c r="P163" s="513" t="s">
        <v>7903</v>
      </c>
      <c r="Q163" s="518" t="s">
        <v>7796</v>
      </c>
      <c r="R163" s="152" t="s">
        <v>7904</v>
      </c>
      <c r="S163" s="152" t="s">
        <v>7895</v>
      </c>
      <c r="T163" s="152" t="s">
        <v>7905</v>
      </c>
      <c r="U163" s="152" t="s">
        <v>786</v>
      </c>
    </row>
    <row r="164" spans="4:21">
      <c r="D164" s="210"/>
      <c r="E164" s="210" t="s">
        <v>676</v>
      </c>
      <c r="F164" s="684" t="str">
        <f>+VLOOKUP(G164,Resumen_Base!$C$8:$G$156,5,0)</f>
        <v>Shop</v>
      </c>
      <c r="G164" s="152" t="s">
        <v>293</v>
      </c>
      <c r="H164" s="474" t="s">
        <v>294</v>
      </c>
      <c r="I164" s="152" t="str">
        <f t="shared" si="2"/>
        <v>CAR4104</v>
      </c>
      <c r="J164" s="847">
        <v>-56200</v>
      </c>
      <c r="K164" s="513">
        <v>-40</v>
      </c>
      <c r="L164" s="513">
        <v>1405</v>
      </c>
      <c r="M164" s="152" t="s">
        <v>7116</v>
      </c>
      <c r="N164" s="513" t="s">
        <v>1566</v>
      </c>
      <c r="O164" s="513" t="s">
        <v>1407</v>
      </c>
      <c r="P164" s="513" t="s">
        <v>7906</v>
      </c>
      <c r="Q164" s="518" t="s">
        <v>7796</v>
      </c>
      <c r="R164" s="152" t="s">
        <v>7907</v>
      </c>
      <c r="S164" s="152" t="s">
        <v>7908</v>
      </c>
      <c r="T164" s="152" t="s">
        <v>7909</v>
      </c>
      <c r="U164" s="152" t="s">
        <v>786</v>
      </c>
    </row>
    <row r="165" spans="4:21">
      <c r="D165" s="210"/>
      <c r="E165" s="210" t="s">
        <v>676</v>
      </c>
      <c r="F165" s="684" t="str">
        <f>+VLOOKUP(G165,Resumen_Base!$C$8:$G$156,5,0)</f>
        <v>Shop</v>
      </c>
      <c r="G165" s="152" t="s">
        <v>293</v>
      </c>
      <c r="H165" s="474" t="s">
        <v>294</v>
      </c>
      <c r="I165" s="152" t="str">
        <f t="shared" si="2"/>
        <v>CAR4104</v>
      </c>
      <c r="J165" s="847">
        <v>-56200</v>
      </c>
      <c r="K165" s="513">
        <v>-40</v>
      </c>
      <c r="L165" s="513">
        <v>1405</v>
      </c>
      <c r="M165" s="152" t="s">
        <v>7116</v>
      </c>
      <c r="N165" s="513" t="s">
        <v>1566</v>
      </c>
      <c r="O165" s="513" t="s">
        <v>1407</v>
      </c>
      <c r="P165" s="513" t="s">
        <v>7906</v>
      </c>
      <c r="Q165" s="518" t="s">
        <v>7796</v>
      </c>
      <c r="R165" s="152" t="s">
        <v>7907</v>
      </c>
      <c r="S165" s="152" t="s">
        <v>7908</v>
      </c>
      <c r="T165" s="152" t="s">
        <v>7909</v>
      </c>
      <c r="U165" s="152" t="s">
        <v>786</v>
      </c>
    </row>
    <row r="166" spans="4:21">
      <c r="D166" s="210"/>
      <c r="E166" s="210" t="s">
        <v>676</v>
      </c>
      <c r="F166" s="684" t="str">
        <f>+VLOOKUP(G166,Resumen_Base!$C$8:$G$156,5,0)</f>
        <v>Shop</v>
      </c>
      <c r="G166" s="152" t="s">
        <v>293</v>
      </c>
      <c r="H166" s="474" t="s">
        <v>294</v>
      </c>
      <c r="I166" s="152" t="str">
        <f t="shared" si="2"/>
        <v>CAR4104</v>
      </c>
      <c r="J166" s="847">
        <v>-126450</v>
      </c>
      <c r="K166" s="513">
        <v>-90</v>
      </c>
      <c r="L166" s="513">
        <v>1405</v>
      </c>
      <c r="M166" s="152" t="s">
        <v>7116</v>
      </c>
      <c r="N166" s="513" t="s">
        <v>1566</v>
      </c>
      <c r="O166" s="513" t="s">
        <v>1407</v>
      </c>
      <c r="P166" s="513" t="s">
        <v>7919</v>
      </c>
      <c r="Q166" s="518" t="s">
        <v>7796</v>
      </c>
      <c r="R166" s="152" t="s">
        <v>7920</v>
      </c>
      <c r="S166" s="152" t="s">
        <v>7921</v>
      </c>
      <c r="T166" s="152" t="s">
        <v>7922</v>
      </c>
      <c r="U166" s="152" t="s">
        <v>786</v>
      </c>
    </row>
    <row r="167" spans="4:21">
      <c r="D167" s="210"/>
      <c r="E167" s="210" t="s">
        <v>676</v>
      </c>
      <c r="F167" s="684" t="str">
        <f>+VLOOKUP(G167,Resumen_Base!$C$8:$G$156,5,0)</f>
        <v>Shop</v>
      </c>
      <c r="G167" s="152" t="s">
        <v>293</v>
      </c>
      <c r="H167" s="474" t="s">
        <v>294</v>
      </c>
      <c r="I167" s="152" t="str">
        <f t="shared" si="2"/>
        <v>CAR4104</v>
      </c>
      <c r="J167" s="847">
        <v>-49175</v>
      </c>
      <c r="K167" s="513">
        <v>-35</v>
      </c>
      <c r="L167" s="513">
        <v>1405</v>
      </c>
      <c r="M167" s="152" t="s">
        <v>7116</v>
      </c>
      <c r="N167" s="513" t="s">
        <v>1566</v>
      </c>
      <c r="O167" s="513" t="s">
        <v>1407</v>
      </c>
      <c r="P167" s="513" t="s">
        <v>7929</v>
      </c>
      <c r="Q167" s="518" t="s">
        <v>7796</v>
      </c>
      <c r="R167" s="152" t="s">
        <v>7930</v>
      </c>
      <c r="S167" s="152" t="s">
        <v>7921</v>
      </c>
      <c r="T167" s="152" t="s">
        <v>7931</v>
      </c>
      <c r="U167" s="152" t="s">
        <v>786</v>
      </c>
    </row>
    <row r="168" spans="4:21">
      <c r="D168" s="210"/>
      <c r="E168" s="210" t="s">
        <v>676</v>
      </c>
      <c r="F168" s="684" t="str">
        <f>+VLOOKUP(G168,Resumen_Base!$C$8:$G$156,5,0)</f>
        <v>Shop</v>
      </c>
      <c r="G168" s="152" t="s">
        <v>293</v>
      </c>
      <c r="H168" s="474" t="s">
        <v>294</v>
      </c>
      <c r="I168" s="152" t="str">
        <f t="shared" si="2"/>
        <v>CAR4104</v>
      </c>
      <c r="J168" s="847">
        <v>-91325</v>
      </c>
      <c r="K168" s="513">
        <v>-65</v>
      </c>
      <c r="L168" s="513">
        <v>1405</v>
      </c>
      <c r="M168" s="152" t="s">
        <v>7116</v>
      </c>
      <c r="N168" s="513" t="s">
        <v>1566</v>
      </c>
      <c r="O168" s="513" t="s">
        <v>1407</v>
      </c>
      <c r="P168" s="513" t="s">
        <v>7929</v>
      </c>
      <c r="Q168" s="518" t="s">
        <v>7796</v>
      </c>
      <c r="R168" s="152" t="s">
        <v>7930</v>
      </c>
      <c r="S168" s="152" t="s">
        <v>7921</v>
      </c>
      <c r="T168" s="152" t="s">
        <v>7931</v>
      </c>
      <c r="U168" s="152" t="s">
        <v>786</v>
      </c>
    </row>
    <row r="169" spans="4:21">
      <c r="D169" s="210"/>
      <c r="E169" s="210" t="s">
        <v>676</v>
      </c>
      <c r="F169" s="684" t="str">
        <f>+VLOOKUP(G169,Resumen_Base!$C$8:$G$156,5,0)</f>
        <v>Shop</v>
      </c>
      <c r="G169" s="152" t="s">
        <v>293</v>
      </c>
      <c r="H169" s="474" t="s">
        <v>294</v>
      </c>
      <c r="I169" s="152" t="str">
        <f t="shared" si="2"/>
        <v>CAR4104</v>
      </c>
      <c r="J169" s="847">
        <v>-112400</v>
      </c>
      <c r="K169" s="513">
        <v>-80</v>
      </c>
      <c r="L169" s="513">
        <v>1405</v>
      </c>
      <c r="M169" s="152" t="s">
        <v>7116</v>
      </c>
      <c r="N169" s="513" t="s">
        <v>1566</v>
      </c>
      <c r="O169" s="513" t="s">
        <v>1407</v>
      </c>
      <c r="P169" s="513" t="s">
        <v>7932</v>
      </c>
      <c r="Q169" s="518" t="s">
        <v>7796</v>
      </c>
      <c r="R169" s="152" t="s">
        <v>7933</v>
      </c>
      <c r="S169" s="152" t="s">
        <v>7934</v>
      </c>
      <c r="T169" s="152" t="s">
        <v>7935</v>
      </c>
      <c r="U169" s="152" t="s">
        <v>786</v>
      </c>
    </row>
    <row r="170" spans="4:21">
      <c r="D170" s="210"/>
      <c r="E170" s="210" t="s">
        <v>676</v>
      </c>
      <c r="F170" s="684" t="str">
        <f>+VLOOKUP(G170,Resumen_Base!$C$8:$G$156,5,0)</f>
        <v>Shop</v>
      </c>
      <c r="G170" s="152" t="s">
        <v>293</v>
      </c>
      <c r="H170" s="474" t="s">
        <v>294</v>
      </c>
      <c r="I170" s="152" t="str">
        <f t="shared" si="2"/>
        <v>CAR4104</v>
      </c>
      <c r="J170" s="847">
        <v>-112400</v>
      </c>
      <c r="K170" s="513">
        <v>-80</v>
      </c>
      <c r="L170" s="513">
        <v>1405</v>
      </c>
      <c r="M170" s="152" t="s">
        <v>7116</v>
      </c>
      <c r="N170" s="513" t="s">
        <v>1566</v>
      </c>
      <c r="O170" s="513" t="s">
        <v>1407</v>
      </c>
      <c r="P170" s="513" t="s">
        <v>7932</v>
      </c>
      <c r="Q170" s="518" t="s">
        <v>7796</v>
      </c>
      <c r="R170" s="152" t="s">
        <v>7933</v>
      </c>
      <c r="S170" s="152" t="s">
        <v>7934</v>
      </c>
      <c r="T170" s="152" t="s">
        <v>7935</v>
      </c>
      <c r="U170" s="152" t="s">
        <v>786</v>
      </c>
    </row>
    <row r="171" spans="4:21">
      <c r="D171" s="210"/>
      <c r="E171" s="210" t="s">
        <v>676</v>
      </c>
      <c r="F171" s="684" t="str">
        <f>+VLOOKUP(G171,Resumen_Base!$C$8:$G$156,5,0)</f>
        <v>Shop</v>
      </c>
      <c r="G171" s="152" t="s">
        <v>293</v>
      </c>
      <c r="H171" s="474" t="s">
        <v>294</v>
      </c>
      <c r="I171" s="152" t="str">
        <f t="shared" si="2"/>
        <v>CAR4104</v>
      </c>
      <c r="J171" s="847">
        <v>-112400</v>
      </c>
      <c r="K171" s="513">
        <v>-80</v>
      </c>
      <c r="L171" s="513">
        <v>1405</v>
      </c>
      <c r="M171" s="152" t="s">
        <v>7116</v>
      </c>
      <c r="N171" s="513" t="s">
        <v>1566</v>
      </c>
      <c r="O171" s="513" t="s">
        <v>1407</v>
      </c>
      <c r="P171" s="513" t="s">
        <v>7932</v>
      </c>
      <c r="Q171" s="518" t="s">
        <v>7796</v>
      </c>
      <c r="R171" s="152" t="s">
        <v>7933</v>
      </c>
      <c r="S171" s="152" t="s">
        <v>7934</v>
      </c>
      <c r="T171" s="152" t="s">
        <v>7935</v>
      </c>
      <c r="U171" s="152" t="s">
        <v>786</v>
      </c>
    </row>
    <row r="172" spans="4:21">
      <c r="D172" s="210"/>
      <c r="E172" s="210" t="s">
        <v>676</v>
      </c>
      <c r="F172" s="684" t="str">
        <f>+VLOOKUP(G172,Resumen_Base!$C$8:$G$156,5,0)</f>
        <v>Shop</v>
      </c>
      <c r="G172" s="152" t="s">
        <v>293</v>
      </c>
      <c r="H172" s="474" t="s">
        <v>294</v>
      </c>
      <c r="I172" s="152" t="str">
        <f t="shared" si="2"/>
        <v>CAR4104</v>
      </c>
      <c r="J172" s="847">
        <v>-28100</v>
      </c>
      <c r="K172" s="513">
        <v>-20</v>
      </c>
      <c r="L172" s="513">
        <v>1405</v>
      </c>
      <c r="M172" s="152" t="s">
        <v>7975</v>
      </c>
      <c r="N172" s="513" t="s">
        <v>1566</v>
      </c>
      <c r="O172" s="513" t="s">
        <v>1407</v>
      </c>
      <c r="P172" s="513" t="s">
        <v>7980</v>
      </c>
      <c r="Q172" s="518" t="s">
        <v>7796</v>
      </c>
      <c r="R172" s="152" t="s">
        <v>7981</v>
      </c>
      <c r="S172" s="152" t="s">
        <v>7978</v>
      </c>
      <c r="T172" s="152" t="s">
        <v>7982</v>
      </c>
      <c r="U172" s="152" t="s">
        <v>786</v>
      </c>
    </row>
    <row r="173" spans="4:21">
      <c r="D173" s="210"/>
      <c r="E173" s="210" t="s">
        <v>676</v>
      </c>
      <c r="F173" s="684" t="str">
        <f>+VLOOKUP(G173,Resumen_Base!$C$8:$G$156,5,0)</f>
        <v>Shop</v>
      </c>
      <c r="G173" s="152" t="s">
        <v>293</v>
      </c>
      <c r="H173" s="474" t="s">
        <v>294</v>
      </c>
      <c r="I173" s="152" t="str">
        <f t="shared" si="2"/>
        <v>CAR4104</v>
      </c>
      <c r="J173" s="847">
        <v>-21075</v>
      </c>
      <c r="K173" s="513">
        <v>-15</v>
      </c>
      <c r="L173" s="513">
        <v>1405</v>
      </c>
      <c r="M173" s="152" t="s">
        <v>7975</v>
      </c>
      <c r="N173" s="513" t="s">
        <v>1566</v>
      </c>
      <c r="O173" s="513" t="s">
        <v>1407</v>
      </c>
      <c r="P173" s="513" t="s">
        <v>7980</v>
      </c>
      <c r="Q173" s="518" t="s">
        <v>7796</v>
      </c>
      <c r="R173" s="152" t="s">
        <v>7981</v>
      </c>
      <c r="S173" s="152" t="s">
        <v>7978</v>
      </c>
      <c r="T173" s="152" t="s">
        <v>7982</v>
      </c>
      <c r="U173" s="152" t="s">
        <v>786</v>
      </c>
    </row>
    <row r="174" spans="4:21">
      <c r="D174" s="210"/>
      <c r="E174" s="210" t="s">
        <v>676</v>
      </c>
      <c r="F174" s="684" t="str">
        <f>+VLOOKUP(G174,Resumen_Base!$C$8:$G$156,5,0)</f>
        <v>Shop</v>
      </c>
      <c r="G174" s="152" t="s">
        <v>293</v>
      </c>
      <c r="H174" s="474" t="s">
        <v>294</v>
      </c>
      <c r="I174" s="152" t="str">
        <f t="shared" si="2"/>
        <v>CAR4104</v>
      </c>
      <c r="J174" s="847">
        <v>-21075</v>
      </c>
      <c r="K174" s="513">
        <v>-15</v>
      </c>
      <c r="L174" s="513">
        <v>1405</v>
      </c>
      <c r="M174" s="152" t="s">
        <v>7975</v>
      </c>
      <c r="N174" s="513" t="s">
        <v>1566</v>
      </c>
      <c r="O174" s="513" t="s">
        <v>1407</v>
      </c>
      <c r="P174" s="513" t="s">
        <v>7983</v>
      </c>
      <c r="Q174" s="518" t="s">
        <v>7796</v>
      </c>
      <c r="R174" s="152" t="s">
        <v>7984</v>
      </c>
      <c r="S174" s="152" t="s">
        <v>7978</v>
      </c>
      <c r="T174" s="152" t="s">
        <v>7985</v>
      </c>
      <c r="U174" s="152" t="s">
        <v>786</v>
      </c>
    </row>
    <row r="175" spans="4:21">
      <c r="D175" s="210"/>
      <c r="E175" s="210" t="s">
        <v>676</v>
      </c>
      <c r="F175" s="684" t="str">
        <f>+VLOOKUP(G175,Resumen_Base!$C$8:$G$156,5,0)</f>
        <v>Shop</v>
      </c>
      <c r="G175" s="152" t="s">
        <v>293</v>
      </c>
      <c r="H175" s="474" t="s">
        <v>294</v>
      </c>
      <c r="I175" s="152" t="str">
        <f t="shared" si="2"/>
        <v>CAR4104</v>
      </c>
      <c r="J175" s="847">
        <v>-98350</v>
      </c>
      <c r="K175" s="513">
        <v>-70</v>
      </c>
      <c r="L175" s="513">
        <v>1405</v>
      </c>
      <c r="M175" s="152" t="s">
        <v>7975</v>
      </c>
      <c r="N175" s="513" t="s">
        <v>1566</v>
      </c>
      <c r="O175" s="513" t="s">
        <v>1407</v>
      </c>
      <c r="P175" s="513" t="s">
        <v>7983</v>
      </c>
      <c r="Q175" s="518" t="s">
        <v>7796</v>
      </c>
      <c r="R175" s="152" t="s">
        <v>7984</v>
      </c>
      <c r="S175" s="152" t="s">
        <v>7978</v>
      </c>
      <c r="T175" s="152" t="s">
        <v>7985</v>
      </c>
      <c r="U175" s="152" t="s">
        <v>786</v>
      </c>
    </row>
    <row r="176" spans="4:21">
      <c r="D176" s="210"/>
      <c r="E176" s="210" t="s">
        <v>676</v>
      </c>
      <c r="F176" s="684" t="str">
        <f>+VLOOKUP(G176,Resumen_Base!$C$8:$G$156,5,0)</f>
        <v>Shop</v>
      </c>
      <c r="G176" s="152" t="s">
        <v>293</v>
      </c>
      <c r="H176" s="474" t="s">
        <v>294</v>
      </c>
      <c r="I176" s="152" t="str">
        <f t="shared" si="2"/>
        <v>CAR4104</v>
      </c>
      <c r="J176" s="847">
        <v>-112400</v>
      </c>
      <c r="K176" s="513">
        <v>-80</v>
      </c>
      <c r="L176" s="513">
        <v>1405</v>
      </c>
      <c r="M176" s="152" t="s">
        <v>7975</v>
      </c>
      <c r="N176" s="513" t="s">
        <v>1566</v>
      </c>
      <c r="O176" s="513" t="s">
        <v>1407</v>
      </c>
      <c r="P176" s="513" t="s">
        <v>8030</v>
      </c>
      <c r="Q176" s="518" t="s">
        <v>7796</v>
      </c>
      <c r="R176" s="152" t="s">
        <v>8031</v>
      </c>
      <c r="S176" s="152" t="s">
        <v>8032</v>
      </c>
      <c r="T176" s="152" t="s">
        <v>8033</v>
      </c>
      <c r="U176" s="152" t="s">
        <v>786</v>
      </c>
    </row>
    <row r="177" spans="4:21">
      <c r="D177" s="210"/>
      <c r="E177" s="210" t="s">
        <v>676</v>
      </c>
      <c r="F177" s="684" t="str">
        <f>+VLOOKUP(G177,Resumen_Base!$C$8:$G$156,5,0)</f>
        <v>Shop</v>
      </c>
      <c r="G177" s="152" t="s">
        <v>293</v>
      </c>
      <c r="H177" s="474" t="s">
        <v>294</v>
      </c>
      <c r="I177" s="152" t="str">
        <f t="shared" si="2"/>
        <v>CAR4104</v>
      </c>
      <c r="J177" s="847">
        <v>-44960</v>
      </c>
      <c r="K177" s="513">
        <v>-32</v>
      </c>
      <c r="L177" s="513">
        <v>1405</v>
      </c>
      <c r="M177" s="152" t="s">
        <v>7975</v>
      </c>
      <c r="N177" s="513" t="s">
        <v>1566</v>
      </c>
      <c r="O177" s="513" t="s">
        <v>1407</v>
      </c>
      <c r="P177" s="513" t="s">
        <v>8030</v>
      </c>
      <c r="Q177" s="518" t="s">
        <v>7796</v>
      </c>
      <c r="R177" s="152" t="s">
        <v>8031</v>
      </c>
      <c r="S177" s="152" t="s">
        <v>8032</v>
      </c>
      <c r="T177" s="152" t="s">
        <v>8033</v>
      </c>
      <c r="U177" s="152" t="s">
        <v>786</v>
      </c>
    </row>
    <row r="178" spans="4:21">
      <c r="D178" s="210"/>
      <c r="E178" s="210" t="s">
        <v>676</v>
      </c>
      <c r="F178" s="684" t="str">
        <f>+VLOOKUP(G178,Resumen_Base!$C$8:$G$156,5,0)</f>
        <v>Shop</v>
      </c>
      <c r="G178" s="152" t="s">
        <v>293</v>
      </c>
      <c r="H178" s="474" t="s">
        <v>294</v>
      </c>
      <c r="I178" s="152" t="str">
        <f t="shared" si="2"/>
        <v>CAR4104</v>
      </c>
      <c r="J178" s="847">
        <v>-56200</v>
      </c>
      <c r="K178" s="513">
        <v>-40</v>
      </c>
      <c r="L178" s="513">
        <v>1405</v>
      </c>
      <c r="M178" s="152" t="s">
        <v>7975</v>
      </c>
      <c r="N178" s="513" t="s">
        <v>1566</v>
      </c>
      <c r="O178" s="513" t="s">
        <v>1407</v>
      </c>
      <c r="P178" s="513" t="s">
        <v>8034</v>
      </c>
      <c r="Q178" s="518" t="s">
        <v>7796</v>
      </c>
      <c r="R178" s="152" t="s">
        <v>8035</v>
      </c>
      <c r="S178" s="152" t="s">
        <v>8032</v>
      </c>
      <c r="T178" s="152" t="s">
        <v>8036</v>
      </c>
      <c r="U178" s="152" t="s">
        <v>786</v>
      </c>
    </row>
    <row r="179" spans="4:21">
      <c r="D179" s="210"/>
      <c r="E179" s="210" t="s">
        <v>676</v>
      </c>
      <c r="F179" s="684" t="str">
        <f>+VLOOKUP(G179,Resumen_Base!$C$8:$G$156,5,0)</f>
        <v>Shop</v>
      </c>
      <c r="G179" s="152" t="s">
        <v>293</v>
      </c>
      <c r="H179" s="474" t="s">
        <v>294</v>
      </c>
      <c r="I179" s="152" t="str">
        <f t="shared" si="2"/>
        <v>CAR4104</v>
      </c>
      <c r="J179" s="847">
        <v>-56200</v>
      </c>
      <c r="K179" s="513">
        <v>-40</v>
      </c>
      <c r="L179" s="513">
        <v>1405</v>
      </c>
      <c r="M179" s="152" t="s">
        <v>7975</v>
      </c>
      <c r="N179" s="513" t="s">
        <v>1566</v>
      </c>
      <c r="O179" s="513" t="s">
        <v>1407</v>
      </c>
      <c r="P179" s="513" t="s">
        <v>8034</v>
      </c>
      <c r="Q179" s="518" t="s">
        <v>7796</v>
      </c>
      <c r="R179" s="152" t="s">
        <v>8035</v>
      </c>
      <c r="S179" s="152" t="s">
        <v>8032</v>
      </c>
      <c r="T179" s="152" t="s">
        <v>8036</v>
      </c>
      <c r="U179" s="152" t="s">
        <v>786</v>
      </c>
    </row>
    <row r="180" spans="4:21">
      <c r="D180" s="210"/>
      <c r="E180" s="210" t="s">
        <v>676</v>
      </c>
      <c r="F180" s="684" t="str">
        <f>+VLOOKUP(G180,Resumen_Base!$C$8:$G$156,5,0)</f>
        <v>Shop</v>
      </c>
      <c r="G180" s="152" t="s">
        <v>293</v>
      </c>
      <c r="H180" s="474" t="s">
        <v>294</v>
      </c>
      <c r="I180" s="152" t="str">
        <f t="shared" si="2"/>
        <v>CAR4104</v>
      </c>
      <c r="J180" s="847">
        <v>-56200</v>
      </c>
      <c r="K180" s="513">
        <v>-40</v>
      </c>
      <c r="L180" s="513">
        <v>1405</v>
      </c>
      <c r="M180" s="152" t="s">
        <v>7975</v>
      </c>
      <c r="N180" s="513" t="s">
        <v>1566</v>
      </c>
      <c r="O180" s="513" t="s">
        <v>1407</v>
      </c>
      <c r="P180" s="513" t="s">
        <v>8034</v>
      </c>
      <c r="Q180" s="518" t="s">
        <v>7796</v>
      </c>
      <c r="R180" s="152" t="s">
        <v>8035</v>
      </c>
      <c r="S180" s="152" t="s">
        <v>8032</v>
      </c>
      <c r="T180" s="152" t="s">
        <v>8036</v>
      </c>
      <c r="U180" s="152" t="s">
        <v>786</v>
      </c>
    </row>
    <row r="181" spans="4:21">
      <c r="D181" s="210"/>
      <c r="E181" s="210" t="s">
        <v>676</v>
      </c>
      <c r="F181" s="684" t="str">
        <f>+VLOOKUP(G181,Resumen_Base!$C$8:$G$156,5,0)</f>
        <v>Shop</v>
      </c>
      <c r="G181" s="152" t="s">
        <v>293</v>
      </c>
      <c r="H181" s="474" t="s">
        <v>294</v>
      </c>
      <c r="I181" s="152" t="str">
        <f t="shared" si="2"/>
        <v>CAR4104</v>
      </c>
      <c r="J181" s="847">
        <v>-56800</v>
      </c>
      <c r="K181" s="513">
        <v>-40</v>
      </c>
      <c r="L181" s="513">
        <v>1420</v>
      </c>
      <c r="M181" s="152" t="s">
        <v>7143</v>
      </c>
      <c r="N181" s="513" t="s">
        <v>1566</v>
      </c>
      <c r="O181" s="513" t="s">
        <v>1407</v>
      </c>
      <c r="P181" s="513" t="s">
        <v>8037</v>
      </c>
      <c r="Q181" s="518" t="s">
        <v>7796</v>
      </c>
      <c r="R181" s="152" t="s">
        <v>8038</v>
      </c>
      <c r="S181" s="152" t="s">
        <v>8039</v>
      </c>
      <c r="T181" s="152" t="s">
        <v>8040</v>
      </c>
      <c r="U181" s="152" t="s">
        <v>786</v>
      </c>
    </row>
    <row r="182" spans="4:21">
      <c r="D182" s="210"/>
      <c r="E182" s="210" t="s">
        <v>676</v>
      </c>
      <c r="F182" s="684" t="str">
        <f>+VLOOKUP(G182,Resumen_Base!$C$8:$G$156,5,0)</f>
        <v>Shop</v>
      </c>
      <c r="G182" s="152" t="s">
        <v>293</v>
      </c>
      <c r="H182" s="474" t="s">
        <v>294</v>
      </c>
      <c r="I182" s="152" t="str">
        <f t="shared" si="2"/>
        <v>CAR4104</v>
      </c>
      <c r="J182" s="847">
        <v>-56800</v>
      </c>
      <c r="K182" s="513">
        <v>-40</v>
      </c>
      <c r="L182" s="513">
        <v>1420</v>
      </c>
      <c r="M182" s="152" t="s">
        <v>7143</v>
      </c>
      <c r="N182" s="513" t="s">
        <v>1566</v>
      </c>
      <c r="O182" s="513" t="s">
        <v>1407</v>
      </c>
      <c r="P182" s="513" t="s">
        <v>8037</v>
      </c>
      <c r="Q182" s="518" t="s">
        <v>7796</v>
      </c>
      <c r="R182" s="152" t="s">
        <v>8038</v>
      </c>
      <c r="S182" s="152" t="s">
        <v>8039</v>
      </c>
      <c r="T182" s="152" t="s">
        <v>8040</v>
      </c>
      <c r="U182" s="152" t="s">
        <v>786</v>
      </c>
    </row>
    <row r="183" spans="4:21">
      <c r="D183" s="210"/>
      <c r="E183" s="210" t="s">
        <v>676</v>
      </c>
      <c r="F183" s="684" t="str">
        <f>+VLOOKUP(G183,Resumen_Base!$C$8:$G$156,5,0)</f>
        <v>Shop</v>
      </c>
      <c r="G183" s="152" t="s">
        <v>293</v>
      </c>
      <c r="H183" s="474" t="s">
        <v>294</v>
      </c>
      <c r="I183" s="152" t="str">
        <f t="shared" si="2"/>
        <v>CAR4104</v>
      </c>
      <c r="J183" s="847">
        <v>-56800</v>
      </c>
      <c r="K183" s="513">
        <v>-40</v>
      </c>
      <c r="L183" s="513">
        <v>1420</v>
      </c>
      <c r="M183" s="152" t="s">
        <v>7143</v>
      </c>
      <c r="N183" s="513" t="s">
        <v>1566</v>
      </c>
      <c r="O183" s="513" t="s">
        <v>1407</v>
      </c>
      <c r="P183" s="513" t="s">
        <v>8037</v>
      </c>
      <c r="Q183" s="518" t="s">
        <v>7796</v>
      </c>
      <c r="R183" s="152" t="s">
        <v>8038</v>
      </c>
      <c r="S183" s="152" t="s">
        <v>8039</v>
      </c>
      <c r="T183" s="152" t="s">
        <v>8040</v>
      </c>
      <c r="U183" s="152" t="s">
        <v>786</v>
      </c>
    </row>
    <row r="184" spans="4:21">
      <c r="D184" s="210"/>
      <c r="E184" s="210" t="s">
        <v>676</v>
      </c>
      <c r="F184" s="684" t="str">
        <f>+VLOOKUP(G184,Resumen_Base!$C$8:$G$156,5,0)</f>
        <v>Shop</v>
      </c>
      <c r="G184" s="152" t="s">
        <v>293</v>
      </c>
      <c r="H184" s="474" t="s">
        <v>294</v>
      </c>
      <c r="I184" s="152" t="str">
        <f t="shared" si="2"/>
        <v>CAR4104</v>
      </c>
      <c r="J184" s="847">
        <v>-113600</v>
      </c>
      <c r="K184" s="513">
        <v>-80</v>
      </c>
      <c r="L184" s="513">
        <v>1420</v>
      </c>
      <c r="M184" s="152" t="s">
        <v>7143</v>
      </c>
      <c r="N184" s="513" t="s">
        <v>1566</v>
      </c>
      <c r="O184" s="513" t="s">
        <v>1407</v>
      </c>
      <c r="P184" s="513" t="s">
        <v>8041</v>
      </c>
      <c r="Q184" s="518" t="s">
        <v>7796</v>
      </c>
      <c r="R184" s="152" t="s">
        <v>8042</v>
      </c>
      <c r="S184" s="152" t="s">
        <v>8039</v>
      </c>
      <c r="T184" s="152" t="s">
        <v>8043</v>
      </c>
      <c r="U184" s="152" t="s">
        <v>786</v>
      </c>
    </row>
    <row r="185" spans="4:21">
      <c r="D185" s="210"/>
      <c r="E185" s="210" t="s">
        <v>676</v>
      </c>
      <c r="F185" s="684" t="str">
        <f>+VLOOKUP(G185,Resumen_Base!$C$8:$G$156,5,0)</f>
        <v>Shop</v>
      </c>
      <c r="G185" s="152" t="s">
        <v>293</v>
      </c>
      <c r="H185" s="474" t="s">
        <v>294</v>
      </c>
      <c r="I185" s="152" t="str">
        <f t="shared" si="2"/>
        <v>CAR4104</v>
      </c>
      <c r="J185" s="847">
        <v>-45440</v>
      </c>
      <c r="K185" s="513">
        <v>-32</v>
      </c>
      <c r="L185" s="513">
        <v>1420</v>
      </c>
      <c r="M185" s="152" t="s">
        <v>7143</v>
      </c>
      <c r="N185" s="513" t="s">
        <v>1566</v>
      </c>
      <c r="O185" s="513" t="s">
        <v>1407</v>
      </c>
      <c r="P185" s="513" t="s">
        <v>8041</v>
      </c>
      <c r="Q185" s="518" t="s">
        <v>7796</v>
      </c>
      <c r="R185" s="152" t="s">
        <v>8042</v>
      </c>
      <c r="S185" s="152" t="s">
        <v>8039</v>
      </c>
      <c r="T185" s="152" t="s">
        <v>8043</v>
      </c>
      <c r="U185" s="152" t="s">
        <v>786</v>
      </c>
    </row>
    <row r="186" spans="4:21">
      <c r="D186" s="210"/>
      <c r="E186" s="210" t="s">
        <v>676</v>
      </c>
      <c r="F186" s="684" t="str">
        <f>+VLOOKUP(G186,Resumen_Base!$C$8:$G$156,5,0)</f>
        <v>Shop</v>
      </c>
      <c r="G186" s="152" t="s">
        <v>293</v>
      </c>
      <c r="H186" s="474" t="s">
        <v>294</v>
      </c>
      <c r="I186" s="152" t="str">
        <f t="shared" si="2"/>
        <v>CAR4104</v>
      </c>
      <c r="J186" s="847">
        <v>-56800</v>
      </c>
      <c r="K186" s="513">
        <v>-40</v>
      </c>
      <c r="L186" s="513">
        <v>1420</v>
      </c>
      <c r="M186" s="152" t="s">
        <v>7143</v>
      </c>
      <c r="N186" s="513" t="s">
        <v>1566</v>
      </c>
      <c r="O186" s="513" t="s">
        <v>1407</v>
      </c>
      <c r="P186" s="513" t="s">
        <v>8044</v>
      </c>
      <c r="Q186" s="518" t="s">
        <v>7796</v>
      </c>
      <c r="R186" s="152" t="s">
        <v>8045</v>
      </c>
      <c r="S186" s="152" t="s">
        <v>8046</v>
      </c>
      <c r="T186" s="152" t="s">
        <v>8047</v>
      </c>
      <c r="U186" s="152" t="s">
        <v>786</v>
      </c>
    </row>
    <row r="187" spans="4:21">
      <c r="D187" s="210"/>
      <c r="E187" s="210" t="s">
        <v>676</v>
      </c>
      <c r="F187" s="684" t="str">
        <f>+VLOOKUP(G187,Resumen_Base!$C$8:$G$156,5,0)</f>
        <v>Shop</v>
      </c>
      <c r="G187" s="152" t="s">
        <v>293</v>
      </c>
      <c r="H187" s="474" t="s">
        <v>294</v>
      </c>
      <c r="I187" s="152" t="str">
        <f t="shared" si="2"/>
        <v>CAR4104</v>
      </c>
      <c r="J187" s="847">
        <v>-56800</v>
      </c>
      <c r="K187" s="513">
        <v>-40</v>
      </c>
      <c r="L187" s="513">
        <v>1420</v>
      </c>
      <c r="M187" s="152" t="s">
        <v>7143</v>
      </c>
      <c r="N187" s="513" t="s">
        <v>1566</v>
      </c>
      <c r="O187" s="513" t="s">
        <v>1407</v>
      </c>
      <c r="P187" s="513" t="s">
        <v>8044</v>
      </c>
      <c r="Q187" s="518" t="s">
        <v>7796</v>
      </c>
      <c r="R187" s="152" t="s">
        <v>8045</v>
      </c>
      <c r="S187" s="152" t="s">
        <v>8046</v>
      </c>
      <c r="T187" s="152" t="s">
        <v>8047</v>
      </c>
      <c r="U187" s="152" t="s">
        <v>786</v>
      </c>
    </row>
    <row r="188" spans="4:21">
      <c r="D188" s="210"/>
      <c r="E188" s="210" t="s">
        <v>676</v>
      </c>
      <c r="F188" s="684" t="str">
        <f>+VLOOKUP(G188,Resumen_Base!$C$8:$G$156,5,0)</f>
        <v>Shop</v>
      </c>
      <c r="G188" s="152" t="s">
        <v>293</v>
      </c>
      <c r="H188" s="474" t="s">
        <v>294</v>
      </c>
      <c r="I188" s="152" t="str">
        <f t="shared" si="2"/>
        <v>CAR4104</v>
      </c>
      <c r="J188" s="847">
        <v>-56800</v>
      </c>
      <c r="K188" s="513">
        <v>-40</v>
      </c>
      <c r="L188" s="513">
        <v>1420</v>
      </c>
      <c r="M188" s="152" t="s">
        <v>7143</v>
      </c>
      <c r="N188" s="513" t="s">
        <v>1566</v>
      </c>
      <c r="O188" s="513" t="s">
        <v>1407</v>
      </c>
      <c r="P188" s="513" t="s">
        <v>8044</v>
      </c>
      <c r="Q188" s="518" t="s">
        <v>7796</v>
      </c>
      <c r="R188" s="152" t="s">
        <v>8045</v>
      </c>
      <c r="S188" s="152" t="s">
        <v>8046</v>
      </c>
      <c r="T188" s="152" t="s">
        <v>8047</v>
      </c>
      <c r="U188" s="152" t="s">
        <v>786</v>
      </c>
    </row>
    <row r="189" spans="4:21">
      <c r="D189" s="210"/>
      <c r="E189" s="210" t="s">
        <v>676</v>
      </c>
      <c r="F189" s="684" t="str">
        <f>+VLOOKUP(G189,Resumen_Base!$C$8:$G$156,5,0)</f>
        <v>Shop</v>
      </c>
      <c r="G189" s="152" t="s">
        <v>293</v>
      </c>
      <c r="H189" s="474" t="s">
        <v>294</v>
      </c>
      <c r="I189" s="152" t="str">
        <f t="shared" si="2"/>
        <v>CAR4104</v>
      </c>
      <c r="J189" s="847">
        <v>-56800</v>
      </c>
      <c r="K189" s="513">
        <v>-40</v>
      </c>
      <c r="L189" s="513">
        <v>1420</v>
      </c>
      <c r="M189" s="152" t="s">
        <v>7143</v>
      </c>
      <c r="N189" s="513" t="s">
        <v>1566</v>
      </c>
      <c r="O189" s="513" t="s">
        <v>1407</v>
      </c>
      <c r="P189" s="513" t="s">
        <v>8044</v>
      </c>
      <c r="Q189" s="518" t="s">
        <v>7796</v>
      </c>
      <c r="R189" s="152" t="s">
        <v>8045</v>
      </c>
      <c r="S189" s="152" t="s">
        <v>8046</v>
      </c>
      <c r="T189" s="152" t="s">
        <v>8047</v>
      </c>
      <c r="U189" s="152" t="s">
        <v>786</v>
      </c>
    </row>
    <row r="190" spans="4:21">
      <c r="D190" s="210"/>
      <c r="E190" s="210" t="s">
        <v>676</v>
      </c>
      <c r="F190" s="684" t="str">
        <f>+VLOOKUP(G190,Resumen_Base!$C$8:$G$156,5,0)</f>
        <v>Shop</v>
      </c>
      <c r="G190" s="152" t="s">
        <v>293</v>
      </c>
      <c r="H190" s="474" t="s">
        <v>294</v>
      </c>
      <c r="I190" s="152" t="str">
        <f t="shared" si="2"/>
        <v>CAR4104</v>
      </c>
      <c r="J190" s="847">
        <v>-49700</v>
      </c>
      <c r="K190" s="513">
        <v>-35</v>
      </c>
      <c r="L190" s="513">
        <v>1420</v>
      </c>
      <c r="M190" s="152" t="s">
        <v>7143</v>
      </c>
      <c r="N190" s="513" t="s">
        <v>1566</v>
      </c>
      <c r="O190" s="513" t="s">
        <v>1407</v>
      </c>
      <c r="P190" s="513" t="s">
        <v>8044</v>
      </c>
      <c r="Q190" s="518" t="s">
        <v>7796</v>
      </c>
      <c r="R190" s="152" t="s">
        <v>8045</v>
      </c>
      <c r="S190" s="152" t="s">
        <v>8046</v>
      </c>
      <c r="T190" s="152" t="s">
        <v>8047</v>
      </c>
      <c r="U190" s="152" t="s">
        <v>786</v>
      </c>
    </row>
    <row r="191" spans="4:21">
      <c r="D191" s="210"/>
      <c r="E191" s="210" t="s">
        <v>676</v>
      </c>
      <c r="F191" s="684" t="str">
        <f>+VLOOKUP(G191,Resumen_Base!$C$8:$G$156,5,0)</f>
        <v>Shop</v>
      </c>
      <c r="G191" s="152" t="s">
        <v>293</v>
      </c>
      <c r="H191" s="474" t="s">
        <v>294</v>
      </c>
      <c r="I191" s="152" t="str">
        <f t="shared" si="2"/>
        <v>CAR4104</v>
      </c>
      <c r="J191" s="847">
        <v>-56800</v>
      </c>
      <c r="K191" s="513">
        <v>-40</v>
      </c>
      <c r="L191" s="513">
        <v>1420</v>
      </c>
      <c r="M191" s="152" t="s">
        <v>7143</v>
      </c>
      <c r="N191" s="513" t="s">
        <v>1566</v>
      </c>
      <c r="O191" s="513" t="s">
        <v>1407</v>
      </c>
      <c r="P191" s="513" t="s">
        <v>8044</v>
      </c>
      <c r="Q191" s="518" t="s">
        <v>7796</v>
      </c>
      <c r="R191" s="152" t="s">
        <v>8045</v>
      </c>
      <c r="S191" s="152" t="s">
        <v>8046</v>
      </c>
      <c r="T191" s="152" t="s">
        <v>8047</v>
      </c>
      <c r="U191" s="152" t="s">
        <v>786</v>
      </c>
    </row>
    <row r="192" spans="4:21">
      <c r="D192" s="210"/>
      <c r="E192" s="210" t="s">
        <v>676</v>
      </c>
      <c r="F192" s="684" t="str">
        <f>+VLOOKUP(G192,Resumen_Base!$C$8:$G$156,5,0)</f>
        <v>Shop</v>
      </c>
      <c r="G192" s="152" t="s">
        <v>293</v>
      </c>
      <c r="H192" s="474" t="s">
        <v>294</v>
      </c>
      <c r="I192" s="152" t="str">
        <f t="shared" si="2"/>
        <v>CAR4104</v>
      </c>
      <c r="J192" s="847">
        <v>-127800</v>
      </c>
      <c r="K192" s="513">
        <v>-90</v>
      </c>
      <c r="L192" s="513">
        <v>1420</v>
      </c>
      <c r="M192" s="152" t="s">
        <v>7143</v>
      </c>
      <c r="N192" s="513" t="s">
        <v>1566</v>
      </c>
      <c r="O192" s="513" t="s">
        <v>1407</v>
      </c>
      <c r="P192" s="513" t="s">
        <v>8044</v>
      </c>
      <c r="Q192" s="518" t="s">
        <v>7796</v>
      </c>
      <c r="R192" s="152" t="s">
        <v>8045</v>
      </c>
      <c r="S192" s="152" t="s">
        <v>8046</v>
      </c>
      <c r="T192" s="152" t="s">
        <v>8047</v>
      </c>
      <c r="U192" s="152" t="s">
        <v>786</v>
      </c>
    </row>
    <row r="193" spans="4:21">
      <c r="D193" s="210"/>
      <c r="E193" s="210" t="s">
        <v>676</v>
      </c>
      <c r="F193" s="684" t="str">
        <f>+VLOOKUP(G193,Resumen_Base!$C$8:$G$156,5,0)</f>
        <v>Shop</v>
      </c>
      <c r="G193" s="152" t="s">
        <v>293</v>
      </c>
      <c r="H193" s="474" t="s">
        <v>294</v>
      </c>
      <c r="I193" s="152" t="str">
        <f t="shared" si="2"/>
        <v>CAR4104</v>
      </c>
      <c r="J193" s="847">
        <v>-35500</v>
      </c>
      <c r="K193" s="513">
        <v>-25</v>
      </c>
      <c r="L193" s="513">
        <v>1420</v>
      </c>
      <c r="M193" s="152" t="s">
        <v>7143</v>
      </c>
      <c r="N193" s="513" t="s">
        <v>1566</v>
      </c>
      <c r="O193" s="513" t="s">
        <v>1407</v>
      </c>
      <c r="P193" s="513" t="s">
        <v>8044</v>
      </c>
      <c r="Q193" s="518" t="s">
        <v>7796</v>
      </c>
      <c r="R193" s="152" t="s">
        <v>8045</v>
      </c>
      <c r="S193" s="152" t="s">
        <v>8046</v>
      </c>
      <c r="T193" s="152" t="s">
        <v>8047</v>
      </c>
      <c r="U193" s="152" t="s">
        <v>786</v>
      </c>
    </row>
    <row r="194" spans="4:21">
      <c r="D194" s="210"/>
      <c r="E194" s="210" t="s">
        <v>670</v>
      </c>
      <c r="F194" s="684" t="str">
        <f>+VLOOKUP(G194,Resumen_Base!$C$8:$G$156,5,0)</f>
        <v>Extras</v>
      </c>
      <c r="G194" s="152" t="s">
        <v>297</v>
      </c>
      <c r="H194" s="474" t="s">
        <v>298</v>
      </c>
      <c r="I194" s="152" t="str">
        <f t="shared" si="2"/>
        <v>SJ4110</v>
      </c>
      <c r="J194" s="847">
        <v>-7025</v>
      </c>
      <c r="K194" s="513">
        <v>-5</v>
      </c>
      <c r="L194" s="513">
        <v>1405</v>
      </c>
      <c r="M194" s="152" t="s">
        <v>7808</v>
      </c>
      <c r="N194" s="513" t="s">
        <v>1566</v>
      </c>
      <c r="O194" s="513" t="s">
        <v>781</v>
      </c>
      <c r="P194" s="513" t="s">
        <v>7849</v>
      </c>
      <c r="Q194" s="518" t="s">
        <v>7796</v>
      </c>
      <c r="R194" s="152" t="s">
        <v>7850</v>
      </c>
      <c r="S194" s="152" t="s">
        <v>7851</v>
      </c>
      <c r="T194" s="152" t="s">
        <v>7852</v>
      </c>
      <c r="U194" s="152" t="s">
        <v>786</v>
      </c>
    </row>
    <row r="195" spans="4:21">
      <c r="D195" s="210"/>
      <c r="E195" s="210" t="s">
        <v>670</v>
      </c>
      <c r="F195" s="684" t="str">
        <f>+VLOOKUP(G195,Resumen_Base!$C$8:$G$156,5,0)</f>
        <v>Extras</v>
      </c>
      <c r="G195" s="152" t="s">
        <v>297</v>
      </c>
      <c r="H195" s="474" t="s">
        <v>298</v>
      </c>
      <c r="I195" s="152" t="str">
        <f t="shared" si="2"/>
        <v>SJ4110</v>
      </c>
      <c r="J195" s="847">
        <v>-7025</v>
      </c>
      <c r="K195" s="513">
        <v>-5</v>
      </c>
      <c r="L195" s="513">
        <v>1405</v>
      </c>
      <c r="M195" s="152" t="s">
        <v>7808</v>
      </c>
      <c r="N195" s="513" t="s">
        <v>1566</v>
      </c>
      <c r="O195" s="513" t="s">
        <v>781</v>
      </c>
      <c r="P195" s="513" t="s">
        <v>7856</v>
      </c>
      <c r="Q195" s="518" t="s">
        <v>7796</v>
      </c>
      <c r="R195" s="152" t="s">
        <v>7857</v>
      </c>
      <c r="S195" s="152" t="s">
        <v>7858</v>
      </c>
      <c r="T195" s="152" t="s">
        <v>7859</v>
      </c>
      <c r="U195" s="152" t="s">
        <v>786</v>
      </c>
    </row>
    <row r="196" spans="4:21">
      <c r="D196" s="210"/>
      <c r="E196" s="210" t="s">
        <v>670</v>
      </c>
      <c r="F196" s="684" t="str">
        <f>+VLOOKUP(G196,Resumen_Base!$C$8:$G$156,5,0)</f>
        <v>Extras</v>
      </c>
      <c r="G196" s="152" t="s">
        <v>297</v>
      </c>
      <c r="H196" s="474" t="s">
        <v>298</v>
      </c>
      <c r="I196" s="152" t="str">
        <f t="shared" si="2"/>
        <v>SJ4110</v>
      </c>
      <c r="J196" s="847">
        <v>-7025</v>
      </c>
      <c r="K196" s="513">
        <v>-5</v>
      </c>
      <c r="L196" s="513">
        <v>1405</v>
      </c>
      <c r="M196" s="152" t="s">
        <v>7808</v>
      </c>
      <c r="N196" s="513" t="s">
        <v>1566</v>
      </c>
      <c r="O196" s="513" t="s">
        <v>781</v>
      </c>
      <c r="P196" s="513" t="s">
        <v>7860</v>
      </c>
      <c r="Q196" s="518" t="s">
        <v>7796</v>
      </c>
      <c r="R196" s="152" t="s">
        <v>7861</v>
      </c>
      <c r="S196" s="152" t="s">
        <v>7858</v>
      </c>
      <c r="T196" s="152" t="s">
        <v>7862</v>
      </c>
      <c r="U196" s="152" t="s">
        <v>786</v>
      </c>
    </row>
    <row r="197" spans="4:21">
      <c r="D197" s="210"/>
      <c r="E197" s="210" t="s">
        <v>670</v>
      </c>
      <c r="F197" s="684" t="str">
        <f>+VLOOKUP(G197,Resumen_Base!$C$8:$G$156,5,0)</f>
        <v>Extras</v>
      </c>
      <c r="G197" s="152" t="s">
        <v>297</v>
      </c>
      <c r="H197" s="474" t="s">
        <v>298</v>
      </c>
      <c r="I197" s="152" t="str">
        <f t="shared" si="2"/>
        <v>SJ4110</v>
      </c>
      <c r="J197" s="847">
        <v>-21075</v>
      </c>
      <c r="K197" s="513">
        <v>-15</v>
      </c>
      <c r="L197" s="513">
        <v>1405</v>
      </c>
      <c r="M197" s="152" t="s">
        <v>7808</v>
      </c>
      <c r="N197" s="513" t="s">
        <v>1566</v>
      </c>
      <c r="O197" s="513" t="s">
        <v>781</v>
      </c>
      <c r="P197" s="513" t="s">
        <v>7889</v>
      </c>
      <c r="Q197" s="518" t="s">
        <v>7796</v>
      </c>
      <c r="R197" s="152" t="s">
        <v>7890</v>
      </c>
      <c r="S197" s="152" t="s">
        <v>7891</v>
      </c>
      <c r="T197" s="152" t="s">
        <v>7892</v>
      </c>
      <c r="U197" s="152" t="s">
        <v>786</v>
      </c>
    </row>
    <row r="198" spans="4:21">
      <c r="D198" s="210"/>
      <c r="E198" s="210" t="s">
        <v>670</v>
      </c>
      <c r="F198" s="684" t="str">
        <f>+VLOOKUP(G198,Resumen_Base!$C$8:$G$156,5,0)</f>
        <v>Extras</v>
      </c>
      <c r="G198" s="152" t="s">
        <v>297</v>
      </c>
      <c r="H198" s="474" t="s">
        <v>298</v>
      </c>
      <c r="I198" s="152" t="str">
        <f t="shared" si="2"/>
        <v>SJ4110</v>
      </c>
      <c r="J198" s="847">
        <v>-7025</v>
      </c>
      <c r="K198" s="513">
        <v>-5</v>
      </c>
      <c r="L198" s="513">
        <v>1405</v>
      </c>
      <c r="M198" s="152" t="s">
        <v>7116</v>
      </c>
      <c r="N198" s="513" t="s">
        <v>1566</v>
      </c>
      <c r="O198" s="513" t="s">
        <v>781</v>
      </c>
      <c r="P198" s="513" t="s">
        <v>7943</v>
      </c>
      <c r="Q198" s="518" t="s">
        <v>7796</v>
      </c>
      <c r="R198" s="152" t="s">
        <v>7944</v>
      </c>
      <c r="S198" s="152" t="s">
        <v>7945</v>
      </c>
      <c r="T198" s="152" t="s">
        <v>7946</v>
      </c>
      <c r="U198" s="152" t="s">
        <v>786</v>
      </c>
    </row>
    <row r="199" spans="4:21">
      <c r="D199" s="210"/>
      <c r="E199" s="210" t="s">
        <v>670</v>
      </c>
      <c r="F199" s="684" t="str">
        <f>+VLOOKUP(G199,Resumen_Base!$C$8:$G$156,5,0)</f>
        <v>Extras</v>
      </c>
      <c r="G199" s="152" t="s">
        <v>297</v>
      </c>
      <c r="H199" s="474" t="s">
        <v>298</v>
      </c>
      <c r="I199" s="152" t="str">
        <f t="shared" si="2"/>
        <v>SJ4110</v>
      </c>
      <c r="J199" s="847">
        <v>-7025</v>
      </c>
      <c r="K199" s="513">
        <v>-5</v>
      </c>
      <c r="L199" s="513">
        <v>1405</v>
      </c>
      <c r="M199" s="152" t="s">
        <v>7116</v>
      </c>
      <c r="N199" s="513" t="s">
        <v>1566</v>
      </c>
      <c r="O199" s="513" t="s">
        <v>781</v>
      </c>
      <c r="P199" s="513" t="s">
        <v>7950</v>
      </c>
      <c r="Q199" s="518" t="s">
        <v>7796</v>
      </c>
      <c r="R199" s="152" t="s">
        <v>7951</v>
      </c>
      <c r="S199" s="152" t="s">
        <v>7945</v>
      </c>
      <c r="T199" s="152" t="s">
        <v>7952</v>
      </c>
      <c r="U199" s="152" t="s">
        <v>786</v>
      </c>
    </row>
    <row r="200" spans="4:21">
      <c r="D200" s="210"/>
      <c r="E200" s="210" t="s">
        <v>670</v>
      </c>
      <c r="F200" s="684" t="str">
        <f>+VLOOKUP(G200,Resumen_Base!$C$8:$G$156,5,0)</f>
        <v>Extras</v>
      </c>
      <c r="G200" s="152" t="s">
        <v>297</v>
      </c>
      <c r="H200" s="474" t="s">
        <v>298</v>
      </c>
      <c r="I200" s="152" t="str">
        <f t="shared" si="2"/>
        <v>SJ4110</v>
      </c>
      <c r="J200" s="847">
        <v>-7025</v>
      </c>
      <c r="K200" s="513">
        <v>-5</v>
      </c>
      <c r="L200" s="513">
        <v>1405</v>
      </c>
      <c r="M200" s="152" t="s">
        <v>7116</v>
      </c>
      <c r="N200" s="513" t="s">
        <v>1566</v>
      </c>
      <c r="O200" s="513" t="s">
        <v>781</v>
      </c>
      <c r="P200" s="513" t="s">
        <v>7953</v>
      </c>
      <c r="Q200" s="518" t="s">
        <v>7796</v>
      </c>
      <c r="R200" s="152" t="s">
        <v>7954</v>
      </c>
      <c r="S200" s="152" t="s">
        <v>7945</v>
      </c>
      <c r="T200" s="152" t="s">
        <v>7955</v>
      </c>
      <c r="U200" s="152" t="s">
        <v>786</v>
      </c>
    </row>
    <row r="201" spans="4:21">
      <c r="D201" s="210"/>
      <c r="E201" s="210" t="s">
        <v>670</v>
      </c>
      <c r="F201" s="684" t="str">
        <f>+VLOOKUP(G201,Resumen_Base!$C$8:$G$156,5,0)</f>
        <v>Extras</v>
      </c>
      <c r="G201" s="152" t="s">
        <v>297</v>
      </c>
      <c r="H201" s="474" t="s">
        <v>298</v>
      </c>
      <c r="I201" s="152" t="str">
        <f t="shared" si="2"/>
        <v>SJ4110</v>
      </c>
      <c r="J201" s="847">
        <v>-7025</v>
      </c>
      <c r="K201" s="513">
        <v>-5</v>
      </c>
      <c r="L201" s="513">
        <v>1405</v>
      </c>
      <c r="M201" s="152" t="s">
        <v>7116</v>
      </c>
      <c r="N201" s="513" t="s">
        <v>1566</v>
      </c>
      <c r="O201" s="513" t="s">
        <v>781</v>
      </c>
      <c r="P201" s="513" t="s">
        <v>7966</v>
      </c>
      <c r="Q201" s="518" t="s">
        <v>7796</v>
      </c>
      <c r="R201" s="152" t="s">
        <v>7967</v>
      </c>
      <c r="S201" s="152" t="s">
        <v>7964</v>
      </c>
      <c r="T201" s="152" t="s">
        <v>7968</v>
      </c>
      <c r="U201" s="152" t="s">
        <v>786</v>
      </c>
    </row>
    <row r="202" spans="4:21">
      <c r="D202" s="210"/>
      <c r="E202" s="210" t="s">
        <v>670</v>
      </c>
      <c r="F202" s="684" t="str">
        <f>+VLOOKUP(G202,Resumen_Base!$C$8:$G$156,5,0)</f>
        <v>Extras</v>
      </c>
      <c r="G202" s="152" t="s">
        <v>297</v>
      </c>
      <c r="H202" s="474" t="s">
        <v>298</v>
      </c>
      <c r="I202" s="152" t="str">
        <f t="shared" si="2"/>
        <v>SJ4110</v>
      </c>
      <c r="J202" s="847">
        <v>-14200</v>
      </c>
      <c r="K202" s="513">
        <v>-10</v>
      </c>
      <c r="L202" s="513">
        <v>1420</v>
      </c>
      <c r="M202" s="152" t="s">
        <v>7143</v>
      </c>
      <c r="N202" s="513" t="s">
        <v>1566</v>
      </c>
      <c r="O202" s="513" t="s">
        <v>781</v>
      </c>
      <c r="P202" s="513" t="s">
        <v>8070</v>
      </c>
      <c r="Q202" s="518" t="s">
        <v>7796</v>
      </c>
      <c r="R202" s="152" t="s">
        <v>8071</v>
      </c>
      <c r="S202" s="152" t="s">
        <v>8072</v>
      </c>
      <c r="T202" s="152" t="s">
        <v>8073</v>
      </c>
      <c r="U202" s="152" t="s">
        <v>786</v>
      </c>
    </row>
    <row r="203" spans="4:21">
      <c r="D203" s="210"/>
      <c r="E203" s="210" t="s">
        <v>676</v>
      </c>
      <c r="F203" s="684" t="str">
        <f>+VLOOKUP(G203,Resumen_Base!$C$8:$G$156,5,0)</f>
        <v>Extras</v>
      </c>
      <c r="G203" s="152" t="s">
        <v>297</v>
      </c>
      <c r="H203" s="474" t="s">
        <v>298</v>
      </c>
      <c r="I203" s="152" t="str">
        <f t="shared" si="2"/>
        <v>CAR4110</v>
      </c>
      <c r="J203" s="847">
        <v>-281000</v>
      </c>
      <c r="K203" s="513">
        <v>-200</v>
      </c>
      <c r="L203" s="513">
        <v>1405</v>
      </c>
      <c r="M203" s="152" t="s">
        <v>7808</v>
      </c>
      <c r="N203" s="513" t="s">
        <v>1566</v>
      </c>
      <c r="O203" s="513" t="s">
        <v>1407</v>
      </c>
      <c r="P203" s="513" t="s">
        <v>7813</v>
      </c>
      <c r="Q203" s="518" t="s">
        <v>7796</v>
      </c>
      <c r="R203" s="152" t="s">
        <v>7814</v>
      </c>
      <c r="S203" s="152" t="s">
        <v>7811</v>
      </c>
      <c r="T203" s="152" t="s">
        <v>7815</v>
      </c>
      <c r="U203" s="152" t="s">
        <v>786</v>
      </c>
    </row>
    <row r="204" spans="4:21">
      <c r="D204" s="210"/>
      <c r="E204" s="210" t="s">
        <v>676</v>
      </c>
      <c r="F204" s="684" t="str">
        <f>+VLOOKUP(G204,Resumen_Base!$C$8:$G$156,5,0)</f>
        <v>Extras</v>
      </c>
      <c r="G204" s="152" t="s">
        <v>297</v>
      </c>
      <c r="H204" s="474" t="s">
        <v>298</v>
      </c>
      <c r="I204" s="152" t="str">
        <f t="shared" si="2"/>
        <v>CAR4110</v>
      </c>
      <c r="J204" s="847">
        <v>-98350</v>
      </c>
      <c r="K204" s="513">
        <v>-70</v>
      </c>
      <c r="L204" s="513">
        <v>1405</v>
      </c>
      <c r="M204" s="152" t="s">
        <v>7808</v>
      </c>
      <c r="N204" s="513" t="s">
        <v>1566</v>
      </c>
      <c r="O204" s="513" t="s">
        <v>1407</v>
      </c>
      <c r="P204" s="513" t="s">
        <v>7816</v>
      </c>
      <c r="Q204" s="518" t="s">
        <v>7796</v>
      </c>
      <c r="R204" s="152" t="s">
        <v>7817</v>
      </c>
      <c r="S204" s="152" t="s">
        <v>7818</v>
      </c>
      <c r="T204" s="152" t="s">
        <v>7819</v>
      </c>
      <c r="U204" s="152" t="s">
        <v>786</v>
      </c>
    </row>
    <row r="205" spans="4:21">
      <c r="D205" s="210"/>
      <c r="E205" s="210" t="s">
        <v>676</v>
      </c>
      <c r="F205" s="684" t="str">
        <f>+VLOOKUP(G205,Resumen_Base!$C$8:$G$156,5,0)</f>
        <v>Extras</v>
      </c>
      <c r="G205" s="152" t="s">
        <v>297</v>
      </c>
      <c r="H205" s="474" t="s">
        <v>298</v>
      </c>
      <c r="I205" s="152" t="str">
        <f t="shared" ref="I205:I268" si="3">+E205&amp;G205</f>
        <v>CAR4110</v>
      </c>
      <c r="J205" s="847">
        <v>-63225</v>
      </c>
      <c r="K205" s="513">
        <v>-45</v>
      </c>
      <c r="L205" s="513">
        <v>1405</v>
      </c>
      <c r="M205" s="152" t="s">
        <v>7808</v>
      </c>
      <c r="N205" s="513" t="s">
        <v>1566</v>
      </c>
      <c r="O205" s="513" t="s">
        <v>1407</v>
      </c>
      <c r="P205" s="513" t="s">
        <v>7823</v>
      </c>
      <c r="Q205" s="518" t="s">
        <v>7796</v>
      </c>
      <c r="R205" s="152" t="s">
        <v>7824</v>
      </c>
      <c r="S205" s="152" t="s">
        <v>7818</v>
      </c>
      <c r="T205" s="152" t="s">
        <v>7825</v>
      </c>
      <c r="U205" s="152" t="s">
        <v>786</v>
      </c>
    </row>
    <row r="206" spans="4:21">
      <c r="D206" s="210"/>
      <c r="E206" s="210" t="s">
        <v>676</v>
      </c>
      <c r="F206" s="684" t="str">
        <f>+VLOOKUP(G206,Resumen_Base!$C$8:$G$156,5,0)</f>
        <v>Extras</v>
      </c>
      <c r="G206" s="152" t="s">
        <v>297</v>
      </c>
      <c r="H206" s="474" t="s">
        <v>298</v>
      </c>
      <c r="I206" s="152" t="str">
        <f t="shared" si="3"/>
        <v>CAR4110</v>
      </c>
      <c r="J206" s="847">
        <v>-56200</v>
      </c>
      <c r="K206" s="513">
        <v>-40</v>
      </c>
      <c r="L206" s="513">
        <v>1405</v>
      </c>
      <c r="M206" s="152" t="s">
        <v>7116</v>
      </c>
      <c r="N206" s="513" t="s">
        <v>1566</v>
      </c>
      <c r="O206" s="513" t="s">
        <v>1407</v>
      </c>
      <c r="P206" s="513" t="s">
        <v>7897</v>
      </c>
      <c r="Q206" s="518" t="s">
        <v>7796</v>
      </c>
      <c r="R206" s="152" t="s">
        <v>7898</v>
      </c>
      <c r="S206" s="152" t="s">
        <v>7895</v>
      </c>
      <c r="T206" s="152" t="s">
        <v>7899</v>
      </c>
      <c r="U206" s="152" t="s">
        <v>786</v>
      </c>
    </row>
    <row r="207" spans="4:21">
      <c r="D207" s="210"/>
      <c r="E207" s="210" t="s">
        <v>676</v>
      </c>
      <c r="F207" s="684" t="str">
        <f>+VLOOKUP(G207,Resumen_Base!$C$8:$G$156,5,0)</f>
        <v>Extras</v>
      </c>
      <c r="G207" s="152" t="s">
        <v>297</v>
      </c>
      <c r="H207" s="474" t="s">
        <v>298</v>
      </c>
      <c r="I207" s="152" t="str">
        <f t="shared" si="3"/>
        <v>CAR4110</v>
      </c>
      <c r="J207" s="847">
        <v>-77275</v>
      </c>
      <c r="K207" s="513">
        <v>-55</v>
      </c>
      <c r="L207" s="513">
        <v>1405</v>
      </c>
      <c r="M207" s="152" t="s">
        <v>7116</v>
      </c>
      <c r="N207" s="513" t="s">
        <v>1566</v>
      </c>
      <c r="O207" s="513" t="s">
        <v>1407</v>
      </c>
      <c r="P207" s="513" t="s">
        <v>7903</v>
      </c>
      <c r="Q207" s="518" t="s">
        <v>7796</v>
      </c>
      <c r="R207" s="152" t="s">
        <v>7904</v>
      </c>
      <c r="S207" s="152" t="s">
        <v>7895</v>
      </c>
      <c r="T207" s="152" t="s">
        <v>7905</v>
      </c>
      <c r="U207" s="152" t="s">
        <v>786</v>
      </c>
    </row>
    <row r="208" spans="4:21">
      <c r="D208" s="210"/>
      <c r="E208" s="210" t="s">
        <v>676</v>
      </c>
      <c r="F208" s="684" t="str">
        <f>+VLOOKUP(G208,Resumen_Base!$C$8:$G$156,5,0)</f>
        <v>Extras</v>
      </c>
      <c r="G208" s="152" t="s">
        <v>297</v>
      </c>
      <c r="H208" s="474" t="s">
        <v>298</v>
      </c>
      <c r="I208" s="152" t="str">
        <f t="shared" si="3"/>
        <v>CAR4110</v>
      </c>
      <c r="J208" s="847">
        <v>-42150</v>
      </c>
      <c r="K208" s="513">
        <v>-30</v>
      </c>
      <c r="L208" s="513">
        <v>1405</v>
      </c>
      <c r="M208" s="152" t="s">
        <v>7116</v>
      </c>
      <c r="N208" s="513" t="s">
        <v>1566</v>
      </c>
      <c r="O208" s="513" t="s">
        <v>1407</v>
      </c>
      <c r="P208" s="513" t="s">
        <v>7906</v>
      </c>
      <c r="Q208" s="518" t="s">
        <v>7796</v>
      </c>
      <c r="R208" s="152" t="s">
        <v>7907</v>
      </c>
      <c r="S208" s="152" t="s">
        <v>7908</v>
      </c>
      <c r="T208" s="152" t="s">
        <v>7909</v>
      </c>
      <c r="U208" s="152" t="s">
        <v>786</v>
      </c>
    </row>
    <row r="209" spans="4:21">
      <c r="D209" s="210"/>
      <c r="E209" s="210" t="s">
        <v>676</v>
      </c>
      <c r="F209" s="684" t="str">
        <f>+VLOOKUP(G209,Resumen_Base!$C$8:$G$156,5,0)</f>
        <v>Extras</v>
      </c>
      <c r="G209" s="152" t="s">
        <v>297</v>
      </c>
      <c r="H209" s="474" t="s">
        <v>298</v>
      </c>
      <c r="I209" s="152" t="str">
        <f t="shared" si="3"/>
        <v>CAR4110</v>
      </c>
      <c r="J209" s="847">
        <v>-21075</v>
      </c>
      <c r="K209" s="513">
        <v>-15</v>
      </c>
      <c r="L209" s="513">
        <v>1405</v>
      </c>
      <c r="M209" s="152" t="s">
        <v>7975</v>
      </c>
      <c r="N209" s="513" t="s">
        <v>1566</v>
      </c>
      <c r="O209" s="513" t="s">
        <v>1407</v>
      </c>
      <c r="P209" s="513" t="s">
        <v>7976</v>
      </c>
      <c r="Q209" s="518" t="s">
        <v>7796</v>
      </c>
      <c r="R209" s="152" t="s">
        <v>7977</v>
      </c>
      <c r="S209" s="152" t="s">
        <v>7978</v>
      </c>
      <c r="T209" s="152" t="s">
        <v>7979</v>
      </c>
      <c r="U209" s="152" t="s">
        <v>786</v>
      </c>
    </row>
    <row r="210" spans="4:21">
      <c r="D210" s="210"/>
      <c r="E210" s="210" t="s">
        <v>676</v>
      </c>
      <c r="F210" s="684" t="str">
        <f>+VLOOKUP(G210,Resumen_Base!$C$8:$G$156,5,0)</f>
        <v>Extras</v>
      </c>
      <c r="G210" s="152" t="s">
        <v>297</v>
      </c>
      <c r="H210" s="474" t="s">
        <v>298</v>
      </c>
      <c r="I210" s="152" t="str">
        <f t="shared" si="3"/>
        <v>CAR4110</v>
      </c>
      <c r="J210" s="847">
        <v>-63225</v>
      </c>
      <c r="K210" s="513">
        <v>-45</v>
      </c>
      <c r="L210" s="513">
        <v>1405</v>
      </c>
      <c r="M210" s="152" t="s">
        <v>7975</v>
      </c>
      <c r="N210" s="513" t="s">
        <v>1566</v>
      </c>
      <c r="O210" s="513" t="s">
        <v>1407</v>
      </c>
      <c r="P210" s="513" t="s">
        <v>7980</v>
      </c>
      <c r="Q210" s="518" t="s">
        <v>7796</v>
      </c>
      <c r="R210" s="152" t="s">
        <v>7981</v>
      </c>
      <c r="S210" s="152" t="s">
        <v>7978</v>
      </c>
      <c r="T210" s="152" t="s">
        <v>7982</v>
      </c>
      <c r="U210" s="152" t="s">
        <v>786</v>
      </c>
    </row>
    <row r="211" spans="4:21">
      <c r="D211" s="210"/>
      <c r="E211" s="210" t="s">
        <v>676</v>
      </c>
      <c r="F211" s="684" t="str">
        <f>+VLOOKUP(G211,Resumen_Base!$C$8:$G$156,5,0)</f>
        <v>Extras</v>
      </c>
      <c r="G211" s="152" t="s">
        <v>297</v>
      </c>
      <c r="H211" s="474" t="s">
        <v>298</v>
      </c>
      <c r="I211" s="152" t="str">
        <f t="shared" si="3"/>
        <v>CAR4110</v>
      </c>
      <c r="J211" s="847">
        <v>-56200</v>
      </c>
      <c r="K211" s="513">
        <v>-40</v>
      </c>
      <c r="L211" s="513">
        <v>1405</v>
      </c>
      <c r="M211" s="152" t="s">
        <v>7975</v>
      </c>
      <c r="N211" s="513" t="s">
        <v>1566</v>
      </c>
      <c r="O211" s="513" t="s">
        <v>1407</v>
      </c>
      <c r="P211" s="513" t="s">
        <v>7986</v>
      </c>
      <c r="Q211" s="518" t="s">
        <v>7796</v>
      </c>
      <c r="R211" s="152" t="s">
        <v>7987</v>
      </c>
      <c r="S211" s="152" t="s">
        <v>7978</v>
      </c>
      <c r="T211" s="152" t="s">
        <v>7988</v>
      </c>
      <c r="U211" s="152" t="s">
        <v>786</v>
      </c>
    </row>
    <row r="212" spans="4:21">
      <c r="D212" s="210"/>
      <c r="E212" s="210" t="s">
        <v>676</v>
      </c>
      <c r="F212" s="684" t="str">
        <f>+VLOOKUP(G212,Resumen_Base!$C$8:$G$156,5,0)</f>
        <v>Extras</v>
      </c>
      <c r="G212" s="152" t="s">
        <v>297</v>
      </c>
      <c r="H212" s="474" t="s">
        <v>298</v>
      </c>
      <c r="I212" s="152" t="str">
        <f t="shared" si="3"/>
        <v>CAR4110</v>
      </c>
      <c r="J212" s="847">
        <v>-49700</v>
      </c>
      <c r="K212" s="513">
        <v>-35</v>
      </c>
      <c r="L212" s="513">
        <v>1420</v>
      </c>
      <c r="M212" s="152" t="s">
        <v>7143</v>
      </c>
      <c r="N212" s="513" t="s">
        <v>1566</v>
      </c>
      <c r="O212" s="513" t="s">
        <v>1407</v>
      </c>
      <c r="P212" s="513" t="s">
        <v>8044</v>
      </c>
      <c r="Q212" s="518" t="s">
        <v>7796</v>
      </c>
      <c r="R212" s="152" t="s">
        <v>8045</v>
      </c>
      <c r="S212" s="152" t="s">
        <v>8046</v>
      </c>
      <c r="T212" s="152" t="s">
        <v>8047</v>
      </c>
      <c r="U212" s="152" t="s">
        <v>786</v>
      </c>
    </row>
    <row r="213" spans="4:21">
      <c r="D213" s="210"/>
      <c r="E213" s="210" t="s">
        <v>676</v>
      </c>
      <c r="F213" s="684" t="str">
        <f>+VLOOKUP(G213,Resumen_Base!$C$8:$G$156,5,0)</f>
        <v>Extras</v>
      </c>
      <c r="G213" s="152" t="s">
        <v>297</v>
      </c>
      <c r="H213" s="474" t="s">
        <v>298</v>
      </c>
      <c r="I213" s="152" t="str">
        <f t="shared" si="3"/>
        <v>CAR4110</v>
      </c>
      <c r="J213" s="847">
        <v>-71000</v>
      </c>
      <c r="K213" s="513">
        <v>-50</v>
      </c>
      <c r="L213" s="513">
        <v>1420</v>
      </c>
      <c r="M213" s="152" t="s">
        <v>7143</v>
      </c>
      <c r="N213" s="513" t="s">
        <v>1566</v>
      </c>
      <c r="O213" s="513" t="s">
        <v>1407</v>
      </c>
      <c r="P213" s="513" t="s">
        <v>8054</v>
      </c>
      <c r="Q213" s="518" t="s">
        <v>7796</v>
      </c>
      <c r="R213" s="152" t="s">
        <v>8055</v>
      </c>
      <c r="S213" s="152" t="s">
        <v>8046</v>
      </c>
      <c r="T213" s="152" t="s">
        <v>8056</v>
      </c>
      <c r="U213" s="152" t="s">
        <v>786</v>
      </c>
    </row>
    <row r="214" spans="4:21">
      <c r="D214" s="210"/>
      <c r="E214" s="210" t="s">
        <v>670</v>
      </c>
      <c r="F214" s="684" t="str">
        <f>+VLOOKUP(G214,Resumen_Base!$C$8:$G$156,5,0)</f>
        <v>Extras</v>
      </c>
      <c r="G214" s="152" t="s">
        <v>299</v>
      </c>
      <c r="H214" s="474" t="s">
        <v>300</v>
      </c>
      <c r="I214" s="152" t="str">
        <f t="shared" si="3"/>
        <v>SJ4112</v>
      </c>
      <c r="J214" s="847">
        <v>-168600</v>
      </c>
      <c r="K214" s="513">
        <v>-120</v>
      </c>
      <c r="L214" s="513">
        <v>1405</v>
      </c>
      <c r="M214" s="152" t="s">
        <v>7116</v>
      </c>
      <c r="N214" s="513" t="s">
        <v>1566</v>
      </c>
      <c r="O214" s="513" t="s">
        <v>781</v>
      </c>
      <c r="P214" s="513" t="s">
        <v>7962</v>
      </c>
      <c r="Q214" s="518" t="s">
        <v>7796</v>
      </c>
      <c r="R214" s="152" t="s">
        <v>7963</v>
      </c>
      <c r="S214" s="152" t="s">
        <v>7964</v>
      </c>
      <c r="T214" s="152" t="s">
        <v>7965</v>
      </c>
      <c r="U214" s="152" t="s">
        <v>786</v>
      </c>
    </row>
    <row r="215" spans="4:21">
      <c r="D215" s="210"/>
      <c r="E215" s="210" t="s">
        <v>676</v>
      </c>
      <c r="F215" s="684" t="str">
        <f>+VLOOKUP(G215,Resumen_Base!$C$8:$G$156,5,0)</f>
        <v>Extras</v>
      </c>
      <c r="G215" s="152" t="s">
        <v>299</v>
      </c>
      <c r="H215" s="474" t="s">
        <v>300</v>
      </c>
      <c r="I215" s="152" t="str">
        <f t="shared" si="3"/>
        <v>CAR4112</v>
      </c>
      <c r="J215" s="847">
        <v>-175625</v>
      </c>
      <c r="K215" s="513">
        <v>-125</v>
      </c>
      <c r="L215" s="513">
        <v>1405</v>
      </c>
      <c r="M215" s="152" t="s">
        <v>7808</v>
      </c>
      <c r="N215" s="513" t="s">
        <v>1566</v>
      </c>
      <c r="O215" s="513" t="s">
        <v>1407</v>
      </c>
      <c r="P215" s="513" t="s">
        <v>7809</v>
      </c>
      <c r="Q215" s="518" t="s">
        <v>7796</v>
      </c>
      <c r="R215" s="152" t="s">
        <v>7810</v>
      </c>
      <c r="S215" s="152" t="s">
        <v>7811</v>
      </c>
      <c r="T215" s="152" t="s">
        <v>7812</v>
      </c>
      <c r="U215" s="152" t="s">
        <v>786</v>
      </c>
    </row>
    <row r="216" spans="4:21">
      <c r="D216" s="210"/>
      <c r="E216" s="210" t="s">
        <v>676</v>
      </c>
      <c r="F216" s="684" t="str">
        <f>+VLOOKUP(G216,Resumen_Base!$C$8:$G$156,5,0)</f>
        <v>Extras</v>
      </c>
      <c r="G216" s="152" t="s">
        <v>299</v>
      </c>
      <c r="H216" s="474" t="s">
        <v>300</v>
      </c>
      <c r="I216" s="152" t="str">
        <f t="shared" si="3"/>
        <v>CAR4112</v>
      </c>
      <c r="J216" s="847">
        <v>-175625</v>
      </c>
      <c r="K216" s="513">
        <v>-125</v>
      </c>
      <c r="L216" s="513">
        <v>1405</v>
      </c>
      <c r="M216" s="152" t="s">
        <v>7808</v>
      </c>
      <c r="N216" s="513" t="s">
        <v>1566</v>
      </c>
      <c r="O216" s="513" t="s">
        <v>1407</v>
      </c>
      <c r="P216" s="513" t="s">
        <v>7816</v>
      </c>
      <c r="Q216" s="518" t="s">
        <v>7796</v>
      </c>
      <c r="R216" s="152" t="s">
        <v>7817</v>
      </c>
      <c r="S216" s="152" t="s">
        <v>7818</v>
      </c>
      <c r="T216" s="152" t="s">
        <v>7819</v>
      </c>
      <c r="U216" s="152" t="s">
        <v>786</v>
      </c>
    </row>
    <row r="217" spans="4:21">
      <c r="D217" s="210"/>
      <c r="E217" s="210" t="s">
        <v>676</v>
      </c>
      <c r="F217" s="684" t="str">
        <f>+VLOOKUP(G217,Resumen_Base!$C$8:$G$156,5,0)</f>
        <v>Extras</v>
      </c>
      <c r="G217" s="152" t="s">
        <v>299</v>
      </c>
      <c r="H217" s="474" t="s">
        <v>300</v>
      </c>
      <c r="I217" s="152" t="str">
        <f t="shared" si="3"/>
        <v>CAR4112</v>
      </c>
      <c r="J217" s="847">
        <v>-175625</v>
      </c>
      <c r="K217" s="513">
        <v>-125</v>
      </c>
      <c r="L217" s="513">
        <v>1405</v>
      </c>
      <c r="M217" s="152" t="s">
        <v>7808</v>
      </c>
      <c r="N217" s="513" t="s">
        <v>1566</v>
      </c>
      <c r="O217" s="513" t="s">
        <v>1407</v>
      </c>
      <c r="P217" s="513" t="s">
        <v>7820</v>
      </c>
      <c r="Q217" s="518" t="s">
        <v>7796</v>
      </c>
      <c r="R217" s="152" t="s">
        <v>7821</v>
      </c>
      <c r="S217" s="152" t="s">
        <v>7818</v>
      </c>
      <c r="T217" s="152" t="s">
        <v>7822</v>
      </c>
      <c r="U217" s="152" t="s">
        <v>786</v>
      </c>
    </row>
    <row r="218" spans="4:21">
      <c r="D218" s="210"/>
      <c r="E218" s="210" t="s">
        <v>676</v>
      </c>
      <c r="F218" s="684" t="str">
        <f>+VLOOKUP(G218,Resumen_Base!$C$8:$G$156,5,0)</f>
        <v>Extras</v>
      </c>
      <c r="G218" s="152" t="s">
        <v>299</v>
      </c>
      <c r="H218" s="474" t="s">
        <v>300</v>
      </c>
      <c r="I218" s="152" t="str">
        <f t="shared" si="3"/>
        <v>CAR4112</v>
      </c>
      <c r="J218" s="847">
        <v>-175625</v>
      </c>
      <c r="K218" s="513">
        <v>-125</v>
      </c>
      <c r="L218" s="513">
        <v>1405</v>
      </c>
      <c r="M218" s="152" t="s">
        <v>7808</v>
      </c>
      <c r="N218" s="513" t="s">
        <v>1566</v>
      </c>
      <c r="O218" s="513" t="s">
        <v>1407</v>
      </c>
      <c r="P218" s="513" t="s">
        <v>7826</v>
      </c>
      <c r="Q218" s="518" t="s">
        <v>7796</v>
      </c>
      <c r="R218" s="152" t="s">
        <v>7827</v>
      </c>
      <c r="S218" s="152" t="s">
        <v>7818</v>
      </c>
      <c r="T218" s="152" t="s">
        <v>7828</v>
      </c>
      <c r="U218" s="152" t="s">
        <v>786</v>
      </c>
    </row>
    <row r="219" spans="4:21">
      <c r="D219" s="210"/>
      <c r="E219" s="210" t="s">
        <v>676</v>
      </c>
      <c r="F219" s="684" t="str">
        <f>+VLOOKUP(G219,Resumen_Base!$C$8:$G$156,5,0)</f>
        <v>Extras</v>
      </c>
      <c r="G219" s="152" t="s">
        <v>299</v>
      </c>
      <c r="H219" s="474" t="s">
        <v>300</v>
      </c>
      <c r="I219" s="152" t="str">
        <f t="shared" si="3"/>
        <v>CAR4112</v>
      </c>
      <c r="J219" s="847">
        <v>-175625</v>
      </c>
      <c r="K219" s="513">
        <v>-125</v>
      </c>
      <c r="L219" s="513">
        <v>1405</v>
      </c>
      <c r="M219" s="152" t="s">
        <v>7808</v>
      </c>
      <c r="N219" s="513" t="s">
        <v>1566</v>
      </c>
      <c r="O219" s="513" t="s">
        <v>1407</v>
      </c>
      <c r="P219" s="513" t="s">
        <v>7829</v>
      </c>
      <c r="Q219" s="518" t="s">
        <v>7796</v>
      </c>
      <c r="R219" s="152" t="s">
        <v>7830</v>
      </c>
      <c r="S219" s="152" t="s">
        <v>7831</v>
      </c>
      <c r="T219" s="152" t="s">
        <v>7832</v>
      </c>
      <c r="U219" s="152" t="s">
        <v>786</v>
      </c>
    </row>
    <row r="220" spans="4:21">
      <c r="D220" s="210"/>
      <c r="E220" s="210" t="s">
        <v>676</v>
      </c>
      <c r="F220" s="684" t="str">
        <f>+VLOOKUP(G220,Resumen_Base!$C$8:$G$156,5,0)</f>
        <v>Extras</v>
      </c>
      <c r="G220" s="152" t="s">
        <v>299</v>
      </c>
      <c r="H220" s="474" t="s">
        <v>300</v>
      </c>
      <c r="I220" s="152" t="str">
        <f t="shared" si="3"/>
        <v>CAR4112</v>
      </c>
      <c r="J220" s="847">
        <v>-175625</v>
      </c>
      <c r="K220" s="513">
        <v>-125</v>
      </c>
      <c r="L220" s="513">
        <v>1405</v>
      </c>
      <c r="M220" s="152" t="s">
        <v>7808</v>
      </c>
      <c r="N220" s="513" t="s">
        <v>1566</v>
      </c>
      <c r="O220" s="513" t="s">
        <v>1407</v>
      </c>
      <c r="P220" s="513" t="s">
        <v>7833</v>
      </c>
      <c r="Q220" s="518" t="s">
        <v>7796</v>
      </c>
      <c r="R220" s="152" t="s">
        <v>7834</v>
      </c>
      <c r="S220" s="152" t="s">
        <v>7831</v>
      </c>
      <c r="T220" s="152" t="s">
        <v>7835</v>
      </c>
      <c r="U220" s="152" t="s">
        <v>786</v>
      </c>
    </row>
    <row r="221" spans="4:21">
      <c r="D221" s="210"/>
      <c r="E221" s="210" t="s">
        <v>676</v>
      </c>
      <c r="F221" s="684" t="str">
        <f>+VLOOKUP(G221,Resumen_Base!$C$8:$G$156,5,0)</f>
        <v>Extras</v>
      </c>
      <c r="G221" s="152" t="s">
        <v>299</v>
      </c>
      <c r="H221" s="474" t="s">
        <v>300</v>
      </c>
      <c r="I221" s="152" t="str">
        <f t="shared" si="3"/>
        <v>CAR4112</v>
      </c>
      <c r="J221" s="847">
        <v>-175625</v>
      </c>
      <c r="K221" s="513">
        <v>-125</v>
      </c>
      <c r="L221" s="513">
        <v>1405</v>
      </c>
      <c r="M221" s="152" t="s">
        <v>7808</v>
      </c>
      <c r="N221" s="513" t="s">
        <v>1566</v>
      </c>
      <c r="O221" s="513" t="s">
        <v>1407</v>
      </c>
      <c r="P221" s="513" t="s">
        <v>7836</v>
      </c>
      <c r="Q221" s="518" t="s">
        <v>7796</v>
      </c>
      <c r="R221" s="152" t="s">
        <v>7837</v>
      </c>
      <c r="S221" s="152" t="s">
        <v>7831</v>
      </c>
      <c r="T221" s="152" t="s">
        <v>7838</v>
      </c>
      <c r="U221" s="152" t="s">
        <v>786</v>
      </c>
    </row>
    <row r="222" spans="4:21">
      <c r="D222" s="210"/>
      <c r="E222" s="210" t="s">
        <v>676</v>
      </c>
      <c r="F222" s="684" t="str">
        <f>+VLOOKUP(G222,Resumen_Base!$C$8:$G$156,5,0)</f>
        <v>Extras</v>
      </c>
      <c r="G222" s="152" t="s">
        <v>299</v>
      </c>
      <c r="H222" s="474" t="s">
        <v>300</v>
      </c>
      <c r="I222" s="152" t="str">
        <f t="shared" si="3"/>
        <v>CAR4112</v>
      </c>
      <c r="J222" s="847">
        <v>-175625</v>
      </c>
      <c r="K222" s="513">
        <v>-125</v>
      </c>
      <c r="L222" s="513">
        <v>1405</v>
      </c>
      <c r="M222" s="152" t="s">
        <v>7116</v>
      </c>
      <c r="N222" s="513" t="s">
        <v>1566</v>
      </c>
      <c r="O222" s="513" t="s">
        <v>1407</v>
      </c>
      <c r="P222" s="513" t="s">
        <v>7906</v>
      </c>
      <c r="Q222" s="518" t="s">
        <v>7796</v>
      </c>
      <c r="R222" s="152" t="s">
        <v>7907</v>
      </c>
      <c r="S222" s="152" t="s">
        <v>7908</v>
      </c>
      <c r="T222" s="152" t="s">
        <v>7909</v>
      </c>
      <c r="U222" s="152" t="s">
        <v>786</v>
      </c>
    </row>
    <row r="223" spans="4:21">
      <c r="D223" s="210"/>
      <c r="E223" s="210" t="s">
        <v>676</v>
      </c>
      <c r="F223" s="684" t="str">
        <f>+VLOOKUP(G223,Resumen_Base!$C$8:$G$156,5,0)</f>
        <v>Extras</v>
      </c>
      <c r="G223" s="152" t="s">
        <v>299</v>
      </c>
      <c r="H223" s="474" t="s">
        <v>300</v>
      </c>
      <c r="I223" s="152" t="str">
        <f t="shared" si="3"/>
        <v>CAR4112</v>
      </c>
      <c r="J223" s="847">
        <v>-175625</v>
      </c>
      <c r="K223" s="513">
        <v>-125</v>
      </c>
      <c r="L223" s="513">
        <v>1405</v>
      </c>
      <c r="M223" s="152" t="s">
        <v>7116</v>
      </c>
      <c r="N223" s="513" t="s">
        <v>1566</v>
      </c>
      <c r="O223" s="513" t="s">
        <v>1407</v>
      </c>
      <c r="P223" s="513" t="s">
        <v>7910</v>
      </c>
      <c r="Q223" s="518" t="s">
        <v>7796</v>
      </c>
      <c r="R223" s="152" t="s">
        <v>7911</v>
      </c>
      <c r="S223" s="152" t="s">
        <v>7908</v>
      </c>
      <c r="T223" s="152" t="s">
        <v>7912</v>
      </c>
      <c r="U223" s="152" t="s">
        <v>786</v>
      </c>
    </row>
    <row r="224" spans="4:21">
      <c r="D224" s="210"/>
      <c r="E224" s="210" t="s">
        <v>676</v>
      </c>
      <c r="F224" s="684" t="str">
        <f>+VLOOKUP(G224,Resumen_Base!$C$8:$G$156,5,0)</f>
        <v>Extras</v>
      </c>
      <c r="G224" s="152" t="s">
        <v>299</v>
      </c>
      <c r="H224" s="474" t="s">
        <v>300</v>
      </c>
      <c r="I224" s="152" t="str">
        <f t="shared" si="3"/>
        <v>CAR4112</v>
      </c>
      <c r="J224" s="847">
        <v>-175625</v>
      </c>
      <c r="K224" s="513">
        <v>-125</v>
      </c>
      <c r="L224" s="513">
        <v>1405</v>
      </c>
      <c r="M224" s="152" t="s">
        <v>7116</v>
      </c>
      <c r="N224" s="513" t="s">
        <v>1566</v>
      </c>
      <c r="O224" s="513" t="s">
        <v>1407</v>
      </c>
      <c r="P224" s="513" t="s">
        <v>7923</v>
      </c>
      <c r="Q224" s="518" t="s">
        <v>7796</v>
      </c>
      <c r="R224" s="152" t="s">
        <v>7924</v>
      </c>
      <c r="S224" s="152" t="s">
        <v>7921</v>
      </c>
      <c r="T224" s="152" t="s">
        <v>7925</v>
      </c>
      <c r="U224" s="152" t="s">
        <v>786</v>
      </c>
    </row>
    <row r="225" spans="4:21">
      <c r="D225" s="210"/>
      <c r="E225" s="210" t="s">
        <v>676</v>
      </c>
      <c r="F225" s="684" t="str">
        <f>+VLOOKUP(G225,Resumen_Base!$C$8:$G$156,5,0)</f>
        <v>Extras</v>
      </c>
      <c r="G225" s="152" t="s">
        <v>299</v>
      </c>
      <c r="H225" s="474" t="s">
        <v>300</v>
      </c>
      <c r="I225" s="152" t="str">
        <f t="shared" si="3"/>
        <v>CAR4112</v>
      </c>
      <c r="J225" s="847">
        <v>-351250</v>
      </c>
      <c r="K225" s="513">
        <v>-250</v>
      </c>
      <c r="L225" s="513">
        <v>1405</v>
      </c>
      <c r="M225" s="152" t="s">
        <v>7116</v>
      </c>
      <c r="N225" s="513" t="s">
        <v>1566</v>
      </c>
      <c r="O225" s="513" t="s">
        <v>1407</v>
      </c>
      <c r="P225" s="513" t="s">
        <v>7926</v>
      </c>
      <c r="Q225" s="518" t="s">
        <v>7796</v>
      </c>
      <c r="R225" s="152" t="s">
        <v>7927</v>
      </c>
      <c r="S225" s="152" t="s">
        <v>7921</v>
      </c>
      <c r="T225" s="152" t="s">
        <v>7928</v>
      </c>
      <c r="U225" s="152" t="s">
        <v>786</v>
      </c>
    </row>
    <row r="226" spans="4:21">
      <c r="D226" s="210"/>
      <c r="E226" s="210" t="s">
        <v>676</v>
      </c>
      <c r="F226" s="684" t="str">
        <f>+VLOOKUP(G226,Resumen_Base!$C$8:$G$156,5,0)</f>
        <v>Extras</v>
      </c>
      <c r="G226" s="152" t="s">
        <v>299</v>
      </c>
      <c r="H226" s="474" t="s">
        <v>300</v>
      </c>
      <c r="I226" s="152" t="str">
        <f t="shared" si="3"/>
        <v>CAR4112</v>
      </c>
      <c r="J226" s="847">
        <v>-175625</v>
      </c>
      <c r="K226" s="513">
        <v>-125</v>
      </c>
      <c r="L226" s="513">
        <v>1405</v>
      </c>
      <c r="M226" s="152" t="s">
        <v>7975</v>
      </c>
      <c r="N226" s="513" t="s">
        <v>1566</v>
      </c>
      <c r="O226" s="513" t="s">
        <v>1407</v>
      </c>
      <c r="P226" s="513" t="s">
        <v>7976</v>
      </c>
      <c r="Q226" s="518" t="s">
        <v>7796</v>
      </c>
      <c r="R226" s="152" t="s">
        <v>7977</v>
      </c>
      <c r="S226" s="152" t="s">
        <v>7978</v>
      </c>
      <c r="T226" s="152" t="s">
        <v>7979</v>
      </c>
      <c r="U226" s="152" t="s">
        <v>786</v>
      </c>
    </row>
    <row r="227" spans="4:21">
      <c r="D227" s="210"/>
      <c r="E227" s="210" t="s">
        <v>676</v>
      </c>
      <c r="F227" s="684" t="str">
        <f>+VLOOKUP(G227,Resumen_Base!$C$8:$G$156,5,0)</f>
        <v>Extras</v>
      </c>
      <c r="G227" s="152" t="s">
        <v>299</v>
      </c>
      <c r="H227" s="474" t="s">
        <v>300</v>
      </c>
      <c r="I227" s="152" t="str">
        <f t="shared" si="3"/>
        <v>CAR4112</v>
      </c>
      <c r="J227" s="847">
        <v>-351250</v>
      </c>
      <c r="K227" s="513">
        <v>-250</v>
      </c>
      <c r="L227" s="513">
        <v>1405</v>
      </c>
      <c r="M227" s="152" t="s">
        <v>7975</v>
      </c>
      <c r="N227" s="513" t="s">
        <v>1566</v>
      </c>
      <c r="O227" s="513" t="s">
        <v>1407</v>
      </c>
      <c r="P227" s="513" t="s">
        <v>7980</v>
      </c>
      <c r="Q227" s="518" t="s">
        <v>7796</v>
      </c>
      <c r="R227" s="152" t="s">
        <v>7981</v>
      </c>
      <c r="S227" s="152" t="s">
        <v>7978</v>
      </c>
      <c r="T227" s="152" t="s">
        <v>7982</v>
      </c>
      <c r="U227" s="152" t="s">
        <v>786</v>
      </c>
    </row>
    <row r="228" spans="4:21">
      <c r="D228" s="210"/>
      <c r="E228" s="210" t="s">
        <v>676</v>
      </c>
      <c r="F228" s="684" t="str">
        <f>+VLOOKUP(G228,Resumen_Base!$C$8:$G$156,5,0)</f>
        <v>Extras</v>
      </c>
      <c r="G228" s="152" t="s">
        <v>299</v>
      </c>
      <c r="H228" s="474" t="s">
        <v>300</v>
      </c>
      <c r="I228" s="152" t="str">
        <f t="shared" si="3"/>
        <v>CAR4112</v>
      </c>
      <c r="J228" s="847">
        <v>-702500</v>
      </c>
      <c r="K228" s="513">
        <v>-500</v>
      </c>
      <c r="L228" s="513">
        <v>1405</v>
      </c>
      <c r="M228" s="152" t="s">
        <v>7975</v>
      </c>
      <c r="N228" s="513" t="s">
        <v>1566</v>
      </c>
      <c r="O228" s="513" t="s">
        <v>1407</v>
      </c>
      <c r="P228" s="513" t="s">
        <v>7983</v>
      </c>
      <c r="Q228" s="518" t="s">
        <v>7796</v>
      </c>
      <c r="R228" s="152" t="s">
        <v>7984</v>
      </c>
      <c r="S228" s="152" t="s">
        <v>7978</v>
      </c>
      <c r="T228" s="152" t="s">
        <v>7985</v>
      </c>
      <c r="U228" s="152" t="s">
        <v>786</v>
      </c>
    </row>
    <row r="229" spans="4:21">
      <c r="D229" s="210"/>
      <c r="E229" s="210" t="s">
        <v>676</v>
      </c>
      <c r="F229" s="684" t="str">
        <f>+VLOOKUP(G229,Resumen_Base!$C$8:$G$156,5,0)</f>
        <v>Extras</v>
      </c>
      <c r="G229" s="152" t="s">
        <v>299</v>
      </c>
      <c r="H229" s="474" t="s">
        <v>300</v>
      </c>
      <c r="I229" s="152" t="str">
        <f t="shared" si="3"/>
        <v>CAR4112</v>
      </c>
      <c r="J229" s="847">
        <v>-878125</v>
      </c>
      <c r="K229" s="513">
        <v>-625</v>
      </c>
      <c r="L229" s="513">
        <v>1405</v>
      </c>
      <c r="M229" s="152" t="s">
        <v>7975</v>
      </c>
      <c r="N229" s="513" t="s">
        <v>1566</v>
      </c>
      <c r="O229" s="513" t="s">
        <v>1407</v>
      </c>
      <c r="P229" s="513" t="s">
        <v>7989</v>
      </c>
      <c r="Q229" s="518" t="s">
        <v>7796</v>
      </c>
      <c r="R229" s="152" t="s">
        <v>7990</v>
      </c>
      <c r="S229" s="152" t="s">
        <v>7978</v>
      </c>
      <c r="T229" s="152" t="s">
        <v>7991</v>
      </c>
      <c r="U229" s="152" t="s">
        <v>786</v>
      </c>
    </row>
    <row r="230" spans="4:21">
      <c r="D230" s="210"/>
      <c r="E230" s="210" t="s">
        <v>676</v>
      </c>
      <c r="F230" s="684" t="str">
        <f>+VLOOKUP(G230,Resumen_Base!$C$8:$G$156,5,0)</f>
        <v>Extras</v>
      </c>
      <c r="G230" s="152" t="s">
        <v>299</v>
      </c>
      <c r="H230" s="474" t="s">
        <v>300</v>
      </c>
      <c r="I230" s="152" t="str">
        <f t="shared" si="3"/>
        <v>CAR4112</v>
      </c>
      <c r="J230" s="847">
        <v>-355000</v>
      </c>
      <c r="K230" s="513">
        <v>-250</v>
      </c>
      <c r="L230" s="513">
        <v>1420</v>
      </c>
      <c r="M230" s="152" t="s">
        <v>7143</v>
      </c>
      <c r="N230" s="513" t="s">
        <v>1566</v>
      </c>
      <c r="O230" s="513" t="s">
        <v>1407</v>
      </c>
      <c r="P230" s="513" t="s">
        <v>8044</v>
      </c>
      <c r="Q230" s="518" t="s">
        <v>7796</v>
      </c>
      <c r="R230" s="152" t="s">
        <v>8045</v>
      </c>
      <c r="S230" s="152" t="s">
        <v>8046</v>
      </c>
      <c r="T230" s="152" t="s">
        <v>8047</v>
      </c>
      <c r="U230" s="152" t="s">
        <v>786</v>
      </c>
    </row>
    <row r="231" spans="4:21">
      <c r="D231" s="210"/>
      <c r="E231" s="210" t="s">
        <v>676</v>
      </c>
      <c r="F231" s="684" t="str">
        <f>+VLOOKUP(G231,Resumen_Base!$C$8:$G$156,5,0)</f>
        <v>Extras</v>
      </c>
      <c r="G231" s="152" t="s">
        <v>299</v>
      </c>
      <c r="H231" s="474" t="s">
        <v>300</v>
      </c>
      <c r="I231" s="152" t="str">
        <f t="shared" si="3"/>
        <v>CAR4112</v>
      </c>
      <c r="J231" s="847">
        <v>-355000</v>
      </c>
      <c r="K231" s="513">
        <v>-250</v>
      </c>
      <c r="L231" s="513">
        <v>1420</v>
      </c>
      <c r="M231" s="152" t="s">
        <v>7143</v>
      </c>
      <c r="N231" s="513" t="s">
        <v>1566</v>
      </c>
      <c r="O231" s="513" t="s">
        <v>1407</v>
      </c>
      <c r="P231" s="513" t="s">
        <v>8048</v>
      </c>
      <c r="Q231" s="518" t="s">
        <v>7796</v>
      </c>
      <c r="R231" s="152" t="s">
        <v>8049</v>
      </c>
      <c r="S231" s="152" t="s">
        <v>8046</v>
      </c>
      <c r="T231" s="152" t="s">
        <v>8050</v>
      </c>
      <c r="U231" s="152" t="s">
        <v>786</v>
      </c>
    </row>
    <row r="232" spans="4:21">
      <c r="D232" s="210"/>
      <c r="E232" s="210" t="s">
        <v>676</v>
      </c>
      <c r="F232" s="684" t="str">
        <f>+VLOOKUP(G232,Resumen_Base!$C$8:$G$156,5,0)</f>
        <v>Extras</v>
      </c>
      <c r="G232" s="152" t="s">
        <v>299</v>
      </c>
      <c r="H232" s="474" t="s">
        <v>300</v>
      </c>
      <c r="I232" s="152" t="str">
        <f t="shared" si="3"/>
        <v>CAR4112</v>
      </c>
      <c r="J232" s="847">
        <v>-177500</v>
      </c>
      <c r="K232" s="513">
        <v>-125</v>
      </c>
      <c r="L232" s="513">
        <v>1420</v>
      </c>
      <c r="M232" s="152" t="s">
        <v>7143</v>
      </c>
      <c r="N232" s="513" t="s">
        <v>1566</v>
      </c>
      <c r="O232" s="513" t="s">
        <v>1407</v>
      </c>
      <c r="P232" s="513" t="s">
        <v>8051</v>
      </c>
      <c r="Q232" s="518" t="s">
        <v>7796</v>
      </c>
      <c r="R232" s="152" t="s">
        <v>8052</v>
      </c>
      <c r="S232" s="152" t="s">
        <v>8046</v>
      </c>
      <c r="T232" s="152" t="s">
        <v>8053</v>
      </c>
      <c r="U232" s="152" t="s">
        <v>786</v>
      </c>
    </row>
    <row r="233" spans="4:21">
      <c r="D233" s="210"/>
      <c r="E233" s="210" t="s">
        <v>676</v>
      </c>
      <c r="F233" s="684" t="str">
        <f>+VLOOKUP(G233,Resumen_Base!$C$8:$G$156,5,0)</f>
        <v>Extras</v>
      </c>
      <c r="G233" s="152" t="s">
        <v>299</v>
      </c>
      <c r="H233" s="474" t="s">
        <v>300</v>
      </c>
      <c r="I233" s="152" t="str">
        <f t="shared" si="3"/>
        <v>CAR4112</v>
      </c>
      <c r="J233" s="847">
        <v>-355000</v>
      </c>
      <c r="K233" s="513">
        <v>-250</v>
      </c>
      <c r="L233" s="513">
        <v>1420</v>
      </c>
      <c r="M233" s="152" t="s">
        <v>7143</v>
      </c>
      <c r="N233" s="513" t="s">
        <v>1566</v>
      </c>
      <c r="O233" s="513" t="s">
        <v>1407</v>
      </c>
      <c r="P233" s="513" t="s">
        <v>8057</v>
      </c>
      <c r="Q233" s="518" t="s">
        <v>7796</v>
      </c>
      <c r="R233" s="152" t="s">
        <v>8058</v>
      </c>
      <c r="S233" s="152" t="s">
        <v>8059</v>
      </c>
      <c r="T233" s="152" t="s">
        <v>8060</v>
      </c>
      <c r="U233" s="152" t="s">
        <v>786</v>
      </c>
    </row>
    <row r="234" spans="4:21">
      <c r="D234" s="210"/>
      <c r="E234" s="210" t="s">
        <v>670</v>
      </c>
      <c r="F234" s="684" t="str">
        <f>+VLOOKUP(G234,Resumen_Base!$C$8:$G$156,5,0)</f>
        <v>Extras</v>
      </c>
      <c r="G234" s="152" t="s">
        <v>664</v>
      </c>
      <c r="H234" s="474" t="s">
        <v>665</v>
      </c>
      <c r="I234" s="152" t="str">
        <f t="shared" si="3"/>
        <v>SJ4117</v>
      </c>
      <c r="J234" s="847">
        <v>-337200</v>
      </c>
      <c r="K234" s="513">
        <v>-240</v>
      </c>
      <c r="L234" s="513">
        <v>1405</v>
      </c>
      <c r="M234" s="152" t="s">
        <v>7116</v>
      </c>
      <c r="N234" s="513" t="s">
        <v>1566</v>
      </c>
      <c r="O234" s="513" t="s">
        <v>781</v>
      </c>
      <c r="P234" s="513" t="s">
        <v>7959</v>
      </c>
      <c r="Q234" s="518" t="s">
        <v>7796</v>
      </c>
      <c r="R234" s="152" t="s">
        <v>7960</v>
      </c>
      <c r="S234" s="152" t="s">
        <v>7945</v>
      </c>
      <c r="T234" s="152" t="s">
        <v>7961</v>
      </c>
      <c r="U234" s="152" t="s">
        <v>786</v>
      </c>
    </row>
    <row r="235" spans="4:21">
      <c r="D235" s="210"/>
      <c r="E235" s="210" t="s">
        <v>670</v>
      </c>
      <c r="F235" s="684" t="str">
        <f>+VLOOKUP(G235,Resumen_Base!$C$8:$G$156,5,0)</f>
        <v>Extras</v>
      </c>
      <c r="G235" s="152" t="s">
        <v>664</v>
      </c>
      <c r="H235" s="474" t="s">
        <v>665</v>
      </c>
      <c r="I235" s="152" t="str">
        <f t="shared" si="3"/>
        <v>SJ4117</v>
      </c>
      <c r="J235" s="847">
        <v>-8289500</v>
      </c>
      <c r="K235" s="513">
        <v>-5900</v>
      </c>
      <c r="L235" s="513">
        <v>1405</v>
      </c>
      <c r="M235" s="152" t="s">
        <v>7975</v>
      </c>
      <c r="N235" s="513" t="s">
        <v>1566</v>
      </c>
      <c r="O235" s="513" t="s">
        <v>781</v>
      </c>
      <c r="P235" s="513" t="s">
        <v>8002</v>
      </c>
      <c r="Q235" s="518" t="s">
        <v>7796</v>
      </c>
      <c r="R235" s="152" t="s">
        <v>8003</v>
      </c>
      <c r="S235" s="152" t="s">
        <v>8000</v>
      </c>
      <c r="T235" s="152" t="s">
        <v>8004</v>
      </c>
      <c r="U235" s="152" t="s">
        <v>786</v>
      </c>
    </row>
    <row r="236" spans="4:21">
      <c r="D236" s="210"/>
      <c r="E236" s="210" t="s">
        <v>676</v>
      </c>
      <c r="F236" s="684" t="str">
        <f>+VLOOKUP(G236,Resumen_Base!$C$8:$G$156,5,0)</f>
        <v>Extras</v>
      </c>
      <c r="G236" s="152" t="s">
        <v>664</v>
      </c>
      <c r="H236" s="474" t="s">
        <v>665</v>
      </c>
      <c r="I236" s="152" t="str">
        <f t="shared" si="3"/>
        <v>CAR4117</v>
      </c>
      <c r="J236" s="847">
        <v>-172112.5</v>
      </c>
      <c r="K236" s="513">
        <v>-122.5</v>
      </c>
      <c r="L236" s="513">
        <v>1405</v>
      </c>
      <c r="M236" s="152" t="s">
        <v>7975</v>
      </c>
      <c r="N236" s="513" t="s">
        <v>1566</v>
      </c>
      <c r="O236" s="513" t="s">
        <v>1407</v>
      </c>
      <c r="P236" s="513" t="s">
        <v>7986</v>
      </c>
      <c r="Q236" s="518" t="s">
        <v>7796</v>
      </c>
      <c r="R236" s="152" t="s">
        <v>7987</v>
      </c>
      <c r="S236" s="152" t="s">
        <v>7978</v>
      </c>
      <c r="T236" s="152" t="s">
        <v>7988</v>
      </c>
      <c r="U236" s="152" t="s">
        <v>786</v>
      </c>
    </row>
    <row r="237" spans="4:21">
      <c r="D237" s="210"/>
      <c r="E237" s="210" t="s">
        <v>676</v>
      </c>
      <c r="F237" s="684" t="str">
        <f>+VLOOKUP(G237,Resumen_Base!$C$8:$G$156,5,0)</f>
        <v>Extras</v>
      </c>
      <c r="G237" s="152" t="s">
        <v>664</v>
      </c>
      <c r="H237" s="474" t="s">
        <v>665</v>
      </c>
      <c r="I237" s="152" t="str">
        <f t="shared" si="3"/>
        <v>CAR4117</v>
      </c>
      <c r="J237" s="847">
        <v>-319637.5</v>
      </c>
      <c r="K237" s="513">
        <v>-227.5</v>
      </c>
      <c r="L237" s="513">
        <v>1405</v>
      </c>
      <c r="M237" s="152" t="s">
        <v>7975</v>
      </c>
      <c r="N237" s="513" t="s">
        <v>1566</v>
      </c>
      <c r="O237" s="513" t="s">
        <v>1407</v>
      </c>
      <c r="P237" s="513" t="s">
        <v>7995</v>
      </c>
      <c r="Q237" s="518" t="s">
        <v>7796</v>
      </c>
      <c r="R237" s="152" t="s">
        <v>7996</v>
      </c>
      <c r="S237" s="152" t="s">
        <v>7978</v>
      </c>
      <c r="T237" s="152" t="s">
        <v>7997</v>
      </c>
      <c r="U237" s="152" t="s">
        <v>786</v>
      </c>
    </row>
    <row r="238" spans="4:21">
      <c r="D238" s="210"/>
      <c r="E238" s="210" t="s">
        <v>670</v>
      </c>
      <c r="F238" s="684" t="str">
        <f>+VLOOKUP(G238,Resumen_Base!$C$8:$G$156,5,0)</f>
        <v>Extras</v>
      </c>
      <c r="G238" s="152" t="s">
        <v>301</v>
      </c>
      <c r="H238" s="474" t="s">
        <v>302</v>
      </c>
      <c r="I238" s="152" t="str">
        <f t="shared" si="3"/>
        <v>SJ4118</v>
      </c>
      <c r="J238" s="847">
        <v>-105375</v>
      </c>
      <c r="K238" s="513">
        <v>-75</v>
      </c>
      <c r="L238" s="513">
        <v>1405</v>
      </c>
      <c r="M238" s="152" t="s">
        <v>7116</v>
      </c>
      <c r="N238" s="513" t="s">
        <v>1566</v>
      </c>
      <c r="O238" s="513" t="s">
        <v>781</v>
      </c>
      <c r="P238" s="513" t="s">
        <v>7947</v>
      </c>
      <c r="Q238" s="518" t="s">
        <v>7796</v>
      </c>
      <c r="R238" s="152" t="s">
        <v>7948</v>
      </c>
      <c r="S238" s="152" t="s">
        <v>7945</v>
      </c>
      <c r="T238" s="152" t="s">
        <v>7949</v>
      </c>
      <c r="U238" s="152" t="s">
        <v>786</v>
      </c>
    </row>
    <row r="239" spans="4:21">
      <c r="D239" s="210"/>
      <c r="E239" s="210" t="s">
        <v>670</v>
      </c>
      <c r="F239" s="684" t="str">
        <f>+VLOOKUP(G239,Resumen_Base!$C$8:$G$156,5,0)</f>
        <v>Extras</v>
      </c>
      <c r="G239" s="152" t="s">
        <v>301</v>
      </c>
      <c r="H239" s="474" t="s">
        <v>302</v>
      </c>
      <c r="I239" s="152" t="str">
        <f t="shared" si="3"/>
        <v>SJ4118</v>
      </c>
      <c r="J239" s="847">
        <v>-105375</v>
      </c>
      <c r="K239" s="513">
        <v>-75</v>
      </c>
      <c r="L239" s="513">
        <v>1405</v>
      </c>
      <c r="M239" s="152" t="s">
        <v>7116</v>
      </c>
      <c r="N239" s="513" t="s">
        <v>1566</v>
      </c>
      <c r="O239" s="513" t="s">
        <v>781</v>
      </c>
      <c r="P239" s="513" t="s">
        <v>7953</v>
      </c>
      <c r="Q239" s="518" t="s">
        <v>7796</v>
      </c>
      <c r="R239" s="152" t="s">
        <v>7954</v>
      </c>
      <c r="S239" s="152" t="s">
        <v>7945</v>
      </c>
      <c r="T239" s="152" t="s">
        <v>7955</v>
      </c>
      <c r="U239" s="152" t="s">
        <v>786</v>
      </c>
    </row>
    <row r="240" spans="4:21">
      <c r="D240" s="210"/>
      <c r="E240" s="210" t="s">
        <v>670</v>
      </c>
      <c r="F240" s="684" t="str">
        <f>+VLOOKUP(G240,Resumen_Base!$C$8:$G$156,5,0)</f>
        <v>Gun Rental</v>
      </c>
      <c r="G240" s="152" t="s">
        <v>303</v>
      </c>
      <c r="H240" s="474" t="s">
        <v>304</v>
      </c>
      <c r="I240" s="152" t="str">
        <f t="shared" si="3"/>
        <v>SJ4120</v>
      </c>
      <c r="J240" s="847">
        <v>-730600</v>
      </c>
      <c r="K240" s="513">
        <v>-520</v>
      </c>
      <c r="L240" s="513">
        <v>1405</v>
      </c>
      <c r="M240" s="152" t="s">
        <v>7808</v>
      </c>
      <c r="N240" s="513" t="s">
        <v>1566</v>
      </c>
      <c r="O240" s="513" t="s">
        <v>781</v>
      </c>
      <c r="P240" s="513" t="s">
        <v>7842</v>
      </c>
      <c r="Q240" s="518" t="s">
        <v>7796</v>
      </c>
      <c r="R240" s="152" t="s">
        <v>7843</v>
      </c>
      <c r="S240" s="152" t="s">
        <v>7844</v>
      </c>
      <c r="T240" s="152" t="s">
        <v>7845</v>
      </c>
      <c r="U240" s="152" t="s">
        <v>786</v>
      </c>
    </row>
    <row r="241" spans="4:21">
      <c r="D241" s="210"/>
      <c r="E241" s="210" t="s">
        <v>670</v>
      </c>
      <c r="F241" s="684" t="str">
        <f>+VLOOKUP(G241,Resumen_Base!$C$8:$G$156,5,0)</f>
        <v>Gun Rental</v>
      </c>
      <c r="G241" s="152" t="s">
        <v>303</v>
      </c>
      <c r="H241" s="474" t="s">
        <v>304</v>
      </c>
      <c r="I241" s="152" t="str">
        <f t="shared" si="3"/>
        <v>SJ4120</v>
      </c>
      <c r="J241" s="847">
        <v>-730600</v>
      </c>
      <c r="K241" s="513">
        <v>-520</v>
      </c>
      <c r="L241" s="513">
        <v>1405</v>
      </c>
      <c r="M241" s="152" t="s">
        <v>7808</v>
      </c>
      <c r="N241" s="513" t="s">
        <v>1566</v>
      </c>
      <c r="O241" s="513" t="s">
        <v>781</v>
      </c>
      <c r="P241" s="513" t="s">
        <v>7846</v>
      </c>
      <c r="Q241" s="518" t="s">
        <v>7796</v>
      </c>
      <c r="R241" s="152" t="s">
        <v>7847</v>
      </c>
      <c r="S241" s="152" t="s">
        <v>7844</v>
      </c>
      <c r="T241" s="152" t="s">
        <v>7848</v>
      </c>
      <c r="U241" s="152" t="s">
        <v>786</v>
      </c>
    </row>
    <row r="242" spans="4:21">
      <c r="D242" s="210"/>
      <c r="E242" s="210" t="s">
        <v>670</v>
      </c>
      <c r="F242" s="684" t="str">
        <f>+VLOOKUP(G242,Resumen_Base!$C$8:$G$156,5,0)</f>
        <v>Gun Rental</v>
      </c>
      <c r="G242" s="152" t="s">
        <v>303</v>
      </c>
      <c r="H242" s="474" t="s">
        <v>304</v>
      </c>
      <c r="I242" s="152" t="str">
        <f t="shared" si="3"/>
        <v>SJ4120</v>
      </c>
      <c r="J242" s="847">
        <v>-730600</v>
      </c>
      <c r="K242" s="513">
        <v>-520</v>
      </c>
      <c r="L242" s="513">
        <v>1405</v>
      </c>
      <c r="M242" s="152" t="s">
        <v>7808</v>
      </c>
      <c r="N242" s="513" t="s">
        <v>1566</v>
      </c>
      <c r="O242" s="513" t="s">
        <v>781</v>
      </c>
      <c r="P242" s="513" t="s">
        <v>7849</v>
      </c>
      <c r="Q242" s="518" t="s">
        <v>7796</v>
      </c>
      <c r="R242" s="152" t="s">
        <v>7850</v>
      </c>
      <c r="S242" s="152" t="s">
        <v>7851</v>
      </c>
      <c r="T242" s="152" t="s">
        <v>7852</v>
      </c>
      <c r="U242" s="152" t="s">
        <v>786</v>
      </c>
    </row>
    <row r="243" spans="4:21">
      <c r="D243" s="210"/>
      <c r="E243" s="210" t="s">
        <v>670</v>
      </c>
      <c r="F243" s="684" t="str">
        <f>+VLOOKUP(G243,Resumen_Base!$C$8:$G$156,5,0)</f>
        <v>Gun Rental</v>
      </c>
      <c r="G243" s="152" t="s">
        <v>303</v>
      </c>
      <c r="H243" s="474" t="s">
        <v>304</v>
      </c>
      <c r="I243" s="152" t="str">
        <f t="shared" si="3"/>
        <v>SJ4120</v>
      </c>
      <c r="J243" s="847">
        <v>-730600</v>
      </c>
      <c r="K243" s="513">
        <v>-520</v>
      </c>
      <c r="L243" s="513">
        <v>1405</v>
      </c>
      <c r="M243" s="152" t="s">
        <v>7808</v>
      </c>
      <c r="N243" s="513" t="s">
        <v>1566</v>
      </c>
      <c r="O243" s="513" t="s">
        <v>781</v>
      </c>
      <c r="P243" s="513" t="s">
        <v>7853</v>
      </c>
      <c r="Q243" s="518" t="s">
        <v>7796</v>
      </c>
      <c r="R243" s="152" t="s">
        <v>7854</v>
      </c>
      <c r="S243" s="152" t="s">
        <v>7851</v>
      </c>
      <c r="T243" s="152" t="s">
        <v>7855</v>
      </c>
      <c r="U243" s="152" t="s">
        <v>786</v>
      </c>
    </row>
    <row r="244" spans="4:21">
      <c r="D244" s="210"/>
      <c r="E244" s="210" t="s">
        <v>670</v>
      </c>
      <c r="F244" s="684" t="str">
        <f>+VLOOKUP(G244,Resumen_Base!$C$8:$G$156,5,0)</f>
        <v>Gun Rental</v>
      </c>
      <c r="G244" s="152" t="s">
        <v>303</v>
      </c>
      <c r="H244" s="474" t="s">
        <v>304</v>
      </c>
      <c r="I244" s="152" t="str">
        <f t="shared" si="3"/>
        <v>SJ4120</v>
      </c>
      <c r="J244" s="847">
        <v>-913250</v>
      </c>
      <c r="K244" s="513">
        <v>-650</v>
      </c>
      <c r="L244" s="513">
        <v>1405</v>
      </c>
      <c r="M244" s="152" t="s">
        <v>7808</v>
      </c>
      <c r="N244" s="513" t="s">
        <v>1566</v>
      </c>
      <c r="O244" s="513" t="s">
        <v>781</v>
      </c>
      <c r="P244" s="513" t="s">
        <v>7856</v>
      </c>
      <c r="Q244" s="518" t="s">
        <v>7796</v>
      </c>
      <c r="R244" s="152" t="s">
        <v>7857</v>
      </c>
      <c r="S244" s="152" t="s">
        <v>7858</v>
      </c>
      <c r="T244" s="152" t="s">
        <v>7859</v>
      </c>
      <c r="U244" s="152" t="s">
        <v>786</v>
      </c>
    </row>
    <row r="245" spans="4:21">
      <c r="D245" s="210"/>
      <c r="E245" s="210" t="s">
        <v>670</v>
      </c>
      <c r="F245" s="684" t="str">
        <f>+VLOOKUP(G245,Resumen_Base!$C$8:$G$156,5,0)</f>
        <v>Gun Rental</v>
      </c>
      <c r="G245" s="152" t="s">
        <v>303</v>
      </c>
      <c r="H245" s="474" t="s">
        <v>304</v>
      </c>
      <c r="I245" s="152" t="str">
        <f t="shared" si="3"/>
        <v>SJ4120</v>
      </c>
      <c r="J245" s="847">
        <v>-913250</v>
      </c>
      <c r="K245" s="513">
        <v>-650</v>
      </c>
      <c r="L245" s="513">
        <v>1405</v>
      </c>
      <c r="M245" s="152" t="s">
        <v>7808</v>
      </c>
      <c r="N245" s="513" t="s">
        <v>1566</v>
      </c>
      <c r="O245" s="513" t="s">
        <v>781</v>
      </c>
      <c r="P245" s="513" t="s">
        <v>7860</v>
      </c>
      <c r="Q245" s="518" t="s">
        <v>7796</v>
      </c>
      <c r="R245" s="152" t="s">
        <v>7861</v>
      </c>
      <c r="S245" s="152" t="s">
        <v>7858</v>
      </c>
      <c r="T245" s="152" t="s">
        <v>7862</v>
      </c>
      <c r="U245" s="152" t="s">
        <v>786</v>
      </c>
    </row>
    <row r="246" spans="4:21">
      <c r="D246" s="210"/>
      <c r="E246" s="210" t="s">
        <v>670</v>
      </c>
      <c r="F246" s="684" t="str">
        <f>+VLOOKUP(G246,Resumen_Base!$C$8:$G$156,5,0)</f>
        <v>Gun Rental</v>
      </c>
      <c r="G246" s="152" t="s">
        <v>303</v>
      </c>
      <c r="H246" s="474" t="s">
        <v>304</v>
      </c>
      <c r="I246" s="152" t="str">
        <f t="shared" si="3"/>
        <v>SJ4120</v>
      </c>
      <c r="J246" s="847">
        <v>-730600</v>
      </c>
      <c r="K246" s="513">
        <v>-520</v>
      </c>
      <c r="L246" s="513">
        <v>1405</v>
      </c>
      <c r="M246" s="152" t="s">
        <v>7808</v>
      </c>
      <c r="N246" s="513" t="s">
        <v>1566</v>
      </c>
      <c r="O246" s="513" t="s">
        <v>781</v>
      </c>
      <c r="P246" s="513" t="s">
        <v>7863</v>
      </c>
      <c r="Q246" s="518" t="s">
        <v>7796</v>
      </c>
      <c r="R246" s="152" t="s">
        <v>7864</v>
      </c>
      <c r="S246" s="152" t="s">
        <v>7865</v>
      </c>
      <c r="T246" s="152" t="s">
        <v>7866</v>
      </c>
      <c r="U246" s="152" t="s">
        <v>786</v>
      </c>
    </row>
    <row r="247" spans="4:21">
      <c r="D247" s="210"/>
      <c r="E247" s="210" t="s">
        <v>670</v>
      </c>
      <c r="F247" s="684" t="str">
        <f>+VLOOKUP(G247,Resumen_Base!$C$8:$G$156,5,0)</f>
        <v>Gun Rental</v>
      </c>
      <c r="G247" s="152" t="s">
        <v>303</v>
      </c>
      <c r="H247" s="474" t="s">
        <v>304</v>
      </c>
      <c r="I247" s="152" t="str">
        <f t="shared" si="3"/>
        <v>SJ4120</v>
      </c>
      <c r="J247" s="847">
        <v>-730600</v>
      </c>
      <c r="K247" s="513">
        <v>-520</v>
      </c>
      <c r="L247" s="513">
        <v>1405</v>
      </c>
      <c r="M247" s="152" t="s">
        <v>7808</v>
      </c>
      <c r="N247" s="513" t="s">
        <v>1566</v>
      </c>
      <c r="O247" s="513" t="s">
        <v>781</v>
      </c>
      <c r="P247" s="513" t="s">
        <v>7867</v>
      </c>
      <c r="Q247" s="518" t="s">
        <v>7796</v>
      </c>
      <c r="R247" s="152" t="s">
        <v>7868</v>
      </c>
      <c r="S247" s="152" t="s">
        <v>7865</v>
      </c>
      <c r="T247" s="152" t="s">
        <v>7869</v>
      </c>
      <c r="U247" s="152" t="s">
        <v>786</v>
      </c>
    </row>
    <row r="248" spans="4:21">
      <c r="D248" s="210"/>
      <c r="E248" s="210" t="s">
        <v>670</v>
      </c>
      <c r="F248" s="684" t="str">
        <f>+VLOOKUP(G248,Resumen_Base!$C$8:$G$156,5,0)</f>
        <v>Gun Rental</v>
      </c>
      <c r="G248" s="152" t="s">
        <v>303</v>
      </c>
      <c r="H248" s="474" t="s">
        <v>304</v>
      </c>
      <c r="I248" s="152" t="str">
        <f t="shared" si="3"/>
        <v>SJ4120</v>
      </c>
      <c r="J248" s="847">
        <v>-1461200</v>
      </c>
      <c r="K248" s="513">
        <v>-1040</v>
      </c>
      <c r="L248" s="513">
        <v>1405</v>
      </c>
      <c r="M248" s="152" t="s">
        <v>7808</v>
      </c>
      <c r="N248" s="513" t="s">
        <v>1566</v>
      </c>
      <c r="O248" s="513" t="s">
        <v>781</v>
      </c>
      <c r="P248" s="513" t="s">
        <v>7870</v>
      </c>
      <c r="Q248" s="518" t="s">
        <v>7796</v>
      </c>
      <c r="R248" s="152" t="s">
        <v>7871</v>
      </c>
      <c r="S248" s="152" t="s">
        <v>7865</v>
      </c>
      <c r="T248" s="152" t="s">
        <v>7872</v>
      </c>
      <c r="U248" s="152" t="s">
        <v>786</v>
      </c>
    </row>
    <row r="249" spans="4:21">
      <c r="D249" s="210"/>
      <c r="E249" s="210" t="s">
        <v>670</v>
      </c>
      <c r="F249" s="684" t="str">
        <f>+VLOOKUP(G249,Resumen_Base!$C$8:$G$156,5,0)</f>
        <v>Gun Rental</v>
      </c>
      <c r="G249" s="152" t="s">
        <v>303</v>
      </c>
      <c r="H249" s="474" t="s">
        <v>304</v>
      </c>
      <c r="I249" s="152" t="str">
        <f t="shared" si="3"/>
        <v>SJ4120</v>
      </c>
      <c r="J249" s="847">
        <v>-730600</v>
      </c>
      <c r="K249" s="513">
        <v>-520</v>
      </c>
      <c r="L249" s="513">
        <v>1405</v>
      </c>
      <c r="M249" s="152" t="s">
        <v>7808</v>
      </c>
      <c r="N249" s="513" t="s">
        <v>1566</v>
      </c>
      <c r="O249" s="513" t="s">
        <v>781</v>
      </c>
      <c r="P249" s="513" t="s">
        <v>7873</v>
      </c>
      <c r="Q249" s="518" t="s">
        <v>7796</v>
      </c>
      <c r="R249" s="152" t="s">
        <v>7874</v>
      </c>
      <c r="S249" s="152" t="s">
        <v>7865</v>
      </c>
      <c r="T249" s="152" t="s">
        <v>7875</v>
      </c>
      <c r="U249" s="152" t="s">
        <v>786</v>
      </c>
    </row>
    <row r="250" spans="4:21">
      <c r="D250" s="210"/>
      <c r="E250" s="210" t="s">
        <v>670</v>
      </c>
      <c r="F250" s="684" t="str">
        <f>+VLOOKUP(G250,Resumen_Base!$C$8:$G$156,5,0)</f>
        <v>Gun Rental</v>
      </c>
      <c r="G250" s="152" t="s">
        <v>303</v>
      </c>
      <c r="H250" s="474" t="s">
        <v>304</v>
      </c>
      <c r="I250" s="152" t="str">
        <f t="shared" si="3"/>
        <v>SJ4120</v>
      </c>
      <c r="J250" s="847">
        <v>-730600</v>
      </c>
      <c r="K250" s="513">
        <v>-520</v>
      </c>
      <c r="L250" s="513">
        <v>1405</v>
      </c>
      <c r="M250" s="152" t="s">
        <v>7808</v>
      </c>
      <c r="N250" s="513" t="s">
        <v>1566</v>
      </c>
      <c r="O250" s="513" t="s">
        <v>781</v>
      </c>
      <c r="P250" s="513" t="s">
        <v>7876</v>
      </c>
      <c r="Q250" s="518" t="s">
        <v>7796</v>
      </c>
      <c r="R250" s="152" t="s">
        <v>7877</v>
      </c>
      <c r="S250" s="152" t="s">
        <v>7878</v>
      </c>
      <c r="T250" s="152" t="s">
        <v>7879</v>
      </c>
      <c r="U250" s="152" t="s">
        <v>786</v>
      </c>
    </row>
    <row r="251" spans="4:21">
      <c r="D251" s="210"/>
      <c r="E251" s="210" t="s">
        <v>670</v>
      </c>
      <c r="F251" s="684" t="str">
        <f>+VLOOKUP(G251,Resumen_Base!$C$8:$G$156,5,0)</f>
        <v>Gun Rental</v>
      </c>
      <c r="G251" s="152" t="s">
        <v>303</v>
      </c>
      <c r="H251" s="474" t="s">
        <v>304</v>
      </c>
      <c r="I251" s="152" t="str">
        <f t="shared" si="3"/>
        <v>SJ4120</v>
      </c>
      <c r="J251" s="847">
        <v>-730600</v>
      </c>
      <c r="K251" s="513">
        <v>-520</v>
      </c>
      <c r="L251" s="513">
        <v>1405</v>
      </c>
      <c r="M251" s="152" t="s">
        <v>7808</v>
      </c>
      <c r="N251" s="513" t="s">
        <v>1566</v>
      </c>
      <c r="O251" s="513" t="s">
        <v>781</v>
      </c>
      <c r="P251" s="513" t="s">
        <v>7880</v>
      </c>
      <c r="Q251" s="518" t="s">
        <v>7796</v>
      </c>
      <c r="R251" s="152" t="s">
        <v>7881</v>
      </c>
      <c r="S251" s="152" t="s">
        <v>7878</v>
      </c>
      <c r="T251" s="152" t="s">
        <v>7882</v>
      </c>
      <c r="U251" s="152" t="s">
        <v>786</v>
      </c>
    </row>
    <row r="252" spans="4:21">
      <c r="D252" s="210"/>
      <c r="E252" s="210" t="s">
        <v>670</v>
      </c>
      <c r="F252" s="684" t="str">
        <f>+VLOOKUP(G252,Resumen_Base!$C$8:$G$156,5,0)</f>
        <v>Gun Rental</v>
      </c>
      <c r="G252" s="152" t="s">
        <v>303</v>
      </c>
      <c r="H252" s="474" t="s">
        <v>304</v>
      </c>
      <c r="I252" s="152" t="str">
        <f t="shared" si="3"/>
        <v>SJ4120</v>
      </c>
      <c r="J252" s="847">
        <v>-730600</v>
      </c>
      <c r="K252" s="513">
        <v>-520</v>
      </c>
      <c r="L252" s="513">
        <v>1405</v>
      </c>
      <c r="M252" s="152" t="s">
        <v>7808</v>
      </c>
      <c r="N252" s="513" t="s">
        <v>1566</v>
      </c>
      <c r="O252" s="513" t="s">
        <v>781</v>
      </c>
      <c r="P252" s="513" t="s">
        <v>7883</v>
      </c>
      <c r="Q252" s="518" t="s">
        <v>7796</v>
      </c>
      <c r="R252" s="152" t="s">
        <v>7884</v>
      </c>
      <c r="S252" s="152" t="s">
        <v>7878</v>
      </c>
      <c r="T252" s="152" t="s">
        <v>7885</v>
      </c>
      <c r="U252" s="152" t="s">
        <v>786</v>
      </c>
    </row>
    <row r="253" spans="4:21">
      <c r="D253" s="210"/>
      <c r="E253" s="210" t="s">
        <v>670</v>
      </c>
      <c r="F253" s="684" t="str">
        <f>+VLOOKUP(G253,Resumen_Base!$C$8:$G$156,5,0)</f>
        <v>Gun Rental</v>
      </c>
      <c r="G253" s="152" t="s">
        <v>303</v>
      </c>
      <c r="H253" s="474" t="s">
        <v>304</v>
      </c>
      <c r="I253" s="152" t="str">
        <f t="shared" si="3"/>
        <v>SJ4120</v>
      </c>
      <c r="J253" s="847">
        <v>-730600</v>
      </c>
      <c r="K253" s="513">
        <v>-520</v>
      </c>
      <c r="L253" s="513">
        <v>1405</v>
      </c>
      <c r="M253" s="152" t="s">
        <v>7808</v>
      </c>
      <c r="N253" s="513" t="s">
        <v>1566</v>
      </c>
      <c r="O253" s="513" t="s">
        <v>781</v>
      </c>
      <c r="P253" s="513" t="s">
        <v>7886</v>
      </c>
      <c r="Q253" s="518" t="s">
        <v>7796</v>
      </c>
      <c r="R253" s="152" t="s">
        <v>7887</v>
      </c>
      <c r="S253" s="152" t="s">
        <v>7878</v>
      </c>
      <c r="T253" s="152" t="s">
        <v>7888</v>
      </c>
      <c r="U253" s="152" t="s">
        <v>786</v>
      </c>
    </row>
    <row r="254" spans="4:21">
      <c r="D254" s="210"/>
      <c r="E254" s="210" t="s">
        <v>670</v>
      </c>
      <c r="F254" s="684" t="str">
        <f>+VLOOKUP(G254,Resumen_Base!$C$8:$G$156,5,0)</f>
        <v>Gun Rental</v>
      </c>
      <c r="G254" s="152" t="s">
        <v>303</v>
      </c>
      <c r="H254" s="474" t="s">
        <v>304</v>
      </c>
      <c r="I254" s="152" t="str">
        <f t="shared" si="3"/>
        <v>SJ4120</v>
      </c>
      <c r="J254" s="847">
        <v>-730600</v>
      </c>
      <c r="K254" s="513">
        <v>-520</v>
      </c>
      <c r="L254" s="513">
        <v>1405</v>
      </c>
      <c r="M254" s="152" t="s">
        <v>7116</v>
      </c>
      <c r="N254" s="513" t="s">
        <v>1566</v>
      </c>
      <c r="O254" s="513" t="s">
        <v>781</v>
      </c>
      <c r="P254" s="513" t="s">
        <v>7943</v>
      </c>
      <c r="Q254" s="518" t="s">
        <v>7796</v>
      </c>
      <c r="R254" s="152" t="s">
        <v>7944</v>
      </c>
      <c r="S254" s="152" t="s">
        <v>7945</v>
      </c>
      <c r="T254" s="152" t="s">
        <v>7946</v>
      </c>
      <c r="U254" s="152" t="s">
        <v>786</v>
      </c>
    </row>
    <row r="255" spans="4:21">
      <c r="D255" s="210"/>
      <c r="E255" s="210" t="s">
        <v>670</v>
      </c>
      <c r="F255" s="684" t="str">
        <f>+VLOOKUP(G255,Resumen_Base!$C$8:$G$156,5,0)</f>
        <v>Gun Rental</v>
      </c>
      <c r="G255" s="152" t="s">
        <v>303</v>
      </c>
      <c r="H255" s="474" t="s">
        <v>304</v>
      </c>
      <c r="I255" s="152" t="str">
        <f t="shared" si="3"/>
        <v>SJ4120</v>
      </c>
      <c r="J255" s="847">
        <v>-730600</v>
      </c>
      <c r="K255" s="513">
        <v>-520</v>
      </c>
      <c r="L255" s="513">
        <v>1405</v>
      </c>
      <c r="M255" s="152" t="s">
        <v>7116</v>
      </c>
      <c r="N255" s="513" t="s">
        <v>1566</v>
      </c>
      <c r="O255" s="513" t="s">
        <v>781</v>
      </c>
      <c r="P255" s="513" t="s">
        <v>7947</v>
      </c>
      <c r="Q255" s="518" t="s">
        <v>7796</v>
      </c>
      <c r="R255" s="152" t="s">
        <v>7948</v>
      </c>
      <c r="S255" s="152" t="s">
        <v>7945</v>
      </c>
      <c r="T255" s="152" t="s">
        <v>7949</v>
      </c>
      <c r="U255" s="152" t="s">
        <v>786</v>
      </c>
    </row>
    <row r="256" spans="4:21">
      <c r="D256" s="210"/>
      <c r="E256" s="210" t="s">
        <v>670</v>
      </c>
      <c r="F256" s="684" t="str">
        <f>+VLOOKUP(G256,Resumen_Base!$C$8:$G$156,5,0)</f>
        <v>Gun Rental</v>
      </c>
      <c r="G256" s="152" t="s">
        <v>303</v>
      </c>
      <c r="H256" s="474" t="s">
        <v>304</v>
      </c>
      <c r="I256" s="152" t="str">
        <f t="shared" si="3"/>
        <v>SJ4120</v>
      </c>
      <c r="J256" s="847">
        <v>-730600</v>
      </c>
      <c r="K256" s="513">
        <v>-520</v>
      </c>
      <c r="L256" s="513">
        <v>1405</v>
      </c>
      <c r="M256" s="152" t="s">
        <v>7116</v>
      </c>
      <c r="N256" s="513" t="s">
        <v>1566</v>
      </c>
      <c r="O256" s="513" t="s">
        <v>781</v>
      </c>
      <c r="P256" s="513" t="s">
        <v>7950</v>
      </c>
      <c r="Q256" s="518" t="s">
        <v>7796</v>
      </c>
      <c r="R256" s="152" t="s">
        <v>7951</v>
      </c>
      <c r="S256" s="152" t="s">
        <v>7945</v>
      </c>
      <c r="T256" s="152" t="s">
        <v>7952</v>
      </c>
      <c r="U256" s="152" t="s">
        <v>786</v>
      </c>
    </row>
    <row r="257" spans="4:21">
      <c r="D257" s="210"/>
      <c r="E257" s="210" t="s">
        <v>670</v>
      </c>
      <c r="F257" s="684" t="str">
        <f>+VLOOKUP(G257,Resumen_Base!$C$8:$G$156,5,0)</f>
        <v>Gun Rental</v>
      </c>
      <c r="G257" s="152" t="s">
        <v>303</v>
      </c>
      <c r="H257" s="474" t="s">
        <v>304</v>
      </c>
      <c r="I257" s="152" t="str">
        <f t="shared" si="3"/>
        <v>SJ4120</v>
      </c>
      <c r="J257" s="847">
        <v>-730600</v>
      </c>
      <c r="K257" s="513">
        <v>-520</v>
      </c>
      <c r="L257" s="513">
        <v>1405</v>
      </c>
      <c r="M257" s="152" t="s">
        <v>7116</v>
      </c>
      <c r="N257" s="513" t="s">
        <v>1566</v>
      </c>
      <c r="O257" s="513" t="s">
        <v>781</v>
      </c>
      <c r="P257" s="513" t="s">
        <v>7953</v>
      </c>
      <c r="Q257" s="518" t="s">
        <v>7796</v>
      </c>
      <c r="R257" s="152" t="s">
        <v>7954</v>
      </c>
      <c r="S257" s="152" t="s">
        <v>7945</v>
      </c>
      <c r="T257" s="152" t="s">
        <v>7955</v>
      </c>
      <c r="U257" s="152" t="s">
        <v>786</v>
      </c>
    </row>
    <row r="258" spans="4:21">
      <c r="D258" s="210"/>
      <c r="E258" s="210" t="s">
        <v>670</v>
      </c>
      <c r="F258" s="684" t="str">
        <f>+VLOOKUP(G258,Resumen_Base!$C$8:$G$156,5,0)</f>
        <v>Gun Rental</v>
      </c>
      <c r="G258" s="152" t="s">
        <v>303</v>
      </c>
      <c r="H258" s="474" t="s">
        <v>304</v>
      </c>
      <c r="I258" s="152" t="str">
        <f t="shared" si="3"/>
        <v>SJ4120</v>
      </c>
      <c r="J258" s="847">
        <v>-730600</v>
      </c>
      <c r="K258" s="513">
        <v>-520</v>
      </c>
      <c r="L258" s="513">
        <v>1405</v>
      </c>
      <c r="M258" s="152" t="s">
        <v>7116</v>
      </c>
      <c r="N258" s="513" t="s">
        <v>1566</v>
      </c>
      <c r="O258" s="513" t="s">
        <v>781</v>
      </c>
      <c r="P258" s="513" t="s">
        <v>7956</v>
      </c>
      <c r="Q258" s="518" t="s">
        <v>7796</v>
      </c>
      <c r="R258" s="152" t="s">
        <v>7957</v>
      </c>
      <c r="S258" s="152" t="s">
        <v>7945</v>
      </c>
      <c r="T258" s="152" t="s">
        <v>7958</v>
      </c>
      <c r="U258" s="152" t="s">
        <v>786</v>
      </c>
    </row>
    <row r="259" spans="4:21">
      <c r="D259" s="210"/>
      <c r="E259" s="210" t="s">
        <v>670</v>
      </c>
      <c r="F259" s="684" t="str">
        <f>+VLOOKUP(G259,Resumen_Base!$C$8:$G$156,5,0)</f>
        <v>Gun Rental</v>
      </c>
      <c r="G259" s="152" t="s">
        <v>303</v>
      </c>
      <c r="H259" s="474" t="s">
        <v>304</v>
      </c>
      <c r="I259" s="152" t="str">
        <f t="shared" si="3"/>
        <v>SJ4120</v>
      </c>
      <c r="J259" s="847">
        <v>-730600</v>
      </c>
      <c r="K259" s="513">
        <v>-520</v>
      </c>
      <c r="L259" s="513">
        <v>1405</v>
      </c>
      <c r="M259" s="152" t="s">
        <v>7116</v>
      </c>
      <c r="N259" s="513" t="s">
        <v>1566</v>
      </c>
      <c r="O259" s="513" t="s">
        <v>781</v>
      </c>
      <c r="P259" s="513" t="s">
        <v>7959</v>
      </c>
      <c r="Q259" s="518" t="s">
        <v>7796</v>
      </c>
      <c r="R259" s="152" t="s">
        <v>7960</v>
      </c>
      <c r="S259" s="152" t="s">
        <v>7945</v>
      </c>
      <c r="T259" s="152" t="s">
        <v>7961</v>
      </c>
      <c r="U259" s="152" t="s">
        <v>786</v>
      </c>
    </row>
    <row r="260" spans="4:21">
      <c r="D260" s="210"/>
      <c r="E260" s="210" t="s">
        <v>670</v>
      </c>
      <c r="F260" s="684" t="str">
        <f>+VLOOKUP(G260,Resumen_Base!$C$8:$G$156,5,0)</f>
        <v>Gun Rental</v>
      </c>
      <c r="G260" s="152" t="s">
        <v>303</v>
      </c>
      <c r="H260" s="474" t="s">
        <v>304</v>
      </c>
      <c r="I260" s="152" t="str">
        <f t="shared" si="3"/>
        <v>SJ4120</v>
      </c>
      <c r="J260" s="847">
        <v>-730600</v>
      </c>
      <c r="K260" s="513">
        <v>-520</v>
      </c>
      <c r="L260" s="513">
        <v>1405</v>
      </c>
      <c r="M260" s="152" t="s">
        <v>7116</v>
      </c>
      <c r="N260" s="513" t="s">
        <v>1566</v>
      </c>
      <c r="O260" s="513" t="s">
        <v>781</v>
      </c>
      <c r="P260" s="513" t="s">
        <v>7962</v>
      </c>
      <c r="Q260" s="518" t="s">
        <v>7796</v>
      </c>
      <c r="R260" s="152" t="s">
        <v>7963</v>
      </c>
      <c r="S260" s="152" t="s">
        <v>7964</v>
      </c>
      <c r="T260" s="152" t="s">
        <v>7965</v>
      </c>
      <c r="U260" s="152" t="s">
        <v>786</v>
      </c>
    </row>
    <row r="261" spans="4:21">
      <c r="D261" s="210"/>
      <c r="E261" s="210" t="s">
        <v>670</v>
      </c>
      <c r="F261" s="684" t="str">
        <f>+VLOOKUP(G261,Resumen_Base!$C$8:$G$156,5,0)</f>
        <v>Gun Rental</v>
      </c>
      <c r="G261" s="152" t="s">
        <v>303</v>
      </c>
      <c r="H261" s="474" t="s">
        <v>304</v>
      </c>
      <c r="I261" s="152" t="str">
        <f t="shared" si="3"/>
        <v>SJ4120</v>
      </c>
      <c r="J261" s="847">
        <v>-730600</v>
      </c>
      <c r="K261" s="513">
        <v>-520</v>
      </c>
      <c r="L261" s="513">
        <v>1405</v>
      </c>
      <c r="M261" s="152" t="s">
        <v>7116</v>
      </c>
      <c r="N261" s="513" t="s">
        <v>1566</v>
      </c>
      <c r="O261" s="513" t="s">
        <v>781</v>
      </c>
      <c r="P261" s="513" t="s">
        <v>7966</v>
      </c>
      <c r="Q261" s="518" t="s">
        <v>7796</v>
      </c>
      <c r="R261" s="152" t="s">
        <v>7967</v>
      </c>
      <c r="S261" s="152" t="s">
        <v>7964</v>
      </c>
      <c r="T261" s="152" t="s">
        <v>7968</v>
      </c>
      <c r="U261" s="152" t="s">
        <v>786</v>
      </c>
    </row>
    <row r="262" spans="4:21">
      <c r="D262" s="210"/>
      <c r="E262" s="210" t="s">
        <v>670</v>
      </c>
      <c r="F262" s="684" t="str">
        <f>+VLOOKUP(G262,Resumen_Base!$C$8:$G$156,5,0)</f>
        <v>Gun Rental</v>
      </c>
      <c r="G262" s="152" t="s">
        <v>303</v>
      </c>
      <c r="H262" s="474" t="s">
        <v>304</v>
      </c>
      <c r="I262" s="152" t="str">
        <f t="shared" si="3"/>
        <v>SJ4120</v>
      </c>
      <c r="J262" s="847">
        <v>-730600</v>
      </c>
      <c r="K262" s="513">
        <v>-520</v>
      </c>
      <c r="L262" s="513">
        <v>1405</v>
      </c>
      <c r="M262" s="152" t="s">
        <v>7116</v>
      </c>
      <c r="N262" s="513" t="s">
        <v>1566</v>
      </c>
      <c r="O262" s="513" t="s">
        <v>781</v>
      </c>
      <c r="P262" s="513" t="s">
        <v>7969</v>
      </c>
      <c r="Q262" s="518" t="s">
        <v>7796</v>
      </c>
      <c r="R262" s="152" t="s">
        <v>7970</v>
      </c>
      <c r="S262" s="152" t="s">
        <v>7964</v>
      </c>
      <c r="T262" s="152" t="s">
        <v>7971</v>
      </c>
      <c r="U262" s="152" t="s">
        <v>786</v>
      </c>
    </row>
    <row r="263" spans="4:21">
      <c r="D263" s="210"/>
      <c r="E263" s="210" t="s">
        <v>670</v>
      </c>
      <c r="F263" s="684" t="str">
        <f>+VLOOKUP(G263,Resumen_Base!$C$8:$G$156,5,0)</f>
        <v>Gun Rental</v>
      </c>
      <c r="G263" s="152" t="s">
        <v>303</v>
      </c>
      <c r="H263" s="474" t="s">
        <v>304</v>
      </c>
      <c r="I263" s="152" t="str">
        <f t="shared" si="3"/>
        <v>SJ4120</v>
      </c>
      <c r="J263" s="847">
        <v>-730600</v>
      </c>
      <c r="K263" s="513">
        <v>-520</v>
      </c>
      <c r="L263" s="513">
        <v>1405</v>
      </c>
      <c r="M263" s="152" t="s">
        <v>7116</v>
      </c>
      <c r="N263" s="513" t="s">
        <v>1566</v>
      </c>
      <c r="O263" s="513" t="s">
        <v>781</v>
      </c>
      <c r="P263" s="513" t="s">
        <v>7972</v>
      </c>
      <c r="Q263" s="518" t="s">
        <v>7796</v>
      </c>
      <c r="R263" s="152" t="s">
        <v>7973</v>
      </c>
      <c r="S263" s="152" t="s">
        <v>7964</v>
      </c>
      <c r="T263" s="152" t="s">
        <v>7974</v>
      </c>
      <c r="U263" s="152" t="s">
        <v>786</v>
      </c>
    </row>
    <row r="264" spans="4:21">
      <c r="D264" s="210"/>
      <c r="E264" s="210" t="s">
        <v>670</v>
      </c>
      <c r="F264" s="684" t="str">
        <f>+VLOOKUP(G264,Resumen_Base!$C$8:$G$156,5,0)</f>
        <v>Gun Rental</v>
      </c>
      <c r="G264" s="152" t="s">
        <v>303</v>
      </c>
      <c r="H264" s="474" t="s">
        <v>304</v>
      </c>
      <c r="I264" s="152" t="str">
        <f t="shared" si="3"/>
        <v>SJ4120</v>
      </c>
      <c r="J264" s="847">
        <v>-547950</v>
      </c>
      <c r="K264" s="513">
        <v>-390</v>
      </c>
      <c r="L264" s="513">
        <v>1405</v>
      </c>
      <c r="M264" s="152" t="s">
        <v>7975</v>
      </c>
      <c r="N264" s="513" t="s">
        <v>1566</v>
      </c>
      <c r="O264" s="513" t="s">
        <v>781</v>
      </c>
      <c r="P264" s="513" t="s">
        <v>7998</v>
      </c>
      <c r="Q264" s="518" t="s">
        <v>7796</v>
      </c>
      <c r="R264" s="152" t="s">
        <v>7999</v>
      </c>
      <c r="S264" s="152" t="s">
        <v>8000</v>
      </c>
      <c r="T264" s="152" t="s">
        <v>8001</v>
      </c>
      <c r="U264" s="152" t="s">
        <v>786</v>
      </c>
    </row>
    <row r="265" spans="4:21">
      <c r="D265" s="210"/>
      <c r="E265" s="210" t="s">
        <v>670</v>
      </c>
      <c r="F265" s="684" t="str">
        <f>+VLOOKUP(G265,Resumen_Base!$C$8:$G$156,5,0)</f>
        <v>Gun Rental</v>
      </c>
      <c r="G265" s="152" t="s">
        <v>303</v>
      </c>
      <c r="H265" s="474" t="s">
        <v>304</v>
      </c>
      <c r="I265" s="152" t="str">
        <f t="shared" si="3"/>
        <v>SJ4120</v>
      </c>
      <c r="J265" s="847">
        <v>-365300</v>
      </c>
      <c r="K265" s="513">
        <v>-260</v>
      </c>
      <c r="L265" s="513">
        <v>1405</v>
      </c>
      <c r="M265" s="152" t="s">
        <v>7975</v>
      </c>
      <c r="N265" s="513" t="s">
        <v>1566</v>
      </c>
      <c r="O265" s="513" t="s">
        <v>781</v>
      </c>
      <c r="P265" s="513" t="s">
        <v>8002</v>
      </c>
      <c r="Q265" s="518" t="s">
        <v>7796</v>
      </c>
      <c r="R265" s="152" t="s">
        <v>8003</v>
      </c>
      <c r="S265" s="152" t="s">
        <v>8000</v>
      </c>
      <c r="T265" s="152" t="s">
        <v>8004</v>
      </c>
      <c r="U265" s="152" t="s">
        <v>786</v>
      </c>
    </row>
    <row r="266" spans="4:21">
      <c r="D266" s="210"/>
      <c r="E266" s="210" t="s">
        <v>670</v>
      </c>
      <c r="F266" s="684" t="str">
        <f>+VLOOKUP(G266,Resumen_Base!$C$8:$G$156,5,0)</f>
        <v>Gun Rental</v>
      </c>
      <c r="G266" s="152" t="s">
        <v>303</v>
      </c>
      <c r="H266" s="474" t="s">
        <v>304</v>
      </c>
      <c r="I266" s="152" t="str">
        <f t="shared" si="3"/>
        <v>SJ4120</v>
      </c>
      <c r="J266" s="847">
        <v>-547950</v>
      </c>
      <c r="K266" s="513">
        <v>-390</v>
      </c>
      <c r="L266" s="513">
        <v>1405</v>
      </c>
      <c r="M266" s="152" t="s">
        <v>7975</v>
      </c>
      <c r="N266" s="513" t="s">
        <v>1566</v>
      </c>
      <c r="O266" s="513" t="s">
        <v>781</v>
      </c>
      <c r="P266" s="513" t="s">
        <v>8005</v>
      </c>
      <c r="Q266" s="518" t="s">
        <v>7796</v>
      </c>
      <c r="R266" s="152" t="s">
        <v>8006</v>
      </c>
      <c r="S266" s="152" t="s">
        <v>8000</v>
      </c>
      <c r="T266" s="152" t="s">
        <v>8007</v>
      </c>
      <c r="U266" s="152" t="s">
        <v>786</v>
      </c>
    </row>
    <row r="267" spans="4:21">
      <c r="D267" s="210"/>
      <c r="E267" s="210" t="s">
        <v>670</v>
      </c>
      <c r="F267" s="684" t="str">
        <f>+VLOOKUP(G267,Resumen_Base!$C$8:$G$156,5,0)</f>
        <v>Gun Rental</v>
      </c>
      <c r="G267" s="152" t="s">
        <v>303</v>
      </c>
      <c r="H267" s="474" t="s">
        <v>304</v>
      </c>
      <c r="I267" s="152" t="str">
        <f t="shared" si="3"/>
        <v>SJ4120</v>
      </c>
      <c r="J267" s="847">
        <v>-547950</v>
      </c>
      <c r="K267" s="513">
        <v>-390</v>
      </c>
      <c r="L267" s="513">
        <v>1405</v>
      </c>
      <c r="M267" s="152" t="s">
        <v>7975</v>
      </c>
      <c r="N267" s="513" t="s">
        <v>1566</v>
      </c>
      <c r="O267" s="513" t="s">
        <v>781</v>
      </c>
      <c r="P267" s="513" t="s">
        <v>8008</v>
      </c>
      <c r="Q267" s="518" t="s">
        <v>7796</v>
      </c>
      <c r="R267" s="152" t="s">
        <v>8009</v>
      </c>
      <c r="S267" s="152" t="s">
        <v>8000</v>
      </c>
      <c r="T267" s="152" t="s">
        <v>8010</v>
      </c>
      <c r="U267" s="152" t="s">
        <v>786</v>
      </c>
    </row>
    <row r="268" spans="4:21">
      <c r="D268" s="210"/>
      <c r="E268" s="210" t="s">
        <v>670</v>
      </c>
      <c r="F268" s="684" t="str">
        <f>+VLOOKUP(G268,Resumen_Base!$C$8:$G$156,5,0)</f>
        <v>Gun Rental</v>
      </c>
      <c r="G268" s="152" t="s">
        <v>303</v>
      </c>
      <c r="H268" s="474" t="s">
        <v>304</v>
      </c>
      <c r="I268" s="152" t="str">
        <f t="shared" si="3"/>
        <v>SJ4120</v>
      </c>
      <c r="J268" s="847">
        <v>-365300</v>
      </c>
      <c r="K268" s="513">
        <v>-260</v>
      </c>
      <c r="L268" s="513">
        <v>1405</v>
      </c>
      <c r="M268" s="152" t="s">
        <v>7975</v>
      </c>
      <c r="N268" s="513" t="s">
        <v>1566</v>
      </c>
      <c r="O268" s="513" t="s">
        <v>781</v>
      </c>
      <c r="P268" s="513" t="s">
        <v>8011</v>
      </c>
      <c r="Q268" s="518" t="s">
        <v>7796</v>
      </c>
      <c r="R268" s="152" t="s">
        <v>8012</v>
      </c>
      <c r="S268" s="152" t="s">
        <v>8000</v>
      </c>
      <c r="T268" s="152" t="s">
        <v>8013</v>
      </c>
      <c r="U268" s="152" t="s">
        <v>786</v>
      </c>
    </row>
    <row r="269" spans="4:21">
      <c r="D269" s="210"/>
      <c r="E269" s="210" t="s">
        <v>670</v>
      </c>
      <c r="F269" s="684" t="str">
        <f>+VLOOKUP(G269,Resumen_Base!$C$8:$G$156,5,0)</f>
        <v>Gun Rental</v>
      </c>
      <c r="G269" s="152" t="s">
        <v>303</v>
      </c>
      <c r="H269" s="474" t="s">
        <v>304</v>
      </c>
      <c r="I269" s="152" t="str">
        <f t="shared" ref="I269:I332" si="4">+E269&amp;G269</f>
        <v>SJ4120</v>
      </c>
      <c r="J269" s="847">
        <v>-547950</v>
      </c>
      <c r="K269" s="513">
        <v>-390</v>
      </c>
      <c r="L269" s="513">
        <v>1405</v>
      </c>
      <c r="M269" s="152" t="s">
        <v>7975</v>
      </c>
      <c r="N269" s="513" t="s">
        <v>1566</v>
      </c>
      <c r="O269" s="513" t="s">
        <v>781</v>
      </c>
      <c r="P269" s="513" t="s">
        <v>8014</v>
      </c>
      <c r="Q269" s="518" t="s">
        <v>7796</v>
      </c>
      <c r="R269" s="152" t="s">
        <v>8015</v>
      </c>
      <c r="S269" s="152" t="s">
        <v>8000</v>
      </c>
      <c r="T269" s="152" t="s">
        <v>8016</v>
      </c>
      <c r="U269" s="152" t="s">
        <v>786</v>
      </c>
    </row>
    <row r="270" spans="4:21">
      <c r="D270" s="210"/>
      <c r="E270" s="210" t="s">
        <v>670</v>
      </c>
      <c r="F270" s="684" t="str">
        <f>+VLOOKUP(G270,Resumen_Base!$C$8:$G$156,5,0)</f>
        <v>Gun Rental</v>
      </c>
      <c r="G270" s="152" t="s">
        <v>303</v>
      </c>
      <c r="H270" s="474" t="s">
        <v>304</v>
      </c>
      <c r="I270" s="152" t="str">
        <f t="shared" si="4"/>
        <v>SJ4120</v>
      </c>
      <c r="J270" s="847">
        <v>-730600</v>
      </c>
      <c r="K270" s="513">
        <v>-520</v>
      </c>
      <c r="L270" s="513">
        <v>1405</v>
      </c>
      <c r="M270" s="152" t="s">
        <v>7975</v>
      </c>
      <c r="N270" s="513" t="s">
        <v>1566</v>
      </c>
      <c r="O270" s="513" t="s">
        <v>781</v>
      </c>
      <c r="P270" s="513" t="s">
        <v>8017</v>
      </c>
      <c r="Q270" s="518" t="s">
        <v>7796</v>
      </c>
      <c r="R270" s="152" t="s">
        <v>8018</v>
      </c>
      <c r="S270" s="152" t="s">
        <v>8019</v>
      </c>
      <c r="T270" s="152" t="s">
        <v>8020</v>
      </c>
      <c r="U270" s="152" t="s">
        <v>786</v>
      </c>
    </row>
    <row r="271" spans="4:21">
      <c r="D271" s="210"/>
      <c r="E271" s="210" t="s">
        <v>670</v>
      </c>
      <c r="F271" s="684" t="str">
        <f>+VLOOKUP(G271,Resumen_Base!$C$8:$G$156,5,0)</f>
        <v>Gun Rental</v>
      </c>
      <c r="G271" s="152" t="s">
        <v>303</v>
      </c>
      <c r="H271" s="474" t="s">
        <v>304</v>
      </c>
      <c r="I271" s="152" t="str">
        <f t="shared" si="4"/>
        <v>SJ4120</v>
      </c>
      <c r="J271" s="847">
        <v>-730600</v>
      </c>
      <c r="K271" s="513">
        <v>-520</v>
      </c>
      <c r="L271" s="513">
        <v>1405</v>
      </c>
      <c r="M271" s="152" t="s">
        <v>7975</v>
      </c>
      <c r="N271" s="513" t="s">
        <v>1566</v>
      </c>
      <c r="O271" s="513" t="s">
        <v>781</v>
      </c>
      <c r="P271" s="513" t="s">
        <v>8021</v>
      </c>
      <c r="Q271" s="518" t="s">
        <v>7796</v>
      </c>
      <c r="R271" s="152" t="s">
        <v>8022</v>
      </c>
      <c r="S271" s="152" t="s">
        <v>8019</v>
      </c>
      <c r="T271" s="152" t="s">
        <v>8023</v>
      </c>
      <c r="U271" s="152" t="s">
        <v>786</v>
      </c>
    </row>
    <row r="272" spans="4:21">
      <c r="D272" s="210"/>
      <c r="E272" s="210" t="s">
        <v>670</v>
      </c>
      <c r="F272" s="684" t="str">
        <f>+VLOOKUP(G272,Resumen_Base!$C$8:$G$156,5,0)</f>
        <v>Gun Rental</v>
      </c>
      <c r="G272" s="152" t="s">
        <v>303</v>
      </c>
      <c r="H272" s="474" t="s">
        <v>304</v>
      </c>
      <c r="I272" s="152" t="str">
        <f t="shared" si="4"/>
        <v>SJ4120</v>
      </c>
      <c r="J272" s="847">
        <v>-730600</v>
      </c>
      <c r="K272" s="513">
        <v>-520</v>
      </c>
      <c r="L272" s="513">
        <v>1405</v>
      </c>
      <c r="M272" s="152" t="s">
        <v>7975</v>
      </c>
      <c r="N272" s="513" t="s">
        <v>1566</v>
      </c>
      <c r="O272" s="513" t="s">
        <v>781</v>
      </c>
      <c r="P272" s="513" t="s">
        <v>8024</v>
      </c>
      <c r="Q272" s="518" t="s">
        <v>7796</v>
      </c>
      <c r="R272" s="152" t="s">
        <v>8025</v>
      </c>
      <c r="S272" s="152" t="s">
        <v>8019</v>
      </c>
      <c r="T272" s="152" t="s">
        <v>8026</v>
      </c>
      <c r="U272" s="152" t="s">
        <v>786</v>
      </c>
    </row>
    <row r="273" spans="4:21">
      <c r="D273" s="210"/>
      <c r="E273" s="210" t="s">
        <v>670</v>
      </c>
      <c r="F273" s="684" t="str">
        <f>+VLOOKUP(G273,Resumen_Base!$C$8:$G$156,5,0)</f>
        <v>Gun Rental</v>
      </c>
      <c r="G273" s="152" t="s">
        <v>303</v>
      </c>
      <c r="H273" s="474" t="s">
        <v>304</v>
      </c>
      <c r="I273" s="152" t="str">
        <f t="shared" si="4"/>
        <v>SJ4120</v>
      </c>
      <c r="J273" s="847">
        <v>-730600</v>
      </c>
      <c r="K273" s="513">
        <v>-520</v>
      </c>
      <c r="L273" s="513">
        <v>1405</v>
      </c>
      <c r="M273" s="152" t="s">
        <v>7975</v>
      </c>
      <c r="N273" s="513" t="s">
        <v>1566</v>
      </c>
      <c r="O273" s="513" t="s">
        <v>781</v>
      </c>
      <c r="P273" s="513" t="s">
        <v>8027</v>
      </c>
      <c r="Q273" s="518" t="s">
        <v>7796</v>
      </c>
      <c r="R273" s="152" t="s">
        <v>8028</v>
      </c>
      <c r="S273" s="152" t="s">
        <v>8019</v>
      </c>
      <c r="T273" s="152" t="s">
        <v>8029</v>
      </c>
      <c r="U273" s="152" t="s">
        <v>786</v>
      </c>
    </row>
    <row r="274" spans="4:21">
      <c r="D274" s="210"/>
      <c r="E274" s="210" t="s">
        <v>670</v>
      </c>
      <c r="F274" s="684" t="str">
        <f>+VLOOKUP(G274,Resumen_Base!$C$8:$G$156,5,0)</f>
        <v>Gun Rental</v>
      </c>
      <c r="G274" s="152" t="s">
        <v>303</v>
      </c>
      <c r="H274" s="474" t="s">
        <v>304</v>
      </c>
      <c r="I274" s="152" t="str">
        <f t="shared" si="4"/>
        <v>SJ4120</v>
      </c>
      <c r="J274" s="847">
        <v>-1476800</v>
      </c>
      <c r="K274" s="513">
        <v>-1040</v>
      </c>
      <c r="L274" s="513">
        <v>1420</v>
      </c>
      <c r="M274" s="152" t="s">
        <v>7143</v>
      </c>
      <c r="N274" s="513" t="s">
        <v>1566</v>
      </c>
      <c r="O274" s="513" t="s">
        <v>781</v>
      </c>
      <c r="P274" s="513" t="s">
        <v>8070</v>
      </c>
      <c r="Q274" s="518" t="s">
        <v>7796</v>
      </c>
      <c r="R274" s="152" t="s">
        <v>8071</v>
      </c>
      <c r="S274" s="152" t="s">
        <v>8072</v>
      </c>
      <c r="T274" s="152" t="s">
        <v>8073</v>
      </c>
      <c r="U274" s="152" t="s">
        <v>786</v>
      </c>
    </row>
    <row r="275" spans="4:21">
      <c r="D275" s="210"/>
      <c r="E275" s="210" t="s">
        <v>670</v>
      </c>
      <c r="F275" s="684" t="str">
        <f>+VLOOKUP(G275,Resumen_Base!$C$8:$G$156,5,0)</f>
        <v>Gun Rental</v>
      </c>
      <c r="G275" s="152" t="s">
        <v>303</v>
      </c>
      <c r="H275" s="474" t="s">
        <v>304</v>
      </c>
      <c r="I275" s="152" t="str">
        <f t="shared" si="4"/>
        <v>SJ4120</v>
      </c>
      <c r="J275" s="847">
        <v>-1476800</v>
      </c>
      <c r="K275" s="513">
        <v>-1040</v>
      </c>
      <c r="L275" s="513">
        <v>1420</v>
      </c>
      <c r="M275" s="152" t="s">
        <v>7143</v>
      </c>
      <c r="N275" s="513" t="s">
        <v>1566</v>
      </c>
      <c r="O275" s="513" t="s">
        <v>781</v>
      </c>
      <c r="P275" s="513" t="s">
        <v>8083</v>
      </c>
      <c r="Q275" s="518" t="s">
        <v>7796</v>
      </c>
      <c r="R275" s="152" t="s">
        <v>8084</v>
      </c>
      <c r="S275" s="152" t="s">
        <v>8072</v>
      </c>
      <c r="T275" s="152" t="s">
        <v>8085</v>
      </c>
      <c r="U275" s="152" t="s">
        <v>786</v>
      </c>
    </row>
    <row r="276" spans="4:21">
      <c r="D276" s="210"/>
      <c r="E276" s="210" t="s">
        <v>676</v>
      </c>
      <c r="F276" s="684" t="str">
        <f>+VLOOKUP(G276,Resumen_Base!$C$8:$G$156,5,0)</f>
        <v>Gun Rental</v>
      </c>
      <c r="G276" s="152" t="s">
        <v>303</v>
      </c>
      <c r="H276" s="474" t="s">
        <v>304</v>
      </c>
      <c r="I276" s="152" t="str">
        <f t="shared" si="4"/>
        <v>CAR4120</v>
      </c>
      <c r="J276" s="847">
        <v>-639275</v>
      </c>
      <c r="K276" s="513">
        <v>-455</v>
      </c>
      <c r="L276" s="513">
        <v>1405</v>
      </c>
      <c r="M276" s="152" t="s">
        <v>7808</v>
      </c>
      <c r="N276" s="513" t="s">
        <v>1566</v>
      </c>
      <c r="O276" s="513" t="s">
        <v>1407</v>
      </c>
      <c r="P276" s="513" t="s">
        <v>7809</v>
      </c>
      <c r="Q276" s="518" t="s">
        <v>7796</v>
      </c>
      <c r="R276" s="152" t="s">
        <v>7810</v>
      </c>
      <c r="S276" s="152" t="s">
        <v>7811</v>
      </c>
      <c r="T276" s="152" t="s">
        <v>7812</v>
      </c>
      <c r="U276" s="152" t="s">
        <v>786</v>
      </c>
    </row>
    <row r="277" spans="4:21">
      <c r="D277" s="210"/>
      <c r="E277" s="210" t="s">
        <v>676</v>
      </c>
      <c r="F277" s="684" t="str">
        <f>+VLOOKUP(G277,Resumen_Base!$C$8:$G$156,5,0)</f>
        <v>Gun Rental</v>
      </c>
      <c r="G277" s="152" t="s">
        <v>303</v>
      </c>
      <c r="H277" s="474" t="s">
        <v>304</v>
      </c>
      <c r="I277" s="152" t="str">
        <f t="shared" si="4"/>
        <v>CAR4120</v>
      </c>
      <c r="J277" s="847">
        <v>-639275</v>
      </c>
      <c r="K277" s="513">
        <v>-455</v>
      </c>
      <c r="L277" s="513">
        <v>1405</v>
      </c>
      <c r="M277" s="152" t="s">
        <v>7808</v>
      </c>
      <c r="N277" s="513" t="s">
        <v>1566</v>
      </c>
      <c r="O277" s="513" t="s">
        <v>1407</v>
      </c>
      <c r="P277" s="513" t="s">
        <v>7813</v>
      </c>
      <c r="Q277" s="518" t="s">
        <v>7796</v>
      </c>
      <c r="R277" s="152" t="s">
        <v>7814</v>
      </c>
      <c r="S277" s="152" t="s">
        <v>7811</v>
      </c>
      <c r="T277" s="152" t="s">
        <v>7815</v>
      </c>
      <c r="U277" s="152" t="s">
        <v>786</v>
      </c>
    </row>
    <row r="278" spans="4:21">
      <c r="D278" s="210"/>
      <c r="E278" s="210" t="s">
        <v>676</v>
      </c>
      <c r="F278" s="684" t="str">
        <f>+VLOOKUP(G278,Resumen_Base!$C$8:$G$156,5,0)</f>
        <v>Gun Rental</v>
      </c>
      <c r="G278" s="152" t="s">
        <v>303</v>
      </c>
      <c r="H278" s="474" t="s">
        <v>304</v>
      </c>
      <c r="I278" s="152" t="str">
        <f t="shared" si="4"/>
        <v>CAR4120</v>
      </c>
      <c r="J278" s="847">
        <v>-456625</v>
      </c>
      <c r="K278" s="513">
        <v>-325</v>
      </c>
      <c r="L278" s="513">
        <v>1405</v>
      </c>
      <c r="M278" s="152" t="s">
        <v>7808</v>
      </c>
      <c r="N278" s="513" t="s">
        <v>1566</v>
      </c>
      <c r="O278" s="513" t="s">
        <v>1407</v>
      </c>
      <c r="P278" s="513" t="s">
        <v>7816</v>
      </c>
      <c r="Q278" s="518" t="s">
        <v>7796</v>
      </c>
      <c r="R278" s="152" t="s">
        <v>7817</v>
      </c>
      <c r="S278" s="152" t="s">
        <v>7818</v>
      </c>
      <c r="T278" s="152" t="s">
        <v>7819</v>
      </c>
      <c r="U278" s="152" t="s">
        <v>786</v>
      </c>
    </row>
    <row r="279" spans="4:21">
      <c r="D279" s="210"/>
      <c r="E279" s="210" t="s">
        <v>676</v>
      </c>
      <c r="F279" s="684" t="str">
        <f>+VLOOKUP(G279,Resumen_Base!$C$8:$G$156,5,0)</f>
        <v>Gun Rental</v>
      </c>
      <c r="G279" s="152" t="s">
        <v>303</v>
      </c>
      <c r="H279" s="474" t="s">
        <v>304</v>
      </c>
      <c r="I279" s="152" t="str">
        <f t="shared" si="4"/>
        <v>CAR4120</v>
      </c>
      <c r="J279" s="847">
        <v>-365300</v>
      </c>
      <c r="K279" s="513">
        <v>-260</v>
      </c>
      <c r="L279" s="513">
        <v>1405</v>
      </c>
      <c r="M279" s="152" t="s">
        <v>7808</v>
      </c>
      <c r="N279" s="513" t="s">
        <v>1566</v>
      </c>
      <c r="O279" s="513" t="s">
        <v>1407</v>
      </c>
      <c r="P279" s="513" t="s">
        <v>7820</v>
      </c>
      <c r="Q279" s="518" t="s">
        <v>7796</v>
      </c>
      <c r="R279" s="152" t="s">
        <v>7821</v>
      </c>
      <c r="S279" s="152" t="s">
        <v>7818</v>
      </c>
      <c r="T279" s="152" t="s">
        <v>7822</v>
      </c>
      <c r="U279" s="152" t="s">
        <v>786</v>
      </c>
    </row>
    <row r="280" spans="4:21">
      <c r="D280" s="210"/>
      <c r="E280" s="210" t="s">
        <v>676</v>
      </c>
      <c r="F280" s="684" t="str">
        <f>+VLOOKUP(G280,Resumen_Base!$C$8:$G$156,5,0)</f>
        <v>Gun Rental</v>
      </c>
      <c r="G280" s="152" t="s">
        <v>303</v>
      </c>
      <c r="H280" s="474" t="s">
        <v>304</v>
      </c>
      <c r="I280" s="152" t="str">
        <f t="shared" si="4"/>
        <v>CAR4120</v>
      </c>
      <c r="J280" s="847">
        <v>-547950</v>
      </c>
      <c r="K280" s="513">
        <v>-390</v>
      </c>
      <c r="L280" s="513">
        <v>1405</v>
      </c>
      <c r="M280" s="152" t="s">
        <v>7808</v>
      </c>
      <c r="N280" s="513" t="s">
        <v>1566</v>
      </c>
      <c r="O280" s="513" t="s">
        <v>1407</v>
      </c>
      <c r="P280" s="513" t="s">
        <v>7823</v>
      </c>
      <c r="Q280" s="518" t="s">
        <v>7796</v>
      </c>
      <c r="R280" s="152" t="s">
        <v>7824</v>
      </c>
      <c r="S280" s="152" t="s">
        <v>7818</v>
      </c>
      <c r="T280" s="152" t="s">
        <v>7825</v>
      </c>
      <c r="U280" s="152" t="s">
        <v>786</v>
      </c>
    </row>
    <row r="281" spans="4:21">
      <c r="D281" s="210"/>
      <c r="E281" s="210" t="s">
        <v>676</v>
      </c>
      <c r="F281" s="684" t="str">
        <f>+VLOOKUP(G281,Resumen_Base!$C$8:$G$156,5,0)</f>
        <v>Gun Rental</v>
      </c>
      <c r="G281" s="152" t="s">
        <v>303</v>
      </c>
      <c r="H281" s="474" t="s">
        <v>304</v>
      </c>
      <c r="I281" s="152" t="str">
        <f t="shared" si="4"/>
        <v>CAR4120</v>
      </c>
      <c r="J281" s="847">
        <v>-182650</v>
      </c>
      <c r="K281" s="513">
        <v>-130</v>
      </c>
      <c r="L281" s="513">
        <v>1405</v>
      </c>
      <c r="M281" s="152" t="s">
        <v>7808</v>
      </c>
      <c r="N281" s="513" t="s">
        <v>1566</v>
      </c>
      <c r="O281" s="513" t="s">
        <v>1407</v>
      </c>
      <c r="P281" s="513" t="s">
        <v>7826</v>
      </c>
      <c r="Q281" s="518" t="s">
        <v>7796</v>
      </c>
      <c r="R281" s="152" t="s">
        <v>7827</v>
      </c>
      <c r="S281" s="152" t="s">
        <v>7818</v>
      </c>
      <c r="T281" s="152" t="s">
        <v>7828</v>
      </c>
      <c r="U281" s="152" t="s">
        <v>786</v>
      </c>
    </row>
    <row r="282" spans="4:21">
      <c r="D282" s="210"/>
      <c r="E282" s="210" t="s">
        <v>676</v>
      </c>
      <c r="F282" s="684" t="str">
        <f>+VLOOKUP(G282,Resumen_Base!$C$8:$G$156,5,0)</f>
        <v>Gun Rental</v>
      </c>
      <c r="G282" s="152" t="s">
        <v>303</v>
      </c>
      <c r="H282" s="474" t="s">
        <v>304</v>
      </c>
      <c r="I282" s="152" t="str">
        <f t="shared" si="4"/>
        <v>CAR4120</v>
      </c>
      <c r="J282" s="847">
        <v>-365300</v>
      </c>
      <c r="K282" s="513">
        <v>-260</v>
      </c>
      <c r="L282" s="513">
        <v>1405</v>
      </c>
      <c r="M282" s="152" t="s">
        <v>7808</v>
      </c>
      <c r="N282" s="513" t="s">
        <v>1566</v>
      </c>
      <c r="O282" s="513" t="s">
        <v>1407</v>
      </c>
      <c r="P282" s="513" t="s">
        <v>7833</v>
      </c>
      <c r="Q282" s="518" t="s">
        <v>7796</v>
      </c>
      <c r="R282" s="152" t="s">
        <v>7834</v>
      </c>
      <c r="S282" s="152" t="s">
        <v>7831</v>
      </c>
      <c r="T282" s="152" t="s">
        <v>7835</v>
      </c>
      <c r="U282" s="152" t="s">
        <v>786</v>
      </c>
    </row>
    <row r="283" spans="4:21">
      <c r="D283" s="210"/>
      <c r="E283" s="210" t="s">
        <v>676</v>
      </c>
      <c r="F283" s="684" t="str">
        <f>+VLOOKUP(G283,Resumen_Base!$C$8:$G$156,5,0)</f>
        <v>Gun Rental</v>
      </c>
      <c r="G283" s="152" t="s">
        <v>303</v>
      </c>
      <c r="H283" s="474" t="s">
        <v>304</v>
      </c>
      <c r="I283" s="152" t="str">
        <f t="shared" si="4"/>
        <v>CAR4120</v>
      </c>
      <c r="J283" s="847">
        <v>-547950</v>
      </c>
      <c r="K283" s="513">
        <v>-390</v>
      </c>
      <c r="L283" s="513">
        <v>1405</v>
      </c>
      <c r="M283" s="152" t="s">
        <v>7808</v>
      </c>
      <c r="N283" s="513" t="s">
        <v>1566</v>
      </c>
      <c r="O283" s="513" t="s">
        <v>1407</v>
      </c>
      <c r="P283" s="513" t="s">
        <v>7836</v>
      </c>
      <c r="Q283" s="518" t="s">
        <v>7796</v>
      </c>
      <c r="R283" s="152" t="s">
        <v>7837</v>
      </c>
      <c r="S283" s="152" t="s">
        <v>7831</v>
      </c>
      <c r="T283" s="152" t="s">
        <v>7838</v>
      </c>
      <c r="U283" s="152" t="s">
        <v>786</v>
      </c>
    </row>
    <row r="284" spans="4:21">
      <c r="D284" s="210"/>
      <c r="E284" s="210" t="s">
        <v>676</v>
      </c>
      <c r="F284" s="684" t="str">
        <f>+VLOOKUP(G284,Resumen_Base!$C$8:$G$156,5,0)</f>
        <v>Gun Rental</v>
      </c>
      <c r="G284" s="152" t="s">
        <v>303</v>
      </c>
      <c r="H284" s="474" t="s">
        <v>304</v>
      </c>
      <c r="I284" s="152" t="str">
        <f t="shared" si="4"/>
        <v>CAR4120</v>
      </c>
      <c r="J284" s="847">
        <v>-547950</v>
      </c>
      <c r="K284" s="513">
        <v>-390</v>
      </c>
      <c r="L284" s="513">
        <v>1405</v>
      </c>
      <c r="M284" s="152" t="s">
        <v>7808</v>
      </c>
      <c r="N284" s="513" t="s">
        <v>1566</v>
      </c>
      <c r="O284" s="513" t="s">
        <v>1407</v>
      </c>
      <c r="P284" s="513" t="s">
        <v>7839</v>
      </c>
      <c r="Q284" s="518" t="s">
        <v>7796</v>
      </c>
      <c r="R284" s="152" t="s">
        <v>7840</v>
      </c>
      <c r="S284" s="152" t="s">
        <v>7831</v>
      </c>
      <c r="T284" s="152" t="s">
        <v>7841</v>
      </c>
      <c r="U284" s="152" t="s">
        <v>786</v>
      </c>
    </row>
    <row r="285" spans="4:21">
      <c r="D285" s="210"/>
      <c r="E285" s="210" t="s">
        <v>676</v>
      </c>
      <c r="F285" s="684" t="str">
        <f>+VLOOKUP(G285,Resumen_Base!$C$8:$G$156,5,0)</f>
        <v>Gun Rental</v>
      </c>
      <c r="G285" s="152" t="s">
        <v>303</v>
      </c>
      <c r="H285" s="474" t="s">
        <v>304</v>
      </c>
      <c r="I285" s="152" t="str">
        <f t="shared" si="4"/>
        <v>CAR4120</v>
      </c>
      <c r="J285" s="847">
        <v>-730600</v>
      </c>
      <c r="K285" s="513">
        <v>-520</v>
      </c>
      <c r="L285" s="513">
        <v>1405</v>
      </c>
      <c r="M285" s="152" t="s">
        <v>7116</v>
      </c>
      <c r="N285" s="513" t="s">
        <v>1566</v>
      </c>
      <c r="O285" s="513" t="s">
        <v>1407</v>
      </c>
      <c r="P285" s="513" t="s">
        <v>7893</v>
      </c>
      <c r="Q285" s="518" t="s">
        <v>7796</v>
      </c>
      <c r="R285" s="152" t="s">
        <v>7894</v>
      </c>
      <c r="S285" s="152" t="s">
        <v>7895</v>
      </c>
      <c r="T285" s="152" t="s">
        <v>7896</v>
      </c>
      <c r="U285" s="152" t="s">
        <v>786</v>
      </c>
    </row>
    <row r="286" spans="4:21">
      <c r="D286" s="210"/>
      <c r="E286" s="210" t="s">
        <v>676</v>
      </c>
      <c r="F286" s="684" t="str">
        <f>+VLOOKUP(G286,Resumen_Base!$C$8:$G$156,5,0)</f>
        <v>Gun Rental</v>
      </c>
      <c r="G286" s="152" t="s">
        <v>303</v>
      </c>
      <c r="H286" s="474" t="s">
        <v>304</v>
      </c>
      <c r="I286" s="152" t="str">
        <f t="shared" si="4"/>
        <v>CAR4120</v>
      </c>
      <c r="J286" s="847">
        <v>-730600</v>
      </c>
      <c r="K286" s="513">
        <v>-520</v>
      </c>
      <c r="L286" s="513">
        <v>1405</v>
      </c>
      <c r="M286" s="152" t="s">
        <v>7116</v>
      </c>
      <c r="N286" s="513" t="s">
        <v>1566</v>
      </c>
      <c r="O286" s="513" t="s">
        <v>1407</v>
      </c>
      <c r="P286" s="513" t="s">
        <v>7897</v>
      </c>
      <c r="Q286" s="518" t="s">
        <v>7796</v>
      </c>
      <c r="R286" s="152" t="s">
        <v>7898</v>
      </c>
      <c r="S286" s="152" t="s">
        <v>7895</v>
      </c>
      <c r="T286" s="152" t="s">
        <v>7899</v>
      </c>
      <c r="U286" s="152" t="s">
        <v>786</v>
      </c>
    </row>
    <row r="287" spans="4:21">
      <c r="D287" s="210"/>
      <c r="E287" s="210" t="s">
        <v>676</v>
      </c>
      <c r="F287" s="684" t="str">
        <f>+VLOOKUP(G287,Resumen_Base!$C$8:$G$156,5,0)</f>
        <v>Gun Rental</v>
      </c>
      <c r="G287" s="152" t="s">
        <v>303</v>
      </c>
      <c r="H287" s="474" t="s">
        <v>304</v>
      </c>
      <c r="I287" s="152" t="str">
        <f t="shared" si="4"/>
        <v>CAR4120</v>
      </c>
      <c r="J287" s="847">
        <v>-730600</v>
      </c>
      <c r="K287" s="513">
        <v>-520</v>
      </c>
      <c r="L287" s="513">
        <v>1405</v>
      </c>
      <c r="M287" s="152" t="s">
        <v>7116</v>
      </c>
      <c r="N287" s="513" t="s">
        <v>1566</v>
      </c>
      <c r="O287" s="513" t="s">
        <v>1407</v>
      </c>
      <c r="P287" s="513" t="s">
        <v>7900</v>
      </c>
      <c r="Q287" s="518" t="s">
        <v>7796</v>
      </c>
      <c r="R287" s="152" t="s">
        <v>7901</v>
      </c>
      <c r="S287" s="152" t="s">
        <v>7895</v>
      </c>
      <c r="T287" s="152" t="s">
        <v>7902</v>
      </c>
      <c r="U287" s="152" t="s">
        <v>786</v>
      </c>
    </row>
    <row r="288" spans="4:21">
      <c r="D288" s="210"/>
      <c r="E288" s="210" t="s">
        <v>676</v>
      </c>
      <c r="F288" s="684" t="str">
        <f>+VLOOKUP(G288,Resumen_Base!$C$8:$G$156,5,0)</f>
        <v>Gun Rental</v>
      </c>
      <c r="G288" s="152" t="s">
        <v>303</v>
      </c>
      <c r="H288" s="474" t="s">
        <v>304</v>
      </c>
      <c r="I288" s="152" t="str">
        <f t="shared" si="4"/>
        <v>CAR4120</v>
      </c>
      <c r="J288" s="847">
        <v>-730600</v>
      </c>
      <c r="K288" s="513">
        <v>-520</v>
      </c>
      <c r="L288" s="513">
        <v>1405</v>
      </c>
      <c r="M288" s="152" t="s">
        <v>7116</v>
      </c>
      <c r="N288" s="513" t="s">
        <v>1566</v>
      </c>
      <c r="O288" s="513" t="s">
        <v>1407</v>
      </c>
      <c r="P288" s="513" t="s">
        <v>7903</v>
      </c>
      <c r="Q288" s="518" t="s">
        <v>7796</v>
      </c>
      <c r="R288" s="152" t="s">
        <v>7904</v>
      </c>
      <c r="S288" s="152" t="s">
        <v>7895</v>
      </c>
      <c r="T288" s="152" t="s">
        <v>7905</v>
      </c>
      <c r="U288" s="152" t="s">
        <v>786</v>
      </c>
    </row>
    <row r="289" spans="4:21">
      <c r="D289" s="210"/>
      <c r="E289" s="210" t="s">
        <v>676</v>
      </c>
      <c r="F289" s="684" t="str">
        <f>+VLOOKUP(G289,Resumen_Base!$C$8:$G$156,5,0)</f>
        <v>Gun Rental</v>
      </c>
      <c r="G289" s="152" t="s">
        <v>303</v>
      </c>
      <c r="H289" s="474" t="s">
        <v>304</v>
      </c>
      <c r="I289" s="152" t="str">
        <f t="shared" si="4"/>
        <v>CAR4120</v>
      </c>
      <c r="J289" s="847">
        <v>-639275</v>
      </c>
      <c r="K289" s="513">
        <v>-455</v>
      </c>
      <c r="L289" s="513">
        <v>1405</v>
      </c>
      <c r="M289" s="152" t="s">
        <v>7116</v>
      </c>
      <c r="N289" s="513" t="s">
        <v>1566</v>
      </c>
      <c r="O289" s="513" t="s">
        <v>1407</v>
      </c>
      <c r="P289" s="513" t="s">
        <v>7906</v>
      </c>
      <c r="Q289" s="518" t="s">
        <v>7796</v>
      </c>
      <c r="R289" s="152" t="s">
        <v>7907</v>
      </c>
      <c r="S289" s="152" t="s">
        <v>7908</v>
      </c>
      <c r="T289" s="152" t="s">
        <v>7909</v>
      </c>
      <c r="U289" s="152" t="s">
        <v>786</v>
      </c>
    </row>
    <row r="290" spans="4:21">
      <c r="D290" s="210"/>
      <c r="E290" s="210" t="s">
        <v>676</v>
      </c>
      <c r="F290" s="684" t="str">
        <f>+VLOOKUP(G290,Resumen_Base!$C$8:$G$156,5,0)</f>
        <v>Gun Rental</v>
      </c>
      <c r="G290" s="152" t="s">
        <v>303</v>
      </c>
      <c r="H290" s="474" t="s">
        <v>304</v>
      </c>
      <c r="I290" s="152" t="str">
        <f t="shared" si="4"/>
        <v>CAR4120</v>
      </c>
      <c r="J290" s="847">
        <v>-639275</v>
      </c>
      <c r="K290" s="513">
        <v>-455</v>
      </c>
      <c r="L290" s="513">
        <v>1405</v>
      </c>
      <c r="M290" s="152" t="s">
        <v>7116</v>
      </c>
      <c r="N290" s="513" t="s">
        <v>1566</v>
      </c>
      <c r="O290" s="513" t="s">
        <v>1407</v>
      </c>
      <c r="P290" s="513" t="s">
        <v>7910</v>
      </c>
      <c r="Q290" s="518" t="s">
        <v>7796</v>
      </c>
      <c r="R290" s="152" t="s">
        <v>7911</v>
      </c>
      <c r="S290" s="152" t="s">
        <v>7908</v>
      </c>
      <c r="T290" s="152" t="s">
        <v>7912</v>
      </c>
      <c r="U290" s="152" t="s">
        <v>786</v>
      </c>
    </row>
    <row r="291" spans="4:21">
      <c r="D291" s="210"/>
      <c r="E291" s="210" t="s">
        <v>676</v>
      </c>
      <c r="F291" s="684" t="str">
        <f>+VLOOKUP(G291,Resumen_Base!$C$8:$G$156,5,0)</f>
        <v>Gun Rental</v>
      </c>
      <c r="G291" s="152" t="s">
        <v>303</v>
      </c>
      <c r="H291" s="474" t="s">
        <v>304</v>
      </c>
      <c r="I291" s="152" t="str">
        <f t="shared" si="4"/>
        <v>CAR4120</v>
      </c>
      <c r="J291" s="847">
        <v>-639275</v>
      </c>
      <c r="K291" s="513">
        <v>-455</v>
      </c>
      <c r="L291" s="513">
        <v>1405</v>
      </c>
      <c r="M291" s="152" t="s">
        <v>7116</v>
      </c>
      <c r="N291" s="513" t="s">
        <v>1566</v>
      </c>
      <c r="O291" s="513" t="s">
        <v>1407</v>
      </c>
      <c r="P291" s="513" t="s">
        <v>7913</v>
      </c>
      <c r="Q291" s="518" t="s">
        <v>7796</v>
      </c>
      <c r="R291" s="152" t="s">
        <v>7914</v>
      </c>
      <c r="S291" s="152" t="s">
        <v>7908</v>
      </c>
      <c r="T291" s="152" t="s">
        <v>7915</v>
      </c>
      <c r="U291" s="152" t="s">
        <v>786</v>
      </c>
    </row>
    <row r="292" spans="4:21">
      <c r="D292" s="210"/>
      <c r="E292" s="210" t="s">
        <v>676</v>
      </c>
      <c r="F292" s="684" t="str">
        <f>+VLOOKUP(G292,Resumen_Base!$C$8:$G$156,5,0)</f>
        <v>Gun Rental</v>
      </c>
      <c r="G292" s="152" t="s">
        <v>303</v>
      </c>
      <c r="H292" s="474" t="s">
        <v>304</v>
      </c>
      <c r="I292" s="152" t="str">
        <f t="shared" si="4"/>
        <v>CAR4120</v>
      </c>
      <c r="J292" s="847">
        <v>-639275</v>
      </c>
      <c r="K292" s="513">
        <v>-455</v>
      </c>
      <c r="L292" s="513">
        <v>1405</v>
      </c>
      <c r="M292" s="152" t="s">
        <v>7116</v>
      </c>
      <c r="N292" s="513" t="s">
        <v>1566</v>
      </c>
      <c r="O292" s="513" t="s">
        <v>1407</v>
      </c>
      <c r="P292" s="513" t="s">
        <v>7916</v>
      </c>
      <c r="Q292" s="518" t="s">
        <v>7796</v>
      </c>
      <c r="R292" s="152" t="s">
        <v>7917</v>
      </c>
      <c r="S292" s="152" t="s">
        <v>7908</v>
      </c>
      <c r="T292" s="152" t="s">
        <v>7918</v>
      </c>
      <c r="U292" s="152" t="s">
        <v>786</v>
      </c>
    </row>
    <row r="293" spans="4:21">
      <c r="D293" s="210"/>
      <c r="E293" s="210" t="s">
        <v>676</v>
      </c>
      <c r="F293" s="684" t="str">
        <f>+VLOOKUP(G293,Resumen_Base!$C$8:$G$156,5,0)</f>
        <v>Gun Rental</v>
      </c>
      <c r="G293" s="152" t="s">
        <v>303</v>
      </c>
      <c r="H293" s="474" t="s">
        <v>304</v>
      </c>
      <c r="I293" s="152" t="str">
        <f t="shared" si="4"/>
        <v>CAR4120</v>
      </c>
      <c r="J293" s="847">
        <v>-639275</v>
      </c>
      <c r="K293" s="513">
        <v>-455</v>
      </c>
      <c r="L293" s="513">
        <v>1405</v>
      </c>
      <c r="M293" s="152" t="s">
        <v>7116</v>
      </c>
      <c r="N293" s="513" t="s">
        <v>1566</v>
      </c>
      <c r="O293" s="513" t="s">
        <v>1407</v>
      </c>
      <c r="P293" s="513" t="s">
        <v>7932</v>
      </c>
      <c r="Q293" s="518" t="s">
        <v>7796</v>
      </c>
      <c r="R293" s="152" t="s">
        <v>7933</v>
      </c>
      <c r="S293" s="152" t="s">
        <v>7934</v>
      </c>
      <c r="T293" s="152" t="s">
        <v>7935</v>
      </c>
      <c r="U293" s="152" t="s">
        <v>786</v>
      </c>
    </row>
    <row r="294" spans="4:21">
      <c r="D294" s="210"/>
      <c r="E294" s="210" t="s">
        <v>676</v>
      </c>
      <c r="F294" s="684" t="str">
        <f>+VLOOKUP(G294,Resumen_Base!$C$8:$G$156,5,0)</f>
        <v>Gun Rental</v>
      </c>
      <c r="G294" s="152" t="s">
        <v>303</v>
      </c>
      <c r="H294" s="474" t="s">
        <v>304</v>
      </c>
      <c r="I294" s="152" t="str">
        <f t="shared" si="4"/>
        <v>CAR4120</v>
      </c>
      <c r="J294" s="847">
        <v>-639275</v>
      </c>
      <c r="K294" s="513">
        <v>-455</v>
      </c>
      <c r="L294" s="513">
        <v>1405</v>
      </c>
      <c r="M294" s="152" t="s">
        <v>7116</v>
      </c>
      <c r="N294" s="513" t="s">
        <v>1566</v>
      </c>
      <c r="O294" s="513" t="s">
        <v>1407</v>
      </c>
      <c r="P294" s="513" t="s">
        <v>7936</v>
      </c>
      <c r="Q294" s="518" t="s">
        <v>7796</v>
      </c>
      <c r="R294" s="152" t="s">
        <v>7937</v>
      </c>
      <c r="S294" s="152" t="s">
        <v>7934</v>
      </c>
      <c r="T294" s="152" t="s">
        <v>7938</v>
      </c>
      <c r="U294" s="152" t="s">
        <v>786</v>
      </c>
    </row>
    <row r="295" spans="4:21">
      <c r="D295" s="210"/>
      <c r="E295" s="210" t="s">
        <v>676</v>
      </c>
      <c r="F295" s="684" t="str">
        <f>+VLOOKUP(G295,Resumen_Base!$C$8:$G$156,5,0)</f>
        <v>Gun Rental</v>
      </c>
      <c r="G295" s="152" t="s">
        <v>303</v>
      </c>
      <c r="H295" s="474" t="s">
        <v>304</v>
      </c>
      <c r="I295" s="152" t="str">
        <f t="shared" si="4"/>
        <v>CAR4120</v>
      </c>
      <c r="J295" s="847">
        <v>-547950</v>
      </c>
      <c r="K295" s="513">
        <v>-390</v>
      </c>
      <c r="L295" s="513">
        <v>1405</v>
      </c>
      <c r="M295" s="152" t="s">
        <v>7116</v>
      </c>
      <c r="N295" s="513" t="s">
        <v>1566</v>
      </c>
      <c r="O295" s="513" t="s">
        <v>1407</v>
      </c>
      <c r="P295" s="513" t="s">
        <v>7939</v>
      </c>
      <c r="Q295" s="518" t="s">
        <v>7796</v>
      </c>
      <c r="R295" s="152" t="s">
        <v>7940</v>
      </c>
      <c r="S295" s="152" t="s">
        <v>7941</v>
      </c>
      <c r="T295" s="152" t="s">
        <v>7942</v>
      </c>
      <c r="U295" s="152" t="s">
        <v>786</v>
      </c>
    </row>
    <row r="296" spans="4:21">
      <c r="D296" s="210"/>
      <c r="E296" s="210" t="s">
        <v>676</v>
      </c>
      <c r="F296" s="684" t="str">
        <f>+VLOOKUP(G296,Resumen_Base!$C$8:$G$156,5,0)</f>
        <v>Gun Rental</v>
      </c>
      <c r="G296" s="152" t="s">
        <v>303</v>
      </c>
      <c r="H296" s="474" t="s">
        <v>304</v>
      </c>
      <c r="I296" s="152" t="str">
        <f t="shared" si="4"/>
        <v>CAR4120</v>
      </c>
      <c r="J296" s="847">
        <v>-456625</v>
      </c>
      <c r="K296" s="513">
        <v>-325</v>
      </c>
      <c r="L296" s="513">
        <v>1405</v>
      </c>
      <c r="M296" s="152" t="s">
        <v>7975</v>
      </c>
      <c r="N296" s="513" t="s">
        <v>1566</v>
      </c>
      <c r="O296" s="513" t="s">
        <v>1407</v>
      </c>
      <c r="P296" s="513" t="s">
        <v>7976</v>
      </c>
      <c r="Q296" s="518" t="s">
        <v>7796</v>
      </c>
      <c r="R296" s="152" t="s">
        <v>7977</v>
      </c>
      <c r="S296" s="152" t="s">
        <v>7978</v>
      </c>
      <c r="T296" s="152" t="s">
        <v>7979</v>
      </c>
      <c r="U296" s="152" t="s">
        <v>786</v>
      </c>
    </row>
    <row r="297" spans="4:21">
      <c r="D297" s="210"/>
      <c r="E297" s="210" t="s">
        <v>676</v>
      </c>
      <c r="F297" s="684" t="str">
        <f>+VLOOKUP(G297,Resumen_Base!$C$8:$G$156,5,0)</f>
        <v>Gun Rental</v>
      </c>
      <c r="G297" s="152" t="s">
        <v>303</v>
      </c>
      <c r="H297" s="474" t="s">
        <v>304</v>
      </c>
      <c r="I297" s="152" t="str">
        <f t="shared" si="4"/>
        <v>CAR4120</v>
      </c>
      <c r="J297" s="847">
        <v>-639275</v>
      </c>
      <c r="K297" s="513">
        <v>-455</v>
      </c>
      <c r="L297" s="513">
        <v>1405</v>
      </c>
      <c r="M297" s="152" t="s">
        <v>7975</v>
      </c>
      <c r="N297" s="513" t="s">
        <v>1566</v>
      </c>
      <c r="O297" s="513" t="s">
        <v>1407</v>
      </c>
      <c r="P297" s="513" t="s">
        <v>7980</v>
      </c>
      <c r="Q297" s="518" t="s">
        <v>7796</v>
      </c>
      <c r="R297" s="152" t="s">
        <v>7981</v>
      </c>
      <c r="S297" s="152" t="s">
        <v>7978</v>
      </c>
      <c r="T297" s="152" t="s">
        <v>7982</v>
      </c>
      <c r="U297" s="152" t="s">
        <v>786</v>
      </c>
    </row>
    <row r="298" spans="4:21">
      <c r="D298" s="210"/>
      <c r="E298" s="210" t="s">
        <v>676</v>
      </c>
      <c r="F298" s="684" t="str">
        <f>+VLOOKUP(G298,Resumen_Base!$C$8:$G$156,5,0)</f>
        <v>Gun Rental</v>
      </c>
      <c r="G298" s="152" t="s">
        <v>303</v>
      </c>
      <c r="H298" s="474" t="s">
        <v>304</v>
      </c>
      <c r="I298" s="152" t="str">
        <f t="shared" si="4"/>
        <v>CAR4120</v>
      </c>
      <c r="J298" s="847">
        <v>-639275</v>
      </c>
      <c r="K298" s="513">
        <v>-455</v>
      </c>
      <c r="L298" s="513">
        <v>1405</v>
      </c>
      <c r="M298" s="152" t="s">
        <v>7975</v>
      </c>
      <c r="N298" s="513" t="s">
        <v>1566</v>
      </c>
      <c r="O298" s="513" t="s">
        <v>1407</v>
      </c>
      <c r="P298" s="513" t="s">
        <v>7983</v>
      </c>
      <c r="Q298" s="518" t="s">
        <v>7796</v>
      </c>
      <c r="R298" s="152" t="s">
        <v>7984</v>
      </c>
      <c r="S298" s="152" t="s">
        <v>7978</v>
      </c>
      <c r="T298" s="152" t="s">
        <v>7985</v>
      </c>
      <c r="U298" s="152" t="s">
        <v>786</v>
      </c>
    </row>
    <row r="299" spans="4:21">
      <c r="D299" s="210"/>
      <c r="E299" s="210" t="s">
        <v>676</v>
      </c>
      <c r="F299" s="684" t="str">
        <f>+VLOOKUP(G299,Resumen_Base!$C$8:$G$156,5,0)</f>
        <v>Gun Rental</v>
      </c>
      <c r="G299" s="152" t="s">
        <v>303</v>
      </c>
      <c r="H299" s="474" t="s">
        <v>304</v>
      </c>
      <c r="I299" s="152" t="str">
        <f t="shared" si="4"/>
        <v>CAR4120</v>
      </c>
      <c r="J299" s="847">
        <v>-821925</v>
      </c>
      <c r="K299" s="513">
        <v>-585</v>
      </c>
      <c r="L299" s="513">
        <v>1405</v>
      </c>
      <c r="M299" s="152" t="s">
        <v>7975</v>
      </c>
      <c r="N299" s="513" t="s">
        <v>1566</v>
      </c>
      <c r="O299" s="513" t="s">
        <v>1407</v>
      </c>
      <c r="P299" s="513" t="s">
        <v>7986</v>
      </c>
      <c r="Q299" s="518" t="s">
        <v>7796</v>
      </c>
      <c r="R299" s="152" t="s">
        <v>7987</v>
      </c>
      <c r="S299" s="152" t="s">
        <v>7978</v>
      </c>
      <c r="T299" s="152" t="s">
        <v>7988</v>
      </c>
      <c r="U299" s="152" t="s">
        <v>786</v>
      </c>
    </row>
    <row r="300" spans="4:21">
      <c r="D300" s="210"/>
      <c r="E300" s="210" t="s">
        <v>676</v>
      </c>
      <c r="F300" s="684" t="str">
        <f>+VLOOKUP(G300,Resumen_Base!$C$8:$G$156,5,0)</f>
        <v>Gun Rental</v>
      </c>
      <c r="G300" s="152" t="s">
        <v>303</v>
      </c>
      <c r="H300" s="474" t="s">
        <v>304</v>
      </c>
      <c r="I300" s="152" t="str">
        <f t="shared" si="4"/>
        <v>CAR4120</v>
      </c>
      <c r="J300" s="847">
        <v>-639275</v>
      </c>
      <c r="K300" s="513">
        <v>-455</v>
      </c>
      <c r="L300" s="513">
        <v>1405</v>
      </c>
      <c r="M300" s="152" t="s">
        <v>7975</v>
      </c>
      <c r="N300" s="513" t="s">
        <v>1566</v>
      </c>
      <c r="O300" s="513" t="s">
        <v>1407</v>
      </c>
      <c r="P300" s="513" t="s">
        <v>7989</v>
      </c>
      <c r="Q300" s="518" t="s">
        <v>7796</v>
      </c>
      <c r="R300" s="152" t="s">
        <v>7990</v>
      </c>
      <c r="S300" s="152" t="s">
        <v>7978</v>
      </c>
      <c r="T300" s="152" t="s">
        <v>7991</v>
      </c>
      <c r="U300" s="152" t="s">
        <v>786</v>
      </c>
    </row>
    <row r="301" spans="4:21">
      <c r="D301" s="210"/>
      <c r="E301" s="210" t="s">
        <v>676</v>
      </c>
      <c r="F301" s="684" t="str">
        <f>+VLOOKUP(G301,Resumen_Base!$C$8:$G$156,5,0)</f>
        <v>Gun Rental</v>
      </c>
      <c r="G301" s="152" t="s">
        <v>303</v>
      </c>
      <c r="H301" s="474" t="s">
        <v>304</v>
      </c>
      <c r="I301" s="152" t="str">
        <f t="shared" si="4"/>
        <v>CAR4120</v>
      </c>
      <c r="J301" s="847">
        <v>-639275</v>
      </c>
      <c r="K301" s="513">
        <v>-455</v>
      </c>
      <c r="L301" s="513">
        <v>1405</v>
      </c>
      <c r="M301" s="152" t="s">
        <v>7975</v>
      </c>
      <c r="N301" s="513" t="s">
        <v>1566</v>
      </c>
      <c r="O301" s="513" t="s">
        <v>1407</v>
      </c>
      <c r="P301" s="513" t="s">
        <v>7992</v>
      </c>
      <c r="Q301" s="518" t="s">
        <v>7796</v>
      </c>
      <c r="R301" s="152" t="s">
        <v>7993</v>
      </c>
      <c r="S301" s="152" t="s">
        <v>7978</v>
      </c>
      <c r="T301" s="152" t="s">
        <v>7994</v>
      </c>
      <c r="U301" s="152" t="s">
        <v>786</v>
      </c>
    </row>
    <row r="302" spans="4:21">
      <c r="D302" s="210"/>
      <c r="E302" s="210" t="s">
        <v>676</v>
      </c>
      <c r="F302" s="684" t="str">
        <f>+VLOOKUP(G302,Resumen_Base!$C$8:$G$156,5,0)</f>
        <v>Gun Rental</v>
      </c>
      <c r="G302" s="152" t="s">
        <v>303</v>
      </c>
      <c r="H302" s="474" t="s">
        <v>304</v>
      </c>
      <c r="I302" s="152" t="str">
        <f t="shared" si="4"/>
        <v>CAR4120</v>
      </c>
      <c r="J302" s="847">
        <v>-821925</v>
      </c>
      <c r="K302" s="513">
        <v>-585</v>
      </c>
      <c r="L302" s="513">
        <v>1405</v>
      </c>
      <c r="M302" s="152" t="s">
        <v>7975</v>
      </c>
      <c r="N302" s="513" t="s">
        <v>1566</v>
      </c>
      <c r="O302" s="513" t="s">
        <v>1407</v>
      </c>
      <c r="P302" s="513" t="s">
        <v>7995</v>
      </c>
      <c r="Q302" s="518" t="s">
        <v>7796</v>
      </c>
      <c r="R302" s="152" t="s">
        <v>7996</v>
      </c>
      <c r="S302" s="152" t="s">
        <v>7978</v>
      </c>
      <c r="T302" s="152" t="s">
        <v>7997</v>
      </c>
      <c r="U302" s="152" t="s">
        <v>786</v>
      </c>
    </row>
    <row r="303" spans="4:21">
      <c r="D303" s="210"/>
      <c r="E303" s="210" t="s">
        <v>676</v>
      </c>
      <c r="F303" s="684" t="str">
        <f>+VLOOKUP(G303,Resumen_Base!$C$8:$G$156,5,0)</f>
        <v>Gun Rental</v>
      </c>
      <c r="G303" s="152" t="s">
        <v>303</v>
      </c>
      <c r="H303" s="474" t="s">
        <v>304</v>
      </c>
      <c r="I303" s="152" t="str">
        <f t="shared" si="4"/>
        <v>CAR4120</v>
      </c>
      <c r="J303" s="847">
        <v>-730600</v>
      </c>
      <c r="K303" s="513">
        <v>-520</v>
      </c>
      <c r="L303" s="513">
        <v>1405</v>
      </c>
      <c r="M303" s="152" t="s">
        <v>7975</v>
      </c>
      <c r="N303" s="513" t="s">
        <v>1566</v>
      </c>
      <c r="O303" s="513" t="s">
        <v>1407</v>
      </c>
      <c r="P303" s="513" t="s">
        <v>8030</v>
      </c>
      <c r="Q303" s="518" t="s">
        <v>7796</v>
      </c>
      <c r="R303" s="152" t="s">
        <v>8031</v>
      </c>
      <c r="S303" s="152" t="s">
        <v>8032</v>
      </c>
      <c r="T303" s="152" t="s">
        <v>8033</v>
      </c>
      <c r="U303" s="152" t="s">
        <v>786</v>
      </c>
    </row>
    <row r="304" spans="4:21">
      <c r="D304" s="210"/>
      <c r="E304" s="210" t="s">
        <v>676</v>
      </c>
      <c r="F304" s="684" t="str">
        <f>+VLOOKUP(G304,Resumen_Base!$C$8:$G$156,5,0)</f>
        <v>Gun Rental</v>
      </c>
      <c r="G304" s="152" t="s">
        <v>303</v>
      </c>
      <c r="H304" s="474" t="s">
        <v>304</v>
      </c>
      <c r="I304" s="152" t="str">
        <f t="shared" si="4"/>
        <v>CAR4120</v>
      </c>
      <c r="J304" s="847">
        <v>-730600</v>
      </c>
      <c r="K304" s="513">
        <v>-520</v>
      </c>
      <c r="L304" s="513">
        <v>1405</v>
      </c>
      <c r="M304" s="152" t="s">
        <v>7975</v>
      </c>
      <c r="N304" s="513" t="s">
        <v>1566</v>
      </c>
      <c r="O304" s="513" t="s">
        <v>1407</v>
      </c>
      <c r="P304" s="513" t="s">
        <v>8034</v>
      </c>
      <c r="Q304" s="518" t="s">
        <v>7796</v>
      </c>
      <c r="R304" s="152" t="s">
        <v>8035</v>
      </c>
      <c r="S304" s="152" t="s">
        <v>8032</v>
      </c>
      <c r="T304" s="152" t="s">
        <v>8036</v>
      </c>
      <c r="U304" s="152" t="s">
        <v>786</v>
      </c>
    </row>
    <row r="305" spans="4:21">
      <c r="D305" s="210"/>
      <c r="E305" s="210" t="s">
        <v>676</v>
      </c>
      <c r="F305" s="684" t="str">
        <f>+VLOOKUP(G305,Resumen_Base!$C$8:$G$156,5,0)</f>
        <v>Gun Rental</v>
      </c>
      <c r="G305" s="152" t="s">
        <v>303</v>
      </c>
      <c r="H305" s="474" t="s">
        <v>304</v>
      </c>
      <c r="I305" s="152" t="str">
        <f t="shared" si="4"/>
        <v>CAR4120</v>
      </c>
      <c r="J305" s="847">
        <v>-738400</v>
      </c>
      <c r="K305" s="513">
        <v>-520</v>
      </c>
      <c r="L305" s="513">
        <v>1420</v>
      </c>
      <c r="M305" s="152" t="s">
        <v>7143</v>
      </c>
      <c r="N305" s="513" t="s">
        <v>1566</v>
      </c>
      <c r="O305" s="513" t="s">
        <v>1407</v>
      </c>
      <c r="P305" s="513" t="s">
        <v>8037</v>
      </c>
      <c r="Q305" s="518" t="s">
        <v>7796</v>
      </c>
      <c r="R305" s="152" t="s">
        <v>8038</v>
      </c>
      <c r="S305" s="152" t="s">
        <v>8039</v>
      </c>
      <c r="T305" s="152" t="s">
        <v>8040</v>
      </c>
      <c r="U305" s="152" t="s">
        <v>786</v>
      </c>
    </row>
    <row r="306" spans="4:21">
      <c r="D306" s="210"/>
      <c r="E306" s="210" t="s">
        <v>676</v>
      </c>
      <c r="F306" s="684" t="str">
        <f>+VLOOKUP(G306,Resumen_Base!$C$8:$G$156,5,0)</f>
        <v>Gun Rental</v>
      </c>
      <c r="G306" s="152" t="s">
        <v>303</v>
      </c>
      <c r="H306" s="474" t="s">
        <v>304</v>
      </c>
      <c r="I306" s="152" t="str">
        <f t="shared" si="4"/>
        <v>CAR4120</v>
      </c>
      <c r="J306" s="847">
        <v>-738400</v>
      </c>
      <c r="K306" s="513">
        <v>-520</v>
      </c>
      <c r="L306" s="513">
        <v>1420</v>
      </c>
      <c r="M306" s="152" t="s">
        <v>7143</v>
      </c>
      <c r="N306" s="513" t="s">
        <v>1566</v>
      </c>
      <c r="O306" s="513" t="s">
        <v>1407</v>
      </c>
      <c r="P306" s="513" t="s">
        <v>8041</v>
      </c>
      <c r="Q306" s="518" t="s">
        <v>7796</v>
      </c>
      <c r="R306" s="152" t="s">
        <v>8042</v>
      </c>
      <c r="S306" s="152" t="s">
        <v>8039</v>
      </c>
      <c r="T306" s="152" t="s">
        <v>8043</v>
      </c>
      <c r="U306" s="152" t="s">
        <v>786</v>
      </c>
    </row>
    <row r="307" spans="4:21">
      <c r="D307" s="210"/>
      <c r="E307" s="210" t="s">
        <v>676</v>
      </c>
      <c r="F307" s="684" t="str">
        <f>+VLOOKUP(G307,Resumen_Base!$C$8:$G$156,5,0)</f>
        <v>Gun Rental</v>
      </c>
      <c r="G307" s="152" t="s">
        <v>303</v>
      </c>
      <c r="H307" s="474" t="s">
        <v>304</v>
      </c>
      <c r="I307" s="152" t="str">
        <f t="shared" si="4"/>
        <v>CAR4120</v>
      </c>
      <c r="J307" s="847">
        <v>-923000</v>
      </c>
      <c r="K307" s="513">
        <v>-650</v>
      </c>
      <c r="L307" s="513">
        <v>1420</v>
      </c>
      <c r="M307" s="152" t="s">
        <v>7143</v>
      </c>
      <c r="N307" s="513" t="s">
        <v>1566</v>
      </c>
      <c r="O307" s="513" t="s">
        <v>1407</v>
      </c>
      <c r="P307" s="513" t="s">
        <v>8044</v>
      </c>
      <c r="Q307" s="518" t="s">
        <v>7796</v>
      </c>
      <c r="R307" s="152" t="s">
        <v>8045</v>
      </c>
      <c r="S307" s="152" t="s">
        <v>8046</v>
      </c>
      <c r="T307" s="152" t="s">
        <v>8047</v>
      </c>
      <c r="U307" s="152" t="s">
        <v>786</v>
      </c>
    </row>
    <row r="308" spans="4:21">
      <c r="D308" s="210"/>
      <c r="E308" s="210" t="s">
        <v>676</v>
      </c>
      <c r="F308" s="684" t="str">
        <f>+VLOOKUP(G308,Resumen_Base!$C$8:$G$156,5,0)</f>
        <v>Gun Rental</v>
      </c>
      <c r="G308" s="152" t="s">
        <v>303</v>
      </c>
      <c r="H308" s="474" t="s">
        <v>304</v>
      </c>
      <c r="I308" s="152" t="str">
        <f t="shared" si="4"/>
        <v>CAR4120</v>
      </c>
      <c r="J308" s="847">
        <v>-923000</v>
      </c>
      <c r="K308" s="513">
        <v>-650</v>
      </c>
      <c r="L308" s="513">
        <v>1420</v>
      </c>
      <c r="M308" s="152" t="s">
        <v>7143</v>
      </c>
      <c r="N308" s="513" t="s">
        <v>1566</v>
      </c>
      <c r="O308" s="513" t="s">
        <v>1407</v>
      </c>
      <c r="P308" s="513" t="s">
        <v>8048</v>
      </c>
      <c r="Q308" s="518" t="s">
        <v>7796</v>
      </c>
      <c r="R308" s="152" t="s">
        <v>8049</v>
      </c>
      <c r="S308" s="152" t="s">
        <v>8046</v>
      </c>
      <c r="T308" s="152" t="s">
        <v>8050</v>
      </c>
      <c r="U308" s="152" t="s">
        <v>786</v>
      </c>
    </row>
    <row r="309" spans="4:21">
      <c r="D309" s="210"/>
      <c r="E309" s="210" t="s">
        <v>676</v>
      </c>
      <c r="F309" s="684" t="str">
        <f>+VLOOKUP(G309,Resumen_Base!$C$8:$G$156,5,0)</f>
        <v>Gun Rental</v>
      </c>
      <c r="G309" s="152" t="s">
        <v>303</v>
      </c>
      <c r="H309" s="474" t="s">
        <v>304</v>
      </c>
      <c r="I309" s="152" t="str">
        <f t="shared" si="4"/>
        <v>CAR4120</v>
      </c>
      <c r="J309" s="847">
        <v>-923000</v>
      </c>
      <c r="K309" s="513">
        <v>-650</v>
      </c>
      <c r="L309" s="513">
        <v>1420</v>
      </c>
      <c r="M309" s="152" t="s">
        <v>7143</v>
      </c>
      <c r="N309" s="513" t="s">
        <v>1566</v>
      </c>
      <c r="O309" s="513" t="s">
        <v>1407</v>
      </c>
      <c r="P309" s="513" t="s">
        <v>8051</v>
      </c>
      <c r="Q309" s="518" t="s">
        <v>7796</v>
      </c>
      <c r="R309" s="152" t="s">
        <v>8052</v>
      </c>
      <c r="S309" s="152" t="s">
        <v>8046</v>
      </c>
      <c r="T309" s="152" t="s">
        <v>8053</v>
      </c>
      <c r="U309" s="152" t="s">
        <v>786</v>
      </c>
    </row>
    <row r="310" spans="4:21">
      <c r="D310" s="210"/>
      <c r="E310" s="210" t="s">
        <v>676</v>
      </c>
      <c r="F310" s="684" t="str">
        <f>+VLOOKUP(G310,Resumen_Base!$C$8:$G$156,5,0)</f>
        <v>Gun Rental</v>
      </c>
      <c r="G310" s="152" t="s">
        <v>303</v>
      </c>
      <c r="H310" s="474" t="s">
        <v>304</v>
      </c>
      <c r="I310" s="152" t="str">
        <f t="shared" si="4"/>
        <v>CAR4120</v>
      </c>
      <c r="J310" s="847">
        <v>-923000</v>
      </c>
      <c r="K310" s="513">
        <v>-650</v>
      </c>
      <c r="L310" s="513">
        <v>1420</v>
      </c>
      <c r="M310" s="152" t="s">
        <v>7143</v>
      </c>
      <c r="N310" s="513" t="s">
        <v>1566</v>
      </c>
      <c r="O310" s="513" t="s">
        <v>1407</v>
      </c>
      <c r="P310" s="513" t="s">
        <v>8054</v>
      </c>
      <c r="Q310" s="518" t="s">
        <v>7796</v>
      </c>
      <c r="R310" s="152" t="s">
        <v>8055</v>
      </c>
      <c r="S310" s="152" t="s">
        <v>8046</v>
      </c>
      <c r="T310" s="152" t="s">
        <v>8056</v>
      </c>
      <c r="U310" s="152" t="s">
        <v>786</v>
      </c>
    </row>
    <row r="311" spans="4:21">
      <c r="D311" s="210"/>
      <c r="E311" s="210" t="s">
        <v>676</v>
      </c>
      <c r="F311" s="684" t="str">
        <f>+VLOOKUP(G311,Resumen_Base!$C$8:$G$156,5,0)</f>
        <v>Gun Rental</v>
      </c>
      <c r="G311" s="152" t="s">
        <v>303</v>
      </c>
      <c r="H311" s="474" t="s">
        <v>304</v>
      </c>
      <c r="I311" s="152" t="str">
        <f t="shared" si="4"/>
        <v>CAR4120</v>
      </c>
      <c r="J311" s="847">
        <v>-369200</v>
      </c>
      <c r="K311" s="513">
        <v>-260</v>
      </c>
      <c r="L311" s="513">
        <v>1420</v>
      </c>
      <c r="M311" s="152" t="s">
        <v>7143</v>
      </c>
      <c r="N311" s="513" t="s">
        <v>1566</v>
      </c>
      <c r="O311" s="513" t="s">
        <v>1407</v>
      </c>
      <c r="P311" s="513" t="s">
        <v>8057</v>
      </c>
      <c r="Q311" s="518" t="s">
        <v>7796</v>
      </c>
      <c r="R311" s="152" t="s">
        <v>8058</v>
      </c>
      <c r="S311" s="152" t="s">
        <v>8059</v>
      </c>
      <c r="T311" s="152" t="s">
        <v>8060</v>
      </c>
      <c r="U311" s="152" t="s">
        <v>786</v>
      </c>
    </row>
    <row r="312" spans="4:21">
      <c r="D312" s="210"/>
      <c r="E312" s="210" t="s">
        <v>676</v>
      </c>
      <c r="F312" s="684" t="str">
        <f>+VLOOKUP(G312,Resumen_Base!$C$8:$G$156,5,0)</f>
        <v>Gun Rental</v>
      </c>
      <c r="G312" s="152" t="s">
        <v>303</v>
      </c>
      <c r="H312" s="474" t="s">
        <v>304</v>
      </c>
      <c r="I312" s="152" t="str">
        <f t="shared" si="4"/>
        <v>CAR4120</v>
      </c>
      <c r="J312" s="847">
        <v>-369200</v>
      </c>
      <c r="K312" s="513">
        <v>-260</v>
      </c>
      <c r="L312" s="513">
        <v>1420</v>
      </c>
      <c r="M312" s="152" t="s">
        <v>7143</v>
      </c>
      <c r="N312" s="513" t="s">
        <v>1566</v>
      </c>
      <c r="O312" s="513" t="s">
        <v>1407</v>
      </c>
      <c r="P312" s="513" t="s">
        <v>8061</v>
      </c>
      <c r="Q312" s="518" t="s">
        <v>7796</v>
      </c>
      <c r="R312" s="152" t="s">
        <v>8062</v>
      </c>
      <c r="S312" s="152" t="s">
        <v>8059</v>
      </c>
      <c r="T312" s="152" t="s">
        <v>8063</v>
      </c>
      <c r="U312" s="152" t="s">
        <v>786</v>
      </c>
    </row>
    <row r="313" spans="4:21">
      <c r="D313" s="210"/>
      <c r="E313" s="210" t="s">
        <v>676</v>
      </c>
      <c r="F313" s="684" t="str">
        <f>+VLOOKUP(G313,Resumen_Base!$C$8:$G$156,5,0)</f>
        <v>Gun Rental</v>
      </c>
      <c r="G313" s="152" t="s">
        <v>303</v>
      </c>
      <c r="H313" s="474" t="s">
        <v>304</v>
      </c>
      <c r="I313" s="152" t="str">
        <f t="shared" si="4"/>
        <v>CAR4120</v>
      </c>
      <c r="J313" s="847">
        <v>-369200</v>
      </c>
      <c r="K313" s="513">
        <v>-260</v>
      </c>
      <c r="L313" s="513">
        <v>1420</v>
      </c>
      <c r="M313" s="152" t="s">
        <v>7143</v>
      </c>
      <c r="N313" s="513" t="s">
        <v>1566</v>
      </c>
      <c r="O313" s="513" t="s">
        <v>1407</v>
      </c>
      <c r="P313" s="513" t="s">
        <v>8064</v>
      </c>
      <c r="Q313" s="518" t="s">
        <v>7796</v>
      </c>
      <c r="R313" s="152" t="s">
        <v>8065</v>
      </c>
      <c r="S313" s="152" t="s">
        <v>8059</v>
      </c>
      <c r="T313" s="152" t="s">
        <v>8066</v>
      </c>
      <c r="U313" s="152" t="s">
        <v>786</v>
      </c>
    </row>
    <row r="314" spans="4:21">
      <c r="D314" s="210"/>
      <c r="E314" s="210" t="s">
        <v>676</v>
      </c>
      <c r="F314" s="684" t="str">
        <f>+VLOOKUP(G314,Resumen_Base!$C$8:$G$156,5,0)</f>
        <v>Gun Rental</v>
      </c>
      <c r="G314" s="152" t="s">
        <v>303</v>
      </c>
      <c r="H314" s="474" t="s">
        <v>304</v>
      </c>
      <c r="I314" s="152" t="str">
        <f t="shared" si="4"/>
        <v>CAR4120</v>
      </c>
      <c r="J314" s="847">
        <v>-369200</v>
      </c>
      <c r="K314" s="513">
        <v>-260</v>
      </c>
      <c r="L314" s="513">
        <v>1420</v>
      </c>
      <c r="M314" s="152" t="s">
        <v>7143</v>
      </c>
      <c r="N314" s="513" t="s">
        <v>1566</v>
      </c>
      <c r="O314" s="513" t="s">
        <v>1407</v>
      </c>
      <c r="P314" s="513" t="s">
        <v>8067</v>
      </c>
      <c r="Q314" s="518" t="s">
        <v>7796</v>
      </c>
      <c r="R314" s="152" t="s">
        <v>8068</v>
      </c>
      <c r="S314" s="152" t="s">
        <v>8059</v>
      </c>
      <c r="T314" s="152" t="s">
        <v>8069</v>
      </c>
      <c r="U314" s="152" t="s">
        <v>786</v>
      </c>
    </row>
    <row r="315" spans="4:21">
      <c r="D315" s="210"/>
      <c r="E315" s="210" t="s">
        <v>670</v>
      </c>
      <c r="F315" s="684" t="str">
        <f>+VLOOKUP(G315,Resumen_Base!$C$8:$G$156,5,0)</f>
        <v>Extras</v>
      </c>
      <c r="G315" s="152" t="s">
        <v>310</v>
      </c>
      <c r="H315" s="474" t="s">
        <v>311</v>
      </c>
      <c r="I315" s="152" t="str">
        <f t="shared" si="4"/>
        <v>SJ5104</v>
      </c>
      <c r="J315" s="847">
        <v>2740.6</v>
      </c>
      <c r="K315" s="513">
        <v>1.93</v>
      </c>
      <c r="L315" s="513">
        <v>1420</v>
      </c>
      <c r="M315" s="152" t="s">
        <v>7143</v>
      </c>
      <c r="N315" s="513" t="s">
        <v>780</v>
      </c>
      <c r="O315" s="513" t="s">
        <v>781</v>
      </c>
      <c r="P315" s="513" t="s">
        <v>7664</v>
      </c>
      <c r="Q315" s="518" t="s">
        <v>7101</v>
      </c>
      <c r="R315" s="152" t="s">
        <v>7665</v>
      </c>
      <c r="S315" s="152" t="s">
        <v>953</v>
      </c>
      <c r="T315" s="152" t="s">
        <v>7667</v>
      </c>
      <c r="U315" s="152" t="s">
        <v>786</v>
      </c>
    </row>
    <row r="316" spans="4:21">
      <c r="D316" s="210"/>
      <c r="E316" s="210" t="s">
        <v>670</v>
      </c>
      <c r="F316" s="684" t="str">
        <f>+VLOOKUP(G316,Resumen_Base!$C$8:$G$156,5,0)</f>
        <v>Extras</v>
      </c>
      <c r="G316" s="152" t="s">
        <v>310</v>
      </c>
      <c r="H316" s="474" t="s">
        <v>311</v>
      </c>
      <c r="I316" s="152" t="str">
        <f t="shared" si="4"/>
        <v>SJ5104</v>
      </c>
      <c r="J316" s="847">
        <v>207717.6</v>
      </c>
      <c r="K316" s="513">
        <v>146.28</v>
      </c>
      <c r="L316" s="513">
        <v>1420</v>
      </c>
      <c r="M316" s="152" t="s">
        <v>7143</v>
      </c>
      <c r="N316" s="513" t="s">
        <v>780</v>
      </c>
      <c r="O316" s="513" t="s">
        <v>781</v>
      </c>
      <c r="P316" s="513" t="s">
        <v>7664</v>
      </c>
      <c r="Q316" s="518" t="s">
        <v>7101</v>
      </c>
      <c r="R316" s="152" t="s">
        <v>7665</v>
      </c>
      <c r="S316" s="152" t="s">
        <v>7682</v>
      </c>
      <c r="T316" s="152" t="s">
        <v>7667</v>
      </c>
      <c r="U316" s="152" t="s">
        <v>786</v>
      </c>
    </row>
    <row r="317" spans="4:21">
      <c r="D317" s="210"/>
      <c r="E317" s="210" t="s">
        <v>676</v>
      </c>
      <c r="F317" s="684" t="str">
        <f>+VLOOKUP(G317,Resumen_Base!$C$8:$G$156,5,0)</f>
        <v>Extras</v>
      </c>
      <c r="G317" s="152" t="s">
        <v>310</v>
      </c>
      <c r="H317" s="474" t="s">
        <v>311</v>
      </c>
      <c r="I317" s="152" t="str">
        <f t="shared" si="4"/>
        <v>CAR5104</v>
      </c>
      <c r="J317" s="847">
        <v>231825</v>
      </c>
      <c r="K317" s="513">
        <v>165</v>
      </c>
      <c r="L317" s="513">
        <v>1405</v>
      </c>
      <c r="M317" s="152" t="s">
        <v>7116</v>
      </c>
      <c r="N317" s="513" t="s">
        <v>780</v>
      </c>
      <c r="O317" s="513" t="s">
        <v>1407</v>
      </c>
      <c r="P317" s="513" t="s">
        <v>7179</v>
      </c>
      <c r="Q317" s="518" t="s">
        <v>7101</v>
      </c>
      <c r="R317" s="152" t="s">
        <v>7180</v>
      </c>
      <c r="S317" s="152" t="s">
        <v>3948</v>
      </c>
      <c r="T317" s="152" t="s">
        <v>7182</v>
      </c>
      <c r="U317" s="152" t="s">
        <v>786</v>
      </c>
    </row>
    <row r="318" spans="4:21">
      <c r="D318" s="210"/>
      <c r="E318" s="210" t="s">
        <v>676</v>
      </c>
      <c r="F318" s="684" t="str">
        <f>+VLOOKUP(G318,Resumen_Base!$C$8:$G$156,5,0)</f>
        <v>Extras</v>
      </c>
      <c r="G318" s="152" t="s">
        <v>310</v>
      </c>
      <c r="H318" s="474" t="s">
        <v>311</v>
      </c>
      <c r="I318" s="152" t="str">
        <f t="shared" si="4"/>
        <v>CAR5104</v>
      </c>
      <c r="J318" s="847">
        <v>154550</v>
      </c>
      <c r="K318" s="513">
        <v>110</v>
      </c>
      <c r="L318" s="513">
        <v>1405</v>
      </c>
      <c r="M318" s="152" t="s">
        <v>7116</v>
      </c>
      <c r="N318" s="513" t="s">
        <v>780</v>
      </c>
      <c r="O318" s="513" t="s">
        <v>1407</v>
      </c>
      <c r="P318" s="513" t="s">
        <v>7179</v>
      </c>
      <c r="Q318" s="518" t="s">
        <v>7101</v>
      </c>
      <c r="R318" s="152" t="s">
        <v>7180</v>
      </c>
      <c r="S318" s="152" t="s">
        <v>3949</v>
      </c>
      <c r="T318" s="152" t="s">
        <v>7182</v>
      </c>
      <c r="U318" s="152" t="s">
        <v>786</v>
      </c>
    </row>
    <row r="319" spans="4:21">
      <c r="D319" s="210"/>
      <c r="E319" s="210" t="s">
        <v>676</v>
      </c>
      <c r="F319" s="684" t="str">
        <f>+VLOOKUP(G319,Resumen_Base!$C$8:$G$156,5,0)</f>
        <v>Extras</v>
      </c>
      <c r="G319" s="152" t="s">
        <v>310</v>
      </c>
      <c r="H319" s="474" t="s">
        <v>311</v>
      </c>
      <c r="I319" s="152" t="str">
        <f t="shared" si="4"/>
        <v>CAR5104</v>
      </c>
      <c r="J319" s="847">
        <v>231825</v>
      </c>
      <c r="K319" s="513">
        <v>165</v>
      </c>
      <c r="L319" s="513">
        <v>1405</v>
      </c>
      <c r="M319" s="152" t="s">
        <v>7116</v>
      </c>
      <c r="N319" s="513" t="s">
        <v>780</v>
      </c>
      <c r="O319" s="513" t="s">
        <v>1407</v>
      </c>
      <c r="P319" s="513" t="s">
        <v>7179</v>
      </c>
      <c r="Q319" s="518" t="s">
        <v>7101</v>
      </c>
      <c r="R319" s="152" t="s">
        <v>7180</v>
      </c>
      <c r="S319" s="152" t="s">
        <v>3951</v>
      </c>
      <c r="T319" s="152" t="s">
        <v>7182</v>
      </c>
      <c r="U319" s="152" t="s">
        <v>786</v>
      </c>
    </row>
    <row r="320" spans="4:21">
      <c r="D320" s="210"/>
      <c r="E320" s="210" t="s">
        <v>676</v>
      </c>
      <c r="F320" s="684" t="str">
        <f>+VLOOKUP(G320,Resumen_Base!$C$8:$G$156,5,0)</f>
        <v>Extras</v>
      </c>
      <c r="G320" s="152" t="s">
        <v>310</v>
      </c>
      <c r="H320" s="474" t="s">
        <v>311</v>
      </c>
      <c r="I320" s="152" t="str">
        <f t="shared" si="4"/>
        <v>CAR5104</v>
      </c>
      <c r="J320" s="847">
        <v>77275</v>
      </c>
      <c r="K320" s="513">
        <v>55</v>
      </c>
      <c r="L320" s="513">
        <v>1405</v>
      </c>
      <c r="M320" s="152" t="s">
        <v>7116</v>
      </c>
      <c r="N320" s="513" t="s">
        <v>780</v>
      </c>
      <c r="O320" s="513" t="s">
        <v>1407</v>
      </c>
      <c r="P320" s="513" t="s">
        <v>7179</v>
      </c>
      <c r="Q320" s="518" t="s">
        <v>7101</v>
      </c>
      <c r="R320" s="152" t="s">
        <v>7180</v>
      </c>
      <c r="S320" s="152" t="s">
        <v>3948</v>
      </c>
      <c r="T320" s="152" t="s">
        <v>7182</v>
      </c>
      <c r="U320" s="152" t="s">
        <v>786</v>
      </c>
    </row>
    <row r="321" spans="4:21">
      <c r="D321" s="210"/>
      <c r="E321" s="210" t="s">
        <v>676</v>
      </c>
      <c r="F321" s="684" t="str">
        <f>+VLOOKUP(G321,Resumen_Base!$C$8:$G$156,5,0)</f>
        <v>Extras</v>
      </c>
      <c r="G321" s="152" t="s">
        <v>310</v>
      </c>
      <c r="H321" s="474" t="s">
        <v>311</v>
      </c>
      <c r="I321" s="152" t="str">
        <f t="shared" si="4"/>
        <v>CAR5104</v>
      </c>
      <c r="J321" s="847">
        <v>154550</v>
      </c>
      <c r="K321" s="513">
        <v>110</v>
      </c>
      <c r="L321" s="513">
        <v>1405</v>
      </c>
      <c r="M321" s="152" t="s">
        <v>7116</v>
      </c>
      <c r="N321" s="513" t="s">
        <v>780</v>
      </c>
      <c r="O321" s="513" t="s">
        <v>1407</v>
      </c>
      <c r="P321" s="513" t="s">
        <v>7179</v>
      </c>
      <c r="Q321" s="518" t="s">
        <v>7101</v>
      </c>
      <c r="R321" s="152" t="s">
        <v>7180</v>
      </c>
      <c r="S321" s="152" t="s">
        <v>3948</v>
      </c>
      <c r="T321" s="152" t="s">
        <v>7182</v>
      </c>
      <c r="U321" s="152" t="s">
        <v>786</v>
      </c>
    </row>
    <row r="322" spans="4:21">
      <c r="D322" s="210"/>
      <c r="E322" s="210" t="s">
        <v>676</v>
      </c>
      <c r="F322" s="684" t="str">
        <f>+VLOOKUP(G322,Resumen_Base!$C$8:$G$156,5,0)</f>
        <v>Extras</v>
      </c>
      <c r="G322" s="152" t="s">
        <v>310</v>
      </c>
      <c r="H322" s="474" t="s">
        <v>311</v>
      </c>
      <c r="I322" s="152" t="str">
        <f t="shared" si="4"/>
        <v>CAR5104</v>
      </c>
      <c r="J322" s="847">
        <v>231825</v>
      </c>
      <c r="K322" s="513">
        <v>165</v>
      </c>
      <c r="L322" s="513">
        <v>1405</v>
      </c>
      <c r="M322" s="152" t="s">
        <v>7116</v>
      </c>
      <c r="N322" s="513" t="s">
        <v>780</v>
      </c>
      <c r="O322" s="513" t="s">
        <v>1407</v>
      </c>
      <c r="P322" s="513" t="s">
        <v>7179</v>
      </c>
      <c r="Q322" s="518" t="s">
        <v>7101</v>
      </c>
      <c r="R322" s="152" t="s">
        <v>7180</v>
      </c>
      <c r="S322" s="152" t="s">
        <v>3951</v>
      </c>
      <c r="T322" s="152" t="s">
        <v>7182</v>
      </c>
      <c r="U322" s="152" t="s">
        <v>786</v>
      </c>
    </row>
    <row r="323" spans="4:21">
      <c r="D323" s="210"/>
      <c r="E323" s="210" t="s">
        <v>676</v>
      </c>
      <c r="F323" s="684" t="str">
        <f>+VLOOKUP(G323,Resumen_Base!$C$8:$G$156,5,0)</f>
        <v>Extras</v>
      </c>
      <c r="G323" s="152" t="s">
        <v>310</v>
      </c>
      <c r="H323" s="474" t="s">
        <v>311</v>
      </c>
      <c r="I323" s="152" t="str">
        <f t="shared" si="4"/>
        <v>CAR5104</v>
      </c>
      <c r="J323" s="847">
        <v>231825</v>
      </c>
      <c r="K323" s="513">
        <v>165</v>
      </c>
      <c r="L323" s="513">
        <v>1405</v>
      </c>
      <c r="M323" s="152" t="s">
        <v>7143</v>
      </c>
      <c r="N323" s="513" t="s">
        <v>780</v>
      </c>
      <c r="O323" s="513" t="s">
        <v>1407</v>
      </c>
      <c r="P323" s="513" t="s">
        <v>7284</v>
      </c>
      <c r="Q323" s="518" t="s">
        <v>7101</v>
      </c>
      <c r="R323" s="152" t="s">
        <v>7285</v>
      </c>
      <c r="S323" s="152" t="s">
        <v>3951</v>
      </c>
      <c r="T323" s="152" t="s">
        <v>7287</v>
      </c>
      <c r="U323" s="152" t="s">
        <v>786</v>
      </c>
    </row>
    <row r="324" spans="4:21">
      <c r="D324" s="210"/>
      <c r="E324" s="210" t="s">
        <v>676</v>
      </c>
      <c r="F324" s="684" t="str">
        <f>+VLOOKUP(G324,Resumen_Base!$C$8:$G$156,5,0)</f>
        <v>Extras</v>
      </c>
      <c r="G324" s="152" t="s">
        <v>310</v>
      </c>
      <c r="H324" s="474" t="s">
        <v>311</v>
      </c>
      <c r="I324" s="152" t="str">
        <f t="shared" si="4"/>
        <v>CAR5104</v>
      </c>
      <c r="J324" s="847">
        <v>234300</v>
      </c>
      <c r="K324" s="513">
        <v>165</v>
      </c>
      <c r="L324" s="513">
        <v>1420</v>
      </c>
      <c r="M324" s="152" t="s">
        <v>7143</v>
      </c>
      <c r="N324" s="513" t="s">
        <v>780</v>
      </c>
      <c r="O324" s="513" t="s">
        <v>1407</v>
      </c>
      <c r="P324" s="513" t="s">
        <v>7284</v>
      </c>
      <c r="Q324" s="518" t="s">
        <v>7101</v>
      </c>
      <c r="R324" s="152" t="s">
        <v>7285</v>
      </c>
      <c r="S324" s="152" t="s">
        <v>3951</v>
      </c>
      <c r="T324" s="152" t="s">
        <v>7287</v>
      </c>
      <c r="U324" s="152" t="s">
        <v>786</v>
      </c>
    </row>
    <row r="325" spans="4:21">
      <c r="D325" s="210"/>
      <c r="E325" s="210" t="s">
        <v>676</v>
      </c>
      <c r="F325" s="684" t="str">
        <f>+VLOOKUP(G325,Resumen_Base!$C$8:$G$156,5,0)</f>
        <v>Extras</v>
      </c>
      <c r="G325" s="152" t="s">
        <v>310</v>
      </c>
      <c r="H325" s="474" t="s">
        <v>311</v>
      </c>
      <c r="I325" s="152" t="str">
        <f t="shared" si="4"/>
        <v>CAR5104</v>
      </c>
      <c r="J325" s="847">
        <v>154550</v>
      </c>
      <c r="K325" s="513">
        <v>110</v>
      </c>
      <c r="L325" s="513">
        <v>1405</v>
      </c>
      <c r="M325" s="152" t="s">
        <v>7143</v>
      </c>
      <c r="N325" s="513" t="s">
        <v>780</v>
      </c>
      <c r="O325" s="513" t="s">
        <v>1407</v>
      </c>
      <c r="P325" s="513" t="s">
        <v>7284</v>
      </c>
      <c r="Q325" s="518" t="s">
        <v>7101</v>
      </c>
      <c r="R325" s="152" t="s">
        <v>7285</v>
      </c>
      <c r="S325" s="152" t="s">
        <v>3949</v>
      </c>
      <c r="T325" s="152" t="s">
        <v>7287</v>
      </c>
      <c r="U325" s="152" t="s">
        <v>786</v>
      </c>
    </row>
    <row r="326" spans="4:21">
      <c r="D326" s="210"/>
      <c r="E326" s="210" t="s">
        <v>676</v>
      </c>
      <c r="F326" s="684" t="str">
        <f>+VLOOKUP(G326,Resumen_Base!$C$8:$G$156,5,0)</f>
        <v>Extras</v>
      </c>
      <c r="G326" s="152" t="s">
        <v>310</v>
      </c>
      <c r="H326" s="474" t="s">
        <v>311</v>
      </c>
      <c r="I326" s="152" t="str">
        <f t="shared" si="4"/>
        <v>CAR5104</v>
      </c>
      <c r="J326" s="847">
        <v>156200</v>
      </c>
      <c r="K326" s="513">
        <v>110</v>
      </c>
      <c r="L326" s="513">
        <v>1420</v>
      </c>
      <c r="M326" s="152" t="s">
        <v>7143</v>
      </c>
      <c r="N326" s="513" t="s">
        <v>780</v>
      </c>
      <c r="O326" s="513" t="s">
        <v>1407</v>
      </c>
      <c r="P326" s="513" t="s">
        <v>7284</v>
      </c>
      <c r="Q326" s="518" t="s">
        <v>7101</v>
      </c>
      <c r="R326" s="152" t="s">
        <v>7285</v>
      </c>
      <c r="S326" s="152" t="s">
        <v>3948</v>
      </c>
      <c r="T326" s="152" t="s">
        <v>7287</v>
      </c>
      <c r="U326" s="152" t="s">
        <v>786</v>
      </c>
    </row>
    <row r="327" spans="4:21">
      <c r="D327" s="210"/>
      <c r="E327" s="210" t="s">
        <v>676</v>
      </c>
      <c r="F327" s="684" t="str">
        <f>+VLOOKUP(G327,Resumen_Base!$C$8:$G$156,5,0)</f>
        <v>Extras</v>
      </c>
      <c r="G327" s="152" t="s">
        <v>310</v>
      </c>
      <c r="H327" s="474" t="s">
        <v>311</v>
      </c>
      <c r="I327" s="152" t="str">
        <f t="shared" si="4"/>
        <v>CAR5104</v>
      </c>
      <c r="J327" s="847">
        <v>154550</v>
      </c>
      <c r="K327" s="513">
        <v>110</v>
      </c>
      <c r="L327" s="513">
        <v>1405</v>
      </c>
      <c r="M327" s="152" t="s">
        <v>7143</v>
      </c>
      <c r="N327" s="513" t="s">
        <v>780</v>
      </c>
      <c r="O327" s="513" t="s">
        <v>1407</v>
      </c>
      <c r="P327" s="513" t="s">
        <v>7284</v>
      </c>
      <c r="Q327" s="518" t="s">
        <v>7101</v>
      </c>
      <c r="R327" s="152" t="s">
        <v>7285</v>
      </c>
      <c r="S327" s="152" t="s">
        <v>7312</v>
      </c>
      <c r="T327" s="152" t="s">
        <v>7287</v>
      </c>
      <c r="U327" s="152" t="s">
        <v>786</v>
      </c>
    </row>
    <row r="328" spans="4:21">
      <c r="D328" s="210"/>
      <c r="E328" s="210" t="s">
        <v>676</v>
      </c>
      <c r="F328" s="684" t="str">
        <f>+VLOOKUP(G328,Resumen_Base!$C$8:$G$156,5,0)</f>
        <v>Extras</v>
      </c>
      <c r="G328" s="152" t="s">
        <v>310</v>
      </c>
      <c r="H328" s="474" t="s">
        <v>311</v>
      </c>
      <c r="I328" s="152" t="str">
        <f t="shared" si="4"/>
        <v>CAR5104</v>
      </c>
      <c r="J328" s="847">
        <v>156200</v>
      </c>
      <c r="K328" s="513">
        <v>110</v>
      </c>
      <c r="L328" s="513">
        <v>1420</v>
      </c>
      <c r="M328" s="152" t="s">
        <v>7143</v>
      </c>
      <c r="N328" s="513" t="s">
        <v>780</v>
      </c>
      <c r="O328" s="513" t="s">
        <v>1407</v>
      </c>
      <c r="P328" s="513" t="s">
        <v>7284</v>
      </c>
      <c r="Q328" s="518" t="s">
        <v>7101</v>
      </c>
      <c r="R328" s="152" t="s">
        <v>7285</v>
      </c>
      <c r="S328" s="152" t="s">
        <v>3948</v>
      </c>
      <c r="T328" s="152" t="s">
        <v>7287</v>
      </c>
      <c r="U328" s="152" t="s">
        <v>786</v>
      </c>
    </row>
    <row r="329" spans="4:21">
      <c r="D329" s="210"/>
      <c r="E329" s="210" t="s">
        <v>670</v>
      </c>
      <c r="F329" s="684" t="str">
        <f>+VLOOKUP(G329,Resumen_Base!$C$8:$G$156,5,0)</f>
        <v>Field:</v>
      </c>
      <c r="G329" s="152" t="s">
        <v>133</v>
      </c>
      <c r="H329" s="474" t="s">
        <v>312</v>
      </c>
      <c r="I329" s="152" t="str">
        <f t="shared" si="4"/>
        <v>SJ5207</v>
      </c>
      <c r="J329" s="847">
        <v>1615750</v>
      </c>
      <c r="K329" s="513">
        <v>1150</v>
      </c>
      <c r="L329" s="513">
        <v>1405</v>
      </c>
      <c r="M329" s="152" t="s">
        <v>7116</v>
      </c>
      <c r="N329" s="513" t="s">
        <v>780</v>
      </c>
      <c r="O329" s="513" t="s">
        <v>781</v>
      </c>
      <c r="P329" s="513" t="s">
        <v>7179</v>
      </c>
      <c r="Q329" s="518" t="s">
        <v>7101</v>
      </c>
      <c r="R329" s="152" t="s">
        <v>7180</v>
      </c>
      <c r="S329" s="152" t="s">
        <v>7219</v>
      </c>
      <c r="T329" s="152" t="s">
        <v>7182</v>
      </c>
      <c r="U329" s="152" t="s">
        <v>786</v>
      </c>
    </row>
    <row r="330" spans="4:21">
      <c r="D330" s="210"/>
      <c r="E330" s="210" t="s">
        <v>670</v>
      </c>
      <c r="F330" s="684" t="str">
        <f>+VLOOKUP(G330,Resumen_Base!$C$8:$G$156,5,0)</f>
        <v>Field:</v>
      </c>
      <c r="G330" s="152" t="s">
        <v>133</v>
      </c>
      <c r="H330" s="474" t="s">
        <v>312</v>
      </c>
      <c r="I330" s="152" t="str">
        <f t="shared" si="4"/>
        <v>SJ5207</v>
      </c>
      <c r="J330" s="847">
        <v>70250</v>
      </c>
      <c r="K330" s="513">
        <v>50</v>
      </c>
      <c r="L330" s="513">
        <v>1405</v>
      </c>
      <c r="M330" s="152" t="s">
        <v>7116</v>
      </c>
      <c r="N330" s="513" t="s">
        <v>780</v>
      </c>
      <c r="O330" s="513" t="s">
        <v>781</v>
      </c>
      <c r="P330" s="513" t="s">
        <v>7179</v>
      </c>
      <c r="Q330" s="518" t="s">
        <v>7101</v>
      </c>
      <c r="R330" s="152" t="s">
        <v>7180</v>
      </c>
      <c r="S330" s="152" t="s">
        <v>7218</v>
      </c>
      <c r="T330" s="152" t="s">
        <v>7182</v>
      </c>
      <c r="U330" s="152" t="s">
        <v>786</v>
      </c>
    </row>
    <row r="331" spans="4:21">
      <c r="D331" s="210"/>
      <c r="E331" s="210" t="s">
        <v>670</v>
      </c>
      <c r="F331" s="684" t="str">
        <f>+VLOOKUP(G331,Resumen_Base!$C$8:$G$156,5,0)</f>
        <v>Field:</v>
      </c>
      <c r="G331" s="152" t="s">
        <v>133</v>
      </c>
      <c r="H331" s="474" t="s">
        <v>312</v>
      </c>
      <c r="I331" s="152" t="str">
        <f t="shared" si="4"/>
        <v>SJ5207</v>
      </c>
      <c r="J331" s="847">
        <v>351250</v>
      </c>
      <c r="K331" s="513">
        <v>250</v>
      </c>
      <c r="L331" s="513">
        <v>1405</v>
      </c>
      <c r="M331" s="152" t="s">
        <v>7116</v>
      </c>
      <c r="N331" s="513" t="s">
        <v>780</v>
      </c>
      <c r="O331" s="513" t="s">
        <v>781</v>
      </c>
      <c r="P331" s="513" t="s">
        <v>7179</v>
      </c>
      <c r="Q331" s="518" t="s">
        <v>7101</v>
      </c>
      <c r="R331" s="152" t="s">
        <v>7180</v>
      </c>
      <c r="S331" s="152" t="s">
        <v>7243</v>
      </c>
      <c r="T331" s="152" t="s">
        <v>7182</v>
      </c>
      <c r="U331" s="152" t="s">
        <v>786</v>
      </c>
    </row>
    <row r="332" spans="4:21">
      <c r="D332" s="210"/>
      <c r="E332" s="210" t="s">
        <v>670</v>
      </c>
      <c r="F332" s="684" t="str">
        <f>+VLOOKUP(G332,Resumen_Base!$C$8:$G$156,5,0)</f>
        <v>Field:</v>
      </c>
      <c r="G332" s="152" t="s">
        <v>133</v>
      </c>
      <c r="H332" s="474" t="s">
        <v>312</v>
      </c>
      <c r="I332" s="152" t="str">
        <f t="shared" si="4"/>
        <v>SJ5207</v>
      </c>
      <c r="J332" s="847">
        <v>421500</v>
      </c>
      <c r="K332" s="513">
        <v>300</v>
      </c>
      <c r="L332" s="513">
        <v>1405</v>
      </c>
      <c r="M332" s="152" t="s">
        <v>7143</v>
      </c>
      <c r="N332" s="513" t="s">
        <v>780</v>
      </c>
      <c r="O332" s="513" t="s">
        <v>781</v>
      </c>
      <c r="P332" s="513" t="s">
        <v>7284</v>
      </c>
      <c r="Q332" s="518" t="s">
        <v>7101</v>
      </c>
      <c r="R332" s="152" t="s">
        <v>7285</v>
      </c>
      <c r="S332" s="152" t="s">
        <v>7304</v>
      </c>
      <c r="T332" s="152" t="s">
        <v>7287</v>
      </c>
      <c r="U332" s="152" t="s">
        <v>786</v>
      </c>
    </row>
    <row r="333" spans="4:21">
      <c r="D333" s="210"/>
      <c r="E333" s="210" t="s">
        <v>670</v>
      </c>
      <c r="F333" s="684" t="str">
        <f>+VLOOKUP(G333,Resumen_Base!$C$8:$G$156,5,0)</f>
        <v>Field:</v>
      </c>
      <c r="G333" s="152" t="s">
        <v>133</v>
      </c>
      <c r="H333" s="474" t="s">
        <v>312</v>
      </c>
      <c r="I333" s="152" t="str">
        <f t="shared" ref="I333:I396" si="5">+E333&amp;G333</f>
        <v>SJ5207</v>
      </c>
      <c r="J333" s="847">
        <v>426000</v>
      </c>
      <c r="K333" s="513">
        <v>300</v>
      </c>
      <c r="L333" s="513">
        <v>1420</v>
      </c>
      <c r="M333" s="152" t="s">
        <v>7143</v>
      </c>
      <c r="N333" s="513" t="s">
        <v>780</v>
      </c>
      <c r="O333" s="513" t="s">
        <v>781</v>
      </c>
      <c r="P333" s="513" t="s">
        <v>7284</v>
      </c>
      <c r="Q333" s="518" t="s">
        <v>7101</v>
      </c>
      <c r="R333" s="152" t="s">
        <v>7285</v>
      </c>
      <c r="S333" s="152" t="s">
        <v>7335</v>
      </c>
      <c r="T333" s="152" t="s">
        <v>7287</v>
      </c>
      <c r="U333" s="152" t="s">
        <v>786</v>
      </c>
    </row>
    <row r="334" spans="4:21">
      <c r="D334" s="210"/>
      <c r="E334" s="210" t="s">
        <v>670</v>
      </c>
      <c r="F334" s="684" t="str">
        <f>+VLOOKUP(G334,Resumen_Base!$C$8:$G$156,5,0)</f>
        <v>Field:</v>
      </c>
      <c r="G334" s="152" t="s">
        <v>133</v>
      </c>
      <c r="H334" s="474" t="s">
        <v>312</v>
      </c>
      <c r="I334" s="152" t="str">
        <f t="shared" si="5"/>
        <v>SJ5207</v>
      </c>
      <c r="J334" s="847">
        <v>1079200</v>
      </c>
      <c r="K334" s="513">
        <v>760</v>
      </c>
      <c r="L334" s="513">
        <v>1420</v>
      </c>
      <c r="M334" s="152" t="s">
        <v>7143</v>
      </c>
      <c r="N334" s="513" t="s">
        <v>780</v>
      </c>
      <c r="O334" s="513" t="s">
        <v>781</v>
      </c>
      <c r="P334" s="513" t="s">
        <v>7284</v>
      </c>
      <c r="Q334" s="518" t="s">
        <v>7101</v>
      </c>
      <c r="R334" s="152" t="s">
        <v>7285</v>
      </c>
      <c r="S334" s="152" t="s">
        <v>7304</v>
      </c>
      <c r="T334" s="152" t="s">
        <v>7287</v>
      </c>
      <c r="U334" s="152" t="s">
        <v>786</v>
      </c>
    </row>
    <row r="335" spans="4:21">
      <c r="D335" s="210"/>
      <c r="E335" s="210" t="s">
        <v>670</v>
      </c>
      <c r="F335" s="684" t="str">
        <f>+VLOOKUP(G335,Resumen_Base!$C$8:$G$156,5,0)</f>
        <v>Field:</v>
      </c>
      <c r="G335" s="152" t="s">
        <v>133</v>
      </c>
      <c r="H335" s="474" t="s">
        <v>312</v>
      </c>
      <c r="I335" s="152" t="str">
        <f t="shared" si="5"/>
        <v>SJ5207</v>
      </c>
      <c r="J335" s="847">
        <v>421500</v>
      </c>
      <c r="K335" s="513">
        <v>300</v>
      </c>
      <c r="L335" s="513">
        <v>1405</v>
      </c>
      <c r="M335" s="152" t="s">
        <v>7143</v>
      </c>
      <c r="N335" s="513" t="s">
        <v>780</v>
      </c>
      <c r="O335" s="513" t="s">
        <v>781</v>
      </c>
      <c r="P335" s="513" t="s">
        <v>7284</v>
      </c>
      <c r="Q335" s="518" t="s">
        <v>7101</v>
      </c>
      <c r="R335" s="152" t="s">
        <v>7285</v>
      </c>
      <c r="S335" s="152" t="s">
        <v>7306</v>
      </c>
      <c r="T335" s="152" t="s">
        <v>7287</v>
      </c>
      <c r="U335" s="152" t="s">
        <v>786</v>
      </c>
    </row>
    <row r="336" spans="4:21">
      <c r="D336" s="210"/>
      <c r="E336" s="210" t="s">
        <v>670</v>
      </c>
      <c r="F336" s="684" t="str">
        <f>+VLOOKUP(G336,Resumen_Base!$C$8:$G$156,5,0)</f>
        <v>Field:</v>
      </c>
      <c r="G336" s="152" t="s">
        <v>133</v>
      </c>
      <c r="H336" s="474" t="s">
        <v>312</v>
      </c>
      <c r="I336" s="152" t="str">
        <f t="shared" si="5"/>
        <v>SJ5207</v>
      </c>
      <c r="J336" s="847">
        <v>2601440</v>
      </c>
      <c r="K336" s="513">
        <v>1832</v>
      </c>
      <c r="L336" s="513">
        <v>1420</v>
      </c>
      <c r="M336" s="152" t="s">
        <v>7143</v>
      </c>
      <c r="N336" s="513" t="s">
        <v>780</v>
      </c>
      <c r="O336" s="513" t="s">
        <v>781</v>
      </c>
      <c r="P336" s="513" t="s">
        <v>7284</v>
      </c>
      <c r="Q336" s="518" t="s">
        <v>7101</v>
      </c>
      <c r="R336" s="152" t="s">
        <v>7285</v>
      </c>
      <c r="S336" s="152" t="s">
        <v>7336</v>
      </c>
      <c r="T336" s="152" t="s">
        <v>7287</v>
      </c>
      <c r="U336" s="152" t="s">
        <v>786</v>
      </c>
    </row>
    <row r="337" spans="4:21">
      <c r="D337" s="210"/>
      <c r="E337" s="210" t="s">
        <v>670</v>
      </c>
      <c r="F337" s="684" t="str">
        <f>+VLOOKUP(G337,Resumen_Base!$C$8:$G$156,5,0)</f>
        <v>Field:</v>
      </c>
      <c r="G337" s="152" t="s">
        <v>133</v>
      </c>
      <c r="H337" s="474" t="s">
        <v>312</v>
      </c>
      <c r="I337" s="152" t="str">
        <f t="shared" si="5"/>
        <v>SJ5207</v>
      </c>
      <c r="J337" s="847">
        <v>562000</v>
      </c>
      <c r="K337" s="513">
        <v>400</v>
      </c>
      <c r="L337" s="513">
        <v>1405</v>
      </c>
      <c r="M337" s="152" t="s">
        <v>7143</v>
      </c>
      <c r="N337" s="513" t="s">
        <v>780</v>
      </c>
      <c r="O337" s="513" t="s">
        <v>781</v>
      </c>
      <c r="P337" s="513" t="s">
        <v>7284</v>
      </c>
      <c r="Q337" s="518" t="s">
        <v>7101</v>
      </c>
      <c r="R337" s="152" t="s">
        <v>7285</v>
      </c>
      <c r="S337" s="152" t="s">
        <v>7307</v>
      </c>
      <c r="T337" s="152" t="s">
        <v>7287</v>
      </c>
      <c r="U337" s="152" t="s">
        <v>786</v>
      </c>
    </row>
    <row r="338" spans="4:21">
      <c r="D338" s="210"/>
      <c r="E338" s="210" t="s">
        <v>670</v>
      </c>
      <c r="F338" s="684" t="str">
        <f>+VLOOKUP(G338,Resumen_Base!$C$8:$G$156,5,0)</f>
        <v>Field:</v>
      </c>
      <c r="G338" s="152" t="s">
        <v>133</v>
      </c>
      <c r="H338" s="474" t="s">
        <v>312</v>
      </c>
      <c r="I338" s="152" t="str">
        <f t="shared" si="5"/>
        <v>SJ5207</v>
      </c>
      <c r="J338" s="847">
        <v>140500</v>
      </c>
      <c r="K338" s="513">
        <v>100</v>
      </c>
      <c r="L338" s="513">
        <v>1405</v>
      </c>
      <c r="M338" s="152" t="s">
        <v>7143</v>
      </c>
      <c r="N338" s="513" t="s">
        <v>780</v>
      </c>
      <c r="O338" s="513" t="s">
        <v>781</v>
      </c>
      <c r="P338" s="513" t="s">
        <v>7284</v>
      </c>
      <c r="Q338" s="518" t="s">
        <v>7101</v>
      </c>
      <c r="R338" s="152" t="s">
        <v>7285</v>
      </c>
      <c r="S338" s="152" t="s">
        <v>7286</v>
      </c>
      <c r="T338" s="152" t="s">
        <v>7287</v>
      </c>
      <c r="U338" s="152" t="s">
        <v>786</v>
      </c>
    </row>
    <row r="339" spans="4:21">
      <c r="D339" s="210"/>
      <c r="E339" s="210" t="s">
        <v>670</v>
      </c>
      <c r="F339" s="684" t="str">
        <f>+VLOOKUP(G339,Resumen_Base!$C$8:$G$156,5,0)</f>
        <v>Field:</v>
      </c>
      <c r="G339" s="152" t="s">
        <v>133</v>
      </c>
      <c r="H339" s="474" t="s">
        <v>312</v>
      </c>
      <c r="I339" s="152" t="str">
        <f t="shared" si="5"/>
        <v>SJ5207</v>
      </c>
      <c r="J339" s="847">
        <v>421500</v>
      </c>
      <c r="K339" s="513">
        <v>300</v>
      </c>
      <c r="L339" s="513">
        <v>1405</v>
      </c>
      <c r="M339" s="152" t="s">
        <v>7143</v>
      </c>
      <c r="N339" s="513" t="s">
        <v>780</v>
      </c>
      <c r="O339" s="513" t="s">
        <v>781</v>
      </c>
      <c r="P339" s="513" t="s">
        <v>7284</v>
      </c>
      <c r="Q339" s="518" t="s">
        <v>7101</v>
      </c>
      <c r="R339" s="152" t="s">
        <v>7285</v>
      </c>
      <c r="S339" s="152" t="s">
        <v>7286</v>
      </c>
      <c r="T339" s="152" t="s">
        <v>7287</v>
      </c>
      <c r="U339" s="152" t="s">
        <v>786</v>
      </c>
    </row>
    <row r="340" spans="4:21">
      <c r="D340" s="210"/>
      <c r="E340" s="210" t="s">
        <v>670</v>
      </c>
      <c r="F340" s="684" t="str">
        <f>+VLOOKUP(G340,Resumen_Base!$C$8:$G$156,5,0)</f>
        <v>Field:</v>
      </c>
      <c r="G340" s="152" t="s">
        <v>133</v>
      </c>
      <c r="H340" s="474" t="s">
        <v>312</v>
      </c>
      <c r="I340" s="152" t="str">
        <f t="shared" si="5"/>
        <v>SJ5207</v>
      </c>
      <c r="J340" s="847">
        <v>107257.7</v>
      </c>
      <c r="K340" s="513">
        <v>76.34</v>
      </c>
      <c r="L340" s="513">
        <v>1405</v>
      </c>
      <c r="M340" s="152" t="s">
        <v>7143</v>
      </c>
      <c r="N340" s="513" t="s">
        <v>780</v>
      </c>
      <c r="O340" s="513" t="s">
        <v>781</v>
      </c>
      <c r="P340" s="513" t="s">
        <v>7284</v>
      </c>
      <c r="Q340" s="518" t="s">
        <v>7101</v>
      </c>
      <c r="R340" s="152" t="s">
        <v>7285</v>
      </c>
      <c r="S340" s="152" t="s">
        <v>7308</v>
      </c>
      <c r="T340" s="152" t="s">
        <v>7287</v>
      </c>
      <c r="U340" s="152" t="s">
        <v>786</v>
      </c>
    </row>
    <row r="341" spans="4:21">
      <c r="D341" s="210"/>
      <c r="E341" s="210" t="s">
        <v>670</v>
      </c>
      <c r="F341" s="684" t="str">
        <f>+VLOOKUP(G341,Resumen_Base!$C$8:$G$156,5,0)</f>
        <v>Field:</v>
      </c>
      <c r="G341" s="152" t="s">
        <v>133</v>
      </c>
      <c r="H341" s="474" t="s">
        <v>312</v>
      </c>
      <c r="I341" s="152" t="str">
        <f t="shared" si="5"/>
        <v>SJ5207</v>
      </c>
      <c r="J341" s="847">
        <v>562000</v>
      </c>
      <c r="K341" s="513">
        <v>400</v>
      </c>
      <c r="L341" s="513">
        <v>1405</v>
      </c>
      <c r="M341" s="152" t="s">
        <v>7143</v>
      </c>
      <c r="N341" s="513" t="s">
        <v>780</v>
      </c>
      <c r="O341" s="513" t="s">
        <v>781</v>
      </c>
      <c r="P341" s="513" t="s">
        <v>7284</v>
      </c>
      <c r="Q341" s="518" t="s">
        <v>7101</v>
      </c>
      <c r="R341" s="152" t="s">
        <v>7285</v>
      </c>
      <c r="S341" s="152" t="s">
        <v>7309</v>
      </c>
      <c r="T341" s="152" t="s">
        <v>7287</v>
      </c>
      <c r="U341" s="152" t="s">
        <v>786</v>
      </c>
    </row>
    <row r="342" spans="4:21">
      <c r="D342" s="210"/>
      <c r="E342" s="210" t="s">
        <v>670</v>
      </c>
      <c r="F342" s="684" t="str">
        <f>+VLOOKUP(G342,Resumen_Base!$C$8:$G$156,5,0)</f>
        <v>Field:</v>
      </c>
      <c r="G342" s="152" t="s">
        <v>133</v>
      </c>
      <c r="H342" s="474" t="s">
        <v>312</v>
      </c>
      <c r="I342" s="152" t="str">
        <f t="shared" si="5"/>
        <v>SJ5207</v>
      </c>
      <c r="J342" s="847">
        <v>920275</v>
      </c>
      <c r="K342" s="513">
        <v>655</v>
      </c>
      <c r="L342" s="513">
        <v>1405</v>
      </c>
      <c r="M342" s="152" t="s">
        <v>7143</v>
      </c>
      <c r="N342" s="513" t="s">
        <v>780</v>
      </c>
      <c r="O342" s="513" t="s">
        <v>781</v>
      </c>
      <c r="P342" s="513" t="s">
        <v>7284</v>
      </c>
      <c r="Q342" s="518" t="s">
        <v>7101</v>
      </c>
      <c r="R342" s="152" t="s">
        <v>7285</v>
      </c>
      <c r="S342" s="152" t="s">
        <v>7310</v>
      </c>
      <c r="T342" s="152" t="s">
        <v>7287</v>
      </c>
      <c r="U342" s="152" t="s">
        <v>786</v>
      </c>
    </row>
    <row r="343" spans="4:21">
      <c r="D343" s="210"/>
      <c r="E343" s="210" t="s">
        <v>670</v>
      </c>
      <c r="F343" s="684" t="str">
        <f>+VLOOKUP(G343,Resumen_Base!$C$8:$G$156,5,0)</f>
        <v>Field:</v>
      </c>
      <c r="G343" s="152" t="s">
        <v>133</v>
      </c>
      <c r="H343" s="474" t="s">
        <v>312</v>
      </c>
      <c r="I343" s="152" t="str">
        <f t="shared" si="5"/>
        <v>SJ5207</v>
      </c>
      <c r="J343" s="847">
        <v>632250</v>
      </c>
      <c r="K343" s="513">
        <v>450</v>
      </c>
      <c r="L343" s="513">
        <v>1405</v>
      </c>
      <c r="M343" s="152" t="s">
        <v>7143</v>
      </c>
      <c r="N343" s="513" t="s">
        <v>780</v>
      </c>
      <c r="O343" s="513" t="s">
        <v>781</v>
      </c>
      <c r="P343" s="513" t="s">
        <v>7284</v>
      </c>
      <c r="Q343" s="518" t="s">
        <v>7101</v>
      </c>
      <c r="R343" s="152" t="s">
        <v>7285</v>
      </c>
      <c r="S343" s="152" t="s">
        <v>7286</v>
      </c>
      <c r="T343" s="152" t="s">
        <v>7287</v>
      </c>
      <c r="U343" s="152" t="s">
        <v>786</v>
      </c>
    </row>
    <row r="344" spans="4:21">
      <c r="D344" s="210"/>
      <c r="E344" s="210" t="s">
        <v>670</v>
      </c>
      <c r="F344" s="684" t="str">
        <f>+VLOOKUP(G344,Resumen_Base!$C$8:$G$156,5,0)</f>
        <v>Field:</v>
      </c>
      <c r="G344" s="152" t="s">
        <v>133</v>
      </c>
      <c r="H344" s="474" t="s">
        <v>312</v>
      </c>
      <c r="I344" s="152" t="str">
        <f t="shared" si="5"/>
        <v>SJ5207</v>
      </c>
      <c r="J344" s="847">
        <v>562000</v>
      </c>
      <c r="K344" s="513">
        <v>400</v>
      </c>
      <c r="L344" s="513">
        <v>1405</v>
      </c>
      <c r="M344" s="152" t="s">
        <v>7143</v>
      </c>
      <c r="N344" s="513" t="s">
        <v>780</v>
      </c>
      <c r="O344" s="513" t="s">
        <v>781</v>
      </c>
      <c r="P344" s="513" t="s">
        <v>7284</v>
      </c>
      <c r="Q344" s="518" t="s">
        <v>7101</v>
      </c>
      <c r="R344" s="152" t="s">
        <v>7285</v>
      </c>
      <c r="S344" s="152" t="s">
        <v>7304</v>
      </c>
      <c r="T344" s="152" t="s">
        <v>7287</v>
      </c>
      <c r="U344" s="152" t="s">
        <v>786</v>
      </c>
    </row>
    <row r="345" spans="4:21">
      <c r="D345" s="210"/>
      <c r="E345" s="210" t="s">
        <v>670</v>
      </c>
      <c r="F345" s="684" t="str">
        <f>+VLOOKUP(G345,Resumen_Base!$C$8:$G$156,5,0)</f>
        <v>Field:</v>
      </c>
      <c r="G345" s="152" t="s">
        <v>133</v>
      </c>
      <c r="H345" s="474" t="s">
        <v>312</v>
      </c>
      <c r="I345" s="152" t="str">
        <f t="shared" si="5"/>
        <v>SJ5207</v>
      </c>
      <c r="J345" s="847">
        <v>853420</v>
      </c>
      <c r="K345" s="513">
        <v>601</v>
      </c>
      <c r="L345" s="513">
        <v>1420</v>
      </c>
      <c r="M345" s="152" t="s">
        <v>7143</v>
      </c>
      <c r="N345" s="513" t="s">
        <v>780</v>
      </c>
      <c r="O345" s="513" t="s">
        <v>781</v>
      </c>
      <c r="P345" s="513" t="s">
        <v>7653</v>
      </c>
      <c r="Q345" s="518" t="s">
        <v>7101</v>
      </c>
      <c r="R345" s="152" t="s">
        <v>7654</v>
      </c>
      <c r="S345" s="152" t="s">
        <v>7657</v>
      </c>
      <c r="T345" s="152" t="s">
        <v>7655</v>
      </c>
      <c r="U345" s="152" t="s">
        <v>786</v>
      </c>
    </row>
    <row r="346" spans="4:21">
      <c r="D346" s="210"/>
      <c r="E346" s="210" t="s">
        <v>676</v>
      </c>
      <c r="F346" s="684" t="str">
        <f>+VLOOKUP(G346,Resumen_Base!$C$8:$G$156,5,0)</f>
        <v>Field:</v>
      </c>
      <c r="G346" s="152" t="s">
        <v>133</v>
      </c>
      <c r="H346" s="474" t="s">
        <v>312</v>
      </c>
      <c r="I346" s="152" t="str">
        <f t="shared" si="5"/>
        <v>CAR5207</v>
      </c>
      <c r="J346" s="847">
        <v>2669.5</v>
      </c>
      <c r="K346" s="513">
        <v>1.9</v>
      </c>
      <c r="L346" s="513">
        <v>1405</v>
      </c>
      <c r="M346" s="152" t="s">
        <v>7116</v>
      </c>
      <c r="N346" s="513" t="s">
        <v>780</v>
      </c>
      <c r="O346" s="513" t="s">
        <v>1407</v>
      </c>
      <c r="P346" s="513" t="s">
        <v>7442</v>
      </c>
      <c r="Q346" s="518" t="s">
        <v>7101</v>
      </c>
      <c r="R346" s="152" t="s">
        <v>7443</v>
      </c>
      <c r="S346" s="152" t="s">
        <v>1515</v>
      </c>
      <c r="T346" s="152" t="s">
        <v>7445</v>
      </c>
      <c r="U346" s="152" t="s">
        <v>786</v>
      </c>
    </row>
    <row r="347" spans="4:21">
      <c r="D347" s="210"/>
      <c r="E347" s="210" t="s">
        <v>676</v>
      </c>
      <c r="F347" s="684" t="str">
        <f>+VLOOKUP(G347,Resumen_Base!$C$8:$G$156,5,0)</f>
        <v>Field:</v>
      </c>
      <c r="G347" s="152" t="s">
        <v>133</v>
      </c>
      <c r="H347" s="474" t="s">
        <v>312</v>
      </c>
      <c r="I347" s="152" t="str">
        <f t="shared" si="5"/>
        <v>CAR5207</v>
      </c>
      <c r="J347" s="847">
        <v>2810000</v>
      </c>
      <c r="K347" s="513">
        <v>2000</v>
      </c>
      <c r="L347" s="513">
        <v>1405</v>
      </c>
      <c r="M347" s="152" t="s">
        <v>7116</v>
      </c>
      <c r="N347" s="513" t="s">
        <v>780</v>
      </c>
      <c r="O347" s="513" t="s">
        <v>1407</v>
      </c>
      <c r="P347" s="513" t="s">
        <v>7442</v>
      </c>
      <c r="Q347" s="518" t="s">
        <v>7101</v>
      </c>
      <c r="R347" s="152" t="s">
        <v>7443</v>
      </c>
      <c r="S347" s="152" t="s">
        <v>7450</v>
      </c>
      <c r="T347" s="152" t="s">
        <v>7445</v>
      </c>
      <c r="U347" s="152" t="s">
        <v>786</v>
      </c>
    </row>
    <row r="348" spans="4:21">
      <c r="D348" s="210"/>
      <c r="E348" s="210" t="s">
        <v>676</v>
      </c>
      <c r="F348" s="684" t="str">
        <f>+VLOOKUP(G348,Resumen_Base!$C$8:$G$156,5,0)</f>
        <v>Field:</v>
      </c>
      <c r="G348" s="152" t="s">
        <v>133</v>
      </c>
      <c r="H348" s="474" t="s">
        <v>312</v>
      </c>
      <c r="I348" s="152" t="str">
        <f t="shared" si="5"/>
        <v>CAR5207</v>
      </c>
      <c r="J348" s="847">
        <v>2669.5</v>
      </c>
      <c r="K348" s="513">
        <v>1.9</v>
      </c>
      <c r="L348" s="513">
        <v>1405</v>
      </c>
      <c r="M348" s="152" t="s">
        <v>7116</v>
      </c>
      <c r="N348" s="513" t="s">
        <v>780</v>
      </c>
      <c r="O348" s="513" t="s">
        <v>1407</v>
      </c>
      <c r="P348" s="513" t="s">
        <v>7442</v>
      </c>
      <c r="Q348" s="518" t="s">
        <v>7101</v>
      </c>
      <c r="R348" s="152" t="s">
        <v>7443</v>
      </c>
      <c r="S348" s="152" t="s">
        <v>1515</v>
      </c>
      <c r="T348" s="152" t="s">
        <v>7445</v>
      </c>
      <c r="U348" s="152" t="s">
        <v>786</v>
      </c>
    </row>
    <row r="349" spans="4:21">
      <c r="D349" s="210"/>
      <c r="E349" s="210" t="s">
        <v>676</v>
      </c>
      <c r="F349" s="684" t="str">
        <f>+VLOOKUP(G349,Resumen_Base!$C$8:$G$156,5,0)</f>
        <v>Field:</v>
      </c>
      <c r="G349" s="152" t="s">
        <v>133</v>
      </c>
      <c r="H349" s="474" t="s">
        <v>312</v>
      </c>
      <c r="I349" s="152" t="str">
        <f t="shared" si="5"/>
        <v>CAR5207</v>
      </c>
      <c r="J349" s="847">
        <v>2669.5</v>
      </c>
      <c r="K349" s="513">
        <v>1.9</v>
      </c>
      <c r="L349" s="513">
        <v>1405</v>
      </c>
      <c r="M349" s="152" t="s">
        <v>7116</v>
      </c>
      <c r="N349" s="513" t="s">
        <v>780</v>
      </c>
      <c r="O349" s="513" t="s">
        <v>1407</v>
      </c>
      <c r="P349" s="513" t="s">
        <v>7442</v>
      </c>
      <c r="Q349" s="518" t="s">
        <v>7101</v>
      </c>
      <c r="R349" s="152" t="s">
        <v>7443</v>
      </c>
      <c r="S349" s="152" t="s">
        <v>1515</v>
      </c>
      <c r="T349" s="152" t="s">
        <v>7445</v>
      </c>
      <c r="U349" s="152" t="s">
        <v>786</v>
      </c>
    </row>
    <row r="350" spans="4:21">
      <c r="D350" s="210"/>
      <c r="E350" s="210" t="s">
        <v>676</v>
      </c>
      <c r="F350" s="684" t="str">
        <f>+VLOOKUP(G350,Resumen_Base!$C$8:$G$156,5,0)</f>
        <v>Field:</v>
      </c>
      <c r="G350" s="152" t="s">
        <v>133</v>
      </c>
      <c r="H350" s="474" t="s">
        <v>312</v>
      </c>
      <c r="I350" s="152" t="str">
        <f t="shared" si="5"/>
        <v>CAR5207</v>
      </c>
      <c r="J350" s="847">
        <v>210750</v>
      </c>
      <c r="K350" s="513">
        <v>150</v>
      </c>
      <c r="L350" s="513">
        <v>1405</v>
      </c>
      <c r="M350" s="152" t="s">
        <v>7116</v>
      </c>
      <c r="N350" s="513" t="s">
        <v>780</v>
      </c>
      <c r="O350" s="513" t="s">
        <v>1407</v>
      </c>
      <c r="P350" s="513" t="s">
        <v>7442</v>
      </c>
      <c r="Q350" s="518" t="s">
        <v>7101</v>
      </c>
      <c r="R350" s="152" t="s">
        <v>7443</v>
      </c>
      <c r="S350" s="152" t="s">
        <v>7452</v>
      </c>
      <c r="T350" s="152" t="s">
        <v>7445</v>
      </c>
      <c r="U350" s="152" t="s">
        <v>786</v>
      </c>
    </row>
    <row r="351" spans="4:21">
      <c r="D351" s="210"/>
      <c r="E351" s="210" t="s">
        <v>676</v>
      </c>
      <c r="F351" s="684" t="str">
        <f>+VLOOKUP(G351,Resumen_Base!$C$8:$G$156,5,0)</f>
        <v>Field:</v>
      </c>
      <c r="G351" s="152" t="s">
        <v>133</v>
      </c>
      <c r="H351" s="474" t="s">
        <v>312</v>
      </c>
      <c r="I351" s="152" t="str">
        <f t="shared" si="5"/>
        <v>CAR5207</v>
      </c>
      <c r="J351" s="847">
        <v>2669.5</v>
      </c>
      <c r="K351" s="513">
        <v>1.9</v>
      </c>
      <c r="L351" s="513">
        <v>1405</v>
      </c>
      <c r="M351" s="152" t="s">
        <v>7116</v>
      </c>
      <c r="N351" s="513" t="s">
        <v>780</v>
      </c>
      <c r="O351" s="513" t="s">
        <v>1407</v>
      </c>
      <c r="P351" s="513" t="s">
        <v>7442</v>
      </c>
      <c r="Q351" s="518" t="s">
        <v>7101</v>
      </c>
      <c r="R351" s="152" t="s">
        <v>7443</v>
      </c>
      <c r="S351" s="152" t="s">
        <v>1515</v>
      </c>
      <c r="T351" s="152" t="s">
        <v>7445</v>
      </c>
      <c r="U351" s="152" t="s">
        <v>786</v>
      </c>
    </row>
    <row r="352" spans="4:21">
      <c r="D352" s="210"/>
      <c r="E352" s="210" t="s">
        <v>676</v>
      </c>
      <c r="F352" s="684" t="str">
        <f>+VLOOKUP(G352,Resumen_Base!$C$8:$G$156,5,0)</f>
        <v>Field:</v>
      </c>
      <c r="G352" s="152" t="s">
        <v>133</v>
      </c>
      <c r="H352" s="474" t="s">
        <v>312</v>
      </c>
      <c r="I352" s="152" t="str">
        <f t="shared" si="5"/>
        <v>CAR5207</v>
      </c>
      <c r="J352" s="847">
        <v>3934000</v>
      </c>
      <c r="K352" s="513">
        <v>2800</v>
      </c>
      <c r="L352" s="513">
        <v>1405</v>
      </c>
      <c r="M352" s="152" t="s">
        <v>7116</v>
      </c>
      <c r="N352" s="513" t="s">
        <v>780</v>
      </c>
      <c r="O352" s="513" t="s">
        <v>1407</v>
      </c>
      <c r="P352" s="513" t="s">
        <v>7442</v>
      </c>
      <c r="Q352" s="518" t="s">
        <v>7101</v>
      </c>
      <c r="R352" s="152" t="s">
        <v>7443</v>
      </c>
      <c r="S352" s="152" t="s">
        <v>7454</v>
      </c>
      <c r="T352" s="152" t="s">
        <v>7445</v>
      </c>
      <c r="U352" s="152" t="s">
        <v>786</v>
      </c>
    </row>
    <row r="353" spans="4:21">
      <c r="D353" s="210"/>
      <c r="E353" s="210" t="s">
        <v>670</v>
      </c>
      <c r="F353" s="684" t="str">
        <f>+VLOOKUP(G353,Resumen_Base!$C$8:$G$156,5,0)</f>
        <v>Food &amp; Wine</v>
      </c>
      <c r="G353" s="152" t="s">
        <v>45</v>
      </c>
      <c r="H353" s="474" t="s">
        <v>44</v>
      </c>
      <c r="I353" s="152" t="str">
        <f t="shared" si="5"/>
        <v>SJ5213</v>
      </c>
      <c r="J353" s="847">
        <v>196194.2</v>
      </c>
      <c r="K353" s="513">
        <v>139.63999999999999</v>
      </c>
      <c r="L353" s="513">
        <v>1405</v>
      </c>
      <c r="M353" s="152" t="s">
        <v>7116</v>
      </c>
      <c r="N353" s="513" t="s">
        <v>780</v>
      </c>
      <c r="O353" s="513" t="s">
        <v>781</v>
      </c>
      <c r="P353" s="513" t="s">
        <v>7179</v>
      </c>
      <c r="Q353" s="518" t="s">
        <v>7101</v>
      </c>
      <c r="R353" s="152" t="s">
        <v>7180</v>
      </c>
      <c r="S353" s="152" t="s">
        <v>7235</v>
      </c>
      <c r="T353" s="152" t="s">
        <v>7182</v>
      </c>
      <c r="U353" s="152" t="s">
        <v>786</v>
      </c>
    </row>
    <row r="354" spans="4:21">
      <c r="D354" s="210"/>
      <c r="E354" s="210" t="s">
        <v>670</v>
      </c>
      <c r="F354" s="684" t="str">
        <f>+VLOOKUP(G354,Resumen_Base!$C$8:$G$156,5,0)</f>
        <v>Food &amp; Wine</v>
      </c>
      <c r="G354" s="152" t="s">
        <v>45</v>
      </c>
      <c r="H354" s="474" t="s">
        <v>44</v>
      </c>
      <c r="I354" s="152" t="str">
        <f t="shared" si="5"/>
        <v>SJ5213</v>
      </c>
      <c r="J354" s="847">
        <v>68606.149999999994</v>
      </c>
      <c r="K354" s="513">
        <v>48.83</v>
      </c>
      <c r="L354" s="513">
        <v>1405</v>
      </c>
      <c r="M354" s="152" t="s">
        <v>7116</v>
      </c>
      <c r="N354" s="513" t="s">
        <v>780</v>
      </c>
      <c r="O354" s="513" t="s">
        <v>781</v>
      </c>
      <c r="P354" s="513" t="s">
        <v>7179</v>
      </c>
      <c r="Q354" s="518" t="s">
        <v>7101</v>
      </c>
      <c r="R354" s="152" t="s">
        <v>7180</v>
      </c>
      <c r="S354" s="152" t="s">
        <v>7236</v>
      </c>
      <c r="T354" s="152" t="s">
        <v>7182</v>
      </c>
      <c r="U354" s="152" t="s">
        <v>786</v>
      </c>
    </row>
    <row r="355" spans="4:21">
      <c r="D355" s="210"/>
      <c r="E355" s="210" t="s">
        <v>670</v>
      </c>
      <c r="F355" s="684" t="str">
        <f>+VLOOKUP(G355,Resumen_Base!$C$8:$G$156,5,0)</f>
        <v>Food &amp; Wine</v>
      </c>
      <c r="G355" s="152" t="s">
        <v>45</v>
      </c>
      <c r="H355" s="474" t="s">
        <v>44</v>
      </c>
      <c r="I355" s="152" t="str">
        <f t="shared" si="5"/>
        <v>SJ5213</v>
      </c>
      <c r="J355" s="847">
        <v>958828.2</v>
      </c>
      <c r="K355" s="513">
        <v>682.44</v>
      </c>
      <c r="L355" s="513">
        <v>1405</v>
      </c>
      <c r="M355" s="152" t="s">
        <v>7116</v>
      </c>
      <c r="N355" s="513" t="s">
        <v>780</v>
      </c>
      <c r="O355" s="513" t="s">
        <v>781</v>
      </c>
      <c r="P355" s="513" t="s">
        <v>7517</v>
      </c>
      <c r="Q355" s="518" t="s">
        <v>7101</v>
      </c>
      <c r="R355" s="152" t="s">
        <v>7518</v>
      </c>
      <c r="S355" s="152" t="s">
        <v>7524</v>
      </c>
      <c r="T355" s="152" t="s">
        <v>7520</v>
      </c>
      <c r="U355" s="152" t="s">
        <v>786</v>
      </c>
    </row>
    <row r="356" spans="4:21">
      <c r="D356" s="210"/>
      <c r="E356" s="210" t="s">
        <v>670</v>
      </c>
      <c r="F356" s="684" t="str">
        <f>+VLOOKUP(G356,Resumen_Base!$C$8:$G$156,5,0)</f>
        <v>Food &amp; Wine</v>
      </c>
      <c r="G356" s="152" t="s">
        <v>45</v>
      </c>
      <c r="H356" s="474" t="s">
        <v>44</v>
      </c>
      <c r="I356" s="152" t="str">
        <f t="shared" si="5"/>
        <v>SJ5213</v>
      </c>
      <c r="J356" s="847">
        <v>2697.6</v>
      </c>
      <c r="K356" s="513">
        <v>1.92</v>
      </c>
      <c r="L356" s="513">
        <v>1405</v>
      </c>
      <c r="M356" s="152" t="s">
        <v>7116</v>
      </c>
      <c r="N356" s="513" t="s">
        <v>780</v>
      </c>
      <c r="O356" s="513" t="s">
        <v>781</v>
      </c>
      <c r="P356" s="513" t="s">
        <v>7517</v>
      </c>
      <c r="Q356" s="518" t="s">
        <v>7101</v>
      </c>
      <c r="R356" s="152" t="s">
        <v>7518</v>
      </c>
      <c r="S356" s="152" t="s">
        <v>953</v>
      </c>
      <c r="T356" s="152" t="s">
        <v>7520</v>
      </c>
      <c r="U356" s="152" t="s">
        <v>786</v>
      </c>
    </row>
    <row r="357" spans="4:21">
      <c r="D357" s="210"/>
      <c r="E357" s="210" t="s">
        <v>670</v>
      </c>
      <c r="F357" s="684" t="str">
        <f>+VLOOKUP(G357,Resumen_Base!$C$8:$G$156,5,0)</f>
        <v>Food &amp; Wine</v>
      </c>
      <c r="G357" s="152" t="s">
        <v>45</v>
      </c>
      <c r="H357" s="474" t="s">
        <v>44</v>
      </c>
      <c r="I357" s="152" t="str">
        <f t="shared" si="5"/>
        <v>SJ5213</v>
      </c>
      <c r="J357" s="847">
        <v>457694.4</v>
      </c>
      <c r="K357" s="513">
        <v>322.32</v>
      </c>
      <c r="L357" s="513">
        <v>1420</v>
      </c>
      <c r="M357" s="152" t="s">
        <v>7143</v>
      </c>
      <c r="N357" s="513" t="s">
        <v>780</v>
      </c>
      <c r="O357" s="513" t="s">
        <v>781</v>
      </c>
      <c r="P357" s="513" t="s">
        <v>7664</v>
      </c>
      <c r="Q357" s="518" t="s">
        <v>7101</v>
      </c>
      <c r="R357" s="152" t="s">
        <v>7665</v>
      </c>
      <c r="S357" s="152" t="s">
        <v>7692</v>
      </c>
      <c r="T357" s="152" t="s">
        <v>7667</v>
      </c>
      <c r="U357" s="152" t="s">
        <v>786</v>
      </c>
    </row>
    <row r="358" spans="4:21">
      <c r="D358" s="210"/>
      <c r="E358" s="210" t="s">
        <v>670</v>
      </c>
      <c r="F358" s="684" t="str">
        <f>+VLOOKUP(G358,Resumen_Base!$C$8:$G$156,5,0)</f>
        <v>Food &amp; Wine</v>
      </c>
      <c r="G358" s="152" t="s">
        <v>45</v>
      </c>
      <c r="H358" s="474" t="s">
        <v>44</v>
      </c>
      <c r="I358" s="152" t="str">
        <f t="shared" si="5"/>
        <v>SJ5213</v>
      </c>
      <c r="J358" s="847">
        <v>2712.2</v>
      </c>
      <c r="K358" s="513">
        <v>1.91</v>
      </c>
      <c r="L358" s="513">
        <v>1420</v>
      </c>
      <c r="M358" s="152" t="s">
        <v>7143</v>
      </c>
      <c r="N358" s="513" t="s">
        <v>780</v>
      </c>
      <c r="O358" s="513" t="s">
        <v>781</v>
      </c>
      <c r="P358" s="513" t="s">
        <v>7664</v>
      </c>
      <c r="Q358" s="518" t="s">
        <v>7101</v>
      </c>
      <c r="R358" s="152" t="s">
        <v>7665</v>
      </c>
      <c r="S358" s="152" t="s">
        <v>953</v>
      </c>
      <c r="T358" s="152" t="s">
        <v>7667</v>
      </c>
      <c r="U358" s="152" t="s">
        <v>786</v>
      </c>
    </row>
    <row r="359" spans="4:21">
      <c r="D359" s="210"/>
      <c r="E359" s="210" t="s">
        <v>676</v>
      </c>
      <c r="F359" s="684" t="str">
        <f>+VLOOKUP(G359,Resumen_Base!$C$8:$G$156,5,0)</f>
        <v>Food &amp; Wine</v>
      </c>
      <c r="G359" s="152" t="s">
        <v>45</v>
      </c>
      <c r="H359" s="474" t="s">
        <v>44</v>
      </c>
      <c r="I359" s="152" t="str">
        <f t="shared" si="5"/>
        <v>CAR5213</v>
      </c>
      <c r="J359" s="847">
        <v>80000.7</v>
      </c>
      <c r="K359" s="513">
        <v>56.94</v>
      </c>
      <c r="L359" s="513">
        <v>1405</v>
      </c>
      <c r="M359" s="152" t="s">
        <v>7116</v>
      </c>
      <c r="N359" s="513" t="s">
        <v>780</v>
      </c>
      <c r="O359" s="513" t="s">
        <v>1407</v>
      </c>
      <c r="P359" s="513" t="s">
        <v>7179</v>
      </c>
      <c r="Q359" s="518" t="s">
        <v>7101</v>
      </c>
      <c r="R359" s="152" t="s">
        <v>7180</v>
      </c>
      <c r="S359" s="152" t="s">
        <v>7188</v>
      </c>
      <c r="T359" s="152" t="s">
        <v>7182</v>
      </c>
      <c r="U359" s="152" t="s">
        <v>786</v>
      </c>
    </row>
    <row r="360" spans="4:21">
      <c r="D360" s="210"/>
      <c r="E360" s="210" t="s">
        <v>676</v>
      </c>
      <c r="F360" s="684" t="str">
        <f>+VLOOKUP(G360,Resumen_Base!$C$8:$G$156,5,0)</f>
        <v>Food &amp; Wine</v>
      </c>
      <c r="G360" s="152" t="s">
        <v>45</v>
      </c>
      <c r="H360" s="474" t="s">
        <v>44</v>
      </c>
      <c r="I360" s="152" t="str">
        <f t="shared" si="5"/>
        <v>CAR5213</v>
      </c>
      <c r="J360" s="847">
        <v>91451.45</v>
      </c>
      <c r="K360" s="513">
        <v>65.09</v>
      </c>
      <c r="L360" s="513">
        <v>1405</v>
      </c>
      <c r="M360" s="152" t="s">
        <v>7143</v>
      </c>
      <c r="N360" s="513" t="s">
        <v>780</v>
      </c>
      <c r="O360" s="513" t="s">
        <v>1407</v>
      </c>
      <c r="P360" s="513" t="s">
        <v>7284</v>
      </c>
      <c r="Q360" s="518" t="s">
        <v>7101</v>
      </c>
      <c r="R360" s="152" t="s">
        <v>7285</v>
      </c>
      <c r="S360" s="152" t="s">
        <v>7288</v>
      </c>
      <c r="T360" s="152" t="s">
        <v>7287</v>
      </c>
      <c r="U360" s="152" t="s">
        <v>786</v>
      </c>
    </row>
    <row r="361" spans="4:21">
      <c r="D361" s="210"/>
      <c r="E361" s="210" t="s">
        <v>676</v>
      </c>
      <c r="F361" s="684" t="str">
        <f>+VLOOKUP(G361,Resumen_Base!$C$8:$G$156,5,0)</f>
        <v>Food &amp; Wine</v>
      </c>
      <c r="G361" s="152" t="s">
        <v>45</v>
      </c>
      <c r="H361" s="474" t="s">
        <v>44</v>
      </c>
      <c r="I361" s="152" t="str">
        <f t="shared" si="5"/>
        <v>CAR5213</v>
      </c>
      <c r="J361" s="847">
        <v>2669.5</v>
      </c>
      <c r="K361" s="513">
        <v>1.9</v>
      </c>
      <c r="L361" s="513">
        <v>1405</v>
      </c>
      <c r="M361" s="152" t="s">
        <v>7116</v>
      </c>
      <c r="N361" s="513" t="s">
        <v>780</v>
      </c>
      <c r="O361" s="513" t="s">
        <v>1407</v>
      </c>
      <c r="P361" s="513" t="s">
        <v>7456</v>
      </c>
      <c r="Q361" s="518" t="s">
        <v>7101</v>
      </c>
      <c r="R361" s="152" t="s">
        <v>7457</v>
      </c>
      <c r="S361" s="152" t="s">
        <v>1515</v>
      </c>
      <c r="T361" s="152" t="s">
        <v>7459</v>
      </c>
      <c r="U361" s="152" t="s">
        <v>786</v>
      </c>
    </row>
    <row r="362" spans="4:21">
      <c r="D362" s="210"/>
      <c r="E362" s="210" t="s">
        <v>676</v>
      </c>
      <c r="F362" s="684" t="str">
        <f>+VLOOKUP(G362,Resumen_Base!$C$8:$G$156,5,0)</f>
        <v>Food &amp; Wine</v>
      </c>
      <c r="G362" s="152" t="s">
        <v>45</v>
      </c>
      <c r="H362" s="474" t="s">
        <v>44</v>
      </c>
      <c r="I362" s="152" t="str">
        <f t="shared" si="5"/>
        <v>CAR5213</v>
      </c>
      <c r="J362" s="847">
        <v>484429.95</v>
      </c>
      <c r="K362" s="513">
        <v>344.79</v>
      </c>
      <c r="L362" s="513">
        <v>1405</v>
      </c>
      <c r="M362" s="152" t="s">
        <v>7116</v>
      </c>
      <c r="N362" s="513" t="s">
        <v>780</v>
      </c>
      <c r="O362" s="513" t="s">
        <v>1407</v>
      </c>
      <c r="P362" s="513" t="s">
        <v>7456</v>
      </c>
      <c r="Q362" s="518" t="s">
        <v>7101</v>
      </c>
      <c r="R362" s="152" t="s">
        <v>7457</v>
      </c>
      <c r="S362" s="152" t="s">
        <v>7508</v>
      </c>
      <c r="T362" s="152" t="s">
        <v>7459</v>
      </c>
      <c r="U362" s="152" t="s">
        <v>786</v>
      </c>
    </row>
    <row r="363" spans="4:21">
      <c r="D363" s="210"/>
      <c r="E363" s="210" t="s">
        <v>676</v>
      </c>
      <c r="F363" s="684" t="str">
        <f>+VLOOKUP(G363,Resumen_Base!$C$8:$G$156,5,0)</f>
        <v>Food &amp; Wine</v>
      </c>
      <c r="G363" s="152" t="s">
        <v>45</v>
      </c>
      <c r="H363" s="474" t="s">
        <v>44</v>
      </c>
      <c r="I363" s="152" t="str">
        <f t="shared" si="5"/>
        <v>CAR5213</v>
      </c>
      <c r="J363" s="847">
        <v>2669.5</v>
      </c>
      <c r="K363" s="513">
        <v>1.9</v>
      </c>
      <c r="L363" s="513">
        <v>1405</v>
      </c>
      <c r="M363" s="152" t="s">
        <v>7143</v>
      </c>
      <c r="N363" s="513" t="s">
        <v>780</v>
      </c>
      <c r="O363" s="513" t="s">
        <v>1407</v>
      </c>
      <c r="P363" s="513" t="s">
        <v>7619</v>
      </c>
      <c r="Q363" s="518" t="s">
        <v>7101</v>
      </c>
      <c r="R363" s="152" t="s">
        <v>7620</v>
      </c>
      <c r="S363" s="152" t="s">
        <v>1515</v>
      </c>
      <c r="T363" s="152" t="s">
        <v>7621</v>
      </c>
      <c r="U363" s="152" t="s">
        <v>786</v>
      </c>
    </row>
    <row r="364" spans="4:21">
      <c r="D364" s="210"/>
      <c r="E364" s="210" t="s">
        <v>676</v>
      </c>
      <c r="F364" s="684" t="str">
        <f>+VLOOKUP(G364,Resumen_Base!$C$8:$G$156,5,0)</f>
        <v>Food &amp; Wine</v>
      </c>
      <c r="G364" s="152" t="s">
        <v>45</v>
      </c>
      <c r="H364" s="474" t="s">
        <v>44</v>
      </c>
      <c r="I364" s="152" t="str">
        <f t="shared" si="5"/>
        <v>CAR5213</v>
      </c>
      <c r="J364" s="847">
        <v>600033.35</v>
      </c>
      <c r="K364" s="513">
        <v>427.07</v>
      </c>
      <c r="L364" s="513">
        <v>1405</v>
      </c>
      <c r="M364" s="152" t="s">
        <v>7143</v>
      </c>
      <c r="N364" s="513" t="s">
        <v>780</v>
      </c>
      <c r="O364" s="513" t="s">
        <v>1407</v>
      </c>
      <c r="P364" s="513" t="s">
        <v>7619</v>
      </c>
      <c r="Q364" s="518" t="s">
        <v>7101</v>
      </c>
      <c r="R364" s="152" t="s">
        <v>7620</v>
      </c>
      <c r="S364" s="152" t="s">
        <v>7644</v>
      </c>
      <c r="T364" s="152" t="s">
        <v>7621</v>
      </c>
      <c r="U364" s="152" t="s">
        <v>786</v>
      </c>
    </row>
    <row r="365" spans="4:21" ht="25">
      <c r="D365" s="210"/>
      <c r="E365" s="210" t="s">
        <v>676</v>
      </c>
      <c r="F365" s="684" t="str">
        <f>+VLOOKUP(G365,Resumen_Base!$C$8:$G$156,5,0)</f>
        <v>Insurance for lodge and boats</v>
      </c>
      <c r="G365" s="152" t="s">
        <v>316</v>
      </c>
      <c r="H365" s="474" t="s">
        <v>317</v>
      </c>
      <c r="I365" s="152" t="str">
        <f t="shared" si="5"/>
        <v>CAR5215</v>
      </c>
      <c r="J365" s="847">
        <v>285973.7</v>
      </c>
      <c r="K365" s="513">
        <v>203.54</v>
      </c>
      <c r="L365" s="513">
        <v>1405</v>
      </c>
      <c r="M365" s="152" t="s">
        <v>7116</v>
      </c>
      <c r="N365" s="513" t="s">
        <v>780</v>
      </c>
      <c r="O365" s="513" t="s">
        <v>1407</v>
      </c>
      <c r="P365" s="513" t="s">
        <v>7456</v>
      </c>
      <c r="Q365" s="518" t="s">
        <v>7101</v>
      </c>
      <c r="R365" s="152" t="s">
        <v>7457</v>
      </c>
      <c r="S365" s="152" t="s">
        <v>7512</v>
      </c>
      <c r="T365" s="152" t="s">
        <v>7459</v>
      </c>
      <c r="U365" s="152" t="s">
        <v>786</v>
      </c>
    </row>
    <row r="366" spans="4:21" ht="25">
      <c r="D366" s="210"/>
      <c r="E366" s="210" t="s">
        <v>676</v>
      </c>
      <c r="F366" s="684" t="str">
        <f>+VLOOKUP(G366,Resumen_Base!$C$8:$G$156,5,0)</f>
        <v>Insurance for lodge and boats</v>
      </c>
      <c r="G366" s="152" t="s">
        <v>316</v>
      </c>
      <c r="H366" s="474" t="s">
        <v>317</v>
      </c>
      <c r="I366" s="152" t="str">
        <f t="shared" si="5"/>
        <v>CAR5215</v>
      </c>
      <c r="J366" s="847">
        <v>103014.6</v>
      </c>
      <c r="K366" s="513">
        <v>73.319999999999993</v>
      </c>
      <c r="L366" s="513">
        <v>1405</v>
      </c>
      <c r="M366" s="152" t="s">
        <v>7116</v>
      </c>
      <c r="N366" s="513" t="s">
        <v>780</v>
      </c>
      <c r="O366" s="513" t="s">
        <v>1407</v>
      </c>
      <c r="P366" s="513" t="s">
        <v>7456</v>
      </c>
      <c r="Q366" s="518" t="s">
        <v>7101</v>
      </c>
      <c r="R366" s="152" t="s">
        <v>7457</v>
      </c>
      <c r="S366" s="152" t="s">
        <v>7510</v>
      </c>
      <c r="T366" s="152" t="s">
        <v>7459</v>
      </c>
      <c r="U366" s="152" t="s">
        <v>786</v>
      </c>
    </row>
    <row r="367" spans="4:21" ht="25">
      <c r="D367" s="210"/>
      <c r="E367" s="210" t="s">
        <v>676</v>
      </c>
      <c r="F367" s="684" t="str">
        <f>+VLOOKUP(G367,Resumen_Base!$C$8:$G$156,5,0)</f>
        <v>Insurance for lodge and boats</v>
      </c>
      <c r="G367" s="152" t="s">
        <v>316</v>
      </c>
      <c r="H367" s="474" t="s">
        <v>317</v>
      </c>
      <c r="I367" s="152" t="str">
        <f t="shared" si="5"/>
        <v>CAR5215</v>
      </c>
      <c r="J367" s="847">
        <v>103267.5</v>
      </c>
      <c r="K367" s="513">
        <v>73.5</v>
      </c>
      <c r="L367" s="513">
        <v>1405</v>
      </c>
      <c r="M367" s="152" t="s">
        <v>7116</v>
      </c>
      <c r="N367" s="513" t="s">
        <v>780</v>
      </c>
      <c r="O367" s="513" t="s">
        <v>1407</v>
      </c>
      <c r="P367" s="513" t="s">
        <v>7456</v>
      </c>
      <c r="Q367" s="518" t="s">
        <v>7101</v>
      </c>
      <c r="R367" s="152" t="s">
        <v>7457</v>
      </c>
      <c r="S367" s="152" t="s">
        <v>7511</v>
      </c>
      <c r="T367" s="152" t="s">
        <v>7459</v>
      </c>
      <c r="U367" s="152" t="s">
        <v>786</v>
      </c>
    </row>
    <row r="368" spans="4:21">
      <c r="D368" s="210"/>
      <c r="E368" s="210" t="s">
        <v>670</v>
      </c>
      <c r="F368" s="684" t="str">
        <f>+VLOOKUP(G368,Resumen_Base!$C$8:$G$156,5,0)</f>
        <v>Miscellaneous &amp; Shipping</v>
      </c>
      <c r="G368" s="152" t="s">
        <v>58</v>
      </c>
      <c r="H368" s="474" t="s">
        <v>59</v>
      </c>
      <c r="I368" s="152" t="str">
        <f t="shared" si="5"/>
        <v>SJ5219</v>
      </c>
      <c r="J368" s="847">
        <v>10720.15</v>
      </c>
      <c r="K368" s="513">
        <v>7.63</v>
      </c>
      <c r="L368" s="513">
        <v>1405</v>
      </c>
      <c r="M368" s="152" t="s">
        <v>7116</v>
      </c>
      <c r="N368" s="513" t="s">
        <v>780</v>
      </c>
      <c r="O368" s="513" t="s">
        <v>781</v>
      </c>
      <c r="P368" s="513" t="s">
        <v>7179</v>
      </c>
      <c r="Q368" s="518" t="s">
        <v>7101</v>
      </c>
      <c r="R368" s="152" t="s">
        <v>7180</v>
      </c>
      <c r="S368" s="152" t="s">
        <v>7229</v>
      </c>
      <c r="T368" s="152" t="s">
        <v>7182</v>
      </c>
      <c r="U368" s="152" t="s">
        <v>786</v>
      </c>
    </row>
    <row r="369" spans="4:21">
      <c r="D369" s="210"/>
      <c r="E369" s="210" t="s">
        <v>670</v>
      </c>
      <c r="F369" s="684" t="str">
        <f>+VLOOKUP(G369,Resumen_Base!$C$8:$G$156,5,0)</f>
        <v>Miscellaneous &amp; Shipping</v>
      </c>
      <c r="G369" s="152" t="s">
        <v>58</v>
      </c>
      <c r="H369" s="474" t="s">
        <v>59</v>
      </c>
      <c r="I369" s="152" t="str">
        <f t="shared" si="5"/>
        <v>SJ5219</v>
      </c>
      <c r="J369" s="847">
        <v>58419.9</v>
      </c>
      <c r="K369" s="513">
        <v>41.58</v>
      </c>
      <c r="L369" s="513">
        <v>1405</v>
      </c>
      <c r="M369" s="152" t="s">
        <v>7116</v>
      </c>
      <c r="N369" s="513" t="s">
        <v>780</v>
      </c>
      <c r="O369" s="513" t="s">
        <v>781</v>
      </c>
      <c r="P369" s="513" t="s">
        <v>7179</v>
      </c>
      <c r="Q369" s="518" t="s">
        <v>7101</v>
      </c>
      <c r="R369" s="152" t="s">
        <v>7180</v>
      </c>
      <c r="S369" s="152" t="s">
        <v>7221</v>
      </c>
      <c r="T369" s="152" t="s">
        <v>7182</v>
      </c>
      <c r="U369" s="152" t="s">
        <v>786</v>
      </c>
    </row>
    <row r="370" spans="4:21">
      <c r="D370" s="210"/>
      <c r="E370" s="210" t="s">
        <v>670</v>
      </c>
      <c r="F370" s="684" t="str">
        <f>+VLOOKUP(G370,Resumen_Base!$C$8:$G$156,5,0)</f>
        <v>Miscellaneous &amp; Shipping</v>
      </c>
      <c r="G370" s="152" t="s">
        <v>58</v>
      </c>
      <c r="H370" s="474" t="s">
        <v>59</v>
      </c>
      <c r="I370" s="152" t="str">
        <f t="shared" si="5"/>
        <v>SJ5219</v>
      </c>
      <c r="J370" s="847">
        <v>44772.6</v>
      </c>
      <c r="K370" s="513">
        <v>31.53</v>
      </c>
      <c r="L370" s="513">
        <v>1420</v>
      </c>
      <c r="M370" s="152" t="s">
        <v>7143</v>
      </c>
      <c r="N370" s="513" t="s">
        <v>780</v>
      </c>
      <c r="O370" s="513" t="s">
        <v>781</v>
      </c>
      <c r="P370" s="513" t="s">
        <v>7284</v>
      </c>
      <c r="Q370" s="518" t="s">
        <v>7101</v>
      </c>
      <c r="R370" s="152" t="s">
        <v>7285</v>
      </c>
      <c r="S370" s="152" t="s">
        <v>7229</v>
      </c>
      <c r="T370" s="152" t="s">
        <v>7287</v>
      </c>
      <c r="U370" s="152" t="s">
        <v>786</v>
      </c>
    </row>
    <row r="371" spans="4:21">
      <c r="D371" s="210"/>
      <c r="E371" s="210" t="s">
        <v>670</v>
      </c>
      <c r="F371" s="684" t="str">
        <f>+VLOOKUP(G371,Resumen_Base!$C$8:$G$156,5,0)</f>
        <v>Miscellaneous &amp; Shipping</v>
      </c>
      <c r="G371" s="152" t="s">
        <v>58</v>
      </c>
      <c r="H371" s="474" t="s">
        <v>59</v>
      </c>
      <c r="I371" s="152" t="str">
        <f t="shared" si="5"/>
        <v>SJ5219</v>
      </c>
      <c r="J371" s="847">
        <v>215541.05</v>
      </c>
      <c r="K371" s="513">
        <v>153.41</v>
      </c>
      <c r="L371" s="513">
        <v>1405</v>
      </c>
      <c r="M371" s="152" t="s">
        <v>7116</v>
      </c>
      <c r="N371" s="513" t="s">
        <v>780</v>
      </c>
      <c r="O371" s="513" t="s">
        <v>781</v>
      </c>
      <c r="P371" s="513" t="s">
        <v>7418</v>
      </c>
      <c r="Q371" s="518" t="s">
        <v>7101</v>
      </c>
      <c r="R371" s="152" t="s">
        <v>7419</v>
      </c>
      <c r="S371" s="152" t="s">
        <v>7425</v>
      </c>
      <c r="T371" s="152" t="s">
        <v>7421</v>
      </c>
      <c r="U371" s="152" t="s">
        <v>786</v>
      </c>
    </row>
    <row r="372" spans="4:21" ht="25">
      <c r="D372" s="210"/>
      <c r="E372" s="210" t="s">
        <v>670</v>
      </c>
      <c r="F372" s="684" t="str">
        <f>+VLOOKUP(G372,Resumen_Base!$C$8:$G$156,5,0)</f>
        <v>Work uniforms for personnel (employees)</v>
      </c>
      <c r="G372" s="152" t="s">
        <v>60</v>
      </c>
      <c r="H372" s="474" t="s">
        <v>61</v>
      </c>
      <c r="I372" s="152" t="str">
        <f t="shared" si="5"/>
        <v>SJ5220</v>
      </c>
      <c r="J372" s="847">
        <v>-91760.55</v>
      </c>
      <c r="K372" s="513">
        <v>-65.31</v>
      </c>
      <c r="L372" s="513">
        <v>1405</v>
      </c>
      <c r="M372" s="152" t="s">
        <v>7116</v>
      </c>
      <c r="N372" s="513" t="s">
        <v>780</v>
      </c>
      <c r="O372" s="513" t="s">
        <v>781</v>
      </c>
      <c r="P372" s="513" t="s">
        <v>7129</v>
      </c>
      <c r="Q372" s="518" t="s">
        <v>7101</v>
      </c>
      <c r="R372" s="152" t="s">
        <v>7130</v>
      </c>
      <c r="S372" s="152" t="s">
        <v>7136</v>
      </c>
      <c r="T372" s="152" t="s">
        <v>7131</v>
      </c>
      <c r="U372" s="152" t="s">
        <v>786</v>
      </c>
    </row>
    <row r="373" spans="4:21" ht="25">
      <c r="D373" s="210"/>
      <c r="E373" s="210" t="s">
        <v>670</v>
      </c>
      <c r="F373" s="684" t="str">
        <f>+VLOOKUP(G373,Resumen_Base!$C$8:$G$156,5,0)</f>
        <v>Work uniforms for personnel (employees)</v>
      </c>
      <c r="G373" s="152" t="s">
        <v>60</v>
      </c>
      <c r="H373" s="474" t="s">
        <v>61</v>
      </c>
      <c r="I373" s="152" t="str">
        <f t="shared" si="5"/>
        <v>SJ5220</v>
      </c>
      <c r="J373" s="847">
        <v>18262</v>
      </c>
      <c r="K373" s="513">
        <v>12.9978647686833</v>
      </c>
      <c r="L373" s="513">
        <v>1405</v>
      </c>
      <c r="M373" s="152" t="s">
        <v>7108</v>
      </c>
      <c r="N373" s="513" t="s">
        <v>780</v>
      </c>
      <c r="O373" s="513" t="s">
        <v>781</v>
      </c>
      <c r="P373" s="513" t="s">
        <v>7259</v>
      </c>
      <c r="Q373" s="518" t="s">
        <v>7101</v>
      </c>
      <c r="R373" s="152" t="s">
        <v>7260</v>
      </c>
      <c r="S373" s="152" t="s">
        <v>7261</v>
      </c>
      <c r="T373" s="152" t="s">
        <v>7262</v>
      </c>
      <c r="U373" s="152" t="s">
        <v>786</v>
      </c>
    </row>
    <row r="374" spans="4:21" ht="25">
      <c r="D374" s="210"/>
      <c r="E374" s="210" t="s">
        <v>670</v>
      </c>
      <c r="F374" s="684" t="str">
        <f>+VLOOKUP(G374,Resumen_Base!$C$8:$G$156,5,0)</f>
        <v>Work uniforms for personnel (employees)</v>
      </c>
      <c r="G374" s="152" t="s">
        <v>60</v>
      </c>
      <c r="H374" s="474" t="s">
        <v>61</v>
      </c>
      <c r="I374" s="152" t="str">
        <f t="shared" si="5"/>
        <v>SJ5220</v>
      </c>
      <c r="J374" s="847">
        <v>128126.6</v>
      </c>
      <c r="K374" s="513">
        <v>90.23</v>
      </c>
      <c r="L374" s="513">
        <v>1420</v>
      </c>
      <c r="M374" s="152" t="s">
        <v>7143</v>
      </c>
      <c r="N374" s="513" t="s">
        <v>780</v>
      </c>
      <c r="O374" s="513" t="s">
        <v>781</v>
      </c>
      <c r="P374" s="513" t="s">
        <v>7284</v>
      </c>
      <c r="Q374" s="518" t="s">
        <v>7101</v>
      </c>
      <c r="R374" s="152" t="s">
        <v>7285</v>
      </c>
      <c r="S374" s="152" t="s">
        <v>7328</v>
      </c>
      <c r="T374" s="152" t="s">
        <v>7287</v>
      </c>
      <c r="U374" s="152" t="s">
        <v>786</v>
      </c>
    </row>
    <row r="375" spans="4:21" ht="25">
      <c r="D375" s="210"/>
      <c r="E375" s="210" t="s">
        <v>670</v>
      </c>
      <c r="F375" s="684" t="str">
        <f>+VLOOKUP(G375,Resumen_Base!$C$8:$G$156,5,0)</f>
        <v>Work uniforms for personnel (employees)</v>
      </c>
      <c r="G375" s="152" t="s">
        <v>60</v>
      </c>
      <c r="H375" s="474" t="s">
        <v>61</v>
      </c>
      <c r="I375" s="152" t="str">
        <f t="shared" si="5"/>
        <v>SJ5220</v>
      </c>
      <c r="J375" s="847">
        <v>137015.79999999999</v>
      </c>
      <c r="K375" s="513">
        <v>96.49</v>
      </c>
      <c r="L375" s="513">
        <v>1420</v>
      </c>
      <c r="M375" s="152" t="s">
        <v>7143</v>
      </c>
      <c r="N375" s="513" t="s">
        <v>780</v>
      </c>
      <c r="O375" s="513" t="s">
        <v>781</v>
      </c>
      <c r="P375" s="513" t="s">
        <v>7284</v>
      </c>
      <c r="Q375" s="518" t="s">
        <v>7101</v>
      </c>
      <c r="R375" s="152" t="s">
        <v>7285</v>
      </c>
      <c r="S375" s="152" t="s">
        <v>7329</v>
      </c>
      <c r="T375" s="152" t="s">
        <v>7287</v>
      </c>
      <c r="U375" s="152" t="s">
        <v>786</v>
      </c>
    </row>
    <row r="376" spans="4:21" ht="25">
      <c r="D376" s="210"/>
      <c r="E376" s="210" t="s">
        <v>670</v>
      </c>
      <c r="F376" s="684" t="str">
        <f>+VLOOKUP(G376,Resumen_Base!$C$8:$G$156,5,0)</f>
        <v>Work uniforms for personnel (employees)</v>
      </c>
      <c r="G376" s="152" t="s">
        <v>60</v>
      </c>
      <c r="H376" s="474" t="s">
        <v>61</v>
      </c>
      <c r="I376" s="152" t="str">
        <f t="shared" si="5"/>
        <v>SJ5220</v>
      </c>
      <c r="J376" s="847">
        <v>63913.45</v>
      </c>
      <c r="K376" s="513">
        <v>45.49</v>
      </c>
      <c r="L376" s="513">
        <v>1405</v>
      </c>
      <c r="M376" s="152" t="s">
        <v>7116</v>
      </c>
      <c r="N376" s="513" t="s">
        <v>780</v>
      </c>
      <c r="O376" s="513" t="s">
        <v>781</v>
      </c>
      <c r="P376" s="513" t="s">
        <v>7517</v>
      </c>
      <c r="Q376" s="518" t="s">
        <v>7101</v>
      </c>
      <c r="R376" s="152" t="s">
        <v>7518</v>
      </c>
      <c r="S376" s="152" t="s">
        <v>7529</v>
      </c>
      <c r="T376" s="152" t="s">
        <v>7520</v>
      </c>
      <c r="U376" s="152" t="s">
        <v>786</v>
      </c>
    </row>
    <row r="377" spans="4:21" ht="25">
      <c r="D377" s="210"/>
      <c r="E377" s="210" t="s">
        <v>670</v>
      </c>
      <c r="F377" s="684" t="str">
        <f>+VLOOKUP(G377,Resumen_Base!$C$8:$G$156,5,0)</f>
        <v>Work uniforms for personnel (employees)</v>
      </c>
      <c r="G377" s="152" t="s">
        <v>60</v>
      </c>
      <c r="H377" s="474" t="s">
        <v>61</v>
      </c>
      <c r="I377" s="152" t="str">
        <f t="shared" si="5"/>
        <v>SJ5220</v>
      </c>
      <c r="J377" s="847">
        <v>39621</v>
      </c>
      <c r="K377" s="513">
        <v>28.2</v>
      </c>
      <c r="L377" s="513">
        <v>1405</v>
      </c>
      <c r="M377" s="152" t="s">
        <v>7116</v>
      </c>
      <c r="N377" s="513" t="s">
        <v>780</v>
      </c>
      <c r="O377" s="513" t="s">
        <v>781</v>
      </c>
      <c r="P377" s="513" t="s">
        <v>7517</v>
      </c>
      <c r="Q377" s="518" t="s">
        <v>7101</v>
      </c>
      <c r="R377" s="152" t="s">
        <v>7518</v>
      </c>
      <c r="S377" s="152" t="s">
        <v>7530</v>
      </c>
      <c r="T377" s="152" t="s">
        <v>7520</v>
      </c>
      <c r="U377" s="152" t="s">
        <v>786</v>
      </c>
    </row>
    <row r="378" spans="4:21" ht="25">
      <c r="D378" s="210"/>
      <c r="E378" s="210" t="s">
        <v>670</v>
      </c>
      <c r="F378" s="684" t="str">
        <f>+VLOOKUP(G378,Resumen_Base!$C$8:$G$156,5,0)</f>
        <v>Work uniforms for personnel (employees)</v>
      </c>
      <c r="G378" s="152" t="s">
        <v>60</v>
      </c>
      <c r="H378" s="474" t="s">
        <v>61</v>
      </c>
      <c r="I378" s="152" t="str">
        <f t="shared" si="5"/>
        <v>SJ5220</v>
      </c>
      <c r="J378" s="847">
        <v>981898.3</v>
      </c>
      <c r="K378" s="513">
        <v>698.86</v>
      </c>
      <c r="L378" s="513">
        <v>1405</v>
      </c>
      <c r="M378" s="152" t="s">
        <v>7116</v>
      </c>
      <c r="N378" s="513" t="s">
        <v>780</v>
      </c>
      <c r="O378" s="513" t="s">
        <v>781</v>
      </c>
      <c r="P378" s="513" t="s">
        <v>7517</v>
      </c>
      <c r="Q378" s="518" t="s">
        <v>7101</v>
      </c>
      <c r="R378" s="152" t="s">
        <v>7518</v>
      </c>
      <c r="S378" s="152" t="s">
        <v>7531</v>
      </c>
      <c r="T378" s="152" t="s">
        <v>7520</v>
      </c>
      <c r="U378" s="152" t="s">
        <v>786</v>
      </c>
    </row>
    <row r="379" spans="4:21" ht="25">
      <c r="D379" s="210"/>
      <c r="E379" s="210" t="s">
        <v>670</v>
      </c>
      <c r="F379" s="684" t="str">
        <f>+VLOOKUP(G379,Resumen_Base!$C$8:$G$156,5,0)</f>
        <v>Work uniforms for personnel (employees)</v>
      </c>
      <c r="G379" s="152" t="s">
        <v>60</v>
      </c>
      <c r="H379" s="474" t="s">
        <v>61</v>
      </c>
      <c r="I379" s="152" t="str">
        <f t="shared" si="5"/>
        <v>SJ5220</v>
      </c>
      <c r="J379" s="847">
        <v>437587.25</v>
      </c>
      <c r="K379" s="513">
        <v>311.45</v>
      </c>
      <c r="L379" s="513">
        <v>1405</v>
      </c>
      <c r="M379" s="152" t="s">
        <v>7116</v>
      </c>
      <c r="N379" s="513" t="s">
        <v>780</v>
      </c>
      <c r="O379" s="513" t="s">
        <v>781</v>
      </c>
      <c r="P379" s="513" t="s">
        <v>7517</v>
      </c>
      <c r="Q379" s="518" t="s">
        <v>7101</v>
      </c>
      <c r="R379" s="152" t="s">
        <v>7518</v>
      </c>
      <c r="S379" s="152" t="s">
        <v>7532</v>
      </c>
      <c r="T379" s="152" t="s">
        <v>7520</v>
      </c>
      <c r="U379" s="152" t="s">
        <v>786</v>
      </c>
    </row>
    <row r="380" spans="4:21" ht="25">
      <c r="D380" s="210"/>
      <c r="E380" s="210" t="s">
        <v>670</v>
      </c>
      <c r="F380" s="684" t="str">
        <f>+VLOOKUP(G380,Resumen_Base!$C$8:$G$156,5,0)</f>
        <v>Work uniforms for personnel (employees)</v>
      </c>
      <c r="G380" s="152" t="s">
        <v>60</v>
      </c>
      <c r="H380" s="474" t="s">
        <v>61</v>
      </c>
      <c r="I380" s="152" t="str">
        <f t="shared" si="5"/>
        <v>SJ5220</v>
      </c>
      <c r="J380" s="847">
        <v>2697.6</v>
      </c>
      <c r="K380" s="513">
        <v>1.92</v>
      </c>
      <c r="L380" s="513">
        <v>1405</v>
      </c>
      <c r="M380" s="152" t="s">
        <v>7116</v>
      </c>
      <c r="N380" s="513" t="s">
        <v>780</v>
      </c>
      <c r="O380" s="513" t="s">
        <v>781</v>
      </c>
      <c r="P380" s="513" t="s">
        <v>7517</v>
      </c>
      <c r="Q380" s="518" t="s">
        <v>7101</v>
      </c>
      <c r="R380" s="152" t="s">
        <v>7518</v>
      </c>
      <c r="S380" s="152" t="s">
        <v>953</v>
      </c>
      <c r="T380" s="152" t="s">
        <v>7520</v>
      </c>
      <c r="U380" s="152" t="s">
        <v>786</v>
      </c>
    </row>
    <row r="381" spans="4:21" ht="25">
      <c r="D381" s="210"/>
      <c r="E381" s="210" t="s">
        <v>670</v>
      </c>
      <c r="F381" s="684" t="str">
        <f>+VLOOKUP(G381,Resumen_Base!$C$8:$G$156,5,0)</f>
        <v>Work uniforms for personnel (employees)</v>
      </c>
      <c r="G381" s="152" t="s">
        <v>60</v>
      </c>
      <c r="H381" s="474" t="s">
        <v>61</v>
      </c>
      <c r="I381" s="152" t="str">
        <f t="shared" si="5"/>
        <v>SJ5220</v>
      </c>
      <c r="J381" s="847">
        <v>2725.7</v>
      </c>
      <c r="K381" s="513">
        <v>1.94</v>
      </c>
      <c r="L381" s="513">
        <v>1405</v>
      </c>
      <c r="M381" s="152" t="s">
        <v>7116</v>
      </c>
      <c r="N381" s="513" t="s">
        <v>780</v>
      </c>
      <c r="O381" s="513" t="s">
        <v>781</v>
      </c>
      <c r="P381" s="513" t="s">
        <v>7517</v>
      </c>
      <c r="Q381" s="518" t="s">
        <v>7101</v>
      </c>
      <c r="R381" s="152" t="s">
        <v>7518</v>
      </c>
      <c r="S381" s="152" t="s">
        <v>953</v>
      </c>
      <c r="T381" s="152" t="s">
        <v>7520</v>
      </c>
      <c r="U381" s="152" t="s">
        <v>786</v>
      </c>
    </row>
    <row r="382" spans="4:21" ht="25">
      <c r="D382" s="210"/>
      <c r="E382" s="210" t="s">
        <v>670</v>
      </c>
      <c r="F382" s="684" t="str">
        <f>+VLOOKUP(G382,Resumen_Base!$C$8:$G$156,5,0)</f>
        <v>Work uniforms for personnel (employees)</v>
      </c>
      <c r="G382" s="152" t="s">
        <v>60</v>
      </c>
      <c r="H382" s="474" t="s">
        <v>61</v>
      </c>
      <c r="I382" s="152" t="str">
        <f t="shared" si="5"/>
        <v>SJ5220</v>
      </c>
      <c r="J382" s="847">
        <v>135399.85</v>
      </c>
      <c r="K382" s="513">
        <v>96.37</v>
      </c>
      <c r="L382" s="513">
        <v>1405</v>
      </c>
      <c r="M382" s="152" t="s">
        <v>7116</v>
      </c>
      <c r="N382" s="513" t="s">
        <v>780</v>
      </c>
      <c r="O382" s="513" t="s">
        <v>781</v>
      </c>
      <c r="P382" s="513" t="s">
        <v>7517</v>
      </c>
      <c r="Q382" s="518" t="s">
        <v>7101</v>
      </c>
      <c r="R382" s="152" t="s">
        <v>7518</v>
      </c>
      <c r="S382" s="152" t="s">
        <v>7533</v>
      </c>
      <c r="T382" s="152" t="s">
        <v>7520</v>
      </c>
      <c r="U382" s="152" t="s">
        <v>786</v>
      </c>
    </row>
    <row r="383" spans="4:21" ht="25">
      <c r="D383" s="210"/>
      <c r="E383" s="210" t="s">
        <v>670</v>
      </c>
      <c r="F383" s="684" t="str">
        <f>+VLOOKUP(G383,Resumen_Base!$C$8:$G$156,5,0)</f>
        <v>Work uniforms for personnel (employees)</v>
      </c>
      <c r="G383" s="152" t="s">
        <v>60</v>
      </c>
      <c r="H383" s="474" t="s">
        <v>61</v>
      </c>
      <c r="I383" s="152" t="str">
        <f t="shared" si="5"/>
        <v>SJ5220</v>
      </c>
      <c r="J383" s="847">
        <v>132182.39999999999</v>
      </c>
      <c r="K383" s="513">
        <v>94.08</v>
      </c>
      <c r="L383" s="513">
        <v>1405</v>
      </c>
      <c r="M383" s="152" t="s">
        <v>7116</v>
      </c>
      <c r="N383" s="513" t="s">
        <v>780</v>
      </c>
      <c r="O383" s="513" t="s">
        <v>781</v>
      </c>
      <c r="P383" s="513" t="s">
        <v>7517</v>
      </c>
      <c r="Q383" s="518" t="s">
        <v>7101</v>
      </c>
      <c r="R383" s="152" t="s">
        <v>7518</v>
      </c>
      <c r="S383" s="152" t="s">
        <v>7534</v>
      </c>
      <c r="T383" s="152" t="s">
        <v>7520</v>
      </c>
      <c r="U383" s="152" t="s">
        <v>786</v>
      </c>
    </row>
    <row r="384" spans="4:21" ht="25">
      <c r="D384" s="210"/>
      <c r="E384" s="210" t="s">
        <v>670</v>
      </c>
      <c r="F384" s="684" t="str">
        <f>+VLOOKUP(G384,Resumen_Base!$C$8:$G$156,5,0)</f>
        <v>Work uniforms for personnel (employees)</v>
      </c>
      <c r="G384" s="152" t="s">
        <v>60</v>
      </c>
      <c r="H384" s="474" t="s">
        <v>61</v>
      </c>
      <c r="I384" s="152" t="str">
        <f t="shared" si="5"/>
        <v>SJ5220</v>
      </c>
      <c r="J384" s="847">
        <v>66133.350000000006</v>
      </c>
      <c r="K384" s="513">
        <v>47.07</v>
      </c>
      <c r="L384" s="513">
        <v>1405</v>
      </c>
      <c r="M384" s="152" t="s">
        <v>7116</v>
      </c>
      <c r="N384" s="513" t="s">
        <v>780</v>
      </c>
      <c r="O384" s="513" t="s">
        <v>781</v>
      </c>
      <c r="P384" s="513" t="s">
        <v>7517</v>
      </c>
      <c r="Q384" s="518" t="s">
        <v>7101</v>
      </c>
      <c r="R384" s="152" t="s">
        <v>7518</v>
      </c>
      <c r="S384" s="152" t="s">
        <v>7528</v>
      </c>
      <c r="T384" s="152" t="s">
        <v>7520</v>
      </c>
      <c r="U384" s="152" t="s">
        <v>786</v>
      </c>
    </row>
    <row r="385" spans="4:21" ht="25">
      <c r="D385" s="210"/>
      <c r="E385" s="210" t="s">
        <v>670</v>
      </c>
      <c r="F385" s="684" t="str">
        <f>+VLOOKUP(G385,Resumen_Base!$C$8:$G$156,5,0)</f>
        <v>Work uniforms for personnel (employees)</v>
      </c>
      <c r="G385" s="152" t="s">
        <v>60</v>
      </c>
      <c r="H385" s="474" t="s">
        <v>61</v>
      </c>
      <c r="I385" s="152" t="str">
        <f t="shared" si="5"/>
        <v>SJ5220</v>
      </c>
      <c r="J385" s="847">
        <v>361113.1</v>
      </c>
      <c r="K385" s="513">
        <v>257.02</v>
      </c>
      <c r="L385" s="513">
        <v>1405</v>
      </c>
      <c r="M385" s="152" t="s">
        <v>7116</v>
      </c>
      <c r="N385" s="513" t="s">
        <v>780</v>
      </c>
      <c r="O385" s="513" t="s">
        <v>781</v>
      </c>
      <c r="P385" s="513" t="s">
        <v>7517</v>
      </c>
      <c r="Q385" s="518" t="s">
        <v>7101</v>
      </c>
      <c r="R385" s="152" t="s">
        <v>7518</v>
      </c>
      <c r="S385" s="152" t="s">
        <v>7535</v>
      </c>
      <c r="T385" s="152" t="s">
        <v>7520</v>
      </c>
      <c r="U385" s="152" t="s">
        <v>786</v>
      </c>
    </row>
    <row r="386" spans="4:21" ht="25">
      <c r="D386" s="210"/>
      <c r="E386" s="210" t="s">
        <v>670</v>
      </c>
      <c r="F386" s="684" t="str">
        <f>+VLOOKUP(G386,Resumen_Base!$C$8:$G$156,5,0)</f>
        <v>Work uniforms for personnel (employees)</v>
      </c>
      <c r="G386" s="152" t="s">
        <v>60</v>
      </c>
      <c r="H386" s="474" t="s">
        <v>61</v>
      </c>
      <c r="I386" s="152" t="str">
        <f t="shared" si="5"/>
        <v>SJ5220</v>
      </c>
      <c r="J386" s="847">
        <v>2697.6</v>
      </c>
      <c r="K386" s="513">
        <v>1.92</v>
      </c>
      <c r="L386" s="513">
        <v>1405</v>
      </c>
      <c r="M386" s="152" t="s">
        <v>7116</v>
      </c>
      <c r="N386" s="513" t="s">
        <v>780</v>
      </c>
      <c r="O386" s="513" t="s">
        <v>781</v>
      </c>
      <c r="P386" s="513" t="s">
        <v>7517</v>
      </c>
      <c r="Q386" s="518" t="s">
        <v>7101</v>
      </c>
      <c r="R386" s="152" t="s">
        <v>7518</v>
      </c>
      <c r="S386" s="152" t="s">
        <v>953</v>
      </c>
      <c r="T386" s="152" t="s">
        <v>7520</v>
      </c>
      <c r="U386" s="152" t="s">
        <v>786</v>
      </c>
    </row>
    <row r="387" spans="4:21" ht="25">
      <c r="D387" s="210"/>
      <c r="E387" s="210" t="s">
        <v>670</v>
      </c>
      <c r="F387" s="684" t="str">
        <f>+VLOOKUP(G387,Resumen_Base!$C$8:$G$156,5,0)</f>
        <v>Work uniforms for personnel (employees)</v>
      </c>
      <c r="G387" s="152" t="s">
        <v>60</v>
      </c>
      <c r="H387" s="474" t="s">
        <v>61</v>
      </c>
      <c r="I387" s="152" t="str">
        <f t="shared" si="5"/>
        <v>SJ5220</v>
      </c>
      <c r="J387" s="847">
        <v>2739.75</v>
      </c>
      <c r="K387" s="513">
        <v>1.95</v>
      </c>
      <c r="L387" s="513">
        <v>1405</v>
      </c>
      <c r="M387" s="152" t="s">
        <v>7116</v>
      </c>
      <c r="N387" s="513" t="s">
        <v>780</v>
      </c>
      <c r="O387" s="513" t="s">
        <v>781</v>
      </c>
      <c r="P387" s="513" t="s">
        <v>7517</v>
      </c>
      <c r="Q387" s="518" t="s">
        <v>7101</v>
      </c>
      <c r="R387" s="152" t="s">
        <v>7518</v>
      </c>
      <c r="S387" s="152" t="s">
        <v>953</v>
      </c>
      <c r="T387" s="152" t="s">
        <v>7520</v>
      </c>
      <c r="U387" s="152" t="s">
        <v>786</v>
      </c>
    </row>
    <row r="388" spans="4:21" ht="25">
      <c r="D388" s="210"/>
      <c r="E388" s="210" t="s">
        <v>670</v>
      </c>
      <c r="F388" s="684" t="str">
        <f>+VLOOKUP(G388,Resumen_Base!$C$8:$G$156,5,0)</f>
        <v>Work uniforms for personnel (employees)</v>
      </c>
      <c r="G388" s="152" t="s">
        <v>60</v>
      </c>
      <c r="H388" s="474" t="s">
        <v>61</v>
      </c>
      <c r="I388" s="152" t="str">
        <f t="shared" si="5"/>
        <v>SJ5220</v>
      </c>
      <c r="J388" s="847">
        <v>91760.55</v>
      </c>
      <c r="K388" s="513">
        <v>65.31</v>
      </c>
      <c r="L388" s="513">
        <v>1405</v>
      </c>
      <c r="M388" s="152" t="s">
        <v>7116</v>
      </c>
      <c r="N388" s="513" t="s">
        <v>780</v>
      </c>
      <c r="O388" s="513" t="s">
        <v>781</v>
      </c>
      <c r="P388" s="513" t="s">
        <v>7517</v>
      </c>
      <c r="Q388" s="518" t="s">
        <v>7101</v>
      </c>
      <c r="R388" s="152" t="s">
        <v>7518</v>
      </c>
      <c r="S388" s="152" t="s">
        <v>7538</v>
      </c>
      <c r="T388" s="152" t="s">
        <v>7520</v>
      </c>
      <c r="U388" s="152" t="s">
        <v>786</v>
      </c>
    </row>
    <row r="389" spans="4:21" ht="25">
      <c r="D389" s="210"/>
      <c r="E389" s="210" t="s">
        <v>670</v>
      </c>
      <c r="F389" s="684" t="str">
        <f>+VLOOKUP(G389,Resumen_Base!$C$8:$G$156,5,0)</f>
        <v>Work uniforms for personnel (employees)</v>
      </c>
      <c r="G389" s="152" t="s">
        <v>60</v>
      </c>
      <c r="H389" s="474" t="s">
        <v>61</v>
      </c>
      <c r="I389" s="152" t="str">
        <f t="shared" si="5"/>
        <v>SJ5220</v>
      </c>
      <c r="J389" s="847">
        <v>2739.75</v>
      </c>
      <c r="K389" s="513">
        <v>1.95</v>
      </c>
      <c r="L389" s="513">
        <v>1405</v>
      </c>
      <c r="M389" s="152" t="s">
        <v>7116</v>
      </c>
      <c r="N389" s="513" t="s">
        <v>780</v>
      </c>
      <c r="O389" s="513" t="s">
        <v>781</v>
      </c>
      <c r="P389" s="513" t="s">
        <v>7517</v>
      </c>
      <c r="Q389" s="518" t="s">
        <v>7101</v>
      </c>
      <c r="R389" s="152" t="s">
        <v>7518</v>
      </c>
      <c r="S389" s="152" t="s">
        <v>953</v>
      </c>
      <c r="T389" s="152" t="s">
        <v>7520</v>
      </c>
      <c r="U389" s="152" t="s">
        <v>786</v>
      </c>
    </row>
    <row r="390" spans="4:21" ht="25">
      <c r="D390" s="210"/>
      <c r="E390" s="210" t="s">
        <v>670</v>
      </c>
      <c r="F390" s="684" t="str">
        <f>+VLOOKUP(G390,Resumen_Base!$C$8:$G$156,5,0)</f>
        <v>Work uniforms for personnel (employees)</v>
      </c>
      <c r="G390" s="152" t="s">
        <v>60</v>
      </c>
      <c r="H390" s="474" t="s">
        <v>61</v>
      </c>
      <c r="I390" s="152" t="str">
        <f t="shared" si="5"/>
        <v>SJ5220</v>
      </c>
      <c r="J390" s="847">
        <v>475592.5</v>
      </c>
      <c r="K390" s="513">
        <v>338.5</v>
      </c>
      <c r="L390" s="513">
        <v>1405</v>
      </c>
      <c r="M390" s="152" t="s">
        <v>7116</v>
      </c>
      <c r="N390" s="513" t="s">
        <v>780</v>
      </c>
      <c r="O390" s="513" t="s">
        <v>781</v>
      </c>
      <c r="P390" s="513" t="s">
        <v>7517</v>
      </c>
      <c r="Q390" s="518" t="s">
        <v>7101</v>
      </c>
      <c r="R390" s="152" t="s">
        <v>7518</v>
      </c>
      <c r="S390" s="152" t="s">
        <v>7539</v>
      </c>
      <c r="T390" s="152" t="s">
        <v>7520</v>
      </c>
      <c r="U390" s="152" t="s">
        <v>786</v>
      </c>
    </row>
    <row r="391" spans="4:21" ht="25">
      <c r="D391" s="210"/>
      <c r="E391" s="210" t="s">
        <v>670</v>
      </c>
      <c r="F391" s="684" t="str">
        <f>+VLOOKUP(G391,Resumen_Base!$C$8:$G$156,5,0)</f>
        <v>Work uniforms for personnel (employees)</v>
      </c>
      <c r="G391" s="152" t="s">
        <v>60</v>
      </c>
      <c r="H391" s="474" t="s">
        <v>61</v>
      </c>
      <c r="I391" s="152" t="str">
        <f t="shared" si="5"/>
        <v>SJ5220</v>
      </c>
      <c r="J391" s="847">
        <v>257213.35</v>
      </c>
      <c r="K391" s="513">
        <v>183.07</v>
      </c>
      <c r="L391" s="513">
        <v>1405</v>
      </c>
      <c r="M391" s="152" t="s">
        <v>7116</v>
      </c>
      <c r="N391" s="513" t="s">
        <v>780</v>
      </c>
      <c r="O391" s="513" t="s">
        <v>781</v>
      </c>
      <c r="P391" s="513" t="s">
        <v>7517</v>
      </c>
      <c r="Q391" s="518" t="s">
        <v>7101</v>
      </c>
      <c r="R391" s="152" t="s">
        <v>7518</v>
      </c>
      <c r="S391" s="152" t="s">
        <v>7540</v>
      </c>
      <c r="T391" s="152" t="s">
        <v>7520</v>
      </c>
      <c r="U391" s="152" t="s">
        <v>786</v>
      </c>
    </row>
    <row r="392" spans="4:21" ht="25">
      <c r="D392" s="210"/>
      <c r="E392" s="210" t="s">
        <v>670</v>
      </c>
      <c r="F392" s="684" t="str">
        <f>+VLOOKUP(G392,Resumen_Base!$C$8:$G$156,5,0)</f>
        <v>Work uniforms for personnel (employees)</v>
      </c>
      <c r="G392" s="152" t="s">
        <v>60</v>
      </c>
      <c r="H392" s="474" t="s">
        <v>61</v>
      </c>
      <c r="I392" s="152" t="str">
        <f t="shared" si="5"/>
        <v>SJ5220</v>
      </c>
      <c r="J392" s="847">
        <v>70659.199999999997</v>
      </c>
      <c r="K392" s="513">
        <v>49.76</v>
      </c>
      <c r="L392" s="513">
        <v>1420</v>
      </c>
      <c r="M392" s="152" t="s">
        <v>7143</v>
      </c>
      <c r="N392" s="513" t="s">
        <v>780</v>
      </c>
      <c r="O392" s="513" t="s">
        <v>781</v>
      </c>
      <c r="P392" s="513" t="s">
        <v>7664</v>
      </c>
      <c r="Q392" s="518" t="s">
        <v>7101</v>
      </c>
      <c r="R392" s="152" t="s">
        <v>7665</v>
      </c>
      <c r="S392" s="152" t="s">
        <v>7673</v>
      </c>
      <c r="T392" s="152" t="s">
        <v>7667</v>
      </c>
      <c r="U392" s="152" t="s">
        <v>786</v>
      </c>
    </row>
    <row r="393" spans="4:21" ht="25">
      <c r="D393" s="210"/>
      <c r="E393" s="210" t="s">
        <v>670</v>
      </c>
      <c r="F393" s="684" t="str">
        <f>+VLOOKUP(G393,Resumen_Base!$C$8:$G$156,5,0)</f>
        <v>Work uniforms for personnel (employees)</v>
      </c>
      <c r="G393" s="152" t="s">
        <v>60</v>
      </c>
      <c r="H393" s="474" t="s">
        <v>61</v>
      </c>
      <c r="I393" s="152" t="str">
        <f t="shared" si="5"/>
        <v>SJ5220</v>
      </c>
      <c r="J393" s="847">
        <v>143249.60000000001</v>
      </c>
      <c r="K393" s="513">
        <v>100.88</v>
      </c>
      <c r="L393" s="513">
        <v>1420</v>
      </c>
      <c r="M393" s="152" t="s">
        <v>7143</v>
      </c>
      <c r="N393" s="513" t="s">
        <v>780</v>
      </c>
      <c r="O393" s="513" t="s">
        <v>781</v>
      </c>
      <c r="P393" s="513" t="s">
        <v>7664</v>
      </c>
      <c r="Q393" s="518" t="s">
        <v>7101</v>
      </c>
      <c r="R393" s="152" t="s">
        <v>7665</v>
      </c>
      <c r="S393" s="152" t="s">
        <v>7686</v>
      </c>
      <c r="T393" s="152" t="s">
        <v>7667</v>
      </c>
      <c r="U393" s="152" t="s">
        <v>786</v>
      </c>
    </row>
    <row r="394" spans="4:21" ht="25">
      <c r="D394" s="210"/>
      <c r="E394" s="210" t="s">
        <v>675</v>
      </c>
      <c r="F394" s="684" t="str">
        <f>+VLOOKUP(G394,Resumen_Base!$C$8:$G$156,5,0)</f>
        <v>Work uniforms for personnel (employees)</v>
      </c>
      <c r="G394" s="152" t="s">
        <v>60</v>
      </c>
      <c r="H394" s="474" t="s">
        <v>61</v>
      </c>
      <c r="I394" s="152" t="str">
        <f t="shared" si="5"/>
        <v>UL5220</v>
      </c>
      <c r="J394" s="847">
        <v>18262</v>
      </c>
      <c r="K394" s="513">
        <v>12.9978647686833</v>
      </c>
      <c r="L394" s="513">
        <v>1405</v>
      </c>
      <c r="M394" s="152" t="s">
        <v>7108</v>
      </c>
      <c r="N394" s="513" t="s">
        <v>780</v>
      </c>
      <c r="O394" s="513" t="s">
        <v>1272</v>
      </c>
      <c r="P394" s="513" t="s">
        <v>7259</v>
      </c>
      <c r="Q394" s="518" t="s">
        <v>7101</v>
      </c>
      <c r="R394" s="152" t="s">
        <v>7260</v>
      </c>
      <c r="S394" s="152" t="s">
        <v>7264</v>
      </c>
      <c r="T394" s="152" t="s">
        <v>7262</v>
      </c>
      <c r="U394" s="152" t="s">
        <v>786</v>
      </c>
    </row>
    <row r="395" spans="4:21" ht="25">
      <c r="D395" s="210"/>
      <c r="E395" s="210" t="s">
        <v>676</v>
      </c>
      <c r="F395" s="684" t="str">
        <f>+VLOOKUP(G395,Resumen_Base!$C$8:$G$156,5,0)</f>
        <v>Work uniforms for personnel (employees)</v>
      </c>
      <c r="G395" s="152" t="s">
        <v>60</v>
      </c>
      <c r="H395" s="474" t="s">
        <v>61</v>
      </c>
      <c r="I395" s="152" t="str">
        <f t="shared" si="5"/>
        <v>CAR5220</v>
      </c>
      <c r="J395" s="847">
        <v>18262</v>
      </c>
      <c r="K395" s="513">
        <v>12.9978647686833</v>
      </c>
      <c r="L395" s="513">
        <v>1405</v>
      </c>
      <c r="M395" s="152" t="s">
        <v>7108</v>
      </c>
      <c r="N395" s="513" t="s">
        <v>780</v>
      </c>
      <c r="O395" s="513" t="s">
        <v>1407</v>
      </c>
      <c r="P395" s="513" t="s">
        <v>7259</v>
      </c>
      <c r="Q395" s="518" t="s">
        <v>7101</v>
      </c>
      <c r="R395" s="152" t="s">
        <v>7260</v>
      </c>
      <c r="S395" s="152" t="s">
        <v>7265</v>
      </c>
      <c r="T395" s="152" t="s">
        <v>7262</v>
      </c>
      <c r="U395" s="152" t="s">
        <v>786</v>
      </c>
    </row>
    <row r="396" spans="4:21" ht="25">
      <c r="D396" s="210"/>
      <c r="E396" s="210" t="s">
        <v>676</v>
      </c>
      <c r="F396" s="684" t="str">
        <f>+VLOOKUP(G396,Resumen_Base!$C$8:$G$156,5,0)</f>
        <v>Work uniforms for personnel (employees)</v>
      </c>
      <c r="G396" s="152" t="s">
        <v>60</v>
      </c>
      <c r="H396" s="474" t="s">
        <v>61</v>
      </c>
      <c r="I396" s="152" t="str">
        <f t="shared" si="5"/>
        <v>CAR5220</v>
      </c>
      <c r="J396" s="847">
        <v>785521.45</v>
      </c>
      <c r="K396" s="513">
        <v>559.09</v>
      </c>
      <c r="L396" s="513">
        <v>1405</v>
      </c>
      <c r="M396" s="152" t="s">
        <v>7116</v>
      </c>
      <c r="N396" s="513" t="s">
        <v>780</v>
      </c>
      <c r="O396" s="513" t="s">
        <v>1407</v>
      </c>
      <c r="P396" s="513" t="s">
        <v>7456</v>
      </c>
      <c r="Q396" s="518" t="s">
        <v>7101</v>
      </c>
      <c r="R396" s="152" t="s">
        <v>7457</v>
      </c>
      <c r="S396" s="152" t="s">
        <v>7487</v>
      </c>
      <c r="T396" s="152" t="s">
        <v>7459</v>
      </c>
      <c r="U396" s="152" t="s">
        <v>786</v>
      </c>
    </row>
    <row r="397" spans="4:21" ht="25">
      <c r="D397" s="210"/>
      <c r="E397" s="210" t="s">
        <v>676</v>
      </c>
      <c r="F397" s="684" t="str">
        <f>+VLOOKUP(G397,Resumen_Base!$C$8:$G$156,5,0)</f>
        <v>Work uniforms for personnel (employees)</v>
      </c>
      <c r="G397" s="152" t="s">
        <v>60</v>
      </c>
      <c r="H397" s="474" t="s">
        <v>61</v>
      </c>
      <c r="I397" s="152" t="str">
        <f t="shared" ref="I397:I460" si="6">+E397&amp;G397</f>
        <v>CAR5220</v>
      </c>
      <c r="J397" s="847">
        <v>775658.35</v>
      </c>
      <c r="K397" s="513">
        <v>552.07000000000005</v>
      </c>
      <c r="L397" s="513">
        <v>1405</v>
      </c>
      <c r="M397" s="152" t="s">
        <v>7116</v>
      </c>
      <c r="N397" s="513" t="s">
        <v>780</v>
      </c>
      <c r="O397" s="513" t="s">
        <v>1407</v>
      </c>
      <c r="P397" s="513" t="s">
        <v>7456</v>
      </c>
      <c r="Q397" s="518" t="s">
        <v>7101</v>
      </c>
      <c r="R397" s="152" t="s">
        <v>7457</v>
      </c>
      <c r="S397" s="152" t="s">
        <v>7509</v>
      </c>
      <c r="T397" s="152" t="s">
        <v>7459</v>
      </c>
      <c r="U397" s="152" t="s">
        <v>786</v>
      </c>
    </row>
    <row r="398" spans="4:21" ht="25">
      <c r="D398" s="210"/>
      <c r="E398" s="210" t="s">
        <v>670</v>
      </c>
      <c r="F398" s="684" t="str">
        <f>+VLOOKUP(G398,Resumen_Base!$C$8:$G$156,5,0)</f>
        <v>Licenses / Permits (Fishing and Shooting)</v>
      </c>
      <c r="G398" s="152" t="s">
        <v>62</v>
      </c>
      <c r="H398" s="474" t="s">
        <v>63</v>
      </c>
      <c r="I398" s="152" t="str">
        <f t="shared" si="6"/>
        <v>SJ5221</v>
      </c>
      <c r="J398" s="847">
        <v>915793.05</v>
      </c>
      <c r="K398" s="513">
        <v>651.80999999999995</v>
      </c>
      <c r="L398" s="513">
        <v>1405</v>
      </c>
      <c r="M398" s="152" t="s">
        <v>7116</v>
      </c>
      <c r="N398" s="513" t="s">
        <v>780</v>
      </c>
      <c r="O398" s="513" t="s">
        <v>781</v>
      </c>
      <c r="P398" s="513" t="s">
        <v>7179</v>
      </c>
      <c r="Q398" s="518" t="s">
        <v>7101</v>
      </c>
      <c r="R398" s="152" t="s">
        <v>7180</v>
      </c>
      <c r="S398" s="152" t="s">
        <v>7234</v>
      </c>
      <c r="T398" s="152" t="s">
        <v>7182</v>
      </c>
      <c r="U398" s="152" t="s">
        <v>786</v>
      </c>
    </row>
    <row r="399" spans="4:21" ht="25">
      <c r="D399" s="210"/>
      <c r="E399" s="210" t="s">
        <v>670</v>
      </c>
      <c r="F399" s="684" t="str">
        <f>+VLOOKUP(G399,Resumen_Base!$C$8:$G$156,5,0)</f>
        <v>Licenses / Permits (Fishing and Shooting)</v>
      </c>
      <c r="G399" s="152" t="s">
        <v>62</v>
      </c>
      <c r="H399" s="474" t="s">
        <v>63</v>
      </c>
      <c r="I399" s="152" t="str">
        <f t="shared" si="6"/>
        <v>SJ5221</v>
      </c>
      <c r="J399" s="847">
        <v>984357.05</v>
      </c>
      <c r="K399" s="513">
        <v>700.61</v>
      </c>
      <c r="L399" s="513">
        <v>1405</v>
      </c>
      <c r="M399" s="152" t="s">
        <v>7116</v>
      </c>
      <c r="N399" s="513" t="s">
        <v>780</v>
      </c>
      <c r="O399" s="513" t="s">
        <v>781</v>
      </c>
      <c r="P399" s="513" t="s">
        <v>7179</v>
      </c>
      <c r="Q399" s="518" t="s">
        <v>7101</v>
      </c>
      <c r="R399" s="152" t="s">
        <v>7180</v>
      </c>
      <c r="S399" s="152" t="s">
        <v>7234</v>
      </c>
      <c r="T399" s="152" t="s">
        <v>7182</v>
      </c>
      <c r="U399" s="152" t="s">
        <v>786</v>
      </c>
    </row>
    <row r="400" spans="4:21" ht="25">
      <c r="D400" s="210"/>
      <c r="E400" s="210" t="s">
        <v>670</v>
      </c>
      <c r="F400" s="684" t="str">
        <f>+VLOOKUP(G400,Resumen_Base!$C$8:$G$156,5,0)</f>
        <v>Licenses / Permits (Fishing and Shooting)</v>
      </c>
      <c r="G400" s="152" t="s">
        <v>62</v>
      </c>
      <c r="H400" s="474" t="s">
        <v>63</v>
      </c>
      <c r="I400" s="152" t="str">
        <f t="shared" si="6"/>
        <v>SJ5221</v>
      </c>
      <c r="J400" s="847">
        <v>706490.2</v>
      </c>
      <c r="K400" s="513">
        <v>502.84</v>
      </c>
      <c r="L400" s="513">
        <v>1405</v>
      </c>
      <c r="M400" s="152" t="s">
        <v>7143</v>
      </c>
      <c r="N400" s="513" t="s">
        <v>780</v>
      </c>
      <c r="O400" s="513" t="s">
        <v>781</v>
      </c>
      <c r="P400" s="513" t="s">
        <v>7284</v>
      </c>
      <c r="Q400" s="518" t="s">
        <v>7101</v>
      </c>
      <c r="R400" s="152" t="s">
        <v>7285</v>
      </c>
      <c r="S400" s="152" t="s">
        <v>7234</v>
      </c>
      <c r="T400" s="152" t="s">
        <v>7287</v>
      </c>
      <c r="U400" s="152" t="s">
        <v>786</v>
      </c>
    </row>
    <row r="401" spans="4:21" ht="25">
      <c r="D401" s="210"/>
      <c r="E401" s="210" t="s">
        <v>670</v>
      </c>
      <c r="F401" s="684" t="str">
        <f>+VLOOKUP(G401,Resumen_Base!$C$8:$G$156,5,0)</f>
        <v>Licenses / Permits (Fishing and Shooting)</v>
      </c>
      <c r="G401" s="152" t="s">
        <v>62</v>
      </c>
      <c r="H401" s="474" t="s">
        <v>63</v>
      </c>
      <c r="I401" s="152" t="str">
        <f t="shared" si="6"/>
        <v>SJ5221</v>
      </c>
      <c r="J401" s="847">
        <v>879249</v>
      </c>
      <c r="K401" s="513">
        <v>625.79999999999995</v>
      </c>
      <c r="L401" s="513">
        <v>1405</v>
      </c>
      <c r="M401" s="152" t="s">
        <v>7143</v>
      </c>
      <c r="N401" s="513" t="s">
        <v>780</v>
      </c>
      <c r="O401" s="513" t="s">
        <v>781</v>
      </c>
      <c r="P401" s="513" t="s">
        <v>7284</v>
      </c>
      <c r="Q401" s="518" t="s">
        <v>7101</v>
      </c>
      <c r="R401" s="152" t="s">
        <v>7285</v>
      </c>
      <c r="S401" s="152" t="s">
        <v>7234</v>
      </c>
      <c r="T401" s="152" t="s">
        <v>7287</v>
      </c>
      <c r="U401" s="152" t="s">
        <v>786</v>
      </c>
    </row>
    <row r="402" spans="4:21" ht="25">
      <c r="D402" s="210"/>
      <c r="E402" s="210" t="s">
        <v>670</v>
      </c>
      <c r="F402" s="684" t="str">
        <f>+VLOOKUP(G402,Resumen_Base!$C$8:$G$156,5,0)</f>
        <v>Licenses / Permits (Fishing and Shooting)</v>
      </c>
      <c r="G402" s="152" t="s">
        <v>62</v>
      </c>
      <c r="H402" s="474" t="s">
        <v>63</v>
      </c>
      <c r="I402" s="152" t="str">
        <f t="shared" si="6"/>
        <v>SJ5221</v>
      </c>
      <c r="J402" s="847">
        <v>993742.45</v>
      </c>
      <c r="K402" s="513">
        <v>707.29</v>
      </c>
      <c r="L402" s="513">
        <v>1405</v>
      </c>
      <c r="M402" s="152" t="s">
        <v>7143</v>
      </c>
      <c r="N402" s="513" t="s">
        <v>780</v>
      </c>
      <c r="O402" s="513" t="s">
        <v>781</v>
      </c>
      <c r="P402" s="513" t="s">
        <v>7284</v>
      </c>
      <c r="Q402" s="518" t="s">
        <v>7101</v>
      </c>
      <c r="R402" s="152" t="s">
        <v>7285</v>
      </c>
      <c r="S402" s="152" t="s">
        <v>7234</v>
      </c>
      <c r="T402" s="152" t="s">
        <v>7287</v>
      </c>
      <c r="U402" s="152" t="s">
        <v>786</v>
      </c>
    </row>
    <row r="403" spans="4:21" ht="25">
      <c r="D403" s="210"/>
      <c r="E403" s="210" t="s">
        <v>670</v>
      </c>
      <c r="F403" s="684" t="str">
        <f>+VLOOKUP(G403,Resumen_Base!$C$8:$G$156,5,0)</f>
        <v>Licenses / Permits (Fishing and Shooting)</v>
      </c>
      <c r="G403" s="152" t="s">
        <v>62</v>
      </c>
      <c r="H403" s="474" t="s">
        <v>63</v>
      </c>
      <c r="I403" s="152" t="str">
        <f t="shared" si="6"/>
        <v>SJ5221</v>
      </c>
      <c r="J403" s="847">
        <v>7025000</v>
      </c>
      <c r="K403" s="513">
        <v>5000</v>
      </c>
      <c r="L403" s="513">
        <v>1405</v>
      </c>
      <c r="M403" s="152" t="s">
        <v>7116</v>
      </c>
      <c r="N403" s="513" t="s">
        <v>780</v>
      </c>
      <c r="O403" s="513" t="s">
        <v>781</v>
      </c>
      <c r="P403" s="513" t="s">
        <v>7418</v>
      </c>
      <c r="Q403" s="518" t="s">
        <v>7101</v>
      </c>
      <c r="R403" s="152" t="s">
        <v>7419</v>
      </c>
      <c r="S403" s="152" t="s">
        <v>7426</v>
      </c>
      <c r="T403" s="152" t="s">
        <v>7421</v>
      </c>
      <c r="U403" s="152" t="s">
        <v>786</v>
      </c>
    </row>
    <row r="404" spans="4:21" ht="25">
      <c r="D404" s="210"/>
      <c r="E404" s="210" t="s">
        <v>670</v>
      </c>
      <c r="F404" s="684" t="str">
        <f>+VLOOKUP(G404,Resumen_Base!$C$8:$G$156,5,0)</f>
        <v>Licenses / Permits (Fishing and Shooting)</v>
      </c>
      <c r="G404" s="152" t="s">
        <v>62</v>
      </c>
      <c r="H404" s="474" t="s">
        <v>63</v>
      </c>
      <c r="I404" s="152" t="str">
        <f t="shared" si="6"/>
        <v>SJ5221</v>
      </c>
      <c r="J404" s="847">
        <v>107257.7</v>
      </c>
      <c r="K404" s="513">
        <v>76.34</v>
      </c>
      <c r="L404" s="513">
        <v>1405</v>
      </c>
      <c r="M404" s="152" t="s">
        <v>7116</v>
      </c>
      <c r="N404" s="513" t="s">
        <v>780</v>
      </c>
      <c r="O404" s="513" t="s">
        <v>781</v>
      </c>
      <c r="P404" s="513" t="s">
        <v>7517</v>
      </c>
      <c r="Q404" s="518" t="s">
        <v>7101</v>
      </c>
      <c r="R404" s="152" t="s">
        <v>7518</v>
      </c>
      <c r="S404" s="152" t="s">
        <v>7542</v>
      </c>
      <c r="T404" s="152" t="s">
        <v>7520</v>
      </c>
      <c r="U404" s="152" t="s">
        <v>786</v>
      </c>
    </row>
    <row r="405" spans="4:21" ht="25">
      <c r="D405" s="210"/>
      <c r="E405" s="210" t="s">
        <v>670</v>
      </c>
      <c r="F405" s="684" t="str">
        <f>+VLOOKUP(G405,Resumen_Base!$C$8:$G$156,5,0)</f>
        <v>Licenses / Permits (Fishing and Shooting)</v>
      </c>
      <c r="G405" s="152" t="s">
        <v>62</v>
      </c>
      <c r="H405" s="474" t="s">
        <v>63</v>
      </c>
      <c r="I405" s="152" t="str">
        <f t="shared" si="6"/>
        <v>SJ5221</v>
      </c>
      <c r="J405" s="847">
        <v>2142315.9</v>
      </c>
      <c r="K405" s="513">
        <v>1524.78</v>
      </c>
      <c r="L405" s="513">
        <v>1405</v>
      </c>
      <c r="M405" s="152" t="s">
        <v>7116</v>
      </c>
      <c r="N405" s="513" t="s">
        <v>780</v>
      </c>
      <c r="O405" s="513" t="s">
        <v>781</v>
      </c>
      <c r="P405" s="513" t="s">
        <v>7517</v>
      </c>
      <c r="Q405" s="518" t="s">
        <v>7101</v>
      </c>
      <c r="R405" s="152" t="s">
        <v>7518</v>
      </c>
      <c r="S405" s="152" t="s">
        <v>7544</v>
      </c>
      <c r="T405" s="152" t="s">
        <v>7520</v>
      </c>
      <c r="U405" s="152" t="s">
        <v>786</v>
      </c>
    </row>
    <row r="406" spans="4:21" ht="25">
      <c r="D406" s="210"/>
      <c r="E406" s="210" t="s">
        <v>670</v>
      </c>
      <c r="F406" s="684" t="str">
        <f>+VLOOKUP(G406,Resumen_Base!$C$8:$G$156,5,0)</f>
        <v>Licenses / Permits (Fishing and Shooting)</v>
      </c>
      <c r="G406" s="152" t="s">
        <v>62</v>
      </c>
      <c r="H406" s="474" t="s">
        <v>63</v>
      </c>
      <c r="I406" s="152" t="str">
        <f t="shared" si="6"/>
        <v>SJ5221</v>
      </c>
      <c r="J406" s="847">
        <v>715018.55</v>
      </c>
      <c r="K406" s="513">
        <v>508.91</v>
      </c>
      <c r="L406" s="513">
        <v>1405</v>
      </c>
      <c r="M406" s="152" t="s">
        <v>7116</v>
      </c>
      <c r="N406" s="513" t="s">
        <v>780</v>
      </c>
      <c r="O406" s="513" t="s">
        <v>781</v>
      </c>
      <c r="P406" s="513" t="s">
        <v>7517</v>
      </c>
      <c r="Q406" s="518" t="s">
        <v>7101</v>
      </c>
      <c r="R406" s="152" t="s">
        <v>7518</v>
      </c>
      <c r="S406" s="152" t="s">
        <v>7545</v>
      </c>
      <c r="T406" s="152" t="s">
        <v>7520</v>
      </c>
      <c r="U406" s="152" t="s">
        <v>786</v>
      </c>
    </row>
    <row r="407" spans="4:21" ht="25">
      <c r="D407" s="210"/>
      <c r="E407" s="210" t="s">
        <v>670</v>
      </c>
      <c r="F407" s="684" t="str">
        <f>+VLOOKUP(G407,Resumen_Base!$C$8:$G$156,5,0)</f>
        <v>Licenses / Permits (Fishing and Shooting)</v>
      </c>
      <c r="G407" s="152" t="s">
        <v>62</v>
      </c>
      <c r="H407" s="474" t="s">
        <v>63</v>
      </c>
      <c r="I407" s="152" t="str">
        <f t="shared" si="6"/>
        <v>SJ5221</v>
      </c>
      <c r="J407" s="847">
        <v>35757.25</v>
      </c>
      <c r="K407" s="513">
        <v>25.45</v>
      </c>
      <c r="L407" s="513">
        <v>1405</v>
      </c>
      <c r="M407" s="152" t="s">
        <v>7116</v>
      </c>
      <c r="N407" s="513" t="s">
        <v>780</v>
      </c>
      <c r="O407" s="513" t="s">
        <v>781</v>
      </c>
      <c r="P407" s="513" t="s">
        <v>7517</v>
      </c>
      <c r="Q407" s="518" t="s">
        <v>7101</v>
      </c>
      <c r="R407" s="152" t="s">
        <v>7518</v>
      </c>
      <c r="S407" s="152" t="s">
        <v>7547</v>
      </c>
      <c r="T407" s="152" t="s">
        <v>7520</v>
      </c>
      <c r="U407" s="152" t="s">
        <v>786</v>
      </c>
    </row>
    <row r="408" spans="4:21" ht="25">
      <c r="D408" s="210"/>
      <c r="E408" s="210" t="s">
        <v>670</v>
      </c>
      <c r="F408" s="684" t="str">
        <f>+VLOOKUP(G408,Resumen_Base!$C$8:$G$156,5,0)</f>
        <v>Licenses / Permits (Fishing and Shooting)</v>
      </c>
      <c r="G408" s="152" t="s">
        <v>62</v>
      </c>
      <c r="H408" s="474" t="s">
        <v>63</v>
      </c>
      <c r="I408" s="152" t="str">
        <f t="shared" si="6"/>
        <v>SJ5221</v>
      </c>
      <c r="J408" s="847">
        <v>726585.6</v>
      </c>
      <c r="K408" s="513">
        <v>511.68</v>
      </c>
      <c r="L408" s="513">
        <v>1420</v>
      </c>
      <c r="M408" s="152" t="s">
        <v>7143</v>
      </c>
      <c r="N408" s="513" t="s">
        <v>780</v>
      </c>
      <c r="O408" s="513" t="s">
        <v>781</v>
      </c>
      <c r="P408" s="513" t="s">
        <v>7664</v>
      </c>
      <c r="Q408" s="518" t="s">
        <v>7101</v>
      </c>
      <c r="R408" s="152" t="s">
        <v>7665</v>
      </c>
      <c r="S408" s="152" t="s">
        <v>7668</v>
      </c>
      <c r="T408" s="152" t="s">
        <v>7667</v>
      </c>
      <c r="U408" s="152" t="s">
        <v>786</v>
      </c>
    </row>
    <row r="409" spans="4:21" ht="25">
      <c r="D409" s="210"/>
      <c r="E409" s="210" t="s">
        <v>670</v>
      </c>
      <c r="F409" s="684" t="str">
        <f>+VLOOKUP(G409,Resumen_Base!$C$8:$G$156,5,0)</f>
        <v>Licenses / Permits (Fishing and Shooting)</v>
      </c>
      <c r="G409" s="152" t="s">
        <v>62</v>
      </c>
      <c r="H409" s="474" t="s">
        <v>63</v>
      </c>
      <c r="I409" s="152" t="str">
        <f t="shared" si="6"/>
        <v>SJ5221</v>
      </c>
      <c r="J409" s="847">
        <v>1604.6</v>
      </c>
      <c r="K409" s="513">
        <v>1.1299999999999999</v>
      </c>
      <c r="L409" s="513">
        <v>1420</v>
      </c>
      <c r="M409" s="152" t="s">
        <v>7143</v>
      </c>
      <c r="N409" s="513" t="s">
        <v>780</v>
      </c>
      <c r="O409" s="513" t="s">
        <v>781</v>
      </c>
      <c r="P409" s="513" t="s">
        <v>7664</v>
      </c>
      <c r="Q409" s="518" t="s">
        <v>7101</v>
      </c>
      <c r="R409" s="152" t="s">
        <v>7665</v>
      </c>
      <c r="S409" s="152" t="s">
        <v>953</v>
      </c>
      <c r="T409" s="152" t="s">
        <v>7667</v>
      </c>
      <c r="U409" s="152" t="s">
        <v>786</v>
      </c>
    </row>
    <row r="410" spans="4:21" ht="25">
      <c r="D410" s="210"/>
      <c r="E410" s="210" t="s">
        <v>676</v>
      </c>
      <c r="F410" s="684" t="str">
        <f>+VLOOKUP(G410,Resumen_Base!$C$8:$G$156,5,0)</f>
        <v>Licenses / Permits (Fishing and Shooting)</v>
      </c>
      <c r="G410" s="152" t="s">
        <v>62</v>
      </c>
      <c r="H410" s="474" t="s">
        <v>63</v>
      </c>
      <c r="I410" s="152" t="str">
        <f t="shared" si="6"/>
        <v>CAR5221</v>
      </c>
      <c r="J410" s="847">
        <v>1002608</v>
      </c>
      <c r="K410" s="513">
        <v>713.6</v>
      </c>
      <c r="L410" s="513">
        <v>1405</v>
      </c>
      <c r="M410" s="152" t="s">
        <v>7116</v>
      </c>
      <c r="N410" s="513" t="s">
        <v>780</v>
      </c>
      <c r="O410" s="513" t="s">
        <v>1407</v>
      </c>
      <c r="P410" s="513" t="s">
        <v>7179</v>
      </c>
      <c r="Q410" s="518" t="s">
        <v>7101</v>
      </c>
      <c r="R410" s="152" t="s">
        <v>7180</v>
      </c>
      <c r="S410" s="152" t="s">
        <v>4043</v>
      </c>
      <c r="T410" s="152" t="s">
        <v>7182</v>
      </c>
      <c r="U410" s="152" t="s">
        <v>786</v>
      </c>
    </row>
    <row r="411" spans="4:21" ht="25">
      <c r="D411" s="210"/>
      <c r="E411" s="210" t="s">
        <v>676</v>
      </c>
      <c r="F411" s="684" t="str">
        <f>+VLOOKUP(G411,Resumen_Base!$C$8:$G$156,5,0)</f>
        <v>Licenses / Permits (Fishing and Shooting)</v>
      </c>
      <c r="G411" s="152" t="s">
        <v>62</v>
      </c>
      <c r="H411" s="474" t="s">
        <v>63</v>
      </c>
      <c r="I411" s="152" t="str">
        <f t="shared" si="6"/>
        <v>CAR5221</v>
      </c>
      <c r="J411" s="847">
        <v>957226.5</v>
      </c>
      <c r="K411" s="513">
        <v>681.3</v>
      </c>
      <c r="L411" s="513">
        <v>1405</v>
      </c>
      <c r="M411" s="152" t="s">
        <v>7116</v>
      </c>
      <c r="N411" s="513" t="s">
        <v>780</v>
      </c>
      <c r="O411" s="513" t="s">
        <v>1407</v>
      </c>
      <c r="P411" s="513" t="s">
        <v>7179</v>
      </c>
      <c r="Q411" s="518" t="s">
        <v>7101</v>
      </c>
      <c r="R411" s="152" t="s">
        <v>7180</v>
      </c>
      <c r="S411" s="152" t="s">
        <v>4043</v>
      </c>
      <c r="T411" s="152" t="s">
        <v>7182</v>
      </c>
      <c r="U411" s="152" t="s">
        <v>786</v>
      </c>
    </row>
    <row r="412" spans="4:21" ht="25">
      <c r="D412" s="210"/>
      <c r="E412" s="210" t="s">
        <v>676</v>
      </c>
      <c r="F412" s="684" t="str">
        <f>+VLOOKUP(G412,Resumen_Base!$C$8:$G$156,5,0)</f>
        <v>Licenses / Permits (Fishing and Shooting)</v>
      </c>
      <c r="G412" s="152" t="s">
        <v>62</v>
      </c>
      <c r="H412" s="474" t="s">
        <v>63</v>
      </c>
      <c r="I412" s="152" t="str">
        <f t="shared" si="6"/>
        <v>CAR5221</v>
      </c>
      <c r="J412" s="847">
        <v>839206.5</v>
      </c>
      <c r="K412" s="513">
        <v>597.29999999999995</v>
      </c>
      <c r="L412" s="513">
        <v>1405</v>
      </c>
      <c r="M412" s="152" t="s">
        <v>7116</v>
      </c>
      <c r="N412" s="513" t="s">
        <v>780</v>
      </c>
      <c r="O412" s="513" t="s">
        <v>1407</v>
      </c>
      <c r="P412" s="513" t="s">
        <v>7179</v>
      </c>
      <c r="Q412" s="518" t="s">
        <v>7101</v>
      </c>
      <c r="R412" s="152" t="s">
        <v>7180</v>
      </c>
      <c r="S412" s="152" t="s">
        <v>4043</v>
      </c>
      <c r="T412" s="152" t="s">
        <v>7182</v>
      </c>
      <c r="U412" s="152" t="s">
        <v>786</v>
      </c>
    </row>
    <row r="413" spans="4:21" ht="25">
      <c r="D413" s="210"/>
      <c r="E413" s="210" t="s">
        <v>676</v>
      </c>
      <c r="F413" s="684" t="str">
        <f>+VLOOKUP(G413,Resumen_Base!$C$8:$G$156,5,0)</f>
        <v>Licenses / Permits (Fishing and Shooting)</v>
      </c>
      <c r="G413" s="152" t="s">
        <v>62</v>
      </c>
      <c r="H413" s="474" t="s">
        <v>63</v>
      </c>
      <c r="I413" s="152" t="str">
        <f t="shared" si="6"/>
        <v>CAR5221</v>
      </c>
      <c r="J413" s="847">
        <v>991784.8</v>
      </c>
      <c r="K413" s="513">
        <v>698.44</v>
      </c>
      <c r="L413" s="513">
        <v>1420</v>
      </c>
      <c r="M413" s="152" t="s">
        <v>7143</v>
      </c>
      <c r="N413" s="513" t="s">
        <v>780</v>
      </c>
      <c r="O413" s="513" t="s">
        <v>1407</v>
      </c>
      <c r="P413" s="513" t="s">
        <v>7284</v>
      </c>
      <c r="Q413" s="518" t="s">
        <v>7101</v>
      </c>
      <c r="R413" s="152" t="s">
        <v>7285</v>
      </c>
      <c r="S413" s="152" t="s">
        <v>4043</v>
      </c>
      <c r="T413" s="152" t="s">
        <v>7287</v>
      </c>
      <c r="U413" s="152" t="s">
        <v>786</v>
      </c>
    </row>
    <row r="414" spans="4:21" ht="25">
      <c r="D414" s="210"/>
      <c r="E414" s="210" t="s">
        <v>676</v>
      </c>
      <c r="F414" s="684" t="str">
        <f>+VLOOKUP(G414,Resumen_Base!$C$8:$G$156,5,0)</f>
        <v>Licenses / Permits (Fishing and Shooting)</v>
      </c>
      <c r="G414" s="152" t="s">
        <v>62</v>
      </c>
      <c r="H414" s="474" t="s">
        <v>63</v>
      </c>
      <c r="I414" s="152" t="str">
        <f t="shared" si="6"/>
        <v>CAR5221</v>
      </c>
      <c r="J414" s="847">
        <v>850225</v>
      </c>
      <c r="K414" s="513">
        <v>598.75</v>
      </c>
      <c r="L414" s="513">
        <v>1420</v>
      </c>
      <c r="M414" s="152" t="s">
        <v>7143</v>
      </c>
      <c r="N414" s="513" t="s">
        <v>780</v>
      </c>
      <c r="O414" s="513" t="s">
        <v>1407</v>
      </c>
      <c r="P414" s="513" t="s">
        <v>7284</v>
      </c>
      <c r="Q414" s="518" t="s">
        <v>7101</v>
      </c>
      <c r="R414" s="152" t="s">
        <v>7285</v>
      </c>
      <c r="S414" s="152" t="s">
        <v>4043</v>
      </c>
      <c r="T414" s="152" t="s">
        <v>7287</v>
      </c>
      <c r="U414" s="152" t="s">
        <v>786</v>
      </c>
    </row>
    <row r="415" spans="4:21" ht="25">
      <c r="D415" s="210"/>
      <c r="E415" s="210" t="s">
        <v>676</v>
      </c>
      <c r="F415" s="684" t="str">
        <f>+VLOOKUP(G415,Resumen_Base!$C$8:$G$156,5,0)</f>
        <v>Licenses / Permits (Fishing and Shooting)</v>
      </c>
      <c r="G415" s="152" t="s">
        <v>62</v>
      </c>
      <c r="H415" s="474" t="s">
        <v>63</v>
      </c>
      <c r="I415" s="152" t="str">
        <f t="shared" si="6"/>
        <v>CAR5221</v>
      </c>
      <c r="J415" s="847">
        <v>840147.85</v>
      </c>
      <c r="K415" s="513">
        <v>597.97</v>
      </c>
      <c r="L415" s="513">
        <v>1405</v>
      </c>
      <c r="M415" s="152" t="s">
        <v>7143</v>
      </c>
      <c r="N415" s="513" t="s">
        <v>780</v>
      </c>
      <c r="O415" s="513" t="s">
        <v>1407</v>
      </c>
      <c r="P415" s="513" t="s">
        <v>7284</v>
      </c>
      <c r="Q415" s="518" t="s">
        <v>7101</v>
      </c>
      <c r="R415" s="152" t="s">
        <v>7285</v>
      </c>
      <c r="S415" s="152" t="s">
        <v>7330</v>
      </c>
      <c r="T415" s="152" t="s">
        <v>7287</v>
      </c>
      <c r="U415" s="152" t="s">
        <v>786</v>
      </c>
    </row>
    <row r="416" spans="4:21" ht="25">
      <c r="D416" s="210"/>
      <c r="E416" s="210" t="s">
        <v>676</v>
      </c>
      <c r="F416" s="684" t="str">
        <f>+VLOOKUP(G416,Resumen_Base!$C$8:$G$156,5,0)</f>
        <v>Licenses / Permits (Fishing and Shooting)</v>
      </c>
      <c r="G416" s="152" t="s">
        <v>62</v>
      </c>
      <c r="H416" s="474" t="s">
        <v>63</v>
      </c>
      <c r="I416" s="152" t="str">
        <f t="shared" si="6"/>
        <v>CAR5221</v>
      </c>
      <c r="J416" s="847">
        <v>780463.45</v>
      </c>
      <c r="K416" s="513">
        <v>555.49</v>
      </c>
      <c r="L416" s="513">
        <v>1405</v>
      </c>
      <c r="M416" s="152" t="s">
        <v>7143</v>
      </c>
      <c r="N416" s="513" t="s">
        <v>780</v>
      </c>
      <c r="O416" s="513" t="s">
        <v>1407</v>
      </c>
      <c r="P416" s="513" t="s">
        <v>7284</v>
      </c>
      <c r="Q416" s="518" t="s">
        <v>7101</v>
      </c>
      <c r="R416" s="152" t="s">
        <v>7285</v>
      </c>
      <c r="S416" s="152" t="s">
        <v>4043</v>
      </c>
      <c r="T416" s="152" t="s">
        <v>7287</v>
      </c>
      <c r="U416" s="152" t="s">
        <v>786</v>
      </c>
    </row>
    <row r="417" spans="4:21" ht="25">
      <c r="D417" s="210"/>
      <c r="E417" s="210" t="s">
        <v>676</v>
      </c>
      <c r="F417" s="684" t="str">
        <f>+VLOOKUP(G417,Resumen_Base!$C$8:$G$156,5,0)</f>
        <v>Licenses / Permits (Fishing and Shooting)</v>
      </c>
      <c r="G417" s="152" t="s">
        <v>62</v>
      </c>
      <c r="H417" s="474" t="s">
        <v>63</v>
      </c>
      <c r="I417" s="152" t="str">
        <f t="shared" si="6"/>
        <v>CAR5221</v>
      </c>
      <c r="J417" s="847">
        <v>7025000</v>
      </c>
      <c r="K417" s="513">
        <v>5000</v>
      </c>
      <c r="L417" s="513">
        <v>1405</v>
      </c>
      <c r="M417" s="152" t="s">
        <v>7116</v>
      </c>
      <c r="N417" s="513" t="s">
        <v>780</v>
      </c>
      <c r="O417" s="513" t="s">
        <v>1407</v>
      </c>
      <c r="P417" s="513" t="s">
        <v>7442</v>
      </c>
      <c r="Q417" s="518" t="s">
        <v>7101</v>
      </c>
      <c r="R417" s="152" t="s">
        <v>7443</v>
      </c>
      <c r="S417" s="152" t="s">
        <v>7446</v>
      </c>
      <c r="T417" s="152" t="s">
        <v>7445</v>
      </c>
      <c r="U417" s="152" t="s">
        <v>786</v>
      </c>
    </row>
    <row r="418" spans="4:21" ht="25">
      <c r="D418" s="210"/>
      <c r="E418" s="210" t="s">
        <v>676</v>
      </c>
      <c r="F418" s="684" t="str">
        <f>+VLOOKUP(G418,Resumen_Base!$C$8:$G$156,5,0)</f>
        <v>Licenses / Permits (Fishing and Shooting)</v>
      </c>
      <c r="G418" s="152" t="s">
        <v>62</v>
      </c>
      <c r="H418" s="474" t="s">
        <v>63</v>
      </c>
      <c r="I418" s="152" t="str">
        <f t="shared" si="6"/>
        <v>CAR5221</v>
      </c>
      <c r="J418" s="847">
        <v>1236400</v>
      </c>
      <c r="K418" s="513">
        <v>880</v>
      </c>
      <c r="L418" s="513">
        <v>1405</v>
      </c>
      <c r="M418" s="152" t="s">
        <v>7116</v>
      </c>
      <c r="N418" s="513" t="s">
        <v>780</v>
      </c>
      <c r="O418" s="513" t="s">
        <v>1407</v>
      </c>
      <c r="P418" s="513" t="s">
        <v>7442</v>
      </c>
      <c r="Q418" s="518" t="s">
        <v>7101</v>
      </c>
      <c r="R418" s="152" t="s">
        <v>7443</v>
      </c>
      <c r="S418" s="152" t="s">
        <v>7447</v>
      </c>
      <c r="T418" s="152" t="s">
        <v>7445</v>
      </c>
      <c r="U418" s="152" t="s">
        <v>786</v>
      </c>
    </row>
    <row r="419" spans="4:21" ht="25">
      <c r="D419" s="210"/>
      <c r="E419" s="210" t="s">
        <v>676</v>
      </c>
      <c r="F419" s="684" t="str">
        <f>+VLOOKUP(G419,Resumen_Base!$C$8:$G$156,5,0)</f>
        <v>Licenses / Permits (Fishing and Shooting)</v>
      </c>
      <c r="G419" s="152" t="s">
        <v>62</v>
      </c>
      <c r="H419" s="474" t="s">
        <v>63</v>
      </c>
      <c r="I419" s="152" t="str">
        <f t="shared" si="6"/>
        <v>CAR5221</v>
      </c>
      <c r="J419" s="847">
        <v>3266000</v>
      </c>
      <c r="K419" s="513">
        <v>2300</v>
      </c>
      <c r="L419" s="513">
        <v>1420</v>
      </c>
      <c r="M419" s="152" t="s">
        <v>7143</v>
      </c>
      <c r="N419" s="513" t="s">
        <v>780</v>
      </c>
      <c r="O419" s="513" t="s">
        <v>1407</v>
      </c>
      <c r="P419" s="513" t="s">
        <v>7646</v>
      </c>
      <c r="Q419" s="518" t="s">
        <v>7101</v>
      </c>
      <c r="R419" s="152" t="s">
        <v>7647</v>
      </c>
      <c r="S419" s="152" t="s">
        <v>7648</v>
      </c>
      <c r="T419" s="152" t="s">
        <v>7649</v>
      </c>
      <c r="U419" s="152" t="s">
        <v>786</v>
      </c>
    </row>
    <row r="420" spans="4:21" ht="37.5">
      <c r="D420" s="210"/>
      <c r="E420" s="210" t="s">
        <v>670</v>
      </c>
      <c r="F420" s="684" t="str">
        <f>+VLOOKUP(G420,Resumen_Base!$C$8:$G$156,5,0)</f>
        <v>Transfer to and from the airport (local taxi) - Vehicle Rental</v>
      </c>
      <c r="G420" s="152" t="s">
        <v>138</v>
      </c>
      <c r="H420" s="474" t="s">
        <v>202</v>
      </c>
      <c r="I420" s="152" t="str">
        <f t="shared" si="6"/>
        <v>SJ5225</v>
      </c>
      <c r="J420" s="847">
        <v>2669.5</v>
      </c>
      <c r="K420" s="513">
        <v>1.9</v>
      </c>
      <c r="L420" s="513">
        <v>1405</v>
      </c>
      <c r="M420" s="152" t="s">
        <v>7116</v>
      </c>
      <c r="N420" s="513" t="s">
        <v>780</v>
      </c>
      <c r="O420" s="513" t="s">
        <v>781</v>
      </c>
      <c r="P420" s="513" t="s">
        <v>7418</v>
      </c>
      <c r="Q420" s="518" t="s">
        <v>7101</v>
      </c>
      <c r="R420" s="152" t="s">
        <v>7419</v>
      </c>
      <c r="S420" s="152" t="s">
        <v>953</v>
      </c>
      <c r="T420" s="152" t="s">
        <v>7421</v>
      </c>
      <c r="U420" s="152" t="s">
        <v>786</v>
      </c>
    </row>
    <row r="421" spans="4:21" ht="37.5">
      <c r="D421" s="210"/>
      <c r="E421" s="210" t="s">
        <v>670</v>
      </c>
      <c r="F421" s="684" t="str">
        <f>+VLOOKUP(G421,Resumen_Base!$C$8:$G$156,5,0)</f>
        <v>Transfer to and from the airport (local taxi) - Vehicle Rental</v>
      </c>
      <c r="G421" s="152" t="s">
        <v>138</v>
      </c>
      <c r="H421" s="474" t="s">
        <v>202</v>
      </c>
      <c r="I421" s="152" t="str">
        <f t="shared" si="6"/>
        <v>SJ5225</v>
      </c>
      <c r="J421" s="847">
        <v>5199905</v>
      </c>
      <c r="K421" s="513">
        <v>3701</v>
      </c>
      <c r="L421" s="513">
        <v>1405</v>
      </c>
      <c r="M421" s="152" t="s">
        <v>7116</v>
      </c>
      <c r="N421" s="513" t="s">
        <v>780</v>
      </c>
      <c r="O421" s="513" t="s">
        <v>781</v>
      </c>
      <c r="P421" s="513" t="s">
        <v>7418</v>
      </c>
      <c r="Q421" s="518" t="s">
        <v>7101</v>
      </c>
      <c r="R421" s="152" t="s">
        <v>7419</v>
      </c>
      <c r="S421" s="152" t="s">
        <v>7440</v>
      </c>
      <c r="T421" s="152" t="s">
        <v>7421</v>
      </c>
      <c r="U421" s="152" t="s">
        <v>786</v>
      </c>
    </row>
    <row r="422" spans="4:21" ht="37.5">
      <c r="D422" s="210"/>
      <c r="E422" s="210" t="s">
        <v>670</v>
      </c>
      <c r="F422" s="684" t="str">
        <f>+VLOOKUP(G422,Resumen_Base!$C$8:$G$156,5,0)</f>
        <v>Transfer to and from the airport (local taxi) - Vehicle Rental</v>
      </c>
      <c r="G422" s="152" t="s">
        <v>138</v>
      </c>
      <c r="H422" s="474" t="s">
        <v>202</v>
      </c>
      <c r="I422" s="152" t="str">
        <f t="shared" si="6"/>
        <v>SJ5225</v>
      </c>
      <c r="J422" s="847">
        <v>618200</v>
      </c>
      <c r="K422" s="513">
        <v>440</v>
      </c>
      <c r="L422" s="513">
        <v>1405</v>
      </c>
      <c r="M422" s="152" t="s">
        <v>7116</v>
      </c>
      <c r="N422" s="513" t="s">
        <v>780</v>
      </c>
      <c r="O422" s="513" t="s">
        <v>781</v>
      </c>
      <c r="P422" s="513" t="s">
        <v>7418</v>
      </c>
      <c r="Q422" s="518" t="s">
        <v>7101</v>
      </c>
      <c r="R422" s="152" t="s">
        <v>7419</v>
      </c>
      <c r="S422" s="152" t="s">
        <v>7441</v>
      </c>
      <c r="T422" s="152" t="s">
        <v>7421</v>
      </c>
      <c r="U422" s="152" t="s">
        <v>786</v>
      </c>
    </row>
    <row r="423" spans="4:21" ht="37.5">
      <c r="D423" s="210"/>
      <c r="E423" s="210" t="s">
        <v>676</v>
      </c>
      <c r="F423" s="684" t="str">
        <f>+VLOOKUP(G423,Resumen_Base!$C$8:$G$156,5,0)</f>
        <v>Transfer to and from the airport (local taxi) - Vehicle Rental</v>
      </c>
      <c r="G423" s="152" t="s">
        <v>138</v>
      </c>
      <c r="H423" s="474" t="s">
        <v>202</v>
      </c>
      <c r="I423" s="152" t="str">
        <f t="shared" si="6"/>
        <v>CAR5225</v>
      </c>
      <c r="J423" s="847">
        <v>5215360</v>
      </c>
      <c r="K423" s="513">
        <v>3712</v>
      </c>
      <c r="L423" s="513">
        <v>1405</v>
      </c>
      <c r="M423" s="152" t="s">
        <v>7116</v>
      </c>
      <c r="N423" s="513" t="s">
        <v>780</v>
      </c>
      <c r="O423" s="513" t="s">
        <v>1407</v>
      </c>
      <c r="P423" s="513" t="s">
        <v>7442</v>
      </c>
      <c r="Q423" s="518" t="s">
        <v>7101</v>
      </c>
      <c r="R423" s="152" t="s">
        <v>7443</v>
      </c>
      <c r="S423" s="152" t="s">
        <v>7451</v>
      </c>
      <c r="T423" s="152" t="s">
        <v>7445</v>
      </c>
      <c r="U423" s="152" t="s">
        <v>786</v>
      </c>
    </row>
    <row r="424" spans="4:21">
      <c r="D424" s="210"/>
      <c r="E424" s="210" t="s">
        <v>670</v>
      </c>
      <c r="F424" s="684" t="str">
        <f>+VLOOKUP(G424,Resumen_Base!$C$8:$G$156,5,0)</f>
        <v>Services/House</v>
      </c>
      <c r="G424" s="152" t="s">
        <v>321</v>
      </c>
      <c r="H424" s="474" t="s">
        <v>322</v>
      </c>
      <c r="I424" s="152" t="str">
        <f t="shared" si="6"/>
        <v>SJ5226</v>
      </c>
      <c r="J424" s="847">
        <v>-536260.4</v>
      </c>
      <c r="K424" s="513">
        <v>-381.68</v>
      </c>
      <c r="L424" s="513">
        <v>1405</v>
      </c>
      <c r="M424" s="152" t="s">
        <v>7116</v>
      </c>
      <c r="N424" s="513" t="s">
        <v>780</v>
      </c>
      <c r="O424" s="513" t="s">
        <v>781</v>
      </c>
      <c r="P424" s="513" t="s">
        <v>7129</v>
      </c>
      <c r="Q424" s="518" t="s">
        <v>7101</v>
      </c>
      <c r="R424" s="152" t="s">
        <v>7130</v>
      </c>
      <c r="S424" s="152" t="s">
        <v>7132</v>
      </c>
      <c r="T424" s="152" t="s">
        <v>7131</v>
      </c>
      <c r="U424" s="152" t="s">
        <v>786</v>
      </c>
    </row>
    <row r="425" spans="4:21">
      <c r="D425" s="210"/>
      <c r="E425" s="210" t="s">
        <v>670</v>
      </c>
      <c r="F425" s="684" t="str">
        <f>+VLOOKUP(G425,Resumen_Base!$C$8:$G$156,5,0)</f>
        <v>Services/House</v>
      </c>
      <c r="G425" s="152" t="s">
        <v>321</v>
      </c>
      <c r="H425" s="474" t="s">
        <v>322</v>
      </c>
      <c r="I425" s="152" t="str">
        <f t="shared" si="6"/>
        <v>SJ5226</v>
      </c>
      <c r="J425" s="847">
        <v>702500</v>
      </c>
      <c r="K425" s="513">
        <v>500</v>
      </c>
      <c r="L425" s="513">
        <v>1405</v>
      </c>
      <c r="M425" s="152" t="s">
        <v>7104</v>
      </c>
      <c r="N425" s="513" t="s">
        <v>780</v>
      </c>
      <c r="O425" s="513" t="s">
        <v>781</v>
      </c>
      <c r="P425" s="513" t="s">
        <v>7175</v>
      </c>
      <c r="Q425" s="518" t="s">
        <v>7101</v>
      </c>
      <c r="R425" s="152" t="s">
        <v>7176</v>
      </c>
      <c r="S425" s="152" t="s">
        <v>7177</v>
      </c>
      <c r="T425" s="152" t="s">
        <v>7178</v>
      </c>
      <c r="U425" s="152" t="s">
        <v>786</v>
      </c>
    </row>
    <row r="426" spans="4:21">
      <c r="D426" s="210"/>
      <c r="E426" s="210" t="s">
        <v>670</v>
      </c>
      <c r="F426" s="684" t="str">
        <f>+VLOOKUP(G426,Resumen_Base!$C$8:$G$156,5,0)</f>
        <v>Services/House</v>
      </c>
      <c r="G426" s="152" t="s">
        <v>321</v>
      </c>
      <c r="H426" s="474" t="s">
        <v>322</v>
      </c>
      <c r="I426" s="152" t="str">
        <f t="shared" si="6"/>
        <v>SJ5226</v>
      </c>
      <c r="J426" s="847">
        <v>723575</v>
      </c>
      <c r="K426" s="513">
        <v>515</v>
      </c>
      <c r="L426" s="513">
        <v>1405</v>
      </c>
      <c r="M426" s="152" t="s">
        <v>7143</v>
      </c>
      <c r="N426" s="513" t="s">
        <v>780</v>
      </c>
      <c r="O426" s="513" t="s">
        <v>781</v>
      </c>
      <c r="P426" s="513" t="s">
        <v>7284</v>
      </c>
      <c r="Q426" s="518" t="s">
        <v>7101</v>
      </c>
      <c r="R426" s="152" t="s">
        <v>7285</v>
      </c>
      <c r="S426" s="152" t="s">
        <v>7327</v>
      </c>
      <c r="T426" s="152" t="s">
        <v>7287</v>
      </c>
      <c r="U426" s="152" t="s">
        <v>786</v>
      </c>
    </row>
    <row r="427" spans="4:21">
      <c r="D427" s="210"/>
      <c r="E427" s="210" t="s">
        <v>670</v>
      </c>
      <c r="F427" s="684" t="str">
        <f>+VLOOKUP(G427,Resumen_Base!$C$8:$G$156,5,0)</f>
        <v>Services/House</v>
      </c>
      <c r="G427" s="152" t="s">
        <v>321</v>
      </c>
      <c r="H427" s="474" t="s">
        <v>322</v>
      </c>
      <c r="I427" s="152" t="str">
        <f t="shared" si="6"/>
        <v>SJ5226</v>
      </c>
      <c r="J427" s="847">
        <v>295555.8</v>
      </c>
      <c r="K427" s="513">
        <v>210.36</v>
      </c>
      <c r="L427" s="513">
        <v>1405</v>
      </c>
      <c r="M427" s="152" t="s">
        <v>7116</v>
      </c>
      <c r="N427" s="513" t="s">
        <v>780</v>
      </c>
      <c r="O427" s="513" t="s">
        <v>781</v>
      </c>
      <c r="P427" s="513" t="s">
        <v>7517</v>
      </c>
      <c r="Q427" s="518" t="s">
        <v>7101</v>
      </c>
      <c r="R427" s="152" t="s">
        <v>7518</v>
      </c>
      <c r="S427" s="152" t="s">
        <v>7549</v>
      </c>
      <c r="T427" s="152" t="s">
        <v>7520</v>
      </c>
      <c r="U427" s="152" t="s">
        <v>786</v>
      </c>
    </row>
    <row r="428" spans="4:21">
      <c r="D428" s="210"/>
      <c r="E428" s="210" t="s">
        <v>670</v>
      </c>
      <c r="F428" s="684" t="str">
        <f>+VLOOKUP(G428,Resumen_Base!$C$8:$G$156,5,0)</f>
        <v>Services/House</v>
      </c>
      <c r="G428" s="152" t="s">
        <v>321</v>
      </c>
      <c r="H428" s="474" t="s">
        <v>322</v>
      </c>
      <c r="I428" s="152" t="str">
        <f t="shared" si="6"/>
        <v>SJ5226</v>
      </c>
      <c r="J428" s="847">
        <v>209752.45</v>
      </c>
      <c r="K428" s="513">
        <v>149.29</v>
      </c>
      <c r="L428" s="513">
        <v>1405</v>
      </c>
      <c r="M428" s="152" t="s">
        <v>7116</v>
      </c>
      <c r="N428" s="513" t="s">
        <v>780</v>
      </c>
      <c r="O428" s="513" t="s">
        <v>781</v>
      </c>
      <c r="P428" s="513" t="s">
        <v>7517</v>
      </c>
      <c r="Q428" s="518" t="s">
        <v>7101</v>
      </c>
      <c r="R428" s="152" t="s">
        <v>7518</v>
      </c>
      <c r="S428" s="152" t="s">
        <v>7550</v>
      </c>
      <c r="T428" s="152" t="s">
        <v>7520</v>
      </c>
      <c r="U428" s="152" t="s">
        <v>786</v>
      </c>
    </row>
    <row r="429" spans="4:21">
      <c r="D429" s="210"/>
      <c r="E429" s="210" t="s">
        <v>670</v>
      </c>
      <c r="F429" s="684" t="str">
        <f>+VLOOKUP(G429,Resumen_Base!$C$8:$G$156,5,0)</f>
        <v>Services/House</v>
      </c>
      <c r="G429" s="152" t="s">
        <v>321</v>
      </c>
      <c r="H429" s="474" t="s">
        <v>322</v>
      </c>
      <c r="I429" s="152" t="str">
        <f t="shared" si="6"/>
        <v>SJ5226</v>
      </c>
      <c r="J429" s="847">
        <v>238344.2</v>
      </c>
      <c r="K429" s="513">
        <v>169.64</v>
      </c>
      <c r="L429" s="513">
        <v>1405</v>
      </c>
      <c r="M429" s="152" t="s">
        <v>7116</v>
      </c>
      <c r="N429" s="513" t="s">
        <v>780</v>
      </c>
      <c r="O429" s="513" t="s">
        <v>781</v>
      </c>
      <c r="P429" s="513" t="s">
        <v>7517</v>
      </c>
      <c r="Q429" s="518" t="s">
        <v>7101</v>
      </c>
      <c r="R429" s="152" t="s">
        <v>7518</v>
      </c>
      <c r="S429" s="152" t="s">
        <v>7552</v>
      </c>
      <c r="T429" s="152" t="s">
        <v>7520</v>
      </c>
      <c r="U429" s="152" t="s">
        <v>786</v>
      </c>
    </row>
    <row r="430" spans="4:21">
      <c r="D430" s="210"/>
      <c r="E430" s="210" t="s">
        <v>676</v>
      </c>
      <c r="F430" s="684" t="str">
        <f>+VLOOKUP(G430,Resumen_Base!$C$8:$G$156,5,0)</f>
        <v>Services/House</v>
      </c>
      <c r="G430" s="152" t="s">
        <v>321</v>
      </c>
      <c r="H430" s="474" t="s">
        <v>322</v>
      </c>
      <c r="I430" s="152" t="str">
        <f t="shared" si="6"/>
        <v>CAR5226</v>
      </c>
      <c r="J430" s="847">
        <v>594315</v>
      </c>
      <c r="K430" s="513">
        <v>423</v>
      </c>
      <c r="L430" s="513">
        <v>1405</v>
      </c>
      <c r="M430" s="152" t="s">
        <v>7116</v>
      </c>
      <c r="N430" s="513" t="s">
        <v>780</v>
      </c>
      <c r="O430" s="513" t="s">
        <v>1407</v>
      </c>
      <c r="P430" s="513" t="s">
        <v>7179</v>
      </c>
      <c r="Q430" s="518" t="s">
        <v>7101</v>
      </c>
      <c r="R430" s="152" t="s">
        <v>7180</v>
      </c>
      <c r="S430" s="152" t="s">
        <v>7193</v>
      </c>
      <c r="T430" s="152" t="s">
        <v>7182</v>
      </c>
      <c r="U430" s="152" t="s">
        <v>786</v>
      </c>
    </row>
    <row r="431" spans="4:21">
      <c r="D431" s="210"/>
      <c r="E431" s="210" t="s">
        <v>676</v>
      </c>
      <c r="F431" s="684" t="str">
        <f>+VLOOKUP(G431,Resumen_Base!$C$8:$G$156,5,0)</f>
        <v>Services/House</v>
      </c>
      <c r="G431" s="152" t="s">
        <v>321</v>
      </c>
      <c r="H431" s="474" t="s">
        <v>322</v>
      </c>
      <c r="I431" s="152" t="str">
        <f t="shared" si="6"/>
        <v>CAR5226</v>
      </c>
      <c r="J431" s="847">
        <v>580265</v>
      </c>
      <c r="K431" s="513">
        <v>413</v>
      </c>
      <c r="L431" s="513">
        <v>1405</v>
      </c>
      <c r="M431" s="152" t="s">
        <v>7116</v>
      </c>
      <c r="N431" s="513" t="s">
        <v>780</v>
      </c>
      <c r="O431" s="513" t="s">
        <v>1407</v>
      </c>
      <c r="P431" s="513" t="s">
        <v>7179</v>
      </c>
      <c r="Q431" s="518" t="s">
        <v>7101</v>
      </c>
      <c r="R431" s="152" t="s">
        <v>7180</v>
      </c>
      <c r="S431" s="152" t="s">
        <v>7195</v>
      </c>
      <c r="T431" s="152" t="s">
        <v>7182</v>
      </c>
      <c r="U431" s="152" t="s">
        <v>786</v>
      </c>
    </row>
    <row r="432" spans="4:21">
      <c r="D432" s="210"/>
      <c r="E432" s="210" t="s">
        <v>676</v>
      </c>
      <c r="F432" s="684" t="str">
        <f>+VLOOKUP(G432,Resumen_Base!$C$8:$G$156,5,0)</f>
        <v>Services/House</v>
      </c>
      <c r="G432" s="152" t="s">
        <v>321</v>
      </c>
      <c r="H432" s="474" t="s">
        <v>322</v>
      </c>
      <c r="I432" s="152" t="str">
        <f t="shared" si="6"/>
        <v>CAR5226</v>
      </c>
      <c r="J432" s="847">
        <v>267793</v>
      </c>
      <c r="K432" s="513">
        <v>190.6</v>
      </c>
      <c r="L432" s="513">
        <v>1405</v>
      </c>
      <c r="M432" s="152" t="s">
        <v>7116</v>
      </c>
      <c r="N432" s="513" t="s">
        <v>780</v>
      </c>
      <c r="O432" s="513" t="s">
        <v>1407</v>
      </c>
      <c r="P432" s="513" t="s">
        <v>7179</v>
      </c>
      <c r="Q432" s="518" t="s">
        <v>7101</v>
      </c>
      <c r="R432" s="152" t="s">
        <v>7180</v>
      </c>
      <c r="S432" s="152" t="s">
        <v>7196</v>
      </c>
      <c r="T432" s="152" t="s">
        <v>7182</v>
      </c>
      <c r="U432" s="152" t="s">
        <v>786</v>
      </c>
    </row>
    <row r="433" spans="4:21">
      <c r="D433" s="210"/>
      <c r="E433" s="210" t="s">
        <v>676</v>
      </c>
      <c r="F433" s="684" t="str">
        <f>+VLOOKUP(G433,Resumen_Base!$C$8:$G$156,5,0)</f>
        <v>Services/House</v>
      </c>
      <c r="G433" s="152" t="s">
        <v>321</v>
      </c>
      <c r="H433" s="474" t="s">
        <v>322</v>
      </c>
      <c r="I433" s="152" t="str">
        <f t="shared" si="6"/>
        <v>CAR5226</v>
      </c>
      <c r="J433" s="847">
        <v>1264500</v>
      </c>
      <c r="K433" s="513">
        <v>900</v>
      </c>
      <c r="L433" s="513">
        <v>1405</v>
      </c>
      <c r="M433" s="152" t="s">
        <v>7116</v>
      </c>
      <c r="N433" s="513" t="s">
        <v>780</v>
      </c>
      <c r="O433" s="513" t="s">
        <v>1407</v>
      </c>
      <c r="P433" s="513" t="s">
        <v>7179</v>
      </c>
      <c r="Q433" s="518" t="s">
        <v>7101</v>
      </c>
      <c r="R433" s="152" t="s">
        <v>7180</v>
      </c>
      <c r="S433" s="152" t="s">
        <v>7197</v>
      </c>
      <c r="T433" s="152" t="s">
        <v>7182</v>
      </c>
      <c r="U433" s="152" t="s">
        <v>786</v>
      </c>
    </row>
    <row r="434" spans="4:21">
      <c r="D434" s="210"/>
      <c r="E434" s="210" t="s">
        <v>676</v>
      </c>
      <c r="F434" s="684" t="str">
        <f>+VLOOKUP(G434,Resumen_Base!$C$8:$G$156,5,0)</f>
        <v>Services/House</v>
      </c>
      <c r="G434" s="152" t="s">
        <v>321</v>
      </c>
      <c r="H434" s="474" t="s">
        <v>322</v>
      </c>
      <c r="I434" s="152" t="str">
        <f t="shared" si="6"/>
        <v>CAR5226</v>
      </c>
      <c r="J434" s="847">
        <v>1826500</v>
      </c>
      <c r="K434" s="513">
        <v>1300</v>
      </c>
      <c r="L434" s="513">
        <v>1405</v>
      </c>
      <c r="M434" s="152" t="s">
        <v>7116</v>
      </c>
      <c r="N434" s="513" t="s">
        <v>780</v>
      </c>
      <c r="O434" s="513" t="s">
        <v>1407</v>
      </c>
      <c r="P434" s="513" t="s">
        <v>7179</v>
      </c>
      <c r="Q434" s="518" t="s">
        <v>7101</v>
      </c>
      <c r="R434" s="152" t="s">
        <v>7180</v>
      </c>
      <c r="S434" s="152" t="s">
        <v>7198</v>
      </c>
      <c r="T434" s="152" t="s">
        <v>7182</v>
      </c>
      <c r="U434" s="152" t="s">
        <v>786</v>
      </c>
    </row>
    <row r="435" spans="4:21">
      <c r="D435" s="210"/>
      <c r="E435" s="210" t="s">
        <v>676</v>
      </c>
      <c r="F435" s="684" t="str">
        <f>+VLOOKUP(G435,Resumen_Base!$C$8:$G$156,5,0)</f>
        <v>Services/House</v>
      </c>
      <c r="G435" s="152" t="s">
        <v>321</v>
      </c>
      <c r="H435" s="474" t="s">
        <v>322</v>
      </c>
      <c r="I435" s="152" t="str">
        <f t="shared" si="6"/>
        <v>CAR5226</v>
      </c>
      <c r="J435" s="847">
        <v>2248000</v>
      </c>
      <c r="K435" s="513">
        <v>1600</v>
      </c>
      <c r="L435" s="513">
        <v>1405</v>
      </c>
      <c r="M435" s="152" t="s">
        <v>7116</v>
      </c>
      <c r="N435" s="513" t="s">
        <v>780</v>
      </c>
      <c r="O435" s="513" t="s">
        <v>1407</v>
      </c>
      <c r="P435" s="513" t="s">
        <v>7179</v>
      </c>
      <c r="Q435" s="518" t="s">
        <v>7101</v>
      </c>
      <c r="R435" s="152" t="s">
        <v>7180</v>
      </c>
      <c r="S435" s="152" t="s">
        <v>7199</v>
      </c>
      <c r="T435" s="152" t="s">
        <v>7182</v>
      </c>
      <c r="U435" s="152" t="s">
        <v>786</v>
      </c>
    </row>
    <row r="436" spans="4:21">
      <c r="D436" s="210"/>
      <c r="E436" s="210" t="s">
        <v>676</v>
      </c>
      <c r="F436" s="684" t="str">
        <f>+VLOOKUP(G436,Resumen_Base!$C$8:$G$156,5,0)</f>
        <v>Services/House</v>
      </c>
      <c r="G436" s="152" t="s">
        <v>321</v>
      </c>
      <c r="H436" s="474" t="s">
        <v>322</v>
      </c>
      <c r="I436" s="152" t="str">
        <f t="shared" si="6"/>
        <v>CAR5226</v>
      </c>
      <c r="J436" s="847">
        <v>946183.2</v>
      </c>
      <c r="K436" s="513">
        <v>673.44</v>
      </c>
      <c r="L436" s="513">
        <v>1405</v>
      </c>
      <c r="M436" s="152" t="s">
        <v>7116</v>
      </c>
      <c r="N436" s="513" t="s">
        <v>780</v>
      </c>
      <c r="O436" s="513" t="s">
        <v>1407</v>
      </c>
      <c r="P436" s="513" t="s">
        <v>7179</v>
      </c>
      <c r="Q436" s="518" t="s">
        <v>7101</v>
      </c>
      <c r="R436" s="152" t="s">
        <v>7180</v>
      </c>
      <c r="S436" s="152" t="s">
        <v>7200</v>
      </c>
      <c r="T436" s="152" t="s">
        <v>7182</v>
      </c>
      <c r="U436" s="152" t="s">
        <v>786</v>
      </c>
    </row>
    <row r="437" spans="4:21">
      <c r="D437" s="210"/>
      <c r="E437" s="210" t="s">
        <v>676</v>
      </c>
      <c r="F437" s="684" t="str">
        <f>+VLOOKUP(G437,Resumen_Base!$C$8:$G$156,5,0)</f>
        <v>Services/House</v>
      </c>
      <c r="G437" s="152" t="s">
        <v>321</v>
      </c>
      <c r="H437" s="474" t="s">
        <v>322</v>
      </c>
      <c r="I437" s="152" t="str">
        <f t="shared" si="6"/>
        <v>CAR5226</v>
      </c>
      <c r="J437" s="847">
        <v>743245</v>
      </c>
      <c r="K437" s="513">
        <v>529</v>
      </c>
      <c r="L437" s="513">
        <v>1405</v>
      </c>
      <c r="M437" s="152" t="s">
        <v>7116</v>
      </c>
      <c r="N437" s="513" t="s">
        <v>780</v>
      </c>
      <c r="O437" s="513" t="s">
        <v>1407</v>
      </c>
      <c r="P437" s="513" t="s">
        <v>7179</v>
      </c>
      <c r="Q437" s="518" t="s">
        <v>7101</v>
      </c>
      <c r="R437" s="152" t="s">
        <v>7180</v>
      </c>
      <c r="S437" s="152" t="s">
        <v>7189</v>
      </c>
      <c r="T437" s="152" t="s">
        <v>7182</v>
      </c>
      <c r="U437" s="152" t="s">
        <v>786</v>
      </c>
    </row>
    <row r="438" spans="4:21">
      <c r="D438" s="210"/>
      <c r="E438" s="210" t="s">
        <v>676</v>
      </c>
      <c r="F438" s="684" t="str">
        <f>+VLOOKUP(G438,Resumen_Base!$C$8:$G$156,5,0)</f>
        <v>Services/House</v>
      </c>
      <c r="G438" s="152" t="s">
        <v>321</v>
      </c>
      <c r="H438" s="474" t="s">
        <v>322</v>
      </c>
      <c r="I438" s="152" t="str">
        <f t="shared" si="6"/>
        <v>CAR5226</v>
      </c>
      <c r="J438" s="847">
        <v>564810</v>
      </c>
      <c r="K438" s="513">
        <v>402</v>
      </c>
      <c r="L438" s="513">
        <v>1405</v>
      </c>
      <c r="M438" s="152" t="s">
        <v>7116</v>
      </c>
      <c r="N438" s="513" t="s">
        <v>780</v>
      </c>
      <c r="O438" s="513" t="s">
        <v>1407</v>
      </c>
      <c r="P438" s="513" t="s">
        <v>7179</v>
      </c>
      <c r="Q438" s="518" t="s">
        <v>7101</v>
      </c>
      <c r="R438" s="152" t="s">
        <v>7180</v>
      </c>
      <c r="S438" s="152" t="s">
        <v>7190</v>
      </c>
      <c r="T438" s="152" t="s">
        <v>7182</v>
      </c>
      <c r="U438" s="152" t="s">
        <v>786</v>
      </c>
    </row>
    <row r="439" spans="4:21">
      <c r="D439" s="210"/>
      <c r="E439" s="210" t="s">
        <v>676</v>
      </c>
      <c r="F439" s="684" t="str">
        <f>+VLOOKUP(G439,Resumen_Base!$C$8:$G$156,5,0)</f>
        <v>Services/House</v>
      </c>
      <c r="G439" s="152" t="s">
        <v>321</v>
      </c>
      <c r="H439" s="474" t="s">
        <v>322</v>
      </c>
      <c r="I439" s="152" t="str">
        <f t="shared" si="6"/>
        <v>CAR5226</v>
      </c>
      <c r="J439" s="847">
        <v>743245</v>
      </c>
      <c r="K439" s="513">
        <v>529</v>
      </c>
      <c r="L439" s="513">
        <v>1405</v>
      </c>
      <c r="M439" s="152" t="s">
        <v>7116</v>
      </c>
      <c r="N439" s="513" t="s">
        <v>780</v>
      </c>
      <c r="O439" s="513" t="s">
        <v>1407</v>
      </c>
      <c r="P439" s="513" t="s">
        <v>7179</v>
      </c>
      <c r="Q439" s="518" t="s">
        <v>7101</v>
      </c>
      <c r="R439" s="152" t="s">
        <v>7180</v>
      </c>
      <c r="S439" s="152" t="s">
        <v>7191</v>
      </c>
      <c r="T439" s="152" t="s">
        <v>7182</v>
      </c>
      <c r="U439" s="152" t="s">
        <v>786</v>
      </c>
    </row>
    <row r="440" spans="4:21">
      <c r="D440" s="210"/>
      <c r="E440" s="210" t="s">
        <v>676</v>
      </c>
      <c r="F440" s="684" t="str">
        <f>+VLOOKUP(G440,Resumen_Base!$C$8:$G$156,5,0)</f>
        <v>Services/House</v>
      </c>
      <c r="G440" s="152" t="s">
        <v>321</v>
      </c>
      <c r="H440" s="474" t="s">
        <v>322</v>
      </c>
      <c r="I440" s="152" t="str">
        <f t="shared" si="6"/>
        <v>CAR5226</v>
      </c>
      <c r="J440" s="847">
        <v>743245</v>
      </c>
      <c r="K440" s="513">
        <v>529</v>
      </c>
      <c r="L440" s="513">
        <v>1405</v>
      </c>
      <c r="M440" s="152" t="s">
        <v>7116</v>
      </c>
      <c r="N440" s="513" t="s">
        <v>780</v>
      </c>
      <c r="O440" s="513" t="s">
        <v>1407</v>
      </c>
      <c r="P440" s="513" t="s">
        <v>7179</v>
      </c>
      <c r="Q440" s="518" t="s">
        <v>7101</v>
      </c>
      <c r="R440" s="152" t="s">
        <v>7180</v>
      </c>
      <c r="S440" s="152" t="s">
        <v>7192</v>
      </c>
      <c r="T440" s="152" t="s">
        <v>7182</v>
      </c>
      <c r="U440" s="152" t="s">
        <v>786</v>
      </c>
    </row>
    <row r="441" spans="4:21">
      <c r="D441" s="210"/>
      <c r="E441" s="210" t="s">
        <v>676</v>
      </c>
      <c r="F441" s="684" t="str">
        <f>+VLOOKUP(G441,Resumen_Base!$C$8:$G$156,5,0)</f>
        <v>Services/House</v>
      </c>
      <c r="G441" s="152" t="s">
        <v>321</v>
      </c>
      <c r="H441" s="474" t="s">
        <v>322</v>
      </c>
      <c r="I441" s="152" t="str">
        <f t="shared" si="6"/>
        <v>CAR5226</v>
      </c>
      <c r="J441" s="847">
        <v>264435.05</v>
      </c>
      <c r="K441" s="513">
        <v>188.21</v>
      </c>
      <c r="L441" s="513">
        <v>1405</v>
      </c>
      <c r="M441" s="152" t="s">
        <v>7116</v>
      </c>
      <c r="N441" s="513" t="s">
        <v>780</v>
      </c>
      <c r="O441" s="513" t="s">
        <v>1407</v>
      </c>
      <c r="P441" s="513" t="s">
        <v>7179</v>
      </c>
      <c r="Q441" s="518" t="s">
        <v>7101</v>
      </c>
      <c r="R441" s="152" t="s">
        <v>7180</v>
      </c>
      <c r="S441" s="152" t="s">
        <v>7242</v>
      </c>
      <c r="T441" s="152" t="s">
        <v>7182</v>
      </c>
      <c r="U441" s="152" t="s">
        <v>786</v>
      </c>
    </row>
    <row r="442" spans="4:21">
      <c r="D442" s="210"/>
      <c r="E442" s="210" t="s">
        <v>676</v>
      </c>
      <c r="F442" s="684" t="str">
        <f>+VLOOKUP(G442,Resumen_Base!$C$8:$G$156,5,0)</f>
        <v>Services/House</v>
      </c>
      <c r="G442" s="152" t="s">
        <v>321</v>
      </c>
      <c r="H442" s="474" t="s">
        <v>322</v>
      </c>
      <c r="I442" s="152" t="str">
        <f t="shared" si="6"/>
        <v>CAR5226</v>
      </c>
      <c r="J442" s="847">
        <v>743245</v>
      </c>
      <c r="K442" s="513">
        <v>529</v>
      </c>
      <c r="L442" s="513">
        <v>1405</v>
      </c>
      <c r="M442" s="152" t="s">
        <v>7116</v>
      </c>
      <c r="N442" s="513" t="s">
        <v>780</v>
      </c>
      <c r="O442" s="513" t="s">
        <v>1407</v>
      </c>
      <c r="P442" s="513" t="s">
        <v>7179</v>
      </c>
      <c r="Q442" s="518" t="s">
        <v>7101</v>
      </c>
      <c r="R442" s="152" t="s">
        <v>7180</v>
      </c>
      <c r="S442" s="152" t="s">
        <v>7194</v>
      </c>
      <c r="T442" s="152" t="s">
        <v>7182</v>
      </c>
      <c r="U442" s="152" t="s">
        <v>786</v>
      </c>
    </row>
    <row r="443" spans="4:21">
      <c r="D443" s="210"/>
      <c r="E443" s="210" t="s">
        <v>676</v>
      </c>
      <c r="F443" s="684" t="str">
        <f>+VLOOKUP(G443,Resumen_Base!$C$8:$G$156,5,0)</f>
        <v>Services/House</v>
      </c>
      <c r="G443" s="152" t="s">
        <v>321</v>
      </c>
      <c r="H443" s="474" t="s">
        <v>322</v>
      </c>
      <c r="I443" s="152" t="str">
        <f t="shared" si="6"/>
        <v>CAR5226</v>
      </c>
      <c r="J443" s="847">
        <v>421500</v>
      </c>
      <c r="K443" s="513">
        <v>300</v>
      </c>
      <c r="L443" s="513">
        <v>1405</v>
      </c>
      <c r="M443" s="152" t="s">
        <v>7108</v>
      </c>
      <c r="N443" s="513" t="s">
        <v>780</v>
      </c>
      <c r="O443" s="513" t="s">
        <v>1407</v>
      </c>
      <c r="P443" s="513" t="s">
        <v>7245</v>
      </c>
      <c r="Q443" s="518" t="s">
        <v>7101</v>
      </c>
      <c r="R443" s="152" t="s">
        <v>7246</v>
      </c>
      <c r="S443" s="152" t="s">
        <v>7252</v>
      </c>
      <c r="T443" s="152" t="s">
        <v>7248</v>
      </c>
      <c r="U443" s="152" t="s">
        <v>786</v>
      </c>
    </row>
    <row r="444" spans="4:21">
      <c r="D444" s="210"/>
      <c r="E444" s="210" t="s">
        <v>676</v>
      </c>
      <c r="F444" s="684" t="str">
        <f>+VLOOKUP(G444,Resumen_Base!$C$8:$G$156,5,0)</f>
        <v>Services/House</v>
      </c>
      <c r="G444" s="152" t="s">
        <v>321</v>
      </c>
      <c r="H444" s="474" t="s">
        <v>322</v>
      </c>
      <c r="I444" s="152" t="str">
        <f t="shared" si="6"/>
        <v>CAR5226</v>
      </c>
      <c r="J444" s="847">
        <v>120400</v>
      </c>
      <c r="K444" s="513">
        <v>85.693950177935903</v>
      </c>
      <c r="L444" s="513">
        <v>1405</v>
      </c>
      <c r="M444" s="152" t="s">
        <v>7108</v>
      </c>
      <c r="N444" s="513" t="s">
        <v>780</v>
      </c>
      <c r="O444" s="513" t="s">
        <v>1407</v>
      </c>
      <c r="P444" s="513" t="s">
        <v>7259</v>
      </c>
      <c r="Q444" s="518" t="s">
        <v>7101</v>
      </c>
      <c r="R444" s="152" t="s">
        <v>7260</v>
      </c>
      <c r="S444" s="152" t="s">
        <v>7266</v>
      </c>
      <c r="T444" s="152" t="s">
        <v>7262</v>
      </c>
      <c r="U444" s="152" t="s">
        <v>786</v>
      </c>
    </row>
    <row r="445" spans="4:21">
      <c r="D445" s="210"/>
      <c r="E445" s="210" t="s">
        <v>676</v>
      </c>
      <c r="F445" s="684" t="str">
        <f>+VLOOKUP(G445,Resumen_Base!$C$8:$G$156,5,0)</f>
        <v>Services/House</v>
      </c>
      <c r="G445" s="152" t="s">
        <v>321</v>
      </c>
      <c r="H445" s="474" t="s">
        <v>322</v>
      </c>
      <c r="I445" s="152" t="str">
        <f t="shared" si="6"/>
        <v>CAR5226</v>
      </c>
      <c r="J445" s="847">
        <v>1273801.1000000001</v>
      </c>
      <c r="K445" s="513">
        <v>906.62</v>
      </c>
      <c r="L445" s="513">
        <v>1405</v>
      </c>
      <c r="M445" s="152" t="s">
        <v>7116</v>
      </c>
      <c r="N445" s="513" t="s">
        <v>780</v>
      </c>
      <c r="O445" s="513" t="s">
        <v>1407</v>
      </c>
      <c r="P445" s="513" t="s">
        <v>7456</v>
      </c>
      <c r="Q445" s="518" t="s">
        <v>7101</v>
      </c>
      <c r="R445" s="152" t="s">
        <v>7457</v>
      </c>
      <c r="S445" s="152" t="s">
        <v>7462</v>
      </c>
      <c r="T445" s="152" t="s">
        <v>7459</v>
      </c>
      <c r="U445" s="152" t="s">
        <v>786</v>
      </c>
    </row>
    <row r="446" spans="4:21">
      <c r="D446" s="210"/>
      <c r="E446" s="210" t="s">
        <v>676</v>
      </c>
      <c r="F446" s="684" t="str">
        <f>+VLOOKUP(G446,Resumen_Base!$C$8:$G$156,5,0)</f>
        <v>Services/House</v>
      </c>
      <c r="G446" s="152" t="s">
        <v>321</v>
      </c>
      <c r="H446" s="474" t="s">
        <v>322</v>
      </c>
      <c r="I446" s="152" t="str">
        <f t="shared" si="6"/>
        <v>CAR5226</v>
      </c>
      <c r="J446" s="847">
        <v>1250042.55</v>
      </c>
      <c r="K446" s="513">
        <v>889.71</v>
      </c>
      <c r="L446" s="513">
        <v>1405</v>
      </c>
      <c r="M446" s="152" t="s">
        <v>7116</v>
      </c>
      <c r="N446" s="513" t="s">
        <v>780</v>
      </c>
      <c r="O446" s="513" t="s">
        <v>1407</v>
      </c>
      <c r="P446" s="513" t="s">
        <v>7456</v>
      </c>
      <c r="Q446" s="518" t="s">
        <v>7101</v>
      </c>
      <c r="R446" s="152" t="s">
        <v>7457</v>
      </c>
      <c r="S446" s="152" t="s">
        <v>7515</v>
      </c>
      <c r="T446" s="152" t="s">
        <v>7459</v>
      </c>
      <c r="U446" s="152" t="s">
        <v>786</v>
      </c>
    </row>
    <row r="447" spans="4:21">
      <c r="D447" s="210"/>
      <c r="E447" s="210" t="s">
        <v>676</v>
      </c>
      <c r="F447" s="684" t="str">
        <f>+VLOOKUP(G447,Resumen_Base!$C$8:$G$156,5,0)</f>
        <v>Services/House</v>
      </c>
      <c r="G447" s="152" t="s">
        <v>321</v>
      </c>
      <c r="H447" s="474" t="s">
        <v>322</v>
      </c>
      <c r="I447" s="152" t="str">
        <f t="shared" si="6"/>
        <v>CAR5226</v>
      </c>
      <c r="J447" s="847">
        <v>1273801.1000000001</v>
      </c>
      <c r="K447" s="513">
        <v>906.62</v>
      </c>
      <c r="L447" s="513">
        <v>1405</v>
      </c>
      <c r="M447" s="152" t="s">
        <v>7116</v>
      </c>
      <c r="N447" s="513" t="s">
        <v>780</v>
      </c>
      <c r="O447" s="513" t="s">
        <v>1407</v>
      </c>
      <c r="P447" s="513" t="s">
        <v>7456</v>
      </c>
      <c r="Q447" s="518" t="s">
        <v>7101</v>
      </c>
      <c r="R447" s="152" t="s">
        <v>7457</v>
      </c>
      <c r="S447" s="152" t="s">
        <v>7516</v>
      </c>
      <c r="T447" s="152" t="s">
        <v>7459</v>
      </c>
      <c r="U447" s="152" t="s">
        <v>786</v>
      </c>
    </row>
    <row r="448" spans="4:21">
      <c r="D448" s="210"/>
      <c r="E448" s="210" t="s">
        <v>676</v>
      </c>
      <c r="F448" s="684" t="str">
        <f>+VLOOKUP(G448,Resumen_Base!$C$8:$G$156,5,0)</f>
        <v>Services/House</v>
      </c>
      <c r="G448" s="152" t="s">
        <v>321</v>
      </c>
      <c r="H448" s="474" t="s">
        <v>322</v>
      </c>
      <c r="I448" s="152" t="str">
        <f t="shared" si="6"/>
        <v>CAR5226</v>
      </c>
      <c r="J448" s="847">
        <v>1250042.55</v>
      </c>
      <c r="K448" s="513">
        <v>889.71</v>
      </c>
      <c r="L448" s="513">
        <v>1405</v>
      </c>
      <c r="M448" s="152" t="s">
        <v>7116</v>
      </c>
      <c r="N448" s="513" t="s">
        <v>780</v>
      </c>
      <c r="O448" s="513" t="s">
        <v>1407</v>
      </c>
      <c r="P448" s="513" t="s">
        <v>7456</v>
      </c>
      <c r="Q448" s="518" t="s">
        <v>7101</v>
      </c>
      <c r="R448" s="152" t="s">
        <v>7457</v>
      </c>
      <c r="S448" s="152" t="s">
        <v>7497</v>
      </c>
      <c r="T448" s="152" t="s">
        <v>7459</v>
      </c>
      <c r="U448" s="152" t="s">
        <v>786</v>
      </c>
    </row>
    <row r="449" spans="4:21">
      <c r="D449" s="210"/>
      <c r="E449" s="210" t="s">
        <v>670</v>
      </c>
      <c r="F449" s="684" t="str">
        <f>+VLOOKUP(G449,Resumen_Base!$C$8:$G$156,5,0)</f>
        <v>Guides</v>
      </c>
      <c r="G449" s="152" t="s">
        <v>323</v>
      </c>
      <c r="H449" s="474" t="s">
        <v>324</v>
      </c>
      <c r="I449" s="152" t="str">
        <f t="shared" si="6"/>
        <v>SJ5227</v>
      </c>
      <c r="J449" s="847">
        <v>6772100</v>
      </c>
      <c r="K449" s="513">
        <v>4820</v>
      </c>
      <c r="L449" s="513">
        <v>1405</v>
      </c>
      <c r="M449" s="152" t="s">
        <v>7143</v>
      </c>
      <c r="N449" s="513" t="s">
        <v>780</v>
      </c>
      <c r="O449" s="513" t="s">
        <v>781</v>
      </c>
      <c r="P449" s="513" t="s">
        <v>7284</v>
      </c>
      <c r="Q449" s="518" t="s">
        <v>7101</v>
      </c>
      <c r="R449" s="152" t="s">
        <v>7285</v>
      </c>
      <c r="S449" s="152" t="s">
        <v>7326</v>
      </c>
      <c r="T449" s="152" t="s">
        <v>7287</v>
      </c>
      <c r="U449" s="152" t="s">
        <v>786</v>
      </c>
    </row>
    <row r="450" spans="4:21">
      <c r="D450" s="210"/>
      <c r="E450" s="210" t="s">
        <v>670</v>
      </c>
      <c r="F450" s="684" t="str">
        <f>+VLOOKUP(G450,Resumen_Base!$C$8:$G$156,5,0)</f>
        <v>Guides</v>
      </c>
      <c r="G450" s="152" t="s">
        <v>323</v>
      </c>
      <c r="H450" s="474" t="s">
        <v>324</v>
      </c>
      <c r="I450" s="152" t="str">
        <f t="shared" si="6"/>
        <v>SJ5227</v>
      </c>
      <c r="J450" s="847">
        <v>562000</v>
      </c>
      <c r="K450" s="513">
        <v>400</v>
      </c>
      <c r="L450" s="513">
        <v>1405</v>
      </c>
      <c r="M450" s="152" t="s">
        <v>7116</v>
      </c>
      <c r="N450" s="513" t="s">
        <v>780</v>
      </c>
      <c r="O450" s="513" t="s">
        <v>781</v>
      </c>
      <c r="P450" s="513" t="s">
        <v>7418</v>
      </c>
      <c r="Q450" s="518" t="s">
        <v>7101</v>
      </c>
      <c r="R450" s="152" t="s">
        <v>7419</v>
      </c>
      <c r="S450" s="152" t="s">
        <v>7438</v>
      </c>
      <c r="T450" s="152" t="s">
        <v>7421</v>
      </c>
      <c r="U450" s="152" t="s">
        <v>786</v>
      </c>
    </row>
    <row r="451" spans="4:21">
      <c r="D451" s="210"/>
      <c r="E451" s="210" t="s">
        <v>670</v>
      </c>
      <c r="F451" s="684" t="str">
        <f>+VLOOKUP(G451,Resumen_Base!$C$8:$G$156,5,0)</f>
        <v>Guides</v>
      </c>
      <c r="G451" s="152" t="s">
        <v>323</v>
      </c>
      <c r="H451" s="474" t="s">
        <v>324</v>
      </c>
      <c r="I451" s="152" t="str">
        <f t="shared" si="6"/>
        <v>SJ5227</v>
      </c>
      <c r="J451" s="847">
        <v>2697.6</v>
      </c>
      <c r="K451" s="513">
        <v>1.92</v>
      </c>
      <c r="L451" s="513">
        <v>1405</v>
      </c>
      <c r="M451" s="152" t="s">
        <v>7116</v>
      </c>
      <c r="N451" s="513" t="s">
        <v>780</v>
      </c>
      <c r="O451" s="513" t="s">
        <v>781</v>
      </c>
      <c r="P451" s="513" t="s">
        <v>7517</v>
      </c>
      <c r="Q451" s="518" t="s">
        <v>7101</v>
      </c>
      <c r="R451" s="152" t="s">
        <v>7518</v>
      </c>
      <c r="S451" s="152" t="s">
        <v>953</v>
      </c>
      <c r="T451" s="152" t="s">
        <v>7520</v>
      </c>
      <c r="U451" s="152" t="s">
        <v>786</v>
      </c>
    </row>
    <row r="452" spans="4:21">
      <c r="D452" s="210"/>
      <c r="E452" s="210" t="s">
        <v>670</v>
      </c>
      <c r="F452" s="684" t="str">
        <f>+VLOOKUP(G452,Resumen_Base!$C$8:$G$156,5,0)</f>
        <v>Guides</v>
      </c>
      <c r="G452" s="152" t="s">
        <v>323</v>
      </c>
      <c r="H452" s="474" t="s">
        <v>324</v>
      </c>
      <c r="I452" s="152" t="str">
        <f t="shared" si="6"/>
        <v>SJ5227</v>
      </c>
      <c r="J452" s="847">
        <v>655418.44999999995</v>
      </c>
      <c r="K452" s="513">
        <v>466.49</v>
      </c>
      <c r="L452" s="513">
        <v>1405</v>
      </c>
      <c r="M452" s="152" t="s">
        <v>7116</v>
      </c>
      <c r="N452" s="513" t="s">
        <v>780</v>
      </c>
      <c r="O452" s="513" t="s">
        <v>781</v>
      </c>
      <c r="P452" s="513" t="s">
        <v>7517</v>
      </c>
      <c r="Q452" s="518" t="s">
        <v>7101</v>
      </c>
      <c r="R452" s="152" t="s">
        <v>7518</v>
      </c>
      <c r="S452" s="152" t="s">
        <v>7562</v>
      </c>
      <c r="T452" s="152" t="s">
        <v>7520</v>
      </c>
      <c r="U452" s="152" t="s">
        <v>786</v>
      </c>
    </row>
    <row r="453" spans="4:21">
      <c r="D453" s="210"/>
      <c r="E453" s="210" t="s">
        <v>670</v>
      </c>
      <c r="F453" s="684" t="str">
        <f>+VLOOKUP(G453,Resumen_Base!$C$8:$G$156,5,0)</f>
        <v>Guides</v>
      </c>
      <c r="G453" s="152" t="s">
        <v>323</v>
      </c>
      <c r="H453" s="474" t="s">
        <v>324</v>
      </c>
      <c r="I453" s="152" t="str">
        <f t="shared" si="6"/>
        <v>SJ5227</v>
      </c>
      <c r="J453" s="847">
        <v>2697.6</v>
      </c>
      <c r="K453" s="513">
        <v>1.92</v>
      </c>
      <c r="L453" s="513">
        <v>1405</v>
      </c>
      <c r="M453" s="152" t="s">
        <v>7116</v>
      </c>
      <c r="N453" s="513" t="s">
        <v>780</v>
      </c>
      <c r="O453" s="513" t="s">
        <v>781</v>
      </c>
      <c r="P453" s="513" t="s">
        <v>7517</v>
      </c>
      <c r="Q453" s="518" t="s">
        <v>7101</v>
      </c>
      <c r="R453" s="152" t="s">
        <v>7518</v>
      </c>
      <c r="S453" s="152" t="s">
        <v>953</v>
      </c>
      <c r="T453" s="152" t="s">
        <v>7520</v>
      </c>
      <c r="U453" s="152" t="s">
        <v>786</v>
      </c>
    </row>
    <row r="454" spans="4:21">
      <c r="D454" s="210"/>
      <c r="E454" s="210" t="s">
        <v>670</v>
      </c>
      <c r="F454" s="684" t="str">
        <f>+VLOOKUP(G454,Resumen_Base!$C$8:$G$156,5,0)</f>
        <v>Guides</v>
      </c>
      <c r="G454" s="152" t="s">
        <v>323</v>
      </c>
      <c r="H454" s="474" t="s">
        <v>324</v>
      </c>
      <c r="I454" s="152" t="str">
        <f t="shared" si="6"/>
        <v>SJ5227</v>
      </c>
      <c r="J454" s="847">
        <v>321759.05</v>
      </c>
      <c r="K454" s="513">
        <v>229.01</v>
      </c>
      <c r="L454" s="513">
        <v>1405</v>
      </c>
      <c r="M454" s="152" t="s">
        <v>7116</v>
      </c>
      <c r="N454" s="513" t="s">
        <v>780</v>
      </c>
      <c r="O454" s="513" t="s">
        <v>781</v>
      </c>
      <c r="P454" s="513" t="s">
        <v>7517</v>
      </c>
      <c r="Q454" s="518" t="s">
        <v>7101</v>
      </c>
      <c r="R454" s="152" t="s">
        <v>7518</v>
      </c>
      <c r="S454" s="152" t="s">
        <v>7563</v>
      </c>
      <c r="T454" s="152" t="s">
        <v>7520</v>
      </c>
      <c r="U454" s="152" t="s">
        <v>786</v>
      </c>
    </row>
    <row r="455" spans="4:21">
      <c r="D455" s="210"/>
      <c r="E455" s="210" t="s">
        <v>670</v>
      </c>
      <c r="F455" s="684" t="str">
        <f>+VLOOKUP(G455,Resumen_Base!$C$8:$G$156,5,0)</f>
        <v>Guides</v>
      </c>
      <c r="G455" s="152" t="s">
        <v>323</v>
      </c>
      <c r="H455" s="474" t="s">
        <v>324</v>
      </c>
      <c r="I455" s="152" t="str">
        <f t="shared" si="6"/>
        <v>SJ5227</v>
      </c>
      <c r="J455" s="847">
        <v>2697.6</v>
      </c>
      <c r="K455" s="513">
        <v>1.92</v>
      </c>
      <c r="L455" s="513">
        <v>1405</v>
      </c>
      <c r="M455" s="152" t="s">
        <v>7116</v>
      </c>
      <c r="N455" s="513" t="s">
        <v>780</v>
      </c>
      <c r="O455" s="513" t="s">
        <v>781</v>
      </c>
      <c r="P455" s="513" t="s">
        <v>7517</v>
      </c>
      <c r="Q455" s="518" t="s">
        <v>7101</v>
      </c>
      <c r="R455" s="152" t="s">
        <v>7518</v>
      </c>
      <c r="S455" s="152" t="s">
        <v>953</v>
      </c>
      <c r="T455" s="152" t="s">
        <v>7520</v>
      </c>
      <c r="U455" s="152" t="s">
        <v>786</v>
      </c>
    </row>
    <row r="456" spans="4:21">
      <c r="D456" s="210"/>
      <c r="E456" s="210" t="s">
        <v>670</v>
      </c>
      <c r="F456" s="684" t="str">
        <f>+VLOOKUP(G456,Resumen_Base!$C$8:$G$156,5,0)</f>
        <v>Guides</v>
      </c>
      <c r="G456" s="152" t="s">
        <v>323</v>
      </c>
      <c r="H456" s="474" t="s">
        <v>324</v>
      </c>
      <c r="I456" s="152" t="str">
        <f t="shared" si="6"/>
        <v>SJ5227</v>
      </c>
      <c r="J456" s="847">
        <v>536260.4</v>
      </c>
      <c r="K456" s="513">
        <v>381.68</v>
      </c>
      <c r="L456" s="513">
        <v>1405</v>
      </c>
      <c r="M456" s="152" t="s">
        <v>7116</v>
      </c>
      <c r="N456" s="513" t="s">
        <v>780</v>
      </c>
      <c r="O456" s="513" t="s">
        <v>781</v>
      </c>
      <c r="P456" s="513" t="s">
        <v>7517</v>
      </c>
      <c r="Q456" s="518" t="s">
        <v>7101</v>
      </c>
      <c r="R456" s="152" t="s">
        <v>7518</v>
      </c>
      <c r="S456" s="152" t="s">
        <v>7564</v>
      </c>
      <c r="T456" s="152" t="s">
        <v>7520</v>
      </c>
      <c r="U456" s="152" t="s">
        <v>786</v>
      </c>
    </row>
    <row r="457" spans="4:21">
      <c r="D457" s="210"/>
      <c r="E457" s="210" t="s">
        <v>670</v>
      </c>
      <c r="F457" s="684" t="str">
        <f>+VLOOKUP(G457,Resumen_Base!$C$8:$G$156,5,0)</f>
        <v>Guides</v>
      </c>
      <c r="G457" s="152" t="s">
        <v>323</v>
      </c>
      <c r="H457" s="474" t="s">
        <v>324</v>
      </c>
      <c r="I457" s="152" t="str">
        <f t="shared" si="6"/>
        <v>SJ5227</v>
      </c>
      <c r="J457" s="847">
        <v>375387.9</v>
      </c>
      <c r="K457" s="513">
        <v>267.18</v>
      </c>
      <c r="L457" s="513">
        <v>1405</v>
      </c>
      <c r="M457" s="152" t="s">
        <v>7116</v>
      </c>
      <c r="N457" s="513" t="s">
        <v>780</v>
      </c>
      <c r="O457" s="513" t="s">
        <v>781</v>
      </c>
      <c r="P457" s="513" t="s">
        <v>7517</v>
      </c>
      <c r="Q457" s="518" t="s">
        <v>7101</v>
      </c>
      <c r="R457" s="152" t="s">
        <v>7518</v>
      </c>
      <c r="S457" s="152" t="s">
        <v>7565</v>
      </c>
      <c r="T457" s="152" t="s">
        <v>7520</v>
      </c>
      <c r="U457" s="152" t="s">
        <v>786</v>
      </c>
    </row>
    <row r="458" spans="4:21">
      <c r="D458" s="210"/>
      <c r="E458" s="210" t="s">
        <v>670</v>
      </c>
      <c r="F458" s="684" t="str">
        <f>+VLOOKUP(G458,Resumen_Base!$C$8:$G$156,5,0)</f>
        <v>Guides</v>
      </c>
      <c r="G458" s="152" t="s">
        <v>323</v>
      </c>
      <c r="H458" s="474" t="s">
        <v>324</v>
      </c>
      <c r="I458" s="152" t="str">
        <f t="shared" si="6"/>
        <v>SJ5227</v>
      </c>
      <c r="J458" s="847">
        <v>1072520.8</v>
      </c>
      <c r="K458" s="513">
        <v>763.36</v>
      </c>
      <c r="L458" s="513">
        <v>1405</v>
      </c>
      <c r="M458" s="152" t="s">
        <v>7116</v>
      </c>
      <c r="N458" s="513" t="s">
        <v>780</v>
      </c>
      <c r="O458" s="513" t="s">
        <v>781</v>
      </c>
      <c r="P458" s="513" t="s">
        <v>7517</v>
      </c>
      <c r="Q458" s="518" t="s">
        <v>7101</v>
      </c>
      <c r="R458" s="152" t="s">
        <v>7518</v>
      </c>
      <c r="S458" s="152" t="s">
        <v>7566</v>
      </c>
      <c r="T458" s="152" t="s">
        <v>7520</v>
      </c>
      <c r="U458" s="152" t="s">
        <v>786</v>
      </c>
    </row>
    <row r="459" spans="4:21">
      <c r="D459" s="210"/>
      <c r="E459" s="210" t="s">
        <v>670</v>
      </c>
      <c r="F459" s="684" t="str">
        <f>+VLOOKUP(G459,Resumen_Base!$C$8:$G$156,5,0)</f>
        <v>Guides</v>
      </c>
      <c r="G459" s="152" t="s">
        <v>323</v>
      </c>
      <c r="H459" s="474" t="s">
        <v>324</v>
      </c>
      <c r="I459" s="152" t="str">
        <f t="shared" si="6"/>
        <v>SJ5227</v>
      </c>
      <c r="J459" s="847">
        <v>283613.3</v>
      </c>
      <c r="K459" s="513">
        <v>201.86</v>
      </c>
      <c r="L459" s="513">
        <v>1405</v>
      </c>
      <c r="M459" s="152" t="s">
        <v>7116</v>
      </c>
      <c r="N459" s="513" t="s">
        <v>780</v>
      </c>
      <c r="O459" s="513" t="s">
        <v>781</v>
      </c>
      <c r="P459" s="513" t="s">
        <v>7517</v>
      </c>
      <c r="Q459" s="518" t="s">
        <v>7101</v>
      </c>
      <c r="R459" s="152" t="s">
        <v>7518</v>
      </c>
      <c r="S459" s="152" t="s">
        <v>7567</v>
      </c>
      <c r="T459" s="152" t="s">
        <v>7520</v>
      </c>
      <c r="U459" s="152" t="s">
        <v>786</v>
      </c>
    </row>
    <row r="460" spans="4:21">
      <c r="D460" s="210"/>
      <c r="E460" s="210" t="s">
        <v>670</v>
      </c>
      <c r="F460" s="684" t="str">
        <f>+VLOOKUP(G460,Resumen_Base!$C$8:$G$156,5,0)</f>
        <v>Guides</v>
      </c>
      <c r="G460" s="152" t="s">
        <v>323</v>
      </c>
      <c r="H460" s="474" t="s">
        <v>324</v>
      </c>
      <c r="I460" s="152" t="str">
        <f t="shared" si="6"/>
        <v>SJ5227</v>
      </c>
      <c r="J460" s="847">
        <v>2711.65</v>
      </c>
      <c r="K460" s="513">
        <v>1.93</v>
      </c>
      <c r="L460" s="513">
        <v>1405</v>
      </c>
      <c r="M460" s="152" t="s">
        <v>7116</v>
      </c>
      <c r="N460" s="513" t="s">
        <v>780</v>
      </c>
      <c r="O460" s="513" t="s">
        <v>781</v>
      </c>
      <c r="P460" s="513" t="s">
        <v>7517</v>
      </c>
      <c r="Q460" s="518" t="s">
        <v>7101</v>
      </c>
      <c r="R460" s="152" t="s">
        <v>7518</v>
      </c>
      <c r="S460" s="152" t="s">
        <v>953</v>
      </c>
      <c r="T460" s="152" t="s">
        <v>7520</v>
      </c>
      <c r="U460" s="152" t="s">
        <v>786</v>
      </c>
    </row>
    <row r="461" spans="4:21">
      <c r="D461" s="210"/>
      <c r="E461" s="210" t="s">
        <v>670</v>
      </c>
      <c r="F461" s="684" t="str">
        <f>+VLOOKUP(G461,Resumen_Base!$C$8:$G$156,5,0)</f>
        <v>Guides</v>
      </c>
      <c r="G461" s="152" t="s">
        <v>323</v>
      </c>
      <c r="H461" s="474" t="s">
        <v>324</v>
      </c>
      <c r="I461" s="152" t="str">
        <f t="shared" ref="I461:I524" si="7">+E461&amp;G461</f>
        <v>SJ5227</v>
      </c>
      <c r="J461" s="847">
        <v>1787525.3</v>
      </c>
      <c r="K461" s="513">
        <v>1272.26</v>
      </c>
      <c r="L461" s="513">
        <v>1405</v>
      </c>
      <c r="M461" s="152" t="s">
        <v>7116</v>
      </c>
      <c r="N461" s="513" t="s">
        <v>780</v>
      </c>
      <c r="O461" s="513" t="s">
        <v>781</v>
      </c>
      <c r="P461" s="513" t="s">
        <v>7517</v>
      </c>
      <c r="Q461" s="518" t="s">
        <v>7101</v>
      </c>
      <c r="R461" s="152" t="s">
        <v>7518</v>
      </c>
      <c r="S461" s="152" t="s">
        <v>7568</v>
      </c>
      <c r="T461" s="152" t="s">
        <v>7520</v>
      </c>
      <c r="U461" s="152" t="s">
        <v>786</v>
      </c>
    </row>
    <row r="462" spans="4:21">
      <c r="D462" s="210"/>
      <c r="E462" s="210" t="s">
        <v>670</v>
      </c>
      <c r="F462" s="684" t="str">
        <f>+VLOOKUP(G462,Resumen_Base!$C$8:$G$156,5,0)</f>
        <v>Guides</v>
      </c>
      <c r="G462" s="152" t="s">
        <v>323</v>
      </c>
      <c r="H462" s="474" t="s">
        <v>324</v>
      </c>
      <c r="I462" s="152" t="str">
        <f t="shared" si="7"/>
        <v>SJ5227</v>
      </c>
      <c r="J462" s="847">
        <v>536260.4</v>
      </c>
      <c r="K462" s="513">
        <v>381.68</v>
      </c>
      <c r="L462" s="513">
        <v>1405</v>
      </c>
      <c r="M462" s="152" t="s">
        <v>7116</v>
      </c>
      <c r="N462" s="513" t="s">
        <v>780</v>
      </c>
      <c r="O462" s="513" t="s">
        <v>781</v>
      </c>
      <c r="P462" s="513" t="s">
        <v>7517</v>
      </c>
      <c r="Q462" s="518" t="s">
        <v>7101</v>
      </c>
      <c r="R462" s="152" t="s">
        <v>7518</v>
      </c>
      <c r="S462" s="152" t="s">
        <v>7569</v>
      </c>
      <c r="T462" s="152" t="s">
        <v>7520</v>
      </c>
      <c r="U462" s="152" t="s">
        <v>786</v>
      </c>
    </row>
    <row r="463" spans="4:21">
      <c r="D463" s="210"/>
      <c r="E463" s="210" t="s">
        <v>670</v>
      </c>
      <c r="F463" s="684" t="str">
        <f>+VLOOKUP(G463,Resumen_Base!$C$8:$G$156,5,0)</f>
        <v>Guides</v>
      </c>
      <c r="G463" s="152" t="s">
        <v>323</v>
      </c>
      <c r="H463" s="474" t="s">
        <v>324</v>
      </c>
      <c r="I463" s="152" t="str">
        <f t="shared" si="7"/>
        <v>SJ5227</v>
      </c>
      <c r="J463" s="847">
        <v>1430023.05</v>
      </c>
      <c r="K463" s="513">
        <v>1017.81</v>
      </c>
      <c r="L463" s="513">
        <v>1405</v>
      </c>
      <c r="M463" s="152" t="s">
        <v>7116</v>
      </c>
      <c r="N463" s="513" t="s">
        <v>780</v>
      </c>
      <c r="O463" s="513" t="s">
        <v>781</v>
      </c>
      <c r="P463" s="513" t="s">
        <v>7517</v>
      </c>
      <c r="Q463" s="518" t="s">
        <v>7101</v>
      </c>
      <c r="R463" s="152" t="s">
        <v>7518</v>
      </c>
      <c r="S463" s="152" t="s">
        <v>7570</v>
      </c>
      <c r="T463" s="152" t="s">
        <v>7520</v>
      </c>
      <c r="U463" s="152" t="s">
        <v>786</v>
      </c>
    </row>
    <row r="464" spans="4:21">
      <c r="D464" s="210"/>
      <c r="E464" s="210" t="s">
        <v>670</v>
      </c>
      <c r="F464" s="684" t="str">
        <f>+VLOOKUP(G464,Resumen_Base!$C$8:$G$156,5,0)</f>
        <v>Guides</v>
      </c>
      <c r="G464" s="152" t="s">
        <v>323</v>
      </c>
      <c r="H464" s="474" t="s">
        <v>324</v>
      </c>
      <c r="I464" s="152" t="str">
        <f t="shared" si="7"/>
        <v>SJ5227</v>
      </c>
      <c r="J464" s="847">
        <v>2712.2</v>
      </c>
      <c r="K464" s="513">
        <v>1.91</v>
      </c>
      <c r="L464" s="513">
        <v>1420</v>
      </c>
      <c r="M464" s="152" t="s">
        <v>7143</v>
      </c>
      <c r="N464" s="513" t="s">
        <v>780</v>
      </c>
      <c r="O464" s="513" t="s">
        <v>781</v>
      </c>
      <c r="P464" s="513" t="s">
        <v>7664</v>
      </c>
      <c r="Q464" s="518" t="s">
        <v>7101</v>
      </c>
      <c r="R464" s="152" t="s">
        <v>7665</v>
      </c>
      <c r="S464" s="152" t="s">
        <v>953</v>
      </c>
      <c r="T464" s="152" t="s">
        <v>7667</v>
      </c>
      <c r="U464" s="152" t="s">
        <v>786</v>
      </c>
    </row>
    <row r="465" spans="4:21">
      <c r="D465" s="210"/>
      <c r="E465" s="210" t="s">
        <v>670</v>
      </c>
      <c r="F465" s="684" t="str">
        <f>+VLOOKUP(G465,Resumen_Base!$C$8:$G$156,5,0)</f>
        <v>Guides</v>
      </c>
      <c r="G465" s="152" t="s">
        <v>323</v>
      </c>
      <c r="H465" s="474" t="s">
        <v>324</v>
      </c>
      <c r="I465" s="152" t="str">
        <f t="shared" si="7"/>
        <v>SJ5227</v>
      </c>
      <c r="J465" s="847">
        <v>2707485.6</v>
      </c>
      <c r="K465" s="513">
        <v>1906.68</v>
      </c>
      <c r="L465" s="513">
        <v>1420</v>
      </c>
      <c r="M465" s="152" t="s">
        <v>7143</v>
      </c>
      <c r="N465" s="513" t="s">
        <v>780</v>
      </c>
      <c r="O465" s="513" t="s">
        <v>781</v>
      </c>
      <c r="P465" s="513" t="s">
        <v>7664</v>
      </c>
      <c r="Q465" s="518" t="s">
        <v>7101</v>
      </c>
      <c r="R465" s="152" t="s">
        <v>7665</v>
      </c>
      <c r="S465" s="152" t="s">
        <v>7669</v>
      </c>
      <c r="T465" s="152" t="s">
        <v>7667</v>
      </c>
      <c r="U465" s="152" t="s">
        <v>786</v>
      </c>
    </row>
    <row r="466" spans="4:21">
      <c r="D466" s="210"/>
      <c r="E466" s="210" t="s">
        <v>670</v>
      </c>
      <c r="F466" s="684" t="str">
        <f>+VLOOKUP(G466,Resumen_Base!$C$8:$G$156,5,0)</f>
        <v>Guides</v>
      </c>
      <c r="G466" s="152" t="s">
        <v>323</v>
      </c>
      <c r="H466" s="474" t="s">
        <v>324</v>
      </c>
      <c r="I466" s="152" t="str">
        <f t="shared" si="7"/>
        <v>SJ5227</v>
      </c>
      <c r="J466" s="847">
        <v>2740.6</v>
      </c>
      <c r="K466" s="513">
        <v>1.93</v>
      </c>
      <c r="L466" s="513">
        <v>1420</v>
      </c>
      <c r="M466" s="152" t="s">
        <v>7143</v>
      </c>
      <c r="N466" s="513" t="s">
        <v>780</v>
      </c>
      <c r="O466" s="513" t="s">
        <v>781</v>
      </c>
      <c r="P466" s="513" t="s">
        <v>7664</v>
      </c>
      <c r="Q466" s="518" t="s">
        <v>7101</v>
      </c>
      <c r="R466" s="152" t="s">
        <v>7665</v>
      </c>
      <c r="S466" s="152" t="s">
        <v>953</v>
      </c>
      <c r="T466" s="152" t="s">
        <v>7667</v>
      </c>
      <c r="U466" s="152" t="s">
        <v>786</v>
      </c>
    </row>
    <row r="467" spans="4:21">
      <c r="D467" s="210"/>
      <c r="E467" s="210" t="s">
        <v>670</v>
      </c>
      <c r="F467" s="684" t="str">
        <f>+VLOOKUP(G467,Resumen_Base!$C$8:$G$156,5,0)</f>
        <v>Guides</v>
      </c>
      <c r="G467" s="152" t="s">
        <v>323</v>
      </c>
      <c r="H467" s="474" t="s">
        <v>324</v>
      </c>
      <c r="I467" s="152" t="str">
        <f t="shared" si="7"/>
        <v>SJ5227</v>
      </c>
      <c r="J467" s="847">
        <v>268607.2</v>
      </c>
      <c r="K467" s="513">
        <v>189.16</v>
      </c>
      <c r="L467" s="513">
        <v>1420</v>
      </c>
      <c r="M467" s="152" t="s">
        <v>7143</v>
      </c>
      <c r="N467" s="513" t="s">
        <v>780</v>
      </c>
      <c r="O467" s="513" t="s">
        <v>781</v>
      </c>
      <c r="P467" s="513" t="s">
        <v>7664</v>
      </c>
      <c r="Q467" s="518" t="s">
        <v>7101</v>
      </c>
      <c r="R467" s="152" t="s">
        <v>7665</v>
      </c>
      <c r="S467" s="152" t="s">
        <v>7670</v>
      </c>
      <c r="T467" s="152" t="s">
        <v>7667</v>
      </c>
      <c r="U467" s="152" t="s">
        <v>786</v>
      </c>
    </row>
    <row r="468" spans="4:21">
      <c r="D468" s="210"/>
      <c r="E468" s="210" t="s">
        <v>676</v>
      </c>
      <c r="F468" s="684" t="str">
        <f>+VLOOKUP(G468,Resumen_Base!$C$8:$G$156,5,0)</f>
        <v>Guides</v>
      </c>
      <c r="G468" s="152" t="s">
        <v>323</v>
      </c>
      <c r="H468" s="474" t="s">
        <v>324</v>
      </c>
      <c r="I468" s="152" t="str">
        <f t="shared" si="7"/>
        <v>CAR5227</v>
      </c>
      <c r="J468" s="847">
        <v>1334750</v>
      </c>
      <c r="K468" s="513">
        <v>950</v>
      </c>
      <c r="L468" s="513">
        <v>1405</v>
      </c>
      <c r="M468" s="152" t="s">
        <v>7116</v>
      </c>
      <c r="N468" s="513" t="s">
        <v>780</v>
      </c>
      <c r="O468" s="513" t="s">
        <v>1407</v>
      </c>
      <c r="P468" s="513" t="s">
        <v>7179</v>
      </c>
      <c r="Q468" s="518" t="s">
        <v>7101</v>
      </c>
      <c r="R468" s="152" t="s">
        <v>7180</v>
      </c>
      <c r="S468" s="152" t="s">
        <v>7241</v>
      </c>
      <c r="T468" s="152" t="s">
        <v>7182</v>
      </c>
      <c r="U468" s="152" t="s">
        <v>786</v>
      </c>
    </row>
    <row r="469" spans="4:21">
      <c r="D469" s="210"/>
      <c r="E469" s="210" t="s">
        <v>676</v>
      </c>
      <c r="F469" s="684" t="str">
        <f>+VLOOKUP(G469,Resumen_Base!$C$8:$G$156,5,0)</f>
        <v>Guides</v>
      </c>
      <c r="G469" s="152" t="s">
        <v>323</v>
      </c>
      <c r="H469" s="474" t="s">
        <v>324</v>
      </c>
      <c r="I469" s="152" t="str">
        <f t="shared" si="7"/>
        <v>CAR5227</v>
      </c>
      <c r="J469" s="847">
        <v>1545500</v>
      </c>
      <c r="K469" s="513">
        <v>1100</v>
      </c>
      <c r="L469" s="513">
        <v>1405</v>
      </c>
      <c r="M469" s="152" t="s">
        <v>7116</v>
      </c>
      <c r="N469" s="513" t="s">
        <v>780</v>
      </c>
      <c r="O469" s="513" t="s">
        <v>1407</v>
      </c>
      <c r="P469" s="513" t="s">
        <v>7179</v>
      </c>
      <c r="Q469" s="518" t="s">
        <v>7101</v>
      </c>
      <c r="R469" s="152" t="s">
        <v>7180</v>
      </c>
      <c r="S469" s="152" t="s">
        <v>7240</v>
      </c>
      <c r="T469" s="152" t="s">
        <v>7182</v>
      </c>
      <c r="U469" s="152" t="s">
        <v>786</v>
      </c>
    </row>
    <row r="470" spans="4:21">
      <c r="D470" s="210"/>
      <c r="E470" s="210" t="s">
        <v>676</v>
      </c>
      <c r="F470" s="684" t="str">
        <f>+VLOOKUP(G470,Resumen_Base!$C$8:$G$156,5,0)</f>
        <v>Guides</v>
      </c>
      <c r="G470" s="152" t="s">
        <v>323</v>
      </c>
      <c r="H470" s="474" t="s">
        <v>324</v>
      </c>
      <c r="I470" s="152" t="str">
        <f t="shared" si="7"/>
        <v>CAR5227</v>
      </c>
      <c r="J470" s="847">
        <v>983500</v>
      </c>
      <c r="K470" s="513">
        <v>700</v>
      </c>
      <c r="L470" s="513">
        <v>1405</v>
      </c>
      <c r="M470" s="152" t="s">
        <v>7116</v>
      </c>
      <c r="N470" s="513" t="s">
        <v>780</v>
      </c>
      <c r="O470" s="513" t="s">
        <v>1407</v>
      </c>
      <c r="P470" s="513" t="s">
        <v>7179</v>
      </c>
      <c r="Q470" s="518" t="s">
        <v>7101</v>
      </c>
      <c r="R470" s="152" t="s">
        <v>7180</v>
      </c>
      <c r="S470" s="152" t="s">
        <v>7239</v>
      </c>
      <c r="T470" s="152" t="s">
        <v>7182</v>
      </c>
      <c r="U470" s="152" t="s">
        <v>786</v>
      </c>
    </row>
    <row r="471" spans="4:21">
      <c r="D471" s="210"/>
      <c r="E471" s="210" t="s">
        <v>676</v>
      </c>
      <c r="F471" s="684" t="str">
        <f>+VLOOKUP(G471,Resumen_Base!$C$8:$G$156,5,0)</f>
        <v>Guides</v>
      </c>
      <c r="G471" s="152" t="s">
        <v>323</v>
      </c>
      <c r="H471" s="474" t="s">
        <v>324</v>
      </c>
      <c r="I471" s="152" t="str">
        <f t="shared" si="7"/>
        <v>CAR5227</v>
      </c>
      <c r="J471" s="847">
        <v>509467.05</v>
      </c>
      <c r="K471" s="513">
        <v>362.61</v>
      </c>
      <c r="L471" s="513">
        <v>1405</v>
      </c>
      <c r="M471" s="152" t="s">
        <v>7116</v>
      </c>
      <c r="N471" s="513" t="s">
        <v>780</v>
      </c>
      <c r="O471" s="513" t="s">
        <v>1407</v>
      </c>
      <c r="P471" s="513" t="s">
        <v>7456</v>
      </c>
      <c r="Q471" s="518" t="s">
        <v>7101</v>
      </c>
      <c r="R471" s="152" t="s">
        <v>7457</v>
      </c>
      <c r="S471" s="152" t="s">
        <v>7460</v>
      </c>
      <c r="T471" s="152" t="s">
        <v>7459</v>
      </c>
      <c r="U471" s="152" t="s">
        <v>786</v>
      </c>
    </row>
    <row r="472" spans="4:21">
      <c r="D472" s="210"/>
      <c r="E472" s="210" t="s">
        <v>676</v>
      </c>
      <c r="F472" s="684" t="str">
        <f>+VLOOKUP(G472,Resumen_Base!$C$8:$G$156,5,0)</f>
        <v>Guides</v>
      </c>
      <c r="G472" s="152" t="s">
        <v>323</v>
      </c>
      <c r="H472" s="474" t="s">
        <v>324</v>
      </c>
      <c r="I472" s="152" t="str">
        <f t="shared" si="7"/>
        <v>CAR5227</v>
      </c>
      <c r="J472" s="847">
        <v>2669.5</v>
      </c>
      <c r="K472" s="513">
        <v>1.9</v>
      </c>
      <c r="L472" s="513">
        <v>1405</v>
      </c>
      <c r="M472" s="152" t="s">
        <v>7116</v>
      </c>
      <c r="N472" s="513" t="s">
        <v>780</v>
      </c>
      <c r="O472" s="513" t="s">
        <v>1407</v>
      </c>
      <c r="P472" s="513" t="s">
        <v>7456</v>
      </c>
      <c r="Q472" s="518" t="s">
        <v>7101</v>
      </c>
      <c r="R472" s="152" t="s">
        <v>7457</v>
      </c>
      <c r="S472" s="152" t="s">
        <v>1515</v>
      </c>
      <c r="T472" s="152" t="s">
        <v>7459</v>
      </c>
      <c r="U472" s="152" t="s">
        <v>786</v>
      </c>
    </row>
    <row r="473" spans="4:21">
      <c r="D473" s="210"/>
      <c r="E473" s="210" t="s">
        <v>676</v>
      </c>
      <c r="F473" s="684" t="str">
        <f>+VLOOKUP(G473,Resumen_Base!$C$8:$G$156,5,0)</f>
        <v>Guides</v>
      </c>
      <c r="G473" s="152" t="s">
        <v>323</v>
      </c>
      <c r="H473" s="474" t="s">
        <v>324</v>
      </c>
      <c r="I473" s="152" t="str">
        <f t="shared" si="7"/>
        <v>CAR5227</v>
      </c>
      <c r="J473" s="847">
        <v>786238</v>
      </c>
      <c r="K473" s="513">
        <v>559.6</v>
      </c>
      <c r="L473" s="513">
        <v>1405</v>
      </c>
      <c r="M473" s="152" t="s">
        <v>7116</v>
      </c>
      <c r="N473" s="513" t="s">
        <v>780</v>
      </c>
      <c r="O473" s="513" t="s">
        <v>1407</v>
      </c>
      <c r="P473" s="513" t="s">
        <v>7456</v>
      </c>
      <c r="Q473" s="518" t="s">
        <v>7101</v>
      </c>
      <c r="R473" s="152" t="s">
        <v>7457</v>
      </c>
      <c r="S473" s="152" t="s">
        <v>7461</v>
      </c>
      <c r="T473" s="152" t="s">
        <v>7459</v>
      </c>
      <c r="U473" s="152" t="s">
        <v>786</v>
      </c>
    </row>
    <row r="474" spans="4:21">
      <c r="D474" s="210"/>
      <c r="E474" s="210" t="s">
        <v>676</v>
      </c>
      <c r="F474" s="684" t="str">
        <f>+VLOOKUP(G474,Resumen_Base!$C$8:$G$156,5,0)</f>
        <v>Guides</v>
      </c>
      <c r="G474" s="152" t="s">
        <v>323</v>
      </c>
      <c r="H474" s="474" t="s">
        <v>324</v>
      </c>
      <c r="I474" s="152" t="str">
        <f t="shared" si="7"/>
        <v>CAR5227</v>
      </c>
      <c r="J474" s="847">
        <v>2669.5</v>
      </c>
      <c r="K474" s="513">
        <v>1.9</v>
      </c>
      <c r="L474" s="513">
        <v>1405</v>
      </c>
      <c r="M474" s="152" t="s">
        <v>7116</v>
      </c>
      <c r="N474" s="513" t="s">
        <v>780</v>
      </c>
      <c r="O474" s="513" t="s">
        <v>1407</v>
      </c>
      <c r="P474" s="513" t="s">
        <v>7456</v>
      </c>
      <c r="Q474" s="518" t="s">
        <v>7101</v>
      </c>
      <c r="R474" s="152" t="s">
        <v>7457</v>
      </c>
      <c r="S474" s="152" t="s">
        <v>1515</v>
      </c>
      <c r="T474" s="152" t="s">
        <v>7459</v>
      </c>
      <c r="U474" s="152" t="s">
        <v>786</v>
      </c>
    </row>
    <row r="475" spans="4:21">
      <c r="D475" s="210"/>
      <c r="E475" s="210" t="s">
        <v>676</v>
      </c>
      <c r="F475" s="684" t="str">
        <f>+VLOOKUP(G475,Resumen_Base!$C$8:$G$156,5,0)</f>
        <v>Guides</v>
      </c>
      <c r="G475" s="152" t="s">
        <v>323</v>
      </c>
      <c r="H475" s="474" t="s">
        <v>324</v>
      </c>
      <c r="I475" s="152" t="str">
        <f t="shared" si="7"/>
        <v>CAR5227</v>
      </c>
      <c r="J475" s="847">
        <v>179811.9</v>
      </c>
      <c r="K475" s="513">
        <v>127.98</v>
      </c>
      <c r="L475" s="513">
        <v>1405</v>
      </c>
      <c r="M475" s="152" t="s">
        <v>7116</v>
      </c>
      <c r="N475" s="513" t="s">
        <v>780</v>
      </c>
      <c r="O475" s="513" t="s">
        <v>1407</v>
      </c>
      <c r="P475" s="513" t="s">
        <v>7456</v>
      </c>
      <c r="Q475" s="518" t="s">
        <v>7101</v>
      </c>
      <c r="R475" s="152" t="s">
        <v>7457</v>
      </c>
      <c r="S475" s="152" t="s">
        <v>7463</v>
      </c>
      <c r="T475" s="152" t="s">
        <v>7459</v>
      </c>
      <c r="U475" s="152" t="s">
        <v>786</v>
      </c>
    </row>
    <row r="476" spans="4:21">
      <c r="D476" s="210"/>
      <c r="E476" s="210" t="s">
        <v>676</v>
      </c>
      <c r="F476" s="684" t="str">
        <f>+VLOOKUP(G476,Resumen_Base!$C$8:$G$156,5,0)</f>
        <v>Guides</v>
      </c>
      <c r="G476" s="152" t="s">
        <v>323</v>
      </c>
      <c r="H476" s="474" t="s">
        <v>324</v>
      </c>
      <c r="I476" s="152" t="str">
        <f t="shared" si="7"/>
        <v>CAR5227</v>
      </c>
      <c r="J476" s="847">
        <v>209780.55</v>
      </c>
      <c r="K476" s="513">
        <v>149.31</v>
      </c>
      <c r="L476" s="513">
        <v>1405</v>
      </c>
      <c r="M476" s="152" t="s">
        <v>7116</v>
      </c>
      <c r="N476" s="513" t="s">
        <v>780</v>
      </c>
      <c r="O476" s="513" t="s">
        <v>1407</v>
      </c>
      <c r="P476" s="513" t="s">
        <v>7456</v>
      </c>
      <c r="Q476" s="518" t="s">
        <v>7101</v>
      </c>
      <c r="R476" s="152" t="s">
        <v>7457</v>
      </c>
      <c r="S476" s="152" t="s">
        <v>7464</v>
      </c>
      <c r="T476" s="152" t="s">
        <v>7459</v>
      </c>
      <c r="U476" s="152" t="s">
        <v>786</v>
      </c>
    </row>
    <row r="477" spans="4:21">
      <c r="D477" s="210"/>
      <c r="E477" s="210" t="s">
        <v>676</v>
      </c>
      <c r="F477" s="684" t="str">
        <f>+VLOOKUP(G477,Resumen_Base!$C$8:$G$156,5,0)</f>
        <v>Guides</v>
      </c>
      <c r="G477" s="152" t="s">
        <v>323</v>
      </c>
      <c r="H477" s="474" t="s">
        <v>324</v>
      </c>
      <c r="I477" s="152" t="str">
        <f t="shared" si="7"/>
        <v>CAR5227</v>
      </c>
      <c r="J477" s="847">
        <v>2669.5</v>
      </c>
      <c r="K477" s="513">
        <v>1.9</v>
      </c>
      <c r="L477" s="513">
        <v>1405</v>
      </c>
      <c r="M477" s="152" t="s">
        <v>7116</v>
      </c>
      <c r="N477" s="513" t="s">
        <v>780</v>
      </c>
      <c r="O477" s="513" t="s">
        <v>1407</v>
      </c>
      <c r="P477" s="513" t="s">
        <v>7456</v>
      </c>
      <c r="Q477" s="518" t="s">
        <v>7101</v>
      </c>
      <c r="R477" s="152" t="s">
        <v>7457</v>
      </c>
      <c r="S477" s="152" t="s">
        <v>1515</v>
      </c>
      <c r="T477" s="152" t="s">
        <v>7459</v>
      </c>
      <c r="U477" s="152" t="s">
        <v>786</v>
      </c>
    </row>
    <row r="478" spans="4:21">
      <c r="D478" s="210"/>
      <c r="E478" s="210" t="s">
        <v>676</v>
      </c>
      <c r="F478" s="684" t="str">
        <f>+VLOOKUP(G478,Resumen_Base!$C$8:$G$156,5,0)</f>
        <v>Guides</v>
      </c>
      <c r="G478" s="152" t="s">
        <v>323</v>
      </c>
      <c r="H478" s="474" t="s">
        <v>324</v>
      </c>
      <c r="I478" s="152" t="str">
        <f t="shared" si="7"/>
        <v>CAR5227</v>
      </c>
      <c r="J478" s="847">
        <v>479498.4</v>
      </c>
      <c r="K478" s="513">
        <v>341.28</v>
      </c>
      <c r="L478" s="513">
        <v>1405</v>
      </c>
      <c r="M478" s="152" t="s">
        <v>7116</v>
      </c>
      <c r="N478" s="513" t="s">
        <v>780</v>
      </c>
      <c r="O478" s="513" t="s">
        <v>1407</v>
      </c>
      <c r="P478" s="513" t="s">
        <v>7456</v>
      </c>
      <c r="Q478" s="518" t="s">
        <v>7101</v>
      </c>
      <c r="R478" s="152" t="s">
        <v>7457</v>
      </c>
      <c r="S478" s="152" t="s">
        <v>7465</v>
      </c>
      <c r="T478" s="152" t="s">
        <v>7459</v>
      </c>
      <c r="U478" s="152" t="s">
        <v>786</v>
      </c>
    </row>
    <row r="479" spans="4:21">
      <c r="D479" s="210"/>
      <c r="E479" s="210" t="s">
        <v>676</v>
      </c>
      <c r="F479" s="684" t="str">
        <f>+VLOOKUP(G479,Resumen_Base!$C$8:$G$156,5,0)</f>
        <v>Guides</v>
      </c>
      <c r="G479" s="152" t="s">
        <v>323</v>
      </c>
      <c r="H479" s="474" t="s">
        <v>324</v>
      </c>
      <c r="I479" s="152" t="str">
        <f t="shared" si="7"/>
        <v>CAR5227</v>
      </c>
      <c r="J479" s="847">
        <v>2669.5</v>
      </c>
      <c r="K479" s="513">
        <v>1.9</v>
      </c>
      <c r="L479" s="513">
        <v>1405</v>
      </c>
      <c r="M479" s="152" t="s">
        <v>7116</v>
      </c>
      <c r="N479" s="513" t="s">
        <v>780</v>
      </c>
      <c r="O479" s="513" t="s">
        <v>1407</v>
      </c>
      <c r="P479" s="513" t="s">
        <v>7456</v>
      </c>
      <c r="Q479" s="518" t="s">
        <v>7101</v>
      </c>
      <c r="R479" s="152" t="s">
        <v>7457</v>
      </c>
      <c r="S479" s="152" t="s">
        <v>1515</v>
      </c>
      <c r="T479" s="152" t="s">
        <v>7459</v>
      </c>
      <c r="U479" s="152" t="s">
        <v>786</v>
      </c>
    </row>
    <row r="480" spans="4:21">
      <c r="D480" s="210"/>
      <c r="E480" s="210" t="s">
        <v>676</v>
      </c>
      <c r="F480" s="684" t="str">
        <f>+VLOOKUP(G480,Resumen_Base!$C$8:$G$156,5,0)</f>
        <v>Guides</v>
      </c>
      <c r="G480" s="152" t="s">
        <v>323</v>
      </c>
      <c r="H480" s="474" t="s">
        <v>324</v>
      </c>
      <c r="I480" s="152" t="str">
        <f t="shared" si="7"/>
        <v>CAR5227</v>
      </c>
      <c r="J480" s="847">
        <v>919502.25</v>
      </c>
      <c r="K480" s="513">
        <v>654.45000000000005</v>
      </c>
      <c r="L480" s="513">
        <v>1405</v>
      </c>
      <c r="M480" s="152" t="s">
        <v>7116</v>
      </c>
      <c r="N480" s="513" t="s">
        <v>780</v>
      </c>
      <c r="O480" s="513" t="s">
        <v>1407</v>
      </c>
      <c r="P480" s="513" t="s">
        <v>7456</v>
      </c>
      <c r="Q480" s="518" t="s">
        <v>7101</v>
      </c>
      <c r="R480" s="152" t="s">
        <v>7457</v>
      </c>
      <c r="S480" s="152" t="s">
        <v>7466</v>
      </c>
      <c r="T480" s="152" t="s">
        <v>7459</v>
      </c>
      <c r="U480" s="152" t="s">
        <v>786</v>
      </c>
    </row>
    <row r="481" spans="4:21">
      <c r="D481" s="210"/>
      <c r="E481" s="210" t="s">
        <v>676</v>
      </c>
      <c r="F481" s="684" t="str">
        <f>+VLOOKUP(G481,Resumen_Base!$C$8:$G$156,5,0)</f>
        <v>Guides</v>
      </c>
      <c r="G481" s="152" t="s">
        <v>323</v>
      </c>
      <c r="H481" s="474" t="s">
        <v>324</v>
      </c>
      <c r="I481" s="152" t="str">
        <f t="shared" si="7"/>
        <v>CAR5227</v>
      </c>
      <c r="J481" s="847">
        <v>2669.5</v>
      </c>
      <c r="K481" s="513">
        <v>1.9</v>
      </c>
      <c r="L481" s="513">
        <v>1405</v>
      </c>
      <c r="M481" s="152" t="s">
        <v>7116</v>
      </c>
      <c r="N481" s="513" t="s">
        <v>780</v>
      </c>
      <c r="O481" s="513" t="s">
        <v>1407</v>
      </c>
      <c r="P481" s="513" t="s">
        <v>7456</v>
      </c>
      <c r="Q481" s="518" t="s">
        <v>7101</v>
      </c>
      <c r="R481" s="152" t="s">
        <v>7457</v>
      </c>
      <c r="S481" s="152" t="s">
        <v>1515</v>
      </c>
      <c r="T481" s="152" t="s">
        <v>7459</v>
      </c>
      <c r="U481" s="152" t="s">
        <v>786</v>
      </c>
    </row>
    <row r="482" spans="4:21">
      <c r="D482" s="210"/>
      <c r="E482" s="210" t="s">
        <v>676</v>
      </c>
      <c r="F482" s="684" t="str">
        <f>+VLOOKUP(G482,Resumen_Base!$C$8:$G$156,5,0)</f>
        <v>Guides</v>
      </c>
      <c r="G482" s="152" t="s">
        <v>323</v>
      </c>
      <c r="H482" s="474" t="s">
        <v>324</v>
      </c>
      <c r="I482" s="152" t="str">
        <f t="shared" si="7"/>
        <v>CAR5227</v>
      </c>
      <c r="J482" s="847">
        <v>29968.65</v>
      </c>
      <c r="K482" s="513">
        <v>21.33</v>
      </c>
      <c r="L482" s="513">
        <v>1405</v>
      </c>
      <c r="M482" s="152" t="s">
        <v>7116</v>
      </c>
      <c r="N482" s="513" t="s">
        <v>780</v>
      </c>
      <c r="O482" s="513" t="s">
        <v>1407</v>
      </c>
      <c r="P482" s="513" t="s">
        <v>7456</v>
      </c>
      <c r="Q482" s="518" t="s">
        <v>7101</v>
      </c>
      <c r="R482" s="152" t="s">
        <v>7457</v>
      </c>
      <c r="S482" s="152" t="s">
        <v>7467</v>
      </c>
      <c r="T482" s="152" t="s">
        <v>7459</v>
      </c>
      <c r="U482" s="152" t="s">
        <v>786</v>
      </c>
    </row>
    <row r="483" spans="4:21">
      <c r="D483" s="210"/>
      <c r="E483" s="210" t="s">
        <v>676</v>
      </c>
      <c r="F483" s="684" t="str">
        <f>+VLOOKUP(G483,Resumen_Base!$C$8:$G$156,5,0)</f>
        <v>Guides</v>
      </c>
      <c r="G483" s="152" t="s">
        <v>323</v>
      </c>
      <c r="H483" s="474" t="s">
        <v>324</v>
      </c>
      <c r="I483" s="152" t="str">
        <f t="shared" si="7"/>
        <v>CAR5227</v>
      </c>
      <c r="J483" s="847">
        <v>2669.5</v>
      </c>
      <c r="K483" s="513">
        <v>1.9</v>
      </c>
      <c r="L483" s="513">
        <v>1405</v>
      </c>
      <c r="M483" s="152" t="s">
        <v>7116</v>
      </c>
      <c r="N483" s="513" t="s">
        <v>780</v>
      </c>
      <c r="O483" s="513" t="s">
        <v>1407</v>
      </c>
      <c r="P483" s="513" t="s">
        <v>7456</v>
      </c>
      <c r="Q483" s="518" t="s">
        <v>7101</v>
      </c>
      <c r="R483" s="152" t="s">
        <v>7457</v>
      </c>
      <c r="S483" s="152" t="s">
        <v>1515</v>
      </c>
      <c r="T483" s="152" t="s">
        <v>7459</v>
      </c>
      <c r="U483" s="152" t="s">
        <v>786</v>
      </c>
    </row>
    <row r="484" spans="4:21">
      <c r="D484" s="210"/>
      <c r="E484" s="210" t="s">
        <v>676</v>
      </c>
      <c r="F484" s="684" t="str">
        <f>+VLOOKUP(G484,Resumen_Base!$C$8:$G$156,5,0)</f>
        <v>Guides</v>
      </c>
      <c r="G484" s="152" t="s">
        <v>323</v>
      </c>
      <c r="H484" s="474" t="s">
        <v>324</v>
      </c>
      <c r="I484" s="152" t="str">
        <f t="shared" si="7"/>
        <v>CAR5227</v>
      </c>
      <c r="J484" s="847">
        <v>599373</v>
      </c>
      <c r="K484" s="513">
        <v>426.6</v>
      </c>
      <c r="L484" s="513">
        <v>1405</v>
      </c>
      <c r="M484" s="152" t="s">
        <v>7116</v>
      </c>
      <c r="N484" s="513" t="s">
        <v>780</v>
      </c>
      <c r="O484" s="513" t="s">
        <v>1407</v>
      </c>
      <c r="P484" s="513" t="s">
        <v>7456</v>
      </c>
      <c r="Q484" s="518" t="s">
        <v>7101</v>
      </c>
      <c r="R484" s="152" t="s">
        <v>7457</v>
      </c>
      <c r="S484" s="152" t="s">
        <v>7468</v>
      </c>
      <c r="T484" s="152" t="s">
        <v>7459</v>
      </c>
      <c r="U484" s="152" t="s">
        <v>786</v>
      </c>
    </row>
    <row r="485" spans="4:21">
      <c r="D485" s="210"/>
      <c r="E485" s="210" t="s">
        <v>676</v>
      </c>
      <c r="F485" s="684" t="str">
        <f>+VLOOKUP(G485,Resumen_Base!$C$8:$G$156,5,0)</f>
        <v>Guides</v>
      </c>
      <c r="G485" s="152" t="s">
        <v>323</v>
      </c>
      <c r="H485" s="474" t="s">
        <v>324</v>
      </c>
      <c r="I485" s="152" t="str">
        <f t="shared" si="7"/>
        <v>CAR5227</v>
      </c>
      <c r="J485" s="847">
        <v>2669.5</v>
      </c>
      <c r="K485" s="513">
        <v>1.9</v>
      </c>
      <c r="L485" s="513">
        <v>1405</v>
      </c>
      <c r="M485" s="152" t="s">
        <v>7116</v>
      </c>
      <c r="N485" s="513" t="s">
        <v>780</v>
      </c>
      <c r="O485" s="513" t="s">
        <v>1407</v>
      </c>
      <c r="P485" s="513" t="s">
        <v>7456</v>
      </c>
      <c r="Q485" s="518" t="s">
        <v>7101</v>
      </c>
      <c r="R485" s="152" t="s">
        <v>7457</v>
      </c>
      <c r="S485" s="152" t="s">
        <v>1515</v>
      </c>
      <c r="T485" s="152" t="s">
        <v>7459</v>
      </c>
      <c r="U485" s="152" t="s">
        <v>786</v>
      </c>
    </row>
    <row r="486" spans="4:21">
      <c r="D486" s="210"/>
      <c r="E486" s="210" t="s">
        <v>676</v>
      </c>
      <c r="F486" s="684" t="str">
        <f>+VLOOKUP(G486,Resumen_Base!$C$8:$G$156,5,0)</f>
        <v>Guides</v>
      </c>
      <c r="G486" s="152" t="s">
        <v>323</v>
      </c>
      <c r="H486" s="474" t="s">
        <v>324</v>
      </c>
      <c r="I486" s="152" t="str">
        <f t="shared" si="7"/>
        <v>CAR5227</v>
      </c>
      <c r="J486" s="847">
        <v>3666754.95</v>
      </c>
      <c r="K486" s="513">
        <v>2609.79</v>
      </c>
      <c r="L486" s="513">
        <v>1405</v>
      </c>
      <c r="M486" s="152" t="s">
        <v>7116</v>
      </c>
      <c r="N486" s="513" t="s">
        <v>780</v>
      </c>
      <c r="O486" s="513" t="s">
        <v>1407</v>
      </c>
      <c r="P486" s="513" t="s">
        <v>7456</v>
      </c>
      <c r="Q486" s="518" t="s">
        <v>7101</v>
      </c>
      <c r="R486" s="152" t="s">
        <v>7457</v>
      </c>
      <c r="S486" s="152" t="s">
        <v>7470</v>
      </c>
      <c r="T486" s="152" t="s">
        <v>7459</v>
      </c>
      <c r="U486" s="152" t="s">
        <v>786</v>
      </c>
    </row>
    <row r="487" spans="4:21">
      <c r="D487" s="210"/>
      <c r="E487" s="210" t="s">
        <v>676</v>
      </c>
      <c r="F487" s="684" t="str">
        <f>+VLOOKUP(G487,Resumen_Base!$C$8:$G$156,5,0)</f>
        <v>Guides</v>
      </c>
      <c r="G487" s="152" t="s">
        <v>323</v>
      </c>
      <c r="H487" s="474" t="s">
        <v>324</v>
      </c>
      <c r="I487" s="152" t="str">
        <f t="shared" si="7"/>
        <v>CAR5227</v>
      </c>
      <c r="J487" s="847">
        <v>188031.15</v>
      </c>
      <c r="K487" s="513">
        <v>133.83000000000001</v>
      </c>
      <c r="L487" s="513">
        <v>1405</v>
      </c>
      <c r="M487" s="152" t="s">
        <v>7116</v>
      </c>
      <c r="N487" s="513" t="s">
        <v>780</v>
      </c>
      <c r="O487" s="513" t="s">
        <v>1407</v>
      </c>
      <c r="P487" s="513" t="s">
        <v>7456</v>
      </c>
      <c r="Q487" s="518" t="s">
        <v>7101</v>
      </c>
      <c r="R487" s="152" t="s">
        <v>7457</v>
      </c>
      <c r="S487" s="152" t="s">
        <v>7471</v>
      </c>
      <c r="T487" s="152" t="s">
        <v>7459</v>
      </c>
      <c r="U487" s="152" t="s">
        <v>786</v>
      </c>
    </row>
    <row r="488" spans="4:21">
      <c r="D488" s="210"/>
      <c r="E488" s="210" t="s">
        <v>676</v>
      </c>
      <c r="F488" s="684" t="str">
        <f>+VLOOKUP(G488,Resumen_Base!$C$8:$G$156,5,0)</f>
        <v>Guides</v>
      </c>
      <c r="G488" s="152" t="s">
        <v>323</v>
      </c>
      <c r="H488" s="474" t="s">
        <v>324</v>
      </c>
      <c r="I488" s="152" t="str">
        <f t="shared" si="7"/>
        <v>CAR5227</v>
      </c>
      <c r="J488" s="847">
        <v>1233997.45</v>
      </c>
      <c r="K488" s="513">
        <v>878.29</v>
      </c>
      <c r="L488" s="513">
        <v>1405</v>
      </c>
      <c r="M488" s="152" t="s">
        <v>7116</v>
      </c>
      <c r="N488" s="513" t="s">
        <v>780</v>
      </c>
      <c r="O488" s="513" t="s">
        <v>1407</v>
      </c>
      <c r="P488" s="513" t="s">
        <v>7456</v>
      </c>
      <c r="Q488" s="518" t="s">
        <v>7101</v>
      </c>
      <c r="R488" s="152" t="s">
        <v>7457</v>
      </c>
      <c r="S488" s="152" t="s">
        <v>7472</v>
      </c>
      <c r="T488" s="152" t="s">
        <v>7459</v>
      </c>
      <c r="U488" s="152" t="s">
        <v>786</v>
      </c>
    </row>
    <row r="489" spans="4:21">
      <c r="D489" s="210"/>
      <c r="E489" s="210" t="s">
        <v>676</v>
      </c>
      <c r="F489" s="684" t="str">
        <f>+VLOOKUP(G489,Resumen_Base!$C$8:$G$156,5,0)</f>
        <v>Guides</v>
      </c>
      <c r="G489" s="152" t="s">
        <v>323</v>
      </c>
      <c r="H489" s="474" t="s">
        <v>324</v>
      </c>
      <c r="I489" s="152" t="str">
        <f t="shared" si="7"/>
        <v>CAR5227</v>
      </c>
      <c r="J489" s="847">
        <v>1233997.45</v>
      </c>
      <c r="K489" s="513">
        <v>878.29</v>
      </c>
      <c r="L489" s="513">
        <v>1405</v>
      </c>
      <c r="M489" s="152" t="s">
        <v>7116</v>
      </c>
      <c r="N489" s="513" t="s">
        <v>780</v>
      </c>
      <c r="O489" s="513" t="s">
        <v>1407</v>
      </c>
      <c r="P489" s="513" t="s">
        <v>7456</v>
      </c>
      <c r="Q489" s="518" t="s">
        <v>7101</v>
      </c>
      <c r="R489" s="152" t="s">
        <v>7457</v>
      </c>
      <c r="S489" s="152" t="s">
        <v>7473</v>
      </c>
      <c r="T489" s="152" t="s">
        <v>7459</v>
      </c>
      <c r="U489" s="152" t="s">
        <v>786</v>
      </c>
    </row>
    <row r="490" spans="4:21">
      <c r="D490" s="210"/>
      <c r="E490" s="210" t="s">
        <v>676</v>
      </c>
      <c r="F490" s="684" t="str">
        <f>+VLOOKUP(G490,Resumen_Base!$C$8:$G$156,5,0)</f>
        <v>Guides</v>
      </c>
      <c r="G490" s="152" t="s">
        <v>323</v>
      </c>
      <c r="H490" s="474" t="s">
        <v>324</v>
      </c>
      <c r="I490" s="152" t="str">
        <f t="shared" si="7"/>
        <v>CAR5227</v>
      </c>
      <c r="J490" s="847">
        <v>705141.4</v>
      </c>
      <c r="K490" s="513">
        <v>501.88</v>
      </c>
      <c r="L490" s="513">
        <v>1405</v>
      </c>
      <c r="M490" s="152" t="s">
        <v>7116</v>
      </c>
      <c r="N490" s="513" t="s">
        <v>780</v>
      </c>
      <c r="O490" s="513" t="s">
        <v>1407</v>
      </c>
      <c r="P490" s="513" t="s">
        <v>7456</v>
      </c>
      <c r="Q490" s="518" t="s">
        <v>7101</v>
      </c>
      <c r="R490" s="152" t="s">
        <v>7457</v>
      </c>
      <c r="S490" s="152" t="s">
        <v>7474</v>
      </c>
      <c r="T490" s="152" t="s">
        <v>7459</v>
      </c>
      <c r="U490" s="152" t="s">
        <v>786</v>
      </c>
    </row>
    <row r="491" spans="4:21">
      <c r="D491" s="210"/>
      <c r="E491" s="210" t="s">
        <v>676</v>
      </c>
      <c r="F491" s="684" t="str">
        <f>+VLOOKUP(G491,Resumen_Base!$C$8:$G$156,5,0)</f>
        <v>Guides</v>
      </c>
      <c r="G491" s="152" t="s">
        <v>323</v>
      </c>
      <c r="H491" s="474" t="s">
        <v>324</v>
      </c>
      <c r="I491" s="152" t="str">
        <f t="shared" si="7"/>
        <v>CAR5227</v>
      </c>
      <c r="J491" s="847">
        <v>810909.8</v>
      </c>
      <c r="K491" s="513">
        <v>577.16</v>
      </c>
      <c r="L491" s="513">
        <v>1405</v>
      </c>
      <c r="M491" s="152" t="s">
        <v>7116</v>
      </c>
      <c r="N491" s="513" t="s">
        <v>780</v>
      </c>
      <c r="O491" s="513" t="s">
        <v>1407</v>
      </c>
      <c r="P491" s="513" t="s">
        <v>7456</v>
      </c>
      <c r="Q491" s="518" t="s">
        <v>7101</v>
      </c>
      <c r="R491" s="152" t="s">
        <v>7457</v>
      </c>
      <c r="S491" s="152" t="s">
        <v>7475</v>
      </c>
      <c r="T491" s="152" t="s">
        <v>7459</v>
      </c>
      <c r="U491" s="152" t="s">
        <v>786</v>
      </c>
    </row>
    <row r="492" spans="4:21">
      <c r="D492" s="210"/>
      <c r="E492" s="210" t="s">
        <v>676</v>
      </c>
      <c r="F492" s="684" t="str">
        <f>+VLOOKUP(G492,Resumen_Base!$C$8:$G$156,5,0)</f>
        <v>Guides</v>
      </c>
      <c r="G492" s="152" t="s">
        <v>323</v>
      </c>
      <c r="H492" s="474" t="s">
        <v>324</v>
      </c>
      <c r="I492" s="152" t="str">
        <f t="shared" si="7"/>
        <v>CAR5227</v>
      </c>
      <c r="J492" s="847">
        <v>629341.65</v>
      </c>
      <c r="K492" s="513">
        <v>447.93</v>
      </c>
      <c r="L492" s="513">
        <v>1405</v>
      </c>
      <c r="M492" s="152" t="s">
        <v>7116</v>
      </c>
      <c r="N492" s="513" t="s">
        <v>780</v>
      </c>
      <c r="O492" s="513" t="s">
        <v>1407</v>
      </c>
      <c r="P492" s="513" t="s">
        <v>7456</v>
      </c>
      <c r="Q492" s="518" t="s">
        <v>7101</v>
      </c>
      <c r="R492" s="152" t="s">
        <v>7457</v>
      </c>
      <c r="S492" s="152" t="s">
        <v>7476</v>
      </c>
      <c r="T492" s="152" t="s">
        <v>7459</v>
      </c>
      <c r="U492" s="152" t="s">
        <v>786</v>
      </c>
    </row>
    <row r="493" spans="4:21">
      <c r="D493" s="210"/>
      <c r="E493" s="210" t="s">
        <v>676</v>
      </c>
      <c r="F493" s="684" t="str">
        <f>+VLOOKUP(G493,Resumen_Base!$C$8:$G$156,5,0)</f>
        <v>Guides</v>
      </c>
      <c r="G493" s="152" t="s">
        <v>323</v>
      </c>
      <c r="H493" s="474" t="s">
        <v>324</v>
      </c>
      <c r="I493" s="152" t="str">
        <f t="shared" si="7"/>
        <v>CAR5227</v>
      </c>
      <c r="J493" s="847">
        <v>2669.5</v>
      </c>
      <c r="K493" s="513">
        <v>1.9</v>
      </c>
      <c r="L493" s="513">
        <v>1405</v>
      </c>
      <c r="M493" s="152" t="s">
        <v>7116</v>
      </c>
      <c r="N493" s="513" t="s">
        <v>780</v>
      </c>
      <c r="O493" s="513" t="s">
        <v>1407</v>
      </c>
      <c r="P493" s="513" t="s">
        <v>7456</v>
      </c>
      <c r="Q493" s="518" t="s">
        <v>7101</v>
      </c>
      <c r="R493" s="152" t="s">
        <v>7457</v>
      </c>
      <c r="S493" s="152" t="s">
        <v>1515</v>
      </c>
      <c r="T493" s="152" t="s">
        <v>7459</v>
      </c>
      <c r="U493" s="152" t="s">
        <v>786</v>
      </c>
    </row>
    <row r="494" spans="4:21">
      <c r="D494" s="210"/>
      <c r="E494" s="210" t="s">
        <v>676</v>
      </c>
      <c r="F494" s="684" t="str">
        <f>+VLOOKUP(G494,Resumen_Base!$C$8:$G$156,5,0)</f>
        <v>Guides</v>
      </c>
      <c r="G494" s="152" t="s">
        <v>323</v>
      </c>
      <c r="H494" s="474" t="s">
        <v>324</v>
      </c>
      <c r="I494" s="152" t="str">
        <f t="shared" si="7"/>
        <v>CAR5227</v>
      </c>
      <c r="J494" s="847">
        <v>2669.5</v>
      </c>
      <c r="K494" s="513">
        <v>1.9</v>
      </c>
      <c r="L494" s="513">
        <v>1405</v>
      </c>
      <c r="M494" s="152" t="s">
        <v>7116</v>
      </c>
      <c r="N494" s="513" t="s">
        <v>780</v>
      </c>
      <c r="O494" s="513" t="s">
        <v>1407</v>
      </c>
      <c r="P494" s="513" t="s">
        <v>7456</v>
      </c>
      <c r="Q494" s="518" t="s">
        <v>7101</v>
      </c>
      <c r="R494" s="152" t="s">
        <v>7457</v>
      </c>
      <c r="S494" s="152" t="s">
        <v>1515</v>
      </c>
      <c r="T494" s="152" t="s">
        <v>7459</v>
      </c>
      <c r="U494" s="152" t="s">
        <v>786</v>
      </c>
    </row>
    <row r="495" spans="4:21">
      <c r="D495" s="210"/>
      <c r="E495" s="210" t="s">
        <v>676</v>
      </c>
      <c r="F495" s="684" t="str">
        <f>+VLOOKUP(G495,Resumen_Base!$C$8:$G$156,5,0)</f>
        <v>Guides</v>
      </c>
      <c r="G495" s="152" t="s">
        <v>323</v>
      </c>
      <c r="H495" s="474" t="s">
        <v>324</v>
      </c>
      <c r="I495" s="152" t="str">
        <f t="shared" si="7"/>
        <v>CAR5227</v>
      </c>
      <c r="J495" s="847">
        <v>659310.30000000005</v>
      </c>
      <c r="K495" s="513">
        <v>469.26</v>
      </c>
      <c r="L495" s="513">
        <v>1405</v>
      </c>
      <c r="M495" s="152" t="s">
        <v>7116</v>
      </c>
      <c r="N495" s="513" t="s">
        <v>780</v>
      </c>
      <c r="O495" s="513" t="s">
        <v>1407</v>
      </c>
      <c r="P495" s="513" t="s">
        <v>7456</v>
      </c>
      <c r="Q495" s="518" t="s">
        <v>7101</v>
      </c>
      <c r="R495" s="152" t="s">
        <v>7457</v>
      </c>
      <c r="S495" s="152" t="s">
        <v>7513</v>
      </c>
      <c r="T495" s="152" t="s">
        <v>7459</v>
      </c>
      <c r="U495" s="152" t="s">
        <v>786</v>
      </c>
    </row>
    <row r="496" spans="4:21">
      <c r="D496" s="210"/>
      <c r="E496" s="210" t="s">
        <v>676</v>
      </c>
      <c r="F496" s="684" t="str">
        <f>+VLOOKUP(G496,Resumen_Base!$C$8:$G$156,5,0)</f>
        <v>Guides</v>
      </c>
      <c r="G496" s="152" t="s">
        <v>323</v>
      </c>
      <c r="H496" s="474" t="s">
        <v>324</v>
      </c>
      <c r="I496" s="152" t="str">
        <f t="shared" si="7"/>
        <v>CAR5227</v>
      </c>
      <c r="J496" s="847">
        <v>2669.5</v>
      </c>
      <c r="K496" s="513">
        <v>1.9</v>
      </c>
      <c r="L496" s="513">
        <v>1405</v>
      </c>
      <c r="M496" s="152" t="s">
        <v>7116</v>
      </c>
      <c r="N496" s="513" t="s">
        <v>780</v>
      </c>
      <c r="O496" s="513" t="s">
        <v>1407</v>
      </c>
      <c r="P496" s="513" t="s">
        <v>7456</v>
      </c>
      <c r="Q496" s="518" t="s">
        <v>7101</v>
      </c>
      <c r="R496" s="152" t="s">
        <v>7457</v>
      </c>
      <c r="S496" s="152" t="s">
        <v>1515</v>
      </c>
      <c r="T496" s="152" t="s">
        <v>7459</v>
      </c>
      <c r="U496" s="152" t="s">
        <v>786</v>
      </c>
    </row>
    <row r="497" spans="4:21">
      <c r="D497" s="210"/>
      <c r="E497" s="210" t="s">
        <v>676</v>
      </c>
      <c r="F497" s="684" t="str">
        <f>+VLOOKUP(G497,Resumen_Base!$C$8:$G$156,5,0)</f>
        <v>Guides</v>
      </c>
      <c r="G497" s="152" t="s">
        <v>323</v>
      </c>
      <c r="H497" s="474" t="s">
        <v>324</v>
      </c>
      <c r="I497" s="152" t="str">
        <f t="shared" si="7"/>
        <v>CAR5227</v>
      </c>
      <c r="J497" s="847">
        <v>479498.4</v>
      </c>
      <c r="K497" s="513">
        <v>341.28</v>
      </c>
      <c r="L497" s="513">
        <v>1405</v>
      </c>
      <c r="M497" s="152" t="s">
        <v>7116</v>
      </c>
      <c r="N497" s="513" t="s">
        <v>780</v>
      </c>
      <c r="O497" s="513" t="s">
        <v>1407</v>
      </c>
      <c r="P497" s="513" t="s">
        <v>7456</v>
      </c>
      <c r="Q497" s="518" t="s">
        <v>7101</v>
      </c>
      <c r="R497" s="152" t="s">
        <v>7457</v>
      </c>
      <c r="S497" s="152" t="s">
        <v>7490</v>
      </c>
      <c r="T497" s="152" t="s">
        <v>7459</v>
      </c>
      <c r="U497" s="152" t="s">
        <v>786</v>
      </c>
    </row>
    <row r="498" spans="4:21">
      <c r="D498" s="210"/>
      <c r="E498" s="210" t="s">
        <v>676</v>
      </c>
      <c r="F498" s="684" t="str">
        <f>+VLOOKUP(G498,Resumen_Base!$C$8:$G$156,5,0)</f>
        <v>Guides</v>
      </c>
      <c r="G498" s="152" t="s">
        <v>323</v>
      </c>
      <c r="H498" s="474" t="s">
        <v>324</v>
      </c>
      <c r="I498" s="152" t="str">
        <f t="shared" si="7"/>
        <v>CAR5227</v>
      </c>
      <c r="J498" s="847">
        <v>2669.5</v>
      </c>
      <c r="K498" s="513">
        <v>1.9</v>
      </c>
      <c r="L498" s="513">
        <v>1405</v>
      </c>
      <c r="M498" s="152" t="s">
        <v>7116</v>
      </c>
      <c r="N498" s="513" t="s">
        <v>780</v>
      </c>
      <c r="O498" s="513" t="s">
        <v>1407</v>
      </c>
      <c r="P498" s="513" t="s">
        <v>7456</v>
      </c>
      <c r="Q498" s="518" t="s">
        <v>7101</v>
      </c>
      <c r="R498" s="152" t="s">
        <v>7457</v>
      </c>
      <c r="S498" s="152" t="s">
        <v>1515</v>
      </c>
      <c r="T498" s="152" t="s">
        <v>7459</v>
      </c>
      <c r="U498" s="152" t="s">
        <v>786</v>
      </c>
    </row>
    <row r="499" spans="4:21">
      <c r="D499" s="210"/>
      <c r="E499" s="210" t="s">
        <v>676</v>
      </c>
      <c r="F499" s="684" t="str">
        <f>+VLOOKUP(G499,Resumen_Base!$C$8:$G$156,5,0)</f>
        <v>Guides</v>
      </c>
      <c r="G499" s="152" t="s">
        <v>323</v>
      </c>
      <c r="H499" s="474" t="s">
        <v>324</v>
      </c>
      <c r="I499" s="152" t="str">
        <f t="shared" si="7"/>
        <v>CAR5227</v>
      </c>
      <c r="J499" s="847">
        <v>629341.65</v>
      </c>
      <c r="K499" s="513">
        <v>447.93</v>
      </c>
      <c r="L499" s="513">
        <v>1405</v>
      </c>
      <c r="M499" s="152" t="s">
        <v>7116</v>
      </c>
      <c r="N499" s="513" t="s">
        <v>780</v>
      </c>
      <c r="O499" s="513" t="s">
        <v>1407</v>
      </c>
      <c r="P499" s="513" t="s">
        <v>7456</v>
      </c>
      <c r="Q499" s="518" t="s">
        <v>7101</v>
      </c>
      <c r="R499" s="152" t="s">
        <v>7457</v>
      </c>
      <c r="S499" s="152" t="s">
        <v>7492</v>
      </c>
      <c r="T499" s="152" t="s">
        <v>7459</v>
      </c>
      <c r="U499" s="152" t="s">
        <v>786</v>
      </c>
    </row>
    <row r="500" spans="4:21">
      <c r="D500" s="210"/>
      <c r="E500" s="210" t="s">
        <v>676</v>
      </c>
      <c r="F500" s="684" t="str">
        <f>+VLOOKUP(G500,Resumen_Base!$C$8:$G$156,5,0)</f>
        <v>Guides</v>
      </c>
      <c r="G500" s="152" t="s">
        <v>323</v>
      </c>
      <c r="H500" s="474" t="s">
        <v>324</v>
      </c>
      <c r="I500" s="152" t="str">
        <f t="shared" si="7"/>
        <v>CAR5227</v>
      </c>
      <c r="J500" s="847">
        <v>925501.6</v>
      </c>
      <c r="K500" s="513">
        <v>658.72</v>
      </c>
      <c r="L500" s="513">
        <v>1405</v>
      </c>
      <c r="M500" s="152" t="s">
        <v>7116</v>
      </c>
      <c r="N500" s="513" t="s">
        <v>780</v>
      </c>
      <c r="O500" s="513" t="s">
        <v>1407</v>
      </c>
      <c r="P500" s="513" t="s">
        <v>7456</v>
      </c>
      <c r="Q500" s="518" t="s">
        <v>7101</v>
      </c>
      <c r="R500" s="152" t="s">
        <v>7457</v>
      </c>
      <c r="S500" s="152" t="s">
        <v>7493</v>
      </c>
      <c r="T500" s="152" t="s">
        <v>7459</v>
      </c>
      <c r="U500" s="152" t="s">
        <v>786</v>
      </c>
    </row>
    <row r="501" spans="4:21">
      <c r="D501" s="210"/>
      <c r="E501" s="210" t="s">
        <v>676</v>
      </c>
      <c r="F501" s="684" t="str">
        <f>+VLOOKUP(G501,Resumen_Base!$C$8:$G$156,5,0)</f>
        <v>Guides</v>
      </c>
      <c r="G501" s="152" t="s">
        <v>323</v>
      </c>
      <c r="H501" s="474" t="s">
        <v>324</v>
      </c>
      <c r="I501" s="152" t="str">
        <f t="shared" si="7"/>
        <v>CAR5227</v>
      </c>
      <c r="J501" s="847">
        <v>2697.6</v>
      </c>
      <c r="K501" s="513">
        <v>1.92</v>
      </c>
      <c r="L501" s="513">
        <v>1405</v>
      </c>
      <c r="M501" s="152" t="s">
        <v>7116</v>
      </c>
      <c r="N501" s="513" t="s">
        <v>780</v>
      </c>
      <c r="O501" s="513" t="s">
        <v>1407</v>
      </c>
      <c r="P501" s="513" t="s">
        <v>7456</v>
      </c>
      <c r="Q501" s="518" t="s">
        <v>7101</v>
      </c>
      <c r="R501" s="152" t="s">
        <v>7457</v>
      </c>
      <c r="S501" s="152" t="s">
        <v>1515</v>
      </c>
      <c r="T501" s="152" t="s">
        <v>7459</v>
      </c>
      <c r="U501" s="152" t="s">
        <v>786</v>
      </c>
    </row>
    <row r="502" spans="4:21">
      <c r="D502" s="210"/>
      <c r="E502" s="210" t="s">
        <v>676</v>
      </c>
      <c r="F502" s="684" t="str">
        <f>+VLOOKUP(G502,Resumen_Base!$C$8:$G$156,5,0)</f>
        <v>Guides</v>
      </c>
      <c r="G502" s="152" t="s">
        <v>323</v>
      </c>
      <c r="H502" s="474" t="s">
        <v>324</v>
      </c>
      <c r="I502" s="152" t="str">
        <f t="shared" si="7"/>
        <v>CAR5227</v>
      </c>
      <c r="J502" s="847">
        <v>705141.4</v>
      </c>
      <c r="K502" s="513">
        <v>501.88</v>
      </c>
      <c r="L502" s="513">
        <v>1405</v>
      </c>
      <c r="M502" s="152" t="s">
        <v>7116</v>
      </c>
      <c r="N502" s="513" t="s">
        <v>780</v>
      </c>
      <c r="O502" s="513" t="s">
        <v>1407</v>
      </c>
      <c r="P502" s="513" t="s">
        <v>7456</v>
      </c>
      <c r="Q502" s="518" t="s">
        <v>7101</v>
      </c>
      <c r="R502" s="152" t="s">
        <v>7457</v>
      </c>
      <c r="S502" s="152" t="s">
        <v>7494</v>
      </c>
      <c r="T502" s="152" t="s">
        <v>7459</v>
      </c>
      <c r="U502" s="152" t="s">
        <v>786</v>
      </c>
    </row>
    <row r="503" spans="4:21">
      <c r="D503" s="210"/>
      <c r="E503" s="210" t="s">
        <v>676</v>
      </c>
      <c r="F503" s="684" t="str">
        <f>+VLOOKUP(G503,Resumen_Base!$C$8:$G$156,5,0)</f>
        <v>Guides</v>
      </c>
      <c r="G503" s="152" t="s">
        <v>323</v>
      </c>
      <c r="H503" s="474" t="s">
        <v>324</v>
      </c>
      <c r="I503" s="152" t="str">
        <f t="shared" si="7"/>
        <v>CAR5227</v>
      </c>
      <c r="J503" s="847">
        <v>179587.1</v>
      </c>
      <c r="K503" s="513">
        <v>127.82</v>
      </c>
      <c r="L503" s="513">
        <v>1405</v>
      </c>
      <c r="M503" s="152" t="s">
        <v>7143</v>
      </c>
      <c r="N503" s="513" t="s">
        <v>780</v>
      </c>
      <c r="O503" s="513" t="s">
        <v>1407</v>
      </c>
      <c r="P503" s="513" t="s">
        <v>7619</v>
      </c>
      <c r="Q503" s="518" t="s">
        <v>7101</v>
      </c>
      <c r="R503" s="152" t="s">
        <v>7620</v>
      </c>
      <c r="S503" s="152" t="s">
        <v>7622</v>
      </c>
      <c r="T503" s="152" t="s">
        <v>7621</v>
      </c>
      <c r="U503" s="152" t="s">
        <v>786</v>
      </c>
    </row>
    <row r="504" spans="4:21">
      <c r="D504" s="210"/>
      <c r="E504" s="210" t="s">
        <v>676</v>
      </c>
      <c r="F504" s="684" t="str">
        <f>+VLOOKUP(G504,Resumen_Base!$C$8:$G$156,5,0)</f>
        <v>Guides</v>
      </c>
      <c r="G504" s="152" t="s">
        <v>323</v>
      </c>
      <c r="H504" s="474" t="s">
        <v>324</v>
      </c>
      <c r="I504" s="152" t="str">
        <f t="shared" si="7"/>
        <v>CAR5227</v>
      </c>
      <c r="J504" s="847">
        <v>2697.6</v>
      </c>
      <c r="K504" s="513">
        <v>1.92</v>
      </c>
      <c r="L504" s="513">
        <v>1405</v>
      </c>
      <c r="M504" s="152" t="s">
        <v>7143</v>
      </c>
      <c r="N504" s="513" t="s">
        <v>780</v>
      </c>
      <c r="O504" s="513" t="s">
        <v>1407</v>
      </c>
      <c r="P504" s="513" t="s">
        <v>7619</v>
      </c>
      <c r="Q504" s="518" t="s">
        <v>7101</v>
      </c>
      <c r="R504" s="152" t="s">
        <v>7620</v>
      </c>
      <c r="S504" s="152" t="s">
        <v>1515</v>
      </c>
      <c r="T504" s="152" t="s">
        <v>7621</v>
      </c>
      <c r="U504" s="152" t="s">
        <v>786</v>
      </c>
    </row>
    <row r="505" spans="4:21">
      <c r="D505" s="210"/>
      <c r="E505" s="210" t="s">
        <v>676</v>
      </c>
      <c r="F505" s="684" t="str">
        <f>+VLOOKUP(G505,Resumen_Base!$C$8:$G$156,5,0)</f>
        <v>Guides</v>
      </c>
      <c r="G505" s="152" t="s">
        <v>323</v>
      </c>
      <c r="H505" s="474" t="s">
        <v>324</v>
      </c>
      <c r="I505" s="152" t="str">
        <f t="shared" si="7"/>
        <v>CAR5227</v>
      </c>
      <c r="J505" s="847">
        <v>2697.6</v>
      </c>
      <c r="K505" s="513">
        <v>1.92</v>
      </c>
      <c r="L505" s="513">
        <v>1405</v>
      </c>
      <c r="M505" s="152" t="s">
        <v>7143</v>
      </c>
      <c r="N505" s="513" t="s">
        <v>780</v>
      </c>
      <c r="O505" s="513" t="s">
        <v>1407</v>
      </c>
      <c r="P505" s="513" t="s">
        <v>7619</v>
      </c>
      <c r="Q505" s="518" t="s">
        <v>7101</v>
      </c>
      <c r="R505" s="152" t="s">
        <v>7620</v>
      </c>
      <c r="S505" s="152" t="s">
        <v>1515</v>
      </c>
      <c r="T505" s="152" t="s">
        <v>7621</v>
      </c>
      <c r="U505" s="152" t="s">
        <v>786</v>
      </c>
    </row>
    <row r="506" spans="4:21">
      <c r="D506" s="210"/>
      <c r="E506" s="210" t="s">
        <v>676</v>
      </c>
      <c r="F506" s="684" t="str">
        <f>+VLOOKUP(G506,Resumen_Base!$C$8:$G$156,5,0)</f>
        <v>Guides</v>
      </c>
      <c r="G506" s="152" t="s">
        <v>323</v>
      </c>
      <c r="H506" s="474" t="s">
        <v>324</v>
      </c>
      <c r="I506" s="152" t="str">
        <f t="shared" si="7"/>
        <v>CAR5227</v>
      </c>
      <c r="J506" s="847">
        <v>2697.6</v>
      </c>
      <c r="K506" s="513">
        <v>1.92</v>
      </c>
      <c r="L506" s="513">
        <v>1405</v>
      </c>
      <c r="M506" s="152" t="s">
        <v>7143</v>
      </c>
      <c r="N506" s="513" t="s">
        <v>780</v>
      </c>
      <c r="O506" s="513" t="s">
        <v>1407</v>
      </c>
      <c r="P506" s="513" t="s">
        <v>7619</v>
      </c>
      <c r="Q506" s="518" t="s">
        <v>7101</v>
      </c>
      <c r="R506" s="152" t="s">
        <v>7620</v>
      </c>
      <c r="S506" s="152" t="s">
        <v>1515</v>
      </c>
      <c r="T506" s="152" t="s">
        <v>7621</v>
      </c>
      <c r="U506" s="152" t="s">
        <v>786</v>
      </c>
    </row>
    <row r="507" spans="4:21">
      <c r="D507" s="210"/>
      <c r="E507" s="210" t="s">
        <v>676</v>
      </c>
      <c r="F507" s="684" t="str">
        <f>+VLOOKUP(G507,Resumen_Base!$C$8:$G$156,5,0)</f>
        <v>Guides</v>
      </c>
      <c r="G507" s="152" t="s">
        <v>323</v>
      </c>
      <c r="H507" s="474" t="s">
        <v>324</v>
      </c>
      <c r="I507" s="152" t="str">
        <f t="shared" si="7"/>
        <v>CAR5227</v>
      </c>
      <c r="J507" s="847">
        <v>478894.25</v>
      </c>
      <c r="K507" s="513">
        <v>340.85</v>
      </c>
      <c r="L507" s="513">
        <v>1405</v>
      </c>
      <c r="M507" s="152" t="s">
        <v>7143</v>
      </c>
      <c r="N507" s="513" t="s">
        <v>780</v>
      </c>
      <c r="O507" s="513" t="s">
        <v>1407</v>
      </c>
      <c r="P507" s="513" t="s">
        <v>7619</v>
      </c>
      <c r="Q507" s="518" t="s">
        <v>7101</v>
      </c>
      <c r="R507" s="152" t="s">
        <v>7620</v>
      </c>
      <c r="S507" s="152" t="s">
        <v>7625</v>
      </c>
      <c r="T507" s="152" t="s">
        <v>7621</v>
      </c>
      <c r="U507" s="152" t="s">
        <v>786</v>
      </c>
    </row>
    <row r="508" spans="4:21">
      <c r="D508" s="210"/>
      <c r="E508" s="210" t="s">
        <v>676</v>
      </c>
      <c r="F508" s="684" t="str">
        <f>+VLOOKUP(G508,Resumen_Base!$C$8:$G$156,5,0)</f>
        <v>Guides</v>
      </c>
      <c r="G508" s="152" t="s">
        <v>323</v>
      </c>
      <c r="H508" s="474" t="s">
        <v>324</v>
      </c>
      <c r="I508" s="152" t="str">
        <f t="shared" si="7"/>
        <v>CAR5227</v>
      </c>
      <c r="J508" s="847">
        <v>2697.6</v>
      </c>
      <c r="K508" s="513">
        <v>1.92</v>
      </c>
      <c r="L508" s="513">
        <v>1405</v>
      </c>
      <c r="M508" s="152" t="s">
        <v>7143</v>
      </c>
      <c r="N508" s="513" t="s">
        <v>780</v>
      </c>
      <c r="O508" s="513" t="s">
        <v>1407</v>
      </c>
      <c r="P508" s="513" t="s">
        <v>7619</v>
      </c>
      <c r="Q508" s="518" t="s">
        <v>7101</v>
      </c>
      <c r="R508" s="152" t="s">
        <v>7620</v>
      </c>
      <c r="S508" s="152" t="s">
        <v>1515</v>
      </c>
      <c r="T508" s="152" t="s">
        <v>7621</v>
      </c>
      <c r="U508" s="152" t="s">
        <v>786</v>
      </c>
    </row>
    <row r="509" spans="4:21">
      <c r="D509" s="210"/>
      <c r="E509" s="210" t="s">
        <v>676</v>
      </c>
      <c r="F509" s="684" t="str">
        <f>+VLOOKUP(G509,Resumen_Base!$C$8:$G$156,5,0)</f>
        <v>Guides</v>
      </c>
      <c r="G509" s="152" t="s">
        <v>323</v>
      </c>
      <c r="H509" s="474" t="s">
        <v>324</v>
      </c>
      <c r="I509" s="152" t="str">
        <f t="shared" si="7"/>
        <v>CAR5227</v>
      </c>
      <c r="J509" s="847">
        <v>598628.35</v>
      </c>
      <c r="K509" s="513">
        <v>426.07</v>
      </c>
      <c r="L509" s="513">
        <v>1405</v>
      </c>
      <c r="M509" s="152" t="s">
        <v>7143</v>
      </c>
      <c r="N509" s="513" t="s">
        <v>780</v>
      </c>
      <c r="O509" s="513" t="s">
        <v>1407</v>
      </c>
      <c r="P509" s="513" t="s">
        <v>7619</v>
      </c>
      <c r="Q509" s="518" t="s">
        <v>7101</v>
      </c>
      <c r="R509" s="152" t="s">
        <v>7620</v>
      </c>
      <c r="S509" s="152" t="s">
        <v>7626</v>
      </c>
      <c r="T509" s="152" t="s">
        <v>7621</v>
      </c>
      <c r="U509" s="152" t="s">
        <v>786</v>
      </c>
    </row>
    <row r="510" spans="4:21">
      <c r="D510" s="210"/>
      <c r="E510" s="210" t="s">
        <v>676</v>
      </c>
      <c r="F510" s="684" t="str">
        <f>+VLOOKUP(G510,Resumen_Base!$C$8:$G$156,5,0)</f>
        <v>Guides</v>
      </c>
      <c r="G510" s="152" t="s">
        <v>323</v>
      </c>
      <c r="H510" s="474" t="s">
        <v>324</v>
      </c>
      <c r="I510" s="152" t="str">
        <f t="shared" si="7"/>
        <v>CAR5227</v>
      </c>
      <c r="J510" s="847">
        <v>2697.6</v>
      </c>
      <c r="K510" s="513">
        <v>1.92</v>
      </c>
      <c r="L510" s="513">
        <v>1405</v>
      </c>
      <c r="M510" s="152" t="s">
        <v>7143</v>
      </c>
      <c r="N510" s="513" t="s">
        <v>780</v>
      </c>
      <c r="O510" s="513" t="s">
        <v>1407</v>
      </c>
      <c r="P510" s="513" t="s">
        <v>7619</v>
      </c>
      <c r="Q510" s="518" t="s">
        <v>7101</v>
      </c>
      <c r="R510" s="152" t="s">
        <v>7620</v>
      </c>
      <c r="S510" s="152" t="s">
        <v>1515</v>
      </c>
      <c r="T510" s="152" t="s">
        <v>7621</v>
      </c>
      <c r="U510" s="152" t="s">
        <v>786</v>
      </c>
    </row>
    <row r="511" spans="4:21">
      <c r="D511" s="210"/>
      <c r="E511" s="210" t="s">
        <v>676</v>
      </c>
      <c r="F511" s="684" t="str">
        <f>+VLOOKUP(G511,Resumen_Base!$C$8:$G$156,5,0)</f>
        <v>Guides</v>
      </c>
      <c r="G511" s="152" t="s">
        <v>323</v>
      </c>
      <c r="H511" s="474" t="s">
        <v>324</v>
      </c>
      <c r="I511" s="152" t="str">
        <f t="shared" si="7"/>
        <v>CAR5227</v>
      </c>
      <c r="J511" s="847">
        <v>299307.15000000002</v>
      </c>
      <c r="K511" s="513">
        <v>213.03</v>
      </c>
      <c r="L511" s="513">
        <v>1405</v>
      </c>
      <c r="M511" s="152" t="s">
        <v>7143</v>
      </c>
      <c r="N511" s="513" t="s">
        <v>780</v>
      </c>
      <c r="O511" s="513" t="s">
        <v>1407</v>
      </c>
      <c r="P511" s="513" t="s">
        <v>7619</v>
      </c>
      <c r="Q511" s="518" t="s">
        <v>7101</v>
      </c>
      <c r="R511" s="152" t="s">
        <v>7620</v>
      </c>
      <c r="S511" s="152" t="s">
        <v>7626</v>
      </c>
      <c r="T511" s="152" t="s">
        <v>7621</v>
      </c>
      <c r="U511" s="152" t="s">
        <v>786</v>
      </c>
    </row>
    <row r="512" spans="4:21">
      <c r="D512" s="210"/>
      <c r="E512" s="210" t="s">
        <v>676</v>
      </c>
      <c r="F512" s="684" t="str">
        <f>+VLOOKUP(G512,Resumen_Base!$C$8:$G$156,5,0)</f>
        <v>Guides</v>
      </c>
      <c r="G512" s="152" t="s">
        <v>323</v>
      </c>
      <c r="H512" s="474" t="s">
        <v>324</v>
      </c>
      <c r="I512" s="152" t="str">
        <f t="shared" si="7"/>
        <v>CAR5227</v>
      </c>
      <c r="J512" s="847">
        <v>2697.6</v>
      </c>
      <c r="K512" s="513">
        <v>1.92</v>
      </c>
      <c r="L512" s="513">
        <v>1405</v>
      </c>
      <c r="M512" s="152" t="s">
        <v>7143</v>
      </c>
      <c r="N512" s="513" t="s">
        <v>780</v>
      </c>
      <c r="O512" s="513" t="s">
        <v>1407</v>
      </c>
      <c r="P512" s="513" t="s">
        <v>7619</v>
      </c>
      <c r="Q512" s="518" t="s">
        <v>7101</v>
      </c>
      <c r="R512" s="152" t="s">
        <v>7620</v>
      </c>
      <c r="S512" s="152" t="s">
        <v>1515</v>
      </c>
      <c r="T512" s="152" t="s">
        <v>7621</v>
      </c>
      <c r="U512" s="152" t="s">
        <v>786</v>
      </c>
    </row>
    <row r="513" spans="4:21">
      <c r="D513" s="210"/>
      <c r="E513" s="210" t="s">
        <v>676</v>
      </c>
      <c r="F513" s="684" t="str">
        <f>+VLOOKUP(G513,Resumen_Base!$C$8:$G$156,5,0)</f>
        <v>Guides</v>
      </c>
      <c r="G513" s="152" t="s">
        <v>323</v>
      </c>
      <c r="H513" s="474" t="s">
        <v>324</v>
      </c>
      <c r="I513" s="152" t="str">
        <f t="shared" si="7"/>
        <v>CAR5227</v>
      </c>
      <c r="J513" s="847">
        <v>209513.60000000001</v>
      </c>
      <c r="K513" s="513">
        <v>149.12</v>
      </c>
      <c r="L513" s="513">
        <v>1405</v>
      </c>
      <c r="M513" s="152" t="s">
        <v>7143</v>
      </c>
      <c r="N513" s="513" t="s">
        <v>780</v>
      </c>
      <c r="O513" s="513" t="s">
        <v>1407</v>
      </c>
      <c r="P513" s="513" t="s">
        <v>7619</v>
      </c>
      <c r="Q513" s="518" t="s">
        <v>7101</v>
      </c>
      <c r="R513" s="152" t="s">
        <v>7620</v>
      </c>
      <c r="S513" s="152" t="s">
        <v>7627</v>
      </c>
      <c r="T513" s="152" t="s">
        <v>7621</v>
      </c>
      <c r="U513" s="152" t="s">
        <v>786</v>
      </c>
    </row>
    <row r="514" spans="4:21">
      <c r="D514" s="210"/>
      <c r="E514" s="210" t="s">
        <v>676</v>
      </c>
      <c r="F514" s="684" t="str">
        <f>+VLOOKUP(G514,Resumen_Base!$C$8:$G$156,5,0)</f>
        <v>Guides</v>
      </c>
      <c r="G514" s="152" t="s">
        <v>323</v>
      </c>
      <c r="H514" s="474" t="s">
        <v>324</v>
      </c>
      <c r="I514" s="152" t="str">
        <f t="shared" si="7"/>
        <v>CAR5227</v>
      </c>
      <c r="J514" s="847">
        <v>2697.6</v>
      </c>
      <c r="K514" s="513">
        <v>1.92</v>
      </c>
      <c r="L514" s="513">
        <v>1405</v>
      </c>
      <c r="M514" s="152" t="s">
        <v>7143</v>
      </c>
      <c r="N514" s="513" t="s">
        <v>780</v>
      </c>
      <c r="O514" s="513" t="s">
        <v>1407</v>
      </c>
      <c r="P514" s="513" t="s">
        <v>7619</v>
      </c>
      <c r="Q514" s="518" t="s">
        <v>7101</v>
      </c>
      <c r="R514" s="152" t="s">
        <v>7620</v>
      </c>
      <c r="S514" s="152" t="s">
        <v>1515</v>
      </c>
      <c r="T514" s="152" t="s">
        <v>7621</v>
      </c>
      <c r="U514" s="152" t="s">
        <v>786</v>
      </c>
    </row>
    <row r="515" spans="4:21">
      <c r="D515" s="210"/>
      <c r="E515" s="210" t="s">
        <v>676</v>
      </c>
      <c r="F515" s="684" t="str">
        <f>+VLOOKUP(G515,Resumen_Base!$C$8:$G$156,5,0)</f>
        <v>Guides</v>
      </c>
      <c r="G515" s="152" t="s">
        <v>323</v>
      </c>
      <c r="H515" s="474" t="s">
        <v>324</v>
      </c>
      <c r="I515" s="152" t="str">
        <f t="shared" si="7"/>
        <v>CAR5227</v>
      </c>
      <c r="J515" s="847">
        <v>29926.5</v>
      </c>
      <c r="K515" s="513">
        <v>21.3</v>
      </c>
      <c r="L515" s="513">
        <v>1405</v>
      </c>
      <c r="M515" s="152" t="s">
        <v>7143</v>
      </c>
      <c r="N515" s="513" t="s">
        <v>780</v>
      </c>
      <c r="O515" s="513" t="s">
        <v>1407</v>
      </c>
      <c r="P515" s="513" t="s">
        <v>7619</v>
      </c>
      <c r="Q515" s="518" t="s">
        <v>7101</v>
      </c>
      <c r="R515" s="152" t="s">
        <v>7620</v>
      </c>
      <c r="S515" s="152" t="s">
        <v>7628</v>
      </c>
      <c r="T515" s="152" t="s">
        <v>7621</v>
      </c>
      <c r="U515" s="152" t="s">
        <v>786</v>
      </c>
    </row>
    <row r="516" spans="4:21">
      <c r="D516" s="210"/>
      <c r="E516" s="210" t="s">
        <v>676</v>
      </c>
      <c r="F516" s="684" t="str">
        <f>+VLOOKUP(G516,Resumen_Base!$C$8:$G$156,5,0)</f>
        <v>Guides</v>
      </c>
      <c r="G516" s="152" t="s">
        <v>323</v>
      </c>
      <c r="H516" s="474" t="s">
        <v>324</v>
      </c>
      <c r="I516" s="152" t="str">
        <f t="shared" si="7"/>
        <v>CAR5227</v>
      </c>
      <c r="J516" s="847">
        <v>2697.6</v>
      </c>
      <c r="K516" s="513">
        <v>1.92</v>
      </c>
      <c r="L516" s="513">
        <v>1405</v>
      </c>
      <c r="M516" s="152" t="s">
        <v>7143</v>
      </c>
      <c r="N516" s="513" t="s">
        <v>780</v>
      </c>
      <c r="O516" s="513" t="s">
        <v>1407</v>
      </c>
      <c r="P516" s="513" t="s">
        <v>7619</v>
      </c>
      <c r="Q516" s="518" t="s">
        <v>7101</v>
      </c>
      <c r="R516" s="152" t="s">
        <v>7620</v>
      </c>
      <c r="S516" s="152" t="s">
        <v>1515</v>
      </c>
      <c r="T516" s="152" t="s">
        <v>7621</v>
      </c>
      <c r="U516" s="152" t="s">
        <v>786</v>
      </c>
    </row>
    <row r="517" spans="4:21">
      <c r="D517" s="210"/>
      <c r="E517" s="210" t="s">
        <v>676</v>
      </c>
      <c r="F517" s="684" t="str">
        <f>+VLOOKUP(G517,Resumen_Base!$C$8:$G$156,5,0)</f>
        <v>Guides</v>
      </c>
      <c r="G517" s="152" t="s">
        <v>323</v>
      </c>
      <c r="H517" s="474" t="s">
        <v>324</v>
      </c>
      <c r="I517" s="152" t="str">
        <f t="shared" si="7"/>
        <v>CAR5227</v>
      </c>
      <c r="J517" s="847">
        <v>359174.2</v>
      </c>
      <c r="K517" s="513">
        <v>255.64</v>
      </c>
      <c r="L517" s="513">
        <v>1405</v>
      </c>
      <c r="M517" s="152" t="s">
        <v>7143</v>
      </c>
      <c r="N517" s="513" t="s">
        <v>780</v>
      </c>
      <c r="O517" s="513" t="s">
        <v>1407</v>
      </c>
      <c r="P517" s="513" t="s">
        <v>7619</v>
      </c>
      <c r="Q517" s="518" t="s">
        <v>7101</v>
      </c>
      <c r="R517" s="152" t="s">
        <v>7620</v>
      </c>
      <c r="S517" s="152" t="s">
        <v>7631</v>
      </c>
      <c r="T517" s="152" t="s">
        <v>7621</v>
      </c>
      <c r="U517" s="152" t="s">
        <v>786</v>
      </c>
    </row>
    <row r="518" spans="4:21">
      <c r="D518" s="210"/>
      <c r="E518" s="210" t="s">
        <v>676</v>
      </c>
      <c r="F518" s="684" t="str">
        <f>+VLOOKUP(G518,Resumen_Base!$C$8:$G$156,5,0)</f>
        <v>Guides</v>
      </c>
      <c r="G518" s="152" t="s">
        <v>323</v>
      </c>
      <c r="H518" s="474" t="s">
        <v>324</v>
      </c>
      <c r="I518" s="152" t="str">
        <f t="shared" si="7"/>
        <v>CAR5227</v>
      </c>
      <c r="J518" s="847">
        <v>2697.6</v>
      </c>
      <c r="K518" s="513">
        <v>1.92</v>
      </c>
      <c r="L518" s="513">
        <v>1405</v>
      </c>
      <c r="M518" s="152" t="s">
        <v>7143</v>
      </c>
      <c r="N518" s="513" t="s">
        <v>780</v>
      </c>
      <c r="O518" s="513" t="s">
        <v>1407</v>
      </c>
      <c r="P518" s="513" t="s">
        <v>7619</v>
      </c>
      <c r="Q518" s="518" t="s">
        <v>7101</v>
      </c>
      <c r="R518" s="152" t="s">
        <v>7620</v>
      </c>
      <c r="S518" s="152" t="s">
        <v>1515</v>
      </c>
      <c r="T518" s="152" t="s">
        <v>7621</v>
      </c>
      <c r="U518" s="152" t="s">
        <v>786</v>
      </c>
    </row>
    <row r="519" spans="4:21">
      <c r="D519" s="210"/>
      <c r="E519" s="210" t="s">
        <v>676</v>
      </c>
      <c r="F519" s="684" t="str">
        <f>+VLOOKUP(G519,Resumen_Base!$C$8:$G$156,5,0)</f>
        <v>Guides</v>
      </c>
      <c r="G519" s="152" t="s">
        <v>323</v>
      </c>
      <c r="H519" s="474" t="s">
        <v>324</v>
      </c>
      <c r="I519" s="152" t="str">
        <f t="shared" si="7"/>
        <v>CAR5227</v>
      </c>
      <c r="J519" s="847">
        <v>640876.69999999995</v>
      </c>
      <c r="K519" s="513">
        <v>456.14</v>
      </c>
      <c r="L519" s="513">
        <v>1405</v>
      </c>
      <c r="M519" s="152" t="s">
        <v>7143</v>
      </c>
      <c r="N519" s="513" t="s">
        <v>780</v>
      </c>
      <c r="O519" s="513" t="s">
        <v>1407</v>
      </c>
      <c r="P519" s="513" t="s">
        <v>7619</v>
      </c>
      <c r="Q519" s="518" t="s">
        <v>7101</v>
      </c>
      <c r="R519" s="152" t="s">
        <v>7620</v>
      </c>
      <c r="S519" s="152" t="s">
        <v>7633</v>
      </c>
      <c r="T519" s="152" t="s">
        <v>7621</v>
      </c>
      <c r="U519" s="152" t="s">
        <v>786</v>
      </c>
    </row>
    <row r="520" spans="4:21">
      <c r="D520" s="210"/>
      <c r="E520" s="210" t="s">
        <v>676</v>
      </c>
      <c r="F520" s="684" t="str">
        <f>+VLOOKUP(G520,Resumen_Base!$C$8:$G$156,5,0)</f>
        <v>Guides</v>
      </c>
      <c r="G520" s="152" t="s">
        <v>323</v>
      </c>
      <c r="H520" s="474" t="s">
        <v>324</v>
      </c>
      <c r="I520" s="152" t="str">
        <f t="shared" si="7"/>
        <v>CAR5227</v>
      </c>
      <c r="J520" s="847">
        <v>269380.65000000002</v>
      </c>
      <c r="K520" s="513">
        <v>191.73</v>
      </c>
      <c r="L520" s="513">
        <v>1405</v>
      </c>
      <c r="M520" s="152" t="s">
        <v>7143</v>
      </c>
      <c r="N520" s="513" t="s">
        <v>780</v>
      </c>
      <c r="O520" s="513" t="s">
        <v>1407</v>
      </c>
      <c r="P520" s="513" t="s">
        <v>7619</v>
      </c>
      <c r="Q520" s="518" t="s">
        <v>7101</v>
      </c>
      <c r="R520" s="152" t="s">
        <v>7620</v>
      </c>
      <c r="S520" s="152" t="s">
        <v>7635</v>
      </c>
      <c r="T520" s="152" t="s">
        <v>7621</v>
      </c>
      <c r="U520" s="152" t="s">
        <v>786</v>
      </c>
    </row>
    <row r="521" spans="4:21">
      <c r="D521" s="210"/>
      <c r="E521" s="210" t="s">
        <v>676</v>
      </c>
      <c r="F521" s="684" t="str">
        <f>+VLOOKUP(G521,Resumen_Base!$C$8:$G$156,5,0)</f>
        <v>Guides</v>
      </c>
      <c r="G521" s="152" t="s">
        <v>323</v>
      </c>
      <c r="H521" s="474" t="s">
        <v>324</v>
      </c>
      <c r="I521" s="152" t="str">
        <f t="shared" si="7"/>
        <v>CAR5227</v>
      </c>
      <c r="J521" s="847">
        <v>2697.6</v>
      </c>
      <c r="K521" s="513">
        <v>1.92</v>
      </c>
      <c r="L521" s="513">
        <v>1405</v>
      </c>
      <c r="M521" s="152" t="s">
        <v>7143</v>
      </c>
      <c r="N521" s="513" t="s">
        <v>780</v>
      </c>
      <c r="O521" s="513" t="s">
        <v>1407</v>
      </c>
      <c r="P521" s="513" t="s">
        <v>7619</v>
      </c>
      <c r="Q521" s="518" t="s">
        <v>7101</v>
      </c>
      <c r="R521" s="152" t="s">
        <v>7620</v>
      </c>
      <c r="S521" s="152" t="s">
        <v>1515</v>
      </c>
      <c r="T521" s="152" t="s">
        <v>7621</v>
      </c>
      <c r="U521" s="152" t="s">
        <v>786</v>
      </c>
    </row>
    <row r="522" spans="4:21">
      <c r="D522" s="210"/>
      <c r="E522" s="210" t="s">
        <v>676</v>
      </c>
      <c r="F522" s="684" t="str">
        <f>+VLOOKUP(G522,Resumen_Base!$C$8:$G$156,5,0)</f>
        <v>Guides</v>
      </c>
      <c r="G522" s="152" t="s">
        <v>323</v>
      </c>
      <c r="H522" s="474" t="s">
        <v>324</v>
      </c>
      <c r="I522" s="152" t="str">
        <f t="shared" si="7"/>
        <v>CAR5227</v>
      </c>
      <c r="J522" s="847">
        <v>704256.25</v>
      </c>
      <c r="K522" s="513">
        <v>501.25</v>
      </c>
      <c r="L522" s="513">
        <v>1405</v>
      </c>
      <c r="M522" s="152" t="s">
        <v>7143</v>
      </c>
      <c r="N522" s="513" t="s">
        <v>780</v>
      </c>
      <c r="O522" s="513" t="s">
        <v>1407</v>
      </c>
      <c r="P522" s="513" t="s">
        <v>7619</v>
      </c>
      <c r="Q522" s="518" t="s">
        <v>7101</v>
      </c>
      <c r="R522" s="152" t="s">
        <v>7620</v>
      </c>
      <c r="S522" s="152" t="s">
        <v>7637</v>
      </c>
      <c r="T522" s="152" t="s">
        <v>7621</v>
      </c>
      <c r="U522" s="152" t="s">
        <v>786</v>
      </c>
    </row>
    <row r="523" spans="4:21">
      <c r="D523" s="210"/>
      <c r="E523" s="210" t="s">
        <v>676</v>
      </c>
      <c r="F523" s="684" t="str">
        <f>+VLOOKUP(G523,Resumen_Base!$C$8:$G$156,5,0)</f>
        <v>Guides</v>
      </c>
      <c r="G523" s="152" t="s">
        <v>323</v>
      </c>
      <c r="H523" s="474" t="s">
        <v>324</v>
      </c>
      <c r="I523" s="152" t="str">
        <f t="shared" si="7"/>
        <v>CAR5227</v>
      </c>
      <c r="J523" s="847">
        <v>2697.6</v>
      </c>
      <c r="K523" s="513">
        <v>1.92</v>
      </c>
      <c r="L523" s="513">
        <v>1405</v>
      </c>
      <c r="M523" s="152" t="s">
        <v>7143</v>
      </c>
      <c r="N523" s="513" t="s">
        <v>780</v>
      </c>
      <c r="O523" s="513" t="s">
        <v>1407</v>
      </c>
      <c r="P523" s="513" t="s">
        <v>7619</v>
      </c>
      <c r="Q523" s="518" t="s">
        <v>7101</v>
      </c>
      <c r="R523" s="152" t="s">
        <v>7620</v>
      </c>
      <c r="S523" s="152" t="s">
        <v>1515</v>
      </c>
      <c r="T523" s="152" t="s">
        <v>7621</v>
      </c>
      <c r="U523" s="152" t="s">
        <v>786</v>
      </c>
    </row>
    <row r="524" spans="4:21">
      <c r="D524" s="210"/>
      <c r="E524" s="210" t="s">
        <v>676</v>
      </c>
      <c r="F524" s="684" t="str">
        <f>+VLOOKUP(G524,Resumen_Base!$C$8:$G$156,5,0)</f>
        <v>Guides</v>
      </c>
      <c r="G524" s="152" t="s">
        <v>323</v>
      </c>
      <c r="H524" s="474" t="s">
        <v>324</v>
      </c>
      <c r="I524" s="152" t="str">
        <f t="shared" si="7"/>
        <v>CAR5227</v>
      </c>
      <c r="J524" s="847">
        <v>359174.2</v>
      </c>
      <c r="K524" s="513">
        <v>255.64</v>
      </c>
      <c r="L524" s="513">
        <v>1405</v>
      </c>
      <c r="M524" s="152" t="s">
        <v>7143</v>
      </c>
      <c r="N524" s="513" t="s">
        <v>780</v>
      </c>
      <c r="O524" s="513" t="s">
        <v>1407</v>
      </c>
      <c r="P524" s="513" t="s">
        <v>7619</v>
      </c>
      <c r="Q524" s="518" t="s">
        <v>7101</v>
      </c>
      <c r="R524" s="152" t="s">
        <v>7620</v>
      </c>
      <c r="S524" s="152" t="s">
        <v>7640</v>
      </c>
      <c r="T524" s="152" t="s">
        <v>7621</v>
      </c>
      <c r="U524" s="152" t="s">
        <v>786</v>
      </c>
    </row>
    <row r="525" spans="4:21">
      <c r="D525" s="210"/>
      <c r="E525" s="210" t="s">
        <v>676</v>
      </c>
      <c r="F525" s="684" t="str">
        <f>+VLOOKUP(G525,Resumen_Base!$C$8:$G$156,5,0)</f>
        <v>Guides</v>
      </c>
      <c r="G525" s="152" t="s">
        <v>323</v>
      </c>
      <c r="H525" s="474" t="s">
        <v>324</v>
      </c>
      <c r="I525" s="152" t="str">
        <f t="shared" ref="I525:I588" si="8">+E525&amp;G525</f>
        <v>CAR5227</v>
      </c>
      <c r="J525" s="847">
        <v>448967.75</v>
      </c>
      <c r="K525" s="513">
        <v>319.55</v>
      </c>
      <c r="L525" s="513">
        <v>1405</v>
      </c>
      <c r="M525" s="152" t="s">
        <v>7143</v>
      </c>
      <c r="N525" s="513" t="s">
        <v>780</v>
      </c>
      <c r="O525" s="513" t="s">
        <v>1407</v>
      </c>
      <c r="P525" s="513" t="s">
        <v>7619</v>
      </c>
      <c r="Q525" s="518" t="s">
        <v>7101</v>
      </c>
      <c r="R525" s="152" t="s">
        <v>7620</v>
      </c>
      <c r="S525" s="152" t="s">
        <v>7643</v>
      </c>
      <c r="T525" s="152" t="s">
        <v>7621</v>
      </c>
      <c r="U525" s="152" t="s">
        <v>786</v>
      </c>
    </row>
    <row r="526" spans="4:21">
      <c r="D526" s="210"/>
      <c r="E526" s="210" t="s">
        <v>676</v>
      </c>
      <c r="F526" s="684" t="str">
        <f>+VLOOKUP(G526,Resumen_Base!$C$8:$G$156,5,0)</f>
        <v>Guides</v>
      </c>
      <c r="G526" s="152" t="s">
        <v>323</v>
      </c>
      <c r="H526" s="474" t="s">
        <v>324</v>
      </c>
      <c r="I526" s="152" t="str">
        <f t="shared" si="8"/>
        <v>CAR5227</v>
      </c>
      <c r="J526" s="847">
        <v>2697.6</v>
      </c>
      <c r="K526" s="513">
        <v>1.92</v>
      </c>
      <c r="L526" s="513">
        <v>1405</v>
      </c>
      <c r="M526" s="152" t="s">
        <v>7143</v>
      </c>
      <c r="N526" s="513" t="s">
        <v>780</v>
      </c>
      <c r="O526" s="513" t="s">
        <v>1407</v>
      </c>
      <c r="P526" s="513" t="s">
        <v>7619</v>
      </c>
      <c r="Q526" s="518" t="s">
        <v>7101</v>
      </c>
      <c r="R526" s="152" t="s">
        <v>7620</v>
      </c>
      <c r="S526" s="152" t="s">
        <v>1515</v>
      </c>
      <c r="T526" s="152" t="s">
        <v>7621</v>
      </c>
      <c r="U526" s="152" t="s">
        <v>786</v>
      </c>
    </row>
    <row r="527" spans="4:21">
      <c r="D527" s="210"/>
      <c r="E527" s="210" t="s">
        <v>676</v>
      </c>
      <c r="F527" s="684" t="str">
        <f>+VLOOKUP(G527,Resumen_Base!$C$8:$G$156,5,0)</f>
        <v>Guides</v>
      </c>
      <c r="G527" s="152" t="s">
        <v>323</v>
      </c>
      <c r="H527" s="474" t="s">
        <v>324</v>
      </c>
      <c r="I527" s="152" t="str">
        <f t="shared" si="8"/>
        <v>CAR5227</v>
      </c>
      <c r="J527" s="847">
        <v>209513.60000000001</v>
      </c>
      <c r="K527" s="513">
        <v>149.12</v>
      </c>
      <c r="L527" s="513">
        <v>1405</v>
      </c>
      <c r="M527" s="152" t="s">
        <v>7143</v>
      </c>
      <c r="N527" s="513" t="s">
        <v>780</v>
      </c>
      <c r="O527" s="513" t="s">
        <v>1407</v>
      </c>
      <c r="P527" s="513" t="s">
        <v>7619</v>
      </c>
      <c r="Q527" s="518" t="s">
        <v>7101</v>
      </c>
      <c r="R527" s="152" t="s">
        <v>7620</v>
      </c>
      <c r="S527" s="152" t="s">
        <v>7645</v>
      </c>
      <c r="T527" s="152" t="s">
        <v>7621</v>
      </c>
      <c r="U527" s="152" t="s">
        <v>786</v>
      </c>
    </row>
    <row r="528" spans="4:21">
      <c r="D528" s="210"/>
      <c r="E528" s="210" t="s">
        <v>670</v>
      </c>
      <c r="F528" s="684" t="str">
        <f>+VLOOKUP(G528,Resumen_Base!$C$8:$G$156,5,0)</f>
        <v>Manager</v>
      </c>
      <c r="G528" s="152" t="s">
        <v>325</v>
      </c>
      <c r="H528" s="474" t="s">
        <v>326</v>
      </c>
      <c r="I528" s="152" t="str">
        <f t="shared" si="8"/>
        <v>SJ5228</v>
      </c>
      <c r="J528" s="847">
        <v>393400</v>
      </c>
      <c r="K528" s="513">
        <v>280</v>
      </c>
      <c r="L528" s="513">
        <v>1405</v>
      </c>
      <c r="M528" s="152" t="s">
        <v>7116</v>
      </c>
      <c r="N528" s="513" t="s">
        <v>780</v>
      </c>
      <c r="O528" s="513" t="s">
        <v>781</v>
      </c>
      <c r="P528" s="513" t="s">
        <v>7418</v>
      </c>
      <c r="Q528" s="518" t="s">
        <v>7101</v>
      </c>
      <c r="R528" s="152" t="s">
        <v>7419</v>
      </c>
      <c r="S528" s="152" t="s">
        <v>7436</v>
      </c>
      <c r="T528" s="152" t="s">
        <v>7421</v>
      </c>
      <c r="U528" s="152" t="s">
        <v>786</v>
      </c>
    </row>
    <row r="529" spans="4:21">
      <c r="D529" s="210"/>
      <c r="E529" s="210" t="s">
        <v>670</v>
      </c>
      <c r="F529" s="684" t="str">
        <f>+VLOOKUP(G529,Resumen_Base!$C$8:$G$156,5,0)</f>
        <v>Manager</v>
      </c>
      <c r="G529" s="152" t="s">
        <v>325</v>
      </c>
      <c r="H529" s="474" t="s">
        <v>326</v>
      </c>
      <c r="I529" s="152" t="str">
        <f t="shared" si="8"/>
        <v>SJ5228</v>
      </c>
      <c r="J529" s="847">
        <v>1826500</v>
      </c>
      <c r="K529" s="513">
        <v>1300</v>
      </c>
      <c r="L529" s="513">
        <v>1405</v>
      </c>
      <c r="M529" s="152" t="s">
        <v>7116</v>
      </c>
      <c r="N529" s="513" t="s">
        <v>780</v>
      </c>
      <c r="O529" s="513" t="s">
        <v>781</v>
      </c>
      <c r="P529" s="513" t="s">
        <v>7418</v>
      </c>
      <c r="Q529" s="518" t="s">
        <v>7101</v>
      </c>
      <c r="R529" s="152" t="s">
        <v>7419</v>
      </c>
      <c r="S529" s="152" t="s">
        <v>7437</v>
      </c>
      <c r="T529" s="152" t="s">
        <v>7421</v>
      </c>
      <c r="U529" s="152" t="s">
        <v>786</v>
      </c>
    </row>
    <row r="530" spans="4:21">
      <c r="D530" s="210"/>
      <c r="E530" s="210" t="s">
        <v>670</v>
      </c>
      <c r="F530" s="684" t="str">
        <f>+VLOOKUP(G530,Resumen_Base!$C$8:$G$156,5,0)</f>
        <v>Manager</v>
      </c>
      <c r="G530" s="152" t="s">
        <v>325</v>
      </c>
      <c r="H530" s="474" t="s">
        <v>326</v>
      </c>
      <c r="I530" s="152" t="str">
        <f t="shared" si="8"/>
        <v>SJ5228</v>
      </c>
      <c r="J530" s="847">
        <v>633683.1</v>
      </c>
      <c r="K530" s="513">
        <v>451.02</v>
      </c>
      <c r="L530" s="513">
        <v>1405</v>
      </c>
      <c r="M530" s="152" t="s">
        <v>7116</v>
      </c>
      <c r="N530" s="513" t="s">
        <v>780</v>
      </c>
      <c r="O530" s="513" t="s">
        <v>781</v>
      </c>
      <c r="P530" s="513" t="s">
        <v>7517</v>
      </c>
      <c r="Q530" s="518" t="s">
        <v>7101</v>
      </c>
      <c r="R530" s="152" t="s">
        <v>7518</v>
      </c>
      <c r="S530" s="152" t="s">
        <v>7572</v>
      </c>
      <c r="T530" s="152" t="s">
        <v>7520</v>
      </c>
      <c r="U530" s="152" t="s">
        <v>786</v>
      </c>
    </row>
    <row r="531" spans="4:21">
      <c r="D531" s="210"/>
      <c r="E531" s="210" t="s">
        <v>670</v>
      </c>
      <c r="F531" s="684" t="str">
        <f>+VLOOKUP(G531,Resumen_Base!$C$8:$G$156,5,0)</f>
        <v>Manager</v>
      </c>
      <c r="G531" s="152" t="s">
        <v>325</v>
      </c>
      <c r="H531" s="474" t="s">
        <v>326</v>
      </c>
      <c r="I531" s="152" t="str">
        <f t="shared" si="8"/>
        <v>SJ5228</v>
      </c>
      <c r="J531" s="847">
        <v>2974455.25</v>
      </c>
      <c r="K531" s="513">
        <v>2117.0500000000002</v>
      </c>
      <c r="L531" s="513">
        <v>1405</v>
      </c>
      <c r="M531" s="152" t="s">
        <v>7116</v>
      </c>
      <c r="N531" s="513" t="s">
        <v>780</v>
      </c>
      <c r="O531" s="513" t="s">
        <v>781</v>
      </c>
      <c r="P531" s="513" t="s">
        <v>7517</v>
      </c>
      <c r="Q531" s="518" t="s">
        <v>7101</v>
      </c>
      <c r="R531" s="152" t="s">
        <v>7518</v>
      </c>
      <c r="S531" s="152" t="s">
        <v>7573</v>
      </c>
      <c r="T531" s="152" t="s">
        <v>7520</v>
      </c>
      <c r="U531" s="152" t="s">
        <v>786</v>
      </c>
    </row>
    <row r="532" spans="4:21">
      <c r="D532" s="210"/>
      <c r="E532" s="210" t="s">
        <v>676</v>
      </c>
      <c r="F532" s="684" t="str">
        <f>+VLOOKUP(G532,Resumen_Base!$C$8:$G$156,5,0)</f>
        <v>Manager</v>
      </c>
      <c r="G532" s="152" t="s">
        <v>325</v>
      </c>
      <c r="H532" s="474" t="s">
        <v>326</v>
      </c>
      <c r="I532" s="152" t="str">
        <f t="shared" si="8"/>
        <v>CAR5228</v>
      </c>
      <c r="J532" s="847">
        <v>4215000</v>
      </c>
      <c r="K532" s="513">
        <v>3000</v>
      </c>
      <c r="L532" s="513">
        <v>1405</v>
      </c>
      <c r="M532" s="152" t="s">
        <v>7116</v>
      </c>
      <c r="N532" s="513" t="s">
        <v>780</v>
      </c>
      <c r="O532" s="513" t="s">
        <v>1407</v>
      </c>
      <c r="P532" s="513" t="s">
        <v>7179</v>
      </c>
      <c r="Q532" s="518" t="s">
        <v>7101</v>
      </c>
      <c r="R532" s="152" t="s">
        <v>7180</v>
      </c>
      <c r="S532" s="152" t="s">
        <v>7226</v>
      </c>
      <c r="T532" s="152" t="s">
        <v>7182</v>
      </c>
      <c r="U532" s="152" t="s">
        <v>786</v>
      </c>
    </row>
    <row r="533" spans="4:21">
      <c r="D533" s="210"/>
      <c r="E533" s="210" t="s">
        <v>676</v>
      </c>
      <c r="F533" s="684" t="str">
        <f>+VLOOKUP(G533,Resumen_Base!$C$8:$G$156,5,0)</f>
        <v>Manager</v>
      </c>
      <c r="G533" s="152" t="s">
        <v>325</v>
      </c>
      <c r="H533" s="474" t="s">
        <v>326</v>
      </c>
      <c r="I533" s="152" t="str">
        <f t="shared" si="8"/>
        <v>CAR5228</v>
      </c>
      <c r="J533" s="847">
        <v>3716225</v>
      </c>
      <c r="K533" s="513">
        <v>2645</v>
      </c>
      <c r="L533" s="513">
        <v>1405</v>
      </c>
      <c r="M533" s="152" t="s">
        <v>7116</v>
      </c>
      <c r="N533" s="513" t="s">
        <v>780</v>
      </c>
      <c r="O533" s="513" t="s">
        <v>1407</v>
      </c>
      <c r="P533" s="513" t="s">
        <v>7179</v>
      </c>
      <c r="Q533" s="518" t="s">
        <v>7101</v>
      </c>
      <c r="R533" s="152" t="s">
        <v>7180</v>
      </c>
      <c r="S533" s="152" t="s">
        <v>7201</v>
      </c>
      <c r="T533" s="152" t="s">
        <v>7182</v>
      </c>
      <c r="U533" s="152" t="s">
        <v>786</v>
      </c>
    </row>
    <row r="534" spans="4:21">
      <c r="D534" s="210"/>
      <c r="E534" s="210" t="s">
        <v>676</v>
      </c>
      <c r="F534" s="684" t="str">
        <f>+VLOOKUP(G534,Resumen_Base!$C$8:$G$156,5,0)</f>
        <v>Manager</v>
      </c>
      <c r="G534" s="152" t="s">
        <v>325</v>
      </c>
      <c r="H534" s="474" t="s">
        <v>326</v>
      </c>
      <c r="I534" s="152" t="str">
        <f t="shared" si="8"/>
        <v>CAR5228</v>
      </c>
      <c r="J534" s="847">
        <v>2130000</v>
      </c>
      <c r="K534" s="513">
        <v>1500</v>
      </c>
      <c r="L534" s="513">
        <v>1420</v>
      </c>
      <c r="M534" s="152" t="s">
        <v>7143</v>
      </c>
      <c r="N534" s="513" t="s">
        <v>780</v>
      </c>
      <c r="O534" s="513" t="s">
        <v>1407</v>
      </c>
      <c r="P534" s="513" t="s">
        <v>7337</v>
      </c>
      <c r="Q534" s="518" t="s">
        <v>7101</v>
      </c>
      <c r="R534" s="152" t="s">
        <v>7338</v>
      </c>
      <c r="S534" s="152" t="s">
        <v>7345</v>
      </c>
      <c r="T534" s="152" t="s">
        <v>7340</v>
      </c>
      <c r="U534" s="152" t="s">
        <v>786</v>
      </c>
    </row>
    <row r="535" spans="4:21">
      <c r="D535" s="210"/>
      <c r="E535" s="210" t="s">
        <v>676</v>
      </c>
      <c r="F535" s="684" t="str">
        <f>+VLOOKUP(G535,Resumen_Base!$C$8:$G$156,5,0)</f>
        <v>Manager</v>
      </c>
      <c r="G535" s="152" t="s">
        <v>325</v>
      </c>
      <c r="H535" s="474" t="s">
        <v>326</v>
      </c>
      <c r="I535" s="152" t="str">
        <f t="shared" si="8"/>
        <v>CAR5228</v>
      </c>
      <c r="J535" s="847">
        <v>2130000</v>
      </c>
      <c r="K535" s="513">
        <v>1500</v>
      </c>
      <c r="L535" s="513">
        <v>1420</v>
      </c>
      <c r="M535" s="152" t="s">
        <v>7143</v>
      </c>
      <c r="N535" s="513" t="s">
        <v>780</v>
      </c>
      <c r="O535" s="513" t="s">
        <v>1407</v>
      </c>
      <c r="P535" s="513" t="s">
        <v>7337</v>
      </c>
      <c r="Q535" s="518" t="s">
        <v>7101</v>
      </c>
      <c r="R535" s="152" t="s">
        <v>7338</v>
      </c>
      <c r="S535" s="152" t="s">
        <v>7407</v>
      </c>
      <c r="T535" s="152" t="s">
        <v>7340</v>
      </c>
      <c r="U535" s="152" t="s">
        <v>786</v>
      </c>
    </row>
    <row r="536" spans="4:21">
      <c r="D536" s="210"/>
      <c r="E536" s="210" t="s">
        <v>676</v>
      </c>
      <c r="F536" s="684" t="str">
        <f>+VLOOKUP(G536,Resumen_Base!$C$8:$G$156,5,0)</f>
        <v>Manager</v>
      </c>
      <c r="G536" s="152" t="s">
        <v>325</v>
      </c>
      <c r="H536" s="474" t="s">
        <v>326</v>
      </c>
      <c r="I536" s="152" t="str">
        <f t="shared" si="8"/>
        <v>CAR5228</v>
      </c>
      <c r="J536" s="847">
        <v>1846000</v>
      </c>
      <c r="K536" s="513">
        <v>1300</v>
      </c>
      <c r="L536" s="513">
        <v>1420</v>
      </c>
      <c r="M536" s="152" t="s">
        <v>7143</v>
      </c>
      <c r="N536" s="513" t="s">
        <v>780</v>
      </c>
      <c r="O536" s="513" t="s">
        <v>1407</v>
      </c>
      <c r="P536" s="513" t="s">
        <v>7408</v>
      </c>
      <c r="Q536" s="518" t="s">
        <v>7101</v>
      </c>
      <c r="R536" s="152" t="s">
        <v>7409</v>
      </c>
      <c r="S536" s="152" t="s">
        <v>7410</v>
      </c>
      <c r="T536" s="152" t="s">
        <v>7411</v>
      </c>
      <c r="U536" s="152" t="s">
        <v>786</v>
      </c>
    </row>
    <row r="537" spans="4:21">
      <c r="D537" s="210"/>
      <c r="E537" s="210" t="s">
        <v>676</v>
      </c>
      <c r="F537" s="684" t="str">
        <f>+VLOOKUP(G537,Resumen_Base!$C$8:$G$156,5,0)</f>
        <v>Manager</v>
      </c>
      <c r="G537" s="152" t="s">
        <v>325</v>
      </c>
      <c r="H537" s="474" t="s">
        <v>326</v>
      </c>
      <c r="I537" s="152" t="str">
        <f t="shared" si="8"/>
        <v>CAR5228</v>
      </c>
      <c r="J537" s="847">
        <v>2272000</v>
      </c>
      <c r="K537" s="513">
        <v>1600</v>
      </c>
      <c r="L537" s="513">
        <v>1420</v>
      </c>
      <c r="M537" s="152" t="s">
        <v>7143</v>
      </c>
      <c r="N537" s="513" t="s">
        <v>780</v>
      </c>
      <c r="O537" s="513" t="s">
        <v>1407</v>
      </c>
      <c r="P537" s="513" t="s">
        <v>7408</v>
      </c>
      <c r="Q537" s="518" t="s">
        <v>7101</v>
      </c>
      <c r="R537" s="152" t="s">
        <v>7409</v>
      </c>
      <c r="S537" s="152" t="s">
        <v>7413</v>
      </c>
      <c r="T537" s="152" t="s">
        <v>7411</v>
      </c>
      <c r="U537" s="152" t="s">
        <v>786</v>
      </c>
    </row>
    <row r="538" spans="4:21" ht="25">
      <c r="D538" s="210"/>
      <c r="E538" s="210" t="s">
        <v>670</v>
      </c>
      <c r="F538" s="684" t="str">
        <f>+VLOOKUP(G538,Resumen_Base!$C$8:$G$156,5,0)</f>
        <v>Social Security Contributions</v>
      </c>
      <c r="G538" s="152" t="s">
        <v>329</v>
      </c>
      <c r="H538" s="474" t="s">
        <v>330</v>
      </c>
      <c r="I538" s="152" t="str">
        <f t="shared" si="8"/>
        <v>SJ5235</v>
      </c>
      <c r="J538" s="847">
        <v>4332178.5999999996</v>
      </c>
      <c r="K538" s="513">
        <v>3050.83</v>
      </c>
      <c r="L538" s="513">
        <v>1420</v>
      </c>
      <c r="M538" s="152" t="s">
        <v>7143</v>
      </c>
      <c r="N538" s="513" t="s">
        <v>780</v>
      </c>
      <c r="O538" s="513" t="s">
        <v>781</v>
      </c>
      <c r="P538" s="513" t="s">
        <v>7653</v>
      </c>
      <c r="Q538" s="518" t="s">
        <v>7101</v>
      </c>
      <c r="R538" s="152" t="s">
        <v>7654</v>
      </c>
      <c r="S538" s="152" t="s">
        <v>1116</v>
      </c>
      <c r="T538" s="152" t="s">
        <v>7655</v>
      </c>
      <c r="U538" s="152" t="s">
        <v>786</v>
      </c>
    </row>
    <row r="539" spans="4:21" ht="25">
      <c r="D539" s="210"/>
      <c r="E539" s="210" t="s">
        <v>670</v>
      </c>
      <c r="F539" s="684" t="str">
        <f>+VLOOKUP(G539,Resumen_Base!$C$8:$G$156,5,0)</f>
        <v>Social Security Contributions</v>
      </c>
      <c r="G539" s="152" t="s">
        <v>331</v>
      </c>
      <c r="H539" s="474" t="s">
        <v>332</v>
      </c>
      <c r="I539" s="152" t="str">
        <f t="shared" si="8"/>
        <v>SJ5236</v>
      </c>
      <c r="J539" s="847">
        <v>314607.59999999998</v>
      </c>
      <c r="K539" s="513">
        <v>223.92</v>
      </c>
      <c r="L539" s="513">
        <v>1405</v>
      </c>
      <c r="M539" s="152" t="s">
        <v>7116</v>
      </c>
      <c r="N539" s="513" t="s">
        <v>780</v>
      </c>
      <c r="O539" s="513" t="s">
        <v>781</v>
      </c>
      <c r="P539" s="513" t="s">
        <v>7517</v>
      </c>
      <c r="Q539" s="518" t="s">
        <v>7101</v>
      </c>
      <c r="R539" s="152" t="s">
        <v>7518</v>
      </c>
      <c r="S539" s="152" t="s">
        <v>7576</v>
      </c>
      <c r="T539" s="152" t="s">
        <v>7520</v>
      </c>
      <c r="U539" s="152" t="s">
        <v>786</v>
      </c>
    </row>
    <row r="540" spans="4:21" ht="25">
      <c r="D540" s="210"/>
      <c r="E540" s="210" t="s">
        <v>670</v>
      </c>
      <c r="F540" s="684" t="str">
        <f>+VLOOKUP(G540,Resumen_Base!$C$8:$G$156,5,0)</f>
        <v>Social Security Contributions</v>
      </c>
      <c r="G540" s="152" t="s">
        <v>331</v>
      </c>
      <c r="H540" s="474" t="s">
        <v>332</v>
      </c>
      <c r="I540" s="152" t="str">
        <f t="shared" si="8"/>
        <v>SJ5236</v>
      </c>
      <c r="J540" s="847">
        <v>449572</v>
      </c>
      <c r="K540" s="513">
        <v>316.60000000000002</v>
      </c>
      <c r="L540" s="513">
        <v>1420</v>
      </c>
      <c r="M540" s="152" t="s">
        <v>7143</v>
      </c>
      <c r="N540" s="513" t="s">
        <v>780</v>
      </c>
      <c r="O540" s="513" t="s">
        <v>781</v>
      </c>
      <c r="P540" s="513" t="s">
        <v>7664</v>
      </c>
      <c r="Q540" s="518" t="s">
        <v>7101</v>
      </c>
      <c r="R540" s="152" t="s">
        <v>7665</v>
      </c>
      <c r="S540" s="152" t="s">
        <v>7675</v>
      </c>
      <c r="T540" s="152" t="s">
        <v>7667</v>
      </c>
      <c r="U540" s="152" t="s">
        <v>786</v>
      </c>
    </row>
    <row r="541" spans="4:21" ht="25">
      <c r="D541" s="210"/>
      <c r="E541" s="210" t="s">
        <v>676</v>
      </c>
      <c r="F541" s="684" t="str">
        <f>+VLOOKUP(G541,Resumen_Base!$C$8:$G$156,5,0)</f>
        <v>Social Security Contributions</v>
      </c>
      <c r="G541" s="152" t="s">
        <v>331</v>
      </c>
      <c r="H541" s="474" t="s">
        <v>332</v>
      </c>
      <c r="I541" s="152" t="str">
        <f t="shared" si="8"/>
        <v>CAR5236</v>
      </c>
      <c r="J541" s="847">
        <v>979650.3</v>
      </c>
      <c r="K541" s="513">
        <v>697.26</v>
      </c>
      <c r="L541" s="513">
        <v>1405</v>
      </c>
      <c r="M541" s="152" t="s">
        <v>7116</v>
      </c>
      <c r="N541" s="513" t="s">
        <v>780</v>
      </c>
      <c r="O541" s="513" t="s">
        <v>1407</v>
      </c>
      <c r="P541" s="513" t="s">
        <v>7456</v>
      </c>
      <c r="Q541" s="518" t="s">
        <v>7101</v>
      </c>
      <c r="R541" s="152" t="s">
        <v>7457</v>
      </c>
      <c r="S541" s="152" t="s">
        <v>7477</v>
      </c>
      <c r="T541" s="152" t="s">
        <v>7459</v>
      </c>
      <c r="U541" s="152" t="s">
        <v>786</v>
      </c>
    </row>
    <row r="542" spans="4:21" ht="25">
      <c r="D542" s="210"/>
      <c r="E542" s="210" t="s">
        <v>676</v>
      </c>
      <c r="F542" s="684" t="str">
        <f>+VLOOKUP(G542,Resumen_Base!$C$8:$G$156,5,0)</f>
        <v>Social Security Contributions</v>
      </c>
      <c r="G542" s="152" t="s">
        <v>331</v>
      </c>
      <c r="H542" s="474" t="s">
        <v>332</v>
      </c>
      <c r="I542" s="152" t="str">
        <f t="shared" si="8"/>
        <v>CAR5236</v>
      </c>
      <c r="J542" s="847">
        <v>920710.55</v>
      </c>
      <c r="K542" s="513">
        <v>655.30999999999995</v>
      </c>
      <c r="L542" s="513">
        <v>1405</v>
      </c>
      <c r="M542" s="152" t="s">
        <v>7116</v>
      </c>
      <c r="N542" s="513" t="s">
        <v>780</v>
      </c>
      <c r="O542" s="513" t="s">
        <v>1407</v>
      </c>
      <c r="P542" s="513" t="s">
        <v>7456</v>
      </c>
      <c r="Q542" s="518" t="s">
        <v>7101</v>
      </c>
      <c r="R542" s="152" t="s">
        <v>7457</v>
      </c>
      <c r="S542" s="152" t="s">
        <v>7478</v>
      </c>
      <c r="T542" s="152" t="s">
        <v>7459</v>
      </c>
      <c r="U542" s="152" t="s">
        <v>786</v>
      </c>
    </row>
    <row r="543" spans="4:21" ht="25">
      <c r="D543" s="210"/>
      <c r="E543" s="210" t="s">
        <v>676</v>
      </c>
      <c r="F543" s="684" t="str">
        <f>+VLOOKUP(G543,Resumen_Base!$C$8:$G$156,5,0)</f>
        <v>Social Security Contributions</v>
      </c>
      <c r="G543" s="152" t="s">
        <v>331</v>
      </c>
      <c r="H543" s="474" t="s">
        <v>332</v>
      </c>
      <c r="I543" s="152" t="str">
        <f t="shared" si="8"/>
        <v>CAR5236</v>
      </c>
      <c r="J543" s="847">
        <v>542568.85</v>
      </c>
      <c r="K543" s="513">
        <v>386.17</v>
      </c>
      <c r="L543" s="513">
        <v>1405</v>
      </c>
      <c r="M543" s="152" t="s">
        <v>7116</v>
      </c>
      <c r="N543" s="513" t="s">
        <v>780</v>
      </c>
      <c r="O543" s="513" t="s">
        <v>1407</v>
      </c>
      <c r="P543" s="513" t="s">
        <v>7456</v>
      </c>
      <c r="Q543" s="518" t="s">
        <v>7101</v>
      </c>
      <c r="R543" s="152" t="s">
        <v>7457</v>
      </c>
      <c r="S543" s="152" t="s">
        <v>7479</v>
      </c>
      <c r="T543" s="152" t="s">
        <v>7459</v>
      </c>
      <c r="U543" s="152" t="s">
        <v>786</v>
      </c>
    </row>
    <row r="544" spans="4:21" ht="25">
      <c r="D544" s="210"/>
      <c r="E544" s="210" t="s">
        <v>670</v>
      </c>
      <c r="F544" s="684" t="str">
        <f>+VLOOKUP(G544,Resumen_Base!$C$8:$G$156,5,0)</f>
        <v>Social Security Contributions</v>
      </c>
      <c r="G544" s="152" t="s">
        <v>333</v>
      </c>
      <c r="H544" s="474" t="s">
        <v>334</v>
      </c>
      <c r="I544" s="152" t="str">
        <f t="shared" si="8"/>
        <v>SJ5237</v>
      </c>
      <c r="J544" s="847">
        <v>2697.6</v>
      </c>
      <c r="K544" s="513">
        <v>1.92</v>
      </c>
      <c r="L544" s="513">
        <v>1405</v>
      </c>
      <c r="M544" s="152" t="s">
        <v>7116</v>
      </c>
      <c r="N544" s="513" t="s">
        <v>780</v>
      </c>
      <c r="O544" s="513" t="s">
        <v>781</v>
      </c>
      <c r="P544" s="513" t="s">
        <v>7517</v>
      </c>
      <c r="Q544" s="518" t="s">
        <v>7101</v>
      </c>
      <c r="R544" s="152" t="s">
        <v>7518</v>
      </c>
      <c r="S544" s="152" t="s">
        <v>953</v>
      </c>
      <c r="T544" s="152" t="s">
        <v>7520</v>
      </c>
      <c r="U544" s="152" t="s">
        <v>786</v>
      </c>
    </row>
    <row r="545" spans="4:21" ht="25">
      <c r="D545" s="210"/>
      <c r="E545" s="210" t="s">
        <v>670</v>
      </c>
      <c r="F545" s="684" t="str">
        <f>+VLOOKUP(G545,Resumen_Base!$C$8:$G$156,5,0)</f>
        <v>Social Security Contributions</v>
      </c>
      <c r="G545" s="152" t="s">
        <v>333</v>
      </c>
      <c r="H545" s="474" t="s">
        <v>334</v>
      </c>
      <c r="I545" s="152" t="str">
        <f t="shared" si="8"/>
        <v>SJ5237</v>
      </c>
      <c r="J545" s="847">
        <v>343705.15</v>
      </c>
      <c r="K545" s="513">
        <v>244.63</v>
      </c>
      <c r="L545" s="513">
        <v>1405</v>
      </c>
      <c r="M545" s="152" t="s">
        <v>7116</v>
      </c>
      <c r="N545" s="513" t="s">
        <v>780</v>
      </c>
      <c r="O545" s="513" t="s">
        <v>781</v>
      </c>
      <c r="P545" s="513" t="s">
        <v>7517</v>
      </c>
      <c r="Q545" s="518" t="s">
        <v>7101</v>
      </c>
      <c r="R545" s="152" t="s">
        <v>7518</v>
      </c>
      <c r="S545" s="152" t="s">
        <v>7578</v>
      </c>
      <c r="T545" s="152" t="s">
        <v>7520</v>
      </c>
      <c r="U545" s="152" t="s">
        <v>786</v>
      </c>
    </row>
    <row r="546" spans="4:21">
      <c r="D546" s="210"/>
      <c r="E546" s="210" t="s">
        <v>670</v>
      </c>
      <c r="F546" s="684" t="str">
        <f>+VLOOKUP(G546,Resumen_Base!$C$8:$G$156,5,0)</f>
        <v>Electricity</v>
      </c>
      <c r="G546" s="152" t="s">
        <v>41</v>
      </c>
      <c r="H546" s="474" t="s">
        <v>40</v>
      </c>
      <c r="I546" s="152" t="str">
        <f t="shared" si="8"/>
        <v>SJ5247</v>
      </c>
      <c r="J546" s="847">
        <v>573830.1</v>
      </c>
      <c r="K546" s="513">
        <v>408.42</v>
      </c>
      <c r="L546" s="513">
        <v>1405</v>
      </c>
      <c r="M546" s="152" t="s">
        <v>7116</v>
      </c>
      <c r="N546" s="513" t="s">
        <v>780</v>
      </c>
      <c r="O546" s="513" t="s">
        <v>781</v>
      </c>
      <c r="P546" s="513" t="s">
        <v>7517</v>
      </c>
      <c r="Q546" s="518" t="s">
        <v>7101</v>
      </c>
      <c r="R546" s="152" t="s">
        <v>7518</v>
      </c>
      <c r="S546" s="152" t="s">
        <v>7579</v>
      </c>
      <c r="T546" s="152" t="s">
        <v>7520</v>
      </c>
      <c r="U546" s="152" t="s">
        <v>786</v>
      </c>
    </row>
    <row r="547" spans="4:21">
      <c r="D547" s="210"/>
      <c r="E547" s="210" t="s">
        <v>670</v>
      </c>
      <c r="F547" s="684" t="str">
        <f>+VLOOKUP(G547,Resumen_Base!$C$8:$G$156,5,0)</f>
        <v>Electricity</v>
      </c>
      <c r="G547" s="152" t="s">
        <v>41</v>
      </c>
      <c r="H547" s="474" t="s">
        <v>40</v>
      </c>
      <c r="I547" s="152" t="str">
        <f t="shared" si="8"/>
        <v>SJ5247</v>
      </c>
      <c r="J547" s="847">
        <v>580841.05000000005</v>
      </c>
      <c r="K547" s="513">
        <v>413.41</v>
      </c>
      <c r="L547" s="513">
        <v>1405</v>
      </c>
      <c r="M547" s="152" t="s">
        <v>7116</v>
      </c>
      <c r="N547" s="513" t="s">
        <v>780</v>
      </c>
      <c r="O547" s="513" t="s">
        <v>781</v>
      </c>
      <c r="P547" s="513" t="s">
        <v>7517</v>
      </c>
      <c r="Q547" s="518" t="s">
        <v>7101</v>
      </c>
      <c r="R547" s="152" t="s">
        <v>7518</v>
      </c>
      <c r="S547" s="152" t="s">
        <v>7580</v>
      </c>
      <c r="T547" s="152" t="s">
        <v>7520</v>
      </c>
      <c r="U547" s="152" t="s">
        <v>786</v>
      </c>
    </row>
    <row r="548" spans="4:21">
      <c r="D548" s="210"/>
      <c r="E548" s="210" t="s">
        <v>676</v>
      </c>
      <c r="F548" s="684" t="str">
        <f>+VLOOKUP(G548,Resumen_Base!$C$8:$G$156,5,0)</f>
        <v>Electricity</v>
      </c>
      <c r="G548" s="152" t="s">
        <v>41</v>
      </c>
      <c r="H548" s="474" t="s">
        <v>40</v>
      </c>
      <c r="I548" s="152" t="str">
        <f t="shared" si="8"/>
        <v>CAR5247</v>
      </c>
      <c r="J548" s="847">
        <v>559316.44999999995</v>
      </c>
      <c r="K548" s="513">
        <v>398.09</v>
      </c>
      <c r="L548" s="513">
        <v>1405</v>
      </c>
      <c r="M548" s="152" t="s">
        <v>7116</v>
      </c>
      <c r="N548" s="513" t="s">
        <v>780</v>
      </c>
      <c r="O548" s="513" t="s">
        <v>1407</v>
      </c>
      <c r="P548" s="513" t="s">
        <v>7456</v>
      </c>
      <c r="Q548" s="518" t="s">
        <v>7101</v>
      </c>
      <c r="R548" s="152" t="s">
        <v>7457</v>
      </c>
      <c r="S548" s="152" t="s">
        <v>7480</v>
      </c>
      <c r="T548" s="152" t="s">
        <v>7459</v>
      </c>
      <c r="U548" s="152" t="s">
        <v>786</v>
      </c>
    </row>
    <row r="549" spans="4:21">
      <c r="D549" s="210"/>
      <c r="E549" s="210" t="s">
        <v>676</v>
      </c>
      <c r="F549" s="684" t="str">
        <f>+VLOOKUP(G549,Resumen_Base!$C$8:$G$156,5,0)</f>
        <v>Electricity</v>
      </c>
      <c r="G549" s="152" t="s">
        <v>41</v>
      </c>
      <c r="H549" s="474" t="s">
        <v>40</v>
      </c>
      <c r="I549" s="152" t="str">
        <f t="shared" si="8"/>
        <v>CAR5247</v>
      </c>
      <c r="J549" s="847">
        <v>2669.5</v>
      </c>
      <c r="K549" s="513">
        <v>1.9</v>
      </c>
      <c r="L549" s="513">
        <v>1405</v>
      </c>
      <c r="M549" s="152" t="s">
        <v>7116</v>
      </c>
      <c r="N549" s="513" t="s">
        <v>780</v>
      </c>
      <c r="O549" s="513" t="s">
        <v>1407</v>
      </c>
      <c r="P549" s="513" t="s">
        <v>7456</v>
      </c>
      <c r="Q549" s="518" t="s">
        <v>7101</v>
      </c>
      <c r="R549" s="152" t="s">
        <v>7457</v>
      </c>
      <c r="S549" s="152" t="s">
        <v>1515</v>
      </c>
      <c r="T549" s="152" t="s">
        <v>7459</v>
      </c>
      <c r="U549" s="152" t="s">
        <v>786</v>
      </c>
    </row>
    <row r="550" spans="4:21">
      <c r="D550" s="210"/>
      <c r="E550" s="210" t="s">
        <v>676</v>
      </c>
      <c r="F550" s="684" t="str">
        <f>+VLOOKUP(G550,Resumen_Base!$C$8:$G$156,5,0)</f>
        <v>Electricity</v>
      </c>
      <c r="G550" s="152" t="s">
        <v>41</v>
      </c>
      <c r="H550" s="474" t="s">
        <v>40</v>
      </c>
      <c r="I550" s="152" t="str">
        <f t="shared" si="8"/>
        <v>CAR5247</v>
      </c>
      <c r="J550" s="847">
        <v>134851.9</v>
      </c>
      <c r="K550" s="513">
        <v>95.98</v>
      </c>
      <c r="L550" s="513">
        <v>1405</v>
      </c>
      <c r="M550" s="152" t="s">
        <v>7116</v>
      </c>
      <c r="N550" s="513" t="s">
        <v>780</v>
      </c>
      <c r="O550" s="513" t="s">
        <v>1407</v>
      </c>
      <c r="P550" s="513" t="s">
        <v>7456</v>
      </c>
      <c r="Q550" s="518" t="s">
        <v>7101</v>
      </c>
      <c r="R550" s="152" t="s">
        <v>7457</v>
      </c>
      <c r="S550" s="152" t="s">
        <v>7481</v>
      </c>
      <c r="T550" s="152" t="s">
        <v>7459</v>
      </c>
      <c r="U550" s="152" t="s">
        <v>786</v>
      </c>
    </row>
    <row r="551" spans="4:21">
      <c r="D551" s="210"/>
      <c r="E551" s="210" t="s">
        <v>676</v>
      </c>
      <c r="F551" s="684" t="str">
        <f>+VLOOKUP(G551,Resumen_Base!$C$8:$G$156,5,0)</f>
        <v>Electricity</v>
      </c>
      <c r="G551" s="152" t="s">
        <v>41</v>
      </c>
      <c r="H551" s="474" t="s">
        <v>40</v>
      </c>
      <c r="I551" s="152" t="str">
        <f t="shared" si="8"/>
        <v>CAR5247</v>
      </c>
      <c r="J551" s="847">
        <v>2266616.25</v>
      </c>
      <c r="K551" s="513">
        <v>1613.25</v>
      </c>
      <c r="L551" s="513">
        <v>1405</v>
      </c>
      <c r="M551" s="152" t="s">
        <v>7116</v>
      </c>
      <c r="N551" s="513" t="s">
        <v>780</v>
      </c>
      <c r="O551" s="513" t="s">
        <v>1407</v>
      </c>
      <c r="P551" s="513" t="s">
        <v>7456</v>
      </c>
      <c r="Q551" s="518" t="s">
        <v>7101</v>
      </c>
      <c r="R551" s="152" t="s">
        <v>7457</v>
      </c>
      <c r="S551" s="152" t="s">
        <v>7482</v>
      </c>
      <c r="T551" s="152" t="s">
        <v>7459</v>
      </c>
      <c r="U551" s="152" t="s">
        <v>786</v>
      </c>
    </row>
    <row r="552" spans="4:21" ht="25">
      <c r="D552" s="210"/>
      <c r="E552" s="210" t="s">
        <v>670</v>
      </c>
      <c r="F552" s="684" t="str">
        <f>+VLOOKUP(G552,Resumen_Base!$C$8:$G$156,5,0)</f>
        <v>Electricity - Gas for Boats &amp; Vehicles</v>
      </c>
      <c r="G552" s="152" t="s">
        <v>64</v>
      </c>
      <c r="H552" s="474" t="s">
        <v>65</v>
      </c>
      <c r="I552" s="152" t="str">
        <f t="shared" si="8"/>
        <v>SJ5248</v>
      </c>
      <c r="J552" s="847">
        <v>53558.6</v>
      </c>
      <c r="K552" s="513">
        <v>38.119999999999997</v>
      </c>
      <c r="L552" s="513">
        <v>1405</v>
      </c>
      <c r="M552" s="152" t="s">
        <v>7116</v>
      </c>
      <c r="N552" s="513" t="s">
        <v>780</v>
      </c>
      <c r="O552" s="513" t="s">
        <v>781</v>
      </c>
      <c r="P552" s="513" t="s">
        <v>7179</v>
      </c>
      <c r="Q552" s="518" t="s">
        <v>7101</v>
      </c>
      <c r="R552" s="152" t="s">
        <v>7180</v>
      </c>
      <c r="S552" s="152" t="s">
        <v>7225</v>
      </c>
      <c r="T552" s="152" t="s">
        <v>7182</v>
      </c>
      <c r="U552" s="152" t="s">
        <v>786</v>
      </c>
    </row>
    <row r="553" spans="4:21" ht="25">
      <c r="D553" s="210"/>
      <c r="E553" s="210" t="s">
        <v>670</v>
      </c>
      <c r="F553" s="684" t="str">
        <f>+VLOOKUP(G553,Resumen_Base!$C$8:$G$156,5,0)</f>
        <v>Electricity - Gas for Boats &amp; Vehicles</v>
      </c>
      <c r="G553" s="152" t="s">
        <v>64</v>
      </c>
      <c r="H553" s="474" t="s">
        <v>65</v>
      </c>
      <c r="I553" s="152" t="str">
        <f t="shared" si="8"/>
        <v>SJ5248</v>
      </c>
      <c r="J553" s="847">
        <v>54584.25</v>
      </c>
      <c r="K553" s="513">
        <v>38.85</v>
      </c>
      <c r="L553" s="513">
        <v>1405</v>
      </c>
      <c r="M553" s="152" t="s">
        <v>7116</v>
      </c>
      <c r="N553" s="513" t="s">
        <v>780</v>
      </c>
      <c r="O553" s="513" t="s">
        <v>781</v>
      </c>
      <c r="P553" s="513" t="s">
        <v>7418</v>
      </c>
      <c r="Q553" s="518" t="s">
        <v>7101</v>
      </c>
      <c r="R553" s="152" t="s">
        <v>7419</v>
      </c>
      <c r="S553" s="152" t="s">
        <v>7424</v>
      </c>
      <c r="T553" s="152" t="s">
        <v>7421</v>
      </c>
      <c r="U553" s="152" t="s">
        <v>786</v>
      </c>
    </row>
    <row r="554" spans="4:21" ht="25">
      <c r="D554" s="210"/>
      <c r="E554" s="210" t="s">
        <v>670</v>
      </c>
      <c r="F554" s="684" t="str">
        <f>+VLOOKUP(G554,Resumen_Base!$C$8:$G$156,5,0)</f>
        <v>Electricity - Gas for Boats &amp; Vehicles</v>
      </c>
      <c r="G554" s="152" t="s">
        <v>64</v>
      </c>
      <c r="H554" s="474" t="s">
        <v>65</v>
      </c>
      <c r="I554" s="152" t="str">
        <f t="shared" si="8"/>
        <v>SJ5248</v>
      </c>
      <c r="J554" s="847">
        <v>147960.54999999999</v>
      </c>
      <c r="K554" s="513">
        <v>105.31</v>
      </c>
      <c r="L554" s="513">
        <v>1405</v>
      </c>
      <c r="M554" s="152" t="s">
        <v>7116</v>
      </c>
      <c r="N554" s="513" t="s">
        <v>780</v>
      </c>
      <c r="O554" s="513" t="s">
        <v>781</v>
      </c>
      <c r="P554" s="513" t="s">
        <v>7418</v>
      </c>
      <c r="Q554" s="518" t="s">
        <v>7101</v>
      </c>
      <c r="R554" s="152" t="s">
        <v>7419</v>
      </c>
      <c r="S554" s="152" t="s">
        <v>7435</v>
      </c>
      <c r="T554" s="152" t="s">
        <v>7421</v>
      </c>
      <c r="U554" s="152" t="s">
        <v>786</v>
      </c>
    </row>
    <row r="555" spans="4:21" ht="25">
      <c r="D555" s="210"/>
      <c r="E555" s="210" t="s">
        <v>670</v>
      </c>
      <c r="F555" s="684" t="str">
        <f>+VLOOKUP(G555,Resumen_Base!$C$8:$G$156,5,0)</f>
        <v>Electricity - Gas for Boats &amp; Vehicles</v>
      </c>
      <c r="G555" s="152" t="s">
        <v>64</v>
      </c>
      <c r="H555" s="474" t="s">
        <v>65</v>
      </c>
      <c r="I555" s="152" t="str">
        <f t="shared" si="8"/>
        <v>SJ5248</v>
      </c>
      <c r="J555" s="847">
        <v>143000.9</v>
      </c>
      <c r="K555" s="513">
        <v>101.78</v>
      </c>
      <c r="L555" s="513">
        <v>1405</v>
      </c>
      <c r="M555" s="152" t="s">
        <v>7116</v>
      </c>
      <c r="N555" s="513" t="s">
        <v>780</v>
      </c>
      <c r="O555" s="513" t="s">
        <v>781</v>
      </c>
      <c r="P555" s="513" t="s">
        <v>7517</v>
      </c>
      <c r="Q555" s="518" t="s">
        <v>7101</v>
      </c>
      <c r="R555" s="152" t="s">
        <v>7518</v>
      </c>
      <c r="S555" s="152" t="s">
        <v>7581</v>
      </c>
      <c r="T555" s="152" t="s">
        <v>7520</v>
      </c>
      <c r="U555" s="152" t="s">
        <v>786</v>
      </c>
    </row>
    <row r="556" spans="4:21" ht="25">
      <c r="D556" s="210"/>
      <c r="E556" s="210" t="s">
        <v>670</v>
      </c>
      <c r="F556" s="684" t="str">
        <f>+VLOOKUP(G556,Resumen_Base!$C$8:$G$156,5,0)</f>
        <v>Electricity - Gas for Boats &amp; Vehicles</v>
      </c>
      <c r="G556" s="152" t="s">
        <v>64</v>
      </c>
      <c r="H556" s="474" t="s">
        <v>65</v>
      </c>
      <c r="I556" s="152" t="str">
        <f t="shared" si="8"/>
        <v>SJ5248</v>
      </c>
      <c r="J556" s="847">
        <v>189450.2</v>
      </c>
      <c r="K556" s="513">
        <v>134.84</v>
      </c>
      <c r="L556" s="513">
        <v>1405</v>
      </c>
      <c r="M556" s="152" t="s">
        <v>7116</v>
      </c>
      <c r="N556" s="513" t="s">
        <v>780</v>
      </c>
      <c r="O556" s="513" t="s">
        <v>781</v>
      </c>
      <c r="P556" s="513" t="s">
        <v>7517</v>
      </c>
      <c r="Q556" s="518" t="s">
        <v>7101</v>
      </c>
      <c r="R556" s="152" t="s">
        <v>7518</v>
      </c>
      <c r="S556" s="152" t="s">
        <v>7525</v>
      </c>
      <c r="T556" s="152" t="s">
        <v>7520</v>
      </c>
      <c r="U556" s="152" t="s">
        <v>786</v>
      </c>
    </row>
    <row r="557" spans="4:21" ht="25">
      <c r="D557" s="210"/>
      <c r="E557" s="210" t="s">
        <v>670</v>
      </c>
      <c r="F557" s="684" t="str">
        <f>+VLOOKUP(G557,Resumen_Base!$C$8:$G$156,5,0)</f>
        <v>Electricity - Gas for Boats &amp; Vehicles</v>
      </c>
      <c r="G557" s="152" t="s">
        <v>64</v>
      </c>
      <c r="H557" s="474" t="s">
        <v>65</v>
      </c>
      <c r="I557" s="152" t="str">
        <f t="shared" si="8"/>
        <v>SJ5248</v>
      </c>
      <c r="J557" s="847">
        <v>158329.45000000001</v>
      </c>
      <c r="K557" s="513">
        <v>112.69</v>
      </c>
      <c r="L557" s="513">
        <v>1405</v>
      </c>
      <c r="M557" s="152" t="s">
        <v>7116</v>
      </c>
      <c r="N557" s="513" t="s">
        <v>780</v>
      </c>
      <c r="O557" s="513" t="s">
        <v>781</v>
      </c>
      <c r="P557" s="513" t="s">
        <v>7517</v>
      </c>
      <c r="Q557" s="518" t="s">
        <v>7101</v>
      </c>
      <c r="R557" s="152" t="s">
        <v>7518</v>
      </c>
      <c r="S557" s="152" t="s">
        <v>7525</v>
      </c>
      <c r="T557" s="152" t="s">
        <v>7520</v>
      </c>
      <c r="U557" s="152" t="s">
        <v>786</v>
      </c>
    </row>
    <row r="558" spans="4:21" ht="25">
      <c r="D558" s="210"/>
      <c r="E558" s="210" t="s">
        <v>670</v>
      </c>
      <c r="F558" s="684" t="str">
        <f>+VLOOKUP(G558,Resumen_Base!$C$8:$G$156,5,0)</f>
        <v>Electricity - Gas for Boats &amp; Vehicles</v>
      </c>
      <c r="G558" s="152" t="s">
        <v>64</v>
      </c>
      <c r="H558" s="474" t="s">
        <v>65</v>
      </c>
      <c r="I558" s="152" t="str">
        <f t="shared" si="8"/>
        <v>SJ5248</v>
      </c>
      <c r="J558" s="847">
        <v>166675.15</v>
      </c>
      <c r="K558" s="513">
        <v>118.63</v>
      </c>
      <c r="L558" s="513">
        <v>1405</v>
      </c>
      <c r="M558" s="152" t="s">
        <v>7116</v>
      </c>
      <c r="N558" s="513" t="s">
        <v>780</v>
      </c>
      <c r="O558" s="513" t="s">
        <v>781</v>
      </c>
      <c r="P558" s="513" t="s">
        <v>7517</v>
      </c>
      <c r="Q558" s="518" t="s">
        <v>7101</v>
      </c>
      <c r="R558" s="152" t="s">
        <v>7518</v>
      </c>
      <c r="S558" s="152" t="s">
        <v>7557</v>
      </c>
      <c r="T558" s="152" t="s">
        <v>7520</v>
      </c>
      <c r="U558" s="152" t="s">
        <v>786</v>
      </c>
    </row>
    <row r="559" spans="4:21" ht="25">
      <c r="D559" s="210"/>
      <c r="E559" s="210" t="s">
        <v>670</v>
      </c>
      <c r="F559" s="684" t="str">
        <f>+VLOOKUP(G559,Resumen_Base!$C$8:$G$156,5,0)</f>
        <v>Electricity - Gas for Boats &amp; Vehicles</v>
      </c>
      <c r="G559" s="152" t="s">
        <v>64</v>
      </c>
      <c r="H559" s="474" t="s">
        <v>65</v>
      </c>
      <c r="I559" s="152" t="str">
        <f t="shared" si="8"/>
        <v>SJ5248</v>
      </c>
      <c r="J559" s="847">
        <v>841960.3</v>
      </c>
      <c r="K559" s="513">
        <v>599.26</v>
      </c>
      <c r="L559" s="513">
        <v>1405</v>
      </c>
      <c r="M559" s="152" t="s">
        <v>7116</v>
      </c>
      <c r="N559" s="513" t="s">
        <v>780</v>
      </c>
      <c r="O559" s="513" t="s">
        <v>781</v>
      </c>
      <c r="P559" s="513" t="s">
        <v>7517</v>
      </c>
      <c r="Q559" s="518" t="s">
        <v>7101</v>
      </c>
      <c r="R559" s="152" t="s">
        <v>7518</v>
      </c>
      <c r="S559" s="152" t="s">
        <v>7558</v>
      </c>
      <c r="T559" s="152" t="s">
        <v>7520</v>
      </c>
      <c r="U559" s="152" t="s">
        <v>786</v>
      </c>
    </row>
    <row r="560" spans="4:21" ht="25">
      <c r="D560" s="210"/>
      <c r="E560" s="210" t="s">
        <v>670</v>
      </c>
      <c r="F560" s="684" t="str">
        <f>+VLOOKUP(G560,Resumen_Base!$C$8:$G$156,5,0)</f>
        <v>Electricity - Gas for Boats &amp; Vehicles</v>
      </c>
      <c r="G560" s="152" t="s">
        <v>64</v>
      </c>
      <c r="H560" s="474" t="s">
        <v>65</v>
      </c>
      <c r="I560" s="152" t="str">
        <f t="shared" si="8"/>
        <v>SJ5248</v>
      </c>
      <c r="J560" s="847">
        <v>7846264.6500000004</v>
      </c>
      <c r="K560" s="513">
        <v>5584.53</v>
      </c>
      <c r="L560" s="513">
        <v>1405</v>
      </c>
      <c r="M560" s="152" t="s">
        <v>7116</v>
      </c>
      <c r="N560" s="513" t="s">
        <v>780</v>
      </c>
      <c r="O560" s="513" t="s">
        <v>781</v>
      </c>
      <c r="P560" s="513" t="s">
        <v>7517</v>
      </c>
      <c r="Q560" s="518" t="s">
        <v>7101</v>
      </c>
      <c r="R560" s="152" t="s">
        <v>7518</v>
      </c>
      <c r="S560" s="152" t="s">
        <v>7537</v>
      </c>
      <c r="T560" s="152" t="s">
        <v>7520</v>
      </c>
      <c r="U560" s="152" t="s">
        <v>786</v>
      </c>
    </row>
    <row r="561" spans="4:21" ht="25">
      <c r="D561" s="210"/>
      <c r="E561" s="210" t="s">
        <v>670</v>
      </c>
      <c r="F561" s="684" t="str">
        <f>+VLOOKUP(G561,Resumen_Base!$C$8:$G$156,5,0)</f>
        <v>Electricity - Gas for Boats &amp; Vehicles</v>
      </c>
      <c r="G561" s="152" t="s">
        <v>64</v>
      </c>
      <c r="H561" s="474" t="s">
        <v>65</v>
      </c>
      <c r="I561" s="152" t="str">
        <f t="shared" si="8"/>
        <v>SJ5248</v>
      </c>
      <c r="J561" s="847">
        <v>2725.7</v>
      </c>
      <c r="K561" s="513">
        <v>1.94</v>
      </c>
      <c r="L561" s="513">
        <v>1405</v>
      </c>
      <c r="M561" s="152" t="s">
        <v>7116</v>
      </c>
      <c r="N561" s="513" t="s">
        <v>780</v>
      </c>
      <c r="O561" s="513" t="s">
        <v>781</v>
      </c>
      <c r="P561" s="513" t="s">
        <v>7517</v>
      </c>
      <c r="Q561" s="518" t="s">
        <v>7101</v>
      </c>
      <c r="R561" s="152" t="s">
        <v>7518</v>
      </c>
      <c r="S561" s="152" t="s">
        <v>953</v>
      </c>
      <c r="T561" s="152" t="s">
        <v>7520</v>
      </c>
      <c r="U561" s="152" t="s">
        <v>786</v>
      </c>
    </row>
    <row r="562" spans="4:21" ht="25">
      <c r="D562" s="210"/>
      <c r="E562" s="210" t="s">
        <v>670</v>
      </c>
      <c r="F562" s="684" t="str">
        <f>+VLOOKUP(G562,Resumen_Base!$C$8:$G$156,5,0)</f>
        <v>Electricity - Gas for Boats &amp; Vehicles</v>
      </c>
      <c r="G562" s="152" t="s">
        <v>64</v>
      </c>
      <c r="H562" s="474" t="s">
        <v>65</v>
      </c>
      <c r="I562" s="152" t="str">
        <f t="shared" si="8"/>
        <v>SJ5248</v>
      </c>
      <c r="J562" s="847">
        <v>110206.2</v>
      </c>
      <c r="K562" s="513">
        <v>77.61</v>
      </c>
      <c r="L562" s="513">
        <v>1420</v>
      </c>
      <c r="M562" s="152" t="s">
        <v>7143</v>
      </c>
      <c r="N562" s="513" t="s">
        <v>780</v>
      </c>
      <c r="O562" s="513" t="s">
        <v>781</v>
      </c>
      <c r="P562" s="513" t="s">
        <v>7653</v>
      </c>
      <c r="Q562" s="518" t="s">
        <v>7101</v>
      </c>
      <c r="R562" s="152" t="s">
        <v>7654</v>
      </c>
      <c r="S562" s="152" t="s">
        <v>7656</v>
      </c>
      <c r="T562" s="152" t="s">
        <v>7655</v>
      </c>
      <c r="U562" s="152" t="s">
        <v>786</v>
      </c>
    </row>
    <row r="563" spans="4:21" ht="25">
      <c r="D563" s="210"/>
      <c r="E563" s="210" t="s">
        <v>670</v>
      </c>
      <c r="F563" s="684" t="str">
        <f>+VLOOKUP(G563,Resumen_Base!$C$8:$G$156,5,0)</f>
        <v>Electricity - Gas for Boats &amp; Vehicles</v>
      </c>
      <c r="G563" s="152" t="s">
        <v>64</v>
      </c>
      <c r="H563" s="474" t="s">
        <v>65</v>
      </c>
      <c r="I563" s="152" t="str">
        <f t="shared" si="8"/>
        <v>SJ5248</v>
      </c>
      <c r="J563" s="847">
        <v>71624.800000000003</v>
      </c>
      <c r="K563" s="513">
        <v>50.44</v>
      </c>
      <c r="L563" s="513">
        <v>1420</v>
      </c>
      <c r="M563" s="152" t="s">
        <v>7143</v>
      </c>
      <c r="N563" s="513" t="s">
        <v>780</v>
      </c>
      <c r="O563" s="513" t="s">
        <v>781</v>
      </c>
      <c r="P563" s="513" t="s">
        <v>7664</v>
      </c>
      <c r="Q563" s="518" t="s">
        <v>7101</v>
      </c>
      <c r="R563" s="152" t="s">
        <v>7665</v>
      </c>
      <c r="S563" s="152" t="s">
        <v>7676</v>
      </c>
      <c r="T563" s="152" t="s">
        <v>7667</v>
      </c>
      <c r="U563" s="152" t="s">
        <v>786</v>
      </c>
    </row>
    <row r="564" spans="4:21" ht="25">
      <c r="D564" s="210"/>
      <c r="E564" s="210" t="s">
        <v>676</v>
      </c>
      <c r="F564" s="684" t="str">
        <f>+VLOOKUP(G564,Resumen_Base!$C$8:$G$156,5,0)</f>
        <v>Electricity - Gas for Boats &amp; Vehicles</v>
      </c>
      <c r="G564" s="152" t="s">
        <v>64</v>
      </c>
      <c r="H564" s="474" t="s">
        <v>65</v>
      </c>
      <c r="I564" s="152" t="str">
        <f t="shared" si="8"/>
        <v>CAR5248</v>
      </c>
      <c r="J564" s="847">
        <v>7413398.2000000002</v>
      </c>
      <c r="K564" s="513">
        <v>5276.44</v>
      </c>
      <c r="L564" s="513">
        <v>1405</v>
      </c>
      <c r="M564" s="152" t="s">
        <v>7116</v>
      </c>
      <c r="N564" s="513" t="s">
        <v>780</v>
      </c>
      <c r="O564" s="513" t="s">
        <v>1407</v>
      </c>
      <c r="P564" s="513" t="s">
        <v>7456</v>
      </c>
      <c r="Q564" s="518" t="s">
        <v>7101</v>
      </c>
      <c r="R564" s="152" t="s">
        <v>7457</v>
      </c>
      <c r="S564" s="152" t="s">
        <v>7483</v>
      </c>
      <c r="T564" s="152" t="s">
        <v>7459</v>
      </c>
      <c r="U564" s="152" t="s">
        <v>786</v>
      </c>
    </row>
    <row r="565" spans="4:21" ht="25">
      <c r="D565" s="210"/>
      <c r="E565" s="210" t="s">
        <v>676</v>
      </c>
      <c r="F565" s="684" t="str">
        <f>+VLOOKUP(G565,Resumen_Base!$C$8:$G$156,5,0)</f>
        <v>Electricity - Gas for Boats &amp; Vehicles</v>
      </c>
      <c r="G565" s="152" t="s">
        <v>64</v>
      </c>
      <c r="H565" s="474" t="s">
        <v>65</v>
      </c>
      <c r="I565" s="152" t="str">
        <f t="shared" si="8"/>
        <v>CAR5248</v>
      </c>
      <c r="J565" s="847">
        <v>2669.5</v>
      </c>
      <c r="K565" s="513">
        <v>1.9</v>
      </c>
      <c r="L565" s="513">
        <v>1405</v>
      </c>
      <c r="M565" s="152" t="s">
        <v>7116</v>
      </c>
      <c r="N565" s="513" t="s">
        <v>780</v>
      </c>
      <c r="O565" s="513" t="s">
        <v>1407</v>
      </c>
      <c r="P565" s="513" t="s">
        <v>7456</v>
      </c>
      <c r="Q565" s="518" t="s">
        <v>7101</v>
      </c>
      <c r="R565" s="152" t="s">
        <v>7457</v>
      </c>
      <c r="S565" s="152" t="s">
        <v>1515</v>
      </c>
      <c r="T565" s="152" t="s">
        <v>7459</v>
      </c>
      <c r="U565" s="152" t="s">
        <v>786</v>
      </c>
    </row>
    <row r="566" spans="4:21" ht="25">
      <c r="D566" s="210"/>
      <c r="E566" s="210" t="s">
        <v>676</v>
      </c>
      <c r="F566" s="684" t="str">
        <f>+VLOOKUP(G566,Resumen_Base!$C$8:$G$156,5,0)</f>
        <v>Electricity - Gas for Boats &amp; Vehicles</v>
      </c>
      <c r="G566" s="152" t="s">
        <v>64</v>
      </c>
      <c r="H566" s="474" t="s">
        <v>65</v>
      </c>
      <c r="I566" s="152" t="str">
        <f t="shared" si="8"/>
        <v>CAR5248</v>
      </c>
      <c r="J566" s="847">
        <v>17857.55</v>
      </c>
      <c r="K566" s="513">
        <v>12.71</v>
      </c>
      <c r="L566" s="513">
        <v>1405</v>
      </c>
      <c r="M566" s="152" t="s">
        <v>7116</v>
      </c>
      <c r="N566" s="513" t="s">
        <v>780</v>
      </c>
      <c r="O566" s="513" t="s">
        <v>1407</v>
      </c>
      <c r="P566" s="513" t="s">
        <v>7456</v>
      </c>
      <c r="Q566" s="518" t="s">
        <v>7101</v>
      </c>
      <c r="R566" s="152" t="s">
        <v>7457</v>
      </c>
      <c r="S566" s="152" t="s">
        <v>7484</v>
      </c>
      <c r="T566" s="152" t="s">
        <v>7459</v>
      </c>
      <c r="U566" s="152" t="s">
        <v>786</v>
      </c>
    </row>
    <row r="567" spans="4:21" ht="25">
      <c r="D567" s="210"/>
      <c r="E567" s="210" t="s">
        <v>676</v>
      </c>
      <c r="F567" s="684" t="str">
        <f>+VLOOKUP(G567,Resumen_Base!$C$8:$G$156,5,0)</f>
        <v>Electricity - Gas for Boats &amp; Vehicles</v>
      </c>
      <c r="G567" s="152" t="s">
        <v>64</v>
      </c>
      <c r="H567" s="474" t="s">
        <v>65</v>
      </c>
      <c r="I567" s="152" t="str">
        <f t="shared" si="8"/>
        <v>CAR5248</v>
      </c>
      <c r="J567" s="847">
        <v>2739.75</v>
      </c>
      <c r="K567" s="513">
        <v>1.95</v>
      </c>
      <c r="L567" s="513">
        <v>1405</v>
      </c>
      <c r="M567" s="152" t="s">
        <v>7116</v>
      </c>
      <c r="N567" s="513" t="s">
        <v>780</v>
      </c>
      <c r="O567" s="513" t="s">
        <v>1407</v>
      </c>
      <c r="P567" s="513" t="s">
        <v>7456</v>
      </c>
      <c r="Q567" s="518" t="s">
        <v>7101</v>
      </c>
      <c r="R567" s="152" t="s">
        <v>7457</v>
      </c>
      <c r="S567" s="152" t="s">
        <v>1515</v>
      </c>
      <c r="T567" s="152" t="s">
        <v>7459</v>
      </c>
      <c r="U567" s="152" t="s">
        <v>786</v>
      </c>
    </row>
    <row r="568" spans="4:21" ht="25">
      <c r="D568" s="210"/>
      <c r="E568" s="210" t="s">
        <v>676</v>
      </c>
      <c r="F568" s="684" t="str">
        <f>+VLOOKUP(G568,Resumen_Base!$C$8:$G$156,5,0)</f>
        <v>Electricity - Gas for Boats &amp; Vehicles</v>
      </c>
      <c r="G568" s="152" t="s">
        <v>64</v>
      </c>
      <c r="H568" s="474" t="s">
        <v>65</v>
      </c>
      <c r="I568" s="152" t="str">
        <f t="shared" si="8"/>
        <v>CAR5248</v>
      </c>
      <c r="J568" s="847">
        <v>286513.40000000002</v>
      </c>
      <c r="K568" s="513">
        <v>201.77</v>
      </c>
      <c r="L568" s="513">
        <v>1420</v>
      </c>
      <c r="M568" s="152" t="s">
        <v>7143</v>
      </c>
      <c r="N568" s="513" t="s">
        <v>780</v>
      </c>
      <c r="O568" s="513" t="s">
        <v>1407</v>
      </c>
      <c r="P568" s="513" t="s">
        <v>7619</v>
      </c>
      <c r="Q568" s="518" t="s">
        <v>7101</v>
      </c>
      <c r="R568" s="152" t="s">
        <v>7620</v>
      </c>
      <c r="S568" s="152" t="s">
        <v>7632</v>
      </c>
      <c r="T568" s="152" t="s">
        <v>7621</v>
      </c>
      <c r="U568" s="152" t="s">
        <v>786</v>
      </c>
    </row>
    <row r="569" spans="4:21">
      <c r="D569" s="210"/>
      <c r="E569" s="210" t="s">
        <v>670</v>
      </c>
      <c r="F569" s="684" t="str">
        <f>+VLOOKUP(G569,Resumen_Base!$C$8:$G$156,5,0)</f>
        <v>Food &amp; Wine</v>
      </c>
      <c r="G569" s="152" t="s">
        <v>37</v>
      </c>
      <c r="H569" s="474" t="s">
        <v>36</v>
      </c>
      <c r="I569" s="152" t="str">
        <f t="shared" si="8"/>
        <v>SJ5250</v>
      </c>
      <c r="J569" s="847">
        <v>-411988.15</v>
      </c>
      <c r="K569" s="513">
        <v>-293.23</v>
      </c>
      <c r="L569" s="513">
        <v>1405</v>
      </c>
      <c r="M569" s="152" t="s">
        <v>7116</v>
      </c>
      <c r="N569" s="513" t="s">
        <v>780</v>
      </c>
      <c r="O569" s="513" t="s">
        <v>781</v>
      </c>
      <c r="P569" s="513" t="s">
        <v>7129</v>
      </c>
      <c r="Q569" s="518" t="s">
        <v>7101</v>
      </c>
      <c r="R569" s="152" t="s">
        <v>7130</v>
      </c>
      <c r="S569" s="152" t="s">
        <v>7137</v>
      </c>
      <c r="T569" s="152" t="s">
        <v>7131</v>
      </c>
      <c r="U569" s="152" t="s">
        <v>786</v>
      </c>
    </row>
    <row r="570" spans="4:21">
      <c r="D570" s="210"/>
      <c r="E570" s="210" t="s">
        <v>670</v>
      </c>
      <c r="F570" s="684" t="str">
        <f>+VLOOKUP(G570,Resumen_Base!$C$8:$G$156,5,0)</f>
        <v>Food &amp; Wine</v>
      </c>
      <c r="G570" s="152" t="s">
        <v>37</v>
      </c>
      <c r="H570" s="474" t="s">
        <v>36</v>
      </c>
      <c r="I570" s="152" t="str">
        <f t="shared" si="8"/>
        <v>SJ5250</v>
      </c>
      <c r="J570" s="847">
        <v>-1292.5999999999999</v>
      </c>
      <c r="K570" s="513">
        <v>-0.92</v>
      </c>
      <c r="L570" s="513">
        <v>1405</v>
      </c>
      <c r="M570" s="152" t="s">
        <v>7116</v>
      </c>
      <c r="N570" s="513" t="s">
        <v>780</v>
      </c>
      <c r="O570" s="513" t="s">
        <v>781</v>
      </c>
      <c r="P570" s="513" t="s">
        <v>7129</v>
      </c>
      <c r="Q570" s="518" t="s">
        <v>7101</v>
      </c>
      <c r="R570" s="152" t="s">
        <v>7130</v>
      </c>
      <c r="S570" s="152" t="s">
        <v>7138</v>
      </c>
      <c r="T570" s="152" t="s">
        <v>7131</v>
      </c>
      <c r="U570" s="152" t="s">
        <v>786</v>
      </c>
    </row>
    <row r="571" spans="4:21">
      <c r="D571" s="210"/>
      <c r="E571" s="210" t="s">
        <v>670</v>
      </c>
      <c r="F571" s="684" t="str">
        <f>+VLOOKUP(G571,Resumen_Base!$C$8:$G$156,5,0)</f>
        <v>Food &amp; Wine</v>
      </c>
      <c r="G571" s="152" t="s">
        <v>37</v>
      </c>
      <c r="H571" s="474" t="s">
        <v>36</v>
      </c>
      <c r="I571" s="152" t="str">
        <f t="shared" si="8"/>
        <v>SJ5250</v>
      </c>
      <c r="J571" s="847">
        <v>-1053.75</v>
      </c>
      <c r="K571" s="513">
        <v>-0.75</v>
      </c>
      <c r="L571" s="513">
        <v>1405</v>
      </c>
      <c r="M571" s="152" t="s">
        <v>7116</v>
      </c>
      <c r="N571" s="513" t="s">
        <v>780</v>
      </c>
      <c r="O571" s="513" t="s">
        <v>781</v>
      </c>
      <c r="P571" s="513" t="s">
        <v>7129</v>
      </c>
      <c r="Q571" s="518" t="s">
        <v>7101</v>
      </c>
      <c r="R571" s="152" t="s">
        <v>7130</v>
      </c>
      <c r="S571" s="152" t="s">
        <v>7139</v>
      </c>
      <c r="T571" s="152" t="s">
        <v>7131</v>
      </c>
      <c r="U571" s="152" t="s">
        <v>786</v>
      </c>
    </row>
    <row r="572" spans="4:21">
      <c r="D572" s="210"/>
      <c r="E572" s="210" t="s">
        <v>670</v>
      </c>
      <c r="F572" s="684" t="str">
        <f>+VLOOKUP(G572,Resumen_Base!$C$8:$G$156,5,0)</f>
        <v>Food &amp; Wine</v>
      </c>
      <c r="G572" s="152" t="s">
        <v>37</v>
      </c>
      <c r="H572" s="474" t="s">
        <v>36</v>
      </c>
      <c r="I572" s="152" t="str">
        <f t="shared" si="8"/>
        <v>SJ5250</v>
      </c>
      <c r="J572" s="847">
        <v>-1405.8</v>
      </c>
      <c r="K572" s="513">
        <v>-0.99</v>
      </c>
      <c r="L572" s="513">
        <v>1420</v>
      </c>
      <c r="M572" s="152" t="s">
        <v>7143</v>
      </c>
      <c r="N572" s="513" t="s">
        <v>780</v>
      </c>
      <c r="O572" s="513" t="s">
        <v>781</v>
      </c>
      <c r="P572" s="513" t="s">
        <v>7154</v>
      </c>
      <c r="Q572" s="518" t="s">
        <v>7101</v>
      </c>
      <c r="R572" s="152" t="s">
        <v>7155</v>
      </c>
      <c r="S572" s="152" t="s">
        <v>7158</v>
      </c>
      <c r="T572" s="152" t="s">
        <v>7156</v>
      </c>
      <c r="U572" s="152" t="s">
        <v>786</v>
      </c>
    </row>
    <row r="573" spans="4:21">
      <c r="D573" s="210"/>
      <c r="E573" s="210" t="s">
        <v>670</v>
      </c>
      <c r="F573" s="684" t="str">
        <f>+VLOOKUP(G573,Resumen_Base!$C$8:$G$156,5,0)</f>
        <v>Food &amp; Wine</v>
      </c>
      <c r="G573" s="152" t="s">
        <v>37</v>
      </c>
      <c r="H573" s="474" t="s">
        <v>36</v>
      </c>
      <c r="I573" s="152" t="str">
        <f t="shared" si="8"/>
        <v>SJ5250</v>
      </c>
      <c r="J573" s="847">
        <v>26273.5</v>
      </c>
      <c r="K573" s="513">
        <v>18.7</v>
      </c>
      <c r="L573" s="513">
        <v>1405</v>
      </c>
      <c r="M573" s="152" t="s">
        <v>7116</v>
      </c>
      <c r="N573" s="513" t="s">
        <v>780</v>
      </c>
      <c r="O573" s="513" t="s">
        <v>781</v>
      </c>
      <c r="P573" s="513" t="s">
        <v>7179</v>
      </c>
      <c r="Q573" s="518" t="s">
        <v>7101</v>
      </c>
      <c r="R573" s="152" t="s">
        <v>7180</v>
      </c>
      <c r="S573" s="152" t="s">
        <v>7224</v>
      </c>
      <c r="T573" s="152" t="s">
        <v>7182</v>
      </c>
      <c r="U573" s="152" t="s">
        <v>786</v>
      </c>
    </row>
    <row r="574" spans="4:21">
      <c r="D574" s="210"/>
      <c r="E574" s="210" t="s">
        <v>670</v>
      </c>
      <c r="F574" s="684" t="str">
        <f>+VLOOKUP(G574,Resumen_Base!$C$8:$G$156,5,0)</f>
        <v>Food &amp; Wine</v>
      </c>
      <c r="G574" s="152" t="s">
        <v>37</v>
      </c>
      <c r="H574" s="474" t="s">
        <v>36</v>
      </c>
      <c r="I574" s="152" t="str">
        <f t="shared" si="8"/>
        <v>SJ5250</v>
      </c>
      <c r="J574" s="847">
        <v>205130</v>
      </c>
      <c r="K574" s="513">
        <v>146</v>
      </c>
      <c r="L574" s="513">
        <v>1405</v>
      </c>
      <c r="M574" s="152" t="s">
        <v>7116</v>
      </c>
      <c r="N574" s="513" t="s">
        <v>780</v>
      </c>
      <c r="O574" s="513" t="s">
        <v>781</v>
      </c>
      <c r="P574" s="513" t="s">
        <v>7418</v>
      </c>
      <c r="Q574" s="518" t="s">
        <v>7101</v>
      </c>
      <c r="R574" s="152" t="s">
        <v>7419</v>
      </c>
      <c r="S574" s="152" t="s">
        <v>7434</v>
      </c>
      <c r="T574" s="152" t="s">
        <v>7421</v>
      </c>
      <c r="U574" s="152" t="s">
        <v>786</v>
      </c>
    </row>
    <row r="575" spans="4:21">
      <c r="D575" s="210"/>
      <c r="E575" s="210" t="s">
        <v>670</v>
      </c>
      <c r="F575" s="684" t="str">
        <f>+VLOOKUP(G575,Resumen_Base!$C$8:$G$156,5,0)</f>
        <v>Food &amp; Wine</v>
      </c>
      <c r="G575" s="152" t="s">
        <v>37</v>
      </c>
      <c r="H575" s="474" t="s">
        <v>36</v>
      </c>
      <c r="I575" s="152" t="str">
        <f t="shared" si="8"/>
        <v>SJ5250</v>
      </c>
      <c r="J575" s="847">
        <v>2669.5</v>
      </c>
      <c r="K575" s="513">
        <v>1.9</v>
      </c>
      <c r="L575" s="513">
        <v>1405</v>
      </c>
      <c r="M575" s="152" t="s">
        <v>7116</v>
      </c>
      <c r="N575" s="513" t="s">
        <v>780</v>
      </c>
      <c r="O575" s="513" t="s">
        <v>781</v>
      </c>
      <c r="P575" s="513" t="s">
        <v>7418</v>
      </c>
      <c r="Q575" s="518" t="s">
        <v>7101</v>
      </c>
      <c r="R575" s="152" t="s">
        <v>7419</v>
      </c>
      <c r="S575" s="152" t="s">
        <v>953</v>
      </c>
      <c r="T575" s="152" t="s">
        <v>7421</v>
      </c>
      <c r="U575" s="152" t="s">
        <v>786</v>
      </c>
    </row>
    <row r="576" spans="4:21">
      <c r="D576" s="210"/>
      <c r="E576" s="210" t="s">
        <v>670</v>
      </c>
      <c r="F576" s="684" t="str">
        <f>+VLOOKUP(G576,Resumen_Base!$C$8:$G$156,5,0)</f>
        <v>Food &amp; Wine</v>
      </c>
      <c r="G576" s="152" t="s">
        <v>37</v>
      </c>
      <c r="H576" s="474" t="s">
        <v>36</v>
      </c>
      <c r="I576" s="152" t="str">
        <f t="shared" si="8"/>
        <v>SJ5250</v>
      </c>
      <c r="J576" s="847">
        <v>794232.45</v>
      </c>
      <c r="K576" s="513">
        <v>565.29</v>
      </c>
      <c r="L576" s="513">
        <v>1405</v>
      </c>
      <c r="M576" s="152" t="s">
        <v>7116</v>
      </c>
      <c r="N576" s="513" t="s">
        <v>780</v>
      </c>
      <c r="O576" s="513" t="s">
        <v>781</v>
      </c>
      <c r="P576" s="513" t="s">
        <v>7517</v>
      </c>
      <c r="Q576" s="518" t="s">
        <v>7101</v>
      </c>
      <c r="R576" s="152" t="s">
        <v>7518</v>
      </c>
      <c r="S576" s="152" t="s">
        <v>7521</v>
      </c>
      <c r="T576" s="152" t="s">
        <v>7520</v>
      </c>
      <c r="U576" s="152" t="s">
        <v>786</v>
      </c>
    </row>
    <row r="577" spans="4:21">
      <c r="D577" s="210"/>
      <c r="E577" s="210" t="s">
        <v>670</v>
      </c>
      <c r="F577" s="684" t="str">
        <f>+VLOOKUP(G577,Resumen_Base!$C$8:$G$156,5,0)</f>
        <v>Food &amp; Wine</v>
      </c>
      <c r="G577" s="152" t="s">
        <v>37</v>
      </c>
      <c r="H577" s="474" t="s">
        <v>36</v>
      </c>
      <c r="I577" s="152" t="str">
        <f t="shared" si="8"/>
        <v>SJ5250</v>
      </c>
      <c r="J577" s="847">
        <v>768956.5</v>
      </c>
      <c r="K577" s="513">
        <v>547.29999999999995</v>
      </c>
      <c r="L577" s="513">
        <v>1405</v>
      </c>
      <c r="M577" s="152" t="s">
        <v>7116</v>
      </c>
      <c r="N577" s="513" t="s">
        <v>780</v>
      </c>
      <c r="O577" s="513" t="s">
        <v>781</v>
      </c>
      <c r="P577" s="513" t="s">
        <v>7517</v>
      </c>
      <c r="Q577" s="518" t="s">
        <v>7101</v>
      </c>
      <c r="R577" s="152" t="s">
        <v>7518</v>
      </c>
      <c r="S577" s="152" t="s">
        <v>7574</v>
      </c>
      <c r="T577" s="152" t="s">
        <v>7520</v>
      </c>
      <c r="U577" s="152" t="s">
        <v>786</v>
      </c>
    </row>
    <row r="578" spans="4:21">
      <c r="D578" s="210"/>
      <c r="E578" s="210" t="s">
        <v>670</v>
      </c>
      <c r="F578" s="684" t="str">
        <f>+VLOOKUP(G578,Resumen_Base!$C$8:$G$156,5,0)</f>
        <v>Food &amp; Wine</v>
      </c>
      <c r="G578" s="152" t="s">
        <v>37</v>
      </c>
      <c r="H578" s="474" t="s">
        <v>36</v>
      </c>
      <c r="I578" s="152" t="str">
        <f t="shared" si="8"/>
        <v>SJ5250</v>
      </c>
      <c r="J578" s="847">
        <v>411988.15</v>
      </c>
      <c r="K578" s="513">
        <v>293.23</v>
      </c>
      <c r="L578" s="513">
        <v>1405</v>
      </c>
      <c r="M578" s="152" t="s">
        <v>7116</v>
      </c>
      <c r="N578" s="513" t="s">
        <v>780</v>
      </c>
      <c r="O578" s="513" t="s">
        <v>781</v>
      </c>
      <c r="P578" s="513" t="s">
        <v>7517</v>
      </c>
      <c r="Q578" s="518" t="s">
        <v>7101</v>
      </c>
      <c r="R578" s="152" t="s">
        <v>7518</v>
      </c>
      <c r="S578" s="152" t="s">
        <v>7584</v>
      </c>
      <c r="T578" s="152" t="s">
        <v>7520</v>
      </c>
      <c r="U578" s="152" t="s">
        <v>786</v>
      </c>
    </row>
    <row r="579" spans="4:21">
      <c r="D579" s="210"/>
      <c r="E579" s="210" t="s">
        <v>670</v>
      </c>
      <c r="F579" s="684" t="str">
        <f>+VLOOKUP(G579,Resumen_Base!$C$8:$G$156,5,0)</f>
        <v>Food &amp; Wine</v>
      </c>
      <c r="G579" s="152" t="s">
        <v>37</v>
      </c>
      <c r="H579" s="474" t="s">
        <v>36</v>
      </c>
      <c r="I579" s="152" t="str">
        <f t="shared" si="8"/>
        <v>SJ5250</v>
      </c>
      <c r="J579" s="847">
        <v>24418.9</v>
      </c>
      <c r="K579" s="513">
        <v>17.38</v>
      </c>
      <c r="L579" s="513">
        <v>1405</v>
      </c>
      <c r="M579" s="152" t="s">
        <v>7116</v>
      </c>
      <c r="N579" s="513" t="s">
        <v>780</v>
      </c>
      <c r="O579" s="513" t="s">
        <v>781</v>
      </c>
      <c r="P579" s="513" t="s">
        <v>7517</v>
      </c>
      <c r="Q579" s="518" t="s">
        <v>7101</v>
      </c>
      <c r="R579" s="152" t="s">
        <v>7518</v>
      </c>
      <c r="S579" s="152" t="s">
        <v>7585</v>
      </c>
      <c r="T579" s="152" t="s">
        <v>7520</v>
      </c>
      <c r="U579" s="152" t="s">
        <v>786</v>
      </c>
    </row>
    <row r="580" spans="4:21">
      <c r="D580" s="210"/>
      <c r="E580" s="210" t="s">
        <v>670</v>
      </c>
      <c r="F580" s="684" t="str">
        <f>+VLOOKUP(G580,Resumen_Base!$C$8:$G$156,5,0)</f>
        <v>Food &amp; Wine</v>
      </c>
      <c r="G580" s="152" t="s">
        <v>37</v>
      </c>
      <c r="H580" s="474" t="s">
        <v>36</v>
      </c>
      <c r="I580" s="152" t="str">
        <f t="shared" si="8"/>
        <v>SJ5250</v>
      </c>
      <c r="J580" s="847">
        <v>275717.2</v>
      </c>
      <c r="K580" s="513">
        <v>196.24</v>
      </c>
      <c r="L580" s="513">
        <v>1405</v>
      </c>
      <c r="M580" s="152" t="s">
        <v>7116</v>
      </c>
      <c r="N580" s="513" t="s">
        <v>780</v>
      </c>
      <c r="O580" s="513" t="s">
        <v>781</v>
      </c>
      <c r="P580" s="513" t="s">
        <v>7517</v>
      </c>
      <c r="Q580" s="518" t="s">
        <v>7101</v>
      </c>
      <c r="R580" s="152" t="s">
        <v>7518</v>
      </c>
      <c r="S580" s="152" t="s">
        <v>7586</v>
      </c>
      <c r="T580" s="152" t="s">
        <v>7520</v>
      </c>
      <c r="U580" s="152" t="s">
        <v>786</v>
      </c>
    </row>
    <row r="581" spans="4:21">
      <c r="D581" s="210"/>
      <c r="E581" s="210" t="s">
        <v>670</v>
      </c>
      <c r="F581" s="684" t="str">
        <f>+VLOOKUP(G581,Resumen_Base!$C$8:$G$156,5,0)</f>
        <v>Food &amp; Wine</v>
      </c>
      <c r="G581" s="152" t="s">
        <v>37</v>
      </c>
      <c r="H581" s="474" t="s">
        <v>36</v>
      </c>
      <c r="I581" s="152" t="str">
        <f t="shared" si="8"/>
        <v>SJ5250</v>
      </c>
      <c r="J581" s="847">
        <v>1601.7</v>
      </c>
      <c r="K581" s="513">
        <v>1.1399999999999999</v>
      </c>
      <c r="L581" s="513">
        <v>1405</v>
      </c>
      <c r="M581" s="152" t="s">
        <v>7116</v>
      </c>
      <c r="N581" s="513" t="s">
        <v>780</v>
      </c>
      <c r="O581" s="513" t="s">
        <v>781</v>
      </c>
      <c r="P581" s="513" t="s">
        <v>7517</v>
      </c>
      <c r="Q581" s="518" t="s">
        <v>7101</v>
      </c>
      <c r="R581" s="152" t="s">
        <v>7518</v>
      </c>
      <c r="S581" s="152" t="s">
        <v>953</v>
      </c>
      <c r="T581" s="152" t="s">
        <v>7520</v>
      </c>
      <c r="U581" s="152" t="s">
        <v>786</v>
      </c>
    </row>
    <row r="582" spans="4:21">
      <c r="D582" s="210"/>
      <c r="E582" s="210" t="s">
        <v>670</v>
      </c>
      <c r="F582" s="684" t="str">
        <f>+VLOOKUP(G582,Resumen_Base!$C$8:$G$156,5,0)</f>
        <v>Food &amp; Wine</v>
      </c>
      <c r="G582" s="152" t="s">
        <v>37</v>
      </c>
      <c r="H582" s="474" t="s">
        <v>36</v>
      </c>
      <c r="I582" s="152" t="str">
        <f t="shared" si="8"/>
        <v>SJ5250</v>
      </c>
      <c r="J582" s="847">
        <v>1274672.2</v>
      </c>
      <c r="K582" s="513">
        <v>907.24</v>
      </c>
      <c r="L582" s="513">
        <v>1405</v>
      </c>
      <c r="M582" s="152" t="s">
        <v>7116</v>
      </c>
      <c r="N582" s="513" t="s">
        <v>780</v>
      </c>
      <c r="O582" s="513" t="s">
        <v>781</v>
      </c>
      <c r="P582" s="513" t="s">
        <v>7517</v>
      </c>
      <c r="Q582" s="518" t="s">
        <v>7101</v>
      </c>
      <c r="R582" s="152" t="s">
        <v>7518</v>
      </c>
      <c r="S582" s="152" t="s">
        <v>7571</v>
      </c>
      <c r="T582" s="152" t="s">
        <v>7520</v>
      </c>
      <c r="U582" s="152" t="s">
        <v>786</v>
      </c>
    </row>
    <row r="583" spans="4:21">
      <c r="D583" s="210"/>
      <c r="E583" s="210" t="s">
        <v>670</v>
      </c>
      <c r="F583" s="684" t="str">
        <f>+VLOOKUP(G583,Resumen_Base!$C$8:$G$156,5,0)</f>
        <v>Food &amp; Wine</v>
      </c>
      <c r="G583" s="152" t="s">
        <v>37</v>
      </c>
      <c r="H583" s="474" t="s">
        <v>36</v>
      </c>
      <c r="I583" s="152" t="str">
        <f t="shared" si="8"/>
        <v>SJ5250</v>
      </c>
      <c r="J583" s="847">
        <v>2697.6</v>
      </c>
      <c r="K583" s="513">
        <v>1.92</v>
      </c>
      <c r="L583" s="513">
        <v>1405</v>
      </c>
      <c r="M583" s="152" t="s">
        <v>7116</v>
      </c>
      <c r="N583" s="513" t="s">
        <v>780</v>
      </c>
      <c r="O583" s="513" t="s">
        <v>781</v>
      </c>
      <c r="P583" s="513" t="s">
        <v>7517</v>
      </c>
      <c r="Q583" s="518" t="s">
        <v>7101</v>
      </c>
      <c r="R583" s="152" t="s">
        <v>7518</v>
      </c>
      <c r="S583" s="152" t="s">
        <v>953</v>
      </c>
      <c r="T583" s="152" t="s">
        <v>7520</v>
      </c>
      <c r="U583" s="152" t="s">
        <v>786</v>
      </c>
    </row>
    <row r="584" spans="4:21">
      <c r="D584" s="210"/>
      <c r="E584" s="210" t="s">
        <v>670</v>
      </c>
      <c r="F584" s="684" t="str">
        <f>+VLOOKUP(G584,Resumen_Base!$C$8:$G$156,5,0)</f>
        <v>Food &amp; Wine</v>
      </c>
      <c r="G584" s="152" t="s">
        <v>37</v>
      </c>
      <c r="H584" s="474" t="s">
        <v>36</v>
      </c>
      <c r="I584" s="152" t="str">
        <f t="shared" si="8"/>
        <v>SJ5250</v>
      </c>
      <c r="J584" s="847">
        <v>574715.25</v>
      </c>
      <c r="K584" s="513">
        <v>409.05</v>
      </c>
      <c r="L584" s="513">
        <v>1405</v>
      </c>
      <c r="M584" s="152" t="s">
        <v>7116</v>
      </c>
      <c r="N584" s="513" t="s">
        <v>780</v>
      </c>
      <c r="O584" s="513" t="s">
        <v>781</v>
      </c>
      <c r="P584" s="513" t="s">
        <v>7517</v>
      </c>
      <c r="Q584" s="518" t="s">
        <v>7101</v>
      </c>
      <c r="R584" s="152" t="s">
        <v>7518</v>
      </c>
      <c r="S584" s="152" t="s">
        <v>7561</v>
      </c>
      <c r="T584" s="152" t="s">
        <v>7520</v>
      </c>
      <c r="U584" s="152" t="s">
        <v>786</v>
      </c>
    </row>
    <row r="585" spans="4:21">
      <c r="D585" s="210"/>
      <c r="E585" s="210" t="s">
        <v>670</v>
      </c>
      <c r="F585" s="684" t="str">
        <f>+VLOOKUP(G585,Resumen_Base!$C$8:$G$156,5,0)</f>
        <v>Food &amp; Wine</v>
      </c>
      <c r="G585" s="152" t="s">
        <v>37</v>
      </c>
      <c r="H585" s="474" t="s">
        <v>36</v>
      </c>
      <c r="I585" s="152" t="str">
        <f t="shared" si="8"/>
        <v>SJ5250</v>
      </c>
      <c r="J585" s="847">
        <v>2739.75</v>
      </c>
      <c r="K585" s="513">
        <v>1.95</v>
      </c>
      <c r="L585" s="513">
        <v>1405</v>
      </c>
      <c r="M585" s="152" t="s">
        <v>7116</v>
      </c>
      <c r="N585" s="513" t="s">
        <v>780</v>
      </c>
      <c r="O585" s="513" t="s">
        <v>781</v>
      </c>
      <c r="P585" s="513" t="s">
        <v>7517</v>
      </c>
      <c r="Q585" s="518" t="s">
        <v>7101</v>
      </c>
      <c r="R585" s="152" t="s">
        <v>7518</v>
      </c>
      <c r="S585" s="152" t="s">
        <v>953</v>
      </c>
      <c r="T585" s="152" t="s">
        <v>7520</v>
      </c>
      <c r="U585" s="152" t="s">
        <v>786</v>
      </c>
    </row>
    <row r="586" spans="4:21">
      <c r="D586" s="210"/>
      <c r="E586" s="210" t="s">
        <v>670</v>
      </c>
      <c r="F586" s="684" t="str">
        <f>+VLOOKUP(G586,Resumen_Base!$C$8:$G$156,5,0)</f>
        <v>Food &amp; Wine</v>
      </c>
      <c r="G586" s="152" t="s">
        <v>37</v>
      </c>
      <c r="H586" s="474" t="s">
        <v>36</v>
      </c>
      <c r="I586" s="152" t="str">
        <f t="shared" si="8"/>
        <v>SJ5250</v>
      </c>
      <c r="J586" s="847">
        <v>5999.35</v>
      </c>
      <c r="K586" s="513">
        <v>4.2699999999999996</v>
      </c>
      <c r="L586" s="513">
        <v>1405</v>
      </c>
      <c r="M586" s="152" t="s">
        <v>7116</v>
      </c>
      <c r="N586" s="513" t="s">
        <v>780</v>
      </c>
      <c r="O586" s="513" t="s">
        <v>781</v>
      </c>
      <c r="P586" s="513" t="s">
        <v>7517</v>
      </c>
      <c r="Q586" s="518" t="s">
        <v>7101</v>
      </c>
      <c r="R586" s="152" t="s">
        <v>7518</v>
      </c>
      <c r="S586" s="152" t="s">
        <v>7588</v>
      </c>
      <c r="T586" s="152" t="s">
        <v>7520</v>
      </c>
      <c r="U586" s="152" t="s">
        <v>786</v>
      </c>
    </row>
    <row r="587" spans="4:21">
      <c r="D587" s="210"/>
      <c r="E587" s="210" t="s">
        <v>670</v>
      </c>
      <c r="F587" s="684" t="str">
        <f>+VLOOKUP(G587,Resumen_Base!$C$8:$G$156,5,0)</f>
        <v>Food &amp; Wine</v>
      </c>
      <c r="G587" s="152" t="s">
        <v>37</v>
      </c>
      <c r="H587" s="474" t="s">
        <v>36</v>
      </c>
      <c r="I587" s="152" t="str">
        <f t="shared" si="8"/>
        <v>SJ5250</v>
      </c>
      <c r="J587" s="847">
        <v>173742.3</v>
      </c>
      <c r="K587" s="513">
        <v>123.66</v>
      </c>
      <c r="L587" s="513">
        <v>1405</v>
      </c>
      <c r="M587" s="152" t="s">
        <v>7116</v>
      </c>
      <c r="N587" s="513" t="s">
        <v>780</v>
      </c>
      <c r="O587" s="513" t="s">
        <v>781</v>
      </c>
      <c r="P587" s="513" t="s">
        <v>7517</v>
      </c>
      <c r="Q587" s="518" t="s">
        <v>7101</v>
      </c>
      <c r="R587" s="152" t="s">
        <v>7518</v>
      </c>
      <c r="S587" s="152" t="s">
        <v>7589</v>
      </c>
      <c r="T587" s="152" t="s">
        <v>7520</v>
      </c>
      <c r="U587" s="152" t="s">
        <v>786</v>
      </c>
    </row>
    <row r="588" spans="4:21">
      <c r="D588" s="210"/>
      <c r="E588" s="210" t="s">
        <v>670</v>
      </c>
      <c r="F588" s="684" t="str">
        <f>+VLOOKUP(G588,Resumen_Base!$C$8:$G$156,5,0)</f>
        <v>Food &amp; Wine</v>
      </c>
      <c r="G588" s="152" t="s">
        <v>37</v>
      </c>
      <c r="H588" s="474" t="s">
        <v>36</v>
      </c>
      <c r="I588" s="152" t="str">
        <f t="shared" si="8"/>
        <v>SJ5250</v>
      </c>
      <c r="J588" s="847">
        <v>2697.6</v>
      </c>
      <c r="K588" s="513">
        <v>1.92</v>
      </c>
      <c r="L588" s="513">
        <v>1405</v>
      </c>
      <c r="M588" s="152" t="s">
        <v>7116</v>
      </c>
      <c r="N588" s="513" t="s">
        <v>780</v>
      </c>
      <c r="O588" s="513" t="s">
        <v>781</v>
      </c>
      <c r="P588" s="513" t="s">
        <v>7517</v>
      </c>
      <c r="Q588" s="518" t="s">
        <v>7101</v>
      </c>
      <c r="R588" s="152" t="s">
        <v>7518</v>
      </c>
      <c r="S588" s="152" t="s">
        <v>953</v>
      </c>
      <c r="T588" s="152" t="s">
        <v>7520</v>
      </c>
      <c r="U588" s="152" t="s">
        <v>786</v>
      </c>
    </row>
    <row r="589" spans="4:21">
      <c r="D589" s="210"/>
      <c r="E589" s="210" t="s">
        <v>670</v>
      </c>
      <c r="F589" s="684" t="str">
        <f>+VLOOKUP(G589,Resumen_Base!$C$8:$G$156,5,0)</f>
        <v>Food &amp; Wine</v>
      </c>
      <c r="G589" s="152" t="s">
        <v>37</v>
      </c>
      <c r="H589" s="474" t="s">
        <v>36</v>
      </c>
      <c r="I589" s="152" t="str">
        <f t="shared" ref="I589:I652" si="9">+E589&amp;G589</f>
        <v>SJ5250</v>
      </c>
      <c r="J589" s="847">
        <v>125129.3</v>
      </c>
      <c r="K589" s="513">
        <v>89.06</v>
      </c>
      <c r="L589" s="513">
        <v>1405</v>
      </c>
      <c r="M589" s="152" t="s">
        <v>7116</v>
      </c>
      <c r="N589" s="513" t="s">
        <v>780</v>
      </c>
      <c r="O589" s="513" t="s">
        <v>781</v>
      </c>
      <c r="P589" s="513" t="s">
        <v>7517</v>
      </c>
      <c r="Q589" s="518" t="s">
        <v>7101</v>
      </c>
      <c r="R589" s="152" t="s">
        <v>7518</v>
      </c>
      <c r="S589" s="152" t="s">
        <v>7575</v>
      </c>
      <c r="T589" s="152" t="s">
        <v>7520</v>
      </c>
      <c r="U589" s="152" t="s">
        <v>786</v>
      </c>
    </row>
    <row r="590" spans="4:21">
      <c r="D590" s="210"/>
      <c r="E590" s="210" t="s">
        <v>670</v>
      </c>
      <c r="F590" s="684" t="str">
        <f>+VLOOKUP(G590,Resumen_Base!$C$8:$G$156,5,0)</f>
        <v>Food &amp; Wine</v>
      </c>
      <c r="G590" s="152" t="s">
        <v>37</v>
      </c>
      <c r="H590" s="474" t="s">
        <v>36</v>
      </c>
      <c r="I590" s="152" t="str">
        <f t="shared" si="9"/>
        <v>SJ5250</v>
      </c>
      <c r="J590" s="847">
        <v>103351.8</v>
      </c>
      <c r="K590" s="513">
        <v>73.56</v>
      </c>
      <c r="L590" s="513">
        <v>1405</v>
      </c>
      <c r="M590" s="152" t="s">
        <v>7116</v>
      </c>
      <c r="N590" s="513" t="s">
        <v>780</v>
      </c>
      <c r="O590" s="513" t="s">
        <v>781</v>
      </c>
      <c r="P590" s="513" t="s">
        <v>7517</v>
      </c>
      <c r="Q590" s="518" t="s">
        <v>7101</v>
      </c>
      <c r="R590" s="152" t="s">
        <v>7518</v>
      </c>
      <c r="S590" s="152" t="s">
        <v>7590</v>
      </c>
      <c r="T590" s="152" t="s">
        <v>7520</v>
      </c>
      <c r="U590" s="152" t="s">
        <v>786</v>
      </c>
    </row>
    <row r="591" spans="4:21">
      <c r="D591" s="210"/>
      <c r="E591" s="210" t="s">
        <v>670</v>
      </c>
      <c r="F591" s="684" t="str">
        <f>+VLOOKUP(G591,Resumen_Base!$C$8:$G$156,5,0)</f>
        <v>Food &amp; Wine</v>
      </c>
      <c r="G591" s="152" t="s">
        <v>37</v>
      </c>
      <c r="H591" s="474" t="s">
        <v>36</v>
      </c>
      <c r="I591" s="152" t="str">
        <f t="shared" si="9"/>
        <v>SJ5250</v>
      </c>
      <c r="J591" s="847">
        <v>2387432.2000000002</v>
      </c>
      <c r="K591" s="513">
        <v>1699.24</v>
      </c>
      <c r="L591" s="513">
        <v>1405</v>
      </c>
      <c r="M591" s="152" t="s">
        <v>7116</v>
      </c>
      <c r="N591" s="513" t="s">
        <v>780</v>
      </c>
      <c r="O591" s="513" t="s">
        <v>781</v>
      </c>
      <c r="P591" s="513" t="s">
        <v>7517</v>
      </c>
      <c r="Q591" s="518" t="s">
        <v>7101</v>
      </c>
      <c r="R591" s="152" t="s">
        <v>7518</v>
      </c>
      <c r="S591" s="152" t="s">
        <v>7591</v>
      </c>
      <c r="T591" s="152" t="s">
        <v>7520</v>
      </c>
      <c r="U591" s="152" t="s">
        <v>786</v>
      </c>
    </row>
    <row r="592" spans="4:21">
      <c r="D592" s="210"/>
      <c r="E592" s="210" t="s">
        <v>670</v>
      </c>
      <c r="F592" s="684" t="str">
        <f>+VLOOKUP(G592,Resumen_Base!$C$8:$G$156,5,0)</f>
        <v>Food &amp; Wine</v>
      </c>
      <c r="G592" s="152" t="s">
        <v>37</v>
      </c>
      <c r="H592" s="474" t="s">
        <v>36</v>
      </c>
      <c r="I592" s="152" t="str">
        <f t="shared" si="9"/>
        <v>SJ5250</v>
      </c>
      <c r="J592" s="847">
        <v>2697.6</v>
      </c>
      <c r="K592" s="513">
        <v>1.92</v>
      </c>
      <c r="L592" s="513">
        <v>1405</v>
      </c>
      <c r="M592" s="152" t="s">
        <v>7116</v>
      </c>
      <c r="N592" s="513" t="s">
        <v>780</v>
      </c>
      <c r="O592" s="513" t="s">
        <v>781</v>
      </c>
      <c r="P592" s="513" t="s">
        <v>7517</v>
      </c>
      <c r="Q592" s="518" t="s">
        <v>7101</v>
      </c>
      <c r="R592" s="152" t="s">
        <v>7518</v>
      </c>
      <c r="S592" s="152" t="s">
        <v>953</v>
      </c>
      <c r="T592" s="152" t="s">
        <v>7520</v>
      </c>
      <c r="U592" s="152" t="s">
        <v>786</v>
      </c>
    </row>
    <row r="593" spans="4:21">
      <c r="D593" s="210"/>
      <c r="E593" s="210" t="s">
        <v>670</v>
      </c>
      <c r="F593" s="684" t="str">
        <f>+VLOOKUP(G593,Resumen_Base!$C$8:$G$156,5,0)</f>
        <v>Food &amp; Wine</v>
      </c>
      <c r="G593" s="152" t="s">
        <v>37</v>
      </c>
      <c r="H593" s="474" t="s">
        <v>36</v>
      </c>
      <c r="I593" s="152" t="str">
        <f t="shared" si="9"/>
        <v>SJ5250</v>
      </c>
      <c r="J593" s="847">
        <v>239496.3</v>
      </c>
      <c r="K593" s="513">
        <v>170.46</v>
      </c>
      <c r="L593" s="513">
        <v>1405</v>
      </c>
      <c r="M593" s="152" t="s">
        <v>7116</v>
      </c>
      <c r="N593" s="513" t="s">
        <v>780</v>
      </c>
      <c r="O593" s="513" t="s">
        <v>781</v>
      </c>
      <c r="P593" s="513" t="s">
        <v>7517</v>
      </c>
      <c r="Q593" s="518" t="s">
        <v>7101</v>
      </c>
      <c r="R593" s="152" t="s">
        <v>7518</v>
      </c>
      <c r="S593" s="152" t="s">
        <v>7592</v>
      </c>
      <c r="T593" s="152" t="s">
        <v>7520</v>
      </c>
      <c r="U593" s="152" t="s">
        <v>786</v>
      </c>
    </row>
    <row r="594" spans="4:21">
      <c r="D594" s="210"/>
      <c r="E594" s="210" t="s">
        <v>670</v>
      </c>
      <c r="F594" s="684" t="str">
        <f>+VLOOKUP(G594,Resumen_Base!$C$8:$G$156,5,0)</f>
        <v>Food &amp; Wine</v>
      </c>
      <c r="G594" s="152" t="s">
        <v>37</v>
      </c>
      <c r="H594" s="474" t="s">
        <v>36</v>
      </c>
      <c r="I594" s="152" t="str">
        <f t="shared" si="9"/>
        <v>SJ5250</v>
      </c>
      <c r="J594" s="847">
        <v>79017.2</v>
      </c>
      <c r="K594" s="513">
        <v>56.24</v>
      </c>
      <c r="L594" s="513">
        <v>1405</v>
      </c>
      <c r="M594" s="152" t="s">
        <v>7116</v>
      </c>
      <c r="N594" s="513" t="s">
        <v>780</v>
      </c>
      <c r="O594" s="513" t="s">
        <v>781</v>
      </c>
      <c r="P594" s="513" t="s">
        <v>7517</v>
      </c>
      <c r="Q594" s="518" t="s">
        <v>7101</v>
      </c>
      <c r="R594" s="152" t="s">
        <v>7518</v>
      </c>
      <c r="S594" s="152" t="s">
        <v>7593</v>
      </c>
      <c r="T594" s="152" t="s">
        <v>7520</v>
      </c>
      <c r="U594" s="152" t="s">
        <v>786</v>
      </c>
    </row>
    <row r="595" spans="4:21">
      <c r="D595" s="210"/>
      <c r="E595" s="210" t="s">
        <v>670</v>
      </c>
      <c r="F595" s="684" t="str">
        <f>+VLOOKUP(G595,Resumen_Base!$C$8:$G$156,5,0)</f>
        <v>Food &amp; Wine</v>
      </c>
      <c r="G595" s="152" t="s">
        <v>37</v>
      </c>
      <c r="H595" s="474" t="s">
        <v>36</v>
      </c>
      <c r="I595" s="152" t="str">
        <f t="shared" si="9"/>
        <v>SJ5250</v>
      </c>
      <c r="J595" s="847">
        <v>16269.9</v>
      </c>
      <c r="K595" s="513">
        <v>11.58</v>
      </c>
      <c r="L595" s="513">
        <v>1405</v>
      </c>
      <c r="M595" s="152" t="s">
        <v>7116</v>
      </c>
      <c r="N595" s="513" t="s">
        <v>780</v>
      </c>
      <c r="O595" s="513" t="s">
        <v>781</v>
      </c>
      <c r="P595" s="513" t="s">
        <v>7517</v>
      </c>
      <c r="Q595" s="518" t="s">
        <v>7101</v>
      </c>
      <c r="R595" s="152" t="s">
        <v>7518</v>
      </c>
      <c r="S595" s="152" t="s">
        <v>7594</v>
      </c>
      <c r="T595" s="152" t="s">
        <v>7520</v>
      </c>
      <c r="U595" s="152" t="s">
        <v>786</v>
      </c>
    </row>
    <row r="596" spans="4:21">
      <c r="D596" s="210"/>
      <c r="E596" s="210" t="s">
        <v>670</v>
      </c>
      <c r="F596" s="684" t="str">
        <f>+VLOOKUP(G596,Resumen_Base!$C$8:$G$156,5,0)</f>
        <v>Food &amp; Wine</v>
      </c>
      <c r="G596" s="152" t="s">
        <v>37</v>
      </c>
      <c r="H596" s="474" t="s">
        <v>36</v>
      </c>
      <c r="I596" s="152" t="str">
        <f t="shared" si="9"/>
        <v>SJ5250</v>
      </c>
      <c r="J596" s="847">
        <v>114466.2</v>
      </c>
      <c r="K596" s="513">
        <v>80.61</v>
      </c>
      <c r="L596" s="513">
        <v>1420</v>
      </c>
      <c r="M596" s="152" t="s">
        <v>7143</v>
      </c>
      <c r="N596" s="513" t="s">
        <v>780</v>
      </c>
      <c r="O596" s="513" t="s">
        <v>781</v>
      </c>
      <c r="P596" s="513" t="s">
        <v>7653</v>
      </c>
      <c r="Q596" s="518" t="s">
        <v>7101</v>
      </c>
      <c r="R596" s="152" t="s">
        <v>7654</v>
      </c>
      <c r="S596" s="152" t="s">
        <v>7662</v>
      </c>
      <c r="T596" s="152" t="s">
        <v>7655</v>
      </c>
      <c r="U596" s="152" t="s">
        <v>786</v>
      </c>
    </row>
    <row r="597" spans="4:21">
      <c r="D597" s="210"/>
      <c r="E597" s="210" t="s">
        <v>670</v>
      </c>
      <c r="F597" s="684" t="str">
        <f>+VLOOKUP(G597,Resumen_Base!$C$8:$G$156,5,0)</f>
        <v>Food &amp; Wine</v>
      </c>
      <c r="G597" s="152" t="s">
        <v>37</v>
      </c>
      <c r="H597" s="474" t="s">
        <v>36</v>
      </c>
      <c r="I597" s="152" t="str">
        <f t="shared" si="9"/>
        <v>SJ5250</v>
      </c>
      <c r="J597" s="847">
        <v>2698</v>
      </c>
      <c r="K597" s="513">
        <v>1.9</v>
      </c>
      <c r="L597" s="513">
        <v>1420</v>
      </c>
      <c r="M597" s="152" t="s">
        <v>7143</v>
      </c>
      <c r="N597" s="513" t="s">
        <v>780</v>
      </c>
      <c r="O597" s="513" t="s">
        <v>781</v>
      </c>
      <c r="P597" s="513" t="s">
        <v>7653</v>
      </c>
      <c r="Q597" s="518" t="s">
        <v>7101</v>
      </c>
      <c r="R597" s="152" t="s">
        <v>7654</v>
      </c>
      <c r="S597" s="152" t="s">
        <v>953</v>
      </c>
      <c r="T597" s="152" t="s">
        <v>7655</v>
      </c>
      <c r="U597" s="152" t="s">
        <v>786</v>
      </c>
    </row>
    <row r="598" spans="4:21">
      <c r="D598" s="210"/>
      <c r="E598" s="210" t="s">
        <v>670</v>
      </c>
      <c r="F598" s="684" t="str">
        <f>+VLOOKUP(G598,Resumen_Base!$C$8:$G$156,5,0)</f>
        <v>Food &amp; Wine</v>
      </c>
      <c r="G598" s="152" t="s">
        <v>37</v>
      </c>
      <c r="H598" s="474" t="s">
        <v>36</v>
      </c>
      <c r="I598" s="152" t="str">
        <f t="shared" si="9"/>
        <v>SJ5250</v>
      </c>
      <c r="J598" s="847">
        <v>525400</v>
      </c>
      <c r="K598" s="513">
        <v>370</v>
      </c>
      <c r="L598" s="513">
        <v>1420</v>
      </c>
      <c r="M598" s="152" t="s">
        <v>7143</v>
      </c>
      <c r="N598" s="513" t="s">
        <v>780</v>
      </c>
      <c r="O598" s="513" t="s">
        <v>781</v>
      </c>
      <c r="P598" s="513" t="s">
        <v>7653</v>
      </c>
      <c r="Q598" s="518" t="s">
        <v>7101</v>
      </c>
      <c r="R598" s="152" t="s">
        <v>7654</v>
      </c>
      <c r="S598" s="152" t="s">
        <v>7659</v>
      </c>
      <c r="T598" s="152" t="s">
        <v>7655</v>
      </c>
      <c r="U598" s="152" t="s">
        <v>786</v>
      </c>
    </row>
    <row r="599" spans="4:21">
      <c r="D599" s="210"/>
      <c r="E599" s="210" t="s">
        <v>670</v>
      </c>
      <c r="F599" s="684" t="str">
        <f>+VLOOKUP(G599,Resumen_Base!$C$8:$G$156,5,0)</f>
        <v>Food &amp; Wine</v>
      </c>
      <c r="G599" s="152" t="s">
        <v>37</v>
      </c>
      <c r="H599" s="474" t="s">
        <v>36</v>
      </c>
      <c r="I599" s="152" t="str">
        <f t="shared" si="9"/>
        <v>SJ5250</v>
      </c>
      <c r="J599" s="847">
        <v>38964.800000000003</v>
      </c>
      <c r="K599" s="513">
        <v>27.44</v>
      </c>
      <c r="L599" s="513">
        <v>1420</v>
      </c>
      <c r="M599" s="152" t="s">
        <v>7143</v>
      </c>
      <c r="N599" s="513" t="s">
        <v>780</v>
      </c>
      <c r="O599" s="513" t="s">
        <v>781</v>
      </c>
      <c r="P599" s="513" t="s">
        <v>7664</v>
      </c>
      <c r="Q599" s="518" t="s">
        <v>7101</v>
      </c>
      <c r="R599" s="152" t="s">
        <v>7665</v>
      </c>
      <c r="S599" s="152" t="s">
        <v>7671</v>
      </c>
      <c r="T599" s="152" t="s">
        <v>7667</v>
      </c>
      <c r="U599" s="152" t="s">
        <v>786</v>
      </c>
    </row>
    <row r="600" spans="4:21">
      <c r="D600" s="210"/>
      <c r="E600" s="210" t="s">
        <v>670</v>
      </c>
      <c r="F600" s="684" t="str">
        <f>+VLOOKUP(G600,Resumen_Base!$C$8:$G$156,5,0)</f>
        <v>Food &amp; Wine</v>
      </c>
      <c r="G600" s="152" t="s">
        <v>37</v>
      </c>
      <c r="H600" s="474" t="s">
        <v>36</v>
      </c>
      <c r="I600" s="152" t="str">
        <f t="shared" si="9"/>
        <v>SJ5250</v>
      </c>
      <c r="J600" s="847">
        <v>13674.6</v>
      </c>
      <c r="K600" s="513">
        <v>9.6300000000000008</v>
      </c>
      <c r="L600" s="513">
        <v>1420</v>
      </c>
      <c r="M600" s="152" t="s">
        <v>7143</v>
      </c>
      <c r="N600" s="513" t="s">
        <v>780</v>
      </c>
      <c r="O600" s="513" t="s">
        <v>781</v>
      </c>
      <c r="P600" s="513" t="s">
        <v>7664</v>
      </c>
      <c r="Q600" s="518" t="s">
        <v>7101</v>
      </c>
      <c r="R600" s="152" t="s">
        <v>7665</v>
      </c>
      <c r="S600" s="152" t="s">
        <v>7677</v>
      </c>
      <c r="T600" s="152" t="s">
        <v>7667</v>
      </c>
      <c r="U600" s="152" t="s">
        <v>786</v>
      </c>
    </row>
    <row r="601" spans="4:21">
      <c r="D601" s="210"/>
      <c r="E601" s="210" t="s">
        <v>670</v>
      </c>
      <c r="F601" s="684" t="str">
        <f>+VLOOKUP(G601,Resumen_Base!$C$8:$G$156,5,0)</f>
        <v>Food &amp; Wine</v>
      </c>
      <c r="G601" s="152" t="s">
        <v>37</v>
      </c>
      <c r="H601" s="474" t="s">
        <v>36</v>
      </c>
      <c r="I601" s="152" t="str">
        <f t="shared" si="9"/>
        <v>SJ5250</v>
      </c>
      <c r="J601" s="847">
        <v>1604.6</v>
      </c>
      <c r="K601" s="513">
        <v>1.1299999999999999</v>
      </c>
      <c r="L601" s="513">
        <v>1420</v>
      </c>
      <c r="M601" s="152" t="s">
        <v>7143</v>
      </c>
      <c r="N601" s="513" t="s">
        <v>780</v>
      </c>
      <c r="O601" s="513" t="s">
        <v>781</v>
      </c>
      <c r="P601" s="513" t="s">
        <v>7664</v>
      </c>
      <c r="Q601" s="518" t="s">
        <v>7101</v>
      </c>
      <c r="R601" s="152" t="s">
        <v>7665</v>
      </c>
      <c r="S601" s="152" t="s">
        <v>7666</v>
      </c>
      <c r="T601" s="152" t="s">
        <v>7667</v>
      </c>
      <c r="U601" s="152" t="s">
        <v>786</v>
      </c>
    </row>
    <row r="602" spans="4:21">
      <c r="D602" s="210"/>
      <c r="E602" s="210" t="s">
        <v>670</v>
      </c>
      <c r="F602" s="684" t="str">
        <f>+VLOOKUP(G602,Resumen_Base!$C$8:$G$156,5,0)</f>
        <v>Food &amp; Wine</v>
      </c>
      <c r="G602" s="152" t="s">
        <v>37</v>
      </c>
      <c r="H602" s="474" t="s">
        <v>36</v>
      </c>
      <c r="I602" s="152" t="str">
        <f t="shared" si="9"/>
        <v>SJ5250</v>
      </c>
      <c r="J602" s="847">
        <v>716262.2</v>
      </c>
      <c r="K602" s="513">
        <v>504.41</v>
      </c>
      <c r="L602" s="513">
        <v>1420</v>
      </c>
      <c r="M602" s="152" t="s">
        <v>7143</v>
      </c>
      <c r="N602" s="513" t="s">
        <v>780</v>
      </c>
      <c r="O602" s="513" t="s">
        <v>781</v>
      </c>
      <c r="P602" s="513" t="s">
        <v>7664</v>
      </c>
      <c r="Q602" s="518" t="s">
        <v>7101</v>
      </c>
      <c r="R602" s="152" t="s">
        <v>7665</v>
      </c>
      <c r="S602" s="152" t="s">
        <v>7674</v>
      </c>
      <c r="T602" s="152" t="s">
        <v>7667</v>
      </c>
      <c r="U602" s="152" t="s">
        <v>786</v>
      </c>
    </row>
    <row r="603" spans="4:21">
      <c r="D603" s="210"/>
      <c r="E603" s="210" t="s">
        <v>670</v>
      </c>
      <c r="F603" s="684" t="str">
        <f>+VLOOKUP(G603,Resumen_Base!$C$8:$G$156,5,0)</f>
        <v>Food &amp; Wine</v>
      </c>
      <c r="G603" s="152" t="s">
        <v>37</v>
      </c>
      <c r="H603" s="474" t="s">
        <v>36</v>
      </c>
      <c r="I603" s="152" t="str">
        <f t="shared" si="9"/>
        <v>SJ5250</v>
      </c>
      <c r="J603" s="847">
        <v>2712.2</v>
      </c>
      <c r="K603" s="513">
        <v>1.91</v>
      </c>
      <c r="L603" s="513">
        <v>1420</v>
      </c>
      <c r="M603" s="152" t="s">
        <v>7143</v>
      </c>
      <c r="N603" s="513" t="s">
        <v>780</v>
      </c>
      <c r="O603" s="513" t="s">
        <v>781</v>
      </c>
      <c r="P603" s="513" t="s">
        <v>7664</v>
      </c>
      <c r="Q603" s="518" t="s">
        <v>7101</v>
      </c>
      <c r="R603" s="152" t="s">
        <v>7665</v>
      </c>
      <c r="S603" s="152" t="s">
        <v>953</v>
      </c>
      <c r="T603" s="152" t="s">
        <v>7667</v>
      </c>
      <c r="U603" s="152" t="s">
        <v>786</v>
      </c>
    </row>
    <row r="604" spans="4:21">
      <c r="D604" s="210"/>
      <c r="E604" s="210" t="s">
        <v>670</v>
      </c>
      <c r="F604" s="684" t="str">
        <f>+VLOOKUP(G604,Resumen_Base!$C$8:$G$156,5,0)</f>
        <v>Food &amp; Wine</v>
      </c>
      <c r="G604" s="152" t="s">
        <v>37</v>
      </c>
      <c r="H604" s="474" t="s">
        <v>36</v>
      </c>
      <c r="I604" s="152" t="str">
        <f t="shared" si="9"/>
        <v>SJ5250</v>
      </c>
      <c r="J604" s="847">
        <v>17011.599999999999</v>
      </c>
      <c r="K604" s="513">
        <v>11.98</v>
      </c>
      <c r="L604" s="513">
        <v>1420</v>
      </c>
      <c r="M604" s="152" t="s">
        <v>7143</v>
      </c>
      <c r="N604" s="513" t="s">
        <v>780</v>
      </c>
      <c r="O604" s="513" t="s">
        <v>781</v>
      </c>
      <c r="P604" s="513" t="s">
        <v>7664</v>
      </c>
      <c r="Q604" s="518" t="s">
        <v>7101</v>
      </c>
      <c r="R604" s="152" t="s">
        <v>7665</v>
      </c>
      <c r="S604" s="152" t="s">
        <v>7691</v>
      </c>
      <c r="T604" s="152" t="s">
        <v>7667</v>
      </c>
      <c r="U604" s="152" t="s">
        <v>786</v>
      </c>
    </row>
    <row r="605" spans="4:21">
      <c r="D605" s="210"/>
      <c r="E605" s="210" t="s">
        <v>670</v>
      </c>
      <c r="F605" s="684" t="str">
        <f>+VLOOKUP(G605,Resumen_Base!$C$8:$G$156,5,0)</f>
        <v>Food &amp; Wine</v>
      </c>
      <c r="G605" s="152" t="s">
        <v>37</v>
      </c>
      <c r="H605" s="474" t="s">
        <v>36</v>
      </c>
      <c r="I605" s="152" t="str">
        <f t="shared" si="9"/>
        <v>SJ5250</v>
      </c>
      <c r="J605" s="847">
        <v>214874.4</v>
      </c>
      <c r="K605" s="513">
        <v>151.32</v>
      </c>
      <c r="L605" s="513">
        <v>1420</v>
      </c>
      <c r="M605" s="152" t="s">
        <v>7143</v>
      </c>
      <c r="N605" s="513" t="s">
        <v>780</v>
      </c>
      <c r="O605" s="513" t="s">
        <v>781</v>
      </c>
      <c r="P605" s="513" t="s">
        <v>7664</v>
      </c>
      <c r="Q605" s="518" t="s">
        <v>7101</v>
      </c>
      <c r="R605" s="152" t="s">
        <v>7665</v>
      </c>
      <c r="S605" s="152" t="s">
        <v>7672</v>
      </c>
      <c r="T605" s="152" t="s">
        <v>7667</v>
      </c>
      <c r="U605" s="152" t="s">
        <v>786</v>
      </c>
    </row>
    <row r="606" spans="4:21">
      <c r="D606" s="210"/>
      <c r="E606" s="210" t="s">
        <v>676</v>
      </c>
      <c r="F606" s="684" t="str">
        <f>+VLOOKUP(G606,Resumen_Base!$C$8:$G$156,5,0)</f>
        <v>Food &amp; Wine</v>
      </c>
      <c r="G606" s="152" t="s">
        <v>37</v>
      </c>
      <c r="H606" s="474" t="s">
        <v>36</v>
      </c>
      <c r="I606" s="152" t="str">
        <f t="shared" si="9"/>
        <v>CAR5250</v>
      </c>
      <c r="J606" s="847">
        <v>38974.699999999997</v>
      </c>
      <c r="K606" s="513">
        <v>27.74</v>
      </c>
      <c r="L606" s="513">
        <v>1405</v>
      </c>
      <c r="M606" s="152" t="s">
        <v>7116</v>
      </c>
      <c r="N606" s="513" t="s">
        <v>780</v>
      </c>
      <c r="O606" s="513" t="s">
        <v>1407</v>
      </c>
      <c r="P606" s="513" t="s">
        <v>7179</v>
      </c>
      <c r="Q606" s="518" t="s">
        <v>7101</v>
      </c>
      <c r="R606" s="152" t="s">
        <v>7180</v>
      </c>
      <c r="S606" s="152" t="s">
        <v>7220</v>
      </c>
      <c r="T606" s="152" t="s">
        <v>7182</v>
      </c>
      <c r="U606" s="152" t="s">
        <v>786</v>
      </c>
    </row>
    <row r="607" spans="4:21">
      <c r="D607" s="210"/>
      <c r="E607" s="210" t="s">
        <v>676</v>
      </c>
      <c r="F607" s="684" t="str">
        <f>+VLOOKUP(G607,Resumen_Base!$C$8:$G$156,5,0)</f>
        <v>Food &amp; Wine</v>
      </c>
      <c r="G607" s="152" t="s">
        <v>37</v>
      </c>
      <c r="H607" s="474" t="s">
        <v>36</v>
      </c>
      <c r="I607" s="152" t="str">
        <f t="shared" si="9"/>
        <v>CAR5250</v>
      </c>
      <c r="J607" s="847">
        <v>25739.599999999999</v>
      </c>
      <c r="K607" s="513">
        <v>18.32</v>
      </c>
      <c r="L607" s="513">
        <v>1405</v>
      </c>
      <c r="M607" s="152" t="s">
        <v>7116</v>
      </c>
      <c r="N607" s="513" t="s">
        <v>780</v>
      </c>
      <c r="O607" s="513" t="s">
        <v>1407</v>
      </c>
      <c r="P607" s="513" t="s">
        <v>7179</v>
      </c>
      <c r="Q607" s="518" t="s">
        <v>7101</v>
      </c>
      <c r="R607" s="152" t="s">
        <v>7180</v>
      </c>
      <c r="S607" s="152" t="s">
        <v>7223</v>
      </c>
      <c r="T607" s="152" t="s">
        <v>7182</v>
      </c>
      <c r="U607" s="152" t="s">
        <v>786</v>
      </c>
    </row>
    <row r="608" spans="4:21">
      <c r="D608" s="210"/>
      <c r="E608" s="210" t="s">
        <v>676</v>
      </c>
      <c r="F608" s="684" t="str">
        <f>+VLOOKUP(G608,Resumen_Base!$C$8:$G$156,5,0)</f>
        <v>Food &amp; Wine</v>
      </c>
      <c r="G608" s="152" t="s">
        <v>37</v>
      </c>
      <c r="H608" s="474" t="s">
        <v>36</v>
      </c>
      <c r="I608" s="152" t="str">
        <f t="shared" si="9"/>
        <v>CAR5250</v>
      </c>
      <c r="J608" s="847">
        <v>197346.3</v>
      </c>
      <c r="K608" s="513">
        <v>140.46</v>
      </c>
      <c r="L608" s="513">
        <v>1405</v>
      </c>
      <c r="M608" s="152" t="s">
        <v>7116</v>
      </c>
      <c r="N608" s="513" t="s">
        <v>780</v>
      </c>
      <c r="O608" s="513" t="s">
        <v>1407</v>
      </c>
      <c r="P608" s="513" t="s">
        <v>7179</v>
      </c>
      <c r="Q608" s="518" t="s">
        <v>7101</v>
      </c>
      <c r="R608" s="152" t="s">
        <v>7180</v>
      </c>
      <c r="S608" s="152" t="s">
        <v>1661</v>
      </c>
      <c r="T608" s="152" t="s">
        <v>7182</v>
      </c>
      <c r="U608" s="152" t="s">
        <v>786</v>
      </c>
    </row>
    <row r="609" spans="4:21">
      <c r="D609" s="210"/>
      <c r="E609" s="210" t="s">
        <v>676</v>
      </c>
      <c r="F609" s="684" t="str">
        <f>+VLOOKUP(G609,Resumen_Base!$C$8:$G$156,5,0)</f>
        <v>Food &amp; Wine</v>
      </c>
      <c r="G609" s="152" t="s">
        <v>37</v>
      </c>
      <c r="H609" s="474" t="s">
        <v>36</v>
      </c>
      <c r="I609" s="152" t="str">
        <f t="shared" si="9"/>
        <v>CAR5250</v>
      </c>
      <c r="J609" s="847">
        <v>148368</v>
      </c>
      <c r="K609" s="513">
        <v>105.6</v>
      </c>
      <c r="L609" s="513">
        <v>1405</v>
      </c>
      <c r="M609" s="152" t="s">
        <v>7116</v>
      </c>
      <c r="N609" s="513" t="s">
        <v>780</v>
      </c>
      <c r="O609" s="513" t="s">
        <v>1407</v>
      </c>
      <c r="P609" s="513" t="s">
        <v>7179</v>
      </c>
      <c r="Q609" s="518" t="s">
        <v>7101</v>
      </c>
      <c r="R609" s="152" t="s">
        <v>7180</v>
      </c>
      <c r="S609" s="152" t="s">
        <v>7222</v>
      </c>
      <c r="T609" s="152" t="s">
        <v>7182</v>
      </c>
      <c r="U609" s="152" t="s">
        <v>786</v>
      </c>
    </row>
    <row r="610" spans="4:21">
      <c r="D610" s="210"/>
      <c r="E610" s="210" t="s">
        <v>676</v>
      </c>
      <c r="F610" s="684" t="str">
        <f>+VLOOKUP(G610,Resumen_Base!$C$8:$G$156,5,0)</f>
        <v>Food &amp; Wine</v>
      </c>
      <c r="G610" s="152" t="s">
        <v>37</v>
      </c>
      <c r="H610" s="474" t="s">
        <v>36</v>
      </c>
      <c r="I610" s="152" t="str">
        <f t="shared" si="9"/>
        <v>CAR5250</v>
      </c>
      <c r="J610" s="847">
        <v>307456.15000000002</v>
      </c>
      <c r="K610" s="513">
        <v>218.83</v>
      </c>
      <c r="L610" s="513">
        <v>1405</v>
      </c>
      <c r="M610" s="152" t="s">
        <v>7116</v>
      </c>
      <c r="N610" s="513" t="s">
        <v>780</v>
      </c>
      <c r="O610" s="513" t="s">
        <v>1407</v>
      </c>
      <c r="P610" s="513" t="s">
        <v>7179</v>
      </c>
      <c r="Q610" s="518" t="s">
        <v>7101</v>
      </c>
      <c r="R610" s="152" t="s">
        <v>7180</v>
      </c>
      <c r="S610" s="152" t="s">
        <v>6141</v>
      </c>
      <c r="T610" s="152" t="s">
        <v>7182</v>
      </c>
      <c r="U610" s="152" t="s">
        <v>786</v>
      </c>
    </row>
    <row r="611" spans="4:21">
      <c r="D611" s="210"/>
      <c r="E611" s="210" t="s">
        <v>676</v>
      </c>
      <c r="F611" s="684" t="str">
        <f>+VLOOKUP(G611,Resumen_Base!$C$8:$G$156,5,0)</f>
        <v>Food &amp; Wine</v>
      </c>
      <c r="G611" s="152" t="s">
        <v>37</v>
      </c>
      <c r="H611" s="474" t="s">
        <v>36</v>
      </c>
      <c r="I611" s="152" t="str">
        <f t="shared" si="9"/>
        <v>CAR5250</v>
      </c>
      <c r="J611" s="847">
        <v>91310.95</v>
      </c>
      <c r="K611" s="513">
        <v>64.989999999999995</v>
      </c>
      <c r="L611" s="513">
        <v>1405</v>
      </c>
      <c r="M611" s="152" t="s">
        <v>7116</v>
      </c>
      <c r="N611" s="513" t="s">
        <v>780</v>
      </c>
      <c r="O611" s="513" t="s">
        <v>1407</v>
      </c>
      <c r="P611" s="513" t="s">
        <v>7179</v>
      </c>
      <c r="Q611" s="518" t="s">
        <v>7101</v>
      </c>
      <c r="R611" s="152" t="s">
        <v>7180</v>
      </c>
      <c r="S611" s="152" t="s">
        <v>4007</v>
      </c>
      <c r="T611" s="152" t="s">
        <v>7182</v>
      </c>
      <c r="U611" s="152" t="s">
        <v>786</v>
      </c>
    </row>
    <row r="612" spans="4:21">
      <c r="D612" s="210"/>
      <c r="E612" s="210" t="s">
        <v>676</v>
      </c>
      <c r="F612" s="684" t="str">
        <f>+VLOOKUP(G612,Resumen_Base!$C$8:$G$156,5,0)</f>
        <v>Food &amp; Wine</v>
      </c>
      <c r="G612" s="152" t="s">
        <v>37</v>
      </c>
      <c r="H612" s="474" t="s">
        <v>36</v>
      </c>
      <c r="I612" s="152" t="str">
        <f t="shared" si="9"/>
        <v>CAR5250</v>
      </c>
      <c r="J612" s="847">
        <v>31373.65</v>
      </c>
      <c r="K612" s="513">
        <v>22.33</v>
      </c>
      <c r="L612" s="513">
        <v>1405</v>
      </c>
      <c r="M612" s="152" t="s">
        <v>7116</v>
      </c>
      <c r="N612" s="513" t="s">
        <v>780</v>
      </c>
      <c r="O612" s="513" t="s">
        <v>1407</v>
      </c>
      <c r="P612" s="513" t="s">
        <v>7179</v>
      </c>
      <c r="Q612" s="518" t="s">
        <v>7101</v>
      </c>
      <c r="R612" s="152" t="s">
        <v>7180</v>
      </c>
      <c r="S612" s="152" t="s">
        <v>7237</v>
      </c>
      <c r="T612" s="152" t="s">
        <v>7182</v>
      </c>
      <c r="U612" s="152" t="s">
        <v>786</v>
      </c>
    </row>
    <row r="613" spans="4:21">
      <c r="D613" s="210"/>
      <c r="E613" s="210" t="s">
        <v>676</v>
      </c>
      <c r="F613" s="684" t="str">
        <f>+VLOOKUP(G613,Resumen_Base!$C$8:$G$156,5,0)</f>
        <v>Food &amp; Wine</v>
      </c>
      <c r="G613" s="152" t="s">
        <v>37</v>
      </c>
      <c r="H613" s="474" t="s">
        <v>36</v>
      </c>
      <c r="I613" s="152" t="str">
        <f t="shared" si="9"/>
        <v>CAR5250</v>
      </c>
      <c r="J613" s="847">
        <v>92442</v>
      </c>
      <c r="K613" s="513">
        <v>65.099999999999994</v>
      </c>
      <c r="L613" s="513">
        <v>1420</v>
      </c>
      <c r="M613" s="152" t="s">
        <v>7143</v>
      </c>
      <c r="N613" s="513" t="s">
        <v>780</v>
      </c>
      <c r="O613" s="513" t="s">
        <v>1407</v>
      </c>
      <c r="P613" s="513" t="s">
        <v>7284</v>
      </c>
      <c r="Q613" s="518" t="s">
        <v>7101</v>
      </c>
      <c r="R613" s="152" t="s">
        <v>7285</v>
      </c>
      <c r="S613" s="152" t="s">
        <v>3840</v>
      </c>
      <c r="T613" s="152" t="s">
        <v>7287</v>
      </c>
      <c r="U613" s="152" t="s">
        <v>786</v>
      </c>
    </row>
    <row r="614" spans="4:21">
      <c r="D614" s="210"/>
      <c r="E614" s="210" t="s">
        <v>676</v>
      </c>
      <c r="F614" s="684" t="str">
        <f>+VLOOKUP(G614,Resumen_Base!$C$8:$G$156,5,0)</f>
        <v>Food &amp; Wine</v>
      </c>
      <c r="G614" s="152" t="s">
        <v>37</v>
      </c>
      <c r="H614" s="474" t="s">
        <v>36</v>
      </c>
      <c r="I614" s="152" t="str">
        <f t="shared" si="9"/>
        <v>CAR5250</v>
      </c>
      <c r="J614" s="847">
        <v>34324.15</v>
      </c>
      <c r="K614" s="513">
        <v>24.43</v>
      </c>
      <c r="L614" s="513">
        <v>1405</v>
      </c>
      <c r="M614" s="152" t="s">
        <v>7143</v>
      </c>
      <c r="N614" s="513" t="s">
        <v>780</v>
      </c>
      <c r="O614" s="513" t="s">
        <v>1407</v>
      </c>
      <c r="P614" s="513" t="s">
        <v>7284</v>
      </c>
      <c r="Q614" s="518" t="s">
        <v>7101</v>
      </c>
      <c r="R614" s="152" t="s">
        <v>7285</v>
      </c>
      <c r="S614" s="152" t="s">
        <v>1627</v>
      </c>
      <c r="T614" s="152" t="s">
        <v>7287</v>
      </c>
      <c r="U614" s="152" t="s">
        <v>786</v>
      </c>
    </row>
    <row r="615" spans="4:21">
      <c r="D615" s="210"/>
      <c r="E615" s="210" t="s">
        <v>676</v>
      </c>
      <c r="F615" s="684" t="str">
        <f>+VLOOKUP(G615,Resumen_Base!$C$8:$G$156,5,0)</f>
        <v>Food &amp; Wine</v>
      </c>
      <c r="G615" s="152" t="s">
        <v>37</v>
      </c>
      <c r="H615" s="474" t="s">
        <v>36</v>
      </c>
      <c r="I615" s="152" t="str">
        <f t="shared" si="9"/>
        <v>CAR5250</v>
      </c>
      <c r="J615" s="847">
        <v>307456.15000000002</v>
      </c>
      <c r="K615" s="513">
        <v>218.83</v>
      </c>
      <c r="L615" s="513">
        <v>1405</v>
      </c>
      <c r="M615" s="152" t="s">
        <v>7143</v>
      </c>
      <c r="N615" s="513" t="s">
        <v>780</v>
      </c>
      <c r="O615" s="513" t="s">
        <v>1407</v>
      </c>
      <c r="P615" s="513" t="s">
        <v>7284</v>
      </c>
      <c r="Q615" s="518" t="s">
        <v>7101</v>
      </c>
      <c r="R615" s="152" t="s">
        <v>7285</v>
      </c>
      <c r="S615" s="152" t="s">
        <v>2926</v>
      </c>
      <c r="T615" s="152" t="s">
        <v>7287</v>
      </c>
      <c r="U615" s="152" t="s">
        <v>786</v>
      </c>
    </row>
    <row r="616" spans="4:21">
      <c r="D616" s="210"/>
      <c r="E616" s="210" t="s">
        <v>676</v>
      </c>
      <c r="F616" s="684" t="str">
        <f>+VLOOKUP(G616,Resumen_Base!$C$8:$G$156,5,0)</f>
        <v>Food &amp; Wine</v>
      </c>
      <c r="G616" s="152" t="s">
        <v>37</v>
      </c>
      <c r="H616" s="474" t="s">
        <v>36</v>
      </c>
      <c r="I616" s="152" t="str">
        <f t="shared" si="9"/>
        <v>CAR5250</v>
      </c>
      <c r="J616" s="847">
        <v>196489.25</v>
      </c>
      <c r="K616" s="513">
        <v>139.85</v>
      </c>
      <c r="L616" s="513">
        <v>1405</v>
      </c>
      <c r="M616" s="152" t="s">
        <v>7143</v>
      </c>
      <c r="N616" s="513" t="s">
        <v>780</v>
      </c>
      <c r="O616" s="513" t="s">
        <v>1407</v>
      </c>
      <c r="P616" s="513" t="s">
        <v>7284</v>
      </c>
      <c r="Q616" s="518" t="s">
        <v>7101</v>
      </c>
      <c r="R616" s="152" t="s">
        <v>7285</v>
      </c>
      <c r="S616" s="152" t="s">
        <v>7311</v>
      </c>
      <c r="T616" s="152" t="s">
        <v>7287</v>
      </c>
      <c r="U616" s="152" t="s">
        <v>786</v>
      </c>
    </row>
    <row r="617" spans="4:21">
      <c r="D617" s="210"/>
      <c r="E617" s="210" t="s">
        <v>676</v>
      </c>
      <c r="F617" s="684" t="str">
        <f>+VLOOKUP(G617,Resumen_Base!$C$8:$G$156,5,0)</f>
        <v>Food &amp; Wine</v>
      </c>
      <c r="G617" s="152" t="s">
        <v>37</v>
      </c>
      <c r="H617" s="474" t="s">
        <v>36</v>
      </c>
      <c r="I617" s="152" t="str">
        <f t="shared" si="9"/>
        <v>CAR5250</v>
      </c>
      <c r="J617" s="847">
        <v>739240.75</v>
      </c>
      <c r="K617" s="513">
        <v>526.15</v>
      </c>
      <c r="L617" s="513">
        <v>1405</v>
      </c>
      <c r="M617" s="152" t="s">
        <v>7116</v>
      </c>
      <c r="N617" s="513" t="s">
        <v>780</v>
      </c>
      <c r="O617" s="513" t="s">
        <v>1407</v>
      </c>
      <c r="P617" s="513" t="s">
        <v>7456</v>
      </c>
      <c r="Q617" s="518" t="s">
        <v>7101</v>
      </c>
      <c r="R617" s="152" t="s">
        <v>7457</v>
      </c>
      <c r="S617" s="152" t="s">
        <v>7485</v>
      </c>
      <c r="T617" s="152" t="s">
        <v>7459</v>
      </c>
      <c r="U617" s="152" t="s">
        <v>786</v>
      </c>
    </row>
    <row r="618" spans="4:21">
      <c r="D618" s="210"/>
      <c r="E618" s="210" t="s">
        <v>676</v>
      </c>
      <c r="F618" s="684" t="str">
        <f>+VLOOKUP(G618,Resumen_Base!$C$8:$G$156,5,0)</f>
        <v>Food &amp; Wine</v>
      </c>
      <c r="G618" s="152" t="s">
        <v>37</v>
      </c>
      <c r="H618" s="474" t="s">
        <v>36</v>
      </c>
      <c r="I618" s="152" t="str">
        <f t="shared" si="9"/>
        <v>CAR5250</v>
      </c>
      <c r="J618" s="847">
        <v>2820579.65</v>
      </c>
      <c r="K618" s="513">
        <v>2007.53</v>
      </c>
      <c r="L618" s="513">
        <v>1405</v>
      </c>
      <c r="M618" s="152" t="s">
        <v>7116</v>
      </c>
      <c r="N618" s="513" t="s">
        <v>780</v>
      </c>
      <c r="O618" s="513" t="s">
        <v>1407</v>
      </c>
      <c r="P618" s="513" t="s">
        <v>7456</v>
      </c>
      <c r="Q618" s="518" t="s">
        <v>7101</v>
      </c>
      <c r="R618" s="152" t="s">
        <v>7457</v>
      </c>
      <c r="S618" s="152" t="s">
        <v>7486</v>
      </c>
      <c r="T618" s="152" t="s">
        <v>7459</v>
      </c>
      <c r="U618" s="152" t="s">
        <v>786</v>
      </c>
    </row>
    <row r="619" spans="4:21">
      <c r="D619" s="210"/>
      <c r="E619" s="210" t="s">
        <v>676</v>
      </c>
      <c r="F619" s="684" t="str">
        <f>+VLOOKUP(G619,Resumen_Base!$C$8:$G$156,5,0)</f>
        <v>Food &amp; Wine</v>
      </c>
      <c r="G619" s="152" t="s">
        <v>37</v>
      </c>
      <c r="H619" s="474" t="s">
        <v>36</v>
      </c>
      <c r="I619" s="152" t="str">
        <f t="shared" si="9"/>
        <v>CAR5250</v>
      </c>
      <c r="J619" s="847">
        <v>2669.5</v>
      </c>
      <c r="K619" s="513">
        <v>1.9</v>
      </c>
      <c r="L619" s="513">
        <v>1405</v>
      </c>
      <c r="M619" s="152" t="s">
        <v>7116</v>
      </c>
      <c r="N619" s="513" t="s">
        <v>780</v>
      </c>
      <c r="O619" s="513" t="s">
        <v>1407</v>
      </c>
      <c r="P619" s="513" t="s">
        <v>7456</v>
      </c>
      <c r="Q619" s="518" t="s">
        <v>7101</v>
      </c>
      <c r="R619" s="152" t="s">
        <v>7457</v>
      </c>
      <c r="S619" s="152" t="s">
        <v>1515</v>
      </c>
      <c r="T619" s="152" t="s">
        <v>7459</v>
      </c>
      <c r="U619" s="152" t="s">
        <v>786</v>
      </c>
    </row>
    <row r="620" spans="4:21">
      <c r="D620" s="210"/>
      <c r="E620" s="210" t="s">
        <v>676</v>
      </c>
      <c r="F620" s="684" t="str">
        <f>+VLOOKUP(G620,Resumen_Base!$C$8:$G$156,5,0)</f>
        <v>Food &amp; Wine</v>
      </c>
      <c r="G620" s="152" t="s">
        <v>37</v>
      </c>
      <c r="H620" s="474" t="s">
        <v>36</v>
      </c>
      <c r="I620" s="152" t="str">
        <f t="shared" si="9"/>
        <v>CAR5250</v>
      </c>
      <c r="J620" s="847">
        <v>4172091.3</v>
      </c>
      <c r="K620" s="513">
        <v>2969.46</v>
      </c>
      <c r="L620" s="513">
        <v>1405</v>
      </c>
      <c r="M620" s="152" t="s">
        <v>7116</v>
      </c>
      <c r="N620" s="513" t="s">
        <v>780</v>
      </c>
      <c r="O620" s="513" t="s">
        <v>1407</v>
      </c>
      <c r="P620" s="513" t="s">
        <v>7456</v>
      </c>
      <c r="Q620" s="518" t="s">
        <v>7101</v>
      </c>
      <c r="R620" s="152" t="s">
        <v>7457</v>
      </c>
      <c r="S620" s="152" t="s">
        <v>7488</v>
      </c>
      <c r="T620" s="152" t="s">
        <v>7459</v>
      </c>
      <c r="U620" s="152" t="s">
        <v>786</v>
      </c>
    </row>
    <row r="621" spans="4:21">
      <c r="D621" s="210"/>
      <c r="E621" s="210" t="s">
        <v>676</v>
      </c>
      <c r="F621" s="684" t="str">
        <f>+VLOOKUP(G621,Resumen_Base!$C$8:$G$156,5,0)</f>
        <v>Food &amp; Wine</v>
      </c>
      <c r="G621" s="152" t="s">
        <v>37</v>
      </c>
      <c r="H621" s="474" t="s">
        <v>36</v>
      </c>
      <c r="I621" s="152" t="str">
        <f t="shared" si="9"/>
        <v>CAR5250</v>
      </c>
      <c r="J621" s="847">
        <v>2669.5</v>
      </c>
      <c r="K621" s="513">
        <v>1.9</v>
      </c>
      <c r="L621" s="513">
        <v>1405</v>
      </c>
      <c r="M621" s="152" t="s">
        <v>7116</v>
      </c>
      <c r="N621" s="513" t="s">
        <v>780</v>
      </c>
      <c r="O621" s="513" t="s">
        <v>1407</v>
      </c>
      <c r="P621" s="513" t="s">
        <v>7456</v>
      </c>
      <c r="Q621" s="518" t="s">
        <v>7101</v>
      </c>
      <c r="R621" s="152" t="s">
        <v>7457</v>
      </c>
      <c r="S621" s="152" t="s">
        <v>1515</v>
      </c>
      <c r="T621" s="152" t="s">
        <v>7459</v>
      </c>
      <c r="U621" s="152" t="s">
        <v>786</v>
      </c>
    </row>
    <row r="622" spans="4:21">
      <c r="D622" s="210"/>
      <c r="E622" s="210" t="s">
        <v>676</v>
      </c>
      <c r="F622" s="684" t="str">
        <f>+VLOOKUP(G622,Resumen_Base!$C$8:$G$156,5,0)</f>
        <v>Food &amp; Wine</v>
      </c>
      <c r="G622" s="152" t="s">
        <v>37</v>
      </c>
      <c r="H622" s="474" t="s">
        <v>36</v>
      </c>
      <c r="I622" s="152" t="str">
        <f t="shared" si="9"/>
        <v>CAR5250</v>
      </c>
      <c r="J622" s="847">
        <v>3525721.05</v>
      </c>
      <c r="K622" s="513">
        <v>2509.41</v>
      </c>
      <c r="L622" s="513">
        <v>1405</v>
      </c>
      <c r="M622" s="152" t="s">
        <v>7116</v>
      </c>
      <c r="N622" s="513" t="s">
        <v>780</v>
      </c>
      <c r="O622" s="513" t="s">
        <v>1407</v>
      </c>
      <c r="P622" s="513" t="s">
        <v>7456</v>
      </c>
      <c r="Q622" s="518" t="s">
        <v>7101</v>
      </c>
      <c r="R622" s="152" t="s">
        <v>7457</v>
      </c>
      <c r="S622" s="152" t="s">
        <v>7502</v>
      </c>
      <c r="T622" s="152" t="s">
        <v>7459</v>
      </c>
      <c r="U622" s="152" t="s">
        <v>786</v>
      </c>
    </row>
    <row r="623" spans="4:21">
      <c r="D623" s="210"/>
      <c r="E623" s="210" t="s">
        <v>676</v>
      </c>
      <c r="F623" s="684" t="str">
        <f>+VLOOKUP(G623,Resumen_Base!$C$8:$G$156,5,0)</f>
        <v>Food &amp; Wine</v>
      </c>
      <c r="G623" s="152" t="s">
        <v>37</v>
      </c>
      <c r="H623" s="474" t="s">
        <v>36</v>
      </c>
      <c r="I623" s="152" t="str">
        <f t="shared" si="9"/>
        <v>CAR5250</v>
      </c>
      <c r="J623" s="847">
        <v>950426.3</v>
      </c>
      <c r="K623" s="513">
        <v>676.46</v>
      </c>
      <c r="L623" s="513">
        <v>1405</v>
      </c>
      <c r="M623" s="152" t="s">
        <v>7116</v>
      </c>
      <c r="N623" s="513" t="s">
        <v>780</v>
      </c>
      <c r="O623" s="513" t="s">
        <v>1407</v>
      </c>
      <c r="P623" s="513" t="s">
        <v>7456</v>
      </c>
      <c r="Q623" s="518" t="s">
        <v>7101</v>
      </c>
      <c r="R623" s="152" t="s">
        <v>7457</v>
      </c>
      <c r="S623" s="152" t="s">
        <v>7504</v>
      </c>
      <c r="T623" s="152" t="s">
        <v>7459</v>
      </c>
      <c r="U623" s="152" t="s">
        <v>786</v>
      </c>
    </row>
    <row r="624" spans="4:21">
      <c r="D624" s="210"/>
      <c r="E624" s="210" t="s">
        <v>676</v>
      </c>
      <c r="F624" s="684" t="str">
        <f>+VLOOKUP(G624,Resumen_Base!$C$8:$G$156,5,0)</f>
        <v>Food &amp; Wine</v>
      </c>
      <c r="G624" s="152" t="s">
        <v>37</v>
      </c>
      <c r="H624" s="474" t="s">
        <v>36</v>
      </c>
      <c r="I624" s="152" t="str">
        <f t="shared" si="9"/>
        <v>CAR5250</v>
      </c>
      <c r="J624" s="847">
        <v>2669.5</v>
      </c>
      <c r="K624" s="513">
        <v>1.9</v>
      </c>
      <c r="L624" s="513">
        <v>1405</v>
      </c>
      <c r="M624" s="152" t="s">
        <v>7116</v>
      </c>
      <c r="N624" s="513" t="s">
        <v>780</v>
      </c>
      <c r="O624" s="513" t="s">
        <v>1407</v>
      </c>
      <c r="P624" s="513" t="s">
        <v>7456</v>
      </c>
      <c r="Q624" s="518" t="s">
        <v>7101</v>
      </c>
      <c r="R624" s="152" t="s">
        <v>7457</v>
      </c>
      <c r="S624" s="152" t="s">
        <v>1515</v>
      </c>
      <c r="T624" s="152" t="s">
        <v>7459</v>
      </c>
      <c r="U624" s="152" t="s">
        <v>786</v>
      </c>
    </row>
    <row r="625" spans="4:21">
      <c r="D625" s="210"/>
      <c r="E625" s="210" t="s">
        <v>676</v>
      </c>
      <c r="F625" s="684" t="str">
        <f>+VLOOKUP(G625,Resumen_Base!$C$8:$G$156,5,0)</f>
        <v>Food &amp; Wine</v>
      </c>
      <c r="G625" s="152" t="s">
        <v>37</v>
      </c>
      <c r="H625" s="474" t="s">
        <v>36</v>
      </c>
      <c r="I625" s="152" t="str">
        <f t="shared" si="9"/>
        <v>CAR5250</v>
      </c>
      <c r="J625" s="847">
        <v>2669.5</v>
      </c>
      <c r="K625" s="513">
        <v>1.9</v>
      </c>
      <c r="L625" s="513">
        <v>1405</v>
      </c>
      <c r="M625" s="152" t="s">
        <v>7116</v>
      </c>
      <c r="N625" s="513" t="s">
        <v>780</v>
      </c>
      <c r="O625" s="513" t="s">
        <v>1407</v>
      </c>
      <c r="P625" s="513" t="s">
        <v>7456</v>
      </c>
      <c r="Q625" s="518" t="s">
        <v>7101</v>
      </c>
      <c r="R625" s="152" t="s">
        <v>7457</v>
      </c>
      <c r="S625" s="152" t="s">
        <v>1515</v>
      </c>
      <c r="T625" s="152" t="s">
        <v>7459</v>
      </c>
      <c r="U625" s="152" t="s">
        <v>786</v>
      </c>
    </row>
    <row r="626" spans="4:21">
      <c r="D626" s="210"/>
      <c r="E626" s="210" t="s">
        <v>676</v>
      </c>
      <c r="F626" s="684" t="str">
        <f>+VLOOKUP(G626,Resumen_Base!$C$8:$G$156,5,0)</f>
        <v>Food &amp; Wine</v>
      </c>
      <c r="G626" s="152" t="s">
        <v>37</v>
      </c>
      <c r="H626" s="474" t="s">
        <v>36</v>
      </c>
      <c r="I626" s="152" t="str">
        <f t="shared" si="9"/>
        <v>CAR5250</v>
      </c>
      <c r="J626" s="847">
        <v>1730074.85</v>
      </c>
      <c r="K626" s="513">
        <v>1231.3699999999999</v>
      </c>
      <c r="L626" s="513">
        <v>1405</v>
      </c>
      <c r="M626" s="152" t="s">
        <v>7116</v>
      </c>
      <c r="N626" s="513" t="s">
        <v>780</v>
      </c>
      <c r="O626" s="513" t="s">
        <v>1407</v>
      </c>
      <c r="P626" s="513" t="s">
        <v>7456</v>
      </c>
      <c r="Q626" s="518" t="s">
        <v>7101</v>
      </c>
      <c r="R626" s="152" t="s">
        <v>7457</v>
      </c>
      <c r="S626" s="152" t="s">
        <v>7506</v>
      </c>
      <c r="T626" s="152" t="s">
        <v>7459</v>
      </c>
      <c r="U626" s="152" t="s">
        <v>786</v>
      </c>
    </row>
    <row r="627" spans="4:21">
      <c r="D627" s="210"/>
      <c r="E627" s="210" t="s">
        <v>676</v>
      </c>
      <c r="F627" s="684" t="str">
        <f>+VLOOKUP(G627,Resumen_Base!$C$8:$G$156,5,0)</f>
        <v>Food &amp; Wine</v>
      </c>
      <c r="G627" s="152" t="s">
        <v>37</v>
      </c>
      <c r="H627" s="474" t="s">
        <v>36</v>
      </c>
      <c r="I627" s="152" t="str">
        <f t="shared" si="9"/>
        <v>CAR5250</v>
      </c>
      <c r="J627" s="847">
        <v>6698871.4000000004</v>
      </c>
      <c r="K627" s="513">
        <v>4767.88</v>
      </c>
      <c r="L627" s="513">
        <v>1405</v>
      </c>
      <c r="M627" s="152" t="s">
        <v>7116</v>
      </c>
      <c r="N627" s="513" t="s">
        <v>780</v>
      </c>
      <c r="O627" s="513" t="s">
        <v>1407</v>
      </c>
      <c r="P627" s="513" t="s">
        <v>7456</v>
      </c>
      <c r="Q627" s="518" t="s">
        <v>7101</v>
      </c>
      <c r="R627" s="152" t="s">
        <v>7457</v>
      </c>
      <c r="S627" s="152" t="s">
        <v>7458</v>
      </c>
      <c r="T627" s="152" t="s">
        <v>7459</v>
      </c>
      <c r="U627" s="152" t="s">
        <v>786</v>
      </c>
    </row>
    <row r="628" spans="4:21">
      <c r="D628" s="210"/>
      <c r="E628" s="210" t="s">
        <v>676</v>
      </c>
      <c r="F628" s="684" t="str">
        <f>+VLOOKUP(G628,Resumen_Base!$C$8:$G$156,5,0)</f>
        <v>Food &amp; Wine</v>
      </c>
      <c r="G628" s="152" t="s">
        <v>37</v>
      </c>
      <c r="H628" s="474" t="s">
        <v>36</v>
      </c>
      <c r="I628" s="152" t="str">
        <f t="shared" si="9"/>
        <v>CAR5250</v>
      </c>
      <c r="J628" s="847">
        <v>2669.5</v>
      </c>
      <c r="K628" s="513">
        <v>1.9</v>
      </c>
      <c r="L628" s="513">
        <v>1405</v>
      </c>
      <c r="M628" s="152" t="s">
        <v>7116</v>
      </c>
      <c r="N628" s="513" t="s">
        <v>780</v>
      </c>
      <c r="O628" s="513" t="s">
        <v>1407</v>
      </c>
      <c r="P628" s="513" t="s">
        <v>7456</v>
      </c>
      <c r="Q628" s="518" t="s">
        <v>7101</v>
      </c>
      <c r="R628" s="152" t="s">
        <v>7457</v>
      </c>
      <c r="S628" s="152" t="s">
        <v>1515</v>
      </c>
      <c r="T628" s="152" t="s">
        <v>7459</v>
      </c>
      <c r="U628" s="152" t="s">
        <v>786</v>
      </c>
    </row>
    <row r="629" spans="4:21">
      <c r="D629" s="210"/>
      <c r="E629" s="210" t="s">
        <v>676</v>
      </c>
      <c r="F629" s="684" t="str">
        <f>+VLOOKUP(G629,Resumen_Base!$C$8:$G$156,5,0)</f>
        <v>Food &amp; Wine</v>
      </c>
      <c r="G629" s="152" t="s">
        <v>37</v>
      </c>
      <c r="H629" s="474" t="s">
        <v>36</v>
      </c>
      <c r="I629" s="152" t="str">
        <f t="shared" si="9"/>
        <v>CAR5250</v>
      </c>
      <c r="J629" s="847">
        <v>539926.6</v>
      </c>
      <c r="K629" s="513">
        <v>380.23</v>
      </c>
      <c r="L629" s="513">
        <v>1420</v>
      </c>
      <c r="M629" s="152" t="s">
        <v>7143</v>
      </c>
      <c r="N629" s="513" t="s">
        <v>780</v>
      </c>
      <c r="O629" s="513" t="s">
        <v>1407</v>
      </c>
      <c r="P629" s="513" t="s">
        <v>7619</v>
      </c>
      <c r="Q629" s="518" t="s">
        <v>7101</v>
      </c>
      <c r="R629" s="152" t="s">
        <v>7620</v>
      </c>
      <c r="S629" s="152" t="s">
        <v>7641</v>
      </c>
      <c r="T629" s="152" t="s">
        <v>7621</v>
      </c>
      <c r="U629" s="152" t="s">
        <v>786</v>
      </c>
    </row>
    <row r="630" spans="4:21">
      <c r="D630" s="210"/>
      <c r="E630" s="210" t="s">
        <v>676</v>
      </c>
      <c r="F630" s="684" t="str">
        <f>+VLOOKUP(G630,Resumen_Base!$C$8:$G$156,5,0)</f>
        <v>Food &amp; Wine</v>
      </c>
      <c r="G630" s="152" t="s">
        <v>37</v>
      </c>
      <c r="H630" s="474" t="s">
        <v>36</v>
      </c>
      <c r="I630" s="152" t="str">
        <f t="shared" si="9"/>
        <v>CAR5250</v>
      </c>
      <c r="J630" s="847">
        <v>2726.4</v>
      </c>
      <c r="K630" s="513">
        <v>1.92</v>
      </c>
      <c r="L630" s="513">
        <v>1420</v>
      </c>
      <c r="M630" s="152" t="s">
        <v>7143</v>
      </c>
      <c r="N630" s="513" t="s">
        <v>780</v>
      </c>
      <c r="O630" s="513" t="s">
        <v>1407</v>
      </c>
      <c r="P630" s="513" t="s">
        <v>7619</v>
      </c>
      <c r="Q630" s="518" t="s">
        <v>7101</v>
      </c>
      <c r="R630" s="152" t="s">
        <v>7620</v>
      </c>
      <c r="S630" s="152" t="s">
        <v>1515</v>
      </c>
      <c r="T630" s="152" t="s">
        <v>7621</v>
      </c>
      <c r="U630" s="152" t="s">
        <v>786</v>
      </c>
    </row>
    <row r="631" spans="4:21">
      <c r="D631" s="210"/>
      <c r="E631" s="210" t="s">
        <v>676</v>
      </c>
      <c r="F631" s="684" t="str">
        <f>+VLOOKUP(G631,Resumen_Base!$C$8:$G$156,5,0)</f>
        <v>Food &amp; Wine</v>
      </c>
      <c r="G631" s="152" t="s">
        <v>37</v>
      </c>
      <c r="H631" s="474" t="s">
        <v>36</v>
      </c>
      <c r="I631" s="152" t="str">
        <f t="shared" si="9"/>
        <v>CAR5250</v>
      </c>
      <c r="J631" s="847">
        <v>187298</v>
      </c>
      <c r="K631" s="513">
        <v>131.9</v>
      </c>
      <c r="L631" s="513">
        <v>1420</v>
      </c>
      <c r="M631" s="152" t="s">
        <v>7143</v>
      </c>
      <c r="N631" s="513" t="s">
        <v>780</v>
      </c>
      <c r="O631" s="513" t="s">
        <v>1407</v>
      </c>
      <c r="P631" s="513" t="s">
        <v>7619</v>
      </c>
      <c r="Q631" s="518" t="s">
        <v>7101</v>
      </c>
      <c r="R631" s="152" t="s">
        <v>7620</v>
      </c>
      <c r="S631" s="152" t="s">
        <v>7624</v>
      </c>
      <c r="T631" s="152" t="s">
        <v>7621</v>
      </c>
      <c r="U631" s="152" t="s">
        <v>786</v>
      </c>
    </row>
    <row r="632" spans="4:21">
      <c r="D632" s="210"/>
      <c r="E632" s="210" t="s">
        <v>670</v>
      </c>
      <c r="F632" s="684" t="str">
        <f>+VLOOKUP(G632,Resumen_Base!$C$8:$G$156,5,0)</f>
        <v>Food &amp; Wine</v>
      </c>
      <c r="G632" s="152" t="s">
        <v>35</v>
      </c>
      <c r="H632" s="474" t="s">
        <v>34</v>
      </c>
      <c r="I632" s="152" t="str">
        <f t="shared" si="9"/>
        <v>SJ5251</v>
      </c>
      <c r="J632" s="847">
        <v>2711.65</v>
      </c>
      <c r="K632" s="513">
        <v>1.93</v>
      </c>
      <c r="L632" s="513">
        <v>1405</v>
      </c>
      <c r="M632" s="152" t="s">
        <v>7116</v>
      </c>
      <c r="N632" s="513" t="s">
        <v>780</v>
      </c>
      <c r="O632" s="513" t="s">
        <v>781</v>
      </c>
      <c r="P632" s="513" t="s">
        <v>7517</v>
      </c>
      <c r="Q632" s="518" t="s">
        <v>7101</v>
      </c>
      <c r="R632" s="152" t="s">
        <v>7518</v>
      </c>
      <c r="S632" s="152" t="s">
        <v>7560</v>
      </c>
      <c r="T632" s="152" t="s">
        <v>7520</v>
      </c>
      <c r="U632" s="152" t="s">
        <v>786</v>
      </c>
    </row>
    <row r="633" spans="4:21">
      <c r="D633" s="210"/>
      <c r="E633" s="210" t="s">
        <v>670</v>
      </c>
      <c r="F633" s="684" t="str">
        <f>+VLOOKUP(G633,Resumen_Base!$C$8:$G$156,5,0)</f>
        <v>Food &amp; Wine</v>
      </c>
      <c r="G633" s="152" t="s">
        <v>35</v>
      </c>
      <c r="H633" s="474" t="s">
        <v>34</v>
      </c>
      <c r="I633" s="152" t="str">
        <f t="shared" si="9"/>
        <v>SJ5251</v>
      </c>
      <c r="J633" s="847">
        <v>859550.9</v>
      </c>
      <c r="K633" s="513">
        <v>611.78</v>
      </c>
      <c r="L633" s="513">
        <v>1405</v>
      </c>
      <c r="M633" s="152" t="s">
        <v>7116</v>
      </c>
      <c r="N633" s="513" t="s">
        <v>780</v>
      </c>
      <c r="O633" s="513" t="s">
        <v>781</v>
      </c>
      <c r="P633" s="513" t="s">
        <v>7517</v>
      </c>
      <c r="Q633" s="518" t="s">
        <v>7101</v>
      </c>
      <c r="R633" s="152" t="s">
        <v>7518</v>
      </c>
      <c r="S633" s="152" t="s">
        <v>7595</v>
      </c>
      <c r="T633" s="152" t="s">
        <v>7520</v>
      </c>
      <c r="U633" s="152" t="s">
        <v>786</v>
      </c>
    </row>
    <row r="634" spans="4:21">
      <c r="D634" s="210"/>
      <c r="E634" s="210" t="s">
        <v>676</v>
      </c>
      <c r="F634" s="684" t="str">
        <f>+VLOOKUP(G634,Resumen_Base!$C$8:$G$156,5,0)</f>
        <v>Food &amp; Wine</v>
      </c>
      <c r="G634" s="152" t="s">
        <v>35</v>
      </c>
      <c r="H634" s="474" t="s">
        <v>34</v>
      </c>
      <c r="I634" s="152" t="str">
        <f t="shared" si="9"/>
        <v>CAR5251</v>
      </c>
      <c r="J634" s="847">
        <v>68302</v>
      </c>
      <c r="K634" s="513">
        <v>48.1</v>
      </c>
      <c r="L634" s="513">
        <v>1420</v>
      </c>
      <c r="M634" s="152" t="s">
        <v>7143</v>
      </c>
      <c r="N634" s="513" t="s">
        <v>780</v>
      </c>
      <c r="O634" s="513" t="s">
        <v>1407</v>
      </c>
      <c r="P634" s="513" t="s">
        <v>7619</v>
      </c>
      <c r="Q634" s="518" t="s">
        <v>7101</v>
      </c>
      <c r="R634" s="152" t="s">
        <v>7620</v>
      </c>
      <c r="S634" s="152" t="s">
        <v>7630</v>
      </c>
      <c r="T634" s="152" t="s">
        <v>7621</v>
      </c>
      <c r="U634" s="152" t="s">
        <v>786</v>
      </c>
    </row>
    <row r="635" spans="4:21">
      <c r="D635" s="210"/>
      <c r="E635" s="210" t="s">
        <v>670</v>
      </c>
      <c r="F635" s="684" t="str">
        <f>+VLOOKUP(G635,Resumen_Base!$C$8:$G$156,5,0)</f>
        <v>Maintenance Lodge</v>
      </c>
      <c r="G635" s="152" t="s">
        <v>33</v>
      </c>
      <c r="H635" s="474" t="s">
        <v>32</v>
      </c>
      <c r="I635" s="152" t="str">
        <f t="shared" si="9"/>
        <v>SJ5252</v>
      </c>
      <c r="J635" s="847">
        <v>249935.45</v>
      </c>
      <c r="K635" s="513">
        <v>177.89</v>
      </c>
      <c r="L635" s="513">
        <v>1405</v>
      </c>
      <c r="M635" s="152" t="s">
        <v>7116</v>
      </c>
      <c r="N635" s="513" t="s">
        <v>780</v>
      </c>
      <c r="O635" s="513" t="s">
        <v>781</v>
      </c>
      <c r="P635" s="513" t="s">
        <v>7179</v>
      </c>
      <c r="Q635" s="518" t="s">
        <v>7101</v>
      </c>
      <c r="R635" s="152" t="s">
        <v>7180</v>
      </c>
      <c r="S635" s="152" t="s">
        <v>7181</v>
      </c>
      <c r="T635" s="152" t="s">
        <v>7182</v>
      </c>
      <c r="U635" s="152" t="s">
        <v>786</v>
      </c>
    </row>
    <row r="636" spans="4:21">
      <c r="D636" s="210"/>
      <c r="E636" s="210" t="s">
        <v>670</v>
      </c>
      <c r="F636" s="684" t="str">
        <f>+VLOOKUP(G636,Resumen_Base!$C$8:$G$156,5,0)</f>
        <v>Maintenance Lodge</v>
      </c>
      <c r="G636" s="152" t="s">
        <v>33</v>
      </c>
      <c r="H636" s="474" t="s">
        <v>32</v>
      </c>
      <c r="I636" s="152" t="str">
        <f t="shared" si="9"/>
        <v>SJ5252</v>
      </c>
      <c r="J636" s="847">
        <v>17070.75</v>
      </c>
      <c r="K636" s="513">
        <v>12.15</v>
      </c>
      <c r="L636" s="513">
        <v>1405</v>
      </c>
      <c r="M636" s="152" t="s">
        <v>7116</v>
      </c>
      <c r="N636" s="513" t="s">
        <v>780</v>
      </c>
      <c r="O636" s="513" t="s">
        <v>781</v>
      </c>
      <c r="P636" s="513" t="s">
        <v>7179</v>
      </c>
      <c r="Q636" s="518" t="s">
        <v>7101</v>
      </c>
      <c r="R636" s="152" t="s">
        <v>7180</v>
      </c>
      <c r="S636" s="152" t="s">
        <v>7214</v>
      </c>
      <c r="T636" s="152" t="s">
        <v>7182</v>
      </c>
      <c r="U636" s="152" t="s">
        <v>786</v>
      </c>
    </row>
    <row r="637" spans="4:21">
      <c r="D637" s="210"/>
      <c r="E637" s="210" t="s">
        <v>670</v>
      </c>
      <c r="F637" s="684" t="str">
        <f>+VLOOKUP(G637,Resumen_Base!$C$8:$G$156,5,0)</f>
        <v>Maintenance Lodge</v>
      </c>
      <c r="G637" s="152" t="s">
        <v>33</v>
      </c>
      <c r="H637" s="474" t="s">
        <v>32</v>
      </c>
      <c r="I637" s="152" t="str">
        <f t="shared" si="9"/>
        <v>SJ5252</v>
      </c>
      <c r="J637" s="847">
        <v>11759.85</v>
      </c>
      <c r="K637" s="513">
        <v>8.3699999999999992</v>
      </c>
      <c r="L637" s="513">
        <v>1405</v>
      </c>
      <c r="M637" s="152" t="s">
        <v>7116</v>
      </c>
      <c r="N637" s="513" t="s">
        <v>780</v>
      </c>
      <c r="O637" s="513" t="s">
        <v>781</v>
      </c>
      <c r="P637" s="513" t="s">
        <v>7179</v>
      </c>
      <c r="Q637" s="518" t="s">
        <v>7101</v>
      </c>
      <c r="R637" s="152" t="s">
        <v>7180</v>
      </c>
      <c r="S637" s="152" t="s">
        <v>7233</v>
      </c>
      <c r="T637" s="152" t="s">
        <v>7182</v>
      </c>
      <c r="U637" s="152" t="s">
        <v>786</v>
      </c>
    </row>
    <row r="638" spans="4:21">
      <c r="D638" s="210"/>
      <c r="E638" s="210" t="s">
        <v>670</v>
      </c>
      <c r="F638" s="684" t="str">
        <f>+VLOOKUP(G638,Resumen_Base!$C$8:$G$156,5,0)</f>
        <v>Maintenance Lodge</v>
      </c>
      <c r="G638" s="152" t="s">
        <v>33</v>
      </c>
      <c r="H638" s="474" t="s">
        <v>32</v>
      </c>
      <c r="I638" s="152" t="str">
        <f t="shared" si="9"/>
        <v>SJ5252</v>
      </c>
      <c r="J638" s="847">
        <v>56874.400000000001</v>
      </c>
      <c r="K638" s="513">
        <v>40.479999999999997</v>
      </c>
      <c r="L638" s="513">
        <v>1405</v>
      </c>
      <c r="M638" s="152" t="s">
        <v>7116</v>
      </c>
      <c r="N638" s="513" t="s">
        <v>780</v>
      </c>
      <c r="O638" s="513" t="s">
        <v>781</v>
      </c>
      <c r="P638" s="513" t="s">
        <v>7179</v>
      </c>
      <c r="Q638" s="518" t="s">
        <v>7101</v>
      </c>
      <c r="R638" s="152" t="s">
        <v>7180</v>
      </c>
      <c r="S638" s="152" t="s">
        <v>7232</v>
      </c>
      <c r="T638" s="152" t="s">
        <v>7182</v>
      </c>
      <c r="U638" s="152" t="s">
        <v>786</v>
      </c>
    </row>
    <row r="639" spans="4:21">
      <c r="D639" s="210"/>
      <c r="E639" s="210" t="s">
        <v>670</v>
      </c>
      <c r="F639" s="684" t="str">
        <f>+VLOOKUP(G639,Resumen_Base!$C$8:$G$156,5,0)</f>
        <v>Maintenance Lodge</v>
      </c>
      <c r="G639" s="152" t="s">
        <v>33</v>
      </c>
      <c r="H639" s="474" t="s">
        <v>32</v>
      </c>
      <c r="I639" s="152" t="str">
        <f t="shared" si="9"/>
        <v>SJ5252</v>
      </c>
      <c r="J639" s="847">
        <v>27523.95</v>
      </c>
      <c r="K639" s="513">
        <v>19.59</v>
      </c>
      <c r="L639" s="513">
        <v>1405</v>
      </c>
      <c r="M639" s="152" t="s">
        <v>7116</v>
      </c>
      <c r="N639" s="513" t="s">
        <v>780</v>
      </c>
      <c r="O639" s="513" t="s">
        <v>781</v>
      </c>
      <c r="P639" s="513" t="s">
        <v>7179</v>
      </c>
      <c r="Q639" s="518" t="s">
        <v>7101</v>
      </c>
      <c r="R639" s="152" t="s">
        <v>7180</v>
      </c>
      <c r="S639" s="152" t="s">
        <v>7231</v>
      </c>
      <c r="T639" s="152" t="s">
        <v>7182</v>
      </c>
      <c r="U639" s="152" t="s">
        <v>786</v>
      </c>
    </row>
    <row r="640" spans="4:21">
      <c r="D640" s="210"/>
      <c r="E640" s="210" t="s">
        <v>670</v>
      </c>
      <c r="F640" s="684" t="str">
        <f>+VLOOKUP(G640,Resumen_Base!$C$8:$G$156,5,0)</f>
        <v>Maintenance Lodge</v>
      </c>
      <c r="G640" s="152" t="s">
        <v>33</v>
      </c>
      <c r="H640" s="474" t="s">
        <v>32</v>
      </c>
      <c r="I640" s="152" t="str">
        <f t="shared" si="9"/>
        <v>SJ5252</v>
      </c>
      <c r="J640" s="847">
        <v>431552.2</v>
      </c>
      <c r="K640" s="513">
        <v>303.91000000000003</v>
      </c>
      <c r="L640" s="513">
        <v>1420</v>
      </c>
      <c r="M640" s="152" t="s">
        <v>7143</v>
      </c>
      <c r="N640" s="513" t="s">
        <v>780</v>
      </c>
      <c r="O640" s="513" t="s">
        <v>781</v>
      </c>
      <c r="P640" s="513" t="s">
        <v>7284</v>
      </c>
      <c r="Q640" s="518" t="s">
        <v>7101</v>
      </c>
      <c r="R640" s="152" t="s">
        <v>7285</v>
      </c>
      <c r="S640" s="152" t="s">
        <v>7292</v>
      </c>
      <c r="T640" s="152" t="s">
        <v>7287</v>
      </c>
      <c r="U640" s="152" t="s">
        <v>786</v>
      </c>
    </row>
    <row r="641" spans="4:21">
      <c r="D641" s="210"/>
      <c r="E641" s="210" t="s">
        <v>670</v>
      </c>
      <c r="F641" s="684" t="str">
        <f>+VLOOKUP(G641,Resumen_Base!$C$8:$G$156,5,0)</f>
        <v>Maintenance Lodge</v>
      </c>
      <c r="G641" s="152" t="s">
        <v>33</v>
      </c>
      <c r="H641" s="474" t="s">
        <v>32</v>
      </c>
      <c r="I641" s="152" t="str">
        <f t="shared" si="9"/>
        <v>SJ5252</v>
      </c>
      <c r="J641" s="847">
        <v>60889.599999999999</v>
      </c>
      <c r="K641" s="513">
        <v>42.88</v>
      </c>
      <c r="L641" s="513">
        <v>1420</v>
      </c>
      <c r="M641" s="152" t="s">
        <v>7143</v>
      </c>
      <c r="N641" s="513" t="s">
        <v>780</v>
      </c>
      <c r="O641" s="513" t="s">
        <v>781</v>
      </c>
      <c r="P641" s="513" t="s">
        <v>7284</v>
      </c>
      <c r="Q641" s="518" t="s">
        <v>7101</v>
      </c>
      <c r="R641" s="152" t="s">
        <v>7285</v>
      </c>
      <c r="S641" s="152" t="s">
        <v>7293</v>
      </c>
      <c r="T641" s="152" t="s">
        <v>7287</v>
      </c>
      <c r="U641" s="152" t="s">
        <v>786</v>
      </c>
    </row>
    <row r="642" spans="4:21">
      <c r="D642" s="210"/>
      <c r="E642" s="210" t="s">
        <v>670</v>
      </c>
      <c r="F642" s="684" t="str">
        <f>+VLOOKUP(G642,Resumen_Base!$C$8:$G$156,5,0)</f>
        <v>Maintenance Lodge</v>
      </c>
      <c r="G642" s="152" t="s">
        <v>33</v>
      </c>
      <c r="H642" s="474" t="s">
        <v>32</v>
      </c>
      <c r="I642" s="152" t="str">
        <f t="shared" si="9"/>
        <v>SJ5252</v>
      </c>
      <c r="J642" s="847">
        <v>426010.05</v>
      </c>
      <c r="K642" s="513">
        <v>303.20999999999998</v>
      </c>
      <c r="L642" s="513">
        <v>1405</v>
      </c>
      <c r="M642" s="152" t="s">
        <v>7143</v>
      </c>
      <c r="N642" s="513" t="s">
        <v>780</v>
      </c>
      <c r="O642" s="513" t="s">
        <v>781</v>
      </c>
      <c r="P642" s="513" t="s">
        <v>7284</v>
      </c>
      <c r="Q642" s="518" t="s">
        <v>7101</v>
      </c>
      <c r="R642" s="152" t="s">
        <v>7285</v>
      </c>
      <c r="S642" s="152" t="s">
        <v>7317</v>
      </c>
      <c r="T642" s="152" t="s">
        <v>7287</v>
      </c>
      <c r="U642" s="152" t="s">
        <v>786</v>
      </c>
    </row>
    <row r="643" spans="4:21">
      <c r="D643" s="210"/>
      <c r="E643" s="210" t="s">
        <v>670</v>
      </c>
      <c r="F643" s="684" t="str">
        <f>+VLOOKUP(G643,Resumen_Base!$C$8:$G$156,5,0)</f>
        <v>Maintenance Lodge</v>
      </c>
      <c r="G643" s="152" t="s">
        <v>33</v>
      </c>
      <c r="H643" s="474" t="s">
        <v>32</v>
      </c>
      <c r="I643" s="152" t="str">
        <f t="shared" si="9"/>
        <v>SJ5252</v>
      </c>
      <c r="J643" s="847">
        <v>44650.9</v>
      </c>
      <c r="K643" s="513">
        <v>31.78</v>
      </c>
      <c r="L643" s="513">
        <v>1405</v>
      </c>
      <c r="M643" s="152" t="s">
        <v>7143</v>
      </c>
      <c r="N643" s="513" t="s">
        <v>780</v>
      </c>
      <c r="O643" s="513" t="s">
        <v>781</v>
      </c>
      <c r="P643" s="513" t="s">
        <v>7284</v>
      </c>
      <c r="Q643" s="518" t="s">
        <v>7101</v>
      </c>
      <c r="R643" s="152" t="s">
        <v>7285</v>
      </c>
      <c r="S643" s="152" t="s">
        <v>7318</v>
      </c>
      <c r="T643" s="152" t="s">
        <v>7287</v>
      </c>
      <c r="U643" s="152" t="s">
        <v>786</v>
      </c>
    </row>
    <row r="644" spans="4:21">
      <c r="D644" s="210"/>
      <c r="E644" s="210" t="s">
        <v>670</v>
      </c>
      <c r="F644" s="684" t="str">
        <f>+VLOOKUP(G644,Resumen_Base!$C$8:$G$156,5,0)</f>
        <v>Maintenance Lodge</v>
      </c>
      <c r="G644" s="152" t="s">
        <v>33</v>
      </c>
      <c r="H644" s="474" t="s">
        <v>32</v>
      </c>
      <c r="I644" s="152" t="str">
        <f t="shared" si="9"/>
        <v>SJ5252</v>
      </c>
      <c r="J644" s="847">
        <v>446888.35</v>
      </c>
      <c r="K644" s="513">
        <v>318.07</v>
      </c>
      <c r="L644" s="513">
        <v>1405</v>
      </c>
      <c r="M644" s="152" t="s">
        <v>7143</v>
      </c>
      <c r="N644" s="513" t="s">
        <v>780</v>
      </c>
      <c r="O644" s="513" t="s">
        <v>781</v>
      </c>
      <c r="P644" s="513" t="s">
        <v>7284</v>
      </c>
      <c r="Q644" s="518" t="s">
        <v>7101</v>
      </c>
      <c r="R644" s="152" t="s">
        <v>7285</v>
      </c>
      <c r="S644" s="152" t="s">
        <v>7319</v>
      </c>
      <c r="T644" s="152" t="s">
        <v>7287</v>
      </c>
      <c r="U644" s="152" t="s">
        <v>786</v>
      </c>
    </row>
    <row r="645" spans="4:21">
      <c r="D645" s="210"/>
      <c r="E645" s="210" t="s">
        <v>670</v>
      </c>
      <c r="F645" s="684" t="str">
        <f>+VLOOKUP(G645,Resumen_Base!$C$8:$G$156,5,0)</f>
        <v>Maintenance Lodge</v>
      </c>
      <c r="G645" s="152" t="s">
        <v>33</v>
      </c>
      <c r="H645" s="474" t="s">
        <v>32</v>
      </c>
      <c r="I645" s="152" t="str">
        <f t="shared" si="9"/>
        <v>SJ5252</v>
      </c>
      <c r="J645" s="847">
        <v>171129</v>
      </c>
      <c r="K645" s="513">
        <v>121.8</v>
      </c>
      <c r="L645" s="513">
        <v>1405</v>
      </c>
      <c r="M645" s="152" t="s">
        <v>7143</v>
      </c>
      <c r="N645" s="513" t="s">
        <v>780</v>
      </c>
      <c r="O645" s="513" t="s">
        <v>781</v>
      </c>
      <c r="P645" s="513" t="s">
        <v>7284</v>
      </c>
      <c r="Q645" s="518" t="s">
        <v>7101</v>
      </c>
      <c r="R645" s="152" t="s">
        <v>7285</v>
      </c>
      <c r="S645" s="152" t="s">
        <v>7322</v>
      </c>
      <c r="T645" s="152" t="s">
        <v>7287</v>
      </c>
      <c r="U645" s="152" t="s">
        <v>786</v>
      </c>
    </row>
    <row r="646" spans="4:21">
      <c r="D646" s="210"/>
      <c r="E646" s="210" t="s">
        <v>670</v>
      </c>
      <c r="F646" s="684" t="str">
        <f>+VLOOKUP(G646,Resumen_Base!$C$8:$G$156,5,0)</f>
        <v>Maintenance Lodge</v>
      </c>
      <c r="G646" s="152" t="s">
        <v>33</v>
      </c>
      <c r="H646" s="474" t="s">
        <v>32</v>
      </c>
      <c r="I646" s="152" t="str">
        <f t="shared" si="9"/>
        <v>SJ5252</v>
      </c>
      <c r="J646" s="847">
        <v>421500</v>
      </c>
      <c r="K646" s="513">
        <v>300</v>
      </c>
      <c r="L646" s="513">
        <v>1405</v>
      </c>
      <c r="M646" s="152" t="s">
        <v>7143</v>
      </c>
      <c r="N646" s="513" t="s">
        <v>780</v>
      </c>
      <c r="O646" s="513" t="s">
        <v>781</v>
      </c>
      <c r="P646" s="513" t="s">
        <v>7284</v>
      </c>
      <c r="Q646" s="518" t="s">
        <v>7101</v>
      </c>
      <c r="R646" s="152" t="s">
        <v>7285</v>
      </c>
      <c r="S646" s="152" t="s">
        <v>7319</v>
      </c>
      <c r="T646" s="152" t="s">
        <v>7287</v>
      </c>
      <c r="U646" s="152" t="s">
        <v>786</v>
      </c>
    </row>
    <row r="647" spans="4:21">
      <c r="D647" s="210"/>
      <c r="E647" s="210" t="s">
        <v>670</v>
      </c>
      <c r="F647" s="684" t="str">
        <f>+VLOOKUP(G647,Resumen_Base!$C$8:$G$156,5,0)</f>
        <v>Maintenance Lodge</v>
      </c>
      <c r="G647" s="152" t="s">
        <v>33</v>
      </c>
      <c r="H647" s="474" t="s">
        <v>32</v>
      </c>
      <c r="I647" s="152" t="str">
        <f t="shared" si="9"/>
        <v>SJ5252</v>
      </c>
      <c r="J647" s="847">
        <v>421500</v>
      </c>
      <c r="K647" s="513">
        <v>300</v>
      </c>
      <c r="L647" s="513">
        <v>1405</v>
      </c>
      <c r="M647" s="152" t="s">
        <v>7116</v>
      </c>
      <c r="N647" s="513" t="s">
        <v>780</v>
      </c>
      <c r="O647" s="513" t="s">
        <v>781</v>
      </c>
      <c r="P647" s="513" t="s">
        <v>7418</v>
      </c>
      <c r="Q647" s="518" t="s">
        <v>7101</v>
      </c>
      <c r="R647" s="152" t="s">
        <v>7419</v>
      </c>
      <c r="S647" s="152" t="s">
        <v>7431</v>
      </c>
      <c r="T647" s="152" t="s">
        <v>7421</v>
      </c>
      <c r="U647" s="152" t="s">
        <v>786</v>
      </c>
    </row>
    <row r="648" spans="4:21">
      <c r="D648" s="210"/>
      <c r="E648" s="210" t="s">
        <v>670</v>
      </c>
      <c r="F648" s="684" t="str">
        <f>+VLOOKUP(G648,Resumen_Base!$C$8:$G$156,5,0)</f>
        <v>Maintenance Lodge</v>
      </c>
      <c r="G648" s="152" t="s">
        <v>33</v>
      </c>
      <c r="H648" s="474" t="s">
        <v>32</v>
      </c>
      <c r="I648" s="152" t="str">
        <f t="shared" si="9"/>
        <v>SJ5252</v>
      </c>
      <c r="J648" s="847">
        <v>2669.5</v>
      </c>
      <c r="K648" s="513">
        <v>1.9</v>
      </c>
      <c r="L648" s="513">
        <v>1405</v>
      </c>
      <c r="M648" s="152" t="s">
        <v>7116</v>
      </c>
      <c r="N648" s="513" t="s">
        <v>780</v>
      </c>
      <c r="O648" s="513" t="s">
        <v>781</v>
      </c>
      <c r="P648" s="513" t="s">
        <v>7418</v>
      </c>
      <c r="Q648" s="518" t="s">
        <v>7101</v>
      </c>
      <c r="R648" s="152" t="s">
        <v>7419</v>
      </c>
      <c r="S648" s="152" t="s">
        <v>953</v>
      </c>
      <c r="T648" s="152" t="s">
        <v>7421</v>
      </c>
      <c r="U648" s="152" t="s">
        <v>786</v>
      </c>
    </row>
    <row r="649" spans="4:21">
      <c r="D649" s="210"/>
      <c r="E649" s="210" t="s">
        <v>670</v>
      </c>
      <c r="F649" s="684" t="str">
        <f>+VLOOKUP(G649,Resumen_Base!$C$8:$G$156,5,0)</f>
        <v>Maintenance Lodge</v>
      </c>
      <c r="G649" s="152" t="s">
        <v>33</v>
      </c>
      <c r="H649" s="474" t="s">
        <v>32</v>
      </c>
      <c r="I649" s="152" t="str">
        <f t="shared" si="9"/>
        <v>SJ5252</v>
      </c>
      <c r="J649" s="847">
        <v>15455</v>
      </c>
      <c r="K649" s="513">
        <v>11</v>
      </c>
      <c r="L649" s="513">
        <v>1405</v>
      </c>
      <c r="M649" s="152" t="s">
        <v>7116</v>
      </c>
      <c r="N649" s="513" t="s">
        <v>780</v>
      </c>
      <c r="O649" s="513" t="s">
        <v>781</v>
      </c>
      <c r="P649" s="513" t="s">
        <v>7418</v>
      </c>
      <c r="Q649" s="518" t="s">
        <v>7101</v>
      </c>
      <c r="R649" s="152" t="s">
        <v>7419</v>
      </c>
      <c r="S649" s="152" t="s">
        <v>7432</v>
      </c>
      <c r="T649" s="152" t="s">
        <v>7421</v>
      </c>
      <c r="U649" s="152" t="s">
        <v>786</v>
      </c>
    </row>
    <row r="650" spans="4:21">
      <c r="D650" s="210"/>
      <c r="E650" s="210" t="s">
        <v>670</v>
      </c>
      <c r="F650" s="684" t="str">
        <f>+VLOOKUP(G650,Resumen_Base!$C$8:$G$156,5,0)</f>
        <v>Maintenance Lodge</v>
      </c>
      <c r="G650" s="152" t="s">
        <v>33</v>
      </c>
      <c r="H650" s="474" t="s">
        <v>32</v>
      </c>
      <c r="I650" s="152" t="str">
        <f t="shared" si="9"/>
        <v>SJ5252</v>
      </c>
      <c r="J650" s="847">
        <v>268355</v>
      </c>
      <c r="K650" s="513">
        <v>191</v>
      </c>
      <c r="L650" s="513">
        <v>1405</v>
      </c>
      <c r="M650" s="152" t="s">
        <v>7116</v>
      </c>
      <c r="N650" s="513" t="s">
        <v>780</v>
      </c>
      <c r="O650" s="513" t="s">
        <v>781</v>
      </c>
      <c r="P650" s="513" t="s">
        <v>7418</v>
      </c>
      <c r="Q650" s="518" t="s">
        <v>7101</v>
      </c>
      <c r="R650" s="152" t="s">
        <v>7419</v>
      </c>
      <c r="S650" s="152" t="s">
        <v>7433</v>
      </c>
      <c r="T650" s="152" t="s">
        <v>7421</v>
      </c>
      <c r="U650" s="152" t="s">
        <v>786</v>
      </c>
    </row>
    <row r="651" spans="4:21">
      <c r="D651" s="210"/>
      <c r="E651" s="210" t="s">
        <v>670</v>
      </c>
      <c r="F651" s="684" t="str">
        <f>+VLOOKUP(G651,Resumen_Base!$C$8:$G$156,5,0)</f>
        <v>Maintenance Lodge</v>
      </c>
      <c r="G651" s="152" t="s">
        <v>33</v>
      </c>
      <c r="H651" s="474" t="s">
        <v>32</v>
      </c>
      <c r="I651" s="152" t="str">
        <f t="shared" si="9"/>
        <v>SJ5252</v>
      </c>
      <c r="J651" s="847">
        <v>2669.5</v>
      </c>
      <c r="K651" s="513">
        <v>1.9</v>
      </c>
      <c r="L651" s="513">
        <v>1405</v>
      </c>
      <c r="M651" s="152" t="s">
        <v>7116</v>
      </c>
      <c r="N651" s="513" t="s">
        <v>780</v>
      </c>
      <c r="O651" s="513" t="s">
        <v>781</v>
      </c>
      <c r="P651" s="513" t="s">
        <v>7418</v>
      </c>
      <c r="Q651" s="518" t="s">
        <v>7101</v>
      </c>
      <c r="R651" s="152" t="s">
        <v>7419</v>
      </c>
      <c r="S651" s="152" t="s">
        <v>953</v>
      </c>
      <c r="T651" s="152" t="s">
        <v>7421</v>
      </c>
      <c r="U651" s="152" t="s">
        <v>786</v>
      </c>
    </row>
    <row r="652" spans="4:21">
      <c r="D652" s="210"/>
      <c r="E652" s="210" t="s">
        <v>670</v>
      </c>
      <c r="F652" s="684" t="str">
        <f>+VLOOKUP(G652,Resumen_Base!$C$8:$G$156,5,0)</f>
        <v>Maintenance Lodge</v>
      </c>
      <c r="G652" s="152" t="s">
        <v>33</v>
      </c>
      <c r="H652" s="474" t="s">
        <v>32</v>
      </c>
      <c r="I652" s="152" t="str">
        <f t="shared" si="9"/>
        <v>SJ5252</v>
      </c>
      <c r="J652" s="847">
        <v>151725.95000000001</v>
      </c>
      <c r="K652" s="513">
        <v>107.99</v>
      </c>
      <c r="L652" s="513">
        <v>1405</v>
      </c>
      <c r="M652" s="152" t="s">
        <v>7116</v>
      </c>
      <c r="N652" s="513" t="s">
        <v>780</v>
      </c>
      <c r="O652" s="513" t="s">
        <v>781</v>
      </c>
      <c r="P652" s="513" t="s">
        <v>7517</v>
      </c>
      <c r="Q652" s="518" t="s">
        <v>7101</v>
      </c>
      <c r="R652" s="152" t="s">
        <v>7518</v>
      </c>
      <c r="S652" s="152" t="s">
        <v>7596</v>
      </c>
      <c r="T652" s="152" t="s">
        <v>7520</v>
      </c>
      <c r="U652" s="152" t="s">
        <v>786</v>
      </c>
    </row>
    <row r="653" spans="4:21">
      <c r="D653" s="210"/>
      <c r="E653" s="210" t="s">
        <v>670</v>
      </c>
      <c r="F653" s="684" t="str">
        <f>+VLOOKUP(G653,Resumen_Base!$C$8:$G$156,5,0)</f>
        <v>Maintenance Lodge</v>
      </c>
      <c r="G653" s="152" t="s">
        <v>33</v>
      </c>
      <c r="H653" s="474" t="s">
        <v>32</v>
      </c>
      <c r="I653" s="152" t="str">
        <f t="shared" ref="I653:I716" si="10">+E653&amp;G653</f>
        <v>SJ5252</v>
      </c>
      <c r="J653" s="847">
        <v>466347.6</v>
      </c>
      <c r="K653" s="513">
        <v>331.92</v>
      </c>
      <c r="L653" s="513">
        <v>1405</v>
      </c>
      <c r="M653" s="152" t="s">
        <v>7116</v>
      </c>
      <c r="N653" s="513" t="s">
        <v>780</v>
      </c>
      <c r="O653" s="513" t="s">
        <v>781</v>
      </c>
      <c r="P653" s="513" t="s">
        <v>7517</v>
      </c>
      <c r="Q653" s="518" t="s">
        <v>7101</v>
      </c>
      <c r="R653" s="152" t="s">
        <v>7518</v>
      </c>
      <c r="S653" s="152" t="s">
        <v>7597</v>
      </c>
      <c r="T653" s="152" t="s">
        <v>7520</v>
      </c>
      <c r="U653" s="152" t="s">
        <v>786</v>
      </c>
    </row>
    <row r="654" spans="4:21">
      <c r="D654" s="210"/>
      <c r="E654" s="210" t="s">
        <v>670</v>
      </c>
      <c r="F654" s="684" t="str">
        <f>+VLOOKUP(G654,Resumen_Base!$C$8:$G$156,5,0)</f>
        <v>Maintenance Lodge</v>
      </c>
      <c r="G654" s="152" t="s">
        <v>33</v>
      </c>
      <c r="H654" s="474" t="s">
        <v>32</v>
      </c>
      <c r="I654" s="152" t="str">
        <f t="shared" si="10"/>
        <v>SJ5252</v>
      </c>
      <c r="J654" s="847">
        <v>126253.3</v>
      </c>
      <c r="K654" s="513">
        <v>89.86</v>
      </c>
      <c r="L654" s="513">
        <v>1405</v>
      </c>
      <c r="M654" s="152" t="s">
        <v>7116</v>
      </c>
      <c r="N654" s="513" t="s">
        <v>780</v>
      </c>
      <c r="O654" s="513" t="s">
        <v>781</v>
      </c>
      <c r="P654" s="513" t="s">
        <v>7517</v>
      </c>
      <c r="Q654" s="518" t="s">
        <v>7101</v>
      </c>
      <c r="R654" s="152" t="s">
        <v>7518</v>
      </c>
      <c r="S654" s="152" t="s">
        <v>7551</v>
      </c>
      <c r="T654" s="152" t="s">
        <v>7520</v>
      </c>
      <c r="U654" s="152" t="s">
        <v>786</v>
      </c>
    </row>
    <row r="655" spans="4:21">
      <c r="D655" s="210"/>
      <c r="E655" s="210" t="s">
        <v>670</v>
      </c>
      <c r="F655" s="684" t="str">
        <f>+VLOOKUP(G655,Resumen_Base!$C$8:$G$156,5,0)</f>
        <v>Maintenance Lodge</v>
      </c>
      <c r="G655" s="152" t="s">
        <v>33</v>
      </c>
      <c r="H655" s="474" t="s">
        <v>32</v>
      </c>
      <c r="I655" s="152" t="str">
        <f t="shared" si="10"/>
        <v>SJ5252</v>
      </c>
      <c r="J655" s="847">
        <v>457383.7</v>
      </c>
      <c r="K655" s="513">
        <v>325.54000000000002</v>
      </c>
      <c r="L655" s="513">
        <v>1405</v>
      </c>
      <c r="M655" s="152" t="s">
        <v>7116</v>
      </c>
      <c r="N655" s="513" t="s">
        <v>780</v>
      </c>
      <c r="O655" s="513" t="s">
        <v>781</v>
      </c>
      <c r="P655" s="513" t="s">
        <v>7517</v>
      </c>
      <c r="Q655" s="518" t="s">
        <v>7101</v>
      </c>
      <c r="R655" s="152" t="s">
        <v>7518</v>
      </c>
      <c r="S655" s="152" t="s">
        <v>7543</v>
      </c>
      <c r="T655" s="152" t="s">
        <v>7520</v>
      </c>
      <c r="U655" s="152" t="s">
        <v>786</v>
      </c>
    </row>
    <row r="656" spans="4:21">
      <c r="D656" s="210"/>
      <c r="E656" s="210" t="s">
        <v>670</v>
      </c>
      <c r="F656" s="684" t="str">
        <f>+VLOOKUP(G656,Resumen_Base!$C$8:$G$156,5,0)</f>
        <v>Maintenance Lodge</v>
      </c>
      <c r="G656" s="152" t="s">
        <v>33</v>
      </c>
      <c r="H656" s="474" t="s">
        <v>32</v>
      </c>
      <c r="I656" s="152" t="str">
        <f t="shared" si="10"/>
        <v>SJ5252</v>
      </c>
      <c r="J656" s="847">
        <v>856923.55</v>
      </c>
      <c r="K656" s="513">
        <v>609.91</v>
      </c>
      <c r="L656" s="513">
        <v>1405</v>
      </c>
      <c r="M656" s="152" t="s">
        <v>7116</v>
      </c>
      <c r="N656" s="513" t="s">
        <v>780</v>
      </c>
      <c r="O656" s="513" t="s">
        <v>781</v>
      </c>
      <c r="P656" s="513" t="s">
        <v>7517</v>
      </c>
      <c r="Q656" s="518" t="s">
        <v>7101</v>
      </c>
      <c r="R656" s="152" t="s">
        <v>7518</v>
      </c>
      <c r="S656" s="152" t="s">
        <v>7523</v>
      </c>
      <c r="T656" s="152" t="s">
        <v>7520</v>
      </c>
      <c r="U656" s="152" t="s">
        <v>786</v>
      </c>
    </row>
    <row r="657" spans="4:21">
      <c r="D657" s="210"/>
      <c r="E657" s="210" t="s">
        <v>670</v>
      </c>
      <c r="F657" s="684" t="str">
        <f>+VLOOKUP(G657,Resumen_Base!$C$8:$G$156,5,0)</f>
        <v>Maintenance Lodge</v>
      </c>
      <c r="G657" s="152" t="s">
        <v>33</v>
      </c>
      <c r="H657" s="474" t="s">
        <v>32</v>
      </c>
      <c r="I657" s="152" t="str">
        <f t="shared" si="10"/>
        <v>SJ5252</v>
      </c>
      <c r="J657" s="847">
        <v>276180.84999999998</v>
      </c>
      <c r="K657" s="513">
        <v>196.57</v>
      </c>
      <c r="L657" s="513">
        <v>1405</v>
      </c>
      <c r="M657" s="152" t="s">
        <v>7116</v>
      </c>
      <c r="N657" s="513" t="s">
        <v>780</v>
      </c>
      <c r="O657" s="513" t="s">
        <v>781</v>
      </c>
      <c r="P657" s="513" t="s">
        <v>7517</v>
      </c>
      <c r="Q657" s="518" t="s">
        <v>7101</v>
      </c>
      <c r="R657" s="152" t="s">
        <v>7518</v>
      </c>
      <c r="S657" s="152" t="s">
        <v>7598</v>
      </c>
      <c r="T657" s="152" t="s">
        <v>7520</v>
      </c>
      <c r="U657" s="152" t="s">
        <v>786</v>
      </c>
    </row>
    <row r="658" spans="4:21">
      <c r="D658" s="210"/>
      <c r="E658" s="210" t="s">
        <v>670</v>
      </c>
      <c r="F658" s="684" t="str">
        <f>+VLOOKUP(G658,Resumen_Base!$C$8:$G$156,5,0)</f>
        <v>Maintenance Lodge</v>
      </c>
      <c r="G658" s="152" t="s">
        <v>33</v>
      </c>
      <c r="H658" s="474" t="s">
        <v>32</v>
      </c>
      <c r="I658" s="152" t="str">
        <f t="shared" si="10"/>
        <v>SJ5252</v>
      </c>
      <c r="J658" s="847">
        <v>158891.45000000001</v>
      </c>
      <c r="K658" s="513">
        <v>113.09</v>
      </c>
      <c r="L658" s="513">
        <v>1405</v>
      </c>
      <c r="M658" s="152" t="s">
        <v>7116</v>
      </c>
      <c r="N658" s="513" t="s">
        <v>780</v>
      </c>
      <c r="O658" s="513" t="s">
        <v>781</v>
      </c>
      <c r="P658" s="513" t="s">
        <v>7517</v>
      </c>
      <c r="Q658" s="518" t="s">
        <v>7101</v>
      </c>
      <c r="R658" s="152" t="s">
        <v>7518</v>
      </c>
      <c r="S658" s="152" t="s">
        <v>7599</v>
      </c>
      <c r="T658" s="152" t="s">
        <v>7520</v>
      </c>
      <c r="U658" s="152" t="s">
        <v>786</v>
      </c>
    </row>
    <row r="659" spans="4:21">
      <c r="D659" s="210"/>
      <c r="E659" s="210" t="s">
        <v>670</v>
      </c>
      <c r="F659" s="684" t="str">
        <f>+VLOOKUP(G659,Resumen_Base!$C$8:$G$156,5,0)</f>
        <v>Maintenance Lodge</v>
      </c>
      <c r="G659" s="152" t="s">
        <v>33</v>
      </c>
      <c r="H659" s="474" t="s">
        <v>32</v>
      </c>
      <c r="I659" s="152" t="str">
        <f t="shared" si="10"/>
        <v>SJ5252</v>
      </c>
      <c r="J659" s="847">
        <v>2739.75</v>
      </c>
      <c r="K659" s="513">
        <v>1.95</v>
      </c>
      <c r="L659" s="513">
        <v>1405</v>
      </c>
      <c r="M659" s="152" t="s">
        <v>7116</v>
      </c>
      <c r="N659" s="513" t="s">
        <v>780</v>
      </c>
      <c r="O659" s="513" t="s">
        <v>781</v>
      </c>
      <c r="P659" s="513" t="s">
        <v>7517</v>
      </c>
      <c r="Q659" s="518" t="s">
        <v>7101</v>
      </c>
      <c r="R659" s="152" t="s">
        <v>7518</v>
      </c>
      <c r="S659" s="152" t="s">
        <v>953</v>
      </c>
      <c r="T659" s="152" t="s">
        <v>7520</v>
      </c>
      <c r="U659" s="152" t="s">
        <v>786</v>
      </c>
    </row>
    <row r="660" spans="4:21">
      <c r="D660" s="210"/>
      <c r="E660" s="210" t="s">
        <v>670</v>
      </c>
      <c r="F660" s="684" t="str">
        <f>+VLOOKUP(G660,Resumen_Base!$C$8:$G$156,5,0)</f>
        <v>Maintenance Lodge</v>
      </c>
      <c r="G660" s="152" t="s">
        <v>33</v>
      </c>
      <c r="H660" s="474" t="s">
        <v>32</v>
      </c>
      <c r="I660" s="152" t="str">
        <f t="shared" si="10"/>
        <v>SJ5252</v>
      </c>
      <c r="J660" s="847">
        <v>682577.1</v>
      </c>
      <c r="K660" s="513">
        <v>485.82</v>
      </c>
      <c r="L660" s="513">
        <v>1405</v>
      </c>
      <c r="M660" s="152" t="s">
        <v>7116</v>
      </c>
      <c r="N660" s="513" t="s">
        <v>780</v>
      </c>
      <c r="O660" s="513" t="s">
        <v>781</v>
      </c>
      <c r="P660" s="513" t="s">
        <v>7517</v>
      </c>
      <c r="Q660" s="518" t="s">
        <v>7101</v>
      </c>
      <c r="R660" s="152" t="s">
        <v>7518</v>
      </c>
      <c r="S660" s="152" t="s">
        <v>7600</v>
      </c>
      <c r="T660" s="152" t="s">
        <v>7520</v>
      </c>
      <c r="U660" s="152" t="s">
        <v>786</v>
      </c>
    </row>
    <row r="661" spans="4:21">
      <c r="D661" s="210"/>
      <c r="E661" s="210" t="s">
        <v>670</v>
      </c>
      <c r="F661" s="684" t="str">
        <f>+VLOOKUP(G661,Resumen_Base!$C$8:$G$156,5,0)</f>
        <v>Maintenance Lodge</v>
      </c>
      <c r="G661" s="152" t="s">
        <v>33</v>
      </c>
      <c r="H661" s="474" t="s">
        <v>32</v>
      </c>
      <c r="I661" s="152" t="str">
        <f t="shared" si="10"/>
        <v>SJ5252</v>
      </c>
      <c r="J661" s="847">
        <v>9287.0499999999993</v>
      </c>
      <c r="K661" s="513">
        <v>6.61</v>
      </c>
      <c r="L661" s="513">
        <v>1405</v>
      </c>
      <c r="M661" s="152" t="s">
        <v>7116</v>
      </c>
      <c r="N661" s="513" t="s">
        <v>780</v>
      </c>
      <c r="O661" s="513" t="s">
        <v>781</v>
      </c>
      <c r="P661" s="513" t="s">
        <v>7517</v>
      </c>
      <c r="Q661" s="518" t="s">
        <v>7101</v>
      </c>
      <c r="R661" s="152" t="s">
        <v>7518</v>
      </c>
      <c r="S661" s="152" t="s">
        <v>7601</v>
      </c>
      <c r="T661" s="152" t="s">
        <v>7520</v>
      </c>
      <c r="U661" s="152" t="s">
        <v>786</v>
      </c>
    </row>
    <row r="662" spans="4:21">
      <c r="D662" s="210"/>
      <c r="E662" s="210" t="s">
        <v>670</v>
      </c>
      <c r="F662" s="684" t="str">
        <f>+VLOOKUP(G662,Resumen_Base!$C$8:$G$156,5,0)</f>
        <v>Maintenance Lodge</v>
      </c>
      <c r="G662" s="152" t="s">
        <v>33</v>
      </c>
      <c r="H662" s="474" t="s">
        <v>32</v>
      </c>
      <c r="I662" s="152" t="str">
        <f t="shared" si="10"/>
        <v>SJ5252</v>
      </c>
      <c r="J662" s="847">
        <v>1475.25</v>
      </c>
      <c r="K662" s="513">
        <v>1.05</v>
      </c>
      <c r="L662" s="513">
        <v>1405</v>
      </c>
      <c r="M662" s="152" t="s">
        <v>7116</v>
      </c>
      <c r="N662" s="513" t="s">
        <v>780</v>
      </c>
      <c r="O662" s="513" t="s">
        <v>781</v>
      </c>
      <c r="P662" s="513" t="s">
        <v>7517</v>
      </c>
      <c r="Q662" s="518" t="s">
        <v>7101</v>
      </c>
      <c r="R662" s="152" t="s">
        <v>7518</v>
      </c>
      <c r="S662" s="152" t="s">
        <v>953</v>
      </c>
      <c r="T662" s="152" t="s">
        <v>7520</v>
      </c>
      <c r="U662" s="152" t="s">
        <v>786</v>
      </c>
    </row>
    <row r="663" spans="4:21">
      <c r="D663" s="210"/>
      <c r="E663" s="210" t="s">
        <v>670</v>
      </c>
      <c r="F663" s="684" t="str">
        <f>+VLOOKUP(G663,Resumen_Base!$C$8:$G$156,5,0)</f>
        <v>Maintenance Lodge</v>
      </c>
      <c r="G663" s="152" t="s">
        <v>33</v>
      </c>
      <c r="H663" s="474" t="s">
        <v>32</v>
      </c>
      <c r="I663" s="152" t="str">
        <f t="shared" si="10"/>
        <v>SJ5252</v>
      </c>
      <c r="J663" s="847">
        <v>325594.7</v>
      </c>
      <c r="K663" s="513">
        <v>231.74</v>
      </c>
      <c r="L663" s="513">
        <v>1405</v>
      </c>
      <c r="M663" s="152" t="s">
        <v>7116</v>
      </c>
      <c r="N663" s="513" t="s">
        <v>780</v>
      </c>
      <c r="O663" s="513" t="s">
        <v>781</v>
      </c>
      <c r="P663" s="513" t="s">
        <v>7517</v>
      </c>
      <c r="Q663" s="518" t="s">
        <v>7101</v>
      </c>
      <c r="R663" s="152" t="s">
        <v>7518</v>
      </c>
      <c r="S663" s="152" t="s">
        <v>7582</v>
      </c>
      <c r="T663" s="152" t="s">
        <v>7520</v>
      </c>
      <c r="U663" s="152" t="s">
        <v>786</v>
      </c>
    </row>
    <row r="664" spans="4:21">
      <c r="D664" s="210"/>
      <c r="E664" s="210" t="s">
        <v>670</v>
      </c>
      <c r="F664" s="684" t="str">
        <f>+VLOOKUP(G664,Resumen_Base!$C$8:$G$156,5,0)</f>
        <v>Maintenance Lodge</v>
      </c>
      <c r="G664" s="152" t="s">
        <v>33</v>
      </c>
      <c r="H664" s="474" t="s">
        <v>32</v>
      </c>
      <c r="I664" s="152" t="str">
        <f t="shared" si="10"/>
        <v>SJ5252</v>
      </c>
      <c r="J664" s="847">
        <v>34563</v>
      </c>
      <c r="K664" s="513">
        <v>24.6</v>
      </c>
      <c r="L664" s="513">
        <v>1405</v>
      </c>
      <c r="M664" s="152" t="s">
        <v>7116</v>
      </c>
      <c r="N664" s="513" t="s">
        <v>780</v>
      </c>
      <c r="O664" s="513" t="s">
        <v>781</v>
      </c>
      <c r="P664" s="513" t="s">
        <v>7517</v>
      </c>
      <c r="Q664" s="518" t="s">
        <v>7101</v>
      </c>
      <c r="R664" s="152" t="s">
        <v>7518</v>
      </c>
      <c r="S664" s="152" t="s">
        <v>7522</v>
      </c>
      <c r="T664" s="152" t="s">
        <v>7520</v>
      </c>
      <c r="U664" s="152" t="s">
        <v>786</v>
      </c>
    </row>
    <row r="665" spans="4:21">
      <c r="D665" s="210"/>
      <c r="E665" s="210" t="s">
        <v>670</v>
      </c>
      <c r="F665" s="684" t="str">
        <f>+VLOOKUP(G665,Resumen_Base!$C$8:$G$156,5,0)</f>
        <v>Maintenance Lodge</v>
      </c>
      <c r="G665" s="152" t="s">
        <v>33</v>
      </c>
      <c r="H665" s="474" t="s">
        <v>32</v>
      </c>
      <c r="I665" s="152" t="str">
        <f t="shared" si="10"/>
        <v>SJ5252</v>
      </c>
      <c r="J665" s="847">
        <v>57127.3</v>
      </c>
      <c r="K665" s="513">
        <v>40.659999999999997</v>
      </c>
      <c r="L665" s="513">
        <v>1405</v>
      </c>
      <c r="M665" s="152" t="s">
        <v>7116</v>
      </c>
      <c r="N665" s="513" t="s">
        <v>780</v>
      </c>
      <c r="O665" s="513" t="s">
        <v>781</v>
      </c>
      <c r="P665" s="513" t="s">
        <v>7517</v>
      </c>
      <c r="Q665" s="518" t="s">
        <v>7101</v>
      </c>
      <c r="R665" s="152" t="s">
        <v>7518</v>
      </c>
      <c r="S665" s="152" t="s">
        <v>7559</v>
      </c>
      <c r="T665" s="152" t="s">
        <v>7520</v>
      </c>
      <c r="U665" s="152" t="s">
        <v>786</v>
      </c>
    </row>
    <row r="666" spans="4:21">
      <c r="D666" s="210"/>
      <c r="E666" s="210" t="s">
        <v>670</v>
      </c>
      <c r="F666" s="684" t="str">
        <f>+VLOOKUP(G666,Resumen_Base!$C$8:$G$156,5,0)</f>
        <v>Maintenance Lodge</v>
      </c>
      <c r="G666" s="152" t="s">
        <v>33</v>
      </c>
      <c r="H666" s="474" t="s">
        <v>32</v>
      </c>
      <c r="I666" s="152" t="str">
        <f t="shared" si="10"/>
        <v>SJ5252</v>
      </c>
      <c r="J666" s="847">
        <v>29856.25</v>
      </c>
      <c r="K666" s="513">
        <v>21.25</v>
      </c>
      <c r="L666" s="513">
        <v>1405</v>
      </c>
      <c r="M666" s="152" t="s">
        <v>7116</v>
      </c>
      <c r="N666" s="513" t="s">
        <v>780</v>
      </c>
      <c r="O666" s="513" t="s">
        <v>781</v>
      </c>
      <c r="P666" s="513" t="s">
        <v>7517</v>
      </c>
      <c r="Q666" s="518" t="s">
        <v>7101</v>
      </c>
      <c r="R666" s="152" t="s">
        <v>7518</v>
      </c>
      <c r="S666" s="152" t="s">
        <v>7556</v>
      </c>
      <c r="T666" s="152" t="s">
        <v>7520</v>
      </c>
      <c r="U666" s="152" t="s">
        <v>786</v>
      </c>
    </row>
    <row r="667" spans="4:21">
      <c r="D667" s="210"/>
      <c r="E667" s="210" t="s">
        <v>670</v>
      </c>
      <c r="F667" s="684" t="str">
        <f>+VLOOKUP(G667,Resumen_Base!$C$8:$G$156,5,0)</f>
        <v>Maintenance Lodge</v>
      </c>
      <c r="G667" s="152" t="s">
        <v>33</v>
      </c>
      <c r="H667" s="474" t="s">
        <v>32</v>
      </c>
      <c r="I667" s="152" t="str">
        <f t="shared" si="10"/>
        <v>SJ5252</v>
      </c>
      <c r="J667" s="847">
        <v>127461.6</v>
      </c>
      <c r="K667" s="513">
        <v>90.72</v>
      </c>
      <c r="L667" s="513">
        <v>1405</v>
      </c>
      <c r="M667" s="152" t="s">
        <v>7116</v>
      </c>
      <c r="N667" s="513" t="s">
        <v>780</v>
      </c>
      <c r="O667" s="513" t="s">
        <v>781</v>
      </c>
      <c r="P667" s="513" t="s">
        <v>7517</v>
      </c>
      <c r="Q667" s="518" t="s">
        <v>7101</v>
      </c>
      <c r="R667" s="152" t="s">
        <v>7518</v>
      </c>
      <c r="S667" s="152" t="s">
        <v>7526</v>
      </c>
      <c r="T667" s="152" t="s">
        <v>7520</v>
      </c>
      <c r="U667" s="152" t="s">
        <v>786</v>
      </c>
    </row>
    <row r="668" spans="4:21">
      <c r="D668" s="210"/>
      <c r="E668" s="210" t="s">
        <v>670</v>
      </c>
      <c r="F668" s="684" t="str">
        <f>+VLOOKUP(G668,Resumen_Base!$C$8:$G$156,5,0)</f>
        <v>Maintenance Lodge</v>
      </c>
      <c r="G668" s="152" t="s">
        <v>33</v>
      </c>
      <c r="H668" s="474" t="s">
        <v>32</v>
      </c>
      <c r="I668" s="152" t="str">
        <f t="shared" si="10"/>
        <v>SJ5252</v>
      </c>
      <c r="J668" s="847">
        <v>107117.2</v>
      </c>
      <c r="K668" s="513">
        <v>76.239999999999995</v>
      </c>
      <c r="L668" s="513">
        <v>1405</v>
      </c>
      <c r="M668" s="152" t="s">
        <v>7116</v>
      </c>
      <c r="N668" s="513" t="s">
        <v>780</v>
      </c>
      <c r="O668" s="513" t="s">
        <v>781</v>
      </c>
      <c r="P668" s="513" t="s">
        <v>7517</v>
      </c>
      <c r="Q668" s="518" t="s">
        <v>7101</v>
      </c>
      <c r="R668" s="152" t="s">
        <v>7518</v>
      </c>
      <c r="S668" s="152" t="s">
        <v>7527</v>
      </c>
      <c r="T668" s="152" t="s">
        <v>7520</v>
      </c>
      <c r="U668" s="152" t="s">
        <v>786</v>
      </c>
    </row>
    <row r="669" spans="4:21">
      <c r="D669" s="210"/>
      <c r="E669" s="210" t="s">
        <v>670</v>
      </c>
      <c r="F669" s="684" t="str">
        <f>+VLOOKUP(G669,Resumen_Base!$C$8:$G$156,5,0)</f>
        <v>Maintenance Lodge</v>
      </c>
      <c r="G669" s="152" t="s">
        <v>33</v>
      </c>
      <c r="H669" s="474" t="s">
        <v>32</v>
      </c>
      <c r="I669" s="152" t="str">
        <f t="shared" si="10"/>
        <v>SJ5252</v>
      </c>
      <c r="J669" s="847">
        <v>26807.4</v>
      </c>
      <c r="K669" s="513">
        <v>19.079999999999998</v>
      </c>
      <c r="L669" s="513">
        <v>1405</v>
      </c>
      <c r="M669" s="152" t="s">
        <v>7116</v>
      </c>
      <c r="N669" s="513" t="s">
        <v>780</v>
      </c>
      <c r="O669" s="513" t="s">
        <v>781</v>
      </c>
      <c r="P669" s="513" t="s">
        <v>7517</v>
      </c>
      <c r="Q669" s="518" t="s">
        <v>7101</v>
      </c>
      <c r="R669" s="152" t="s">
        <v>7518</v>
      </c>
      <c r="S669" s="152" t="s">
        <v>7602</v>
      </c>
      <c r="T669" s="152" t="s">
        <v>7520</v>
      </c>
      <c r="U669" s="152" t="s">
        <v>786</v>
      </c>
    </row>
    <row r="670" spans="4:21">
      <c r="D670" s="210"/>
      <c r="E670" s="210" t="s">
        <v>670</v>
      </c>
      <c r="F670" s="684" t="str">
        <f>+VLOOKUP(G670,Resumen_Base!$C$8:$G$156,5,0)</f>
        <v>Maintenance Lodge</v>
      </c>
      <c r="G670" s="152" t="s">
        <v>33</v>
      </c>
      <c r="H670" s="474" t="s">
        <v>32</v>
      </c>
      <c r="I670" s="152" t="str">
        <f t="shared" si="10"/>
        <v>SJ5252</v>
      </c>
      <c r="J670" s="847">
        <v>507767</v>
      </c>
      <c r="K670" s="513">
        <v>361.4</v>
      </c>
      <c r="L670" s="513">
        <v>1405</v>
      </c>
      <c r="M670" s="152" t="s">
        <v>7116</v>
      </c>
      <c r="N670" s="513" t="s">
        <v>780</v>
      </c>
      <c r="O670" s="513" t="s">
        <v>781</v>
      </c>
      <c r="P670" s="513" t="s">
        <v>7517</v>
      </c>
      <c r="Q670" s="518" t="s">
        <v>7101</v>
      </c>
      <c r="R670" s="152" t="s">
        <v>7518</v>
      </c>
      <c r="S670" s="152" t="s">
        <v>7587</v>
      </c>
      <c r="T670" s="152" t="s">
        <v>7520</v>
      </c>
      <c r="U670" s="152" t="s">
        <v>786</v>
      </c>
    </row>
    <row r="671" spans="4:21">
      <c r="D671" s="210"/>
      <c r="E671" s="210" t="s">
        <v>670</v>
      </c>
      <c r="F671" s="684" t="str">
        <f>+VLOOKUP(G671,Resumen_Base!$C$8:$G$156,5,0)</f>
        <v>Maintenance Lodge</v>
      </c>
      <c r="G671" s="152" t="s">
        <v>33</v>
      </c>
      <c r="H671" s="474" t="s">
        <v>32</v>
      </c>
      <c r="I671" s="152" t="str">
        <f t="shared" si="10"/>
        <v>SJ5252</v>
      </c>
      <c r="J671" s="847">
        <v>49189.05</v>
      </c>
      <c r="K671" s="513">
        <v>35.01</v>
      </c>
      <c r="L671" s="513">
        <v>1405</v>
      </c>
      <c r="M671" s="152" t="s">
        <v>7116</v>
      </c>
      <c r="N671" s="513" t="s">
        <v>780</v>
      </c>
      <c r="O671" s="513" t="s">
        <v>781</v>
      </c>
      <c r="P671" s="513" t="s">
        <v>7517</v>
      </c>
      <c r="Q671" s="518" t="s">
        <v>7101</v>
      </c>
      <c r="R671" s="152" t="s">
        <v>7518</v>
      </c>
      <c r="S671" s="152" t="s">
        <v>7583</v>
      </c>
      <c r="T671" s="152" t="s">
        <v>7520</v>
      </c>
      <c r="U671" s="152" t="s">
        <v>786</v>
      </c>
    </row>
    <row r="672" spans="4:21">
      <c r="D672" s="210"/>
      <c r="E672" s="210" t="s">
        <v>670</v>
      </c>
      <c r="F672" s="684" t="str">
        <f>+VLOOKUP(G672,Resumen_Base!$C$8:$G$156,5,0)</f>
        <v>Maintenance Lodge</v>
      </c>
      <c r="G672" s="152" t="s">
        <v>33</v>
      </c>
      <c r="H672" s="474" t="s">
        <v>32</v>
      </c>
      <c r="I672" s="152" t="str">
        <f t="shared" si="10"/>
        <v>SJ5252</v>
      </c>
      <c r="J672" s="847">
        <v>2711.65</v>
      </c>
      <c r="K672" s="513">
        <v>1.93</v>
      </c>
      <c r="L672" s="513">
        <v>1405</v>
      </c>
      <c r="M672" s="152" t="s">
        <v>7116</v>
      </c>
      <c r="N672" s="513" t="s">
        <v>780</v>
      </c>
      <c r="O672" s="513" t="s">
        <v>781</v>
      </c>
      <c r="P672" s="513" t="s">
        <v>7517</v>
      </c>
      <c r="Q672" s="518" t="s">
        <v>7101</v>
      </c>
      <c r="R672" s="152" t="s">
        <v>7518</v>
      </c>
      <c r="S672" s="152" t="s">
        <v>953</v>
      </c>
      <c r="T672" s="152" t="s">
        <v>7520</v>
      </c>
      <c r="U672" s="152" t="s">
        <v>786</v>
      </c>
    </row>
    <row r="673" spans="4:21">
      <c r="D673" s="210"/>
      <c r="E673" s="210" t="s">
        <v>670</v>
      </c>
      <c r="F673" s="684" t="str">
        <f>+VLOOKUP(G673,Resumen_Base!$C$8:$G$156,5,0)</f>
        <v>Maintenance Lodge</v>
      </c>
      <c r="G673" s="152" t="s">
        <v>33</v>
      </c>
      <c r="H673" s="474" t="s">
        <v>32</v>
      </c>
      <c r="I673" s="152" t="str">
        <f t="shared" si="10"/>
        <v>SJ5252</v>
      </c>
      <c r="J673" s="847">
        <v>91872.95</v>
      </c>
      <c r="K673" s="513">
        <v>65.39</v>
      </c>
      <c r="L673" s="513">
        <v>1405</v>
      </c>
      <c r="M673" s="152" t="s">
        <v>7116</v>
      </c>
      <c r="N673" s="513" t="s">
        <v>780</v>
      </c>
      <c r="O673" s="513" t="s">
        <v>781</v>
      </c>
      <c r="P673" s="513" t="s">
        <v>7517</v>
      </c>
      <c r="Q673" s="518" t="s">
        <v>7101</v>
      </c>
      <c r="R673" s="152" t="s">
        <v>7518</v>
      </c>
      <c r="S673" s="152" t="s">
        <v>7605</v>
      </c>
      <c r="T673" s="152" t="s">
        <v>7520</v>
      </c>
      <c r="U673" s="152" t="s">
        <v>786</v>
      </c>
    </row>
    <row r="674" spans="4:21">
      <c r="D674" s="210"/>
      <c r="E674" s="210" t="s">
        <v>670</v>
      </c>
      <c r="F674" s="684" t="str">
        <f>+VLOOKUP(G674,Resumen_Base!$C$8:$G$156,5,0)</f>
        <v>Maintenance Lodge</v>
      </c>
      <c r="G674" s="152" t="s">
        <v>33</v>
      </c>
      <c r="H674" s="474" t="s">
        <v>32</v>
      </c>
      <c r="I674" s="152" t="str">
        <f t="shared" si="10"/>
        <v>SJ5252</v>
      </c>
      <c r="J674" s="847">
        <v>2697.6</v>
      </c>
      <c r="K674" s="513">
        <v>1.92</v>
      </c>
      <c r="L674" s="513">
        <v>1405</v>
      </c>
      <c r="M674" s="152" t="s">
        <v>7116</v>
      </c>
      <c r="N674" s="513" t="s">
        <v>780</v>
      </c>
      <c r="O674" s="513" t="s">
        <v>781</v>
      </c>
      <c r="P674" s="513" t="s">
        <v>7517</v>
      </c>
      <c r="Q674" s="518" t="s">
        <v>7101</v>
      </c>
      <c r="R674" s="152" t="s">
        <v>7518</v>
      </c>
      <c r="S674" s="152" t="s">
        <v>953</v>
      </c>
      <c r="T674" s="152" t="s">
        <v>7520</v>
      </c>
      <c r="U674" s="152" t="s">
        <v>786</v>
      </c>
    </row>
    <row r="675" spans="4:21">
      <c r="D675" s="210"/>
      <c r="E675" s="210" t="s">
        <v>670</v>
      </c>
      <c r="F675" s="684" t="str">
        <f>+VLOOKUP(G675,Resumen_Base!$C$8:$G$156,5,0)</f>
        <v>Maintenance Lodge</v>
      </c>
      <c r="G675" s="152" t="s">
        <v>33</v>
      </c>
      <c r="H675" s="474" t="s">
        <v>32</v>
      </c>
      <c r="I675" s="152" t="str">
        <f t="shared" si="10"/>
        <v>SJ5252</v>
      </c>
      <c r="J675" s="847">
        <v>307456.15000000002</v>
      </c>
      <c r="K675" s="513">
        <v>218.83</v>
      </c>
      <c r="L675" s="513">
        <v>1405</v>
      </c>
      <c r="M675" s="152" t="s">
        <v>7116</v>
      </c>
      <c r="N675" s="513" t="s">
        <v>780</v>
      </c>
      <c r="O675" s="513" t="s">
        <v>781</v>
      </c>
      <c r="P675" s="513" t="s">
        <v>7517</v>
      </c>
      <c r="Q675" s="518" t="s">
        <v>7101</v>
      </c>
      <c r="R675" s="152" t="s">
        <v>7518</v>
      </c>
      <c r="S675" s="152" t="s">
        <v>7606</v>
      </c>
      <c r="T675" s="152" t="s">
        <v>7520</v>
      </c>
      <c r="U675" s="152" t="s">
        <v>786</v>
      </c>
    </row>
    <row r="676" spans="4:21">
      <c r="D676" s="210"/>
      <c r="E676" s="210" t="s">
        <v>670</v>
      </c>
      <c r="F676" s="684" t="str">
        <f>+VLOOKUP(G676,Resumen_Base!$C$8:$G$156,5,0)</f>
        <v>Maintenance Lodge</v>
      </c>
      <c r="G676" s="152" t="s">
        <v>33</v>
      </c>
      <c r="H676" s="474" t="s">
        <v>32</v>
      </c>
      <c r="I676" s="152" t="str">
        <f t="shared" si="10"/>
        <v>SJ5252</v>
      </c>
      <c r="J676" s="847">
        <v>2697.6</v>
      </c>
      <c r="K676" s="513">
        <v>1.92</v>
      </c>
      <c r="L676" s="513">
        <v>1405</v>
      </c>
      <c r="M676" s="152" t="s">
        <v>7116</v>
      </c>
      <c r="N676" s="513" t="s">
        <v>780</v>
      </c>
      <c r="O676" s="513" t="s">
        <v>781</v>
      </c>
      <c r="P676" s="513" t="s">
        <v>7517</v>
      </c>
      <c r="Q676" s="518" t="s">
        <v>7101</v>
      </c>
      <c r="R676" s="152" t="s">
        <v>7518</v>
      </c>
      <c r="S676" s="152" t="s">
        <v>953</v>
      </c>
      <c r="T676" s="152" t="s">
        <v>7520</v>
      </c>
      <c r="U676" s="152" t="s">
        <v>786</v>
      </c>
    </row>
    <row r="677" spans="4:21">
      <c r="D677" s="210"/>
      <c r="E677" s="210" t="s">
        <v>670</v>
      </c>
      <c r="F677" s="684" t="str">
        <f>+VLOOKUP(G677,Resumen_Base!$C$8:$G$156,5,0)</f>
        <v>Maintenance Lodge</v>
      </c>
      <c r="G677" s="152" t="s">
        <v>33</v>
      </c>
      <c r="H677" s="474" t="s">
        <v>32</v>
      </c>
      <c r="I677" s="152" t="str">
        <f t="shared" si="10"/>
        <v>SJ5252</v>
      </c>
      <c r="J677" s="847">
        <v>80436.25</v>
      </c>
      <c r="K677" s="513">
        <v>57.25</v>
      </c>
      <c r="L677" s="513">
        <v>1405</v>
      </c>
      <c r="M677" s="152" t="s">
        <v>7116</v>
      </c>
      <c r="N677" s="513" t="s">
        <v>780</v>
      </c>
      <c r="O677" s="513" t="s">
        <v>781</v>
      </c>
      <c r="P677" s="513" t="s">
        <v>7517</v>
      </c>
      <c r="Q677" s="518" t="s">
        <v>7101</v>
      </c>
      <c r="R677" s="152" t="s">
        <v>7518</v>
      </c>
      <c r="S677" s="152" t="s">
        <v>7607</v>
      </c>
      <c r="T677" s="152" t="s">
        <v>7520</v>
      </c>
      <c r="U677" s="152" t="s">
        <v>786</v>
      </c>
    </row>
    <row r="678" spans="4:21">
      <c r="D678" s="210"/>
      <c r="E678" s="210" t="s">
        <v>670</v>
      </c>
      <c r="F678" s="684" t="str">
        <f>+VLOOKUP(G678,Resumen_Base!$C$8:$G$156,5,0)</f>
        <v>Maintenance Lodge</v>
      </c>
      <c r="G678" s="152" t="s">
        <v>33</v>
      </c>
      <c r="H678" s="474" t="s">
        <v>32</v>
      </c>
      <c r="I678" s="152" t="str">
        <f t="shared" si="10"/>
        <v>SJ5252</v>
      </c>
      <c r="J678" s="847">
        <v>227947.2</v>
      </c>
      <c r="K678" s="513">
        <v>162.24</v>
      </c>
      <c r="L678" s="513">
        <v>1405</v>
      </c>
      <c r="M678" s="152" t="s">
        <v>7116</v>
      </c>
      <c r="N678" s="513" t="s">
        <v>780</v>
      </c>
      <c r="O678" s="513" t="s">
        <v>781</v>
      </c>
      <c r="P678" s="513" t="s">
        <v>7517</v>
      </c>
      <c r="Q678" s="518" t="s">
        <v>7101</v>
      </c>
      <c r="R678" s="152" t="s">
        <v>7518</v>
      </c>
      <c r="S678" s="152" t="s">
        <v>7608</v>
      </c>
      <c r="T678" s="152" t="s">
        <v>7520</v>
      </c>
      <c r="U678" s="152" t="s">
        <v>786</v>
      </c>
    </row>
    <row r="679" spans="4:21">
      <c r="D679" s="210"/>
      <c r="E679" s="210" t="s">
        <v>670</v>
      </c>
      <c r="F679" s="684" t="str">
        <f>+VLOOKUP(G679,Resumen_Base!$C$8:$G$156,5,0)</f>
        <v>Maintenance Lodge</v>
      </c>
      <c r="G679" s="152" t="s">
        <v>33</v>
      </c>
      <c r="H679" s="474" t="s">
        <v>32</v>
      </c>
      <c r="I679" s="152" t="str">
        <f t="shared" si="10"/>
        <v>SJ5252</v>
      </c>
      <c r="J679" s="847">
        <v>858063.4</v>
      </c>
      <c r="K679" s="513">
        <v>604.27</v>
      </c>
      <c r="L679" s="513">
        <v>1420</v>
      </c>
      <c r="M679" s="152" t="s">
        <v>7143</v>
      </c>
      <c r="N679" s="513" t="s">
        <v>780</v>
      </c>
      <c r="O679" s="513" t="s">
        <v>781</v>
      </c>
      <c r="P679" s="513" t="s">
        <v>7653</v>
      </c>
      <c r="Q679" s="518" t="s">
        <v>7101</v>
      </c>
      <c r="R679" s="152" t="s">
        <v>7654</v>
      </c>
      <c r="S679" s="152" t="s">
        <v>7661</v>
      </c>
      <c r="T679" s="152" t="s">
        <v>7655</v>
      </c>
      <c r="U679" s="152" t="s">
        <v>786</v>
      </c>
    </row>
    <row r="680" spans="4:21">
      <c r="D680" s="210"/>
      <c r="E680" s="210" t="s">
        <v>670</v>
      </c>
      <c r="F680" s="684" t="str">
        <f>+VLOOKUP(G680,Resumen_Base!$C$8:$G$156,5,0)</f>
        <v>Maintenance Lodge</v>
      </c>
      <c r="G680" s="152" t="s">
        <v>33</v>
      </c>
      <c r="H680" s="474" t="s">
        <v>32</v>
      </c>
      <c r="I680" s="152" t="str">
        <f t="shared" si="10"/>
        <v>SJ5252</v>
      </c>
      <c r="J680" s="847">
        <v>1633</v>
      </c>
      <c r="K680" s="513">
        <v>1.1499999999999999</v>
      </c>
      <c r="L680" s="513">
        <v>1420</v>
      </c>
      <c r="M680" s="152" t="s">
        <v>7143</v>
      </c>
      <c r="N680" s="513" t="s">
        <v>780</v>
      </c>
      <c r="O680" s="513" t="s">
        <v>781</v>
      </c>
      <c r="P680" s="513" t="s">
        <v>7653</v>
      </c>
      <c r="Q680" s="518" t="s">
        <v>7101</v>
      </c>
      <c r="R680" s="152" t="s">
        <v>7654</v>
      </c>
      <c r="S680" s="152" t="s">
        <v>953</v>
      </c>
      <c r="T680" s="152" t="s">
        <v>7655</v>
      </c>
      <c r="U680" s="152" t="s">
        <v>786</v>
      </c>
    </row>
    <row r="681" spans="4:21">
      <c r="D681" s="210"/>
      <c r="E681" s="210" t="s">
        <v>670</v>
      </c>
      <c r="F681" s="684" t="str">
        <f>+VLOOKUP(G681,Resumen_Base!$C$8:$G$156,5,0)</f>
        <v>Maintenance Lodge</v>
      </c>
      <c r="G681" s="152" t="s">
        <v>33</v>
      </c>
      <c r="H681" s="474" t="s">
        <v>32</v>
      </c>
      <c r="I681" s="152" t="str">
        <f t="shared" si="10"/>
        <v>SJ5252</v>
      </c>
      <c r="J681" s="847">
        <v>98164.6</v>
      </c>
      <c r="K681" s="513">
        <v>69.13</v>
      </c>
      <c r="L681" s="513">
        <v>1420</v>
      </c>
      <c r="M681" s="152" t="s">
        <v>7143</v>
      </c>
      <c r="N681" s="513" t="s">
        <v>780</v>
      </c>
      <c r="O681" s="513" t="s">
        <v>781</v>
      </c>
      <c r="P681" s="513" t="s">
        <v>7653</v>
      </c>
      <c r="Q681" s="518" t="s">
        <v>7101</v>
      </c>
      <c r="R681" s="152" t="s">
        <v>7654</v>
      </c>
      <c r="S681" s="152" t="s">
        <v>7660</v>
      </c>
      <c r="T681" s="152" t="s">
        <v>7655</v>
      </c>
      <c r="U681" s="152" t="s">
        <v>786</v>
      </c>
    </row>
    <row r="682" spans="4:21">
      <c r="D682" s="210"/>
      <c r="E682" s="210" t="s">
        <v>670</v>
      </c>
      <c r="F682" s="684" t="str">
        <f>+VLOOKUP(G682,Resumen_Base!$C$8:$G$156,5,0)</f>
        <v>Maintenance Lodge</v>
      </c>
      <c r="G682" s="152" t="s">
        <v>33</v>
      </c>
      <c r="H682" s="474" t="s">
        <v>32</v>
      </c>
      <c r="I682" s="152" t="str">
        <f t="shared" si="10"/>
        <v>SJ5252</v>
      </c>
      <c r="J682" s="847">
        <v>40072.400000000001</v>
      </c>
      <c r="K682" s="513">
        <v>28.22</v>
      </c>
      <c r="L682" s="513">
        <v>1420</v>
      </c>
      <c r="M682" s="152" t="s">
        <v>7143</v>
      </c>
      <c r="N682" s="513" t="s">
        <v>780</v>
      </c>
      <c r="O682" s="513" t="s">
        <v>781</v>
      </c>
      <c r="P682" s="513" t="s">
        <v>7664</v>
      </c>
      <c r="Q682" s="518" t="s">
        <v>7101</v>
      </c>
      <c r="R682" s="152" t="s">
        <v>7665</v>
      </c>
      <c r="S682" s="152" t="s">
        <v>7683</v>
      </c>
      <c r="T682" s="152" t="s">
        <v>7667</v>
      </c>
      <c r="U682" s="152" t="s">
        <v>786</v>
      </c>
    </row>
    <row r="683" spans="4:21">
      <c r="D683" s="210"/>
      <c r="E683" s="210" t="s">
        <v>670</v>
      </c>
      <c r="F683" s="684" t="str">
        <f>+VLOOKUP(G683,Resumen_Base!$C$8:$G$156,5,0)</f>
        <v>Maintenance Lodge</v>
      </c>
      <c r="G683" s="152" t="s">
        <v>33</v>
      </c>
      <c r="H683" s="474" t="s">
        <v>32</v>
      </c>
      <c r="I683" s="152" t="str">
        <f t="shared" si="10"/>
        <v>SJ5252</v>
      </c>
      <c r="J683" s="847">
        <v>236373.2</v>
      </c>
      <c r="K683" s="513">
        <v>166.46</v>
      </c>
      <c r="L683" s="513">
        <v>1420</v>
      </c>
      <c r="M683" s="152" t="s">
        <v>7143</v>
      </c>
      <c r="N683" s="513" t="s">
        <v>780</v>
      </c>
      <c r="O683" s="513" t="s">
        <v>781</v>
      </c>
      <c r="P683" s="513" t="s">
        <v>7664</v>
      </c>
      <c r="Q683" s="518" t="s">
        <v>7101</v>
      </c>
      <c r="R683" s="152" t="s">
        <v>7665</v>
      </c>
      <c r="S683" s="152" t="s">
        <v>6361</v>
      </c>
      <c r="T683" s="152" t="s">
        <v>7667</v>
      </c>
      <c r="U683" s="152" t="s">
        <v>786</v>
      </c>
    </row>
    <row r="684" spans="4:21">
      <c r="D684" s="210"/>
      <c r="E684" s="210" t="s">
        <v>670</v>
      </c>
      <c r="F684" s="684" t="str">
        <f>+VLOOKUP(G684,Resumen_Base!$C$8:$G$156,5,0)</f>
        <v>Maintenance Lodge</v>
      </c>
      <c r="G684" s="152" t="s">
        <v>33</v>
      </c>
      <c r="H684" s="474" t="s">
        <v>32</v>
      </c>
      <c r="I684" s="152" t="str">
        <f t="shared" si="10"/>
        <v>SJ5252</v>
      </c>
      <c r="J684" s="847">
        <v>2712.2</v>
      </c>
      <c r="K684" s="513">
        <v>1.91</v>
      </c>
      <c r="L684" s="513">
        <v>1420</v>
      </c>
      <c r="M684" s="152" t="s">
        <v>7143</v>
      </c>
      <c r="N684" s="513" t="s">
        <v>780</v>
      </c>
      <c r="O684" s="513" t="s">
        <v>781</v>
      </c>
      <c r="P684" s="513" t="s">
        <v>7664</v>
      </c>
      <c r="Q684" s="518" t="s">
        <v>7101</v>
      </c>
      <c r="R684" s="152" t="s">
        <v>7665</v>
      </c>
      <c r="S684" s="152" t="s">
        <v>7684</v>
      </c>
      <c r="T684" s="152" t="s">
        <v>7667</v>
      </c>
      <c r="U684" s="152" t="s">
        <v>786</v>
      </c>
    </row>
    <row r="685" spans="4:21">
      <c r="D685" s="210"/>
      <c r="E685" s="210" t="s">
        <v>676</v>
      </c>
      <c r="F685" s="684" t="str">
        <f>+VLOOKUP(G685,Resumen_Base!$C$8:$G$156,5,0)</f>
        <v>Maintenance Lodge</v>
      </c>
      <c r="G685" s="152" t="s">
        <v>33</v>
      </c>
      <c r="H685" s="474" t="s">
        <v>32</v>
      </c>
      <c r="I685" s="152" t="str">
        <f t="shared" si="10"/>
        <v>CAR5252</v>
      </c>
      <c r="J685" s="847">
        <v>1967786.8</v>
      </c>
      <c r="K685" s="513">
        <v>1400.56</v>
      </c>
      <c r="L685" s="513">
        <v>1405</v>
      </c>
      <c r="M685" s="152" t="s">
        <v>7116</v>
      </c>
      <c r="N685" s="513" t="s">
        <v>780</v>
      </c>
      <c r="O685" s="513" t="s">
        <v>1407</v>
      </c>
      <c r="P685" s="513" t="s">
        <v>7179</v>
      </c>
      <c r="Q685" s="518" t="s">
        <v>7101</v>
      </c>
      <c r="R685" s="152" t="s">
        <v>7180</v>
      </c>
      <c r="S685" s="152" t="s">
        <v>7244</v>
      </c>
      <c r="T685" s="152" t="s">
        <v>7182</v>
      </c>
      <c r="U685" s="152" t="s">
        <v>786</v>
      </c>
    </row>
    <row r="686" spans="4:21">
      <c r="D686" s="210"/>
      <c r="E686" s="210" t="s">
        <v>676</v>
      </c>
      <c r="F686" s="684" t="str">
        <f>+VLOOKUP(G686,Resumen_Base!$C$8:$G$156,5,0)</f>
        <v>Maintenance Lodge</v>
      </c>
      <c r="G686" s="152" t="s">
        <v>33</v>
      </c>
      <c r="H686" s="474" t="s">
        <v>32</v>
      </c>
      <c r="I686" s="152" t="str">
        <f t="shared" si="10"/>
        <v>CAR5252</v>
      </c>
      <c r="J686" s="847">
        <v>88149.7</v>
      </c>
      <c r="K686" s="513">
        <v>62.74</v>
      </c>
      <c r="L686" s="513">
        <v>1405</v>
      </c>
      <c r="M686" s="152" t="s">
        <v>7116</v>
      </c>
      <c r="N686" s="513" t="s">
        <v>780</v>
      </c>
      <c r="O686" s="513" t="s">
        <v>1407</v>
      </c>
      <c r="P686" s="513" t="s">
        <v>7179</v>
      </c>
      <c r="Q686" s="518" t="s">
        <v>7101</v>
      </c>
      <c r="R686" s="152" t="s">
        <v>7180</v>
      </c>
      <c r="S686" s="152" t="s">
        <v>7238</v>
      </c>
      <c r="T686" s="152" t="s">
        <v>7182</v>
      </c>
      <c r="U686" s="152" t="s">
        <v>786</v>
      </c>
    </row>
    <row r="687" spans="4:21">
      <c r="D687" s="210"/>
      <c r="E687" s="210" t="s">
        <v>676</v>
      </c>
      <c r="F687" s="684" t="str">
        <f>+VLOOKUP(G687,Resumen_Base!$C$8:$G$156,5,0)</f>
        <v>Maintenance Lodge</v>
      </c>
      <c r="G687" s="152" t="s">
        <v>33</v>
      </c>
      <c r="H687" s="474" t="s">
        <v>32</v>
      </c>
      <c r="I687" s="152" t="str">
        <f t="shared" si="10"/>
        <v>CAR5252</v>
      </c>
      <c r="J687" s="847">
        <v>98167.35</v>
      </c>
      <c r="K687" s="513">
        <v>69.87</v>
      </c>
      <c r="L687" s="513">
        <v>1405</v>
      </c>
      <c r="M687" s="152" t="s">
        <v>7116</v>
      </c>
      <c r="N687" s="513" t="s">
        <v>780</v>
      </c>
      <c r="O687" s="513" t="s">
        <v>1407</v>
      </c>
      <c r="P687" s="513" t="s">
        <v>7179</v>
      </c>
      <c r="Q687" s="518" t="s">
        <v>7101</v>
      </c>
      <c r="R687" s="152" t="s">
        <v>7180</v>
      </c>
      <c r="S687" s="152" t="s">
        <v>7183</v>
      </c>
      <c r="T687" s="152" t="s">
        <v>7182</v>
      </c>
      <c r="U687" s="152" t="s">
        <v>786</v>
      </c>
    </row>
    <row r="688" spans="4:21">
      <c r="D688" s="210"/>
      <c r="E688" s="210" t="s">
        <v>676</v>
      </c>
      <c r="F688" s="684" t="str">
        <f>+VLOOKUP(G688,Resumen_Base!$C$8:$G$156,5,0)</f>
        <v>Maintenance Lodge</v>
      </c>
      <c r="G688" s="152" t="s">
        <v>33</v>
      </c>
      <c r="H688" s="474" t="s">
        <v>32</v>
      </c>
      <c r="I688" s="152" t="str">
        <f t="shared" si="10"/>
        <v>CAR5252</v>
      </c>
      <c r="J688" s="847">
        <v>3175.3</v>
      </c>
      <c r="K688" s="513">
        <v>2.2599999999999998</v>
      </c>
      <c r="L688" s="513">
        <v>1405</v>
      </c>
      <c r="M688" s="152" t="s">
        <v>7116</v>
      </c>
      <c r="N688" s="513" t="s">
        <v>780</v>
      </c>
      <c r="O688" s="513" t="s">
        <v>1407</v>
      </c>
      <c r="P688" s="513" t="s">
        <v>7179</v>
      </c>
      <c r="Q688" s="518" t="s">
        <v>7101</v>
      </c>
      <c r="R688" s="152" t="s">
        <v>7180</v>
      </c>
      <c r="S688" s="152" t="s">
        <v>7184</v>
      </c>
      <c r="T688" s="152" t="s">
        <v>7182</v>
      </c>
      <c r="U688" s="152" t="s">
        <v>786</v>
      </c>
    </row>
    <row r="689" spans="4:21">
      <c r="D689" s="210"/>
      <c r="E689" s="210" t="s">
        <v>676</v>
      </c>
      <c r="F689" s="684" t="str">
        <f>+VLOOKUP(G689,Resumen_Base!$C$8:$G$156,5,0)</f>
        <v>Maintenance Lodge</v>
      </c>
      <c r="G689" s="152" t="s">
        <v>33</v>
      </c>
      <c r="H689" s="474" t="s">
        <v>32</v>
      </c>
      <c r="I689" s="152" t="str">
        <f t="shared" si="10"/>
        <v>CAR5252</v>
      </c>
      <c r="J689" s="847">
        <v>583075</v>
      </c>
      <c r="K689" s="513">
        <v>415</v>
      </c>
      <c r="L689" s="513">
        <v>1405</v>
      </c>
      <c r="M689" s="152" t="s">
        <v>7116</v>
      </c>
      <c r="N689" s="513" t="s">
        <v>780</v>
      </c>
      <c r="O689" s="513" t="s">
        <v>1407</v>
      </c>
      <c r="P689" s="513" t="s">
        <v>7179</v>
      </c>
      <c r="Q689" s="518" t="s">
        <v>7101</v>
      </c>
      <c r="R689" s="152" t="s">
        <v>7180</v>
      </c>
      <c r="S689" s="152" t="s">
        <v>7186</v>
      </c>
      <c r="T689" s="152" t="s">
        <v>7182</v>
      </c>
      <c r="U689" s="152" t="s">
        <v>786</v>
      </c>
    </row>
    <row r="690" spans="4:21">
      <c r="D690" s="210"/>
      <c r="E690" s="210" t="s">
        <v>676</v>
      </c>
      <c r="F690" s="684" t="str">
        <f>+VLOOKUP(G690,Resumen_Base!$C$8:$G$156,5,0)</f>
        <v>Maintenance Lodge</v>
      </c>
      <c r="G690" s="152" t="s">
        <v>33</v>
      </c>
      <c r="H690" s="474" t="s">
        <v>32</v>
      </c>
      <c r="I690" s="152" t="str">
        <f t="shared" si="10"/>
        <v>CAR5252</v>
      </c>
      <c r="J690" s="847">
        <v>124553.25</v>
      </c>
      <c r="K690" s="513">
        <v>88.65</v>
      </c>
      <c r="L690" s="513">
        <v>1405</v>
      </c>
      <c r="M690" s="152" t="s">
        <v>7116</v>
      </c>
      <c r="N690" s="513" t="s">
        <v>780</v>
      </c>
      <c r="O690" s="513" t="s">
        <v>1407</v>
      </c>
      <c r="P690" s="513" t="s">
        <v>7179</v>
      </c>
      <c r="Q690" s="518" t="s">
        <v>7101</v>
      </c>
      <c r="R690" s="152" t="s">
        <v>7180</v>
      </c>
      <c r="S690" s="152" t="s">
        <v>7187</v>
      </c>
      <c r="T690" s="152" t="s">
        <v>7182</v>
      </c>
      <c r="U690" s="152" t="s">
        <v>786</v>
      </c>
    </row>
    <row r="691" spans="4:21">
      <c r="D691" s="210"/>
      <c r="E691" s="210" t="s">
        <v>676</v>
      </c>
      <c r="F691" s="684" t="str">
        <f>+VLOOKUP(G691,Resumen_Base!$C$8:$G$156,5,0)</f>
        <v>Maintenance Lodge</v>
      </c>
      <c r="G691" s="152" t="s">
        <v>33</v>
      </c>
      <c r="H691" s="474" t="s">
        <v>32</v>
      </c>
      <c r="I691" s="152" t="str">
        <f t="shared" si="10"/>
        <v>CAR5252</v>
      </c>
      <c r="J691" s="847">
        <v>81981.75</v>
      </c>
      <c r="K691" s="513">
        <v>58.35</v>
      </c>
      <c r="L691" s="513">
        <v>1405</v>
      </c>
      <c r="M691" s="152" t="s">
        <v>7116</v>
      </c>
      <c r="N691" s="513" t="s">
        <v>780</v>
      </c>
      <c r="O691" s="513" t="s">
        <v>1407</v>
      </c>
      <c r="P691" s="513" t="s">
        <v>7179</v>
      </c>
      <c r="Q691" s="518" t="s">
        <v>7101</v>
      </c>
      <c r="R691" s="152" t="s">
        <v>7180</v>
      </c>
      <c r="S691" s="152" t="s">
        <v>3834</v>
      </c>
      <c r="T691" s="152" t="s">
        <v>7182</v>
      </c>
      <c r="U691" s="152" t="s">
        <v>786</v>
      </c>
    </row>
    <row r="692" spans="4:21">
      <c r="D692" s="210"/>
      <c r="E692" s="210" t="s">
        <v>676</v>
      </c>
      <c r="F692" s="684" t="str">
        <f>+VLOOKUP(G692,Resumen_Base!$C$8:$G$156,5,0)</f>
        <v>Maintenance Lodge</v>
      </c>
      <c r="G692" s="152" t="s">
        <v>33</v>
      </c>
      <c r="H692" s="474" t="s">
        <v>32</v>
      </c>
      <c r="I692" s="152" t="str">
        <f t="shared" si="10"/>
        <v>CAR5252</v>
      </c>
      <c r="J692" s="847">
        <v>6153.9</v>
      </c>
      <c r="K692" s="513">
        <v>4.38</v>
      </c>
      <c r="L692" s="513">
        <v>1405</v>
      </c>
      <c r="M692" s="152" t="s">
        <v>7116</v>
      </c>
      <c r="N692" s="513" t="s">
        <v>780</v>
      </c>
      <c r="O692" s="513" t="s">
        <v>1407</v>
      </c>
      <c r="P692" s="513" t="s">
        <v>7179</v>
      </c>
      <c r="Q692" s="518" t="s">
        <v>7101</v>
      </c>
      <c r="R692" s="152" t="s">
        <v>7180</v>
      </c>
      <c r="S692" s="152" t="s">
        <v>3834</v>
      </c>
      <c r="T692" s="152" t="s">
        <v>7182</v>
      </c>
      <c r="U692" s="152" t="s">
        <v>786</v>
      </c>
    </row>
    <row r="693" spans="4:21">
      <c r="D693" s="210"/>
      <c r="E693" s="210" t="s">
        <v>676</v>
      </c>
      <c r="F693" s="684" t="str">
        <f>+VLOOKUP(G693,Resumen_Base!$C$8:$G$156,5,0)</f>
        <v>Maintenance Lodge</v>
      </c>
      <c r="G693" s="152" t="s">
        <v>33</v>
      </c>
      <c r="H693" s="474" t="s">
        <v>32</v>
      </c>
      <c r="I693" s="152" t="str">
        <f t="shared" si="10"/>
        <v>CAR5252</v>
      </c>
      <c r="J693" s="847">
        <v>19655.95</v>
      </c>
      <c r="K693" s="513">
        <v>13.99</v>
      </c>
      <c r="L693" s="513">
        <v>1405</v>
      </c>
      <c r="M693" s="152" t="s">
        <v>7116</v>
      </c>
      <c r="N693" s="513" t="s">
        <v>780</v>
      </c>
      <c r="O693" s="513" t="s">
        <v>1407</v>
      </c>
      <c r="P693" s="513" t="s">
        <v>7179</v>
      </c>
      <c r="Q693" s="518" t="s">
        <v>7101</v>
      </c>
      <c r="R693" s="152" t="s">
        <v>7180</v>
      </c>
      <c r="S693" s="152" t="s">
        <v>7206</v>
      </c>
      <c r="T693" s="152" t="s">
        <v>7182</v>
      </c>
      <c r="U693" s="152" t="s">
        <v>786</v>
      </c>
    </row>
    <row r="694" spans="4:21">
      <c r="D694" s="210"/>
      <c r="E694" s="210" t="s">
        <v>676</v>
      </c>
      <c r="F694" s="684" t="str">
        <f>+VLOOKUP(G694,Resumen_Base!$C$8:$G$156,5,0)</f>
        <v>Maintenance Lodge</v>
      </c>
      <c r="G694" s="152" t="s">
        <v>33</v>
      </c>
      <c r="H694" s="474" t="s">
        <v>32</v>
      </c>
      <c r="I694" s="152" t="str">
        <f t="shared" si="10"/>
        <v>CAR5252</v>
      </c>
      <c r="J694" s="847">
        <v>78651.899999999994</v>
      </c>
      <c r="K694" s="513">
        <v>55.98</v>
      </c>
      <c r="L694" s="513">
        <v>1405</v>
      </c>
      <c r="M694" s="152" t="s">
        <v>7116</v>
      </c>
      <c r="N694" s="513" t="s">
        <v>780</v>
      </c>
      <c r="O694" s="513" t="s">
        <v>1407</v>
      </c>
      <c r="P694" s="513" t="s">
        <v>7179</v>
      </c>
      <c r="Q694" s="518" t="s">
        <v>7101</v>
      </c>
      <c r="R694" s="152" t="s">
        <v>7180</v>
      </c>
      <c r="S694" s="152" t="s">
        <v>7207</v>
      </c>
      <c r="T694" s="152" t="s">
        <v>7182</v>
      </c>
      <c r="U694" s="152" t="s">
        <v>786</v>
      </c>
    </row>
    <row r="695" spans="4:21">
      <c r="D695" s="210"/>
      <c r="E695" s="210" t="s">
        <v>676</v>
      </c>
      <c r="F695" s="684" t="str">
        <f>+VLOOKUP(G695,Resumen_Base!$C$8:$G$156,5,0)</f>
        <v>Maintenance Lodge</v>
      </c>
      <c r="G695" s="152" t="s">
        <v>33</v>
      </c>
      <c r="H695" s="474" t="s">
        <v>32</v>
      </c>
      <c r="I695" s="152" t="str">
        <f t="shared" si="10"/>
        <v>CAR5252</v>
      </c>
      <c r="J695" s="847">
        <v>21482.45</v>
      </c>
      <c r="K695" s="513">
        <v>15.29</v>
      </c>
      <c r="L695" s="513">
        <v>1405</v>
      </c>
      <c r="M695" s="152" t="s">
        <v>7116</v>
      </c>
      <c r="N695" s="513" t="s">
        <v>780</v>
      </c>
      <c r="O695" s="513" t="s">
        <v>1407</v>
      </c>
      <c r="P695" s="513" t="s">
        <v>7179</v>
      </c>
      <c r="Q695" s="518" t="s">
        <v>7101</v>
      </c>
      <c r="R695" s="152" t="s">
        <v>7180</v>
      </c>
      <c r="S695" s="152" t="s">
        <v>7208</v>
      </c>
      <c r="T695" s="152" t="s">
        <v>7182</v>
      </c>
      <c r="U695" s="152" t="s">
        <v>786</v>
      </c>
    </row>
    <row r="696" spans="4:21">
      <c r="D696" s="210"/>
      <c r="E696" s="210" t="s">
        <v>676</v>
      </c>
      <c r="F696" s="684" t="str">
        <f>+VLOOKUP(G696,Resumen_Base!$C$8:$G$156,5,0)</f>
        <v>Maintenance Lodge</v>
      </c>
      <c r="G696" s="152" t="s">
        <v>33</v>
      </c>
      <c r="H696" s="474" t="s">
        <v>32</v>
      </c>
      <c r="I696" s="152" t="str">
        <f t="shared" si="10"/>
        <v>CAR5252</v>
      </c>
      <c r="J696" s="847">
        <v>9301.1</v>
      </c>
      <c r="K696" s="513">
        <v>6.62</v>
      </c>
      <c r="L696" s="513">
        <v>1405</v>
      </c>
      <c r="M696" s="152" t="s">
        <v>7116</v>
      </c>
      <c r="N696" s="513" t="s">
        <v>780</v>
      </c>
      <c r="O696" s="513" t="s">
        <v>1407</v>
      </c>
      <c r="P696" s="513" t="s">
        <v>7179</v>
      </c>
      <c r="Q696" s="518" t="s">
        <v>7101</v>
      </c>
      <c r="R696" s="152" t="s">
        <v>7180</v>
      </c>
      <c r="S696" s="152" t="s">
        <v>7209</v>
      </c>
      <c r="T696" s="152" t="s">
        <v>7182</v>
      </c>
      <c r="U696" s="152" t="s">
        <v>786</v>
      </c>
    </row>
    <row r="697" spans="4:21">
      <c r="D697" s="210"/>
      <c r="E697" s="210" t="s">
        <v>676</v>
      </c>
      <c r="F697" s="684" t="str">
        <f>+VLOOKUP(G697,Resumen_Base!$C$8:$G$156,5,0)</f>
        <v>Maintenance Lodge</v>
      </c>
      <c r="G697" s="152" t="s">
        <v>33</v>
      </c>
      <c r="H697" s="474" t="s">
        <v>32</v>
      </c>
      <c r="I697" s="152" t="str">
        <f t="shared" si="10"/>
        <v>CAR5252</v>
      </c>
      <c r="J697" s="847">
        <v>19051.8</v>
      </c>
      <c r="K697" s="513">
        <v>13.56</v>
      </c>
      <c r="L697" s="513">
        <v>1405</v>
      </c>
      <c r="M697" s="152" t="s">
        <v>7116</v>
      </c>
      <c r="N697" s="513" t="s">
        <v>780</v>
      </c>
      <c r="O697" s="513" t="s">
        <v>1407</v>
      </c>
      <c r="P697" s="513" t="s">
        <v>7179</v>
      </c>
      <c r="Q697" s="518" t="s">
        <v>7101</v>
      </c>
      <c r="R697" s="152" t="s">
        <v>7180</v>
      </c>
      <c r="S697" s="152" t="s">
        <v>7210</v>
      </c>
      <c r="T697" s="152" t="s">
        <v>7182</v>
      </c>
      <c r="U697" s="152" t="s">
        <v>786</v>
      </c>
    </row>
    <row r="698" spans="4:21">
      <c r="D698" s="210"/>
      <c r="E698" s="210" t="s">
        <v>676</v>
      </c>
      <c r="F698" s="684" t="str">
        <f>+VLOOKUP(G698,Resumen_Base!$C$8:$G$156,5,0)</f>
        <v>Maintenance Lodge</v>
      </c>
      <c r="G698" s="152" t="s">
        <v>33</v>
      </c>
      <c r="H698" s="474" t="s">
        <v>32</v>
      </c>
      <c r="I698" s="152" t="str">
        <f t="shared" si="10"/>
        <v>CAR5252</v>
      </c>
      <c r="J698" s="847">
        <v>13221.05</v>
      </c>
      <c r="K698" s="513">
        <v>9.41</v>
      </c>
      <c r="L698" s="513">
        <v>1405</v>
      </c>
      <c r="M698" s="152" t="s">
        <v>7116</v>
      </c>
      <c r="N698" s="513" t="s">
        <v>780</v>
      </c>
      <c r="O698" s="513" t="s">
        <v>1407</v>
      </c>
      <c r="P698" s="513" t="s">
        <v>7179</v>
      </c>
      <c r="Q698" s="518" t="s">
        <v>7101</v>
      </c>
      <c r="R698" s="152" t="s">
        <v>7180</v>
      </c>
      <c r="S698" s="152" t="s">
        <v>7211</v>
      </c>
      <c r="T698" s="152" t="s">
        <v>7182</v>
      </c>
      <c r="U698" s="152" t="s">
        <v>786</v>
      </c>
    </row>
    <row r="699" spans="4:21">
      <c r="D699" s="210"/>
      <c r="E699" s="210" t="s">
        <v>676</v>
      </c>
      <c r="F699" s="684" t="str">
        <f>+VLOOKUP(G699,Resumen_Base!$C$8:$G$156,5,0)</f>
        <v>Maintenance Lodge</v>
      </c>
      <c r="G699" s="152" t="s">
        <v>33</v>
      </c>
      <c r="H699" s="474" t="s">
        <v>32</v>
      </c>
      <c r="I699" s="152" t="str">
        <f t="shared" si="10"/>
        <v>CAR5252</v>
      </c>
      <c r="J699" s="847">
        <v>17857.55</v>
      </c>
      <c r="K699" s="513">
        <v>12.71</v>
      </c>
      <c r="L699" s="513">
        <v>1405</v>
      </c>
      <c r="M699" s="152" t="s">
        <v>7116</v>
      </c>
      <c r="N699" s="513" t="s">
        <v>780</v>
      </c>
      <c r="O699" s="513" t="s">
        <v>1407</v>
      </c>
      <c r="P699" s="513" t="s">
        <v>7179</v>
      </c>
      <c r="Q699" s="518" t="s">
        <v>7101</v>
      </c>
      <c r="R699" s="152" t="s">
        <v>7180</v>
      </c>
      <c r="S699" s="152" t="s">
        <v>7212</v>
      </c>
      <c r="T699" s="152" t="s">
        <v>7182</v>
      </c>
      <c r="U699" s="152" t="s">
        <v>786</v>
      </c>
    </row>
    <row r="700" spans="4:21">
      <c r="D700" s="210"/>
      <c r="E700" s="210" t="s">
        <v>676</v>
      </c>
      <c r="F700" s="684" t="str">
        <f>+VLOOKUP(G700,Resumen_Base!$C$8:$G$156,5,0)</f>
        <v>Maintenance Lodge</v>
      </c>
      <c r="G700" s="152" t="s">
        <v>33</v>
      </c>
      <c r="H700" s="474" t="s">
        <v>32</v>
      </c>
      <c r="I700" s="152" t="str">
        <f t="shared" si="10"/>
        <v>CAR5252</v>
      </c>
      <c r="J700" s="847">
        <v>70250</v>
      </c>
      <c r="K700" s="513">
        <v>50</v>
      </c>
      <c r="L700" s="513">
        <v>1405</v>
      </c>
      <c r="M700" s="152" t="s">
        <v>7116</v>
      </c>
      <c r="N700" s="513" t="s">
        <v>780</v>
      </c>
      <c r="O700" s="513" t="s">
        <v>1407</v>
      </c>
      <c r="P700" s="513" t="s">
        <v>7179</v>
      </c>
      <c r="Q700" s="518" t="s">
        <v>7101</v>
      </c>
      <c r="R700" s="152" t="s">
        <v>7180</v>
      </c>
      <c r="S700" s="152" t="s">
        <v>7213</v>
      </c>
      <c r="T700" s="152" t="s">
        <v>7182</v>
      </c>
      <c r="U700" s="152" t="s">
        <v>786</v>
      </c>
    </row>
    <row r="701" spans="4:21">
      <c r="D701" s="210"/>
      <c r="E701" s="210" t="s">
        <v>676</v>
      </c>
      <c r="F701" s="684" t="str">
        <f>+VLOOKUP(G701,Resumen_Base!$C$8:$G$156,5,0)</f>
        <v>Maintenance Lodge</v>
      </c>
      <c r="G701" s="152" t="s">
        <v>33</v>
      </c>
      <c r="H701" s="474" t="s">
        <v>32</v>
      </c>
      <c r="I701" s="152" t="str">
        <f t="shared" si="10"/>
        <v>CAR5252</v>
      </c>
      <c r="J701" s="847">
        <v>113103</v>
      </c>
      <c r="K701" s="513">
        <v>79.650000000000006</v>
      </c>
      <c r="L701" s="513">
        <v>1420</v>
      </c>
      <c r="M701" s="152" t="s">
        <v>7143</v>
      </c>
      <c r="N701" s="513" t="s">
        <v>780</v>
      </c>
      <c r="O701" s="513" t="s">
        <v>1407</v>
      </c>
      <c r="P701" s="513" t="s">
        <v>7284</v>
      </c>
      <c r="Q701" s="518" t="s">
        <v>7101</v>
      </c>
      <c r="R701" s="152" t="s">
        <v>7285</v>
      </c>
      <c r="S701" s="152" t="s">
        <v>7289</v>
      </c>
      <c r="T701" s="152" t="s">
        <v>7287</v>
      </c>
      <c r="U701" s="152" t="s">
        <v>786</v>
      </c>
    </row>
    <row r="702" spans="4:21">
      <c r="D702" s="210"/>
      <c r="E702" s="210" t="s">
        <v>676</v>
      </c>
      <c r="F702" s="684" t="str">
        <f>+VLOOKUP(G702,Resumen_Base!$C$8:$G$156,5,0)</f>
        <v>Maintenance Lodge</v>
      </c>
      <c r="G702" s="152" t="s">
        <v>33</v>
      </c>
      <c r="H702" s="474" t="s">
        <v>32</v>
      </c>
      <c r="I702" s="152" t="str">
        <f t="shared" si="10"/>
        <v>CAR5252</v>
      </c>
      <c r="J702" s="847">
        <v>4001844</v>
      </c>
      <c r="K702" s="513">
        <v>2818.2</v>
      </c>
      <c r="L702" s="513">
        <v>1420</v>
      </c>
      <c r="M702" s="152" t="s">
        <v>7143</v>
      </c>
      <c r="N702" s="513" t="s">
        <v>780</v>
      </c>
      <c r="O702" s="513" t="s">
        <v>1407</v>
      </c>
      <c r="P702" s="513" t="s">
        <v>7284</v>
      </c>
      <c r="Q702" s="518" t="s">
        <v>7101</v>
      </c>
      <c r="R702" s="152" t="s">
        <v>7285</v>
      </c>
      <c r="S702" s="152" t="s">
        <v>7290</v>
      </c>
      <c r="T702" s="152" t="s">
        <v>7287</v>
      </c>
      <c r="U702" s="152" t="s">
        <v>786</v>
      </c>
    </row>
    <row r="703" spans="4:21">
      <c r="D703" s="210"/>
      <c r="E703" s="210" t="s">
        <v>676</v>
      </c>
      <c r="F703" s="684" t="str">
        <f>+VLOOKUP(G703,Resumen_Base!$C$8:$G$156,5,0)</f>
        <v>Maintenance Lodge</v>
      </c>
      <c r="G703" s="152" t="s">
        <v>33</v>
      </c>
      <c r="H703" s="474" t="s">
        <v>32</v>
      </c>
      <c r="I703" s="152" t="str">
        <f t="shared" si="10"/>
        <v>CAR5252</v>
      </c>
      <c r="J703" s="847">
        <v>99101.8</v>
      </c>
      <c r="K703" s="513">
        <v>69.790000000000006</v>
      </c>
      <c r="L703" s="513">
        <v>1420</v>
      </c>
      <c r="M703" s="152" t="s">
        <v>7143</v>
      </c>
      <c r="N703" s="513" t="s">
        <v>780</v>
      </c>
      <c r="O703" s="513" t="s">
        <v>1407</v>
      </c>
      <c r="P703" s="513" t="s">
        <v>7284</v>
      </c>
      <c r="Q703" s="518" t="s">
        <v>7101</v>
      </c>
      <c r="R703" s="152" t="s">
        <v>7285</v>
      </c>
      <c r="S703" s="152" t="s">
        <v>7291</v>
      </c>
      <c r="T703" s="152" t="s">
        <v>7287</v>
      </c>
      <c r="U703" s="152" t="s">
        <v>786</v>
      </c>
    </row>
    <row r="704" spans="4:21">
      <c r="D704" s="210"/>
      <c r="E704" s="210" t="s">
        <v>676</v>
      </c>
      <c r="F704" s="684" t="str">
        <f>+VLOOKUP(G704,Resumen_Base!$C$8:$G$156,5,0)</f>
        <v>Maintenance Lodge</v>
      </c>
      <c r="G704" s="152" t="s">
        <v>33</v>
      </c>
      <c r="H704" s="474" t="s">
        <v>32</v>
      </c>
      <c r="I704" s="152" t="str">
        <f t="shared" si="10"/>
        <v>CAR5252</v>
      </c>
      <c r="J704" s="847">
        <v>118764.65</v>
      </c>
      <c r="K704" s="513">
        <v>84.53</v>
      </c>
      <c r="L704" s="513">
        <v>1405</v>
      </c>
      <c r="M704" s="152" t="s">
        <v>7143</v>
      </c>
      <c r="N704" s="513" t="s">
        <v>780</v>
      </c>
      <c r="O704" s="513" t="s">
        <v>1407</v>
      </c>
      <c r="P704" s="513" t="s">
        <v>7284</v>
      </c>
      <c r="Q704" s="518" t="s">
        <v>7101</v>
      </c>
      <c r="R704" s="152" t="s">
        <v>7285</v>
      </c>
      <c r="S704" s="152" t="s">
        <v>7313</v>
      </c>
      <c r="T704" s="152" t="s">
        <v>7287</v>
      </c>
      <c r="U704" s="152" t="s">
        <v>786</v>
      </c>
    </row>
    <row r="705" spans="4:21">
      <c r="D705" s="210"/>
      <c r="E705" s="210" t="s">
        <v>676</v>
      </c>
      <c r="F705" s="684" t="str">
        <f>+VLOOKUP(G705,Resumen_Base!$C$8:$G$156,5,0)</f>
        <v>Maintenance Lodge</v>
      </c>
      <c r="G705" s="152" t="s">
        <v>33</v>
      </c>
      <c r="H705" s="474" t="s">
        <v>32</v>
      </c>
      <c r="I705" s="152" t="str">
        <f t="shared" si="10"/>
        <v>CAR5252</v>
      </c>
      <c r="J705" s="847">
        <v>110643.75</v>
      </c>
      <c r="K705" s="513">
        <v>78.75</v>
      </c>
      <c r="L705" s="513">
        <v>1405</v>
      </c>
      <c r="M705" s="152" t="s">
        <v>7143</v>
      </c>
      <c r="N705" s="513" t="s">
        <v>780</v>
      </c>
      <c r="O705" s="513" t="s">
        <v>1407</v>
      </c>
      <c r="P705" s="513" t="s">
        <v>7284</v>
      </c>
      <c r="Q705" s="518" t="s">
        <v>7101</v>
      </c>
      <c r="R705" s="152" t="s">
        <v>7285</v>
      </c>
      <c r="S705" s="152" t="s">
        <v>7314</v>
      </c>
      <c r="T705" s="152" t="s">
        <v>7287</v>
      </c>
      <c r="U705" s="152" t="s">
        <v>786</v>
      </c>
    </row>
    <row r="706" spans="4:21">
      <c r="D706" s="210"/>
      <c r="E706" s="210" t="s">
        <v>676</v>
      </c>
      <c r="F706" s="684" t="str">
        <f>+VLOOKUP(G706,Resumen_Base!$C$8:$G$156,5,0)</f>
        <v>Maintenance Lodge</v>
      </c>
      <c r="G706" s="152" t="s">
        <v>33</v>
      </c>
      <c r="H706" s="474" t="s">
        <v>32</v>
      </c>
      <c r="I706" s="152" t="str">
        <f t="shared" si="10"/>
        <v>CAR5252</v>
      </c>
      <c r="J706" s="847">
        <v>11802</v>
      </c>
      <c r="K706" s="513">
        <v>8.4</v>
      </c>
      <c r="L706" s="513">
        <v>1405</v>
      </c>
      <c r="M706" s="152" t="s">
        <v>7143</v>
      </c>
      <c r="N706" s="513" t="s">
        <v>780</v>
      </c>
      <c r="O706" s="513" t="s">
        <v>1407</v>
      </c>
      <c r="P706" s="513" t="s">
        <v>7284</v>
      </c>
      <c r="Q706" s="518" t="s">
        <v>7101</v>
      </c>
      <c r="R706" s="152" t="s">
        <v>7285</v>
      </c>
      <c r="S706" s="152" t="s">
        <v>7315</v>
      </c>
      <c r="T706" s="152" t="s">
        <v>7287</v>
      </c>
      <c r="U706" s="152" t="s">
        <v>786</v>
      </c>
    </row>
    <row r="707" spans="4:21">
      <c r="D707" s="210"/>
      <c r="E707" s="210" t="s">
        <v>676</v>
      </c>
      <c r="F707" s="684" t="str">
        <f>+VLOOKUP(G707,Resumen_Base!$C$8:$G$156,5,0)</f>
        <v>Maintenance Lodge</v>
      </c>
      <c r="G707" s="152" t="s">
        <v>33</v>
      </c>
      <c r="H707" s="474" t="s">
        <v>32</v>
      </c>
      <c r="I707" s="152" t="str">
        <f t="shared" si="10"/>
        <v>CAR5252</v>
      </c>
      <c r="J707" s="847">
        <v>235520.15</v>
      </c>
      <c r="K707" s="513">
        <v>167.63</v>
      </c>
      <c r="L707" s="513">
        <v>1405</v>
      </c>
      <c r="M707" s="152" t="s">
        <v>7143</v>
      </c>
      <c r="N707" s="513" t="s">
        <v>780</v>
      </c>
      <c r="O707" s="513" t="s">
        <v>1407</v>
      </c>
      <c r="P707" s="513" t="s">
        <v>7284</v>
      </c>
      <c r="Q707" s="518" t="s">
        <v>7101</v>
      </c>
      <c r="R707" s="152" t="s">
        <v>7285</v>
      </c>
      <c r="S707" s="152" t="s">
        <v>7316</v>
      </c>
      <c r="T707" s="152" t="s">
        <v>7287</v>
      </c>
      <c r="U707" s="152" t="s">
        <v>786</v>
      </c>
    </row>
    <row r="708" spans="4:21">
      <c r="D708" s="210"/>
      <c r="E708" s="210" t="s">
        <v>676</v>
      </c>
      <c r="F708" s="684" t="str">
        <f>+VLOOKUP(G708,Resumen_Base!$C$8:$G$156,5,0)</f>
        <v>Maintenance Lodge</v>
      </c>
      <c r="G708" s="152" t="s">
        <v>33</v>
      </c>
      <c r="H708" s="474" t="s">
        <v>32</v>
      </c>
      <c r="I708" s="152" t="str">
        <f t="shared" si="10"/>
        <v>CAR5252</v>
      </c>
      <c r="J708" s="847">
        <v>125916.1</v>
      </c>
      <c r="K708" s="513">
        <v>89.62</v>
      </c>
      <c r="L708" s="513">
        <v>1405</v>
      </c>
      <c r="M708" s="152" t="s">
        <v>7143</v>
      </c>
      <c r="N708" s="513" t="s">
        <v>780</v>
      </c>
      <c r="O708" s="513" t="s">
        <v>1407</v>
      </c>
      <c r="P708" s="513" t="s">
        <v>7284</v>
      </c>
      <c r="Q708" s="518" t="s">
        <v>7101</v>
      </c>
      <c r="R708" s="152" t="s">
        <v>7285</v>
      </c>
      <c r="S708" s="152" t="s">
        <v>7305</v>
      </c>
      <c r="T708" s="152" t="s">
        <v>7287</v>
      </c>
      <c r="U708" s="152" t="s">
        <v>786</v>
      </c>
    </row>
    <row r="709" spans="4:21">
      <c r="D709" s="210"/>
      <c r="E709" s="210" t="s">
        <v>676</v>
      </c>
      <c r="F709" s="684" t="str">
        <f>+VLOOKUP(G709,Resumen_Base!$C$8:$G$156,5,0)</f>
        <v>Maintenance Lodge</v>
      </c>
      <c r="G709" s="152" t="s">
        <v>33</v>
      </c>
      <c r="H709" s="474" t="s">
        <v>32</v>
      </c>
      <c r="I709" s="152" t="str">
        <f t="shared" si="10"/>
        <v>CAR5252</v>
      </c>
      <c r="J709" s="847">
        <v>1124000</v>
      </c>
      <c r="K709" s="513">
        <v>800</v>
      </c>
      <c r="L709" s="513">
        <v>1405</v>
      </c>
      <c r="M709" s="152" t="s">
        <v>7143</v>
      </c>
      <c r="N709" s="513" t="s">
        <v>780</v>
      </c>
      <c r="O709" s="513" t="s">
        <v>1407</v>
      </c>
      <c r="P709" s="513" t="s">
        <v>7284</v>
      </c>
      <c r="Q709" s="518" t="s">
        <v>7101</v>
      </c>
      <c r="R709" s="152" t="s">
        <v>7285</v>
      </c>
      <c r="S709" s="152" t="s">
        <v>7320</v>
      </c>
      <c r="T709" s="152" t="s">
        <v>7287</v>
      </c>
      <c r="U709" s="152" t="s">
        <v>786</v>
      </c>
    </row>
    <row r="710" spans="4:21">
      <c r="D710" s="210"/>
      <c r="E710" s="210" t="s">
        <v>676</v>
      </c>
      <c r="F710" s="684" t="str">
        <f>+VLOOKUP(G710,Resumen_Base!$C$8:$G$156,5,0)</f>
        <v>Maintenance Lodge</v>
      </c>
      <c r="G710" s="152" t="s">
        <v>33</v>
      </c>
      <c r="H710" s="474" t="s">
        <v>32</v>
      </c>
      <c r="I710" s="152" t="str">
        <f t="shared" si="10"/>
        <v>CAR5252</v>
      </c>
      <c r="J710" s="847">
        <v>248994.1</v>
      </c>
      <c r="K710" s="513">
        <v>177.22</v>
      </c>
      <c r="L710" s="513">
        <v>1405</v>
      </c>
      <c r="M710" s="152" t="s">
        <v>7143</v>
      </c>
      <c r="N710" s="513" t="s">
        <v>780</v>
      </c>
      <c r="O710" s="513" t="s">
        <v>1407</v>
      </c>
      <c r="P710" s="513" t="s">
        <v>7284</v>
      </c>
      <c r="Q710" s="518" t="s">
        <v>7101</v>
      </c>
      <c r="R710" s="152" t="s">
        <v>7285</v>
      </c>
      <c r="S710" s="152" t="s">
        <v>7321</v>
      </c>
      <c r="T710" s="152" t="s">
        <v>7287</v>
      </c>
      <c r="U710" s="152" t="s">
        <v>786</v>
      </c>
    </row>
    <row r="711" spans="4:21">
      <c r="D711" s="210"/>
      <c r="E711" s="210" t="s">
        <v>676</v>
      </c>
      <c r="F711" s="684" t="str">
        <f>+VLOOKUP(G711,Resumen_Base!$C$8:$G$156,5,0)</f>
        <v>Maintenance Lodge</v>
      </c>
      <c r="G711" s="152" t="s">
        <v>33</v>
      </c>
      <c r="H711" s="474" t="s">
        <v>32</v>
      </c>
      <c r="I711" s="152" t="str">
        <f t="shared" si="10"/>
        <v>CAR5252</v>
      </c>
      <c r="J711" s="847">
        <v>198105</v>
      </c>
      <c r="K711" s="513">
        <v>141</v>
      </c>
      <c r="L711" s="513">
        <v>1405</v>
      </c>
      <c r="M711" s="152" t="s">
        <v>7143</v>
      </c>
      <c r="N711" s="513" t="s">
        <v>780</v>
      </c>
      <c r="O711" s="513" t="s">
        <v>1407</v>
      </c>
      <c r="P711" s="513" t="s">
        <v>7284</v>
      </c>
      <c r="Q711" s="518" t="s">
        <v>7101</v>
      </c>
      <c r="R711" s="152" t="s">
        <v>7285</v>
      </c>
      <c r="S711" s="152" t="s">
        <v>7323</v>
      </c>
      <c r="T711" s="152" t="s">
        <v>7287</v>
      </c>
      <c r="U711" s="152" t="s">
        <v>786</v>
      </c>
    </row>
    <row r="712" spans="4:21">
      <c r="D712" s="210"/>
      <c r="E712" s="210" t="s">
        <v>676</v>
      </c>
      <c r="F712" s="684" t="str">
        <f>+VLOOKUP(G712,Resumen_Base!$C$8:$G$156,5,0)</f>
        <v>Maintenance Lodge</v>
      </c>
      <c r="G712" s="152" t="s">
        <v>33</v>
      </c>
      <c r="H712" s="474" t="s">
        <v>32</v>
      </c>
      <c r="I712" s="152" t="str">
        <f t="shared" si="10"/>
        <v>CAR5252</v>
      </c>
      <c r="J712" s="847">
        <v>17112.900000000001</v>
      </c>
      <c r="K712" s="513">
        <v>12.18</v>
      </c>
      <c r="L712" s="513">
        <v>1405</v>
      </c>
      <c r="M712" s="152" t="s">
        <v>7143</v>
      </c>
      <c r="N712" s="513" t="s">
        <v>780</v>
      </c>
      <c r="O712" s="513" t="s">
        <v>1407</v>
      </c>
      <c r="P712" s="513" t="s">
        <v>7284</v>
      </c>
      <c r="Q712" s="518" t="s">
        <v>7101</v>
      </c>
      <c r="R712" s="152" t="s">
        <v>7285</v>
      </c>
      <c r="S712" s="152" t="s">
        <v>7324</v>
      </c>
      <c r="T712" s="152" t="s">
        <v>7287</v>
      </c>
      <c r="U712" s="152" t="s">
        <v>786</v>
      </c>
    </row>
    <row r="713" spans="4:21">
      <c r="D713" s="210"/>
      <c r="E713" s="210" t="s">
        <v>676</v>
      </c>
      <c r="F713" s="684" t="str">
        <f>+VLOOKUP(G713,Resumen_Base!$C$8:$G$156,5,0)</f>
        <v>Maintenance Lodge</v>
      </c>
      <c r="G713" s="152" t="s">
        <v>33</v>
      </c>
      <c r="H713" s="474" t="s">
        <v>32</v>
      </c>
      <c r="I713" s="152" t="str">
        <f t="shared" si="10"/>
        <v>CAR5252</v>
      </c>
      <c r="J713" s="847">
        <v>224659.5</v>
      </c>
      <c r="K713" s="513">
        <v>159.9</v>
      </c>
      <c r="L713" s="513">
        <v>1405</v>
      </c>
      <c r="M713" s="152" t="s">
        <v>7143</v>
      </c>
      <c r="N713" s="513" t="s">
        <v>780</v>
      </c>
      <c r="O713" s="513" t="s">
        <v>1407</v>
      </c>
      <c r="P713" s="513" t="s">
        <v>7284</v>
      </c>
      <c r="Q713" s="518" t="s">
        <v>7101</v>
      </c>
      <c r="R713" s="152" t="s">
        <v>7285</v>
      </c>
      <c r="S713" s="152" t="s">
        <v>7325</v>
      </c>
      <c r="T713" s="152" t="s">
        <v>7287</v>
      </c>
      <c r="U713" s="152" t="s">
        <v>786</v>
      </c>
    </row>
    <row r="714" spans="4:21">
      <c r="D714" s="210"/>
      <c r="E714" s="210" t="s">
        <v>676</v>
      </c>
      <c r="F714" s="684" t="str">
        <f>+VLOOKUP(G714,Resumen_Base!$C$8:$G$156,5,0)</f>
        <v>Maintenance Lodge</v>
      </c>
      <c r="G714" s="152" t="s">
        <v>33</v>
      </c>
      <c r="H714" s="474" t="s">
        <v>32</v>
      </c>
      <c r="I714" s="152" t="str">
        <f t="shared" si="10"/>
        <v>CAR5252</v>
      </c>
      <c r="J714" s="847">
        <v>244736.95</v>
      </c>
      <c r="K714" s="513">
        <v>174.19</v>
      </c>
      <c r="L714" s="513">
        <v>1405</v>
      </c>
      <c r="M714" s="152" t="s">
        <v>7143</v>
      </c>
      <c r="N714" s="513" t="s">
        <v>780</v>
      </c>
      <c r="O714" s="513" t="s">
        <v>1407</v>
      </c>
      <c r="P714" s="513" t="s">
        <v>7284</v>
      </c>
      <c r="Q714" s="518" t="s">
        <v>7101</v>
      </c>
      <c r="R714" s="152" t="s">
        <v>7285</v>
      </c>
      <c r="S714" s="152" t="s">
        <v>7331</v>
      </c>
      <c r="T714" s="152" t="s">
        <v>7287</v>
      </c>
      <c r="U714" s="152" t="s">
        <v>786</v>
      </c>
    </row>
    <row r="715" spans="4:21">
      <c r="D715" s="210"/>
      <c r="E715" s="210" t="s">
        <v>676</v>
      </c>
      <c r="F715" s="684" t="str">
        <f>+VLOOKUP(G715,Resumen_Base!$C$8:$G$156,5,0)</f>
        <v>Maintenance Lodge</v>
      </c>
      <c r="G715" s="152" t="s">
        <v>33</v>
      </c>
      <c r="H715" s="474" t="s">
        <v>32</v>
      </c>
      <c r="I715" s="152" t="str">
        <f t="shared" si="10"/>
        <v>CAR5252</v>
      </c>
      <c r="J715" s="847">
        <v>49259.8</v>
      </c>
      <c r="K715" s="513">
        <v>34.69</v>
      </c>
      <c r="L715" s="513">
        <v>1420</v>
      </c>
      <c r="M715" s="152" t="s">
        <v>7143</v>
      </c>
      <c r="N715" s="513" t="s">
        <v>780</v>
      </c>
      <c r="O715" s="513" t="s">
        <v>1407</v>
      </c>
      <c r="P715" s="513" t="s">
        <v>7284</v>
      </c>
      <c r="Q715" s="518" t="s">
        <v>7101</v>
      </c>
      <c r="R715" s="152" t="s">
        <v>7285</v>
      </c>
      <c r="S715" s="152" t="s">
        <v>7332</v>
      </c>
      <c r="T715" s="152" t="s">
        <v>7287</v>
      </c>
      <c r="U715" s="152" t="s">
        <v>786</v>
      </c>
    </row>
    <row r="716" spans="4:21">
      <c r="D716" s="210"/>
      <c r="E716" s="210" t="s">
        <v>676</v>
      </c>
      <c r="F716" s="684" t="str">
        <f>+VLOOKUP(G716,Resumen_Base!$C$8:$G$156,5,0)</f>
        <v>Maintenance Lodge</v>
      </c>
      <c r="G716" s="152" t="s">
        <v>33</v>
      </c>
      <c r="H716" s="474" t="s">
        <v>32</v>
      </c>
      <c r="I716" s="152" t="str">
        <f t="shared" si="10"/>
        <v>CAR5252</v>
      </c>
      <c r="J716" s="847">
        <v>3805.6</v>
      </c>
      <c r="K716" s="513">
        <v>2.68</v>
      </c>
      <c r="L716" s="513">
        <v>1420</v>
      </c>
      <c r="M716" s="152" t="s">
        <v>7143</v>
      </c>
      <c r="N716" s="513" t="s">
        <v>780</v>
      </c>
      <c r="O716" s="513" t="s">
        <v>1407</v>
      </c>
      <c r="P716" s="513" t="s">
        <v>7284</v>
      </c>
      <c r="Q716" s="518" t="s">
        <v>7101</v>
      </c>
      <c r="R716" s="152" t="s">
        <v>7285</v>
      </c>
      <c r="S716" s="152" t="s">
        <v>7333</v>
      </c>
      <c r="T716" s="152" t="s">
        <v>7287</v>
      </c>
      <c r="U716" s="152" t="s">
        <v>786</v>
      </c>
    </row>
    <row r="717" spans="4:21">
      <c r="D717" s="210"/>
      <c r="E717" s="210" t="s">
        <v>676</v>
      </c>
      <c r="F717" s="684" t="str">
        <f>+VLOOKUP(G717,Resumen_Base!$C$8:$G$156,5,0)</f>
        <v>Maintenance Lodge</v>
      </c>
      <c r="G717" s="152" t="s">
        <v>33</v>
      </c>
      <c r="H717" s="474" t="s">
        <v>32</v>
      </c>
      <c r="I717" s="152" t="str">
        <f t="shared" ref="I717:I780" si="11">+E717&amp;G717</f>
        <v>CAR5252</v>
      </c>
      <c r="J717" s="847">
        <v>55664</v>
      </c>
      <c r="K717" s="513">
        <v>39.200000000000003</v>
      </c>
      <c r="L717" s="513">
        <v>1420</v>
      </c>
      <c r="M717" s="152" t="s">
        <v>7143</v>
      </c>
      <c r="N717" s="513" t="s">
        <v>780</v>
      </c>
      <c r="O717" s="513" t="s">
        <v>1407</v>
      </c>
      <c r="P717" s="513" t="s">
        <v>7284</v>
      </c>
      <c r="Q717" s="518" t="s">
        <v>7101</v>
      </c>
      <c r="R717" s="152" t="s">
        <v>7285</v>
      </c>
      <c r="S717" s="152" t="s">
        <v>7334</v>
      </c>
      <c r="T717" s="152" t="s">
        <v>7287</v>
      </c>
      <c r="U717" s="152" t="s">
        <v>786</v>
      </c>
    </row>
    <row r="718" spans="4:21">
      <c r="D718" s="210"/>
      <c r="E718" s="210" t="s">
        <v>676</v>
      </c>
      <c r="F718" s="684" t="str">
        <f>+VLOOKUP(G718,Resumen_Base!$C$8:$G$156,5,0)</f>
        <v>Maintenance Lodge</v>
      </c>
      <c r="G718" s="152" t="s">
        <v>33</v>
      </c>
      <c r="H718" s="474" t="s">
        <v>32</v>
      </c>
      <c r="I718" s="152" t="str">
        <f t="shared" si="11"/>
        <v>CAR5252</v>
      </c>
      <c r="J718" s="847">
        <v>292492.90000000002</v>
      </c>
      <c r="K718" s="513">
        <v>208.18</v>
      </c>
      <c r="L718" s="513">
        <v>1405</v>
      </c>
      <c r="M718" s="152" t="s">
        <v>7116</v>
      </c>
      <c r="N718" s="513" t="s">
        <v>780</v>
      </c>
      <c r="O718" s="513" t="s">
        <v>1407</v>
      </c>
      <c r="P718" s="513" t="s">
        <v>7456</v>
      </c>
      <c r="Q718" s="518" t="s">
        <v>7101</v>
      </c>
      <c r="R718" s="152" t="s">
        <v>7457</v>
      </c>
      <c r="S718" s="152" t="s">
        <v>7503</v>
      </c>
      <c r="T718" s="152" t="s">
        <v>7459</v>
      </c>
      <c r="U718" s="152" t="s">
        <v>786</v>
      </c>
    </row>
    <row r="719" spans="4:21">
      <c r="D719" s="210"/>
      <c r="E719" s="210" t="s">
        <v>676</v>
      </c>
      <c r="F719" s="684" t="str">
        <f>+VLOOKUP(G719,Resumen_Base!$C$8:$G$156,5,0)</f>
        <v>Maintenance Lodge</v>
      </c>
      <c r="G719" s="152" t="s">
        <v>33</v>
      </c>
      <c r="H719" s="474" t="s">
        <v>32</v>
      </c>
      <c r="I719" s="152" t="str">
        <f t="shared" si="11"/>
        <v>CAR5252</v>
      </c>
      <c r="J719" s="847">
        <v>2683.55</v>
      </c>
      <c r="K719" s="513">
        <v>1.91</v>
      </c>
      <c r="L719" s="513">
        <v>1405</v>
      </c>
      <c r="M719" s="152" t="s">
        <v>7116</v>
      </c>
      <c r="N719" s="513" t="s">
        <v>780</v>
      </c>
      <c r="O719" s="513" t="s">
        <v>1407</v>
      </c>
      <c r="P719" s="513" t="s">
        <v>7456</v>
      </c>
      <c r="Q719" s="518" t="s">
        <v>7101</v>
      </c>
      <c r="R719" s="152" t="s">
        <v>7457</v>
      </c>
      <c r="S719" s="152" t="s">
        <v>1515</v>
      </c>
      <c r="T719" s="152" t="s">
        <v>7459</v>
      </c>
      <c r="U719" s="152" t="s">
        <v>786</v>
      </c>
    </row>
    <row r="720" spans="4:21">
      <c r="D720" s="210"/>
      <c r="E720" s="210" t="s">
        <v>676</v>
      </c>
      <c r="F720" s="684" t="str">
        <f>+VLOOKUP(G720,Resumen_Base!$C$8:$G$156,5,0)</f>
        <v>Maintenance Lodge</v>
      </c>
      <c r="G720" s="152" t="s">
        <v>33</v>
      </c>
      <c r="H720" s="474" t="s">
        <v>32</v>
      </c>
      <c r="I720" s="152" t="str">
        <f t="shared" si="11"/>
        <v>CAR5252</v>
      </c>
      <c r="J720" s="847">
        <v>170075.25</v>
      </c>
      <c r="K720" s="513">
        <v>121.05</v>
      </c>
      <c r="L720" s="513">
        <v>1405</v>
      </c>
      <c r="M720" s="152" t="s">
        <v>7116</v>
      </c>
      <c r="N720" s="513" t="s">
        <v>780</v>
      </c>
      <c r="O720" s="513" t="s">
        <v>1407</v>
      </c>
      <c r="P720" s="513" t="s">
        <v>7456</v>
      </c>
      <c r="Q720" s="518" t="s">
        <v>7101</v>
      </c>
      <c r="R720" s="152" t="s">
        <v>7457</v>
      </c>
      <c r="S720" s="152" t="s">
        <v>7514</v>
      </c>
      <c r="T720" s="152" t="s">
        <v>7459</v>
      </c>
      <c r="U720" s="152" t="s">
        <v>786</v>
      </c>
    </row>
    <row r="721" spans="4:21">
      <c r="D721" s="210"/>
      <c r="E721" s="210" t="s">
        <v>676</v>
      </c>
      <c r="F721" s="684" t="str">
        <f>+VLOOKUP(G721,Resumen_Base!$C$8:$G$156,5,0)</f>
        <v>Maintenance Lodge</v>
      </c>
      <c r="G721" s="152" t="s">
        <v>33</v>
      </c>
      <c r="H721" s="474" t="s">
        <v>32</v>
      </c>
      <c r="I721" s="152" t="str">
        <f t="shared" si="11"/>
        <v>CAR5252</v>
      </c>
      <c r="J721" s="847">
        <v>382230.25</v>
      </c>
      <c r="K721" s="513">
        <v>272.05</v>
      </c>
      <c r="L721" s="513">
        <v>1405</v>
      </c>
      <c r="M721" s="152" t="s">
        <v>7116</v>
      </c>
      <c r="N721" s="513" t="s">
        <v>780</v>
      </c>
      <c r="O721" s="513" t="s">
        <v>1407</v>
      </c>
      <c r="P721" s="513" t="s">
        <v>7456</v>
      </c>
      <c r="Q721" s="518" t="s">
        <v>7101</v>
      </c>
      <c r="R721" s="152" t="s">
        <v>7457</v>
      </c>
      <c r="S721" s="152" t="s">
        <v>7469</v>
      </c>
      <c r="T721" s="152" t="s">
        <v>7459</v>
      </c>
      <c r="U721" s="152" t="s">
        <v>786</v>
      </c>
    </row>
    <row r="722" spans="4:21">
      <c r="D722" s="210"/>
      <c r="E722" s="210" t="s">
        <v>676</v>
      </c>
      <c r="F722" s="684" t="str">
        <f>+VLOOKUP(G722,Resumen_Base!$C$8:$G$156,5,0)</f>
        <v>Maintenance Lodge</v>
      </c>
      <c r="G722" s="152" t="s">
        <v>33</v>
      </c>
      <c r="H722" s="474" t="s">
        <v>32</v>
      </c>
      <c r="I722" s="152" t="str">
        <f t="shared" si="11"/>
        <v>CAR5252</v>
      </c>
      <c r="J722" s="847">
        <v>175128.6</v>
      </c>
      <c r="K722" s="513">
        <v>123.33</v>
      </c>
      <c r="L722" s="513">
        <v>1420</v>
      </c>
      <c r="M722" s="152" t="s">
        <v>7143</v>
      </c>
      <c r="N722" s="513" t="s">
        <v>780</v>
      </c>
      <c r="O722" s="513" t="s">
        <v>1407</v>
      </c>
      <c r="P722" s="513" t="s">
        <v>7619</v>
      </c>
      <c r="Q722" s="518" t="s">
        <v>7101</v>
      </c>
      <c r="R722" s="152" t="s">
        <v>7620</v>
      </c>
      <c r="S722" s="152" t="s">
        <v>7638</v>
      </c>
      <c r="T722" s="152" t="s">
        <v>7621</v>
      </c>
      <c r="U722" s="152" t="s">
        <v>786</v>
      </c>
    </row>
    <row r="723" spans="4:21" ht="25">
      <c r="D723" s="210"/>
      <c r="E723" s="210" t="s">
        <v>670</v>
      </c>
      <c r="F723" s="684" t="str">
        <f>+VLOOKUP(G723,Resumen_Base!$C$8:$G$156,5,0)</f>
        <v>Maintenance  Boats / Vehicles</v>
      </c>
      <c r="G723" s="152" t="s">
        <v>66</v>
      </c>
      <c r="H723" s="474" t="s">
        <v>67</v>
      </c>
      <c r="I723" s="152" t="str">
        <f t="shared" si="11"/>
        <v>SJ5253</v>
      </c>
      <c r="J723" s="847">
        <v>10537.5</v>
      </c>
      <c r="K723" s="513">
        <v>7.5</v>
      </c>
      <c r="L723" s="513">
        <v>1405</v>
      </c>
      <c r="M723" s="152" t="s">
        <v>7116</v>
      </c>
      <c r="N723" s="513" t="s">
        <v>780</v>
      </c>
      <c r="O723" s="513" t="s">
        <v>781</v>
      </c>
      <c r="P723" s="513" t="s">
        <v>7179</v>
      </c>
      <c r="Q723" s="518" t="s">
        <v>7101</v>
      </c>
      <c r="R723" s="152" t="s">
        <v>7180</v>
      </c>
      <c r="S723" s="152" t="s">
        <v>7205</v>
      </c>
      <c r="T723" s="152" t="s">
        <v>7182</v>
      </c>
      <c r="U723" s="152" t="s">
        <v>786</v>
      </c>
    </row>
    <row r="724" spans="4:21" ht="25">
      <c r="D724" s="210"/>
      <c r="E724" s="210" t="s">
        <v>670</v>
      </c>
      <c r="F724" s="684" t="str">
        <f>+VLOOKUP(G724,Resumen_Base!$C$8:$G$156,5,0)</f>
        <v>Maintenance  Boats / Vehicles</v>
      </c>
      <c r="G724" s="152" t="s">
        <v>66</v>
      </c>
      <c r="H724" s="474" t="s">
        <v>67</v>
      </c>
      <c r="I724" s="152" t="str">
        <f t="shared" si="11"/>
        <v>SJ5253</v>
      </c>
      <c r="J724" s="847">
        <v>17871.599999999999</v>
      </c>
      <c r="K724" s="513">
        <v>12.72</v>
      </c>
      <c r="L724" s="513">
        <v>1405</v>
      </c>
      <c r="M724" s="152" t="s">
        <v>7143</v>
      </c>
      <c r="N724" s="513" t="s">
        <v>780</v>
      </c>
      <c r="O724" s="513" t="s">
        <v>781</v>
      </c>
      <c r="P724" s="513" t="s">
        <v>7284</v>
      </c>
      <c r="Q724" s="518" t="s">
        <v>7101</v>
      </c>
      <c r="R724" s="152" t="s">
        <v>7285</v>
      </c>
      <c r="S724" s="152" t="s">
        <v>7294</v>
      </c>
      <c r="T724" s="152" t="s">
        <v>7287</v>
      </c>
      <c r="U724" s="152" t="s">
        <v>786</v>
      </c>
    </row>
    <row r="725" spans="4:21" ht="25">
      <c r="D725" s="210"/>
      <c r="E725" s="210" t="s">
        <v>670</v>
      </c>
      <c r="F725" s="684" t="str">
        <f>+VLOOKUP(G725,Resumen_Base!$C$8:$G$156,5,0)</f>
        <v>Maintenance  Boats / Vehicles</v>
      </c>
      <c r="G725" s="152" t="s">
        <v>66</v>
      </c>
      <c r="H725" s="474" t="s">
        <v>67</v>
      </c>
      <c r="I725" s="152" t="str">
        <f t="shared" si="11"/>
        <v>SJ5253</v>
      </c>
      <c r="J725" s="847">
        <v>17604.650000000001</v>
      </c>
      <c r="K725" s="513">
        <v>12.53</v>
      </c>
      <c r="L725" s="513">
        <v>1405</v>
      </c>
      <c r="M725" s="152" t="s">
        <v>7143</v>
      </c>
      <c r="N725" s="513" t="s">
        <v>780</v>
      </c>
      <c r="O725" s="513" t="s">
        <v>781</v>
      </c>
      <c r="P725" s="513" t="s">
        <v>7284</v>
      </c>
      <c r="Q725" s="518" t="s">
        <v>7101</v>
      </c>
      <c r="R725" s="152" t="s">
        <v>7285</v>
      </c>
      <c r="S725" s="152" t="s">
        <v>7295</v>
      </c>
      <c r="T725" s="152" t="s">
        <v>7287</v>
      </c>
      <c r="U725" s="152" t="s">
        <v>786</v>
      </c>
    </row>
    <row r="726" spans="4:21" ht="25">
      <c r="D726" s="210"/>
      <c r="E726" s="210" t="s">
        <v>670</v>
      </c>
      <c r="F726" s="684" t="str">
        <f>+VLOOKUP(G726,Resumen_Base!$C$8:$G$156,5,0)</f>
        <v>Maintenance  Boats / Vehicles</v>
      </c>
      <c r="G726" s="152" t="s">
        <v>66</v>
      </c>
      <c r="H726" s="474" t="s">
        <v>67</v>
      </c>
      <c r="I726" s="152" t="str">
        <f t="shared" si="11"/>
        <v>SJ5253</v>
      </c>
      <c r="J726" s="847">
        <v>21454.35</v>
      </c>
      <c r="K726" s="513">
        <v>15.27</v>
      </c>
      <c r="L726" s="513">
        <v>1405</v>
      </c>
      <c r="M726" s="152" t="s">
        <v>7143</v>
      </c>
      <c r="N726" s="513" t="s">
        <v>780</v>
      </c>
      <c r="O726" s="513" t="s">
        <v>781</v>
      </c>
      <c r="P726" s="513" t="s">
        <v>7284</v>
      </c>
      <c r="Q726" s="518" t="s">
        <v>7101</v>
      </c>
      <c r="R726" s="152" t="s">
        <v>7285</v>
      </c>
      <c r="S726" s="152" t="s">
        <v>7296</v>
      </c>
      <c r="T726" s="152" t="s">
        <v>7287</v>
      </c>
      <c r="U726" s="152" t="s">
        <v>786</v>
      </c>
    </row>
    <row r="727" spans="4:21" ht="25">
      <c r="D727" s="210"/>
      <c r="E727" s="210" t="s">
        <v>670</v>
      </c>
      <c r="F727" s="684" t="str">
        <f>+VLOOKUP(G727,Resumen_Base!$C$8:$G$156,5,0)</f>
        <v>Maintenance  Boats / Vehicles</v>
      </c>
      <c r="G727" s="152" t="s">
        <v>66</v>
      </c>
      <c r="H727" s="474" t="s">
        <v>67</v>
      </c>
      <c r="I727" s="152" t="str">
        <f t="shared" si="11"/>
        <v>SJ5253</v>
      </c>
      <c r="J727" s="847">
        <v>30390.15</v>
      </c>
      <c r="K727" s="513">
        <v>21.63</v>
      </c>
      <c r="L727" s="513">
        <v>1405</v>
      </c>
      <c r="M727" s="152" t="s">
        <v>7143</v>
      </c>
      <c r="N727" s="513" t="s">
        <v>780</v>
      </c>
      <c r="O727" s="513" t="s">
        <v>781</v>
      </c>
      <c r="P727" s="513" t="s">
        <v>7284</v>
      </c>
      <c r="Q727" s="518" t="s">
        <v>7101</v>
      </c>
      <c r="R727" s="152" t="s">
        <v>7285</v>
      </c>
      <c r="S727" s="152" t="s">
        <v>7297</v>
      </c>
      <c r="T727" s="152" t="s">
        <v>7287</v>
      </c>
      <c r="U727" s="152" t="s">
        <v>786</v>
      </c>
    </row>
    <row r="728" spans="4:21" ht="25">
      <c r="D728" s="210"/>
      <c r="E728" s="210" t="s">
        <v>670</v>
      </c>
      <c r="F728" s="684" t="str">
        <f>+VLOOKUP(G728,Resumen_Base!$C$8:$G$156,5,0)</f>
        <v>Maintenance  Boats / Vehicles</v>
      </c>
      <c r="G728" s="152" t="s">
        <v>66</v>
      </c>
      <c r="H728" s="474" t="s">
        <v>67</v>
      </c>
      <c r="I728" s="152" t="str">
        <f t="shared" si="11"/>
        <v>SJ5253</v>
      </c>
      <c r="J728" s="847">
        <v>17604.650000000001</v>
      </c>
      <c r="K728" s="513">
        <v>12.53</v>
      </c>
      <c r="L728" s="513">
        <v>1405</v>
      </c>
      <c r="M728" s="152" t="s">
        <v>7143</v>
      </c>
      <c r="N728" s="513" t="s">
        <v>780</v>
      </c>
      <c r="O728" s="513" t="s">
        <v>781</v>
      </c>
      <c r="P728" s="513" t="s">
        <v>7284</v>
      </c>
      <c r="Q728" s="518" t="s">
        <v>7101</v>
      </c>
      <c r="R728" s="152" t="s">
        <v>7285</v>
      </c>
      <c r="S728" s="152" t="s">
        <v>7295</v>
      </c>
      <c r="T728" s="152" t="s">
        <v>7287</v>
      </c>
      <c r="U728" s="152" t="s">
        <v>786</v>
      </c>
    </row>
    <row r="729" spans="4:21" ht="25">
      <c r="D729" s="210"/>
      <c r="E729" s="210" t="s">
        <v>676</v>
      </c>
      <c r="F729" s="684" t="str">
        <f>+VLOOKUP(G729,Resumen_Base!$C$8:$G$156,5,0)</f>
        <v>Maintenance  Boats / Vehicles</v>
      </c>
      <c r="G729" s="152" t="s">
        <v>66</v>
      </c>
      <c r="H729" s="474" t="s">
        <v>67</v>
      </c>
      <c r="I729" s="152" t="str">
        <f t="shared" si="11"/>
        <v>CAR5253</v>
      </c>
      <c r="J729" s="847">
        <v>1194502.8999999999</v>
      </c>
      <c r="K729" s="513">
        <v>850.18</v>
      </c>
      <c r="L729" s="513">
        <v>1405</v>
      </c>
      <c r="M729" s="152" t="s">
        <v>7116</v>
      </c>
      <c r="N729" s="513" t="s">
        <v>780</v>
      </c>
      <c r="O729" s="513" t="s">
        <v>1407</v>
      </c>
      <c r="P729" s="513" t="s">
        <v>7179</v>
      </c>
      <c r="Q729" s="518" t="s">
        <v>7101</v>
      </c>
      <c r="R729" s="152" t="s">
        <v>7180</v>
      </c>
      <c r="S729" s="152" t="s">
        <v>7204</v>
      </c>
      <c r="T729" s="152" t="s">
        <v>7182</v>
      </c>
      <c r="U729" s="152" t="s">
        <v>786</v>
      </c>
    </row>
    <row r="730" spans="4:21" ht="25">
      <c r="D730" s="210"/>
      <c r="E730" s="210" t="s">
        <v>676</v>
      </c>
      <c r="F730" s="684" t="str">
        <f>+VLOOKUP(G730,Resumen_Base!$C$8:$G$156,5,0)</f>
        <v>Maintenance  Boats / Vehicles</v>
      </c>
      <c r="G730" s="152" t="s">
        <v>66</v>
      </c>
      <c r="H730" s="474" t="s">
        <v>67</v>
      </c>
      <c r="I730" s="152" t="str">
        <f t="shared" si="11"/>
        <v>CAR5253</v>
      </c>
      <c r="J730" s="847">
        <v>2669.5</v>
      </c>
      <c r="K730" s="513">
        <v>1.9</v>
      </c>
      <c r="L730" s="513">
        <v>1405</v>
      </c>
      <c r="M730" s="152" t="s">
        <v>7116</v>
      </c>
      <c r="N730" s="513" t="s">
        <v>780</v>
      </c>
      <c r="O730" s="513" t="s">
        <v>1407</v>
      </c>
      <c r="P730" s="513" t="s">
        <v>7456</v>
      </c>
      <c r="Q730" s="518" t="s">
        <v>7101</v>
      </c>
      <c r="R730" s="152" t="s">
        <v>7457</v>
      </c>
      <c r="S730" s="152" t="s">
        <v>1515</v>
      </c>
      <c r="T730" s="152" t="s">
        <v>7459</v>
      </c>
      <c r="U730" s="152" t="s">
        <v>786</v>
      </c>
    </row>
    <row r="731" spans="4:21" ht="25">
      <c r="D731" s="210"/>
      <c r="E731" s="210" t="s">
        <v>676</v>
      </c>
      <c r="F731" s="684" t="str">
        <f>+VLOOKUP(G731,Resumen_Base!$C$8:$G$156,5,0)</f>
        <v>Maintenance  Boats / Vehicles</v>
      </c>
      <c r="G731" s="152" t="s">
        <v>66</v>
      </c>
      <c r="H731" s="474" t="s">
        <v>67</v>
      </c>
      <c r="I731" s="152" t="str">
        <f t="shared" si="11"/>
        <v>CAR5253</v>
      </c>
      <c r="J731" s="847">
        <v>19150.150000000001</v>
      </c>
      <c r="K731" s="513">
        <v>13.63</v>
      </c>
      <c r="L731" s="513">
        <v>1405</v>
      </c>
      <c r="M731" s="152" t="s">
        <v>7116</v>
      </c>
      <c r="N731" s="513" t="s">
        <v>780</v>
      </c>
      <c r="O731" s="513" t="s">
        <v>1407</v>
      </c>
      <c r="P731" s="513" t="s">
        <v>7456</v>
      </c>
      <c r="Q731" s="518" t="s">
        <v>7101</v>
      </c>
      <c r="R731" s="152" t="s">
        <v>7457</v>
      </c>
      <c r="S731" s="152" t="s">
        <v>7499</v>
      </c>
      <c r="T731" s="152" t="s">
        <v>7459</v>
      </c>
      <c r="U731" s="152" t="s">
        <v>786</v>
      </c>
    </row>
    <row r="732" spans="4:21" ht="25">
      <c r="D732" s="210"/>
      <c r="E732" s="210" t="s">
        <v>676</v>
      </c>
      <c r="F732" s="684" t="str">
        <f>+VLOOKUP(G732,Resumen_Base!$C$8:$G$156,5,0)</f>
        <v>Maintenance  Boats / Vehicles</v>
      </c>
      <c r="G732" s="152" t="s">
        <v>66</v>
      </c>
      <c r="H732" s="474" t="s">
        <v>67</v>
      </c>
      <c r="I732" s="152" t="str">
        <f t="shared" si="11"/>
        <v>CAR5253</v>
      </c>
      <c r="J732" s="847">
        <v>12335.9</v>
      </c>
      <c r="K732" s="513">
        <v>8.7799999999999994</v>
      </c>
      <c r="L732" s="513">
        <v>1405</v>
      </c>
      <c r="M732" s="152" t="s">
        <v>7116</v>
      </c>
      <c r="N732" s="513" t="s">
        <v>780</v>
      </c>
      <c r="O732" s="513" t="s">
        <v>1407</v>
      </c>
      <c r="P732" s="513" t="s">
        <v>7456</v>
      </c>
      <c r="Q732" s="518" t="s">
        <v>7101</v>
      </c>
      <c r="R732" s="152" t="s">
        <v>7457</v>
      </c>
      <c r="S732" s="152" t="s">
        <v>7507</v>
      </c>
      <c r="T732" s="152" t="s">
        <v>7459</v>
      </c>
      <c r="U732" s="152" t="s">
        <v>786</v>
      </c>
    </row>
    <row r="733" spans="4:21" ht="25">
      <c r="D733" s="210"/>
      <c r="E733" s="210" t="s">
        <v>676</v>
      </c>
      <c r="F733" s="684" t="str">
        <f>+VLOOKUP(G733,Resumen_Base!$C$8:$G$156,5,0)</f>
        <v>Maintenance  Boats / Vehicles</v>
      </c>
      <c r="G733" s="152" t="s">
        <v>66</v>
      </c>
      <c r="H733" s="474" t="s">
        <v>67</v>
      </c>
      <c r="I733" s="152" t="str">
        <f t="shared" si="11"/>
        <v>CAR5253</v>
      </c>
      <c r="J733" s="847">
        <v>775658.35</v>
      </c>
      <c r="K733" s="513">
        <v>552.07000000000005</v>
      </c>
      <c r="L733" s="513">
        <v>1405</v>
      </c>
      <c r="M733" s="152" t="s">
        <v>7116</v>
      </c>
      <c r="N733" s="513" t="s">
        <v>780</v>
      </c>
      <c r="O733" s="513" t="s">
        <v>1407</v>
      </c>
      <c r="P733" s="513" t="s">
        <v>7456</v>
      </c>
      <c r="Q733" s="518" t="s">
        <v>7101</v>
      </c>
      <c r="R733" s="152" t="s">
        <v>7457</v>
      </c>
      <c r="S733" s="152" t="s">
        <v>7501</v>
      </c>
      <c r="T733" s="152" t="s">
        <v>7459</v>
      </c>
      <c r="U733" s="152" t="s">
        <v>786</v>
      </c>
    </row>
    <row r="734" spans="4:21" ht="25">
      <c r="D734" s="210"/>
      <c r="E734" s="210" t="s">
        <v>676</v>
      </c>
      <c r="F734" s="684" t="str">
        <f>+VLOOKUP(G734,Resumen_Base!$C$8:$G$156,5,0)</f>
        <v>Maintenance  Boats / Vehicles</v>
      </c>
      <c r="G734" s="152" t="s">
        <v>66</v>
      </c>
      <c r="H734" s="474" t="s">
        <v>67</v>
      </c>
      <c r="I734" s="152" t="str">
        <f t="shared" si="11"/>
        <v>CAR5253</v>
      </c>
      <c r="J734" s="847">
        <v>755384.2</v>
      </c>
      <c r="K734" s="513">
        <v>537.64</v>
      </c>
      <c r="L734" s="513">
        <v>1405</v>
      </c>
      <c r="M734" s="152" t="s">
        <v>7116</v>
      </c>
      <c r="N734" s="513" t="s">
        <v>780</v>
      </c>
      <c r="O734" s="513" t="s">
        <v>1407</v>
      </c>
      <c r="P734" s="513" t="s">
        <v>7456</v>
      </c>
      <c r="Q734" s="518" t="s">
        <v>7101</v>
      </c>
      <c r="R734" s="152" t="s">
        <v>7457</v>
      </c>
      <c r="S734" s="152" t="s">
        <v>7505</v>
      </c>
      <c r="T734" s="152" t="s">
        <v>7459</v>
      </c>
      <c r="U734" s="152" t="s">
        <v>786</v>
      </c>
    </row>
    <row r="735" spans="4:21" ht="25">
      <c r="D735" s="210"/>
      <c r="E735" s="210" t="s">
        <v>676</v>
      </c>
      <c r="F735" s="684" t="str">
        <f>+VLOOKUP(G735,Resumen_Base!$C$8:$G$156,5,0)</f>
        <v>Maintenance  Boats / Vehicles</v>
      </c>
      <c r="G735" s="152" t="s">
        <v>66</v>
      </c>
      <c r="H735" s="474" t="s">
        <v>67</v>
      </c>
      <c r="I735" s="152" t="str">
        <f t="shared" si="11"/>
        <v>CAR5253</v>
      </c>
      <c r="J735" s="847">
        <v>2669.5</v>
      </c>
      <c r="K735" s="513">
        <v>1.9</v>
      </c>
      <c r="L735" s="513">
        <v>1405</v>
      </c>
      <c r="M735" s="152" t="s">
        <v>7116</v>
      </c>
      <c r="N735" s="513" t="s">
        <v>780</v>
      </c>
      <c r="O735" s="513" t="s">
        <v>1407</v>
      </c>
      <c r="P735" s="513" t="s">
        <v>7456</v>
      </c>
      <c r="Q735" s="518" t="s">
        <v>7101</v>
      </c>
      <c r="R735" s="152" t="s">
        <v>7457</v>
      </c>
      <c r="S735" s="152" t="s">
        <v>1515</v>
      </c>
      <c r="T735" s="152" t="s">
        <v>7459</v>
      </c>
      <c r="U735" s="152" t="s">
        <v>786</v>
      </c>
    </row>
    <row r="736" spans="4:21" ht="25">
      <c r="D736" s="210"/>
      <c r="E736" s="210" t="s">
        <v>676</v>
      </c>
      <c r="F736" s="684" t="str">
        <f>+VLOOKUP(G736,Resumen_Base!$C$8:$G$156,5,0)</f>
        <v>Maintenance  Boats / Vehicles</v>
      </c>
      <c r="G736" s="152" t="s">
        <v>66</v>
      </c>
      <c r="H736" s="474" t="s">
        <v>67</v>
      </c>
      <c r="I736" s="152" t="str">
        <f t="shared" si="11"/>
        <v>CAR5253</v>
      </c>
      <c r="J736" s="847">
        <v>177128.35</v>
      </c>
      <c r="K736" s="513">
        <v>126.07</v>
      </c>
      <c r="L736" s="513">
        <v>1405</v>
      </c>
      <c r="M736" s="152" t="s">
        <v>7116</v>
      </c>
      <c r="N736" s="513" t="s">
        <v>780</v>
      </c>
      <c r="O736" s="513" t="s">
        <v>1407</v>
      </c>
      <c r="P736" s="513" t="s">
        <v>7456</v>
      </c>
      <c r="Q736" s="518" t="s">
        <v>7101</v>
      </c>
      <c r="R736" s="152" t="s">
        <v>7457</v>
      </c>
      <c r="S736" s="152" t="s">
        <v>7489</v>
      </c>
      <c r="T736" s="152" t="s">
        <v>7459</v>
      </c>
      <c r="U736" s="152" t="s">
        <v>786</v>
      </c>
    </row>
    <row r="737" spans="4:21" ht="25">
      <c r="D737" s="210"/>
      <c r="E737" s="210" t="s">
        <v>676</v>
      </c>
      <c r="F737" s="684" t="str">
        <f>+VLOOKUP(G737,Resumen_Base!$C$8:$G$156,5,0)</f>
        <v>Maintenance  Boats / Vehicles</v>
      </c>
      <c r="G737" s="152" t="s">
        <v>66</v>
      </c>
      <c r="H737" s="474" t="s">
        <v>67</v>
      </c>
      <c r="I737" s="152" t="str">
        <f t="shared" si="11"/>
        <v>CAR5253</v>
      </c>
      <c r="J737" s="847">
        <v>2641.4</v>
      </c>
      <c r="K737" s="513">
        <v>1.88</v>
      </c>
      <c r="L737" s="513">
        <v>1405</v>
      </c>
      <c r="M737" s="152" t="s">
        <v>7116</v>
      </c>
      <c r="N737" s="513" t="s">
        <v>780</v>
      </c>
      <c r="O737" s="513" t="s">
        <v>1407</v>
      </c>
      <c r="P737" s="513" t="s">
        <v>7456</v>
      </c>
      <c r="Q737" s="518" t="s">
        <v>7101</v>
      </c>
      <c r="R737" s="152" t="s">
        <v>7457</v>
      </c>
      <c r="S737" s="152" t="s">
        <v>1515</v>
      </c>
      <c r="T737" s="152" t="s">
        <v>7459</v>
      </c>
      <c r="U737" s="152" t="s">
        <v>786</v>
      </c>
    </row>
    <row r="738" spans="4:21" ht="25">
      <c r="D738" s="210"/>
      <c r="E738" s="210" t="s">
        <v>676</v>
      </c>
      <c r="F738" s="684" t="str">
        <f>+VLOOKUP(G738,Resumen_Base!$C$8:$G$156,5,0)</f>
        <v>Maintenance  Boats / Vehicles</v>
      </c>
      <c r="G738" s="152" t="s">
        <v>66</v>
      </c>
      <c r="H738" s="474" t="s">
        <v>67</v>
      </c>
      <c r="I738" s="152" t="str">
        <f t="shared" si="11"/>
        <v>CAR5253</v>
      </c>
      <c r="J738" s="847">
        <v>2697.6</v>
      </c>
      <c r="K738" s="513">
        <v>1.92</v>
      </c>
      <c r="L738" s="513">
        <v>1405</v>
      </c>
      <c r="M738" s="152" t="s">
        <v>7143</v>
      </c>
      <c r="N738" s="513" t="s">
        <v>780</v>
      </c>
      <c r="O738" s="513" t="s">
        <v>1407</v>
      </c>
      <c r="P738" s="513" t="s">
        <v>7619</v>
      </c>
      <c r="Q738" s="518" t="s">
        <v>7101</v>
      </c>
      <c r="R738" s="152" t="s">
        <v>7620</v>
      </c>
      <c r="S738" s="152" t="s">
        <v>1515</v>
      </c>
      <c r="T738" s="152" t="s">
        <v>7621</v>
      </c>
      <c r="U738" s="152" t="s">
        <v>786</v>
      </c>
    </row>
    <row r="739" spans="4:21" ht="25">
      <c r="D739" s="210"/>
      <c r="E739" s="210" t="s">
        <v>676</v>
      </c>
      <c r="F739" s="684" t="str">
        <f>+VLOOKUP(G739,Resumen_Base!$C$8:$G$156,5,0)</f>
        <v>Maintenance  Boats / Vehicles</v>
      </c>
      <c r="G739" s="152" t="s">
        <v>66</v>
      </c>
      <c r="H739" s="474" t="s">
        <v>67</v>
      </c>
      <c r="I739" s="152" t="str">
        <f t="shared" si="11"/>
        <v>CAR5253</v>
      </c>
      <c r="J739" s="847">
        <v>448967.75</v>
      </c>
      <c r="K739" s="513">
        <v>319.55</v>
      </c>
      <c r="L739" s="513">
        <v>1405</v>
      </c>
      <c r="M739" s="152" t="s">
        <v>7143</v>
      </c>
      <c r="N739" s="513" t="s">
        <v>780</v>
      </c>
      <c r="O739" s="513" t="s">
        <v>1407</v>
      </c>
      <c r="P739" s="513" t="s">
        <v>7619</v>
      </c>
      <c r="Q739" s="518" t="s">
        <v>7101</v>
      </c>
      <c r="R739" s="152" t="s">
        <v>7620</v>
      </c>
      <c r="S739" s="152" t="s">
        <v>7642</v>
      </c>
      <c r="T739" s="152" t="s">
        <v>7621</v>
      </c>
      <c r="U739" s="152" t="s">
        <v>786</v>
      </c>
    </row>
    <row r="740" spans="4:21">
      <c r="D740" s="210"/>
      <c r="E740" s="210" t="s">
        <v>670</v>
      </c>
      <c r="F740" s="684" t="str">
        <f>+VLOOKUP(G740,Resumen_Base!$C$8:$G$156,5,0)</f>
        <v>Maintenance  Equipment</v>
      </c>
      <c r="G740" s="152" t="s">
        <v>31</v>
      </c>
      <c r="H740" s="474" t="s">
        <v>335</v>
      </c>
      <c r="I740" s="152" t="str">
        <f t="shared" si="11"/>
        <v>SJ5254</v>
      </c>
      <c r="J740" s="847">
        <v>180668.95</v>
      </c>
      <c r="K740" s="513">
        <v>128.59</v>
      </c>
      <c r="L740" s="513">
        <v>1405</v>
      </c>
      <c r="M740" s="152" t="s">
        <v>7116</v>
      </c>
      <c r="N740" s="513" t="s">
        <v>780</v>
      </c>
      <c r="O740" s="513" t="s">
        <v>781</v>
      </c>
      <c r="P740" s="513" t="s">
        <v>7179</v>
      </c>
      <c r="Q740" s="518" t="s">
        <v>7101</v>
      </c>
      <c r="R740" s="152" t="s">
        <v>7180</v>
      </c>
      <c r="S740" s="152" t="s">
        <v>7215</v>
      </c>
      <c r="T740" s="152" t="s">
        <v>7182</v>
      </c>
      <c r="U740" s="152" t="s">
        <v>786</v>
      </c>
    </row>
    <row r="741" spans="4:21">
      <c r="D741" s="210"/>
      <c r="E741" s="210" t="s">
        <v>670</v>
      </c>
      <c r="F741" s="684" t="str">
        <f>+VLOOKUP(G741,Resumen_Base!$C$8:$G$156,5,0)</f>
        <v>Maintenance  Equipment</v>
      </c>
      <c r="G741" s="152" t="s">
        <v>31</v>
      </c>
      <c r="H741" s="474" t="s">
        <v>335</v>
      </c>
      <c r="I741" s="152" t="str">
        <f t="shared" si="11"/>
        <v>SJ5254</v>
      </c>
      <c r="J741" s="847">
        <v>71416.149999999994</v>
      </c>
      <c r="K741" s="513">
        <v>50.83</v>
      </c>
      <c r="L741" s="513">
        <v>1405</v>
      </c>
      <c r="M741" s="152" t="s">
        <v>7116</v>
      </c>
      <c r="N741" s="513" t="s">
        <v>780</v>
      </c>
      <c r="O741" s="513" t="s">
        <v>781</v>
      </c>
      <c r="P741" s="513" t="s">
        <v>7179</v>
      </c>
      <c r="Q741" s="518" t="s">
        <v>7101</v>
      </c>
      <c r="R741" s="152" t="s">
        <v>7180</v>
      </c>
      <c r="S741" s="152" t="s">
        <v>7216</v>
      </c>
      <c r="T741" s="152" t="s">
        <v>7182</v>
      </c>
      <c r="U741" s="152" t="s">
        <v>786</v>
      </c>
    </row>
    <row r="742" spans="4:21">
      <c r="D742" s="210"/>
      <c r="E742" s="210" t="s">
        <v>670</v>
      </c>
      <c r="F742" s="684" t="str">
        <f>+VLOOKUP(G742,Resumen_Base!$C$8:$G$156,5,0)</f>
        <v>Maintenance  Equipment</v>
      </c>
      <c r="G742" s="152" t="s">
        <v>31</v>
      </c>
      <c r="H742" s="474" t="s">
        <v>335</v>
      </c>
      <c r="I742" s="152" t="str">
        <f t="shared" si="11"/>
        <v>SJ5254</v>
      </c>
      <c r="J742" s="847">
        <v>598066.35</v>
      </c>
      <c r="K742" s="513">
        <v>425.67</v>
      </c>
      <c r="L742" s="513">
        <v>1405</v>
      </c>
      <c r="M742" s="152" t="s">
        <v>7116</v>
      </c>
      <c r="N742" s="513" t="s">
        <v>780</v>
      </c>
      <c r="O742" s="513" t="s">
        <v>781</v>
      </c>
      <c r="P742" s="513" t="s">
        <v>7418</v>
      </c>
      <c r="Q742" s="518" t="s">
        <v>7101</v>
      </c>
      <c r="R742" s="152" t="s">
        <v>7419</v>
      </c>
      <c r="S742" s="152" t="s">
        <v>7420</v>
      </c>
      <c r="T742" s="152" t="s">
        <v>7421</v>
      </c>
      <c r="U742" s="152" t="s">
        <v>786</v>
      </c>
    </row>
    <row r="743" spans="4:21">
      <c r="D743" s="210"/>
      <c r="E743" s="210" t="s">
        <v>670</v>
      </c>
      <c r="F743" s="684" t="str">
        <f>+VLOOKUP(G743,Resumen_Base!$C$8:$G$156,5,0)</f>
        <v>Maintenance  Equipment</v>
      </c>
      <c r="G743" s="152" t="s">
        <v>31</v>
      </c>
      <c r="H743" s="474" t="s">
        <v>335</v>
      </c>
      <c r="I743" s="152" t="str">
        <f t="shared" si="11"/>
        <v>SJ5254</v>
      </c>
      <c r="J743" s="847">
        <v>141511.6</v>
      </c>
      <c r="K743" s="513">
        <v>100.72</v>
      </c>
      <c r="L743" s="513">
        <v>1405</v>
      </c>
      <c r="M743" s="152" t="s">
        <v>7116</v>
      </c>
      <c r="N743" s="513" t="s">
        <v>780</v>
      </c>
      <c r="O743" s="513" t="s">
        <v>781</v>
      </c>
      <c r="P743" s="513" t="s">
        <v>7418</v>
      </c>
      <c r="Q743" s="518" t="s">
        <v>7101</v>
      </c>
      <c r="R743" s="152" t="s">
        <v>7419</v>
      </c>
      <c r="S743" s="152" t="s">
        <v>7422</v>
      </c>
      <c r="T743" s="152" t="s">
        <v>7421</v>
      </c>
      <c r="U743" s="152" t="s">
        <v>786</v>
      </c>
    </row>
    <row r="744" spans="4:21">
      <c r="D744" s="210"/>
      <c r="E744" s="210" t="s">
        <v>670</v>
      </c>
      <c r="F744" s="684" t="str">
        <f>+VLOOKUP(G744,Resumen_Base!$C$8:$G$156,5,0)</f>
        <v>Maintenance  Equipment</v>
      </c>
      <c r="G744" s="152" t="s">
        <v>31</v>
      </c>
      <c r="H744" s="474" t="s">
        <v>335</v>
      </c>
      <c r="I744" s="152" t="str">
        <f t="shared" si="11"/>
        <v>SJ5254</v>
      </c>
      <c r="J744" s="847">
        <v>72596.350000000006</v>
      </c>
      <c r="K744" s="513">
        <v>51.67</v>
      </c>
      <c r="L744" s="513">
        <v>1405</v>
      </c>
      <c r="M744" s="152" t="s">
        <v>7116</v>
      </c>
      <c r="N744" s="513" t="s">
        <v>780</v>
      </c>
      <c r="O744" s="513" t="s">
        <v>781</v>
      </c>
      <c r="P744" s="513" t="s">
        <v>7418</v>
      </c>
      <c r="Q744" s="518" t="s">
        <v>7101</v>
      </c>
      <c r="R744" s="152" t="s">
        <v>7419</v>
      </c>
      <c r="S744" s="152" t="s">
        <v>7423</v>
      </c>
      <c r="T744" s="152" t="s">
        <v>7421</v>
      </c>
      <c r="U744" s="152" t="s">
        <v>786</v>
      </c>
    </row>
    <row r="745" spans="4:21">
      <c r="D745" s="210"/>
      <c r="E745" s="210" t="s">
        <v>670</v>
      </c>
      <c r="F745" s="684" t="str">
        <f>+VLOOKUP(G745,Resumen_Base!$C$8:$G$156,5,0)</f>
        <v>Maintenance  Equipment</v>
      </c>
      <c r="G745" s="152" t="s">
        <v>31</v>
      </c>
      <c r="H745" s="474" t="s">
        <v>335</v>
      </c>
      <c r="I745" s="152" t="str">
        <f t="shared" si="11"/>
        <v>SJ5254</v>
      </c>
      <c r="J745" s="847">
        <v>988895.2</v>
      </c>
      <c r="K745" s="513">
        <v>703.84</v>
      </c>
      <c r="L745" s="513">
        <v>1405</v>
      </c>
      <c r="M745" s="152" t="s">
        <v>7116</v>
      </c>
      <c r="N745" s="513" t="s">
        <v>780</v>
      </c>
      <c r="O745" s="513" t="s">
        <v>781</v>
      </c>
      <c r="P745" s="513" t="s">
        <v>7517</v>
      </c>
      <c r="Q745" s="518" t="s">
        <v>7101</v>
      </c>
      <c r="R745" s="152" t="s">
        <v>7518</v>
      </c>
      <c r="S745" s="152" t="s">
        <v>7611</v>
      </c>
      <c r="T745" s="152" t="s">
        <v>7520</v>
      </c>
      <c r="U745" s="152" t="s">
        <v>786</v>
      </c>
    </row>
    <row r="746" spans="4:21">
      <c r="D746" s="210"/>
      <c r="E746" s="210" t="s">
        <v>670</v>
      </c>
      <c r="F746" s="684" t="str">
        <f>+VLOOKUP(G746,Resumen_Base!$C$8:$G$156,5,0)</f>
        <v>Maintenance  Equipment</v>
      </c>
      <c r="G746" s="152" t="s">
        <v>31</v>
      </c>
      <c r="H746" s="474" t="s">
        <v>335</v>
      </c>
      <c r="I746" s="152" t="str">
        <f t="shared" si="11"/>
        <v>SJ5254</v>
      </c>
      <c r="J746" s="847">
        <v>214234.4</v>
      </c>
      <c r="K746" s="513">
        <v>152.47999999999999</v>
      </c>
      <c r="L746" s="513">
        <v>1405</v>
      </c>
      <c r="M746" s="152" t="s">
        <v>7116</v>
      </c>
      <c r="N746" s="513" t="s">
        <v>780</v>
      </c>
      <c r="O746" s="513" t="s">
        <v>781</v>
      </c>
      <c r="P746" s="513" t="s">
        <v>7517</v>
      </c>
      <c r="Q746" s="518" t="s">
        <v>7101</v>
      </c>
      <c r="R746" s="152" t="s">
        <v>7518</v>
      </c>
      <c r="S746" s="152" t="s">
        <v>7612</v>
      </c>
      <c r="T746" s="152" t="s">
        <v>7520</v>
      </c>
      <c r="U746" s="152" t="s">
        <v>786</v>
      </c>
    </row>
    <row r="747" spans="4:21">
      <c r="D747" s="210"/>
      <c r="E747" s="210" t="s">
        <v>670</v>
      </c>
      <c r="F747" s="684" t="str">
        <f>+VLOOKUP(G747,Resumen_Base!$C$8:$G$156,5,0)</f>
        <v>Maintenance  Equipment</v>
      </c>
      <c r="G747" s="152" t="s">
        <v>31</v>
      </c>
      <c r="H747" s="474" t="s">
        <v>335</v>
      </c>
      <c r="I747" s="152" t="str">
        <f t="shared" si="11"/>
        <v>SJ5254</v>
      </c>
      <c r="J747" s="847">
        <v>95525.95</v>
      </c>
      <c r="K747" s="513">
        <v>67.989999999999995</v>
      </c>
      <c r="L747" s="513">
        <v>1405</v>
      </c>
      <c r="M747" s="152" t="s">
        <v>7116</v>
      </c>
      <c r="N747" s="513" t="s">
        <v>780</v>
      </c>
      <c r="O747" s="513" t="s">
        <v>781</v>
      </c>
      <c r="P747" s="513" t="s">
        <v>7517</v>
      </c>
      <c r="Q747" s="518" t="s">
        <v>7101</v>
      </c>
      <c r="R747" s="152" t="s">
        <v>7518</v>
      </c>
      <c r="S747" s="152" t="s">
        <v>7610</v>
      </c>
      <c r="T747" s="152" t="s">
        <v>7520</v>
      </c>
      <c r="U747" s="152" t="s">
        <v>786</v>
      </c>
    </row>
    <row r="748" spans="4:21">
      <c r="D748" s="210"/>
      <c r="E748" s="210" t="s">
        <v>670</v>
      </c>
      <c r="F748" s="684" t="str">
        <f>+VLOOKUP(G748,Resumen_Base!$C$8:$G$156,5,0)</f>
        <v>Maintenance  Equipment</v>
      </c>
      <c r="G748" s="152" t="s">
        <v>31</v>
      </c>
      <c r="H748" s="474" t="s">
        <v>335</v>
      </c>
      <c r="I748" s="152" t="str">
        <f t="shared" si="11"/>
        <v>SJ5254</v>
      </c>
      <c r="J748" s="847">
        <v>2697.6</v>
      </c>
      <c r="K748" s="513">
        <v>1.92</v>
      </c>
      <c r="L748" s="513">
        <v>1405</v>
      </c>
      <c r="M748" s="152" t="s">
        <v>7116</v>
      </c>
      <c r="N748" s="513" t="s">
        <v>780</v>
      </c>
      <c r="O748" s="513" t="s">
        <v>781</v>
      </c>
      <c r="P748" s="513" t="s">
        <v>7517</v>
      </c>
      <c r="Q748" s="518" t="s">
        <v>7101</v>
      </c>
      <c r="R748" s="152" t="s">
        <v>7518</v>
      </c>
      <c r="S748" s="152" t="s">
        <v>953</v>
      </c>
      <c r="T748" s="152" t="s">
        <v>7520</v>
      </c>
      <c r="U748" s="152" t="s">
        <v>786</v>
      </c>
    </row>
    <row r="749" spans="4:21">
      <c r="D749" s="210"/>
      <c r="E749" s="210" t="s">
        <v>670</v>
      </c>
      <c r="F749" s="684" t="str">
        <f>+VLOOKUP(G749,Resumen_Base!$C$8:$G$156,5,0)</f>
        <v>Maintenance  Equipment</v>
      </c>
      <c r="G749" s="152" t="s">
        <v>31</v>
      </c>
      <c r="H749" s="474" t="s">
        <v>335</v>
      </c>
      <c r="I749" s="152" t="str">
        <f t="shared" si="11"/>
        <v>SJ5254</v>
      </c>
      <c r="J749" s="847">
        <v>105824.6</v>
      </c>
      <c r="K749" s="513">
        <v>75.319999999999993</v>
      </c>
      <c r="L749" s="513">
        <v>1405</v>
      </c>
      <c r="M749" s="152" t="s">
        <v>7116</v>
      </c>
      <c r="N749" s="513" t="s">
        <v>780</v>
      </c>
      <c r="O749" s="513" t="s">
        <v>781</v>
      </c>
      <c r="P749" s="513" t="s">
        <v>7517</v>
      </c>
      <c r="Q749" s="518" t="s">
        <v>7101</v>
      </c>
      <c r="R749" s="152" t="s">
        <v>7518</v>
      </c>
      <c r="S749" s="152" t="s">
        <v>7614</v>
      </c>
      <c r="T749" s="152" t="s">
        <v>7520</v>
      </c>
      <c r="U749" s="152" t="s">
        <v>786</v>
      </c>
    </row>
    <row r="750" spans="4:21">
      <c r="D750" s="210"/>
      <c r="E750" s="210" t="s">
        <v>676</v>
      </c>
      <c r="F750" s="684" t="str">
        <f>+VLOOKUP(G750,Resumen_Base!$C$8:$G$156,5,0)</f>
        <v>Maintenance  Equipment</v>
      </c>
      <c r="G750" s="152" t="s">
        <v>31</v>
      </c>
      <c r="H750" s="474" t="s">
        <v>335</v>
      </c>
      <c r="I750" s="152" t="str">
        <f t="shared" si="11"/>
        <v>CAR5254</v>
      </c>
      <c r="J750" s="847">
        <v>2669.5</v>
      </c>
      <c r="K750" s="513">
        <v>1.9</v>
      </c>
      <c r="L750" s="513">
        <v>1405</v>
      </c>
      <c r="M750" s="152" t="s">
        <v>7116</v>
      </c>
      <c r="N750" s="513" t="s">
        <v>780</v>
      </c>
      <c r="O750" s="513" t="s">
        <v>1407</v>
      </c>
      <c r="P750" s="513" t="s">
        <v>7442</v>
      </c>
      <c r="Q750" s="518" t="s">
        <v>7101</v>
      </c>
      <c r="R750" s="152" t="s">
        <v>7443</v>
      </c>
      <c r="S750" s="152" t="s">
        <v>1515</v>
      </c>
      <c r="T750" s="152" t="s">
        <v>7445</v>
      </c>
      <c r="U750" s="152" t="s">
        <v>786</v>
      </c>
    </row>
    <row r="751" spans="4:21">
      <c r="D751" s="210"/>
      <c r="E751" s="210" t="s">
        <v>676</v>
      </c>
      <c r="F751" s="684" t="str">
        <f>+VLOOKUP(G751,Resumen_Base!$C$8:$G$156,5,0)</f>
        <v>Maintenance  Equipment</v>
      </c>
      <c r="G751" s="152" t="s">
        <v>31</v>
      </c>
      <c r="H751" s="474" t="s">
        <v>335</v>
      </c>
      <c r="I751" s="152" t="str">
        <f t="shared" si="11"/>
        <v>CAR5254</v>
      </c>
      <c r="J751" s="847">
        <v>2669.5</v>
      </c>
      <c r="K751" s="513">
        <v>1.9</v>
      </c>
      <c r="L751" s="513">
        <v>1405</v>
      </c>
      <c r="M751" s="152" t="s">
        <v>7116</v>
      </c>
      <c r="N751" s="513" t="s">
        <v>780</v>
      </c>
      <c r="O751" s="513" t="s">
        <v>1407</v>
      </c>
      <c r="P751" s="513" t="s">
        <v>7442</v>
      </c>
      <c r="Q751" s="518" t="s">
        <v>7101</v>
      </c>
      <c r="R751" s="152" t="s">
        <v>7443</v>
      </c>
      <c r="S751" s="152" t="s">
        <v>2998</v>
      </c>
      <c r="T751" s="152" t="s">
        <v>7445</v>
      </c>
      <c r="U751" s="152" t="s">
        <v>786</v>
      </c>
    </row>
    <row r="752" spans="4:21">
      <c r="D752" s="210"/>
      <c r="E752" s="210" t="s">
        <v>676</v>
      </c>
      <c r="F752" s="684" t="str">
        <f>+VLOOKUP(G752,Resumen_Base!$C$8:$G$156,5,0)</f>
        <v>Maintenance  Equipment</v>
      </c>
      <c r="G752" s="152" t="s">
        <v>31</v>
      </c>
      <c r="H752" s="474" t="s">
        <v>335</v>
      </c>
      <c r="I752" s="152" t="str">
        <f t="shared" si="11"/>
        <v>CAR5254</v>
      </c>
      <c r="J752" s="847">
        <v>5080480</v>
      </c>
      <c r="K752" s="513">
        <v>3616</v>
      </c>
      <c r="L752" s="513">
        <v>1405</v>
      </c>
      <c r="M752" s="152" t="s">
        <v>7116</v>
      </c>
      <c r="N752" s="513" t="s">
        <v>780</v>
      </c>
      <c r="O752" s="513" t="s">
        <v>1407</v>
      </c>
      <c r="P752" s="513" t="s">
        <v>7442</v>
      </c>
      <c r="Q752" s="518" t="s">
        <v>7101</v>
      </c>
      <c r="R752" s="152" t="s">
        <v>7443</v>
      </c>
      <c r="S752" s="152" t="s">
        <v>7449</v>
      </c>
      <c r="T752" s="152" t="s">
        <v>7445</v>
      </c>
      <c r="U752" s="152" t="s">
        <v>786</v>
      </c>
    </row>
    <row r="753" spans="4:21">
      <c r="D753" s="210"/>
      <c r="E753" s="210" t="s">
        <v>676</v>
      </c>
      <c r="F753" s="684" t="str">
        <f>+VLOOKUP(G753,Resumen_Base!$C$8:$G$156,5,0)</f>
        <v>Maintenance  Equipment</v>
      </c>
      <c r="G753" s="152" t="s">
        <v>31</v>
      </c>
      <c r="H753" s="474" t="s">
        <v>335</v>
      </c>
      <c r="I753" s="152" t="str">
        <f t="shared" si="11"/>
        <v>CAR5254</v>
      </c>
      <c r="J753" s="847">
        <v>132969.20000000001</v>
      </c>
      <c r="K753" s="513">
        <v>94.64</v>
      </c>
      <c r="L753" s="513">
        <v>1405</v>
      </c>
      <c r="M753" s="152" t="s">
        <v>7116</v>
      </c>
      <c r="N753" s="513" t="s">
        <v>780</v>
      </c>
      <c r="O753" s="513" t="s">
        <v>1407</v>
      </c>
      <c r="P753" s="513" t="s">
        <v>7442</v>
      </c>
      <c r="Q753" s="518" t="s">
        <v>7101</v>
      </c>
      <c r="R753" s="152" t="s">
        <v>7443</v>
      </c>
      <c r="S753" s="152" t="s">
        <v>7455</v>
      </c>
      <c r="T753" s="152" t="s">
        <v>7445</v>
      </c>
      <c r="U753" s="152" t="s">
        <v>786</v>
      </c>
    </row>
    <row r="754" spans="4:21">
      <c r="D754" s="210"/>
      <c r="E754" s="210" t="s">
        <v>676</v>
      </c>
      <c r="F754" s="684" t="str">
        <f>+VLOOKUP(G754,Resumen_Base!$C$8:$G$156,5,0)</f>
        <v>Maintenance  Equipment</v>
      </c>
      <c r="G754" s="152" t="s">
        <v>31</v>
      </c>
      <c r="H754" s="474" t="s">
        <v>335</v>
      </c>
      <c r="I754" s="152" t="str">
        <f t="shared" si="11"/>
        <v>CAR5254</v>
      </c>
      <c r="J754" s="847">
        <v>23969.3</v>
      </c>
      <c r="K754" s="513">
        <v>17.059999999999999</v>
      </c>
      <c r="L754" s="513">
        <v>1405</v>
      </c>
      <c r="M754" s="152" t="s">
        <v>7116</v>
      </c>
      <c r="N754" s="513" t="s">
        <v>780</v>
      </c>
      <c r="O754" s="513" t="s">
        <v>1407</v>
      </c>
      <c r="P754" s="513" t="s">
        <v>7456</v>
      </c>
      <c r="Q754" s="518" t="s">
        <v>7101</v>
      </c>
      <c r="R754" s="152" t="s">
        <v>7457</v>
      </c>
      <c r="S754" s="152" t="s">
        <v>7491</v>
      </c>
      <c r="T754" s="152" t="s">
        <v>7459</v>
      </c>
      <c r="U754" s="152" t="s">
        <v>786</v>
      </c>
    </row>
    <row r="755" spans="4:21">
      <c r="D755" s="210"/>
      <c r="E755" s="210" t="s">
        <v>676</v>
      </c>
      <c r="F755" s="684" t="str">
        <f>+VLOOKUP(G755,Resumen_Base!$C$8:$G$156,5,0)</f>
        <v>Maintenance  Equipment</v>
      </c>
      <c r="G755" s="152" t="s">
        <v>31</v>
      </c>
      <c r="H755" s="474" t="s">
        <v>335</v>
      </c>
      <c r="I755" s="152" t="str">
        <f t="shared" si="11"/>
        <v>CAR5254</v>
      </c>
      <c r="J755" s="847">
        <v>2683.55</v>
      </c>
      <c r="K755" s="513">
        <v>1.91</v>
      </c>
      <c r="L755" s="513">
        <v>1405</v>
      </c>
      <c r="M755" s="152" t="s">
        <v>7116</v>
      </c>
      <c r="N755" s="513" t="s">
        <v>780</v>
      </c>
      <c r="O755" s="513" t="s">
        <v>1407</v>
      </c>
      <c r="P755" s="513" t="s">
        <v>7456</v>
      </c>
      <c r="Q755" s="518" t="s">
        <v>7101</v>
      </c>
      <c r="R755" s="152" t="s">
        <v>7457</v>
      </c>
      <c r="S755" s="152" t="s">
        <v>1515</v>
      </c>
      <c r="T755" s="152" t="s">
        <v>7459</v>
      </c>
      <c r="U755" s="152" t="s">
        <v>786</v>
      </c>
    </row>
    <row r="756" spans="4:21">
      <c r="D756" s="210"/>
      <c r="E756" s="210" t="s">
        <v>676</v>
      </c>
      <c r="F756" s="684" t="str">
        <f>+VLOOKUP(G756,Resumen_Base!$C$8:$G$156,5,0)</f>
        <v>Maintenance  Equipment</v>
      </c>
      <c r="G756" s="152" t="s">
        <v>31</v>
      </c>
      <c r="H756" s="474" t="s">
        <v>335</v>
      </c>
      <c r="I756" s="152" t="str">
        <f t="shared" si="11"/>
        <v>CAR5254</v>
      </c>
      <c r="J756" s="847">
        <v>2712.2</v>
      </c>
      <c r="K756" s="513">
        <v>1.91</v>
      </c>
      <c r="L756" s="513">
        <v>1420</v>
      </c>
      <c r="M756" s="152" t="s">
        <v>7143</v>
      </c>
      <c r="N756" s="513" t="s">
        <v>780</v>
      </c>
      <c r="O756" s="513" t="s">
        <v>1407</v>
      </c>
      <c r="P756" s="513" t="s">
        <v>7619</v>
      </c>
      <c r="Q756" s="518" t="s">
        <v>7101</v>
      </c>
      <c r="R756" s="152" t="s">
        <v>7620</v>
      </c>
      <c r="S756" s="152" t="s">
        <v>1515</v>
      </c>
      <c r="T756" s="152" t="s">
        <v>7621</v>
      </c>
      <c r="U756" s="152" t="s">
        <v>786</v>
      </c>
    </row>
    <row r="757" spans="4:21">
      <c r="D757" s="210"/>
      <c r="E757" s="210" t="s">
        <v>676</v>
      </c>
      <c r="F757" s="684" t="str">
        <f>+VLOOKUP(G757,Resumen_Base!$C$8:$G$156,5,0)</f>
        <v>Maintenance  Equipment</v>
      </c>
      <c r="G757" s="152" t="s">
        <v>31</v>
      </c>
      <c r="H757" s="474" t="s">
        <v>335</v>
      </c>
      <c r="I757" s="152" t="str">
        <f t="shared" si="11"/>
        <v>CAR5254</v>
      </c>
      <c r="J757" s="847">
        <v>199055.6</v>
      </c>
      <c r="K757" s="513">
        <v>140.18</v>
      </c>
      <c r="L757" s="513">
        <v>1420</v>
      </c>
      <c r="M757" s="152" t="s">
        <v>7143</v>
      </c>
      <c r="N757" s="513" t="s">
        <v>780</v>
      </c>
      <c r="O757" s="513" t="s">
        <v>1407</v>
      </c>
      <c r="P757" s="513" t="s">
        <v>7619</v>
      </c>
      <c r="Q757" s="518" t="s">
        <v>7101</v>
      </c>
      <c r="R757" s="152" t="s">
        <v>7620</v>
      </c>
      <c r="S757" s="152" t="s">
        <v>7634</v>
      </c>
      <c r="T757" s="152" t="s">
        <v>7621</v>
      </c>
      <c r="U757" s="152" t="s">
        <v>786</v>
      </c>
    </row>
    <row r="758" spans="4:21">
      <c r="D758" s="210"/>
      <c r="E758" s="210" t="s">
        <v>676</v>
      </c>
      <c r="F758" s="684" t="str">
        <f>+VLOOKUP(G758,Resumen_Base!$C$8:$G$156,5,0)</f>
        <v>Maintenance  Equipment</v>
      </c>
      <c r="G758" s="152" t="s">
        <v>31</v>
      </c>
      <c r="H758" s="474" t="s">
        <v>335</v>
      </c>
      <c r="I758" s="152" t="str">
        <f t="shared" si="11"/>
        <v>CAR5254</v>
      </c>
      <c r="J758" s="847">
        <v>2669.5</v>
      </c>
      <c r="K758" s="513">
        <v>1.9</v>
      </c>
      <c r="L758" s="513">
        <v>1405</v>
      </c>
      <c r="M758" s="152" t="s">
        <v>7143</v>
      </c>
      <c r="N758" s="513" t="s">
        <v>780</v>
      </c>
      <c r="O758" s="513" t="s">
        <v>1407</v>
      </c>
      <c r="P758" s="513" t="s">
        <v>7646</v>
      </c>
      <c r="Q758" s="518" t="s">
        <v>7101</v>
      </c>
      <c r="R758" s="152" t="s">
        <v>7647</v>
      </c>
      <c r="S758" s="152" t="s">
        <v>1515</v>
      </c>
      <c r="T758" s="152" t="s">
        <v>7649</v>
      </c>
      <c r="U758" s="152" t="s">
        <v>786</v>
      </c>
    </row>
    <row r="759" spans="4:21">
      <c r="D759" s="210"/>
      <c r="E759" s="210" t="s">
        <v>676</v>
      </c>
      <c r="F759" s="684" t="str">
        <f>+VLOOKUP(G759,Resumen_Base!$C$8:$G$156,5,0)</f>
        <v>Maintenance  Equipment</v>
      </c>
      <c r="G759" s="152" t="s">
        <v>31</v>
      </c>
      <c r="H759" s="474" t="s">
        <v>335</v>
      </c>
      <c r="I759" s="152" t="str">
        <f t="shared" si="11"/>
        <v>CAR5254</v>
      </c>
      <c r="J759" s="847">
        <v>2883060</v>
      </c>
      <c r="K759" s="513">
        <v>2052</v>
      </c>
      <c r="L759" s="513">
        <v>1405</v>
      </c>
      <c r="M759" s="152" t="s">
        <v>7143</v>
      </c>
      <c r="N759" s="513" t="s">
        <v>780</v>
      </c>
      <c r="O759" s="513" t="s">
        <v>1407</v>
      </c>
      <c r="P759" s="513" t="s">
        <v>7646</v>
      </c>
      <c r="Q759" s="518" t="s">
        <v>7101</v>
      </c>
      <c r="R759" s="152" t="s">
        <v>7647</v>
      </c>
      <c r="S759" s="152" t="s">
        <v>7651</v>
      </c>
      <c r="T759" s="152" t="s">
        <v>7649</v>
      </c>
      <c r="U759" s="152" t="s">
        <v>786</v>
      </c>
    </row>
    <row r="760" spans="4:21" ht="25">
      <c r="D760" s="210"/>
      <c r="E760" s="210" t="s">
        <v>670</v>
      </c>
      <c r="F760" s="684" t="str">
        <f>+VLOOKUP(G760,Resumen_Base!$C$8:$G$156,5,0)</f>
        <v>Travel for personnel (employees)</v>
      </c>
      <c r="G760" s="152" t="s">
        <v>68</v>
      </c>
      <c r="H760" s="474" t="s">
        <v>69</v>
      </c>
      <c r="I760" s="152" t="str">
        <f t="shared" si="11"/>
        <v>SJ5255</v>
      </c>
      <c r="J760" s="847">
        <v>23885</v>
      </c>
      <c r="K760" s="513">
        <v>17</v>
      </c>
      <c r="L760" s="513">
        <v>1405</v>
      </c>
      <c r="M760" s="152" t="s">
        <v>7116</v>
      </c>
      <c r="N760" s="513" t="s">
        <v>780</v>
      </c>
      <c r="O760" s="513" t="s">
        <v>781</v>
      </c>
      <c r="P760" s="513" t="s">
        <v>7179</v>
      </c>
      <c r="Q760" s="518" t="s">
        <v>7101</v>
      </c>
      <c r="R760" s="152" t="s">
        <v>7180</v>
      </c>
      <c r="S760" s="152" t="s">
        <v>7203</v>
      </c>
      <c r="T760" s="152" t="s">
        <v>7182</v>
      </c>
      <c r="U760" s="152" t="s">
        <v>786</v>
      </c>
    </row>
    <row r="761" spans="4:21" ht="25">
      <c r="D761" s="210"/>
      <c r="E761" s="210" t="s">
        <v>670</v>
      </c>
      <c r="F761" s="684" t="str">
        <f>+VLOOKUP(G761,Resumen_Base!$C$8:$G$156,5,0)</f>
        <v>Travel for personnel (employees)</v>
      </c>
      <c r="G761" s="152" t="s">
        <v>68</v>
      </c>
      <c r="H761" s="474" t="s">
        <v>69</v>
      </c>
      <c r="I761" s="152" t="str">
        <f t="shared" si="11"/>
        <v>SJ5255</v>
      </c>
      <c r="J761" s="847">
        <v>23491.599999999999</v>
      </c>
      <c r="K761" s="513">
        <v>16.72</v>
      </c>
      <c r="L761" s="513">
        <v>1405</v>
      </c>
      <c r="M761" s="152" t="s">
        <v>7116</v>
      </c>
      <c r="N761" s="513" t="s">
        <v>780</v>
      </c>
      <c r="O761" s="513" t="s">
        <v>781</v>
      </c>
      <c r="P761" s="513" t="s">
        <v>7179</v>
      </c>
      <c r="Q761" s="518" t="s">
        <v>7101</v>
      </c>
      <c r="R761" s="152" t="s">
        <v>7180</v>
      </c>
      <c r="S761" s="152" t="s">
        <v>7202</v>
      </c>
      <c r="T761" s="152" t="s">
        <v>7182</v>
      </c>
      <c r="U761" s="152" t="s">
        <v>786</v>
      </c>
    </row>
    <row r="762" spans="4:21" ht="25">
      <c r="D762" s="210"/>
      <c r="E762" s="210" t="s">
        <v>670</v>
      </c>
      <c r="F762" s="684" t="str">
        <f>+VLOOKUP(G762,Resumen_Base!$C$8:$G$156,5,0)</f>
        <v>Travel for personnel (employees)</v>
      </c>
      <c r="G762" s="152" t="s">
        <v>68</v>
      </c>
      <c r="H762" s="474" t="s">
        <v>69</v>
      </c>
      <c r="I762" s="152" t="str">
        <f t="shared" si="11"/>
        <v>SJ5255</v>
      </c>
      <c r="J762" s="847">
        <v>223395</v>
      </c>
      <c r="K762" s="513">
        <v>159</v>
      </c>
      <c r="L762" s="513">
        <v>1405</v>
      </c>
      <c r="M762" s="152" t="s">
        <v>7116</v>
      </c>
      <c r="N762" s="513" t="s">
        <v>780</v>
      </c>
      <c r="O762" s="513" t="s">
        <v>781</v>
      </c>
      <c r="P762" s="513" t="s">
        <v>7418</v>
      </c>
      <c r="Q762" s="518" t="s">
        <v>7101</v>
      </c>
      <c r="R762" s="152" t="s">
        <v>7419</v>
      </c>
      <c r="S762" s="152" t="s">
        <v>7439</v>
      </c>
      <c r="T762" s="152" t="s">
        <v>7421</v>
      </c>
      <c r="U762" s="152" t="s">
        <v>786</v>
      </c>
    </row>
    <row r="763" spans="4:21" ht="25">
      <c r="D763" s="210"/>
      <c r="E763" s="210" t="s">
        <v>670</v>
      </c>
      <c r="F763" s="684" t="str">
        <f>+VLOOKUP(G763,Resumen_Base!$C$8:$G$156,5,0)</f>
        <v>Travel for personnel (employees)</v>
      </c>
      <c r="G763" s="152" t="s">
        <v>68</v>
      </c>
      <c r="H763" s="474" t="s">
        <v>69</v>
      </c>
      <c r="I763" s="152" t="str">
        <f t="shared" si="11"/>
        <v>SJ5255</v>
      </c>
      <c r="J763" s="847">
        <v>59206.7</v>
      </c>
      <c r="K763" s="513">
        <v>42.14</v>
      </c>
      <c r="L763" s="513">
        <v>1405</v>
      </c>
      <c r="M763" s="152" t="s">
        <v>7116</v>
      </c>
      <c r="N763" s="513" t="s">
        <v>780</v>
      </c>
      <c r="O763" s="513" t="s">
        <v>781</v>
      </c>
      <c r="P763" s="513" t="s">
        <v>7517</v>
      </c>
      <c r="Q763" s="518" t="s">
        <v>7101</v>
      </c>
      <c r="R763" s="152" t="s">
        <v>7518</v>
      </c>
      <c r="S763" s="152" t="s">
        <v>6344</v>
      </c>
      <c r="T763" s="152" t="s">
        <v>7520</v>
      </c>
      <c r="U763" s="152" t="s">
        <v>786</v>
      </c>
    </row>
    <row r="764" spans="4:21" ht="25">
      <c r="D764" s="210"/>
      <c r="E764" s="210" t="s">
        <v>670</v>
      </c>
      <c r="F764" s="684" t="str">
        <f>+VLOOKUP(G764,Resumen_Base!$C$8:$G$156,5,0)</f>
        <v>Travel for personnel (employees)</v>
      </c>
      <c r="G764" s="152" t="s">
        <v>68</v>
      </c>
      <c r="H764" s="474" t="s">
        <v>69</v>
      </c>
      <c r="I764" s="152" t="str">
        <f t="shared" si="11"/>
        <v>SJ5255</v>
      </c>
      <c r="J764" s="847">
        <v>2725.7</v>
      </c>
      <c r="K764" s="513">
        <v>1.94</v>
      </c>
      <c r="L764" s="513">
        <v>1405</v>
      </c>
      <c r="M764" s="152" t="s">
        <v>7116</v>
      </c>
      <c r="N764" s="513" t="s">
        <v>780</v>
      </c>
      <c r="O764" s="513" t="s">
        <v>781</v>
      </c>
      <c r="P764" s="513" t="s">
        <v>7517</v>
      </c>
      <c r="Q764" s="518" t="s">
        <v>7101</v>
      </c>
      <c r="R764" s="152" t="s">
        <v>7518</v>
      </c>
      <c r="S764" s="152" t="s">
        <v>953</v>
      </c>
      <c r="T764" s="152" t="s">
        <v>7520</v>
      </c>
      <c r="U764" s="152" t="s">
        <v>786</v>
      </c>
    </row>
    <row r="765" spans="4:21" ht="25">
      <c r="D765" s="210"/>
      <c r="E765" s="210" t="s">
        <v>670</v>
      </c>
      <c r="F765" s="684" t="str">
        <f>+VLOOKUP(G765,Resumen_Base!$C$8:$G$156,5,0)</f>
        <v>Travel for personnel (employees)</v>
      </c>
      <c r="G765" s="152" t="s">
        <v>68</v>
      </c>
      <c r="H765" s="474" t="s">
        <v>69</v>
      </c>
      <c r="I765" s="152" t="str">
        <f t="shared" si="11"/>
        <v>SJ5255</v>
      </c>
      <c r="J765" s="847">
        <v>21384.1</v>
      </c>
      <c r="K765" s="513">
        <v>15.22</v>
      </c>
      <c r="L765" s="513">
        <v>1405</v>
      </c>
      <c r="M765" s="152" t="s">
        <v>7116</v>
      </c>
      <c r="N765" s="513" t="s">
        <v>780</v>
      </c>
      <c r="O765" s="513" t="s">
        <v>781</v>
      </c>
      <c r="P765" s="513" t="s">
        <v>7517</v>
      </c>
      <c r="Q765" s="518" t="s">
        <v>7101</v>
      </c>
      <c r="R765" s="152" t="s">
        <v>7518</v>
      </c>
      <c r="S765" s="152" t="s">
        <v>7603</v>
      </c>
      <c r="T765" s="152" t="s">
        <v>7520</v>
      </c>
      <c r="U765" s="152" t="s">
        <v>786</v>
      </c>
    </row>
    <row r="766" spans="4:21" ht="25">
      <c r="D766" s="210"/>
      <c r="E766" s="210" t="s">
        <v>670</v>
      </c>
      <c r="F766" s="684" t="str">
        <f>+VLOOKUP(G766,Resumen_Base!$C$8:$G$156,5,0)</f>
        <v>Travel for personnel (employees)</v>
      </c>
      <c r="G766" s="152" t="s">
        <v>68</v>
      </c>
      <c r="H766" s="474" t="s">
        <v>69</v>
      </c>
      <c r="I766" s="152" t="str">
        <f t="shared" si="11"/>
        <v>SJ5255</v>
      </c>
      <c r="J766" s="847">
        <v>11998.7</v>
      </c>
      <c r="K766" s="513">
        <v>8.5399999999999991</v>
      </c>
      <c r="L766" s="513">
        <v>1405</v>
      </c>
      <c r="M766" s="152" t="s">
        <v>7116</v>
      </c>
      <c r="N766" s="513" t="s">
        <v>780</v>
      </c>
      <c r="O766" s="513" t="s">
        <v>781</v>
      </c>
      <c r="P766" s="513" t="s">
        <v>7517</v>
      </c>
      <c r="Q766" s="518" t="s">
        <v>7101</v>
      </c>
      <c r="R766" s="152" t="s">
        <v>7518</v>
      </c>
      <c r="S766" s="152" t="s">
        <v>7604</v>
      </c>
      <c r="T766" s="152" t="s">
        <v>7520</v>
      </c>
      <c r="U766" s="152" t="s">
        <v>786</v>
      </c>
    </row>
    <row r="767" spans="4:21" ht="25">
      <c r="D767" s="210"/>
      <c r="E767" s="210" t="s">
        <v>670</v>
      </c>
      <c r="F767" s="684" t="str">
        <f>+VLOOKUP(G767,Resumen_Base!$C$8:$G$156,5,0)</f>
        <v>Travel for personnel (employees)</v>
      </c>
      <c r="G767" s="152" t="s">
        <v>68</v>
      </c>
      <c r="H767" s="474" t="s">
        <v>69</v>
      </c>
      <c r="I767" s="152" t="str">
        <f t="shared" si="11"/>
        <v>SJ5255</v>
      </c>
      <c r="J767" s="847">
        <v>23458.400000000001</v>
      </c>
      <c r="K767" s="513">
        <v>16.52</v>
      </c>
      <c r="L767" s="513">
        <v>1420</v>
      </c>
      <c r="M767" s="152" t="s">
        <v>7143</v>
      </c>
      <c r="N767" s="513" t="s">
        <v>780</v>
      </c>
      <c r="O767" s="513" t="s">
        <v>781</v>
      </c>
      <c r="P767" s="513" t="s">
        <v>7664</v>
      </c>
      <c r="Q767" s="518" t="s">
        <v>7101</v>
      </c>
      <c r="R767" s="152" t="s">
        <v>7665</v>
      </c>
      <c r="S767" s="152" t="s">
        <v>7688</v>
      </c>
      <c r="T767" s="152" t="s">
        <v>7667</v>
      </c>
      <c r="U767" s="152" t="s">
        <v>786</v>
      </c>
    </row>
    <row r="768" spans="4:21" ht="25">
      <c r="D768" s="210"/>
      <c r="E768" s="210" t="s">
        <v>676</v>
      </c>
      <c r="F768" s="684" t="str">
        <f>+VLOOKUP(G768,Resumen_Base!$C$8:$G$156,5,0)</f>
        <v>Travel for personnel (employees)</v>
      </c>
      <c r="G768" s="152" t="s">
        <v>68</v>
      </c>
      <c r="H768" s="474" t="s">
        <v>69</v>
      </c>
      <c r="I768" s="152" t="str">
        <f t="shared" si="11"/>
        <v>CAR5255</v>
      </c>
      <c r="J768" s="847">
        <v>164385</v>
      </c>
      <c r="K768" s="513">
        <v>117</v>
      </c>
      <c r="L768" s="513">
        <v>1405</v>
      </c>
      <c r="M768" s="152" t="s">
        <v>7116</v>
      </c>
      <c r="N768" s="513" t="s">
        <v>780</v>
      </c>
      <c r="O768" s="513" t="s">
        <v>1407</v>
      </c>
      <c r="P768" s="513" t="s">
        <v>7442</v>
      </c>
      <c r="Q768" s="518" t="s">
        <v>7101</v>
      </c>
      <c r="R768" s="152" t="s">
        <v>7443</v>
      </c>
      <c r="S768" s="152" t="s">
        <v>7453</v>
      </c>
      <c r="T768" s="152" t="s">
        <v>7445</v>
      </c>
      <c r="U768" s="152" t="s">
        <v>786</v>
      </c>
    </row>
    <row r="769" spans="4:21" ht="25">
      <c r="D769" s="210"/>
      <c r="E769" s="210" t="s">
        <v>676</v>
      </c>
      <c r="F769" s="684" t="str">
        <f>+VLOOKUP(G769,Resumen_Base!$C$8:$G$156,5,0)</f>
        <v>Travel for personnel (employees)</v>
      </c>
      <c r="G769" s="152" t="s">
        <v>68</v>
      </c>
      <c r="H769" s="474" t="s">
        <v>69</v>
      </c>
      <c r="I769" s="152" t="str">
        <f t="shared" si="11"/>
        <v>CAR5255</v>
      </c>
      <c r="J769" s="847">
        <v>129433</v>
      </c>
      <c r="K769" s="513">
        <v>91.15</v>
      </c>
      <c r="L769" s="513">
        <v>1420</v>
      </c>
      <c r="M769" s="152" t="s">
        <v>7143</v>
      </c>
      <c r="N769" s="513" t="s">
        <v>780</v>
      </c>
      <c r="O769" s="513" t="s">
        <v>1407</v>
      </c>
      <c r="P769" s="513" t="s">
        <v>7619</v>
      </c>
      <c r="Q769" s="518" t="s">
        <v>7101</v>
      </c>
      <c r="R769" s="152" t="s">
        <v>7620</v>
      </c>
      <c r="S769" s="152" t="s">
        <v>7629</v>
      </c>
      <c r="T769" s="152" t="s">
        <v>7621</v>
      </c>
      <c r="U769" s="152" t="s">
        <v>786</v>
      </c>
    </row>
    <row r="770" spans="4:21">
      <c r="D770" s="210"/>
      <c r="E770" s="210" t="s">
        <v>670</v>
      </c>
      <c r="F770" s="684" t="str">
        <f>+VLOOKUP(G770,Resumen_Base!$C$8:$G$156,5,0)</f>
        <v>Food &amp; Wine</v>
      </c>
      <c r="G770" s="152" t="s">
        <v>1718</v>
      </c>
      <c r="H770" s="474" t="s">
        <v>1719</v>
      </c>
      <c r="I770" s="152" t="str">
        <f t="shared" si="11"/>
        <v>SJ5257</v>
      </c>
      <c r="J770" s="847">
        <v>1339906.3500000001</v>
      </c>
      <c r="K770" s="513">
        <v>953.67</v>
      </c>
      <c r="L770" s="513">
        <v>1405</v>
      </c>
      <c r="M770" s="152" t="s">
        <v>7116</v>
      </c>
      <c r="N770" s="513" t="s">
        <v>780</v>
      </c>
      <c r="O770" s="513" t="s">
        <v>781</v>
      </c>
      <c r="P770" s="513" t="s">
        <v>7517</v>
      </c>
      <c r="Q770" s="518" t="s">
        <v>7101</v>
      </c>
      <c r="R770" s="152" t="s">
        <v>7518</v>
      </c>
      <c r="S770" s="152" t="s">
        <v>7519</v>
      </c>
      <c r="T770" s="152" t="s">
        <v>7520</v>
      </c>
      <c r="U770" s="152" t="s">
        <v>786</v>
      </c>
    </row>
    <row r="771" spans="4:21">
      <c r="D771" s="210"/>
      <c r="E771" s="210" t="s">
        <v>670</v>
      </c>
      <c r="F771" s="684" t="str">
        <f>+VLOOKUP(G771,Resumen_Base!$C$8:$G$156,5,0)</f>
        <v>Food &amp; Wine</v>
      </c>
      <c r="G771" s="152" t="s">
        <v>1718</v>
      </c>
      <c r="H771" s="474" t="s">
        <v>1719</v>
      </c>
      <c r="I771" s="152" t="str">
        <f t="shared" si="11"/>
        <v>SJ5257</v>
      </c>
      <c r="J771" s="847">
        <v>2711.65</v>
      </c>
      <c r="K771" s="513">
        <v>1.93</v>
      </c>
      <c r="L771" s="513">
        <v>1405</v>
      </c>
      <c r="M771" s="152" t="s">
        <v>7116</v>
      </c>
      <c r="N771" s="513" t="s">
        <v>780</v>
      </c>
      <c r="O771" s="513" t="s">
        <v>781</v>
      </c>
      <c r="P771" s="513" t="s">
        <v>7517</v>
      </c>
      <c r="Q771" s="518" t="s">
        <v>7101</v>
      </c>
      <c r="R771" s="152" t="s">
        <v>7518</v>
      </c>
      <c r="S771" s="152" t="s">
        <v>953</v>
      </c>
      <c r="T771" s="152" t="s">
        <v>7520</v>
      </c>
      <c r="U771" s="152" t="s">
        <v>786</v>
      </c>
    </row>
    <row r="772" spans="4:21">
      <c r="D772" s="210"/>
      <c r="E772" s="210" t="s">
        <v>670</v>
      </c>
      <c r="F772" s="684" t="str">
        <f>+VLOOKUP(G772,Resumen_Base!$C$8:$G$156,5,0)</f>
        <v>Food &amp; Wine</v>
      </c>
      <c r="G772" s="152" t="s">
        <v>1718</v>
      </c>
      <c r="H772" s="474" t="s">
        <v>1719</v>
      </c>
      <c r="I772" s="152" t="str">
        <f t="shared" si="11"/>
        <v>SJ5257</v>
      </c>
      <c r="J772" s="847">
        <v>515715.6</v>
      </c>
      <c r="K772" s="513">
        <v>363.18</v>
      </c>
      <c r="L772" s="513">
        <v>1420</v>
      </c>
      <c r="M772" s="152" t="s">
        <v>7143</v>
      </c>
      <c r="N772" s="513" t="s">
        <v>780</v>
      </c>
      <c r="O772" s="513" t="s">
        <v>781</v>
      </c>
      <c r="P772" s="513" t="s">
        <v>7664</v>
      </c>
      <c r="Q772" s="518" t="s">
        <v>7101</v>
      </c>
      <c r="R772" s="152" t="s">
        <v>7665</v>
      </c>
      <c r="S772" s="152" t="s">
        <v>7690</v>
      </c>
      <c r="T772" s="152" t="s">
        <v>7667</v>
      </c>
      <c r="U772" s="152" t="s">
        <v>786</v>
      </c>
    </row>
    <row r="773" spans="4:21">
      <c r="D773" s="210"/>
      <c r="E773" s="210" t="s">
        <v>670</v>
      </c>
      <c r="F773" s="684" t="str">
        <f>+VLOOKUP(G773,Resumen_Base!$C$8:$G$156,5,0)</f>
        <v>Food &amp; Wine</v>
      </c>
      <c r="G773" s="152" t="s">
        <v>1718</v>
      </c>
      <c r="H773" s="474" t="s">
        <v>1719</v>
      </c>
      <c r="I773" s="152" t="str">
        <f t="shared" si="11"/>
        <v>SJ5257</v>
      </c>
      <c r="J773" s="847">
        <v>2712.2</v>
      </c>
      <c r="K773" s="513">
        <v>1.91</v>
      </c>
      <c r="L773" s="513">
        <v>1420</v>
      </c>
      <c r="M773" s="152" t="s">
        <v>7143</v>
      </c>
      <c r="N773" s="513" t="s">
        <v>780</v>
      </c>
      <c r="O773" s="513" t="s">
        <v>781</v>
      </c>
      <c r="P773" s="513" t="s">
        <v>7664</v>
      </c>
      <c r="Q773" s="518" t="s">
        <v>7101</v>
      </c>
      <c r="R773" s="152" t="s">
        <v>7665</v>
      </c>
      <c r="S773" s="152" t="s">
        <v>953</v>
      </c>
      <c r="T773" s="152" t="s">
        <v>7667</v>
      </c>
      <c r="U773" s="152" t="s">
        <v>786</v>
      </c>
    </row>
    <row r="774" spans="4:21">
      <c r="D774" s="210"/>
      <c r="E774" s="210" t="s">
        <v>670</v>
      </c>
      <c r="F774" s="684" t="str">
        <f>+VLOOKUP(G774,Resumen_Base!$C$8:$G$156,5,0)</f>
        <v>Food &amp; Wine</v>
      </c>
      <c r="G774" s="152" t="s">
        <v>1718</v>
      </c>
      <c r="H774" s="474" t="s">
        <v>1719</v>
      </c>
      <c r="I774" s="152" t="str">
        <f t="shared" si="11"/>
        <v>SJ5257</v>
      </c>
      <c r="J774" s="847">
        <v>325904.2</v>
      </c>
      <c r="K774" s="513">
        <v>229.51</v>
      </c>
      <c r="L774" s="513">
        <v>1420</v>
      </c>
      <c r="M774" s="152" t="s">
        <v>7143</v>
      </c>
      <c r="N774" s="513" t="s">
        <v>780</v>
      </c>
      <c r="O774" s="513" t="s">
        <v>781</v>
      </c>
      <c r="P774" s="513" t="s">
        <v>7664</v>
      </c>
      <c r="Q774" s="518" t="s">
        <v>7101</v>
      </c>
      <c r="R774" s="152" t="s">
        <v>7665</v>
      </c>
      <c r="S774" s="152" t="s">
        <v>7689</v>
      </c>
      <c r="T774" s="152" t="s">
        <v>7667</v>
      </c>
      <c r="U774" s="152" t="s">
        <v>786</v>
      </c>
    </row>
    <row r="775" spans="4:21">
      <c r="D775" s="210"/>
      <c r="E775" s="210" t="s">
        <v>670</v>
      </c>
      <c r="F775" s="684" t="str">
        <f>+VLOOKUP(G775,Resumen_Base!$C$8:$G$156,5,0)</f>
        <v>Electricity</v>
      </c>
      <c r="G775" s="152" t="s">
        <v>70</v>
      </c>
      <c r="H775" s="474" t="s">
        <v>71</v>
      </c>
      <c r="I775" s="152" t="str">
        <f t="shared" si="11"/>
        <v>SJ5259</v>
      </c>
      <c r="J775" s="847">
        <v>179062</v>
      </c>
      <c r="K775" s="513">
        <v>126.1</v>
      </c>
      <c r="L775" s="513">
        <v>1420</v>
      </c>
      <c r="M775" s="152" t="s">
        <v>7143</v>
      </c>
      <c r="N775" s="513" t="s">
        <v>780</v>
      </c>
      <c r="O775" s="513" t="s">
        <v>781</v>
      </c>
      <c r="P775" s="513" t="s">
        <v>7284</v>
      </c>
      <c r="Q775" s="518" t="s">
        <v>7101</v>
      </c>
      <c r="R775" s="152" t="s">
        <v>7285</v>
      </c>
      <c r="S775" s="152" t="s">
        <v>7298</v>
      </c>
      <c r="T775" s="152" t="s">
        <v>7287</v>
      </c>
      <c r="U775" s="152" t="s">
        <v>786</v>
      </c>
    </row>
    <row r="776" spans="4:21">
      <c r="D776" s="210"/>
      <c r="E776" s="210" t="s">
        <v>670</v>
      </c>
      <c r="F776" s="684" t="str">
        <f>+VLOOKUP(G776,Resumen_Base!$C$8:$G$156,5,0)</f>
        <v>Electricity</v>
      </c>
      <c r="G776" s="152" t="s">
        <v>70</v>
      </c>
      <c r="H776" s="474" t="s">
        <v>71</v>
      </c>
      <c r="I776" s="152" t="str">
        <f t="shared" si="11"/>
        <v>SJ5259</v>
      </c>
      <c r="J776" s="847">
        <v>35812.400000000001</v>
      </c>
      <c r="K776" s="513">
        <v>25.22</v>
      </c>
      <c r="L776" s="513">
        <v>1420</v>
      </c>
      <c r="M776" s="152" t="s">
        <v>7143</v>
      </c>
      <c r="N776" s="513" t="s">
        <v>780</v>
      </c>
      <c r="O776" s="513" t="s">
        <v>781</v>
      </c>
      <c r="P776" s="513" t="s">
        <v>7284</v>
      </c>
      <c r="Q776" s="518" t="s">
        <v>7101</v>
      </c>
      <c r="R776" s="152" t="s">
        <v>7285</v>
      </c>
      <c r="S776" s="152" t="s">
        <v>7299</v>
      </c>
      <c r="T776" s="152" t="s">
        <v>7287</v>
      </c>
      <c r="U776" s="152" t="s">
        <v>786</v>
      </c>
    </row>
    <row r="777" spans="4:21">
      <c r="D777" s="210"/>
      <c r="E777" s="210" t="s">
        <v>670</v>
      </c>
      <c r="F777" s="684" t="str">
        <f>+VLOOKUP(G777,Resumen_Base!$C$8:$G$156,5,0)</f>
        <v>Electricity</v>
      </c>
      <c r="G777" s="152" t="s">
        <v>70</v>
      </c>
      <c r="H777" s="474" t="s">
        <v>71</v>
      </c>
      <c r="I777" s="152" t="str">
        <f t="shared" si="11"/>
        <v>SJ5259</v>
      </c>
      <c r="J777" s="847">
        <v>2739.75</v>
      </c>
      <c r="K777" s="513">
        <v>1.95</v>
      </c>
      <c r="L777" s="513">
        <v>1405</v>
      </c>
      <c r="M777" s="152" t="s">
        <v>7116</v>
      </c>
      <c r="N777" s="513" t="s">
        <v>780</v>
      </c>
      <c r="O777" s="513" t="s">
        <v>781</v>
      </c>
      <c r="P777" s="513" t="s">
        <v>7517</v>
      </c>
      <c r="Q777" s="518" t="s">
        <v>7101</v>
      </c>
      <c r="R777" s="152" t="s">
        <v>7518</v>
      </c>
      <c r="S777" s="152" t="s">
        <v>953</v>
      </c>
      <c r="T777" s="152" t="s">
        <v>7520</v>
      </c>
      <c r="U777" s="152" t="s">
        <v>786</v>
      </c>
    </row>
    <row r="778" spans="4:21">
      <c r="D778" s="210"/>
      <c r="E778" s="210" t="s">
        <v>670</v>
      </c>
      <c r="F778" s="684" t="str">
        <f>+VLOOKUP(G778,Resumen_Base!$C$8:$G$156,5,0)</f>
        <v>Electricity</v>
      </c>
      <c r="G778" s="152" t="s">
        <v>70</v>
      </c>
      <c r="H778" s="474" t="s">
        <v>71</v>
      </c>
      <c r="I778" s="152" t="str">
        <f t="shared" si="11"/>
        <v>SJ5259</v>
      </c>
      <c r="J778" s="847">
        <v>2050190.05</v>
      </c>
      <c r="K778" s="513">
        <v>1459.21</v>
      </c>
      <c r="L778" s="513">
        <v>1405</v>
      </c>
      <c r="M778" s="152" t="s">
        <v>7116</v>
      </c>
      <c r="N778" s="513" t="s">
        <v>780</v>
      </c>
      <c r="O778" s="513" t="s">
        <v>781</v>
      </c>
      <c r="P778" s="513" t="s">
        <v>7517</v>
      </c>
      <c r="Q778" s="518" t="s">
        <v>7101</v>
      </c>
      <c r="R778" s="152" t="s">
        <v>7518</v>
      </c>
      <c r="S778" s="152" t="s">
        <v>7555</v>
      </c>
      <c r="T778" s="152" t="s">
        <v>7520</v>
      </c>
      <c r="U778" s="152" t="s">
        <v>786</v>
      </c>
    </row>
    <row r="779" spans="4:21">
      <c r="D779" s="210"/>
      <c r="E779" s="210" t="s">
        <v>676</v>
      </c>
      <c r="F779" s="684" t="str">
        <f>+VLOOKUP(G779,Resumen_Base!$C$8:$G$156,5,0)</f>
        <v>Electricity</v>
      </c>
      <c r="G779" s="152" t="s">
        <v>70</v>
      </c>
      <c r="H779" s="474" t="s">
        <v>71</v>
      </c>
      <c r="I779" s="152" t="str">
        <f t="shared" si="11"/>
        <v>CAR5259</v>
      </c>
      <c r="J779" s="847">
        <v>1423564.2</v>
      </c>
      <c r="K779" s="513">
        <v>1002.51</v>
      </c>
      <c r="L779" s="513">
        <v>1420</v>
      </c>
      <c r="M779" s="152" t="s">
        <v>7143</v>
      </c>
      <c r="N779" s="513" t="s">
        <v>780</v>
      </c>
      <c r="O779" s="513" t="s">
        <v>1407</v>
      </c>
      <c r="P779" s="513" t="s">
        <v>7284</v>
      </c>
      <c r="Q779" s="518" t="s">
        <v>7101</v>
      </c>
      <c r="R779" s="152" t="s">
        <v>7285</v>
      </c>
      <c r="S779" s="152" t="s">
        <v>776</v>
      </c>
      <c r="T779" s="152" t="s">
        <v>7287</v>
      </c>
      <c r="U779" s="152" t="s">
        <v>786</v>
      </c>
    </row>
    <row r="780" spans="4:21">
      <c r="D780" s="210"/>
      <c r="E780" s="210" t="s">
        <v>670</v>
      </c>
      <c r="F780" s="684" t="str">
        <f>+VLOOKUP(G780,Resumen_Base!$C$8:$G$156,5,0)</f>
        <v>Miscellaneous &amp; Shipping</v>
      </c>
      <c r="G780" s="152" t="s">
        <v>28</v>
      </c>
      <c r="H780" s="474" t="s">
        <v>336</v>
      </c>
      <c r="I780" s="152" t="str">
        <f t="shared" si="11"/>
        <v>SJ5263</v>
      </c>
      <c r="J780" s="847">
        <v>40000</v>
      </c>
      <c r="K780" s="513">
        <v>28.469750889679698</v>
      </c>
      <c r="L780" s="513">
        <v>1405</v>
      </c>
      <c r="M780" s="152" t="s">
        <v>7112</v>
      </c>
      <c r="N780" s="513" t="s">
        <v>780</v>
      </c>
      <c r="O780" s="513" t="s">
        <v>781</v>
      </c>
      <c r="P780" s="513" t="s">
        <v>7271</v>
      </c>
      <c r="Q780" s="518" t="s">
        <v>7101</v>
      </c>
      <c r="R780" s="152" t="s">
        <v>7272</v>
      </c>
      <c r="S780" s="152" t="s">
        <v>7275</v>
      </c>
      <c r="T780" s="152" t="s">
        <v>7274</v>
      </c>
      <c r="U780" s="152" t="s">
        <v>786</v>
      </c>
    </row>
    <row r="781" spans="4:21">
      <c r="D781" s="210"/>
      <c r="E781" s="210" t="s">
        <v>676</v>
      </c>
      <c r="F781" s="684" t="str">
        <f>+VLOOKUP(G781,Resumen_Base!$C$8:$G$156,5,0)</f>
        <v>Miscellaneous &amp; Shipping</v>
      </c>
      <c r="G781" s="152" t="s">
        <v>28</v>
      </c>
      <c r="H781" s="474" t="s">
        <v>336</v>
      </c>
      <c r="I781" s="152" t="str">
        <f t="shared" ref="I781:I804" si="12">+E781&amp;G781</f>
        <v>CAR5263</v>
      </c>
      <c r="J781" s="847">
        <v>171500</v>
      </c>
      <c r="K781" s="513">
        <v>122.064056939502</v>
      </c>
      <c r="L781" s="513">
        <v>1405</v>
      </c>
      <c r="M781" s="152" t="s">
        <v>7112</v>
      </c>
      <c r="N781" s="513" t="s">
        <v>780</v>
      </c>
      <c r="O781" s="513" t="s">
        <v>1407</v>
      </c>
      <c r="P781" s="513" t="s">
        <v>7271</v>
      </c>
      <c r="Q781" s="518" t="s">
        <v>7101</v>
      </c>
      <c r="R781" s="152" t="s">
        <v>7272</v>
      </c>
      <c r="S781" s="152" t="s">
        <v>7273</v>
      </c>
      <c r="T781" s="152" t="s">
        <v>7274</v>
      </c>
      <c r="U781" s="152" t="s">
        <v>786</v>
      </c>
    </row>
    <row r="782" spans="4:21">
      <c r="D782" s="210"/>
      <c r="E782" s="210" t="s">
        <v>676</v>
      </c>
      <c r="F782" s="684" t="str">
        <f>+VLOOKUP(G782,Resumen_Base!$C$8:$G$156,5,0)</f>
        <v>Miscellaneous &amp; Shipping</v>
      </c>
      <c r="G782" s="152" t="s">
        <v>28</v>
      </c>
      <c r="H782" s="474" t="s">
        <v>336</v>
      </c>
      <c r="I782" s="152" t="str">
        <f t="shared" si="12"/>
        <v>CAR5263</v>
      </c>
      <c r="J782" s="847">
        <v>285580.3</v>
      </c>
      <c r="K782" s="513">
        <v>203.26</v>
      </c>
      <c r="L782" s="513">
        <v>1405</v>
      </c>
      <c r="M782" s="152" t="s">
        <v>7116</v>
      </c>
      <c r="N782" s="513" t="s">
        <v>780</v>
      </c>
      <c r="O782" s="513" t="s">
        <v>1407</v>
      </c>
      <c r="P782" s="513" t="s">
        <v>7456</v>
      </c>
      <c r="Q782" s="518" t="s">
        <v>7101</v>
      </c>
      <c r="R782" s="152" t="s">
        <v>7457</v>
      </c>
      <c r="S782" s="152" t="s">
        <v>7495</v>
      </c>
      <c r="T782" s="152" t="s">
        <v>7459</v>
      </c>
      <c r="U782" s="152" t="s">
        <v>786</v>
      </c>
    </row>
    <row r="783" spans="4:21">
      <c r="D783" s="210"/>
      <c r="E783" s="210" t="s">
        <v>676</v>
      </c>
      <c r="F783" s="684" t="str">
        <f>+VLOOKUP(G783,Resumen_Base!$C$8:$G$156,5,0)</f>
        <v>Miscellaneous &amp; Shipping</v>
      </c>
      <c r="G783" s="152" t="s">
        <v>28</v>
      </c>
      <c r="H783" s="474" t="s">
        <v>336</v>
      </c>
      <c r="I783" s="152" t="str">
        <f t="shared" si="12"/>
        <v>CAR5263</v>
      </c>
      <c r="J783" s="847">
        <v>2669.5</v>
      </c>
      <c r="K783" s="513">
        <v>1.9</v>
      </c>
      <c r="L783" s="513">
        <v>1405</v>
      </c>
      <c r="M783" s="152" t="s">
        <v>7116</v>
      </c>
      <c r="N783" s="513" t="s">
        <v>780</v>
      </c>
      <c r="O783" s="513" t="s">
        <v>1407</v>
      </c>
      <c r="P783" s="513" t="s">
        <v>7456</v>
      </c>
      <c r="Q783" s="518" t="s">
        <v>7101</v>
      </c>
      <c r="R783" s="152" t="s">
        <v>7457</v>
      </c>
      <c r="S783" s="152" t="s">
        <v>1515</v>
      </c>
      <c r="T783" s="152" t="s">
        <v>7459</v>
      </c>
      <c r="U783" s="152" t="s">
        <v>786</v>
      </c>
    </row>
    <row r="784" spans="4:21" ht="25">
      <c r="D784" s="210"/>
      <c r="E784" s="210" t="s">
        <v>670</v>
      </c>
      <c r="F784" s="684" t="str">
        <f>+VLOOKUP(G784,Resumen_Base!$C$8:$G$156,5,0)</f>
        <v>Communications - Phone, internet and satellite TV</v>
      </c>
      <c r="G784" s="152" t="s">
        <v>72</v>
      </c>
      <c r="H784" s="474" t="s">
        <v>73</v>
      </c>
      <c r="I784" s="152" t="str">
        <f t="shared" si="12"/>
        <v>SJ5266</v>
      </c>
      <c r="J784" s="847">
        <v>80286.8</v>
      </c>
      <c r="K784" s="513">
        <v>56.54</v>
      </c>
      <c r="L784" s="513">
        <v>1420</v>
      </c>
      <c r="M784" s="152" t="s">
        <v>7143</v>
      </c>
      <c r="N784" s="513" t="s">
        <v>780</v>
      </c>
      <c r="O784" s="513" t="s">
        <v>781</v>
      </c>
      <c r="P784" s="513" t="s">
        <v>7664</v>
      </c>
      <c r="Q784" s="518" t="s">
        <v>7101</v>
      </c>
      <c r="R784" s="152" t="s">
        <v>7665</v>
      </c>
      <c r="S784" s="152" t="s">
        <v>7693</v>
      </c>
      <c r="T784" s="152" t="s">
        <v>7667</v>
      </c>
      <c r="U784" s="152" t="s">
        <v>786</v>
      </c>
    </row>
    <row r="785" spans="4:21" ht="25">
      <c r="D785" s="210"/>
      <c r="E785" s="210" t="s">
        <v>676</v>
      </c>
      <c r="F785" s="684" t="str">
        <f>+VLOOKUP(G785,Resumen_Base!$C$8:$G$156,5,0)</f>
        <v>Communications - Phone, internet and satellite TV</v>
      </c>
      <c r="G785" s="152" t="s">
        <v>72</v>
      </c>
      <c r="H785" s="474" t="s">
        <v>73</v>
      </c>
      <c r="I785" s="152" t="str">
        <f t="shared" si="12"/>
        <v>CAR5266</v>
      </c>
      <c r="J785" s="847">
        <v>110952.85</v>
      </c>
      <c r="K785" s="513">
        <v>78.97</v>
      </c>
      <c r="L785" s="513">
        <v>1405</v>
      </c>
      <c r="M785" s="152" t="s">
        <v>7116</v>
      </c>
      <c r="N785" s="513" t="s">
        <v>780</v>
      </c>
      <c r="O785" s="513" t="s">
        <v>1407</v>
      </c>
      <c r="P785" s="513" t="s">
        <v>7456</v>
      </c>
      <c r="Q785" s="518" t="s">
        <v>7101</v>
      </c>
      <c r="R785" s="152" t="s">
        <v>7457</v>
      </c>
      <c r="S785" s="152" t="s">
        <v>7496</v>
      </c>
      <c r="T785" s="152" t="s">
        <v>7459</v>
      </c>
      <c r="U785" s="152" t="s">
        <v>786</v>
      </c>
    </row>
    <row r="786" spans="4:21">
      <c r="D786" s="210"/>
      <c r="E786" s="210" t="s">
        <v>670</v>
      </c>
      <c r="F786" s="684" t="str">
        <f>+VLOOKUP(G786,Resumen_Base!$C$8:$G$156,5,0)</f>
        <v>Maintenance Lodge</v>
      </c>
      <c r="G786" s="152" t="s">
        <v>261</v>
      </c>
      <c r="H786" s="474" t="s">
        <v>262</v>
      </c>
      <c r="I786" s="152" t="str">
        <f t="shared" si="12"/>
        <v>SJ5282</v>
      </c>
      <c r="J786" s="847">
        <v>-3723.25</v>
      </c>
      <c r="K786" s="513">
        <v>-2.65</v>
      </c>
      <c r="L786" s="513">
        <v>1405</v>
      </c>
      <c r="M786" s="152" t="s">
        <v>7116</v>
      </c>
      <c r="N786" s="513" t="s">
        <v>780</v>
      </c>
      <c r="O786" s="513" t="s">
        <v>781</v>
      </c>
      <c r="P786" s="513" t="s">
        <v>7129</v>
      </c>
      <c r="Q786" s="518" t="s">
        <v>7101</v>
      </c>
      <c r="R786" s="152" t="s">
        <v>7130</v>
      </c>
      <c r="S786" s="152" t="s">
        <v>7135</v>
      </c>
      <c r="T786" s="152" t="s">
        <v>7131</v>
      </c>
      <c r="U786" s="152" t="s">
        <v>786</v>
      </c>
    </row>
    <row r="787" spans="4:21">
      <c r="D787" s="210"/>
      <c r="E787" s="210" t="s">
        <v>670</v>
      </c>
      <c r="F787" s="684" t="str">
        <f>+VLOOKUP(G787,Resumen_Base!$C$8:$G$156,5,0)</f>
        <v>Maintenance Lodge</v>
      </c>
      <c r="G787" s="152" t="s">
        <v>261</v>
      </c>
      <c r="H787" s="474" t="s">
        <v>262</v>
      </c>
      <c r="I787" s="152" t="str">
        <f t="shared" si="12"/>
        <v>SJ5282</v>
      </c>
      <c r="J787" s="847">
        <v>2740.6</v>
      </c>
      <c r="K787" s="513">
        <v>1.93</v>
      </c>
      <c r="L787" s="513">
        <v>1420</v>
      </c>
      <c r="M787" s="152" t="s">
        <v>7143</v>
      </c>
      <c r="N787" s="513" t="s">
        <v>780</v>
      </c>
      <c r="O787" s="513" t="s">
        <v>781</v>
      </c>
      <c r="P787" s="513" t="s">
        <v>7664</v>
      </c>
      <c r="Q787" s="518" t="s">
        <v>7101</v>
      </c>
      <c r="R787" s="152" t="s">
        <v>7665</v>
      </c>
      <c r="S787" s="152" t="s">
        <v>953</v>
      </c>
      <c r="T787" s="152" t="s">
        <v>7667</v>
      </c>
      <c r="U787" s="152" t="s">
        <v>786</v>
      </c>
    </row>
    <row r="788" spans="4:21">
      <c r="D788" s="210"/>
      <c r="E788" s="210" t="s">
        <v>670</v>
      </c>
      <c r="F788" s="684" t="str">
        <f>+VLOOKUP(G788,Resumen_Base!$C$8:$G$156,5,0)</f>
        <v>Maintenance Lodge</v>
      </c>
      <c r="G788" s="152" t="s">
        <v>261</v>
      </c>
      <c r="H788" s="474" t="s">
        <v>262</v>
      </c>
      <c r="I788" s="152" t="str">
        <f t="shared" si="12"/>
        <v>SJ5282</v>
      </c>
      <c r="J788" s="847">
        <v>859526</v>
      </c>
      <c r="K788" s="513">
        <v>605.29999999999995</v>
      </c>
      <c r="L788" s="513">
        <v>1420</v>
      </c>
      <c r="M788" s="152" t="s">
        <v>7143</v>
      </c>
      <c r="N788" s="513" t="s">
        <v>780</v>
      </c>
      <c r="O788" s="513" t="s">
        <v>781</v>
      </c>
      <c r="P788" s="513" t="s">
        <v>7664</v>
      </c>
      <c r="Q788" s="518" t="s">
        <v>7101</v>
      </c>
      <c r="R788" s="152" t="s">
        <v>7665</v>
      </c>
      <c r="S788" s="152" t="s">
        <v>4858</v>
      </c>
      <c r="T788" s="152" t="s">
        <v>7667</v>
      </c>
      <c r="U788" s="152" t="s">
        <v>786</v>
      </c>
    </row>
    <row r="789" spans="4:21">
      <c r="D789" s="210"/>
      <c r="E789" s="210" t="s">
        <v>670</v>
      </c>
      <c r="F789" s="684" t="str">
        <f>+VLOOKUP(G789,Resumen_Base!$C$8:$G$156,5,0)</f>
        <v>Maintenance Lodge</v>
      </c>
      <c r="G789" s="152" t="s">
        <v>236</v>
      </c>
      <c r="H789" s="474" t="s">
        <v>237</v>
      </c>
      <c r="I789" s="152" t="str">
        <f t="shared" si="12"/>
        <v>SJ5283</v>
      </c>
      <c r="J789" s="847">
        <v>541262.19999999995</v>
      </c>
      <c r="K789" s="513">
        <v>385.24</v>
      </c>
      <c r="L789" s="513">
        <v>1405</v>
      </c>
      <c r="M789" s="152" t="s">
        <v>7116</v>
      </c>
      <c r="N789" s="513" t="s">
        <v>780</v>
      </c>
      <c r="O789" s="513" t="s">
        <v>781</v>
      </c>
      <c r="P789" s="513" t="s">
        <v>7517</v>
      </c>
      <c r="Q789" s="518" t="s">
        <v>7101</v>
      </c>
      <c r="R789" s="152" t="s">
        <v>7518</v>
      </c>
      <c r="S789" s="152" t="s">
        <v>7609</v>
      </c>
      <c r="T789" s="152" t="s">
        <v>7520</v>
      </c>
      <c r="U789" s="152" t="s">
        <v>786</v>
      </c>
    </row>
    <row r="790" spans="4:21">
      <c r="D790" s="210"/>
      <c r="E790" s="210" t="s">
        <v>676</v>
      </c>
      <c r="F790" s="684" t="str">
        <f>+VLOOKUP(G790,Resumen_Base!$C$8:$G$156,5,0)</f>
        <v>Baiting/Maize:</v>
      </c>
      <c r="G790" s="152" t="s">
        <v>238</v>
      </c>
      <c r="H790" s="474" t="s">
        <v>239</v>
      </c>
      <c r="I790" s="152" t="str">
        <f t="shared" si="12"/>
        <v>CAR5284</v>
      </c>
      <c r="J790" s="847">
        <v>915540.15</v>
      </c>
      <c r="K790" s="513">
        <v>651.63</v>
      </c>
      <c r="L790" s="513">
        <v>1405</v>
      </c>
      <c r="M790" s="152" t="s">
        <v>7143</v>
      </c>
      <c r="N790" s="513" t="s">
        <v>780</v>
      </c>
      <c r="O790" s="513" t="s">
        <v>1407</v>
      </c>
      <c r="P790" s="513" t="s">
        <v>7619</v>
      </c>
      <c r="Q790" s="518" t="s">
        <v>7101</v>
      </c>
      <c r="R790" s="152" t="s">
        <v>7620</v>
      </c>
      <c r="S790" s="152" t="s">
        <v>7639</v>
      </c>
      <c r="T790" s="152" t="s">
        <v>7621</v>
      </c>
      <c r="U790" s="152" t="s">
        <v>786</v>
      </c>
    </row>
    <row r="791" spans="4:21">
      <c r="D791" s="210"/>
      <c r="E791" s="210" t="s">
        <v>676</v>
      </c>
      <c r="F791" s="684" t="str">
        <f>+VLOOKUP(G791,Resumen_Base!$C$8:$G$156,5,0)</f>
        <v>Baiting/Maize:</v>
      </c>
      <c r="G791" s="152" t="s">
        <v>238</v>
      </c>
      <c r="H791" s="474" t="s">
        <v>239</v>
      </c>
      <c r="I791" s="152" t="str">
        <f t="shared" si="12"/>
        <v>CAR5284</v>
      </c>
      <c r="J791" s="847">
        <v>2669.5</v>
      </c>
      <c r="K791" s="513">
        <v>1.9</v>
      </c>
      <c r="L791" s="513">
        <v>1405</v>
      </c>
      <c r="M791" s="152" t="s">
        <v>7143</v>
      </c>
      <c r="N791" s="513" t="s">
        <v>780</v>
      </c>
      <c r="O791" s="513" t="s">
        <v>1407</v>
      </c>
      <c r="P791" s="513" t="s">
        <v>7619</v>
      </c>
      <c r="Q791" s="518" t="s">
        <v>7101</v>
      </c>
      <c r="R791" s="152" t="s">
        <v>7620</v>
      </c>
      <c r="S791" s="152" t="s">
        <v>1515</v>
      </c>
      <c r="T791" s="152" t="s">
        <v>7621</v>
      </c>
      <c r="U791" s="152" t="s">
        <v>786</v>
      </c>
    </row>
    <row r="792" spans="4:21">
      <c r="D792" s="210"/>
      <c r="E792" s="210" t="s">
        <v>670</v>
      </c>
      <c r="F792" s="684" t="str">
        <f>+VLOOKUP(G792,Resumen_Base!$C$8:$G$156,5,0)</f>
        <v>Extras</v>
      </c>
      <c r="G792" s="152" t="s">
        <v>337</v>
      </c>
      <c r="H792" s="474" t="s">
        <v>338</v>
      </c>
      <c r="I792" s="152" t="str">
        <f t="shared" si="12"/>
        <v>SJ5285</v>
      </c>
      <c r="J792" s="847">
        <v>2529000</v>
      </c>
      <c r="K792" s="513">
        <v>1800</v>
      </c>
      <c r="L792" s="513">
        <v>1405</v>
      </c>
      <c r="M792" s="152" t="s">
        <v>7143</v>
      </c>
      <c r="N792" s="513" t="s">
        <v>780</v>
      </c>
      <c r="O792" s="513" t="s">
        <v>781</v>
      </c>
      <c r="P792" s="513" t="s">
        <v>7284</v>
      </c>
      <c r="Q792" s="518" t="s">
        <v>7101</v>
      </c>
      <c r="R792" s="152" t="s">
        <v>7285</v>
      </c>
      <c r="S792" s="152" t="s">
        <v>7300</v>
      </c>
      <c r="T792" s="152" t="s">
        <v>7287</v>
      </c>
      <c r="U792" s="152" t="s">
        <v>786</v>
      </c>
    </row>
    <row r="793" spans="4:21">
      <c r="D793" s="210"/>
      <c r="E793" s="210" t="s">
        <v>670</v>
      </c>
      <c r="F793" s="684" t="str">
        <f>+VLOOKUP(G793,Resumen_Base!$C$8:$G$156,5,0)</f>
        <v>Extras</v>
      </c>
      <c r="G793" s="152" t="s">
        <v>337</v>
      </c>
      <c r="H793" s="474" t="s">
        <v>338</v>
      </c>
      <c r="I793" s="152" t="str">
        <f t="shared" si="12"/>
        <v>SJ5285</v>
      </c>
      <c r="J793" s="847">
        <v>105080</v>
      </c>
      <c r="K793" s="513">
        <v>74</v>
      </c>
      <c r="L793" s="513">
        <v>1420</v>
      </c>
      <c r="M793" s="152" t="s">
        <v>7143</v>
      </c>
      <c r="N793" s="513" t="s">
        <v>780</v>
      </c>
      <c r="O793" s="513" t="s">
        <v>781</v>
      </c>
      <c r="P793" s="513" t="s">
        <v>7653</v>
      </c>
      <c r="Q793" s="518" t="s">
        <v>7101</v>
      </c>
      <c r="R793" s="152" t="s">
        <v>7654</v>
      </c>
      <c r="S793" s="152" t="s">
        <v>7663</v>
      </c>
      <c r="T793" s="152" t="s">
        <v>7655</v>
      </c>
      <c r="U793" s="152" t="s">
        <v>786</v>
      </c>
    </row>
    <row r="794" spans="4:21" ht="25">
      <c r="D794" s="210"/>
      <c r="E794" s="210" t="s">
        <v>670</v>
      </c>
      <c r="F794" s="684" t="str">
        <f>+VLOOKUP(G794,Resumen_Base!$C$8:$G$156,5,0)</f>
        <v>Electricity - Gas for Boats &amp; Vehicles</v>
      </c>
      <c r="G794" s="152" t="s">
        <v>163</v>
      </c>
      <c r="H794" s="474" t="s">
        <v>164</v>
      </c>
      <c r="I794" s="152" t="str">
        <f t="shared" si="12"/>
        <v>SJ5288</v>
      </c>
      <c r="J794" s="847">
        <v>71542.600000000006</v>
      </c>
      <c r="K794" s="513">
        <v>50.92</v>
      </c>
      <c r="L794" s="513">
        <v>1405</v>
      </c>
      <c r="M794" s="152" t="s">
        <v>7116</v>
      </c>
      <c r="N794" s="513" t="s">
        <v>780</v>
      </c>
      <c r="O794" s="513" t="s">
        <v>781</v>
      </c>
      <c r="P794" s="513" t="s">
        <v>7179</v>
      </c>
      <c r="Q794" s="518" t="s">
        <v>7101</v>
      </c>
      <c r="R794" s="152" t="s">
        <v>7180</v>
      </c>
      <c r="S794" s="152" t="s">
        <v>7217</v>
      </c>
      <c r="T794" s="152" t="s">
        <v>7182</v>
      </c>
      <c r="U794" s="152" t="s">
        <v>786</v>
      </c>
    </row>
    <row r="795" spans="4:21" ht="25">
      <c r="D795" s="210"/>
      <c r="E795" s="210" t="s">
        <v>670</v>
      </c>
      <c r="F795" s="684" t="str">
        <f>+VLOOKUP(G795,Resumen_Base!$C$8:$G$156,5,0)</f>
        <v>Electricity - Gas for Boats &amp; Vehicles</v>
      </c>
      <c r="G795" s="152" t="s">
        <v>163</v>
      </c>
      <c r="H795" s="474" t="s">
        <v>164</v>
      </c>
      <c r="I795" s="152" t="str">
        <f t="shared" si="12"/>
        <v>SJ5288</v>
      </c>
      <c r="J795" s="847">
        <v>53628.85</v>
      </c>
      <c r="K795" s="513">
        <v>38.17</v>
      </c>
      <c r="L795" s="513">
        <v>1405</v>
      </c>
      <c r="M795" s="152" t="s">
        <v>7143</v>
      </c>
      <c r="N795" s="513" t="s">
        <v>780</v>
      </c>
      <c r="O795" s="513" t="s">
        <v>781</v>
      </c>
      <c r="P795" s="513" t="s">
        <v>7284</v>
      </c>
      <c r="Q795" s="518" t="s">
        <v>7101</v>
      </c>
      <c r="R795" s="152" t="s">
        <v>7285</v>
      </c>
      <c r="S795" s="152" t="s">
        <v>7301</v>
      </c>
      <c r="T795" s="152" t="s">
        <v>7287</v>
      </c>
      <c r="U795" s="152" t="s">
        <v>786</v>
      </c>
    </row>
    <row r="796" spans="4:21" ht="25">
      <c r="D796" s="210"/>
      <c r="E796" s="210" t="s">
        <v>670</v>
      </c>
      <c r="F796" s="684" t="str">
        <f>+VLOOKUP(G796,Resumen_Base!$C$8:$G$156,5,0)</f>
        <v>Electricity - Gas for Boats &amp; Vehicles</v>
      </c>
      <c r="G796" s="152" t="s">
        <v>163</v>
      </c>
      <c r="H796" s="474" t="s">
        <v>164</v>
      </c>
      <c r="I796" s="152" t="str">
        <f t="shared" si="12"/>
        <v>SJ5288</v>
      </c>
      <c r="J796" s="847">
        <v>17906.2</v>
      </c>
      <c r="K796" s="513">
        <v>12.61</v>
      </c>
      <c r="L796" s="513">
        <v>1420</v>
      </c>
      <c r="M796" s="152" t="s">
        <v>7143</v>
      </c>
      <c r="N796" s="513" t="s">
        <v>780</v>
      </c>
      <c r="O796" s="513" t="s">
        <v>781</v>
      </c>
      <c r="P796" s="513" t="s">
        <v>7284</v>
      </c>
      <c r="Q796" s="518" t="s">
        <v>7101</v>
      </c>
      <c r="R796" s="152" t="s">
        <v>7285</v>
      </c>
      <c r="S796" s="152" t="s">
        <v>7302</v>
      </c>
      <c r="T796" s="152" t="s">
        <v>7287</v>
      </c>
      <c r="U796" s="152" t="s">
        <v>786</v>
      </c>
    </row>
    <row r="797" spans="4:21">
      <c r="D797" s="210"/>
      <c r="E797" s="210" t="s">
        <v>670</v>
      </c>
      <c r="F797" s="684" t="str">
        <f>+VLOOKUP(G797,Resumen_Base!$C$8:$G$156,5,0)</f>
        <v>Food &amp; Wine</v>
      </c>
      <c r="G797" s="152" t="s">
        <v>231</v>
      </c>
      <c r="H797" s="474" t="s">
        <v>232</v>
      </c>
      <c r="I797" s="152" t="str">
        <f t="shared" si="12"/>
        <v>SJ5291</v>
      </c>
      <c r="J797" s="847">
        <v>13403.7</v>
      </c>
      <c r="K797" s="513">
        <v>9.5399999999999991</v>
      </c>
      <c r="L797" s="513">
        <v>1405</v>
      </c>
      <c r="M797" s="152" t="s">
        <v>7116</v>
      </c>
      <c r="N797" s="513" t="s">
        <v>780</v>
      </c>
      <c r="O797" s="513" t="s">
        <v>781</v>
      </c>
      <c r="P797" s="513" t="s">
        <v>7179</v>
      </c>
      <c r="Q797" s="518" t="s">
        <v>7101</v>
      </c>
      <c r="R797" s="152" t="s">
        <v>7180</v>
      </c>
      <c r="S797" s="152" t="s">
        <v>7227</v>
      </c>
      <c r="T797" s="152" t="s">
        <v>7182</v>
      </c>
      <c r="U797" s="152" t="s">
        <v>786</v>
      </c>
    </row>
    <row r="798" spans="4:21">
      <c r="D798" s="210"/>
      <c r="E798" s="210" t="s">
        <v>670</v>
      </c>
      <c r="F798" s="684" t="str">
        <f>+VLOOKUP(G798,Resumen_Base!$C$8:$G$156,5,0)</f>
        <v>Food &amp; Wine</v>
      </c>
      <c r="G798" s="152" t="s">
        <v>231</v>
      </c>
      <c r="H798" s="474" t="s">
        <v>232</v>
      </c>
      <c r="I798" s="152" t="str">
        <f t="shared" si="12"/>
        <v>SJ5291</v>
      </c>
      <c r="J798" s="847">
        <v>13586.35</v>
      </c>
      <c r="K798" s="513">
        <v>9.67</v>
      </c>
      <c r="L798" s="513">
        <v>1405</v>
      </c>
      <c r="M798" s="152" t="s">
        <v>7116</v>
      </c>
      <c r="N798" s="513" t="s">
        <v>780</v>
      </c>
      <c r="O798" s="513" t="s">
        <v>781</v>
      </c>
      <c r="P798" s="513" t="s">
        <v>7179</v>
      </c>
      <c r="Q798" s="518" t="s">
        <v>7101</v>
      </c>
      <c r="R798" s="152" t="s">
        <v>7180</v>
      </c>
      <c r="S798" s="152" t="s">
        <v>7228</v>
      </c>
      <c r="T798" s="152" t="s">
        <v>7182</v>
      </c>
      <c r="U798" s="152" t="s">
        <v>786</v>
      </c>
    </row>
    <row r="799" spans="4:21">
      <c r="D799" s="210"/>
      <c r="E799" s="210" t="s">
        <v>670</v>
      </c>
      <c r="F799" s="684" t="str">
        <f>+VLOOKUP(G799,Resumen_Base!$C$8:$G$156,5,0)</f>
        <v>Food &amp; Wine</v>
      </c>
      <c r="G799" s="152" t="s">
        <v>231</v>
      </c>
      <c r="H799" s="474" t="s">
        <v>232</v>
      </c>
      <c r="I799" s="152" t="str">
        <f t="shared" si="12"/>
        <v>SJ5291</v>
      </c>
      <c r="J799" s="847">
        <v>23955.4</v>
      </c>
      <c r="K799" s="513">
        <v>16.87</v>
      </c>
      <c r="L799" s="513">
        <v>1420</v>
      </c>
      <c r="M799" s="152" t="s">
        <v>7143</v>
      </c>
      <c r="N799" s="513" t="s">
        <v>780</v>
      </c>
      <c r="O799" s="513" t="s">
        <v>781</v>
      </c>
      <c r="P799" s="513" t="s">
        <v>7284</v>
      </c>
      <c r="Q799" s="518" t="s">
        <v>7101</v>
      </c>
      <c r="R799" s="152" t="s">
        <v>7285</v>
      </c>
      <c r="S799" s="152" t="s">
        <v>7303</v>
      </c>
      <c r="T799" s="152" t="s">
        <v>7287</v>
      </c>
      <c r="U799" s="152" t="s">
        <v>786</v>
      </c>
    </row>
    <row r="800" spans="4:21">
      <c r="D800" s="210"/>
      <c r="E800" s="210" t="s">
        <v>670</v>
      </c>
      <c r="F800" s="684" t="str">
        <f>+VLOOKUP(G800,Resumen_Base!$C$8:$G$156,5,0)</f>
        <v>Food &amp; Wine</v>
      </c>
      <c r="G800" s="152" t="s">
        <v>231</v>
      </c>
      <c r="H800" s="474" t="s">
        <v>232</v>
      </c>
      <c r="I800" s="152" t="str">
        <f t="shared" si="12"/>
        <v>SJ5291</v>
      </c>
      <c r="J800" s="847">
        <v>11830.1</v>
      </c>
      <c r="K800" s="513">
        <v>8.42</v>
      </c>
      <c r="L800" s="513">
        <v>1405</v>
      </c>
      <c r="M800" s="152" t="s">
        <v>7143</v>
      </c>
      <c r="N800" s="513" t="s">
        <v>780</v>
      </c>
      <c r="O800" s="513" t="s">
        <v>781</v>
      </c>
      <c r="P800" s="513" t="s">
        <v>7284</v>
      </c>
      <c r="Q800" s="518" t="s">
        <v>7101</v>
      </c>
      <c r="R800" s="152" t="s">
        <v>7285</v>
      </c>
      <c r="S800" s="152" t="s">
        <v>7228</v>
      </c>
      <c r="T800" s="152" t="s">
        <v>7287</v>
      </c>
      <c r="U800" s="152" t="s">
        <v>786</v>
      </c>
    </row>
    <row r="801" spans="2:21">
      <c r="D801" s="210"/>
      <c r="E801" s="210" t="s">
        <v>670</v>
      </c>
      <c r="F801" s="684" t="str">
        <f>+VLOOKUP(G801,Resumen_Base!$C$8:$G$156,5,0)</f>
        <v>Miscellaneous &amp; Shipping</v>
      </c>
      <c r="G801" s="152" t="s">
        <v>777</v>
      </c>
      <c r="H801" s="474" t="s">
        <v>908</v>
      </c>
      <c r="I801" s="152" t="str">
        <f t="shared" si="12"/>
        <v>SJ5292</v>
      </c>
      <c r="J801" s="847">
        <v>906056.4</v>
      </c>
      <c r="K801" s="513">
        <v>644.88</v>
      </c>
      <c r="L801" s="513">
        <v>1405</v>
      </c>
      <c r="M801" s="152" t="s">
        <v>7116</v>
      </c>
      <c r="N801" s="513" t="s">
        <v>780</v>
      </c>
      <c r="O801" s="513" t="s">
        <v>781</v>
      </c>
      <c r="P801" s="513" t="s">
        <v>7517</v>
      </c>
      <c r="Q801" s="518" t="s">
        <v>7101</v>
      </c>
      <c r="R801" s="152" t="s">
        <v>7518</v>
      </c>
      <c r="S801" s="152" t="s">
        <v>7613</v>
      </c>
      <c r="T801" s="152" t="s">
        <v>7520</v>
      </c>
      <c r="U801" s="152" t="s">
        <v>786</v>
      </c>
    </row>
    <row r="802" spans="2:21">
      <c r="D802" s="210"/>
      <c r="E802" s="210" t="s">
        <v>676</v>
      </c>
      <c r="F802" s="684" t="str">
        <f>+VLOOKUP(G802,Resumen_Base!$C$8:$G$156,5,0)</f>
        <v>Miscellaneous &amp; Shipping</v>
      </c>
      <c r="G802" s="152" t="s">
        <v>777</v>
      </c>
      <c r="H802" s="474" t="s">
        <v>908</v>
      </c>
      <c r="I802" s="152" t="str">
        <f t="shared" si="12"/>
        <v>CAR5292</v>
      </c>
      <c r="J802" s="847">
        <v>243978.25</v>
      </c>
      <c r="K802" s="513">
        <v>173.65</v>
      </c>
      <c r="L802" s="513">
        <v>1405</v>
      </c>
      <c r="M802" s="152" t="s">
        <v>7116</v>
      </c>
      <c r="N802" s="513" t="s">
        <v>780</v>
      </c>
      <c r="O802" s="513" t="s">
        <v>1407</v>
      </c>
      <c r="P802" s="513" t="s">
        <v>7456</v>
      </c>
      <c r="Q802" s="518" t="s">
        <v>7101</v>
      </c>
      <c r="R802" s="152" t="s">
        <v>7457</v>
      </c>
      <c r="S802" s="152" t="s">
        <v>7498</v>
      </c>
      <c r="T802" s="152" t="s">
        <v>7459</v>
      </c>
      <c r="U802" s="152" t="s">
        <v>786</v>
      </c>
    </row>
    <row r="803" spans="2:21">
      <c r="D803" s="210"/>
      <c r="E803" s="210" t="s">
        <v>676</v>
      </c>
      <c r="F803" s="684" t="str">
        <f>+VLOOKUP(G803,Resumen_Base!$C$8:$G$156,5,0)</f>
        <v>Miscellaneous &amp; Shipping</v>
      </c>
      <c r="G803" s="152" t="s">
        <v>777</v>
      </c>
      <c r="H803" s="474" t="s">
        <v>908</v>
      </c>
      <c r="I803" s="152" t="str">
        <f t="shared" si="12"/>
        <v>CAR5292</v>
      </c>
      <c r="J803" s="847">
        <v>167476</v>
      </c>
      <c r="K803" s="513">
        <v>119.2</v>
      </c>
      <c r="L803" s="513">
        <v>1405</v>
      </c>
      <c r="M803" s="152" t="s">
        <v>7116</v>
      </c>
      <c r="N803" s="513" t="s">
        <v>780</v>
      </c>
      <c r="O803" s="513" t="s">
        <v>1407</v>
      </c>
      <c r="P803" s="513" t="s">
        <v>7456</v>
      </c>
      <c r="Q803" s="518" t="s">
        <v>7101</v>
      </c>
      <c r="R803" s="152" t="s">
        <v>7457</v>
      </c>
      <c r="S803" s="152" t="s">
        <v>7500</v>
      </c>
      <c r="T803" s="152" t="s">
        <v>7459</v>
      </c>
      <c r="U803" s="152" t="s">
        <v>786</v>
      </c>
    </row>
    <row r="804" spans="2:21">
      <c r="D804" s="210"/>
      <c r="E804" s="210" t="s">
        <v>676</v>
      </c>
      <c r="F804" s="684" t="str">
        <f>+VLOOKUP(G804,Resumen_Base!$C$8:$G$156,5,0)</f>
        <v>Miscellaneous &amp; Shipping</v>
      </c>
      <c r="G804" s="152" t="s">
        <v>777</v>
      </c>
      <c r="H804" s="474" t="s">
        <v>908</v>
      </c>
      <c r="I804" s="152" t="str">
        <f t="shared" si="12"/>
        <v>CAR5292</v>
      </c>
      <c r="J804" s="847">
        <v>167265.25</v>
      </c>
      <c r="K804" s="513">
        <v>119.05</v>
      </c>
      <c r="L804" s="513">
        <v>1405</v>
      </c>
      <c r="M804" s="152" t="s">
        <v>7143</v>
      </c>
      <c r="N804" s="513" t="s">
        <v>780</v>
      </c>
      <c r="O804" s="513" t="s">
        <v>1407</v>
      </c>
      <c r="P804" s="513" t="s">
        <v>7619</v>
      </c>
      <c r="Q804" s="518" t="s">
        <v>7101</v>
      </c>
      <c r="R804" s="152" t="s">
        <v>7620</v>
      </c>
      <c r="S804" s="152" t="s">
        <v>7623</v>
      </c>
      <c r="T804" s="152" t="s">
        <v>7621</v>
      </c>
      <c r="U804" s="152" t="s">
        <v>786</v>
      </c>
    </row>
    <row r="806" spans="2:21" ht="39">
      <c r="B806" s="750" t="s">
        <v>7075</v>
      </c>
      <c r="C806" s="750"/>
      <c r="D806" s="751"/>
      <c r="E806" s="792" t="s">
        <v>676</v>
      </c>
      <c r="F806" s="753" t="s">
        <v>395</v>
      </c>
      <c r="G806" s="754" t="s">
        <v>133</v>
      </c>
      <c r="H806" s="755" t="s">
        <v>451</v>
      </c>
      <c r="I806" s="751" t="str">
        <f t="shared" ref="I806:I869" si="13">+E806&amp;G806</f>
        <v>CAR5207</v>
      </c>
      <c r="J806" s="470"/>
      <c r="K806" s="825">
        <v>-150</v>
      </c>
      <c r="L806" s="470"/>
      <c r="M806" s="790">
        <v>46142</v>
      </c>
      <c r="N806" s="751"/>
      <c r="O806" s="788" t="s">
        <v>2771</v>
      </c>
      <c r="P806" s="790">
        <v>46157</v>
      </c>
      <c r="S806" t="s">
        <v>6997</v>
      </c>
      <c r="U806" t="s">
        <v>6912</v>
      </c>
    </row>
    <row r="807" spans="2:21" ht="39">
      <c r="B807" s="750" t="s">
        <v>7075</v>
      </c>
      <c r="C807" s="750"/>
      <c r="D807" s="751"/>
      <c r="E807" s="792" t="s">
        <v>676</v>
      </c>
      <c r="F807" s="753" t="s">
        <v>395</v>
      </c>
      <c r="G807" s="754" t="s">
        <v>133</v>
      </c>
      <c r="H807" s="755" t="s">
        <v>451</v>
      </c>
      <c r="I807" s="751" t="str">
        <f t="shared" si="13"/>
        <v>CAR5207</v>
      </c>
      <c r="J807" s="470"/>
      <c r="K807" s="825">
        <v>-2800</v>
      </c>
      <c r="L807" s="470"/>
      <c r="M807" s="790">
        <v>46142</v>
      </c>
      <c r="N807" s="751"/>
      <c r="O807" s="788" t="s">
        <v>2771</v>
      </c>
      <c r="P807" s="790">
        <v>46157</v>
      </c>
      <c r="S807" t="s">
        <v>6998</v>
      </c>
      <c r="U807" t="s">
        <v>6912</v>
      </c>
    </row>
    <row r="808" spans="2:21" ht="39">
      <c r="B808" s="750" t="s">
        <v>7075</v>
      </c>
      <c r="C808" s="750"/>
      <c r="D808" s="751"/>
      <c r="E808" s="792" t="s">
        <v>676</v>
      </c>
      <c r="F808" s="753" t="s">
        <v>395</v>
      </c>
      <c r="G808" s="754" t="s">
        <v>133</v>
      </c>
      <c r="H808" s="755" t="s">
        <v>451</v>
      </c>
      <c r="I808" s="751" t="str">
        <f t="shared" si="13"/>
        <v>CAR5207</v>
      </c>
      <c r="J808" s="470"/>
      <c r="K808" s="825">
        <v>-7.6</v>
      </c>
      <c r="L808" s="470"/>
      <c r="M808" s="790">
        <v>46142</v>
      </c>
      <c r="N808" s="751"/>
      <c r="O808" s="788" t="s">
        <v>2771</v>
      </c>
      <c r="P808" s="790">
        <v>46157</v>
      </c>
      <c r="S808" t="s">
        <v>2797</v>
      </c>
      <c r="U808" t="s">
        <v>6912</v>
      </c>
    </row>
    <row r="809" spans="2:21" ht="39">
      <c r="B809" s="750" t="s">
        <v>7075</v>
      </c>
      <c r="C809" s="750"/>
      <c r="D809" s="751"/>
      <c r="E809" s="792" t="s">
        <v>676</v>
      </c>
      <c r="F809" s="753" t="s">
        <v>395</v>
      </c>
      <c r="G809" s="754" t="s">
        <v>133</v>
      </c>
      <c r="H809" s="755" t="s">
        <v>451</v>
      </c>
      <c r="I809" s="751" t="str">
        <f t="shared" si="13"/>
        <v>CAR5207</v>
      </c>
      <c r="J809" s="470"/>
      <c r="K809" s="825">
        <v>-2000</v>
      </c>
      <c r="L809" s="470"/>
      <c r="M809" s="790">
        <v>46142</v>
      </c>
      <c r="N809" s="751"/>
      <c r="O809" s="788" t="s">
        <v>2771</v>
      </c>
      <c r="P809" s="790">
        <v>46157</v>
      </c>
      <c r="S809" t="s">
        <v>6999</v>
      </c>
      <c r="U809" t="s">
        <v>6912</v>
      </c>
    </row>
    <row r="810" spans="2:21" ht="39">
      <c r="B810" s="750" t="s">
        <v>7075</v>
      </c>
      <c r="C810" s="750"/>
      <c r="D810" s="751"/>
      <c r="E810" s="792" t="s">
        <v>676</v>
      </c>
      <c r="F810" s="753" t="s">
        <v>410</v>
      </c>
      <c r="G810" s="754" t="s">
        <v>60</v>
      </c>
      <c r="H810" s="755" t="s">
        <v>61</v>
      </c>
      <c r="I810" s="751" t="str">
        <f t="shared" si="13"/>
        <v>CAR5220</v>
      </c>
      <c r="J810" s="826"/>
      <c r="K810" s="470">
        <v>-564.10256410256409</v>
      </c>
      <c r="L810" s="470"/>
      <c r="M810" s="790">
        <v>46141</v>
      </c>
      <c r="N810" s="751"/>
      <c r="O810" s="788" t="s">
        <v>2771</v>
      </c>
      <c r="P810" s="790">
        <v>46143</v>
      </c>
      <c r="S810" t="s">
        <v>7030</v>
      </c>
      <c r="U810" t="s">
        <v>6915</v>
      </c>
    </row>
    <row r="811" spans="2:21" ht="39">
      <c r="B811" s="750" t="s">
        <v>7075</v>
      </c>
      <c r="C811" s="750"/>
      <c r="D811" s="751"/>
      <c r="E811" s="792" t="s">
        <v>676</v>
      </c>
      <c r="F811" s="753" t="s">
        <v>411</v>
      </c>
      <c r="G811" s="754" t="s">
        <v>62</v>
      </c>
      <c r="H811" s="755" t="s">
        <v>63</v>
      </c>
      <c r="I811" s="751" t="str">
        <f t="shared" si="13"/>
        <v>CAR5221</v>
      </c>
      <c r="J811" s="470"/>
      <c r="K811" s="825">
        <v>-880</v>
      </c>
      <c r="L811" s="470"/>
      <c r="M811" s="790">
        <v>46142</v>
      </c>
      <c r="N811" s="751"/>
      <c r="O811" s="788" t="s">
        <v>2771</v>
      </c>
      <c r="P811" s="790">
        <v>46157</v>
      </c>
      <c r="S811" t="s">
        <v>7000</v>
      </c>
      <c r="U811" t="s">
        <v>6912</v>
      </c>
    </row>
    <row r="812" spans="2:21" ht="39">
      <c r="B812" s="750" t="s">
        <v>7075</v>
      </c>
      <c r="C812" s="750"/>
      <c r="D812" s="751"/>
      <c r="E812" s="792" t="s">
        <v>676</v>
      </c>
      <c r="F812" s="753" t="s">
        <v>408</v>
      </c>
      <c r="G812" s="754" t="s">
        <v>138</v>
      </c>
      <c r="H812" s="755" t="s">
        <v>202</v>
      </c>
      <c r="I812" s="751" t="str">
        <f t="shared" si="13"/>
        <v>CAR5225</v>
      </c>
      <c r="J812" s="470"/>
      <c r="K812" s="825">
        <v>-3712</v>
      </c>
      <c r="L812" s="470"/>
      <c r="M812" s="790">
        <v>46142</v>
      </c>
      <c r="N812" s="751"/>
      <c r="O812" s="788" t="s">
        <v>2771</v>
      </c>
      <c r="P812" s="790">
        <v>46159</v>
      </c>
      <c r="S812" t="s">
        <v>6913</v>
      </c>
      <c r="U812" t="s">
        <v>6912</v>
      </c>
    </row>
    <row r="813" spans="2:21" ht="39">
      <c r="B813" s="750" t="s">
        <v>7075</v>
      </c>
      <c r="C813" s="750"/>
      <c r="D813" s="751"/>
      <c r="E813" s="792" t="s">
        <v>676</v>
      </c>
      <c r="F813" s="753" t="s">
        <v>400</v>
      </c>
      <c r="G813" s="754" t="s">
        <v>321</v>
      </c>
      <c r="H813" s="755" t="s">
        <v>455</v>
      </c>
      <c r="I813" s="751" t="str">
        <f t="shared" si="13"/>
        <v>CAR5226</v>
      </c>
      <c r="J813" s="826"/>
      <c r="K813" s="470">
        <v>-926.38461538461536</v>
      </c>
      <c r="L813" s="470"/>
      <c r="M813" s="790">
        <v>46142</v>
      </c>
      <c r="N813" s="751"/>
      <c r="O813" s="788" t="s">
        <v>2771</v>
      </c>
      <c r="P813" s="790">
        <v>46158</v>
      </c>
      <c r="S813" t="s">
        <v>6964</v>
      </c>
      <c r="U813" t="s">
        <v>6915</v>
      </c>
    </row>
    <row r="814" spans="2:21" ht="39">
      <c r="B814" s="750" t="s">
        <v>7075</v>
      </c>
      <c r="C814" s="750"/>
      <c r="D814" s="751"/>
      <c r="E814" s="792" t="s">
        <v>676</v>
      </c>
      <c r="F814" s="753" t="s">
        <v>400</v>
      </c>
      <c r="G814" s="754" t="s">
        <v>321</v>
      </c>
      <c r="H814" s="755" t="s">
        <v>455</v>
      </c>
      <c r="I814" s="751" t="str">
        <f t="shared" si="13"/>
        <v>CAR5226</v>
      </c>
      <c r="J814" s="826"/>
      <c r="K814" s="470">
        <v>-909.10256410256409</v>
      </c>
      <c r="L814" s="470"/>
      <c r="M814" s="790">
        <v>46142</v>
      </c>
      <c r="N814" s="751"/>
      <c r="O814" s="788" t="s">
        <v>2771</v>
      </c>
      <c r="P814" s="790">
        <v>46158</v>
      </c>
      <c r="S814" t="s">
        <v>6965</v>
      </c>
      <c r="U814" t="s">
        <v>6915</v>
      </c>
    </row>
    <row r="815" spans="2:21" ht="39">
      <c r="B815" s="750" t="s">
        <v>7075</v>
      </c>
      <c r="C815" s="750"/>
      <c r="D815" s="751"/>
      <c r="E815" s="792" t="s">
        <v>676</v>
      </c>
      <c r="F815" s="753" t="s">
        <v>400</v>
      </c>
      <c r="G815" s="754" t="s">
        <v>321</v>
      </c>
      <c r="H815" s="755" t="s">
        <v>455</v>
      </c>
      <c r="I815" s="751" t="str">
        <f t="shared" si="13"/>
        <v>CAR5226</v>
      </c>
      <c r="J815" s="826"/>
      <c r="K815" s="470">
        <v>-926.38461538461536</v>
      </c>
      <c r="L815" s="470"/>
      <c r="M815" s="790">
        <v>46142</v>
      </c>
      <c r="N815" s="751"/>
      <c r="O815" s="788" t="s">
        <v>2771</v>
      </c>
      <c r="P815" s="790">
        <v>46158</v>
      </c>
      <c r="S815" t="s">
        <v>6966</v>
      </c>
      <c r="U815" t="s">
        <v>6915</v>
      </c>
    </row>
    <row r="816" spans="2:21" ht="39">
      <c r="B816" s="750" t="s">
        <v>7075</v>
      </c>
      <c r="C816" s="750"/>
      <c r="D816" s="751"/>
      <c r="E816" s="792" t="s">
        <v>676</v>
      </c>
      <c r="F816" s="753" t="s">
        <v>400</v>
      </c>
      <c r="G816" s="754" t="s">
        <v>321</v>
      </c>
      <c r="H816" s="755" t="s">
        <v>455</v>
      </c>
      <c r="I816" s="751" t="str">
        <f t="shared" si="13"/>
        <v>CAR5226</v>
      </c>
      <c r="J816" s="826"/>
      <c r="K816" s="470">
        <v>-909.10256410256409</v>
      </c>
      <c r="L816" s="470"/>
      <c r="M816" s="790">
        <v>46142</v>
      </c>
      <c r="N816" s="751"/>
      <c r="O816" s="788" t="s">
        <v>2771</v>
      </c>
      <c r="P816" s="790">
        <v>46158</v>
      </c>
      <c r="S816" t="s">
        <v>6967</v>
      </c>
      <c r="U816" t="s">
        <v>6915</v>
      </c>
    </row>
    <row r="817" spans="2:21" ht="39">
      <c r="B817" s="750" t="s">
        <v>7075</v>
      </c>
      <c r="C817" s="750"/>
      <c r="D817" s="751"/>
      <c r="E817" s="792" t="s">
        <v>676</v>
      </c>
      <c r="F817" s="753" t="s">
        <v>399</v>
      </c>
      <c r="G817" s="754" t="s">
        <v>323</v>
      </c>
      <c r="H817" s="755" t="s">
        <v>453</v>
      </c>
      <c r="I817" s="751" t="str">
        <f t="shared" si="13"/>
        <v>CAR5227</v>
      </c>
      <c r="J817" s="826"/>
      <c r="K817" s="470">
        <v>-457.69230769230768</v>
      </c>
      <c r="L817" s="470"/>
      <c r="M817" s="790">
        <v>46142</v>
      </c>
      <c r="N817" s="751"/>
      <c r="O817" s="788" t="s">
        <v>2771</v>
      </c>
      <c r="P817" s="790">
        <v>46158</v>
      </c>
      <c r="S817" t="s">
        <v>6968</v>
      </c>
      <c r="U817" t="s">
        <v>6915</v>
      </c>
    </row>
    <row r="818" spans="2:21" ht="39">
      <c r="B818" s="750" t="s">
        <v>7075</v>
      </c>
      <c r="C818" s="750"/>
      <c r="D818" s="751"/>
      <c r="E818" s="792" t="s">
        <v>676</v>
      </c>
      <c r="F818" s="753" t="s">
        <v>399</v>
      </c>
      <c r="G818" s="754" t="s">
        <v>323</v>
      </c>
      <c r="H818" s="755" t="s">
        <v>453</v>
      </c>
      <c r="I818" s="751" t="str">
        <f t="shared" si="13"/>
        <v>CAR5227</v>
      </c>
      <c r="J818" s="826"/>
      <c r="K818" s="470">
        <v>-1.9420512820512819</v>
      </c>
      <c r="L818" s="470"/>
      <c r="M818" s="790">
        <v>46142</v>
      </c>
      <c r="N818" s="751"/>
      <c r="O818" s="788" t="s">
        <v>2771</v>
      </c>
      <c r="P818" s="790">
        <v>46158</v>
      </c>
      <c r="S818" t="s">
        <v>2797</v>
      </c>
      <c r="U818" t="s">
        <v>6915</v>
      </c>
    </row>
    <row r="819" spans="2:21" ht="39">
      <c r="B819" s="750" t="s">
        <v>7075</v>
      </c>
      <c r="C819" s="750"/>
      <c r="D819" s="751"/>
      <c r="E819" s="792" t="s">
        <v>676</v>
      </c>
      <c r="F819" s="753" t="s">
        <v>399</v>
      </c>
      <c r="G819" s="754" t="s">
        <v>323</v>
      </c>
      <c r="H819" s="755" t="s">
        <v>453</v>
      </c>
      <c r="I819" s="751" t="str">
        <f t="shared" si="13"/>
        <v>CAR5227</v>
      </c>
      <c r="J819" s="826"/>
      <c r="K819" s="470">
        <v>-589.74358974358972</v>
      </c>
      <c r="L819" s="470"/>
      <c r="M819" s="790">
        <v>46142</v>
      </c>
      <c r="N819" s="751"/>
      <c r="O819" s="788" t="s">
        <v>2771</v>
      </c>
      <c r="P819" s="790">
        <v>46158</v>
      </c>
      <c r="S819" t="s">
        <v>6969</v>
      </c>
      <c r="U819" t="s">
        <v>6915</v>
      </c>
    </row>
    <row r="820" spans="2:21" ht="39">
      <c r="B820" s="750" t="s">
        <v>7075</v>
      </c>
      <c r="C820" s="750"/>
      <c r="D820" s="751"/>
      <c r="E820" s="792" t="s">
        <v>676</v>
      </c>
      <c r="F820" s="753" t="s">
        <v>399</v>
      </c>
      <c r="G820" s="754" t="s">
        <v>323</v>
      </c>
      <c r="H820" s="755" t="s">
        <v>453</v>
      </c>
      <c r="I820" s="751" t="str">
        <f t="shared" si="13"/>
        <v>CAR5227</v>
      </c>
      <c r="J820" s="826"/>
      <c r="K820" s="470">
        <v>-2666.6666666666665</v>
      </c>
      <c r="L820" s="470"/>
      <c r="M820" s="790">
        <v>46142</v>
      </c>
      <c r="N820" s="751"/>
      <c r="O820" s="788" t="s">
        <v>2771</v>
      </c>
      <c r="P820" s="790">
        <v>46158</v>
      </c>
      <c r="S820" t="s">
        <v>6970</v>
      </c>
      <c r="U820" t="s">
        <v>6915</v>
      </c>
    </row>
    <row r="821" spans="2:21" ht="39">
      <c r="B821" s="750" t="s">
        <v>7075</v>
      </c>
      <c r="C821" s="750"/>
      <c r="D821" s="751"/>
      <c r="E821" s="792" t="s">
        <v>676</v>
      </c>
      <c r="F821" s="753" t="s">
        <v>399</v>
      </c>
      <c r="G821" s="754" t="s">
        <v>323</v>
      </c>
      <c r="H821" s="755" t="s">
        <v>453</v>
      </c>
      <c r="I821" s="751" t="str">
        <f t="shared" si="13"/>
        <v>CAR5227</v>
      </c>
      <c r="J821" s="826"/>
      <c r="K821" s="470">
        <v>-897.43589743589746</v>
      </c>
      <c r="L821" s="470"/>
      <c r="M821" s="790">
        <v>46142</v>
      </c>
      <c r="N821" s="751"/>
      <c r="O821" s="788" t="s">
        <v>2771</v>
      </c>
      <c r="P821" s="790">
        <v>46158</v>
      </c>
      <c r="S821" t="s">
        <v>6971</v>
      </c>
      <c r="U821" t="s">
        <v>6915</v>
      </c>
    </row>
    <row r="822" spans="2:21" ht="39">
      <c r="B822" s="750" t="s">
        <v>7075</v>
      </c>
      <c r="C822" s="750"/>
      <c r="D822" s="751"/>
      <c r="E822" s="792" t="s">
        <v>676</v>
      </c>
      <c r="F822" s="753" t="s">
        <v>399</v>
      </c>
      <c r="G822" s="754" t="s">
        <v>323</v>
      </c>
      <c r="H822" s="755" t="s">
        <v>453</v>
      </c>
      <c r="I822" s="751" t="str">
        <f t="shared" si="13"/>
        <v>CAR5227</v>
      </c>
      <c r="J822" s="826"/>
      <c r="K822" s="470">
        <v>-136.74358974358975</v>
      </c>
      <c r="L822" s="470"/>
      <c r="M822" s="790">
        <v>46142</v>
      </c>
      <c r="N822" s="751"/>
      <c r="O822" s="788" t="s">
        <v>2771</v>
      </c>
      <c r="P822" s="790">
        <v>46158</v>
      </c>
      <c r="S822" t="s">
        <v>6972</v>
      </c>
      <c r="U822" t="s">
        <v>6915</v>
      </c>
    </row>
    <row r="823" spans="2:21" ht="39">
      <c r="B823" s="750" t="s">
        <v>7075</v>
      </c>
      <c r="C823" s="750"/>
      <c r="D823" s="751"/>
      <c r="E823" s="792" t="s">
        <v>676</v>
      </c>
      <c r="F823" s="753" t="s">
        <v>399</v>
      </c>
      <c r="G823" s="754" t="s">
        <v>323</v>
      </c>
      <c r="H823" s="755" t="s">
        <v>453</v>
      </c>
      <c r="I823" s="751" t="str">
        <f t="shared" si="13"/>
        <v>CAR5227</v>
      </c>
      <c r="J823" s="826"/>
      <c r="K823" s="470">
        <v>-897.43589743589746</v>
      </c>
      <c r="L823" s="470"/>
      <c r="M823" s="790">
        <v>46142</v>
      </c>
      <c r="N823" s="751"/>
      <c r="O823" s="788" t="s">
        <v>2771</v>
      </c>
      <c r="P823" s="790">
        <v>46158</v>
      </c>
      <c r="S823" t="s">
        <v>6973</v>
      </c>
      <c r="U823" t="s">
        <v>6915</v>
      </c>
    </row>
    <row r="824" spans="2:21" ht="39">
      <c r="B824" s="750" t="s">
        <v>7075</v>
      </c>
      <c r="C824" s="750"/>
      <c r="D824" s="751"/>
      <c r="E824" s="792" t="s">
        <v>676</v>
      </c>
      <c r="F824" s="753" t="s">
        <v>399</v>
      </c>
      <c r="G824" s="754" t="s">
        <v>323</v>
      </c>
      <c r="H824" s="755" t="s">
        <v>453</v>
      </c>
      <c r="I824" s="751" t="str">
        <f t="shared" si="13"/>
        <v>CAR5227</v>
      </c>
      <c r="J824" s="826"/>
      <c r="K824" s="470">
        <v>-512.82051282051282</v>
      </c>
      <c r="L824" s="470"/>
      <c r="M824" s="790">
        <v>46142</v>
      </c>
      <c r="N824" s="751"/>
      <c r="O824" s="788" t="s">
        <v>2771</v>
      </c>
      <c r="P824" s="790">
        <v>46158</v>
      </c>
      <c r="S824" t="s">
        <v>6974</v>
      </c>
      <c r="U824" t="s">
        <v>6915</v>
      </c>
    </row>
    <row r="825" spans="2:21" ht="39">
      <c r="B825" s="750" t="s">
        <v>7075</v>
      </c>
      <c r="C825" s="750"/>
      <c r="D825" s="751"/>
      <c r="E825" s="792" t="s">
        <v>676</v>
      </c>
      <c r="F825" s="753" t="s">
        <v>399</v>
      </c>
      <c r="G825" s="754" t="s">
        <v>323</v>
      </c>
      <c r="H825" s="755" t="s">
        <v>453</v>
      </c>
      <c r="I825" s="751" t="str">
        <f t="shared" si="13"/>
        <v>CAR5227</v>
      </c>
      <c r="J825" s="826"/>
      <c r="K825" s="470">
        <v>-512.82051282051282</v>
      </c>
      <c r="L825" s="470"/>
      <c r="M825" s="790">
        <v>46142</v>
      </c>
      <c r="N825" s="751"/>
      <c r="O825" s="788" t="s">
        <v>2771</v>
      </c>
      <c r="P825" s="790">
        <v>46157</v>
      </c>
      <c r="S825" t="s">
        <v>7001</v>
      </c>
      <c r="U825" t="s">
        <v>6915</v>
      </c>
    </row>
    <row r="826" spans="2:21" ht="39">
      <c r="B826" s="750" t="s">
        <v>7075</v>
      </c>
      <c r="C826" s="750"/>
      <c r="D826" s="751"/>
      <c r="E826" s="792" t="s">
        <v>676</v>
      </c>
      <c r="F826" s="753" t="s">
        <v>399</v>
      </c>
      <c r="G826" s="754" t="s">
        <v>323</v>
      </c>
      <c r="H826" s="755" t="s">
        <v>453</v>
      </c>
      <c r="I826" s="751" t="str">
        <f t="shared" si="13"/>
        <v>CAR5227</v>
      </c>
      <c r="J826" s="826"/>
      <c r="K826" s="470">
        <v>-479.4871794871795</v>
      </c>
      <c r="L826" s="470"/>
      <c r="M826" s="790">
        <v>46142</v>
      </c>
      <c r="N826" s="751"/>
      <c r="O826" s="788" t="s">
        <v>2771</v>
      </c>
      <c r="P826" s="790">
        <v>46157</v>
      </c>
      <c r="S826" t="s">
        <v>7002</v>
      </c>
      <c r="U826" t="s">
        <v>6915</v>
      </c>
    </row>
    <row r="827" spans="2:21" ht="39">
      <c r="B827" s="750" t="s">
        <v>7075</v>
      </c>
      <c r="C827" s="750"/>
      <c r="D827" s="751"/>
      <c r="E827" s="792" t="s">
        <v>676</v>
      </c>
      <c r="F827" s="753" t="s">
        <v>399</v>
      </c>
      <c r="G827" s="754" t="s">
        <v>323</v>
      </c>
      <c r="H827" s="755" t="s">
        <v>453</v>
      </c>
      <c r="I827" s="751" t="str">
        <f t="shared" si="13"/>
        <v>CAR5227</v>
      </c>
      <c r="J827" s="826"/>
      <c r="K827" s="470">
        <v>-348.71794871794873</v>
      </c>
      <c r="L827" s="470"/>
      <c r="M827" s="790">
        <v>46142</v>
      </c>
      <c r="N827" s="751"/>
      <c r="O827" s="788" t="s">
        <v>2771</v>
      </c>
      <c r="P827" s="790">
        <v>46157</v>
      </c>
      <c r="S827" t="s">
        <v>7003</v>
      </c>
      <c r="U827" t="s">
        <v>6915</v>
      </c>
    </row>
    <row r="828" spans="2:21" ht="39">
      <c r="B828" s="750" t="s">
        <v>7075</v>
      </c>
      <c r="C828" s="750"/>
      <c r="D828" s="751"/>
      <c r="E828" s="792" t="s">
        <v>676</v>
      </c>
      <c r="F828" s="753" t="s">
        <v>399</v>
      </c>
      <c r="G828" s="754" t="s">
        <v>323</v>
      </c>
      <c r="H828" s="755" t="s">
        <v>453</v>
      </c>
      <c r="I828" s="751" t="str">
        <f t="shared" si="13"/>
        <v>CAR5227</v>
      </c>
      <c r="J828" s="826"/>
      <c r="K828" s="470">
        <v>-348.71794871794873</v>
      </c>
      <c r="L828" s="470"/>
      <c r="M828" s="790">
        <v>46142</v>
      </c>
      <c r="N828" s="751"/>
      <c r="O828" s="788" t="s">
        <v>2771</v>
      </c>
      <c r="P828" s="790">
        <v>46157</v>
      </c>
      <c r="S828" t="s">
        <v>7004</v>
      </c>
      <c r="U828" t="s">
        <v>6915</v>
      </c>
    </row>
    <row r="829" spans="2:21" ht="39">
      <c r="B829" s="750" t="s">
        <v>7075</v>
      </c>
      <c r="C829" s="750"/>
      <c r="D829" s="751"/>
      <c r="E829" s="792" t="s">
        <v>676</v>
      </c>
      <c r="F829" s="753" t="s">
        <v>399</v>
      </c>
      <c r="G829" s="754" t="s">
        <v>323</v>
      </c>
      <c r="H829" s="755" t="s">
        <v>453</v>
      </c>
      <c r="I829" s="751" t="str">
        <f t="shared" si="13"/>
        <v>CAR5227</v>
      </c>
      <c r="J829" s="826"/>
      <c r="K829" s="470">
        <v>-668.71794871794873</v>
      </c>
      <c r="L829" s="470"/>
      <c r="M829" s="790">
        <v>46142</v>
      </c>
      <c r="N829" s="751"/>
      <c r="O829" s="788" t="s">
        <v>2771</v>
      </c>
      <c r="P829" s="790">
        <v>46157</v>
      </c>
      <c r="S829" t="s">
        <v>7005</v>
      </c>
      <c r="U829" t="s">
        <v>6915</v>
      </c>
    </row>
    <row r="830" spans="2:21" ht="39">
      <c r="B830" s="750" t="s">
        <v>7075</v>
      </c>
      <c r="C830" s="750"/>
      <c r="D830" s="751"/>
      <c r="E830" s="792" t="s">
        <v>676</v>
      </c>
      <c r="F830" s="753" t="s">
        <v>399</v>
      </c>
      <c r="G830" s="754" t="s">
        <v>323</v>
      </c>
      <c r="H830" s="755" t="s">
        <v>453</v>
      </c>
      <c r="I830" s="751" t="str">
        <f t="shared" si="13"/>
        <v>CAR5227</v>
      </c>
      <c r="J830" s="826"/>
      <c r="K830" s="470">
        <v>-457.69230769230768</v>
      </c>
      <c r="L830" s="470"/>
      <c r="M830" s="790">
        <v>46142</v>
      </c>
      <c r="N830" s="751"/>
      <c r="O830" s="788" t="s">
        <v>2771</v>
      </c>
      <c r="P830" s="790">
        <v>46157</v>
      </c>
      <c r="S830" t="s">
        <v>7006</v>
      </c>
      <c r="U830" t="s">
        <v>6915</v>
      </c>
    </row>
    <row r="831" spans="2:21" ht="39">
      <c r="B831" s="750" t="s">
        <v>7075</v>
      </c>
      <c r="C831" s="750"/>
      <c r="D831" s="751"/>
      <c r="E831" s="792" t="s">
        <v>676</v>
      </c>
      <c r="F831" s="753" t="s">
        <v>399</v>
      </c>
      <c r="G831" s="754" t="s">
        <v>323</v>
      </c>
      <c r="H831" s="755" t="s">
        <v>453</v>
      </c>
      <c r="I831" s="751" t="str">
        <f t="shared" si="13"/>
        <v>CAR5227</v>
      </c>
      <c r="J831" s="826"/>
      <c r="K831" s="470">
        <v>-435.89743589743591</v>
      </c>
      <c r="L831" s="470"/>
      <c r="M831" s="790">
        <v>46142</v>
      </c>
      <c r="N831" s="751"/>
      <c r="O831" s="788" t="s">
        <v>2771</v>
      </c>
      <c r="P831" s="790">
        <v>46157</v>
      </c>
      <c r="S831" t="s">
        <v>7007</v>
      </c>
      <c r="U831" t="s">
        <v>6915</v>
      </c>
    </row>
    <row r="832" spans="2:21" ht="39">
      <c r="B832" s="750" t="s">
        <v>7075</v>
      </c>
      <c r="C832" s="750"/>
      <c r="D832" s="751"/>
      <c r="E832" s="792" t="s">
        <v>676</v>
      </c>
      <c r="F832" s="753" t="s">
        <v>399</v>
      </c>
      <c r="G832" s="754" t="s">
        <v>323</v>
      </c>
      <c r="H832" s="755" t="s">
        <v>453</v>
      </c>
      <c r="I832" s="751" t="str">
        <f t="shared" si="13"/>
        <v>CAR5227</v>
      </c>
      <c r="J832" s="826"/>
      <c r="K832" s="470">
        <v>-21.794871794871796</v>
      </c>
      <c r="L832" s="470"/>
      <c r="M832" s="790">
        <v>46142</v>
      </c>
      <c r="N832" s="751"/>
      <c r="O832" s="788" t="s">
        <v>2771</v>
      </c>
      <c r="P832" s="790">
        <v>46157</v>
      </c>
      <c r="S832" t="s">
        <v>7008</v>
      </c>
      <c r="U832" t="s">
        <v>6915</v>
      </c>
    </row>
    <row r="833" spans="2:21" ht="39">
      <c r="B833" s="750" t="s">
        <v>7075</v>
      </c>
      <c r="C833" s="750"/>
      <c r="D833" s="751"/>
      <c r="E833" s="792" t="s">
        <v>676</v>
      </c>
      <c r="F833" s="753" t="s">
        <v>399</v>
      </c>
      <c r="G833" s="754" t="s">
        <v>323</v>
      </c>
      <c r="H833" s="755" t="s">
        <v>453</v>
      </c>
      <c r="I833" s="751" t="str">
        <f t="shared" si="13"/>
        <v>CAR5227</v>
      </c>
      <c r="J833" s="826"/>
      <c r="K833" s="470">
        <v>-130.76923076923077</v>
      </c>
      <c r="L833" s="470"/>
      <c r="M833" s="790">
        <v>46142</v>
      </c>
      <c r="N833" s="751"/>
      <c r="O833" s="788" t="s">
        <v>2771</v>
      </c>
      <c r="P833" s="790">
        <v>46157</v>
      </c>
      <c r="S833" t="s">
        <v>7009</v>
      </c>
      <c r="U833" t="s">
        <v>6915</v>
      </c>
    </row>
    <row r="834" spans="2:21" ht="39">
      <c r="B834" s="750" t="s">
        <v>7075</v>
      </c>
      <c r="C834" s="750"/>
      <c r="D834" s="751"/>
      <c r="E834" s="792" t="s">
        <v>676</v>
      </c>
      <c r="F834" s="753" t="s">
        <v>399</v>
      </c>
      <c r="G834" s="754" t="s">
        <v>323</v>
      </c>
      <c r="H834" s="755" t="s">
        <v>453</v>
      </c>
      <c r="I834" s="751" t="str">
        <f t="shared" si="13"/>
        <v>CAR5227</v>
      </c>
      <c r="J834" s="826"/>
      <c r="K834" s="470">
        <v>-152.56410256410257</v>
      </c>
      <c r="L834" s="470"/>
      <c r="M834" s="790">
        <v>46142</v>
      </c>
      <c r="N834" s="751"/>
      <c r="O834" s="788" t="s">
        <v>2771</v>
      </c>
      <c r="P834" s="790">
        <v>46157</v>
      </c>
      <c r="S834" t="s">
        <v>7010</v>
      </c>
      <c r="U834" t="s">
        <v>6915</v>
      </c>
    </row>
    <row r="835" spans="2:21" ht="39">
      <c r="B835" s="750" t="s">
        <v>7075</v>
      </c>
      <c r="C835" s="750"/>
      <c r="D835" s="751"/>
      <c r="E835" s="792" t="s">
        <v>676</v>
      </c>
      <c r="F835" s="753" t="s">
        <v>399</v>
      </c>
      <c r="G835" s="754" t="s">
        <v>323</v>
      </c>
      <c r="H835" s="755" t="s">
        <v>453</v>
      </c>
      <c r="I835" s="751" t="str">
        <f t="shared" si="13"/>
        <v>CAR5227</v>
      </c>
      <c r="J835" s="826"/>
      <c r="K835" s="470">
        <v>-370.5128205128205</v>
      </c>
      <c r="L835" s="470"/>
      <c r="M835" s="790">
        <v>46142</v>
      </c>
      <c r="N835" s="751"/>
      <c r="O835" s="788" t="s">
        <v>2771</v>
      </c>
      <c r="P835" s="790">
        <v>46157</v>
      </c>
      <c r="S835" t="s">
        <v>7011</v>
      </c>
      <c r="U835" t="s">
        <v>6915</v>
      </c>
    </row>
    <row r="836" spans="2:21" ht="39">
      <c r="B836" s="750" t="s">
        <v>7075</v>
      </c>
      <c r="C836" s="750"/>
      <c r="D836" s="751"/>
      <c r="E836" s="792" t="s">
        <v>676</v>
      </c>
      <c r="F836" s="753" t="s">
        <v>399</v>
      </c>
      <c r="G836" s="754" t="s">
        <v>323</v>
      </c>
      <c r="H836" s="755" t="s">
        <v>453</v>
      </c>
      <c r="I836" s="751" t="str">
        <f t="shared" si="13"/>
        <v>CAR5227</v>
      </c>
      <c r="J836" s="826"/>
      <c r="K836" s="470">
        <v>-571.79487179487182</v>
      </c>
      <c r="L836" s="470"/>
      <c r="M836" s="790">
        <v>46142</v>
      </c>
      <c r="N836" s="751"/>
      <c r="O836" s="788" t="s">
        <v>2771</v>
      </c>
      <c r="P836" s="790">
        <v>46157</v>
      </c>
      <c r="S836" t="s">
        <v>7012</v>
      </c>
      <c r="U836" t="s">
        <v>6915</v>
      </c>
    </row>
    <row r="837" spans="2:21" ht="39">
      <c r="B837" s="750" t="s">
        <v>7075</v>
      </c>
      <c r="C837" s="750"/>
      <c r="D837" s="751"/>
      <c r="E837" s="792" t="s">
        <v>676</v>
      </c>
      <c r="F837" s="753" t="s">
        <v>399</v>
      </c>
      <c r="G837" s="754" t="s">
        <v>323</v>
      </c>
      <c r="H837" s="755" t="s">
        <v>453</v>
      </c>
      <c r="I837" s="751" t="str">
        <f t="shared" si="13"/>
        <v>CAR5227</v>
      </c>
      <c r="J837" s="826"/>
      <c r="K837" s="470">
        <v>-21.381538461538462</v>
      </c>
      <c r="L837" s="470"/>
      <c r="M837" s="790">
        <v>46142</v>
      </c>
      <c r="N837" s="751"/>
      <c r="O837" s="788" t="s">
        <v>2771</v>
      </c>
      <c r="P837" s="790">
        <v>46157</v>
      </c>
      <c r="S837" t="s">
        <v>2797</v>
      </c>
      <c r="U837" t="s">
        <v>6915</v>
      </c>
    </row>
    <row r="838" spans="2:21" ht="39">
      <c r="B838" s="750" t="s">
        <v>7075</v>
      </c>
      <c r="C838" s="750"/>
      <c r="D838" s="751"/>
      <c r="E838" s="792" t="s">
        <v>676</v>
      </c>
      <c r="F838" s="753" t="s">
        <v>399</v>
      </c>
      <c r="G838" s="754" t="s">
        <v>323</v>
      </c>
      <c r="H838" s="755" t="s">
        <v>453</v>
      </c>
      <c r="I838" s="751" t="str">
        <f t="shared" si="13"/>
        <v>CAR5227</v>
      </c>
      <c r="J838" s="826"/>
      <c r="K838" s="470">
        <v>-673.07692307692309</v>
      </c>
      <c r="L838" s="470"/>
      <c r="M838" s="790">
        <v>46142</v>
      </c>
      <c r="N838" s="751"/>
      <c r="O838" s="788" t="s">
        <v>2771</v>
      </c>
      <c r="P838" s="790">
        <v>46157</v>
      </c>
      <c r="S838" t="s">
        <v>7013</v>
      </c>
      <c r="U838" t="s">
        <v>6915</v>
      </c>
    </row>
    <row r="839" spans="2:21" ht="39">
      <c r="B839" s="750" t="s">
        <v>7075</v>
      </c>
      <c r="C839" s="750"/>
      <c r="D839" s="751"/>
      <c r="E839" s="792" t="s">
        <v>676</v>
      </c>
      <c r="F839" s="753" t="s">
        <v>401</v>
      </c>
      <c r="G839" s="754" t="s">
        <v>331</v>
      </c>
      <c r="H839" s="755" t="s">
        <v>332</v>
      </c>
      <c r="I839" s="751" t="str">
        <f t="shared" si="13"/>
        <v>CAR5236</v>
      </c>
      <c r="J839" s="826"/>
      <c r="K839" s="470">
        <v>-669.58974358974353</v>
      </c>
      <c r="L839" s="470"/>
      <c r="M839" s="790">
        <v>46142</v>
      </c>
      <c r="N839" s="751"/>
      <c r="O839" s="788" t="s">
        <v>2771</v>
      </c>
      <c r="P839" s="790">
        <v>46158</v>
      </c>
      <c r="S839" t="s">
        <v>6975</v>
      </c>
      <c r="U839" t="s">
        <v>6915</v>
      </c>
    </row>
    <row r="840" spans="2:21" ht="39">
      <c r="B840" s="750" t="s">
        <v>7075</v>
      </c>
      <c r="C840" s="750"/>
      <c r="D840" s="751"/>
      <c r="E840" s="792" t="s">
        <v>676</v>
      </c>
      <c r="F840" s="753" t="s">
        <v>401</v>
      </c>
      <c r="G840" s="754" t="s">
        <v>331</v>
      </c>
      <c r="H840" s="755" t="s">
        <v>332</v>
      </c>
      <c r="I840" s="751" t="str">
        <f t="shared" si="13"/>
        <v>CAR5236</v>
      </c>
      <c r="J840" s="826"/>
      <c r="K840" s="470">
        <v>-394.58974358974359</v>
      </c>
      <c r="L840" s="470"/>
      <c r="M840" s="790">
        <v>46142</v>
      </c>
      <c r="N840" s="751"/>
      <c r="O840" s="788" t="s">
        <v>2771</v>
      </c>
      <c r="P840" s="790">
        <v>46157</v>
      </c>
      <c r="S840" t="s">
        <v>7014</v>
      </c>
      <c r="U840" t="s">
        <v>6915</v>
      </c>
    </row>
    <row r="841" spans="2:21" ht="39">
      <c r="B841" s="750" t="s">
        <v>7075</v>
      </c>
      <c r="C841" s="750"/>
      <c r="D841" s="751"/>
      <c r="E841" s="792" t="s">
        <v>676</v>
      </c>
      <c r="F841" s="753" t="s">
        <v>406</v>
      </c>
      <c r="G841" s="754" t="s">
        <v>64</v>
      </c>
      <c r="H841" s="755" t="s">
        <v>461</v>
      </c>
      <c r="I841" s="751" t="str">
        <f t="shared" si="13"/>
        <v>CAR5248</v>
      </c>
      <c r="J841" s="826"/>
      <c r="K841" s="470">
        <v>-5391.4358974358975</v>
      </c>
      <c r="L841" s="470"/>
      <c r="M841" s="790">
        <v>46142</v>
      </c>
      <c r="N841" s="751"/>
      <c r="O841" s="788" t="s">
        <v>2771</v>
      </c>
      <c r="P841" s="790">
        <v>46158</v>
      </c>
      <c r="S841" t="s">
        <v>6976</v>
      </c>
      <c r="U841" t="s">
        <v>6915</v>
      </c>
    </row>
    <row r="842" spans="2:21" ht="39">
      <c r="B842" s="750" t="s">
        <v>7075</v>
      </c>
      <c r="C842" s="750"/>
      <c r="D842" s="751"/>
      <c r="E842" s="792" t="s">
        <v>676</v>
      </c>
      <c r="F842" s="753" t="s">
        <v>406</v>
      </c>
      <c r="G842" s="754" t="s">
        <v>64</v>
      </c>
      <c r="H842" s="755" t="s">
        <v>461</v>
      </c>
      <c r="I842" s="751" t="str">
        <f t="shared" si="13"/>
        <v>CAR5248</v>
      </c>
      <c r="J842" s="826"/>
      <c r="K842" s="470">
        <v>-1.9420512820512819</v>
      </c>
      <c r="L842" s="470"/>
      <c r="M842" s="790">
        <v>46142</v>
      </c>
      <c r="N842" s="751"/>
      <c r="O842" s="788" t="s">
        <v>2771</v>
      </c>
      <c r="P842" s="790">
        <v>46158</v>
      </c>
      <c r="S842" t="s">
        <v>2797</v>
      </c>
      <c r="U842" t="s">
        <v>6915</v>
      </c>
    </row>
    <row r="843" spans="2:21" ht="39">
      <c r="B843" s="750" t="s">
        <v>7075</v>
      </c>
      <c r="C843" s="750"/>
      <c r="D843" s="751"/>
      <c r="E843" s="792" t="s">
        <v>676</v>
      </c>
      <c r="F843" s="753" t="s">
        <v>406</v>
      </c>
      <c r="G843" s="754" t="s">
        <v>64</v>
      </c>
      <c r="H843" s="755" t="s">
        <v>461</v>
      </c>
      <c r="I843" s="751" t="str">
        <f t="shared" si="13"/>
        <v>CAR5248</v>
      </c>
      <c r="J843" s="826"/>
      <c r="K843" s="470">
        <v>-12.820512820512821</v>
      </c>
      <c r="L843" s="470"/>
      <c r="M843" s="790">
        <v>46141</v>
      </c>
      <c r="N843" s="751"/>
      <c r="O843" s="788" t="s">
        <v>2771</v>
      </c>
      <c r="P843" s="790">
        <v>46143</v>
      </c>
      <c r="S843" t="s">
        <v>7031</v>
      </c>
      <c r="U843" t="s">
        <v>6915</v>
      </c>
    </row>
    <row r="844" spans="2:21" ht="39">
      <c r="B844" s="750" t="s">
        <v>7075</v>
      </c>
      <c r="C844" s="750"/>
      <c r="D844" s="751"/>
      <c r="E844" s="792" t="s">
        <v>676</v>
      </c>
      <c r="F844" s="753" t="s">
        <v>406</v>
      </c>
      <c r="G844" s="754" t="s">
        <v>64</v>
      </c>
      <c r="H844" s="755" t="s">
        <v>461</v>
      </c>
      <c r="I844" s="751" t="str">
        <f t="shared" si="13"/>
        <v>CAR5248</v>
      </c>
      <c r="J844" s="826"/>
      <c r="K844" s="470">
        <v>-1.9625641025641027</v>
      </c>
      <c r="L844" s="470"/>
      <c r="M844" s="790">
        <v>46141</v>
      </c>
      <c r="N844" s="751"/>
      <c r="O844" s="788" t="s">
        <v>2771</v>
      </c>
      <c r="P844" s="790">
        <v>46143</v>
      </c>
      <c r="S844" t="s">
        <v>2797</v>
      </c>
      <c r="U844" t="s">
        <v>6915</v>
      </c>
    </row>
    <row r="845" spans="2:21" ht="39">
      <c r="B845" s="750" t="s">
        <v>7075</v>
      </c>
      <c r="C845" s="750"/>
      <c r="D845" s="751"/>
      <c r="E845" s="792" t="s">
        <v>676</v>
      </c>
      <c r="F845" s="753" t="s">
        <v>403</v>
      </c>
      <c r="G845" s="754" t="s">
        <v>37</v>
      </c>
      <c r="H845" s="755" t="s">
        <v>457</v>
      </c>
      <c r="I845" s="751" t="str">
        <f t="shared" si="13"/>
        <v>CAR5250</v>
      </c>
      <c r="J845" s="826"/>
      <c r="K845" s="470">
        <v>-691.20512820512818</v>
      </c>
      <c r="L845" s="470"/>
      <c r="M845" s="790">
        <v>46142</v>
      </c>
      <c r="N845" s="751"/>
      <c r="O845" s="788" t="s">
        <v>2771</v>
      </c>
      <c r="P845" s="790">
        <v>46158</v>
      </c>
      <c r="S845" t="s">
        <v>6977</v>
      </c>
      <c r="U845" t="s">
        <v>6915</v>
      </c>
    </row>
    <row r="846" spans="2:21" ht="39">
      <c r="B846" s="750" t="s">
        <v>7075</v>
      </c>
      <c r="C846" s="750"/>
      <c r="D846" s="751"/>
      <c r="E846" s="792" t="s">
        <v>676</v>
      </c>
      <c r="F846" s="753" t="s">
        <v>403</v>
      </c>
      <c r="G846" s="754" t="s">
        <v>37</v>
      </c>
      <c r="H846" s="755" t="s">
        <v>457</v>
      </c>
      <c r="I846" s="751" t="str">
        <f t="shared" si="13"/>
        <v>CAR5250</v>
      </c>
      <c r="J846" s="826"/>
      <c r="K846" s="470">
        <v>-1258.2051282051282</v>
      </c>
      <c r="L846" s="470"/>
      <c r="M846" s="790">
        <v>46142</v>
      </c>
      <c r="N846" s="751"/>
      <c r="O846" s="788" t="s">
        <v>2771</v>
      </c>
      <c r="P846" s="790">
        <v>46158</v>
      </c>
      <c r="S846" t="s">
        <v>6978</v>
      </c>
      <c r="U846" t="s">
        <v>6915</v>
      </c>
    </row>
    <row r="847" spans="2:21" ht="39">
      <c r="B847" s="750" t="s">
        <v>7075</v>
      </c>
      <c r="C847" s="750"/>
      <c r="D847" s="751"/>
      <c r="E847" s="792" t="s">
        <v>676</v>
      </c>
      <c r="F847" s="753" t="s">
        <v>403</v>
      </c>
      <c r="G847" s="754" t="s">
        <v>37</v>
      </c>
      <c r="H847" s="755" t="s">
        <v>457</v>
      </c>
      <c r="I847" s="751" t="str">
        <f t="shared" si="13"/>
        <v>CAR5250</v>
      </c>
      <c r="J847" s="826"/>
      <c r="K847" s="470">
        <v>-537.61538461538464</v>
      </c>
      <c r="L847" s="470"/>
      <c r="M847" s="790">
        <v>46142</v>
      </c>
      <c r="N847" s="751"/>
      <c r="O847" s="788" t="s">
        <v>2771</v>
      </c>
      <c r="P847" s="790">
        <v>46158</v>
      </c>
      <c r="S847" t="s">
        <v>6979</v>
      </c>
      <c r="U847" t="s">
        <v>6915</v>
      </c>
    </row>
    <row r="848" spans="2:21" ht="39">
      <c r="B848" s="750" t="s">
        <v>7075</v>
      </c>
      <c r="C848" s="750"/>
      <c r="D848" s="751"/>
      <c r="E848" s="792" t="s">
        <v>676</v>
      </c>
      <c r="F848" s="753" t="s">
        <v>403</v>
      </c>
      <c r="G848" s="754" t="s">
        <v>37</v>
      </c>
      <c r="H848" s="755" t="s">
        <v>457</v>
      </c>
      <c r="I848" s="751" t="str">
        <f t="shared" si="13"/>
        <v>CAR5250</v>
      </c>
      <c r="J848" s="826"/>
      <c r="K848" s="470">
        <v>-3.8841025641025637</v>
      </c>
      <c r="L848" s="470"/>
      <c r="M848" s="790">
        <v>46142</v>
      </c>
      <c r="N848" s="751"/>
      <c r="O848" s="788" t="s">
        <v>2771</v>
      </c>
      <c r="P848" s="790">
        <v>46158</v>
      </c>
      <c r="S848" t="s">
        <v>2797</v>
      </c>
      <c r="U848" t="s">
        <v>6915</v>
      </c>
    </row>
    <row r="849" spans="2:21" ht="39">
      <c r="B849" s="750" t="s">
        <v>7075</v>
      </c>
      <c r="C849" s="750"/>
      <c r="D849" s="751"/>
      <c r="E849" s="792" t="s">
        <v>676</v>
      </c>
      <c r="F849" s="753" t="s">
        <v>403</v>
      </c>
      <c r="G849" s="754" t="s">
        <v>37</v>
      </c>
      <c r="H849" s="755" t="s">
        <v>457</v>
      </c>
      <c r="I849" s="751" t="str">
        <f t="shared" si="13"/>
        <v>CAR5250</v>
      </c>
      <c r="J849" s="826"/>
      <c r="K849" s="470">
        <v>-3034.1794871794873</v>
      </c>
      <c r="L849" s="470"/>
      <c r="M849" s="790">
        <v>46142</v>
      </c>
      <c r="N849" s="751"/>
      <c r="O849" s="788" t="s">
        <v>2771</v>
      </c>
      <c r="P849" s="790">
        <v>46158</v>
      </c>
      <c r="S849" t="s">
        <v>6980</v>
      </c>
      <c r="U849" t="s">
        <v>6915</v>
      </c>
    </row>
    <row r="850" spans="2:21" ht="39">
      <c r="B850" s="750" t="s">
        <v>7075</v>
      </c>
      <c r="C850" s="750"/>
      <c r="D850" s="751"/>
      <c r="E850" s="792" t="s">
        <v>676</v>
      </c>
      <c r="F850" s="753" t="s">
        <v>413</v>
      </c>
      <c r="G850" s="754" t="s">
        <v>33</v>
      </c>
      <c r="H850" s="755" t="s">
        <v>468</v>
      </c>
      <c r="I850" s="751" t="str">
        <f t="shared" si="13"/>
        <v>CAR5252</v>
      </c>
      <c r="J850" s="826"/>
      <c r="K850" s="470">
        <v>-277.97435897435895</v>
      </c>
      <c r="L850" s="470"/>
      <c r="M850" s="790">
        <v>46142</v>
      </c>
      <c r="N850" s="751"/>
      <c r="O850" s="788" t="s">
        <v>2771</v>
      </c>
      <c r="P850" s="790">
        <v>46158</v>
      </c>
      <c r="S850" t="s">
        <v>6981</v>
      </c>
      <c r="U850" t="s">
        <v>6915</v>
      </c>
    </row>
    <row r="851" spans="2:21" ht="52">
      <c r="B851" s="750" t="s">
        <v>7075</v>
      </c>
      <c r="C851" s="210" t="s">
        <v>7094</v>
      </c>
      <c r="D851" s="751"/>
      <c r="E851" s="792" t="s">
        <v>676</v>
      </c>
      <c r="F851" s="753" t="s">
        <v>433</v>
      </c>
      <c r="G851" s="607" t="s">
        <v>6</v>
      </c>
      <c r="H851" s="597" t="s">
        <v>5</v>
      </c>
      <c r="I851" s="751" t="str">
        <f t="shared" si="13"/>
        <v>CAR12020301</v>
      </c>
      <c r="J851" s="826"/>
      <c r="K851" s="470">
        <v>-212.71794871794873</v>
      </c>
      <c r="L851" s="470"/>
      <c r="M851" s="790">
        <v>46142</v>
      </c>
      <c r="N851" s="751"/>
      <c r="O851" s="788" t="s">
        <v>2771</v>
      </c>
      <c r="P851" s="790">
        <v>46157</v>
      </c>
      <c r="S851" t="s">
        <v>7015</v>
      </c>
      <c r="U851" t="s">
        <v>6915</v>
      </c>
    </row>
    <row r="852" spans="2:21" ht="39">
      <c r="B852" s="750" t="s">
        <v>7075</v>
      </c>
      <c r="C852" s="750"/>
      <c r="D852" s="751"/>
      <c r="E852" s="792" t="s">
        <v>676</v>
      </c>
      <c r="F852" s="753" t="s">
        <v>414</v>
      </c>
      <c r="G852" s="754" t="s">
        <v>66</v>
      </c>
      <c r="H852" s="755" t="s">
        <v>469</v>
      </c>
      <c r="I852" s="751" t="str">
        <f t="shared" si="13"/>
        <v>CAR5253</v>
      </c>
      <c r="J852" s="826"/>
      <c r="K852" s="470">
        <v>-1.9420512820512819</v>
      </c>
      <c r="L852" s="470"/>
      <c r="M852" s="790">
        <v>46142</v>
      </c>
      <c r="N852" s="751"/>
      <c r="O852" s="788" t="s">
        <v>2771</v>
      </c>
      <c r="P852" s="790">
        <v>46158</v>
      </c>
      <c r="S852" t="s">
        <v>2797</v>
      </c>
      <c r="U852" t="s">
        <v>6915</v>
      </c>
    </row>
    <row r="853" spans="2:21" ht="39">
      <c r="B853" s="750" t="s">
        <v>7075</v>
      </c>
      <c r="C853" s="750"/>
      <c r="D853" s="751"/>
      <c r="E853" s="792" t="s">
        <v>676</v>
      </c>
      <c r="F853" s="753" t="s">
        <v>414</v>
      </c>
      <c r="G853" s="754" t="s">
        <v>66</v>
      </c>
      <c r="H853" s="755" t="s">
        <v>469</v>
      </c>
      <c r="I853" s="751" t="str">
        <f t="shared" si="13"/>
        <v>CAR5253</v>
      </c>
      <c r="J853" s="826"/>
      <c r="K853" s="470">
        <v>-13.923076923076923</v>
      </c>
      <c r="L853" s="470"/>
      <c r="M853" s="790">
        <v>46142</v>
      </c>
      <c r="N853" s="751"/>
      <c r="O853" s="788" t="s">
        <v>2771</v>
      </c>
      <c r="P853" s="790">
        <v>46158</v>
      </c>
      <c r="S853" t="s">
        <v>6982</v>
      </c>
      <c r="U853" t="s">
        <v>6915</v>
      </c>
    </row>
    <row r="854" spans="2:21" ht="39">
      <c r="B854" s="750" t="s">
        <v>7075</v>
      </c>
      <c r="C854" s="750"/>
      <c r="D854" s="751"/>
      <c r="E854" s="792" t="s">
        <v>676</v>
      </c>
      <c r="F854" s="753" t="s">
        <v>414</v>
      </c>
      <c r="G854" s="754" t="s">
        <v>66</v>
      </c>
      <c r="H854" s="755" t="s">
        <v>469</v>
      </c>
      <c r="I854" s="751" t="str">
        <f t="shared" si="13"/>
        <v>CAR5253</v>
      </c>
      <c r="J854" s="826"/>
      <c r="K854" s="470">
        <v>-1.9420512820512819</v>
      </c>
      <c r="L854" s="470"/>
      <c r="M854" s="790">
        <v>46142</v>
      </c>
      <c r="N854" s="751"/>
      <c r="O854" s="788" t="s">
        <v>2771</v>
      </c>
      <c r="P854" s="790">
        <v>46157</v>
      </c>
      <c r="S854" t="s">
        <v>2797</v>
      </c>
      <c r="U854" t="s">
        <v>6915</v>
      </c>
    </row>
    <row r="855" spans="2:21" ht="39">
      <c r="B855" s="750" t="s">
        <v>7075</v>
      </c>
      <c r="C855" s="750"/>
      <c r="D855" s="751"/>
      <c r="E855" s="792" t="s">
        <v>676</v>
      </c>
      <c r="F855" s="753" t="s">
        <v>414</v>
      </c>
      <c r="G855" s="754" t="s">
        <v>66</v>
      </c>
      <c r="H855" s="755" t="s">
        <v>469</v>
      </c>
      <c r="I855" s="751" t="str">
        <f t="shared" si="13"/>
        <v>CAR5253</v>
      </c>
      <c r="J855" s="826"/>
      <c r="K855" s="470">
        <v>-549.35897435897436</v>
      </c>
      <c r="L855" s="470"/>
      <c r="M855" s="790">
        <v>46142</v>
      </c>
      <c r="N855" s="751"/>
      <c r="O855" s="788" t="s">
        <v>2771</v>
      </c>
      <c r="P855" s="790">
        <v>46157</v>
      </c>
      <c r="S855" t="s">
        <v>7016</v>
      </c>
      <c r="U855" t="s">
        <v>6915</v>
      </c>
    </row>
    <row r="856" spans="2:21" ht="39">
      <c r="B856" s="750" t="s">
        <v>7075</v>
      </c>
      <c r="C856" s="750"/>
      <c r="D856" s="751"/>
      <c r="E856" s="792" t="s">
        <v>676</v>
      </c>
      <c r="F856" s="753" t="s">
        <v>415</v>
      </c>
      <c r="G856" s="754" t="s">
        <v>31</v>
      </c>
      <c r="H856" s="755" t="s">
        <v>470</v>
      </c>
      <c r="I856" s="751" t="str">
        <f t="shared" si="13"/>
        <v>CAR5254</v>
      </c>
      <c r="J856" s="470"/>
      <c r="K856" s="825">
        <v>-94.64</v>
      </c>
      <c r="L856" s="470"/>
      <c r="M856" s="790">
        <v>46112</v>
      </c>
      <c r="N856" s="751"/>
      <c r="O856" s="788" t="s">
        <v>2771</v>
      </c>
      <c r="P856" s="790">
        <v>46157</v>
      </c>
      <c r="S856" t="s">
        <v>6994</v>
      </c>
      <c r="U856" t="s">
        <v>6912</v>
      </c>
    </row>
    <row r="857" spans="2:21" ht="39">
      <c r="B857" s="750" t="s">
        <v>7075</v>
      </c>
      <c r="C857" s="750"/>
      <c r="D857" s="751"/>
      <c r="E857" s="792" t="s">
        <v>676</v>
      </c>
      <c r="F857" s="753" t="s">
        <v>415</v>
      </c>
      <c r="G857" s="754" t="s">
        <v>31</v>
      </c>
      <c r="H857" s="755" t="s">
        <v>470</v>
      </c>
      <c r="I857" s="751" t="str">
        <f t="shared" si="13"/>
        <v>CAR5254</v>
      </c>
      <c r="J857" s="470"/>
      <c r="K857" s="825">
        <v>-3616</v>
      </c>
      <c r="L857" s="470"/>
      <c r="M857" s="790">
        <v>46112</v>
      </c>
      <c r="N857" s="751"/>
      <c r="O857" s="788" t="s">
        <v>2771</v>
      </c>
      <c r="P857" s="790">
        <v>46157</v>
      </c>
      <c r="S857" t="s">
        <v>6995</v>
      </c>
      <c r="U857" t="s">
        <v>6912</v>
      </c>
    </row>
    <row r="858" spans="2:21" ht="39">
      <c r="B858" s="750" t="s">
        <v>7075</v>
      </c>
      <c r="C858" s="750"/>
      <c r="D858" s="751"/>
      <c r="E858" s="792" t="s">
        <v>676</v>
      </c>
      <c r="F858" s="753" t="s">
        <v>415</v>
      </c>
      <c r="G858" s="754" t="s">
        <v>31</v>
      </c>
      <c r="H858" s="755" t="s">
        <v>470</v>
      </c>
      <c r="I858" s="751" t="str">
        <f t="shared" si="13"/>
        <v>CAR5254</v>
      </c>
      <c r="J858" s="470"/>
      <c r="K858" s="825">
        <v>-1.9</v>
      </c>
      <c r="L858" s="470"/>
      <c r="M858" s="790">
        <v>46112</v>
      </c>
      <c r="N858" s="751"/>
      <c r="O858" s="788" t="s">
        <v>2771</v>
      </c>
      <c r="P858" s="790">
        <v>46157</v>
      </c>
      <c r="S858" t="s">
        <v>2797</v>
      </c>
      <c r="U858" t="s">
        <v>6912</v>
      </c>
    </row>
    <row r="859" spans="2:21" ht="39">
      <c r="B859" s="750" t="s">
        <v>7075</v>
      </c>
      <c r="C859" s="750"/>
      <c r="D859" s="751"/>
      <c r="E859" s="792" t="s">
        <v>676</v>
      </c>
      <c r="F859" s="753" t="s">
        <v>415</v>
      </c>
      <c r="G859" s="754" t="s">
        <v>31</v>
      </c>
      <c r="H859" s="755" t="s">
        <v>470</v>
      </c>
      <c r="I859" s="751" t="str">
        <f t="shared" si="13"/>
        <v>CAR5254</v>
      </c>
      <c r="J859" s="470"/>
      <c r="K859" s="825">
        <v>-1.9</v>
      </c>
      <c r="L859" s="470"/>
      <c r="M859" s="790">
        <v>46112</v>
      </c>
      <c r="N859" s="751"/>
      <c r="O859" s="788" t="s">
        <v>2771</v>
      </c>
      <c r="P859" s="790">
        <v>46157</v>
      </c>
      <c r="S859" t="s">
        <v>6996</v>
      </c>
      <c r="U859" t="s">
        <v>6912</v>
      </c>
    </row>
    <row r="860" spans="2:21" ht="39">
      <c r="B860" s="750" t="s">
        <v>7075</v>
      </c>
      <c r="C860" s="750"/>
      <c r="D860" s="751"/>
      <c r="E860" s="792" t="s">
        <v>676</v>
      </c>
      <c r="F860" s="753" t="s">
        <v>409</v>
      </c>
      <c r="G860" s="754" t="s">
        <v>68</v>
      </c>
      <c r="H860" s="755" t="s">
        <v>464</v>
      </c>
      <c r="I860" s="751" t="str">
        <f t="shared" si="13"/>
        <v>CAR5255</v>
      </c>
      <c r="J860" s="470"/>
      <c r="K860" s="825">
        <v>-117</v>
      </c>
      <c r="L860" s="470"/>
      <c r="M860" s="790">
        <v>46142</v>
      </c>
      <c r="N860" s="751"/>
      <c r="O860" s="788" t="s">
        <v>2771</v>
      </c>
      <c r="P860" s="790">
        <v>46159</v>
      </c>
      <c r="S860" t="s">
        <v>6914</v>
      </c>
      <c r="U860" t="s">
        <v>6912</v>
      </c>
    </row>
    <row r="861" spans="2:21" ht="39">
      <c r="B861" s="750" t="s">
        <v>7075</v>
      </c>
      <c r="C861" s="210" t="s">
        <v>7093</v>
      </c>
      <c r="D861" s="751"/>
      <c r="E861" s="792" t="s">
        <v>676</v>
      </c>
      <c r="F861" s="753" t="s">
        <v>403</v>
      </c>
      <c r="G861" s="607" t="s">
        <v>37</v>
      </c>
      <c r="H861" s="597" t="s">
        <v>457</v>
      </c>
      <c r="I861" s="751" t="str">
        <f t="shared" si="13"/>
        <v>CAR5250</v>
      </c>
      <c r="J861" s="826"/>
      <c r="K861" s="470">
        <v>-177.43589743589743</v>
      </c>
      <c r="L861" s="470"/>
      <c r="M861" s="790">
        <v>46142</v>
      </c>
      <c r="N861" s="751"/>
      <c r="O861" s="788" t="s">
        <v>2771</v>
      </c>
      <c r="P861" s="790">
        <v>46157</v>
      </c>
      <c r="S861" t="s">
        <v>7017</v>
      </c>
      <c r="U861" t="s">
        <v>6915</v>
      </c>
    </row>
    <row r="862" spans="2:21" ht="39">
      <c r="B862" s="750" t="s">
        <v>7075</v>
      </c>
      <c r="C862" s="210" t="s">
        <v>7093</v>
      </c>
      <c r="D862" s="751"/>
      <c r="E862" s="792" t="s">
        <v>676</v>
      </c>
      <c r="F862" s="753" t="s">
        <v>403</v>
      </c>
      <c r="G862" s="607" t="s">
        <v>37</v>
      </c>
      <c r="H862" s="597" t="s">
        <v>457</v>
      </c>
      <c r="I862" s="751" t="str">
        <f t="shared" si="13"/>
        <v>CAR5250</v>
      </c>
      <c r="J862" s="826"/>
      <c r="K862" s="470">
        <v>-121.7948717948718</v>
      </c>
      <c r="L862" s="470"/>
      <c r="M862" s="790">
        <v>46142</v>
      </c>
      <c r="N862" s="751"/>
      <c r="O862" s="788" t="s">
        <v>2771</v>
      </c>
      <c r="P862" s="790">
        <v>46157</v>
      </c>
      <c r="S862" t="s">
        <v>7018</v>
      </c>
      <c r="U862" t="s">
        <v>6915</v>
      </c>
    </row>
    <row r="863" spans="2:21" ht="39">
      <c r="B863" s="750" t="s">
        <v>7075</v>
      </c>
      <c r="C863" s="750"/>
      <c r="D863" s="751"/>
      <c r="E863" s="792" t="s">
        <v>670</v>
      </c>
      <c r="F863" s="753" t="s">
        <v>419</v>
      </c>
      <c r="G863" s="754" t="s">
        <v>58</v>
      </c>
      <c r="H863" s="755" t="s">
        <v>59</v>
      </c>
      <c r="I863" s="751" t="str">
        <f t="shared" si="13"/>
        <v>SJ5219</v>
      </c>
      <c r="J863" s="470"/>
      <c r="K863" s="825">
        <v>-153.41</v>
      </c>
      <c r="L863" s="470"/>
      <c r="M863" s="790">
        <v>46142</v>
      </c>
      <c r="N863" s="751"/>
      <c r="O863" s="788" t="s">
        <v>5763</v>
      </c>
      <c r="P863" s="790">
        <v>46158</v>
      </c>
      <c r="S863" t="s">
        <v>6983</v>
      </c>
      <c r="U863" t="s">
        <v>6912</v>
      </c>
    </row>
    <row r="864" spans="2:21" ht="39">
      <c r="B864" s="750" t="s">
        <v>7075</v>
      </c>
      <c r="C864" s="750"/>
      <c r="D864" s="751"/>
      <c r="E864" s="792" t="s">
        <v>670</v>
      </c>
      <c r="F864" s="753" t="s">
        <v>419</v>
      </c>
      <c r="G864" s="754" t="s">
        <v>58</v>
      </c>
      <c r="H864" s="755" t="s">
        <v>59</v>
      </c>
      <c r="I864" s="751" t="str">
        <f t="shared" si="13"/>
        <v>SJ5219</v>
      </c>
      <c r="J864" s="826"/>
      <c r="K864" s="470">
        <v>-41.948717948717949</v>
      </c>
      <c r="L864" s="470"/>
      <c r="M864" s="790">
        <v>46126</v>
      </c>
      <c r="N864" s="751"/>
      <c r="O864" s="788" t="s">
        <v>5763</v>
      </c>
      <c r="P864" s="790">
        <v>46147</v>
      </c>
      <c r="S864" t="s">
        <v>7020</v>
      </c>
      <c r="U864" t="s">
        <v>7019</v>
      </c>
    </row>
    <row r="865" spans="2:21" ht="39">
      <c r="B865" s="750" t="s">
        <v>7075</v>
      </c>
      <c r="C865" s="750"/>
      <c r="D865" s="751"/>
      <c r="E865" s="792" t="s">
        <v>670</v>
      </c>
      <c r="F865" s="753" t="s">
        <v>410</v>
      </c>
      <c r="G865" s="754" t="s">
        <v>60</v>
      </c>
      <c r="H865" s="755" t="s">
        <v>61</v>
      </c>
      <c r="I865" s="751" t="str">
        <f t="shared" si="13"/>
        <v>SJ5220</v>
      </c>
      <c r="J865" s="826"/>
      <c r="K865" s="470">
        <v>-313.84615384615387</v>
      </c>
      <c r="L865" s="470"/>
      <c r="M865" s="790">
        <v>46142</v>
      </c>
      <c r="N865" s="751"/>
      <c r="O865" s="788" t="s">
        <v>5763</v>
      </c>
      <c r="P865" s="790">
        <v>46159</v>
      </c>
      <c r="S865" t="s">
        <v>6917</v>
      </c>
      <c r="U865" t="s">
        <v>6915</v>
      </c>
    </row>
    <row r="866" spans="2:21" ht="39">
      <c r="B866" s="750" t="s">
        <v>7075</v>
      </c>
      <c r="C866" s="750"/>
      <c r="D866" s="751"/>
      <c r="E866" s="792" t="s">
        <v>670</v>
      </c>
      <c r="F866" s="753" t="s">
        <v>410</v>
      </c>
      <c r="G866" s="754" t="s">
        <v>60</v>
      </c>
      <c r="H866" s="755" t="s">
        <v>61</v>
      </c>
      <c r="I866" s="751" t="str">
        <f t="shared" si="13"/>
        <v>SJ5220</v>
      </c>
      <c r="J866" s="826"/>
      <c r="K866" s="470">
        <v>-3.8925641025641027</v>
      </c>
      <c r="L866" s="470"/>
      <c r="M866" s="790">
        <v>46142</v>
      </c>
      <c r="N866" s="751"/>
      <c r="O866" s="788" t="s">
        <v>5763</v>
      </c>
      <c r="P866" s="790">
        <v>46159</v>
      </c>
      <c r="S866" t="s">
        <v>2797</v>
      </c>
      <c r="U866" t="s">
        <v>6915</v>
      </c>
    </row>
    <row r="867" spans="2:21" ht="39">
      <c r="B867" s="750" t="s">
        <v>7075</v>
      </c>
      <c r="C867" s="750"/>
      <c r="D867" s="751"/>
      <c r="E867" s="792" t="s">
        <v>670</v>
      </c>
      <c r="F867" s="753" t="s">
        <v>410</v>
      </c>
      <c r="G867" s="754" t="s">
        <v>60</v>
      </c>
      <c r="H867" s="755" t="s">
        <v>61</v>
      </c>
      <c r="I867" s="751" t="str">
        <f t="shared" si="13"/>
        <v>SJ5220</v>
      </c>
      <c r="J867" s="826"/>
      <c r="K867" s="470">
        <v>-259</v>
      </c>
      <c r="L867" s="470"/>
      <c r="M867" s="790">
        <v>46142</v>
      </c>
      <c r="N867" s="751"/>
      <c r="O867" s="788" t="s">
        <v>5763</v>
      </c>
      <c r="P867" s="790">
        <v>46159</v>
      </c>
      <c r="S867" t="s">
        <v>6918</v>
      </c>
      <c r="U867" t="s">
        <v>6915</v>
      </c>
    </row>
    <row r="868" spans="2:21" ht="39">
      <c r="B868" s="750" t="s">
        <v>7075</v>
      </c>
      <c r="C868" s="750"/>
      <c r="D868" s="751"/>
      <c r="E868" s="792" t="s">
        <v>670</v>
      </c>
      <c r="F868" s="753" t="s">
        <v>410</v>
      </c>
      <c r="G868" s="754" t="s">
        <v>60</v>
      </c>
      <c r="H868" s="755" t="s">
        <v>61</v>
      </c>
      <c r="I868" s="751" t="str">
        <f t="shared" si="13"/>
        <v>SJ5220</v>
      </c>
      <c r="J868" s="826"/>
      <c r="K868" s="470">
        <v>-94.92307692307692</v>
      </c>
      <c r="L868" s="470"/>
      <c r="M868" s="790">
        <v>46140</v>
      </c>
      <c r="N868" s="751"/>
      <c r="O868" s="788" t="s">
        <v>5763</v>
      </c>
      <c r="P868" s="790">
        <v>46143</v>
      </c>
      <c r="S868" t="s">
        <v>7034</v>
      </c>
      <c r="U868" t="s">
        <v>6915</v>
      </c>
    </row>
    <row r="869" spans="2:21" ht="39">
      <c r="B869" s="750" t="s">
        <v>7075</v>
      </c>
      <c r="C869" s="750"/>
      <c r="D869" s="751"/>
      <c r="E869" s="792" t="s">
        <v>670</v>
      </c>
      <c r="F869" s="753" t="s">
        <v>410</v>
      </c>
      <c r="G869" s="754" t="s">
        <v>60</v>
      </c>
      <c r="H869" s="755" t="s">
        <v>61</v>
      </c>
      <c r="I869" s="751" t="str">
        <f t="shared" si="13"/>
        <v>SJ5220</v>
      </c>
      <c r="J869" s="826"/>
      <c r="K869" s="470">
        <v>-1.9379487179487178</v>
      </c>
      <c r="L869" s="470"/>
      <c r="M869" s="790">
        <v>46140</v>
      </c>
      <c r="N869" s="751"/>
      <c r="O869" s="788" t="s">
        <v>5763</v>
      </c>
      <c r="P869" s="790">
        <v>46143</v>
      </c>
      <c r="S869" t="s">
        <v>2797</v>
      </c>
      <c r="U869" t="s">
        <v>6915</v>
      </c>
    </row>
    <row r="870" spans="2:21" ht="39">
      <c r="B870" s="750" t="s">
        <v>7075</v>
      </c>
      <c r="C870" s="750"/>
      <c r="D870" s="751"/>
      <c r="E870" s="792" t="s">
        <v>670</v>
      </c>
      <c r="F870" s="753" t="s">
        <v>410</v>
      </c>
      <c r="G870" s="754" t="s">
        <v>60</v>
      </c>
      <c r="H870" s="755" t="s">
        <v>61</v>
      </c>
      <c r="I870" s="751" t="str">
        <f t="shared" ref="I870:I933" si="14">+E870&amp;G870</f>
        <v>SJ5220</v>
      </c>
      <c r="J870" s="826"/>
      <c r="K870" s="470">
        <v>-97.230769230769226</v>
      </c>
      <c r="L870" s="470"/>
      <c r="M870" s="790">
        <v>46140</v>
      </c>
      <c r="N870" s="751"/>
      <c r="O870" s="788" t="s">
        <v>5763</v>
      </c>
      <c r="P870" s="790">
        <v>46143</v>
      </c>
      <c r="S870" t="s">
        <v>7035</v>
      </c>
      <c r="U870" t="s">
        <v>6915</v>
      </c>
    </row>
    <row r="871" spans="2:21" ht="39">
      <c r="B871" s="750" t="s">
        <v>7075</v>
      </c>
      <c r="C871" s="750"/>
      <c r="D871" s="751"/>
      <c r="E871" s="792" t="s">
        <v>670</v>
      </c>
      <c r="F871" s="753" t="s">
        <v>410</v>
      </c>
      <c r="G871" s="754" t="s">
        <v>60</v>
      </c>
      <c r="H871" s="755" t="s">
        <v>61</v>
      </c>
      <c r="I871" s="751" t="str">
        <f t="shared" si="14"/>
        <v>SJ5220</v>
      </c>
      <c r="J871" s="826"/>
      <c r="K871" s="470">
        <v>-45.897435897435898</v>
      </c>
      <c r="L871" s="470"/>
      <c r="M871" s="790">
        <v>46141</v>
      </c>
      <c r="N871" s="751"/>
      <c r="O871" s="788" t="s">
        <v>5763</v>
      </c>
      <c r="P871" s="790">
        <v>46143</v>
      </c>
      <c r="S871" t="s">
        <v>7042</v>
      </c>
      <c r="U871" t="s">
        <v>6915</v>
      </c>
    </row>
    <row r="872" spans="2:21" ht="39">
      <c r="B872" s="750" t="s">
        <v>7075</v>
      </c>
      <c r="C872" s="750"/>
      <c r="D872" s="751"/>
      <c r="E872" s="792" t="s">
        <v>670</v>
      </c>
      <c r="F872" s="753" t="s">
        <v>410</v>
      </c>
      <c r="G872" s="754" t="s">
        <v>60</v>
      </c>
      <c r="H872" s="755" t="s">
        <v>61</v>
      </c>
      <c r="I872" s="751" t="str">
        <f t="shared" si="14"/>
        <v>SJ5220</v>
      </c>
      <c r="J872" s="826"/>
      <c r="K872" s="470">
        <v>-28.448717948717949</v>
      </c>
      <c r="L872" s="470"/>
      <c r="M872" s="790">
        <v>46141</v>
      </c>
      <c r="N872" s="751"/>
      <c r="O872" s="788" t="s">
        <v>5763</v>
      </c>
      <c r="P872" s="790">
        <v>46143</v>
      </c>
      <c r="S872" t="s">
        <v>7043</v>
      </c>
      <c r="U872" t="s">
        <v>6915</v>
      </c>
    </row>
    <row r="873" spans="2:21" ht="39">
      <c r="B873" s="750" t="s">
        <v>7075</v>
      </c>
      <c r="C873" s="750"/>
      <c r="D873" s="751"/>
      <c r="E873" s="792" t="s">
        <v>670</v>
      </c>
      <c r="F873" s="753" t="s">
        <v>410</v>
      </c>
      <c r="G873" s="754" t="s">
        <v>60</v>
      </c>
      <c r="H873" s="755" t="s">
        <v>61</v>
      </c>
      <c r="I873" s="751" t="str">
        <f t="shared" si="14"/>
        <v>SJ5220</v>
      </c>
      <c r="J873" s="826"/>
      <c r="K873" s="470">
        <v>-705.12820512820508</v>
      </c>
      <c r="L873" s="470"/>
      <c r="M873" s="790">
        <v>46141</v>
      </c>
      <c r="N873" s="751"/>
      <c r="O873" s="788" t="s">
        <v>5763</v>
      </c>
      <c r="P873" s="790">
        <v>46143</v>
      </c>
      <c r="S873" t="s">
        <v>7044</v>
      </c>
      <c r="U873" t="s">
        <v>6915</v>
      </c>
    </row>
    <row r="874" spans="2:21" ht="39">
      <c r="B874" s="750" t="s">
        <v>7075</v>
      </c>
      <c r="C874" s="750"/>
      <c r="D874" s="751"/>
      <c r="E874" s="792" t="s">
        <v>670</v>
      </c>
      <c r="F874" s="753" t="s">
        <v>410</v>
      </c>
      <c r="G874" s="754" t="s">
        <v>60</v>
      </c>
      <c r="H874" s="755" t="s">
        <v>61</v>
      </c>
      <c r="I874" s="751" t="str">
        <f t="shared" si="14"/>
        <v>SJ5220</v>
      </c>
      <c r="J874" s="826"/>
      <c r="K874" s="470">
        <v>-65.897435897435898</v>
      </c>
      <c r="L874" s="470"/>
      <c r="M874" s="790">
        <v>46142</v>
      </c>
      <c r="N874" s="751"/>
      <c r="O874" s="788" t="s">
        <v>5763</v>
      </c>
      <c r="P874" s="790">
        <v>46143</v>
      </c>
      <c r="S874" t="s">
        <v>7053</v>
      </c>
      <c r="U874" t="s">
        <v>6915</v>
      </c>
    </row>
    <row r="875" spans="2:21" ht="39">
      <c r="B875" s="750" t="s">
        <v>7075</v>
      </c>
      <c r="C875" s="750"/>
      <c r="D875" s="751"/>
      <c r="E875" s="792" t="s">
        <v>670</v>
      </c>
      <c r="F875" s="753" t="s">
        <v>410</v>
      </c>
      <c r="G875" s="754" t="s">
        <v>60</v>
      </c>
      <c r="H875" s="755" t="s">
        <v>61</v>
      </c>
      <c r="I875" s="751" t="str">
        <f t="shared" si="14"/>
        <v>SJ5220</v>
      </c>
      <c r="J875" s="826"/>
      <c r="K875" s="470">
        <v>-341.53846153846155</v>
      </c>
      <c r="L875" s="470"/>
      <c r="M875" s="790">
        <v>46142</v>
      </c>
      <c r="N875" s="751"/>
      <c r="O875" s="788" t="s">
        <v>5763</v>
      </c>
      <c r="P875" s="790">
        <v>46143</v>
      </c>
      <c r="S875" t="s">
        <v>7054</v>
      </c>
      <c r="U875" t="s">
        <v>6915</v>
      </c>
    </row>
    <row r="876" spans="2:21" ht="39">
      <c r="B876" s="750" t="s">
        <v>7075</v>
      </c>
      <c r="C876" s="750"/>
      <c r="D876" s="751"/>
      <c r="E876" s="792" t="s">
        <v>670</v>
      </c>
      <c r="F876" s="753" t="s">
        <v>410</v>
      </c>
      <c r="G876" s="754" t="s">
        <v>60</v>
      </c>
      <c r="H876" s="755" t="s">
        <v>61</v>
      </c>
      <c r="I876" s="751" t="str">
        <f t="shared" si="14"/>
        <v>SJ5220</v>
      </c>
      <c r="J876" s="826"/>
      <c r="K876" s="470">
        <v>-3.9251282051282055</v>
      </c>
      <c r="L876" s="470"/>
      <c r="M876" s="790">
        <v>46142</v>
      </c>
      <c r="N876" s="751"/>
      <c r="O876" s="788" t="s">
        <v>5763</v>
      </c>
      <c r="P876" s="790">
        <v>46143</v>
      </c>
      <c r="S876" t="s">
        <v>2797</v>
      </c>
      <c r="U876" t="s">
        <v>6915</v>
      </c>
    </row>
    <row r="877" spans="2:21" ht="39">
      <c r="B877" s="750" t="s">
        <v>7075</v>
      </c>
      <c r="C877" s="750"/>
      <c r="D877" s="751"/>
      <c r="E877" s="792" t="s">
        <v>670</v>
      </c>
      <c r="F877" s="753" t="s">
        <v>410</v>
      </c>
      <c r="G877" s="754" t="s">
        <v>60</v>
      </c>
      <c r="H877" s="755" t="s">
        <v>61</v>
      </c>
      <c r="I877" s="751" t="str">
        <f t="shared" si="14"/>
        <v>SJ5220</v>
      </c>
      <c r="J877" s="826"/>
      <c r="K877" s="470">
        <v>-184.71794871794873</v>
      </c>
      <c r="L877" s="470"/>
      <c r="M877" s="790">
        <v>46142</v>
      </c>
      <c r="N877" s="751"/>
      <c r="O877" s="788" t="s">
        <v>5763</v>
      </c>
      <c r="P877" s="790">
        <v>46143</v>
      </c>
      <c r="S877" t="s">
        <v>7055</v>
      </c>
      <c r="U877" t="s">
        <v>6915</v>
      </c>
    </row>
    <row r="878" spans="2:21" ht="39">
      <c r="B878" s="750" t="s">
        <v>7075</v>
      </c>
      <c r="C878" s="750"/>
      <c r="D878" s="751"/>
      <c r="E878" s="792" t="s">
        <v>670</v>
      </c>
      <c r="F878" s="753" t="s">
        <v>411</v>
      </c>
      <c r="G878" s="754" t="s">
        <v>62</v>
      </c>
      <c r="H878" s="755" t="s">
        <v>63</v>
      </c>
      <c r="I878" s="751" t="str">
        <f t="shared" si="14"/>
        <v>SJ5221</v>
      </c>
      <c r="J878" s="826"/>
      <c r="K878" s="470">
        <v>-25.641025641025642</v>
      </c>
      <c r="L878" s="470"/>
      <c r="M878" s="790">
        <v>46142</v>
      </c>
      <c r="N878" s="751"/>
      <c r="O878" s="788" t="s">
        <v>5763</v>
      </c>
      <c r="P878" s="790">
        <v>46159</v>
      </c>
      <c r="S878" t="s">
        <v>6919</v>
      </c>
      <c r="U878" t="s">
        <v>6915</v>
      </c>
    </row>
    <row r="879" spans="2:21" ht="39">
      <c r="B879" s="750" t="s">
        <v>7075</v>
      </c>
      <c r="C879" s="750"/>
      <c r="D879" s="751"/>
      <c r="E879" s="792" t="s">
        <v>670</v>
      </c>
      <c r="F879" s="753" t="s">
        <v>408</v>
      </c>
      <c r="G879" s="754" t="s">
        <v>138</v>
      </c>
      <c r="H879" s="755" t="s">
        <v>202</v>
      </c>
      <c r="I879" s="751" t="str">
        <f t="shared" si="14"/>
        <v>SJ5225</v>
      </c>
      <c r="J879" s="470"/>
      <c r="K879" s="825">
        <v>-3701</v>
      </c>
      <c r="L879" s="470"/>
      <c r="M879" s="790">
        <v>46142</v>
      </c>
      <c r="N879" s="751"/>
      <c r="O879" s="788" t="s">
        <v>5763</v>
      </c>
      <c r="P879" s="790">
        <v>46158</v>
      </c>
      <c r="S879" t="s">
        <v>6984</v>
      </c>
      <c r="U879" t="s">
        <v>6912</v>
      </c>
    </row>
    <row r="880" spans="2:21" ht="39">
      <c r="B880" s="750" t="s">
        <v>7075</v>
      </c>
      <c r="C880" s="750"/>
      <c r="D880" s="751"/>
      <c r="E880" s="792" t="s">
        <v>670</v>
      </c>
      <c r="F880" s="753" t="s">
        <v>408</v>
      </c>
      <c r="G880" s="754" t="s">
        <v>138</v>
      </c>
      <c r="H880" s="755" t="s">
        <v>202</v>
      </c>
      <c r="I880" s="751" t="str">
        <f t="shared" si="14"/>
        <v>SJ5225</v>
      </c>
      <c r="J880" s="470"/>
      <c r="K880" s="825">
        <v>-440</v>
      </c>
      <c r="L880" s="470"/>
      <c r="M880" s="790">
        <v>46142</v>
      </c>
      <c r="N880" s="751"/>
      <c r="O880" s="788" t="s">
        <v>5763</v>
      </c>
      <c r="P880" s="790">
        <v>46158</v>
      </c>
      <c r="S880" t="s">
        <v>6985</v>
      </c>
      <c r="U880" t="s">
        <v>6912</v>
      </c>
    </row>
    <row r="881" spans="2:21" ht="39">
      <c r="B881" s="750" t="s">
        <v>7075</v>
      </c>
      <c r="C881" s="750"/>
      <c r="D881" s="751"/>
      <c r="E881" s="792" t="s">
        <v>670</v>
      </c>
      <c r="F881" s="753" t="s">
        <v>408</v>
      </c>
      <c r="G881" s="754" t="s">
        <v>138</v>
      </c>
      <c r="H881" s="755" t="s">
        <v>202</v>
      </c>
      <c r="I881" s="751" t="str">
        <f t="shared" si="14"/>
        <v>SJ5225</v>
      </c>
      <c r="J881" s="470"/>
      <c r="K881" s="825">
        <v>-1.9</v>
      </c>
      <c r="L881" s="470"/>
      <c r="M881" s="790">
        <v>46142</v>
      </c>
      <c r="N881" s="751"/>
      <c r="O881" s="788" t="s">
        <v>5763</v>
      </c>
      <c r="P881" s="790">
        <v>46158</v>
      </c>
      <c r="S881" t="s">
        <v>2797</v>
      </c>
      <c r="U881" t="s">
        <v>6912</v>
      </c>
    </row>
    <row r="882" spans="2:21" ht="39">
      <c r="B882" s="750" t="s">
        <v>7075</v>
      </c>
      <c r="C882" s="750"/>
      <c r="D882" s="751"/>
      <c r="E882" s="792" t="s">
        <v>670</v>
      </c>
      <c r="F882" s="753" t="s">
        <v>400</v>
      </c>
      <c r="G882" s="754" t="s">
        <v>321</v>
      </c>
      <c r="H882" s="755" t="s">
        <v>455</v>
      </c>
      <c r="I882" s="751" t="str">
        <f t="shared" si="14"/>
        <v>SJ5226</v>
      </c>
      <c r="J882" s="826"/>
      <c r="K882" s="470">
        <v>-170.94871794871796</v>
      </c>
      <c r="L882" s="470"/>
      <c r="M882" s="790">
        <v>46142</v>
      </c>
      <c r="N882" s="751"/>
      <c r="O882" s="788" t="s">
        <v>5763</v>
      </c>
      <c r="P882" s="790">
        <v>46159</v>
      </c>
      <c r="S882" t="s">
        <v>6920</v>
      </c>
      <c r="U882" t="s">
        <v>6915</v>
      </c>
    </row>
    <row r="883" spans="2:21" ht="39">
      <c r="B883" s="750" t="s">
        <v>7075</v>
      </c>
      <c r="C883" s="750"/>
      <c r="D883" s="751"/>
      <c r="E883" s="792" t="s">
        <v>670</v>
      </c>
      <c r="F883" s="753" t="s">
        <v>400</v>
      </c>
      <c r="G883" s="754" t="s">
        <v>321</v>
      </c>
      <c r="H883" s="755" t="s">
        <v>455</v>
      </c>
      <c r="I883" s="751" t="str">
        <f t="shared" si="14"/>
        <v>SJ5226</v>
      </c>
      <c r="J883" s="826"/>
      <c r="K883" s="470">
        <v>-211.97435897435898</v>
      </c>
      <c r="L883" s="470"/>
      <c r="M883" s="790">
        <v>46142</v>
      </c>
      <c r="N883" s="751"/>
      <c r="O883" s="788" t="s">
        <v>5763</v>
      </c>
      <c r="P883" s="790">
        <v>46159</v>
      </c>
      <c r="S883" t="s">
        <v>6921</v>
      </c>
      <c r="U883" t="s">
        <v>6915</v>
      </c>
    </row>
    <row r="884" spans="2:21" ht="39">
      <c r="B884" s="750" t="s">
        <v>7075</v>
      </c>
      <c r="C884" s="750"/>
      <c r="D884" s="751"/>
      <c r="E884" s="792" t="s">
        <v>670</v>
      </c>
      <c r="F884" s="753" t="s">
        <v>400</v>
      </c>
      <c r="G884" s="754" t="s">
        <v>321</v>
      </c>
      <c r="H884" s="755" t="s">
        <v>455</v>
      </c>
      <c r="I884" s="751" t="str">
        <f t="shared" si="14"/>
        <v>SJ5226</v>
      </c>
      <c r="J884" s="826"/>
      <c r="K884" s="470">
        <v>-150.43589743589743</v>
      </c>
      <c r="L884" s="470"/>
      <c r="M884" s="790">
        <v>46142</v>
      </c>
      <c r="N884" s="751"/>
      <c r="O884" s="788" t="s">
        <v>5763</v>
      </c>
      <c r="P884" s="790">
        <v>46159</v>
      </c>
      <c r="S884" t="s">
        <v>6922</v>
      </c>
      <c r="U884" t="s">
        <v>6915</v>
      </c>
    </row>
    <row r="885" spans="2:21" ht="39">
      <c r="B885" s="750" t="s">
        <v>7075</v>
      </c>
      <c r="C885" s="750"/>
      <c r="D885" s="751"/>
      <c r="E885" s="792" t="s">
        <v>670</v>
      </c>
      <c r="F885" s="753" t="s">
        <v>399</v>
      </c>
      <c r="G885" s="754" t="s">
        <v>323</v>
      </c>
      <c r="H885" s="755" t="s">
        <v>453</v>
      </c>
      <c r="I885" s="751" t="str">
        <f t="shared" si="14"/>
        <v>SJ5227</v>
      </c>
      <c r="J885" s="470"/>
      <c r="K885" s="825">
        <v>-400</v>
      </c>
      <c r="L885" s="470"/>
      <c r="M885" s="790">
        <v>46142</v>
      </c>
      <c r="N885" s="751"/>
      <c r="O885" s="788" t="s">
        <v>5763</v>
      </c>
      <c r="P885" s="790">
        <v>46158</v>
      </c>
      <c r="S885" t="s">
        <v>6986</v>
      </c>
      <c r="U885" t="s">
        <v>6912</v>
      </c>
    </row>
    <row r="886" spans="2:21" ht="39">
      <c r="B886" s="750" t="s">
        <v>7075</v>
      </c>
      <c r="C886" s="750"/>
      <c r="D886" s="751"/>
      <c r="E886" s="792" t="s">
        <v>670</v>
      </c>
      <c r="F886" s="753" t="s">
        <v>399</v>
      </c>
      <c r="G886" s="754" t="s">
        <v>323</v>
      </c>
      <c r="H886" s="755" t="s">
        <v>453</v>
      </c>
      <c r="I886" s="751" t="str">
        <f t="shared" si="14"/>
        <v>SJ5227</v>
      </c>
      <c r="J886" s="826"/>
      <c r="K886" s="470">
        <v>-230.76923076923077</v>
      </c>
      <c r="L886" s="470"/>
      <c r="M886" s="790">
        <v>46142</v>
      </c>
      <c r="N886" s="751"/>
      <c r="O886" s="788" t="s">
        <v>5763</v>
      </c>
      <c r="P886" s="790">
        <v>46159</v>
      </c>
      <c r="S886" t="s">
        <v>6923</v>
      </c>
      <c r="U886" t="s">
        <v>6915</v>
      </c>
    </row>
    <row r="887" spans="2:21" ht="39">
      <c r="B887" s="750" t="s">
        <v>7075</v>
      </c>
      <c r="C887" s="750"/>
      <c r="D887" s="751"/>
      <c r="E887" s="792" t="s">
        <v>670</v>
      </c>
      <c r="F887" s="753" t="s">
        <v>399</v>
      </c>
      <c r="G887" s="754" t="s">
        <v>323</v>
      </c>
      <c r="H887" s="755" t="s">
        <v>453</v>
      </c>
      <c r="I887" s="751" t="str">
        <f t="shared" si="14"/>
        <v>SJ5227</v>
      </c>
      <c r="J887" s="826"/>
      <c r="K887" s="470">
        <v>-7.7476923076923088</v>
      </c>
      <c r="L887" s="470"/>
      <c r="M887" s="790">
        <v>46142</v>
      </c>
      <c r="N887" s="751"/>
      <c r="O887" s="788" t="s">
        <v>5763</v>
      </c>
      <c r="P887" s="790">
        <v>46159</v>
      </c>
      <c r="S887" t="s">
        <v>2797</v>
      </c>
      <c r="U887" t="s">
        <v>6915</v>
      </c>
    </row>
    <row r="888" spans="2:21" ht="39">
      <c r="B888" s="750" t="s">
        <v>7075</v>
      </c>
      <c r="C888" s="750"/>
      <c r="D888" s="751"/>
      <c r="E888" s="792" t="s">
        <v>670</v>
      </c>
      <c r="F888" s="753" t="s">
        <v>399</v>
      </c>
      <c r="G888" s="754" t="s">
        <v>323</v>
      </c>
      <c r="H888" s="755" t="s">
        <v>453</v>
      </c>
      <c r="I888" s="751" t="str">
        <f t="shared" si="14"/>
        <v>SJ5227</v>
      </c>
      <c r="J888" s="826"/>
      <c r="K888" s="470">
        <v>-769.23076923076928</v>
      </c>
      <c r="L888" s="470"/>
      <c r="M888" s="790">
        <v>46142</v>
      </c>
      <c r="N888" s="751"/>
      <c r="O888" s="788" t="s">
        <v>5763</v>
      </c>
      <c r="P888" s="790">
        <v>46159</v>
      </c>
      <c r="S888" t="s">
        <v>6924</v>
      </c>
      <c r="U888" t="s">
        <v>6915</v>
      </c>
    </row>
    <row r="889" spans="2:21" ht="39">
      <c r="B889" s="750" t="s">
        <v>7075</v>
      </c>
      <c r="C889" s="750"/>
      <c r="D889" s="751"/>
      <c r="E889" s="792" t="s">
        <v>670</v>
      </c>
      <c r="F889" s="753" t="s">
        <v>399</v>
      </c>
      <c r="G889" s="754" t="s">
        <v>323</v>
      </c>
      <c r="H889" s="755" t="s">
        <v>453</v>
      </c>
      <c r="I889" s="751" t="str">
        <f t="shared" si="14"/>
        <v>SJ5227</v>
      </c>
      <c r="J889" s="826"/>
      <c r="K889" s="470">
        <v>-384.61538461538464</v>
      </c>
      <c r="L889" s="470"/>
      <c r="M889" s="790">
        <v>46142</v>
      </c>
      <c r="N889" s="751"/>
      <c r="O889" s="788" t="s">
        <v>5763</v>
      </c>
      <c r="P889" s="790">
        <v>46159</v>
      </c>
      <c r="S889" t="s">
        <v>6925</v>
      </c>
      <c r="U889" t="s">
        <v>6915</v>
      </c>
    </row>
    <row r="890" spans="2:21" ht="39">
      <c r="B890" s="750" t="s">
        <v>7075</v>
      </c>
      <c r="C890" s="750"/>
      <c r="D890" s="751"/>
      <c r="E890" s="792" t="s">
        <v>670</v>
      </c>
      <c r="F890" s="753" t="s">
        <v>399</v>
      </c>
      <c r="G890" s="754" t="s">
        <v>323</v>
      </c>
      <c r="H890" s="755" t="s">
        <v>453</v>
      </c>
      <c r="I890" s="751" t="str">
        <f t="shared" si="14"/>
        <v>SJ5227</v>
      </c>
      <c r="J890" s="826"/>
      <c r="K890" s="470">
        <v>-269.23076923076923</v>
      </c>
      <c r="L890" s="470"/>
      <c r="M890" s="790">
        <v>46142</v>
      </c>
      <c r="N890" s="751"/>
      <c r="O890" s="788" t="s">
        <v>5763</v>
      </c>
      <c r="P890" s="790">
        <v>46159</v>
      </c>
      <c r="S890" t="s">
        <v>6926</v>
      </c>
      <c r="U890" t="s">
        <v>6915</v>
      </c>
    </row>
    <row r="891" spans="2:21" ht="39">
      <c r="B891" s="750" t="s">
        <v>7075</v>
      </c>
      <c r="C891" s="750"/>
      <c r="D891" s="751"/>
      <c r="E891" s="792" t="s">
        <v>670</v>
      </c>
      <c r="F891" s="753" t="s">
        <v>399</v>
      </c>
      <c r="G891" s="754" t="s">
        <v>323</v>
      </c>
      <c r="H891" s="755" t="s">
        <v>453</v>
      </c>
      <c r="I891" s="751" t="str">
        <f t="shared" si="14"/>
        <v>SJ5227</v>
      </c>
      <c r="J891" s="826"/>
      <c r="K891" s="470">
        <v>-1282.051282051282</v>
      </c>
      <c r="L891" s="470"/>
      <c r="M891" s="790">
        <v>46142</v>
      </c>
      <c r="N891" s="751"/>
      <c r="O891" s="788" t="s">
        <v>5763</v>
      </c>
      <c r="P891" s="790">
        <v>46159</v>
      </c>
      <c r="S891" t="s">
        <v>6927</v>
      </c>
      <c r="U891" t="s">
        <v>6915</v>
      </c>
    </row>
    <row r="892" spans="2:21" ht="39">
      <c r="B892" s="750" t="s">
        <v>7075</v>
      </c>
      <c r="C892" s="750"/>
      <c r="D892" s="751"/>
      <c r="E892" s="792" t="s">
        <v>670</v>
      </c>
      <c r="F892" s="753" t="s">
        <v>399</v>
      </c>
      <c r="G892" s="754" t="s">
        <v>323</v>
      </c>
      <c r="H892" s="755" t="s">
        <v>453</v>
      </c>
      <c r="I892" s="751" t="str">
        <f t="shared" si="14"/>
        <v>SJ5227</v>
      </c>
      <c r="J892" s="826"/>
      <c r="K892" s="470">
        <v>-384.61538461538464</v>
      </c>
      <c r="L892" s="470"/>
      <c r="M892" s="790">
        <v>46142</v>
      </c>
      <c r="N892" s="751"/>
      <c r="O892" s="788" t="s">
        <v>5763</v>
      </c>
      <c r="P892" s="790">
        <v>46159</v>
      </c>
      <c r="S892" t="s">
        <v>6928</v>
      </c>
      <c r="U892" t="s">
        <v>6915</v>
      </c>
    </row>
    <row r="893" spans="2:21" ht="39">
      <c r="B893" s="750" t="s">
        <v>7075</v>
      </c>
      <c r="C893" s="750"/>
      <c r="D893" s="751"/>
      <c r="E893" s="792" t="s">
        <v>670</v>
      </c>
      <c r="F893" s="753" t="s">
        <v>399</v>
      </c>
      <c r="G893" s="754" t="s">
        <v>323</v>
      </c>
      <c r="H893" s="755" t="s">
        <v>453</v>
      </c>
      <c r="I893" s="751" t="str">
        <f t="shared" si="14"/>
        <v>SJ5227</v>
      </c>
      <c r="J893" s="826"/>
      <c r="K893" s="470">
        <v>-1025.6410256410256</v>
      </c>
      <c r="L893" s="470"/>
      <c r="M893" s="790">
        <v>46142</v>
      </c>
      <c r="N893" s="751"/>
      <c r="O893" s="788" t="s">
        <v>5763</v>
      </c>
      <c r="P893" s="790">
        <v>46159</v>
      </c>
      <c r="S893" t="s">
        <v>6929</v>
      </c>
      <c r="U893" t="s">
        <v>6915</v>
      </c>
    </row>
    <row r="894" spans="2:21" ht="39">
      <c r="B894" s="750" t="s">
        <v>7075</v>
      </c>
      <c r="C894" s="750"/>
      <c r="D894" s="751"/>
      <c r="E894" s="792" t="s">
        <v>670</v>
      </c>
      <c r="F894" s="753" t="s">
        <v>399</v>
      </c>
      <c r="G894" s="754" t="s">
        <v>323</v>
      </c>
      <c r="H894" s="755" t="s">
        <v>453</v>
      </c>
      <c r="I894" s="751" t="str">
        <f t="shared" si="14"/>
        <v>SJ5227</v>
      </c>
      <c r="J894" s="826"/>
      <c r="K894" s="470">
        <v>-470.07692307692309</v>
      </c>
      <c r="L894" s="470"/>
      <c r="M894" s="790">
        <v>46142</v>
      </c>
      <c r="N894" s="751"/>
      <c r="O894" s="788" t="s">
        <v>5763</v>
      </c>
      <c r="P894" s="790">
        <v>46159</v>
      </c>
      <c r="S894" t="s">
        <v>6930</v>
      </c>
      <c r="U894" t="s">
        <v>6915</v>
      </c>
    </row>
    <row r="895" spans="2:21" ht="39">
      <c r="B895" s="750" t="s">
        <v>7075</v>
      </c>
      <c r="C895" s="750"/>
      <c r="D895" s="751"/>
      <c r="E895" s="792" t="s">
        <v>670</v>
      </c>
      <c r="F895" s="753" t="s">
        <v>399</v>
      </c>
      <c r="G895" s="754" t="s">
        <v>323</v>
      </c>
      <c r="H895" s="755" t="s">
        <v>453</v>
      </c>
      <c r="I895" s="751" t="str">
        <f t="shared" si="14"/>
        <v>SJ5227</v>
      </c>
      <c r="J895" s="826"/>
      <c r="K895" s="470">
        <v>-203.41025641025641</v>
      </c>
      <c r="L895" s="470"/>
      <c r="M895" s="790">
        <v>46142</v>
      </c>
      <c r="N895" s="751"/>
      <c r="O895" s="788" t="s">
        <v>5763</v>
      </c>
      <c r="P895" s="790">
        <v>46159</v>
      </c>
      <c r="S895" t="s">
        <v>6931</v>
      </c>
      <c r="U895" t="s">
        <v>6915</v>
      </c>
    </row>
    <row r="896" spans="2:21" ht="39">
      <c r="B896" s="750" t="s">
        <v>7075</v>
      </c>
      <c r="C896" s="750"/>
      <c r="D896" s="751"/>
      <c r="E896" s="792" t="s">
        <v>670</v>
      </c>
      <c r="F896" s="753" t="s">
        <v>398</v>
      </c>
      <c r="G896" s="754" t="s">
        <v>325</v>
      </c>
      <c r="H896" s="755" t="s">
        <v>452</v>
      </c>
      <c r="I896" s="751" t="str">
        <f t="shared" si="14"/>
        <v>SJ5228</v>
      </c>
      <c r="J896" s="470"/>
      <c r="K896" s="825">
        <v>-1300</v>
      </c>
      <c r="L896" s="470"/>
      <c r="M896" s="790">
        <v>46142</v>
      </c>
      <c r="N896" s="751"/>
      <c r="O896" s="788" t="s">
        <v>5763</v>
      </c>
      <c r="P896" s="790">
        <v>46158</v>
      </c>
      <c r="S896" t="s">
        <v>6987</v>
      </c>
      <c r="U896" t="s">
        <v>6912</v>
      </c>
    </row>
    <row r="897" spans="2:21" ht="39">
      <c r="B897" s="750" t="s">
        <v>7075</v>
      </c>
      <c r="C897" s="750"/>
      <c r="D897" s="751"/>
      <c r="E897" s="792" t="s">
        <v>670</v>
      </c>
      <c r="F897" s="753" t="s">
        <v>398</v>
      </c>
      <c r="G897" s="754" t="s">
        <v>325</v>
      </c>
      <c r="H897" s="755" t="s">
        <v>452</v>
      </c>
      <c r="I897" s="751" t="str">
        <f t="shared" si="14"/>
        <v>SJ5228</v>
      </c>
      <c r="J897" s="470"/>
      <c r="K897" s="825">
        <v>-280</v>
      </c>
      <c r="L897" s="470"/>
      <c r="M897" s="790">
        <v>46142</v>
      </c>
      <c r="N897" s="751"/>
      <c r="O897" s="788" t="s">
        <v>5763</v>
      </c>
      <c r="P897" s="790">
        <v>46158</v>
      </c>
      <c r="S897" t="s">
        <v>6988</v>
      </c>
      <c r="U897" t="s">
        <v>6912</v>
      </c>
    </row>
    <row r="898" spans="2:21" ht="39">
      <c r="B898" s="750" t="s">
        <v>7075</v>
      </c>
      <c r="C898" s="750"/>
      <c r="D898" s="751"/>
      <c r="E898" s="792" t="s">
        <v>670</v>
      </c>
      <c r="F898" s="753" t="s">
        <v>398</v>
      </c>
      <c r="G898" s="754" t="s">
        <v>325</v>
      </c>
      <c r="H898" s="755" t="s">
        <v>452</v>
      </c>
      <c r="I898" s="751" t="str">
        <f t="shared" si="14"/>
        <v>SJ5228</v>
      </c>
      <c r="J898" s="826"/>
      <c r="K898" s="470">
        <v>-454.4871794871795</v>
      </c>
      <c r="L898" s="470"/>
      <c r="M898" s="790">
        <v>46142</v>
      </c>
      <c r="N898" s="751"/>
      <c r="O898" s="788" t="s">
        <v>5763</v>
      </c>
      <c r="P898" s="790">
        <v>46159</v>
      </c>
      <c r="S898" t="s">
        <v>6932</v>
      </c>
      <c r="U898" t="s">
        <v>6915</v>
      </c>
    </row>
    <row r="899" spans="2:21" ht="39">
      <c r="B899" s="750" t="s">
        <v>7075</v>
      </c>
      <c r="C899" s="750"/>
      <c r="D899" s="751"/>
      <c r="E899" s="792" t="s">
        <v>670</v>
      </c>
      <c r="F899" s="753" t="s">
        <v>398</v>
      </c>
      <c r="G899" s="754" t="s">
        <v>325</v>
      </c>
      <c r="H899" s="755" t="s">
        <v>452</v>
      </c>
      <c r="I899" s="751" t="str">
        <f t="shared" si="14"/>
        <v>SJ5228</v>
      </c>
      <c r="J899" s="826"/>
      <c r="K899" s="470">
        <v>-2133.3333333333335</v>
      </c>
      <c r="L899" s="470"/>
      <c r="M899" s="790">
        <v>46142</v>
      </c>
      <c r="N899" s="751"/>
      <c r="O899" s="788" t="s">
        <v>5763</v>
      </c>
      <c r="P899" s="790">
        <v>46159</v>
      </c>
      <c r="S899" t="s">
        <v>6933</v>
      </c>
      <c r="U899" t="s">
        <v>6915</v>
      </c>
    </row>
    <row r="900" spans="2:21" ht="39">
      <c r="B900" s="750" t="s">
        <v>7075</v>
      </c>
      <c r="C900" s="750"/>
      <c r="D900" s="751"/>
      <c r="E900" s="792" t="s">
        <v>670</v>
      </c>
      <c r="F900" s="753" t="s">
        <v>401</v>
      </c>
      <c r="G900" s="754" t="s">
        <v>331</v>
      </c>
      <c r="H900" s="755" t="s">
        <v>332</v>
      </c>
      <c r="I900" s="751" t="str">
        <f t="shared" si="14"/>
        <v>SJ5236</v>
      </c>
      <c r="J900" s="826"/>
      <c r="K900" s="470">
        <v>-225.64102564102564</v>
      </c>
      <c r="L900" s="470"/>
      <c r="M900" s="790">
        <v>46142</v>
      </c>
      <c r="N900" s="751"/>
      <c r="O900" s="788" t="s">
        <v>5763</v>
      </c>
      <c r="P900" s="790">
        <v>46159</v>
      </c>
      <c r="S900" t="s">
        <v>6934</v>
      </c>
      <c r="U900" t="s">
        <v>6915</v>
      </c>
    </row>
    <row r="901" spans="2:21" ht="39">
      <c r="B901" s="750" t="s">
        <v>7075</v>
      </c>
      <c r="C901" s="750"/>
      <c r="D901" s="751"/>
      <c r="E901" s="792" t="s">
        <v>670</v>
      </c>
      <c r="F901" s="753" t="s">
        <v>401</v>
      </c>
      <c r="G901" s="754" t="s">
        <v>333</v>
      </c>
      <c r="H901" s="755" t="s">
        <v>334</v>
      </c>
      <c r="I901" s="751" t="str">
        <f t="shared" si="14"/>
        <v>SJ5237</v>
      </c>
      <c r="J901" s="826"/>
      <c r="K901" s="470">
        <v>-246.51282051282053</v>
      </c>
      <c r="L901" s="470"/>
      <c r="M901" s="790">
        <v>46142</v>
      </c>
      <c r="N901" s="751"/>
      <c r="O901" s="788" t="s">
        <v>5763</v>
      </c>
      <c r="P901" s="790">
        <v>46159</v>
      </c>
      <c r="S901" t="s">
        <v>6935</v>
      </c>
      <c r="U901" t="s">
        <v>6915</v>
      </c>
    </row>
    <row r="902" spans="2:21" ht="39">
      <c r="B902" s="750" t="s">
        <v>7075</v>
      </c>
      <c r="C902" s="750"/>
      <c r="D902" s="751"/>
      <c r="E902" s="792" t="s">
        <v>670</v>
      </c>
      <c r="F902" s="753" t="s">
        <v>401</v>
      </c>
      <c r="G902" s="754" t="s">
        <v>333</v>
      </c>
      <c r="H902" s="755" t="s">
        <v>334</v>
      </c>
      <c r="I902" s="751" t="str">
        <f t="shared" si="14"/>
        <v>SJ5237</v>
      </c>
      <c r="J902" s="826"/>
      <c r="K902" s="470">
        <v>-1.9346153846153846</v>
      </c>
      <c r="L902" s="470"/>
      <c r="M902" s="790">
        <v>46142</v>
      </c>
      <c r="N902" s="751"/>
      <c r="O902" s="788" t="s">
        <v>5763</v>
      </c>
      <c r="P902" s="790">
        <v>46159</v>
      </c>
      <c r="S902" t="s">
        <v>2797</v>
      </c>
      <c r="U902" t="s">
        <v>6915</v>
      </c>
    </row>
    <row r="903" spans="2:21" ht="39">
      <c r="B903" s="750" t="s">
        <v>7075</v>
      </c>
      <c r="C903" s="210" t="s">
        <v>7092</v>
      </c>
      <c r="D903" s="751"/>
      <c r="E903" s="792" t="s">
        <v>670</v>
      </c>
      <c r="F903" s="753" t="s">
        <v>394</v>
      </c>
      <c r="G903" s="4" t="s">
        <v>313</v>
      </c>
      <c r="H903" s="4" t="s">
        <v>314</v>
      </c>
      <c r="I903" s="751" t="str">
        <f t="shared" si="14"/>
        <v>SJ5208</v>
      </c>
      <c r="J903" s="826"/>
      <c r="K903" s="470">
        <v>-411.56410256410254</v>
      </c>
      <c r="L903" s="470"/>
      <c r="M903" s="790">
        <v>46112</v>
      </c>
      <c r="N903" s="751"/>
      <c r="O903" s="788" t="s">
        <v>5763</v>
      </c>
      <c r="P903" s="790">
        <v>46159</v>
      </c>
      <c r="S903" t="s">
        <v>6916</v>
      </c>
      <c r="U903" t="s">
        <v>6915</v>
      </c>
    </row>
    <row r="904" spans="2:21" ht="39">
      <c r="B904" s="750" t="s">
        <v>7075</v>
      </c>
      <c r="C904" s="750"/>
      <c r="D904" s="751"/>
      <c r="E904" s="792" t="s">
        <v>670</v>
      </c>
      <c r="F904" s="753" t="s">
        <v>405</v>
      </c>
      <c r="G904" s="754" t="s">
        <v>41</v>
      </c>
      <c r="H904" s="755" t="s">
        <v>459</v>
      </c>
      <c r="I904" s="751" t="str">
        <f t="shared" si="14"/>
        <v>SJ5247</v>
      </c>
      <c r="J904" s="826"/>
      <c r="K904" s="470">
        <v>-416.58974358974359</v>
      </c>
      <c r="L904" s="470"/>
      <c r="M904" s="790">
        <v>46142</v>
      </c>
      <c r="N904" s="751"/>
      <c r="O904" s="788" t="s">
        <v>5763</v>
      </c>
      <c r="P904" s="790">
        <v>46159</v>
      </c>
      <c r="S904" t="s">
        <v>6936</v>
      </c>
      <c r="U904" t="s">
        <v>6915</v>
      </c>
    </row>
    <row r="905" spans="2:21" ht="39">
      <c r="B905" s="750" t="s">
        <v>7075</v>
      </c>
      <c r="C905" s="750"/>
      <c r="D905" s="751"/>
      <c r="E905" s="792" t="s">
        <v>670</v>
      </c>
      <c r="F905" s="753" t="s">
        <v>406</v>
      </c>
      <c r="G905" s="754" t="s">
        <v>64</v>
      </c>
      <c r="H905" s="755" t="s">
        <v>461</v>
      </c>
      <c r="I905" s="751" t="str">
        <f t="shared" si="14"/>
        <v>SJ5248</v>
      </c>
      <c r="J905" s="470"/>
      <c r="K905" s="825">
        <v>-38.85</v>
      </c>
      <c r="L905" s="470"/>
      <c r="M905" s="790">
        <v>46142</v>
      </c>
      <c r="N905" s="751"/>
      <c r="O905" s="788" t="s">
        <v>5763</v>
      </c>
      <c r="P905" s="790">
        <v>46143</v>
      </c>
      <c r="S905" t="s">
        <v>7056</v>
      </c>
      <c r="U905" t="s">
        <v>6912</v>
      </c>
    </row>
    <row r="906" spans="2:21" ht="39">
      <c r="B906" s="750" t="s">
        <v>7075</v>
      </c>
      <c r="C906" s="750"/>
      <c r="D906" s="751"/>
      <c r="E906" s="792" t="s">
        <v>670</v>
      </c>
      <c r="F906" s="753" t="s">
        <v>406</v>
      </c>
      <c r="G906" s="754" t="s">
        <v>64</v>
      </c>
      <c r="H906" s="755" t="s">
        <v>461</v>
      </c>
      <c r="I906" s="751" t="str">
        <f t="shared" si="14"/>
        <v>SJ5248</v>
      </c>
      <c r="J906" s="826"/>
      <c r="K906" s="470">
        <v>-5627.4871794871797</v>
      </c>
      <c r="L906" s="470"/>
      <c r="M906" s="790">
        <v>46142</v>
      </c>
      <c r="N906" s="751"/>
      <c r="O906" s="788" t="s">
        <v>5763</v>
      </c>
      <c r="P906" s="790">
        <v>46159</v>
      </c>
      <c r="S906" t="s">
        <v>6937</v>
      </c>
      <c r="U906" t="s">
        <v>6915</v>
      </c>
    </row>
    <row r="907" spans="2:21" ht="39">
      <c r="B907" s="750" t="s">
        <v>7075</v>
      </c>
      <c r="C907" s="750"/>
      <c r="D907" s="751"/>
      <c r="E907" s="792" t="s">
        <v>670</v>
      </c>
      <c r="F907" s="753" t="s">
        <v>406</v>
      </c>
      <c r="G907" s="754" t="s">
        <v>64</v>
      </c>
      <c r="H907" s="755" t="s">
        <v>461</v>
      </c>
      <c r="I907" s="751" t="str">
        <f t="shared" si="14"/>
        <v>SJ5248</v>
      </c>
      <c r="J907" s="826"/>
      <c r="K907" s="470">
        <v>-1.9505128205128204</v>
      </c>
      <c r="L907" s="470"/>
      <c r="M907" s="790">
        <v>46142</v>
      </c>
      <c r="N907" s="751"/>
      <c r="O907" s="788" t="s">
        <v>5763</v>
      </c>
      <c r="P907" s="790">
        <v>46159</v>
      </c>
      <c r="S907" t="s">
        <v>2797</v>
      </c>
      <c r="U907" t="s">
        <v>6915</v>
      </c>
    </row>
    <row r="908" spans="2:21" ht="39">
      <c r="B908" s="750" t="s">
        <v>7075</v>
      </c>
      <c r="C908" s="750"/>
      <c r="D908" s="751"/>
      <c r="E908" s="792" t="s">
        <v>670</v>
      </c>
      <c r="F908" s="753" t="s">
        <v>406</v>
      </c>
      <c r="G908" s="754" t="s">
        <v>64</v>
      </c>
      <c r="H908" s="755" t="s">
        <v>461</v>
      </c>
      <c r="I908" s="751" t="str">
        <f t="shared" si="14"/>
        <v>SJ5248</v>
      </c>
      <c r="J908" s="826"/>
      <c r="K908" s="470">
        <v>-102.56410256410257</v>
      </c>
      <c r="L908" s="470"/>
      <c r="M908" s="790">
        <v>46142</v>
      </c>
      <c r="N908" s="751"/>
      <c r="O908" s="788" t="s">
        <v>5763</v>
      </c>
      <c r="P908" s="790">
        <v>46159</v>
      </c>
      <c r="S908" t="s">
        <v>6938</v>
      </c>
      <c r="U908" t="s">
        <v>6915</v>
      </c>
    </row>
    <row r="909" spans="2:21" ht="39">
      <c r="B909" s="750" t="s">
        <v>7075</v>
      </c>
      <c r="C909" s="750"/>
      <c r="D909" s="751"/>
      <c r="E909" s="792" t="s">
        <v>670</v>
      </c>
      <c r="F909" s="753" t="s">
        <v>406</v>
      </c>
      <c r="G909" s="754" t="s">
        <v>64</v>
      </c>
      <c r="H909" s="755" t="s">
        <v>461</v>
      </c>
      <c r="I909" s="751" t="str">
        <f t="shared" si="14"/>
        <v>SJ5248</v>
      </c>
      <c r="J909" s="826"/>
      <c r="K909" s="470">
        <v>-249.44102564102565</v>
      </c>
      <c r="L909" s="470"/>
      <c r="M909" s="790">
        <v>46142</v>
      </c>
      <c r="N909" s="751"/>
      <c r="O909" s="788" t="s">
        <v>5763</v>
      </c>
      <c r="P909" s="790">
        <v>46159</v>
      </c>
      <c r="S909" t="s">
        <v>6939</v>
      </c>
      <c r="U909" t="s">
        <v>6915</v>
      </c>
    </row>
    <row r="910" spans="2:21" ht="39">
      <c r="B910" s="750" t="s">
        <v>7075</v>
      </c>
      <c r="C910" s="750"/>
      <c r="D910" s="751"/>
      <c r="E910" s="792" t="s">
        <v>670</v>
      </c>
      <c r="F910" s="753" t="s">
        <v>406</v>
      </c>
      <c r="G910" s="754" t="s">
        <v>64</v>
      </c>
      <c r="H910" s="755" t="s">
        <v>461</v>
      </c>
      <c r="I910" s="751" t="str">
        <f t="shared" si="14"/>
        <v>SJ5248</v>
      </c>
      <c r="J910" s="826"/>
      <c r="K910" s="470">
        <v>-38.46153846153846</v>
      </c>
      <c r="L910" s="470"/>
      <c r="M910" s="790">
        <v>46126</v>
      </c>
      <c r="N910" s="751"/>
      <c r="O910" s="788" t="s">
        <v>5763</v>
      </c>
      <c r="P910" s="790">
        <v>46147</v>
      </c>
      <c r="S910" t="s">
        <v>7021</v>
      </c>
      <c r="U910" t="s">
        <v>7019</v>
      </c>
    </row>
    <row r="911" spans="2:21" ht="39">
      <c r="B911" s="750" t="s">
        <v>7075</v>
      </c>
      <c r="C911" s="750"/>
      <c r="D911" s="751"/>
      <c r="E911" s="792" t="s">
        <v>670</v>
      </c>
      <c r="F911" s="753" t="s">
        <v>406</v>
      </c>
      <c r="G911" s="754" t="s">
        <v>64</v>
      </c>
      <c r="H911" s="755" t="s">
        <v>461</v>
      </c>
      <c r="I911" s="751" t="str">
        <f t="shared" si="14"/>
        <v>SJ5248</v>
      </c>
      <c r="J911" s="826"/>
      <c r="K911" s="470">
        <v>-119.69230769230769</v>
      </c>
      <c r="L911" s="470"/>
      <c r="M911" s="790">
        <v>46142</v>
      </c>
      <c r="N911" s="751"/>
      <c r="O911" s="788" t="s">
        <v>5763</v>
      </c>
      <c r="P911" s="790">
        <v>46143</v>
      </c>
      <c r="S911" t="s">
        <v>7057</v>
      </c>
      <c r="U911" t="s">
        <v>6915</v>
      </c>
    </row>
    <row r="912" spans="2:21" ht="39">
      <c r="B912" s="750" t="s">
        <v>7075</v>
      </c>
      <c r="C912" s="750"/>
      <c r="D912" s="751"/>
      <c r="E912" s="792" t="s">
        <v>670</v>
      </c>
      <c r="F912" s="753" t="s">
        <v>406</v>
      </c>
      <c r="G912" s="754" t="s">
        <v>64</v>
      </c>
      <c r="H912" s="755" t="s">
        <v>461</v>
      </c>
      <c r="I912" s="751" t="str">
        <f t="shared" si="14"/>
        <v>SJ5248</v>
      </c>
      <c r="J912" s="826"/>
      <c r="K912" s="470">
        <v>-604.64102564102564</v>
      </c>
      <c r="L912" s="470"/>
      <c r="M912" s="790">
        <v>46142</v>
      </c>
      <c r="N912" s="751"/>
      <c r="O912" s="788" t="s">
        <v>5763</v>
      </c>
      <c r="P912" s="790">
        <v>46143</v>
      </c>
      <c r="S912" t="s">
        <v>7058</v>
      </c>
      <c r="U912" t="s">
        <v>6915</v>
      </c>
    </row>
    <row r="913" spans="2:21" ht="39">
      <c r="B913" s="750" t="s">
        <v>7075</v>
      </c>
      <c r="C913" s="750"/>
      <c r="D913" s="751"/>
      <c r="E913" s="792" t="s">
        <v>670</v>
      </c>
      <c r="F913" s="753" t="s">
        <v>403</v>
      </c>
      <c r="G913" s="754" t="s">
        <v>37</v>
      </c>
      <c r="H913" s="755" t="s">
        <v>457</v>
      </c>
      <c r="I913" s="751" t="str">
        <f t="shared" si="14"/>
        <v>SJ5250</v>
      </c>
      <c r="J913" s="470"/>
      <c r="K913" s="825">
        <v>-146</v>
      </c>
      <c r="L913" s="470"/>
      <c r="M913" s="790">
        <v>46142</v>
      </c>
      <c r="N913" s="751"/>
      <c r="O913" s="788" t="s">
        <v>5763</v>
      </c>
      <c r="P913" s="790">
        <v>46158</v>
      </c>
      <c r="S913" t="s">
        <v>6989</v>
      </c>
      <c r="U913" t="s">
        <v>6912</v>
      </c>
    </row>
    <row r="914" spans="2:21" ht="39">
      <c r="B914" s="750" t="s">
        <v>7075</v>
      </c>
      <c r="C914" s="750"/>
      <c r="D914" s="751"/>
      <c r="E914" s="792" t="s">
        <v>670</v>
      </c>
      <c r="F914" s="753" t="s">
        <v>403</v>
      </c>
      <c r="G914" s="754" t="s">
        <v>37</v>
      </c>
      <c r="H914" s="755" t="s">
        <v>457</v>
      </c>
      <c r="I914" s="751" t="str">
        <f t="shared" si="14"/>
        <v>SJ5250</v>
      </c>
      <c r="J914" s="470"/>
      <c r="K914" s="825">
        <v>-1.9</v>
      </c>
      <c r="L914" s="470"/>
      <c r="M914" s="790">
        <v>46142</v>
      </c>
      <c r="N914" s="751"/>
      <c r="O914" s="788" t="s">
        <v>5763</v>
      </c>
      <c r="P914" s="790">
        <v>46158</v>
      </c>
      <c r="S914" t="s">
        <v>2797</v>
      </c>
      <c r="U914" t="s">
        <v>6912</v>
      </c>
    </row>
    <row r="915" spans="2:21" ht="39">
      <c r="B915" s="750" t="s">
        <v>7075</v>
      </c>
      <c r="C915" s="750"/>
      <c r="D915" s="751"/>
      <c r="E915" s="792" t="s">
        <v>670</v>
      </c>
      <c r="F915" s="753" t="s">
        <v>403</v>
      </c>
      <c r="G915" s="754" t="s">
        <v>37</v>
      </c>
      <c r="H915" s="755" t="s">
        <v>457</v>
      </c>
      <c r="I915" s="751" t="str">
        <f t="shared" si="14"/>
        <v>SJ5250</v>
      </c>
      <c r="J915" s="826"/>
      <c r="K915" s="470">
        <v>-1712.3076923076924</v>
      </c>
      <c r="L915" s="470"/>
      <c r="M915" s="790">
        <v>46142</v>
      </c>
      <c r="N915" s="751"/>
      <c r="O915" s="788" t="s">
        <v>5763</v>
      </c>
      <c r="P915" s="790">
        <v>46159</v>
      </c>
      <c r="S915" t="s">
        <v>6940</v>
      </c>
      <c r="U915" t="s">
        <v>6915</v>
      </c>
    </row>
    <row r="916" spans="2:21" ht="39">
      <c r="B916" s="750" t="s">
        <v>7075</v>
      </c>
      <c r="C916" s="750"/>
      <c r="D916" s="751"/>
      <c r="E916" s="792" t="s">
        <v>670</v>
      </c>
      <c r="F916" s="753" t="s">
        <v>403</v>
      </c>
      <c r="G916" s="754" t="s">
        <v>37</v>
      </c>
      <c r="H916" s="755" t="s">
        <v>457</v>
      </c>
      <c r="I916" s="751" t="str">
        <f t="shared" si="14"/>
        <v>SJ5250</v>
      </c>
      <c r="J916" s="826"/>
      <c r="K916" s="470">
        <v>-551.51282051282055</v>
      </c>
      <c r="L916" s="470"/>
      <c r="M916" s="790">
        <v>46142</v>
      </c>
      <c r="N916" s="751"/>
      <c r="O916" s="788" t="s">
        <v>5763</v>
      </c>
      <c r="P916" s="790">
        <v>46159</v>
      </c>
      <c r="S916" t="s">
        <v>6941</v>
      </c>
      <c r="U916" t="s">
        <v>6915</v>
      </c>
    </row>
    <row r="917" spans="2:21" ht="39">
      <c r="B917" s="750" t="s">
        <v>7075</v>
      </c>
      <c r="C917" s="750"/>
      <c r="D917" s="751"/>
      <c r="E917" s="792" t="s">
        <v>670</v>
      </c>
      <c r="F917" s="753" t="s">
        <v>403</v>
      </c>
      <c r="G917" s="754" t="s">
        <v>37</v>
      </c>
      <c r="H917" s="755" t="s">
        <v>457</v>
      </c>
      <c r="I917" s="751" t="str">
        <f t="shared" si="14"/>
        <v>SJ5250</v>
      </c>
      <c r="J917" s="826"/>
      <c r="K917" s="470">
        <v>-4.3076923076923075</v>
      </c>
      <c r="L917" s="470"/>
      <c r="M917" s="790">
        <v>46142</v>
      </c>
      <c r="N917" s="751"/>
      <c r="O917" s="788" t="s">
        <v>5763</v>
      </c>
      <c r="P917" s="790">
        <v>46159</v>
      </c>
      <c r="S917" t="s">
        <v>6942</v>
      </c>
      <c r="U917" t="s">
        <v>6915</v>
      </c>
    </row>
    <row r="918" spans="2:21" ht="39">
      <c r="B918" s="750" t="s">
        <v>7075</v>
      </c>
      <c r="C918" s="750"/>
      <c r="D918" s="751"/>
      <c r="E918" s="792" t="s">
        <v>670</v>
      </c>
      <c r="F918" s="753" t="s">
        <v>403</v>
      </c>
      <c r="G918" s="754" t="s">
        <v>37</v>
      </c>
      <c r="H918" s="755" t="s">
        <v>457</v>
      </c>
      <c r="I918" s="751" t="str">
        <f t="shared" si="14"/>
        <v>SJ5250</v>
      </c>
      <c r="J918" s="826"/>
      <c r="K918" s="470">
        <v>-74.128205128205124</v>
      </c>
      <c r="L918" s="470"/>
      <c r="M918" s="790">
        <v>46142</v>
      </c>
      <c r="N918" s="751"/>
      <c r="O918" s="788" t="s">
        <v>5763</v>
      </c>
      <c r="P918" s="790">
        <v>46159</v>
      </c>
      <c r="S918" t="s">
        <v>6943</v>
      </c>
      <c r="U918" t="s">
        <v>6915</v>
      </c>
    </row>
    <row r="919" spans="2:21" ht="39">
      <c r="B919" s="750" t="s">
        <v>7075</v>
      </c>
      <c r="C919" s="750"/>
      <c r="D919" s="751"/>
      <c r="E919" s="792" t="s">
        <v>670</v>
      </c>
      <c r="F919" s="753" t="s">
        <v>403</v>
      </c>
      <c r="G919" s="754" t="s">
        <v>37</v>
      </c>
      <c r="H919" s="755" t="s">
        <v>457</v>
      </c>
      <c r="I919" s="751" t="str">
        <f t="shared" si="14"/>
        <v>SJ5250</v>
      </c>
      <c r="J919" s="826"/>
      <c r="K919" s="470">
        <v>-295.4871794871795</v>
      </c>
      <c r="L919" s="470"/>
      <c r="M919" s="790">
        <v>46142</v>
      </c>
      <c r="N919" s="751"/>
      <c r="O919" s="788" t="s">
        <v>5763</v>
      </c>
      <c r="P919" s="790">
        <v>46159</v>
      </c>
      <c r="S919" t="s">
        <v>6944</v>
      </c>
      <c r="U919" t="s">
        <v>6915</v>
      </c>
    </row>
    <row r="920" spans="2:21" ht="39">
      <c r="B920" s="750" t="s">
        <v>7075</v>
      </c>
      <c r="C920" s="750"/>
      <c r="D920" s="751"/>
      <c r="E920" s="792" t="s">
        <v>670</v>
      </c>
      <c r="F920" s="753" t="s">
        <v>403</v>
      </c>
      <c r="G920" s="754" t="s">
        <v>37</v>
      </c>
      <c r="H920" s="755" t="s">
        <v>457</v>
      </c>
      <c r="I920" s="751" t="str">
        <f t="shared" si="14"/>
        <v>SJ5250</v>
      </c>
      <c r="J920" s="826"/>
      <c r="K920" s="470">
        <v>-171.76923076923077</v>
      </c>
      <c r="L920" s="470"/>
      <c r="M920" s="790">
        <v>46142</v>
      </c>
      <c r="N920" s="751"/>
      <c r="O920" s="788" t="s">
        <v>5763</v>
      </c>
      <c r="P920" s="790">
        <v>46159</v>
      </c>
      <c r="S920" t="s">
        <v>6945</v>
      </c>
      <c r="U920" t="s">
        <v>6915</v>
      </c>
    </row>
    <row r="921" spans="2:21" ht="39">
      <c r="B921" s="750" t="s">
        <v>7075</v>
      </c>
      <c r="C921" s="750"/>
      <c r="D921" s="751"/>
      <c r="E921" s="792" t="s">
        <v>670</v>
      </c>
      <c r="F921" s="753" t="s">
        <v>403</v>
      </c>
      <c r="G921" s="754" t="s">
        <v>37</v>
      </c>
      <c r="H921" s="755" t="s">
        <v>457</v>
      </c>
      <c r="I921" s="751" t="str">
        <f t="shared" si="14"/>
        <v>SJ5250</v>
      </c>
      <c r="J921" s="826"/>
      <c r="K921" s="470">
        <v>-56.676923076923082</v>
      </c>
      <c r="L921" s="470"/>
      <c r="M921" s="790">
        <v>46142</v>
      </c>
      <c r="N921" s="751"/>
      <c r="O921" s="788" t="s">
        <v>5763</v>
      </c>
      <c r="P921" s="790">
        <v>46159</v>
      </c>
      <c r="S921" t="s">
        <v>6946</v>
      </c>
      <c r="U921" t="s">
        <v>6915</v>
      </c>
    </row>
    <row r="922" spans="2:21" ht="39">
      <c r="B922" s="750" t="s">
        <v>7075</v>
      </c>
      <c r="C922" s="750"/>
      <c r="D922" s="751"/>
      <c r="E922" s="792" t="s">
        <v>670</v>
      </c>
      <c r="F922" s="753" t="s">
        <v>403</v>
      </c>
      <c r="G922" s="754" t="s">
        <v>37</v>
      </c>
      <c r="H922" s="755" t="s">
        <v>457</v>
      </c>
      <c r="I922" s="751" t="str">
        <f t="shared" si="14"/>
        <v>SJ5250</v>
      </c>
      <c r="J922" s="826"/>
      <c r="K922" s="470">
        <v>-5.8056410256410249</v>
      </c>
      <c r="L922" s="470"/>
      <c r="M922" s="790">
        <v>46142</v>
      </c>
      <c r="N922" s="751"/>
      <c r="O922" s="788" t="s">
        <v>5763</v>
      </c>
      <c r="P922" s="790">
        <v>46159</v>
      </c>
      <c r="S922" t="s">
        <v>2797</v>
      </c>
      <c r="U922" t="s">
        <v>6915</v>
      </c>
    </row>
    <row r="923" spans="2:21" ht="39">
      <c r="B923" s="750" t="s">
        <v>7075</v>
      </c>
      <c r="C923" s="750"/>
      <c r="D923" s="751"/>
      <c r="E923" s="792" t="s">
        <v>670</v>
      </c>
      <c r="F923" s="753" t="s">
        <v>403</v>
      </c>
      <c r="G923" s="754" t="s">
        <v>37</v>
      </c>
      <c r="H923" s="755" t="s">
        <v>457</v>
      </c>
      <c r="I923" s="751" t="str">
        <f t="shared" si="14"/>
        <v>SJ5250</v>
      </c>
      <c r="J923" s="826"/>
      <c r="K923" s="470">
        <v>-89.743589743589737</v>
      </c>
      <c r="L923" s="470"/>
      <c r="M923" s="790">
        <v>46142</v>
      </c>
      <c r="N923" s="751"/>
      <c r="O923" s="788" t="s">
        <v>5763</v>
      </c>
      <c r="P923" s="790">
        <v>46159</v>
      </c>
      <c r="S923" t="s">
        <v>6947</v>
      </c>
      <c r="U923" t="s">
        <v>6915</v>
      </c>
    </row>
    <row r="924" spans="2:21" ht="39">
      <c r="B924" s="750" t="s">
        <v>7075</v>
      </c>
      <c r="C924" s="750"/>
      <c r="D924" s="751"/>
      <c r="E924" s="792" t="s">
        <v>670</v>
      </c>
      <c r="F924" s="753" t="s">
        <v>403</v>
      </c>
      <c r="G924" s="754" t="s">
        <v>37</v>
      </c>
      <c r="H924" s="755" t="s">
        <v>457</v>
      </c>
      <c r="I924" s="751" t="str">
        <f t="shared" si="14"/>
        <v>SJ5250</v>
      </c>
      <c r="J924" s="826"/>
      <c r="K924" s="470">
        <v>-124.61538461538461</v>
      </c>
      <c r="L924" s="470"/>
      <c r="M924" s="790">
        <v>46142</v>
      </c>
      <c r="N924" s="751"/>
      <c r="O924" s="788" t="s">
        <v>5763</v>
      </c>
      <c r="P924" s="790">
        <v>46159</v>
      </c>
      <c r="S924" t="s">
        <v>6948</v>
      </c>
      <c r="U924" t="s">
        <v>6915</v>
      </c>
    </row>
    <row r="925" spans="2:21" ht="39">
      <c r="B925" s="750" t="s">
        <v>7075</v>
      </c>
      <c r="C925" s="750"/>
      <c r="D925" s="751"/>
      <c r="E925" s="792" t="s">
        <v>670</v>
      </c>
      <c r="F925" s="753" t="s">
        <v>403</v>
      </c>
      <c r="G925" s="754" t="s">
        <v>37</v>
      </c>
      <c r="H925" s="755" t="s">
        <v>457</v>
      </c>
      <c r="I925" s="751" t="str">
        <f t="shared" si="14"/>
        <v>SJ5250</v>
      </c>
      <c r="J925" s="826"/>
      <c r="K925" s="470">
        <v>-11.666666666666666</v>
      </c>
      <c r="L925" s="470"/>
      <c r="M925" s="790">
        <v>46142</v>
      </c>
      <c r="N925" s="751"/>
      <c r="O925" s="788" t="s">
        <v>5763</v>
      </c>
      <c r="P925" s="790">
        <v>46159</v>
      </c>
      <c r="S925" t="s">
        <v>6949</v>
      </c>
      <c r="U925" t="s">
        <v>6915</v>
      </c>
    </row>
    <row r="926" spans="2:21" ht="39">
      <c r="B926" s="750" t="s">
        <v>7075</v>
      </c>
      <c r="C926" s="750"/>
      <c r="D926" s="751"/>
      <c r="E926" s="792" t="s">
        <v>670</v>
      </c>
      <c r="F926" s="753" t="s">
        <v>403</v>
      </c>
      <c r="G926" s="754" t="s">
        <v>37</v>
      </c>
      <c r="H926" s="755" t="s">
        <v>457</v>
      </c>
      <c r="I926" s="751" t="str">
        <f t="shared" si="14"/>
        <v>SJ5250</v>
      </c>
      <c r="J926" s="826"/>
      <c r="K926" s="470">
        <v>-18.871794871794872</v>
      </c>
      <c r="L926" s="470"/>
      <c r="M926" s="790">
        <v>46126</v>
      </c>
      <c r="N926" s="751"/>
      <c r="O926" s="788" t="s">
        <v>5763</v>
      </c>
      <c r="P926" s="790">
        <v>46147</v>
      </c>
      <c r="S926" t="s">
        <v>7022</v>
      </c>
      <c r="U926" t="s">
        <v>7019</v>
      </c>
    </row>
    <row r="927" spans="2:21" ht="39">
      <c r="B927" s="750" t="s">
        <v>7075</v>
      </c>
      <c r="C927" s="750"/>
      <c r="D927" s="751"/>
      <c r="E927" s="792" t="s">
        <v>670</v>
      </c>
      <c r="F927" s="753" t="s">
        <v>403</v>
      </c>
      <c r="G927" s="754" t="s">
        <v>37</v>
      </c>
      <c r="H927" s="755" t="s">
        <v>457</v>
      </c>
      <c r="I927" s="751" t="str">
        <f t="shared" si="14"/>
        <v>SJ5250</v>
      </c>
      <c r="J927" s="826"/>
      <c r="K927" s="470">
        <v>-1.1538461538461537</v>
      </c>
      <c r="L927" s="470"/>
      <c r="M927" s="790">
        <v>46141</v>
      </c>
      <c r="N927" s="751"/>
      <c r="O927" s="788" t="s">
        <v>5763</v>
      </c>
      <c r="P927" s="790">
        <v>46143</v>
      </c>
      <c r="S927" t="s">
        <v>2797</v>
      </c>
      <c r="U927" t="s">
        <v>6915</v>
      </c>
    </row>
    <row r="928" spans="2:21" ht="39">
      <c r="B928" s="750" t="s">
        <v>7075</v>
      </c>
      <c r="C928" s="750"/>
      <c r="D928" s="751"/>
      <c r="E928" s="792" t="s">
        <v>670</v>
      </c>
      <c r="F928" s="753" t="s">
        <v>403</v>
      </c>
      <c r="G928" s="754" t="s">
        <v>37</v>
      </c>
      <c r="H928" s="755" t="s">
        <v>457</v>
      </c>
      <c r="I928" s="751" t="str">
        <f t="shared" si="14"/>
        <v>SJ5250</v>
      </c>
      <c r="J928" s="826"/>
      <c r="K928" s="470">
        <v>-17.53846153846154</v>
      </c>
      <c r="L928" s="470"/>
      <c r="M928" s="790">
        <v>46141</v>
      </c>
      <c r="N928" s="751"/>
      <c r="O928" s="788" t="s">
        <v>5763</v>
      </c>
      <c r="P928" s="790">
        <v>46143</v>
      </c>
      <c r="S928" t="s">
        <v>7046</v>
      </c>
      <c r="U928" t="s">
        <v>6915</v>
      </c>
    </row>
    <row r="929" spans="2:21" ht="39">
      <c r="B929" s="750" t="s">
        <v>7075</v>
      </c>
      <c r="C929" s="750"/>
      <c r="D929" s="751"/>
      <c r="E929" s="792" t="s">
        <v>670</v>
      </c>
      <c r="F929" s="753" t="s">
        <v>403</v>
      </c>
      <c r="G929" s="754" t="s">
        <v>37</v>
      </c>
      <c r="H929" s="755" t="s">
        <v>457</v>
      </c>
      <c r="I929" s="751" t="str">
        <f t="shared" si="14"/>
        <v>SJ5250</v>
      </c>
      <c r="J929" s="826"/>
      <c r="K929" s="470">
        <v>-198</v>
      </c>
      <c r="L929" s="470"/>
      <c r="M929" s="790">
        <v>46141</v>
      </c>
      <c r="N929" s="751"/>
      <c r="O929" s="788" t="s">
        <v>5763</v>
      </c>
      <c r="P929" s="790">
        <v>46143</v>
      </c>
      <c r="S929" t="s">
        <v>7047</v>
      </c>
      <c r="U929" t="s">
        <v>6915</v>
      </c>
    </row>
    <row r="930" spans="2:21" ht="39">
      <c r="B930" s="750" t="s">
        <v>7075</v>
      </c>
      <c r="C930" s="750"/>
      <c r="D930" s="751"/>
      <c r="E930" s="792" t="s">
        <v>670</v>
      </c>
      <c r="F930" s="753" t="s">
        <v>403</v>
      </c>
      <c r="G930" s="754" t="s">
        <v>37</v>
      </c>
      <c r="H930" s="755" t="s">
        <v>457</v>
      </c>
      <c r="I930" s="751" t="str">
        <f t="shared" si="14"/>
        <v>SJ5250</v>
      </c>
      <c r="J930" s="826"/>
      <c r="K930" s="470">
        <v>-412.71794871794873</v>
      </c>
      <c r="L930" s="470"/>
      <c r="M930" s="790">
        <v>46142</v>
      </c>
      <c r="N930" s="751"/>
      <c r="O930" s="788" t="s">
        <v>5763</v>
      </c>
      <c r="P930" s="790">
        <v>46143</v>
      </c>
      <c r="S930" t="s">
        <v>7059</v>
      </c>
      <c r="U930" t="s">
        <v>6915</v>
      </c>
    </row>
    <row r="931" spans="2:21" ht="39">
      <c r="B931" s="750" t="s">
        <v>7075</v>
      </c>
      <c r="C931" s="750"/>
      <c r="D931" s="751"/>
      <c r="E931" s="792" t="s">
        <v>670</v>
      </c>
      <c r="F931" s="753" t="s">
        <v>403</v>
      </c>
      <c r="G931" s="754" t="s">
        <v>37</v>
      </c>
      <c r="H931" s="755" t="s">
        <v>457</v>
      </c>
      <c r="I931" s="751" t="str">
        <f t="shared" si="14"/>
        <v>SJ5250</v>
      </c>
      <c r="J931" s="826"/>
      <c r="K931" s="470">
        <v>-915.38461538461536</v>
      </c>
      <c r="L931" s="470"/>
      <c r="M931" s="790">
        <v>46142</v>
      </c>
      <c r="N931" s="751"/>
      <c r="O931" s="788" t="s">
        <v>5763</v>
      </c>
      <c r="P931" s="790">
        <v>46143</v>
      </c>
      <c r="S931" t="s">
        <v>7060</v>
      </c>
      <c r="U931" t="s">
        <v>6915</v>
      </c>
    </row>
    <row r="932" spans="2:21" ht="39">
      <c r="B932" s="750" t="s">
        <v>7075</v>
      </c>
      <c r="C932" s="750"/>
      <c r="D932" s="751"/>
      <c r="E932" s="792" t="s">
        <v>670</v>
      </c>
      <c r="F932" s="753" t="s">
        <v>403</v>
      </c>
      <c r="G932" s="754" t="s">
        <v>37</v>
      </c>
      <c r="H932" s="755" t="s">
        <v>457</v>
      </c>
      <c r="I932" s="751" t="str">
        <f t="shared" si="14"/>
        <v>SJ5250</v>
      </c>
      <c r="J932" s="826"/>
      <c r="K932" s="470">
        <v>-1.9625641025641027</v>
      </c>
      <c r="L932" s="470"/>
      <c r="M932" s="790">
        <v>46142</v>
      </c>
      <c r="N932" s="751"/>
      <c r="O932" s="788" t="s">
        <v>5763</v>
      </c>
      <c r="P932" s="790">
        <v>46143</v>
      </c>
      <c r="S932" t="s">
        <v>2797</v>
      </c>
      <c r="U932" t="s">
        <v>6915</v>
      </c>
    </row>
    <row r="933" spans="2:21" ht="39">
      <c r="B933" s="750" t="s">
        <v>7075</v>
      </c>
      <c r="C933" s="750"/>
      <c r="D933" s="751"/>
      <c r="E933" s="792" t="s">
        <v>670</v>
      </c>
      <c r="F933" s="753" t="s">
        <v>403</v>
      </c>
      <c r="G933" s="754" t="s">
        <v>37</v>
      </c>
      <c r="H933" s="755" t="s">
        <v>457</v>
      </c>
      <c r="I933" s="751" t="str">
        <f t="shared" si="14"/>
        <v>SJ5250</v>
      </c>
      <c r="J933" s="826"/>
      <c r="K933" s="470">
        <v>-570.35897435897436</v>
      </c>
      <c r="L933" s="470"/>
      <c r="M933" s="790">
        <v>46142</v>
      </c>
      <c r="N933" s="751"/>
      <c r="O933" s="788" t="s">
        <v>5763</v>
      </c>
      <c r="P933" s="790">
        <v>46143</v>
      </c>
      <c r="S933" t="s">
        <v>7061</v>
      </c>
      <c r="U933" t="s">
        <v>6915</v>
      </c>
    </row>
    <row r="934" spans="2:21" ht="39">
      <c r="B934" s="750" t="s">
        <v>7075</v>
      </c>
      <c r="C934" s="750"/>
      <c r="D934" s="751"/>
      <c r="E934" s="792" t="s">
        <v>670</v>
      </c>
      <c r="F934" s="753" t="s">
        <v>403</v>
      </c>
      <c r="G934" s="754" t="s">
        <v>35</v>
      </c>
      <c r="H934" s="755" t="s">
        <v>458</v>
      </c>
      <c r="I934" s="751" t="str">
        <f t="shared" ref="I934:I997" si="15">+E934&amp;G934</f>
        <v>SJ5251</v>
      </c>
      <c r="J934" s="826"/>
      <c r="K934" s="470">
        <v>-1.9420512820512819</v>
      </c>
      <c r="L934" s="470"/>
      <c r="M934" s="790">
        <v>46142</v>
      </c>
      <c r="N934" s="751"/>
      <c r="O934" s="788" t="s">
        <v>5763</v>
      </c>
      <c r="P934" s="790">
        <v>46159</v>
      </c>
      <c r="S934" t="s">
        <v>6950</v>
      </c>
      <c r="U934" t="s">
        <v>6915</v>
      </c>
    </row>
    <row r="935" spans="2:21" ht="39">
      <c r="B935" s="750" t="s">
        <v>7075</v>
      </c>
      <c r="C935" s="750"/>
      <c r="D935" s="751"/>
      <c r="E935" s="792" t="s">
        <v>670</v>
      </c>
      <c r="F935" s="753" t="s">
        <v>403</v>
      </c>
      <c r="G935" s="754" t="s">
        <v>35</v>
      </c>
      <c r="H935" s="755" t="s">
        <v>458</v>
      </c>
      <c r="I935" s="751" t="str">
        <f t="shared" si="15"/>
        <v>SJ5251</v>
      </c>
      <c r="J935" s="826"/>
      <c r="K935" s="470">
        <v>-616.48717948717945</v>
      </c>
      <c r="L935" s="470"/>
      <c r="M935" s="790">
        <v>46142</v>
      </c>
      <c r="N935" s="751"/>
      <c r="O935" s="788" t="s">
        <v>5763</v>
      </c>
      <c r="P935" s="790">
        <v>46159</v>
      </c>
      <c r="S935" t="s">
        <v>6951</v>
      </c>
      <c r="U935" t="s">
        <v>6915</v>
      </c>
    </row>
    <row r="936" spans="2:21" ht="39">
      <c r="B936" s="750" t="s">
        <v>7075</v>
      </c>
      <c r="C936" s="750"/>
      <c r="D936" s="751"/>
      <c r="E936" s="792" t="s">
        <v>670</v>
      </c>
      <c r="F936" s="753" t="s">
        <v>413</v>
      </c>
      <c r="G936" s="754" t="s">
        <v>33</v>
      </c>
      <c r="H936" s="755" t="s">
        <v>468</v>
      </c>
      <c r="I936" s="751" t="str">
        <f t="shared" si="15"/>
        <v>SJ5252</v>
      </c>
      <c r="J936" s="470"/>
      <c r="K936" s="825">
        <v>-300</v>
      </c>
      <c r="L936" s="470"/>
      <c r="M936" s="790">
        <v>46142</v>
      </c>
      <c r="N936" s="751"/>
      <c r="O936" s="788" t="s">
        <v>5763</v>
      </c>
      <c r="P936" s="790">
        <v>46158</v>
      </c>
      <c r="S936" t="s">
        <v>6990</v>
      </c>
      <c r="U936" t="s">
        <v>6912</v>
      </c>
    </row>
    <row r="937" spans="2:21" ht="39">
      <c r="B937" s="750" t="s">
        <v>7075</v>
      </c>
      <c r="C937" s="750"/>
      <c r="D937" s="751"/>
      <c r="E937" s="792" t="s">
        <v>670</v>
      </c>
      <c r="F937" s="753" t="s">
        <v>413</v>
      </c>
      <c r="G937" s="754" t="s">
        <v>33</v>
      </c>
      <c r="H937" s="755" t="s">
        <v>468</v>
      </c>
      <c r="I937" s="751" t="str">
        <f t="shared" si="15"/>
        <v>SJ5252</v>
      </c>
      <c r="J937" s="470"/>
      <c r="K937" s="825">
        <v>-3.8</v>
      </c>
      <c r="L937" s="470"/>
      <c r="M937" s="790">
        <v>46142</v>
      </c>
      <c r="N937" s="751"/>
      <c r="O937" s="788" t="s">
        <v>5763</v>
      </c>
      <c r="P937" s="790">
        <v>46158</v>
      </c>
      <c r="S937" t="s">
        <v>2797</v>
      </c>
      <c r="U937" t="s">
        <v>6912</v>
      </c>
    </row>
    <row r="938" spans="2:21" ht="39">
      <c r="B938" s="750" t="s">
        <v>7075</v>
      </c>
      <c r="C938" s="750"/>
      <c r="D938" s="751"/>
      <c r="E938" s="792" t="s">
        <v>670</v>
      </c>
      <c r="F938" s="753" t="s">
        <v>413</v>
      </c>
      <c r="G938" s="754" t="s">
        <v>33</v>
      </c>
      <c r="H938" s="755" t="s">
        <v>468</v>
      </c>
      <c r="I938" s="751" t="str">
        <f t="shared" si="15"/>
        <v>SJ5252</v>
      </c>
      <c r="J938" s="470"/>
      <c r="K938" s="825">
        <v>-191</v>
      </c>
      <c r="L938" s="470"/>
      <c r="M938" s="790">
        <v>46142</v>
      </c>
      <c r="N938" s="751"/>
      <c r="O938" s="788" t="s">
        <v>5763</v>
      </c>
      <c r="P938" s="790">
        <v>46158</v>
      </c>
      <c r="S938" t="s">
        <v>6991</v>
      </c>
      <c r="U938" t="s">
        <v>6912</v>
      </c>
    </row>
    <row r="939" spans="2:21" ht="39">
      <c r="B939" s="750" t="s">
        <v>7075</v>
      </c>
      <c r="C939" s="750"/>
      <c r="D939" s="751"/>
      <c r="E939" s="792" t="s">
        <v>670</v>
      </c>
      <c r="F939" s="753" t="s">
        <v>413</v>
      </c>
      <c r="G939" s="754" t="s">
        <v>33</v>
      </c>
      <c r="H939" s="755" t="s">
        <v>468</v>
      </c>
      <c r="I939" s="751" t="str">
        <f t="shared" si="15"/>
        <v>SJ5252</v>
      </c>
      <c r="J939" s="470"/>
      <c r="K939" s="825">
        <v>-11</v>
      </c>
      <c r="L939" s="470"/>
      <c r="M939" s="790">
        <v>46142</v>
      </c>
      <c r="N939" s="751"/>
      <c r="O939" s="788" t="s">
        <v>5763</v>
      </c>
      <c r="P939" s="790">
        <v>46158</v>
      </c>
      <c r="S939" t="s">
        <v>6992</v>
      </c>
      <c r="U939" t="s">
        <v>6912</v>
      </c>
    </row>
    <row r="940" spans="2:21" ht="39">
      <c r="B940" s="750" t="s">
        <v>7075</v>
      </c>
      <c r="C940" s="750"/>
      <c r="D940" s="751"/>
      <c r="E940" s="792" t="s">
        <v>670</v>
      </c>
      <c r="F940" s="753" t="s">
        <v>413</v>
      </c>
      <c r="G940" s="754" t="s">
        <v>33</v>
      </c>
      <c r="H940" s="755" t="s">
        <v>468</v>
      </c>
      <c r="I940" s="751" t="str">
        <f t="shared" si="15"/>
        <v>SJ5252</v>
      </c>
      <c r="J940" s="826"/>
      <c r="K940" s="470">
        <v>-65.897435897435898</v>
      </c>
      <c r="L940" s="470"/>
      <c r="M940" s="790">
        <v>46142</v>
      </c>
      <c r="N940" s="751"/>
      <c r="O940" s="788" t="s">
        <v>5763</v>
      </c>
      <c r="P940" s="790">
        <v>46159</v>
      </c>
      <c r="S940" t="s">
        <v>6952</v>
      </c>
      <c r="U940" t="s">
        <v>6915</v>
      </c>
    </row>
    <row r="941" spans="2:21" ht="39">
      <c r="B941" s="750" t="s">
        <v>7075</v>
      </c>
      <c r="C941" s="750"/>
      <c r="D941" s="751"/>
      <c r="E941" s="792" t="s">
        <v>670</v>
      </c>
      <c r="F941" s="753" t="s">
        <v>413</v>
      </c>
      <c r="G941" s="754" t="s">
        <v>33</v>
      </c>
      <c r="H941" s="755" t="s">
        <v>468</v>
      </c>
      <c r="I941" s="751" t="str">
        <f t="shared" si="15"/>
        <v>SJ5252</v>
      </c>
      <c r="J941" s="826"/>
      <c r="K941" s="470">
        <v>-364.17948717948718</v>
      </c>
      <c r="L941" s="470"/>
      <c r="M941" s="790">
        <v>46142</v>
      </c>
      <c r="N941" s="751"/>
      <c r="O941" s="788" t="s">
        <v>5763</v>
      </c>
      <c r="P941" s="790">
        <v>46159</v>
      </c>
      <c r="S941" t="s">
        <v>6953</v>
      </c>
      <c r="U941" t="s">
        <v>6915</v>
      </c>
    </row>
    <row r="942" spans="2:21" ht="39">
      <c r="B942" s="750" t="s">
        <v>7075</v>
      </c>
      <c r="C942" s="750"/>
      <c r="D942" s="751"/>
      <c r="E942" s="792" t="s">
        <v>670</v>
      </c>
      <c r="F942" s="753" t="s">
        <v>413</v>
      </c>
      <c r="G942" s="754" t="s">
        <v>33</v>
      </c>
      <c r="H942" s="755" t="s">
        <v>468</v>
      </c>
      <c r="I942" s="751" t="str">
        <f t="shared" si="15"/>
        <v>SJ5252</v>
      </c>
      <c r="J942" s="826"/>
      <c r="K942" s="470">
        <v>-57.692307692307693</v>
      </c>
      <c r="L942" s="470"/>
      <c r="M942" s="790">
        <v>46142</v>
      </c>
      <c r="N942" s="751"/>
      <c r="O942" s="788" t="s">
        <v>5763</v>
      </c>
      <c r="P942" s="790">
        <v>46159</v>
      </c>
      <c r="S942" t="s">
        <v>6954</v>
      </c>
      <c r="U942" t="s">
        <v>6915</v>
      </c>
    </row>
    <row r="943" spans="2:21" ht="39">
      <c r="B943" s="750" t="s">
        <v>7075</v>
      </c>
      <c r="C943" s="750"/>
      <c r="D943" s="751"/>
      <c r="E943" s="792" t="s">
        <v>670</v>
      </c>
      <c r="F943" s="753" t="s">
        <v>413</v>
      </c>
      <c r="G943" s="754" t="s">
        <v>33</v>
      </c>
      <c r="H943" s="755" t="s">
        <v>468</v>
      </c>
      <c r="I943" s="751" t="str">
        <f t="shared" si="15"/>
        <v>SJ5252</v>
      </c>
      <c r="J943" s="826"/>
      <c r="K943" s="470">
        <v>-163.48717948717947</v>
      </c>
      <c r="L943" s="470"/>
      <c r="M943" s="790">
        <v>46142</v>
      </c>
      <c r="N943" s="751"/>
      <c r="O943" s="788" t="s">
        <v>5763</v>
      </c>
      <c r="P943" s="790">
        <v>46159</v>
      </c>
      <c r="S943" t="s">
        <v>6955</v>
      </c>
      <c r="U943" t="s">
        <v>6915</v>
      </c>
    </row>
    <row r="944" spans="2:21" ht="39">
      <c r="B944" s="750" t="s">
        <v>7075</v>
      </c>
      <c r="C944" s="750"/>
      <c r="D944" s="751"/>
      <c r="E944" s="792" t="s">
        <v>670</v>
      </c>
      <c r="F944" s="753" t="s">
        <v>413</v>
      </c>
      <c r="G944" s="754" t="s">
        <v>33</v>
      </c>
      <c r="H944" s="755" t="s">
        <v>468</v>
      </c>
      <c r="I944" s="751" t="str">
        <f t="shared" si="15"/>
        <v>SJ5252</v>
      </c>
      <c r="J944" s="826"/>
      <c r="K944" s="470">
        <v>-35.282051282051285</v>
      </c>
      <c r="L944" s="470"/>
      <c r="M944" s="790">
        <v>46142</v>
      </c>
      <c r="N944" s="751"/>
      <c r="O944" s="788" t="s">
        <v>5763</v>
      </c>
      <c r="P944" s="790">
        <v>46159</v>
      </c>
      <c r="S944" t="s">
        <v>6956</v>
      </c>
      <c r="U944" t="s">
        <v>6915</v>
      </c>
    </row>
    <row r="945" spans="2:21" ht="39">
      <c r="B945" s="750" t="s">
        <v>7075</v>
      </c>
      <c r="C945" s="750"/>
      <c r="D945" s="751"/>
      <c r="E945" s="792" t="s">
        <v>670</v>
      </c>
      <c r="F945" s="753" t="s">
        <v>413</v>
      </c>
      <c r="G945" s="754" t="s">
        <v>33</v>
      </c>
      <c r="H945" s="755" t="s">
        <v>468</v>
      </c>
      <c r="I945" s="751" t="str">
        <f t="shared" si="15"/>
        <v>SJ5252</v>
      </c>
      <c r="J945" s="826"/>
      <c r="K945" s="470">
        <v>-220.51282051282053</v>
      </c>
      <c r="L945" s="470"/>
      <c r="M945" s="790">
        <v>46142</v>
      </c>
      <c r="N945" s="751"/>
      <c r="O945" s="788" t="s">
        <v>5763</v>
      </c>
      <c r="P945" s="790">
        <v>46159</v>
      </c>
      <c r="S945" t="s">
        <v>6957</v>
      </c>
      <c r="U945" t="s">
        <v>6915</v>
      </c>
    </row>
    <row r="946" spans="2:21" ht="39">
      <c r="B946" s="750" t="s">
        <v>7075</v>
      </c>
      <c r="C946" s="750"/>
      <c r="D946" s="751"/>
      <c r="E946" s="792" t="s">
        <v>670</v>
      </c>
      <c r="F946" s="753" t="s">
        <v>413</v>
      </c>
      <c r="G946" s="754" t="s">
        <v>33</v>
      </c>
      <c r="H946" s="755" t="s">
        <v>468</v>
      </c>
      <c r="I946" s="751" t="str">
        <f t="shared" si="15"/>
        <v>SJ5252</v>
      </c>
      <c r="J946" s="826"/>
      <c r="K946" s="470">
        <v>-5.8148717948717952</v>
      </c>
      <c r="L946" s="470"/>
      <c r="M946" s="790">
        <v>46142</v>
      </c>
      <c r="N946" s="751"/>
      <c r="O946" s="788" t="s">
        <v>5763</v>
      </c>
      <c r="P946" s="790">
        <v>46159</v>
      </c>
      <c r="S946" t="s">
        <v>2797</v>
      </c>
      <c r="U946" t="s">
        <v>6915</v>
      </c>
    </row>
    <row r="947" spans="2:21" ht="39">
      <c r="B947" s="750" t="s">
        <v>7075</v>
      </c>
      <c r="C947" s="750"/>
      <c r="D947" s="751"/>
      <c r="E947" s="792" t="s">
        <v>670</v>
      </c>
      <c r="F947" s="753" t="s">
        <v>413</v>
      </c>
      <c r="G947" s="754" t="s">
        <v>33</v>
      </c>
      <c r="H947" s="755" t="s">
        <v>468</v>
      </c>
      <c r="I947" s="751" t="str">
        <f t="shared" si="15"/>
        <v>SJ5252</v>
      </c>
      <c r="J947" s="826"/>
      <c r="K947" s="470">
        <v>-108.82051282051282</v>
      </c>
      <c r="L947" s="470"/>
      <c r="M947" s="790">
        <v>46142</v>
      </c>
      <c r="N947" s="751"/>
      <c r="O947" s="788" t="s">
        <v>5763</v>
      </c>
      <c r="P947" s="790">
        <v>46159</v>
      </c>
      <c r="S947" t="s">
        <v>6958</v>
      </c>
      <c r="U947" t="s">
        <v>6915</v>
      </c>
    </row>
    <row r="948" spans="2:21" ht="39">
      <c r="B948" s="750" t="s">
        <v>7075</v>
      </c>
      <c r="C948" s="750"/>
      <c r="D948" s="751"/>
      <c r="E948" s="792" t="s">
        <v>670</v>
      </c>
      <c r="F948" s="753" t="s">
        <v>413</v>
      </c>
      <c r="G948" s="754" t="s">
        <v>33</v>
      </c>
      <c r="H948" s="755" t="s">
        <v>468</v>
      </c>
      <c r="I948" s="751" t="str">
        <f t="shared" si="15"/>
        <v>SJ5252</v>
      </c>
      <c r="J948" s="826"/>
      <c r="K948" s="470">
        <v>-179.48717948717947</v>
      </c>
      <c r="L948" s="470"/>
      <c r="M948" s="790">
        <v>46126</v>
      </c>
      <c r="N948" s="751"/>
      <c r="O948" s="788" t="s">
        <v>5763</v>
      </c>
      <c r="P948" s="790">
        <v>46147</v>
      </c>
      <c r="S948" t="s">
        <v>7023</v>
      </c>
      <c r="U948" t="s">
        <v>7019</v>
      </c>
    </row>
    <row r="949" spans="2:21" ht="39">
      <c r="B949" s="750" t="s">
        <v>7075</v>
      </c>
      <c r="C949" s="750"/>
      <c r="D949" s="751"/>
      <c r="E949" s="792" t="s">
        <v>670</v>
      </c>
      <c r="F949" s="753" t="s">
        <v>413</v>
      </c>
      <c r="G949" s="754" t="s">
        <v>33</v>
      </c>
      <c r="H949" s="755" t="s">
        <v>468</v>
      </c>
      <c r="I949" s="751" t="str">
        <f t="shared" si="15"/>
        <v>SJ5252</v>
      </c>
      <c r="J949" s="826"/>
      <c r="K949" s="470">
        <v>-12.256410256410257</v>
      </c>
      <c r="L949" s="470"/>
      <c r="M949" s="790">
        <v>46126</v>
      </c>
      <c r="N949" s="751"/>
      <c r="O949" s="788" t="s">
        <v>5763</v>
      </c>
      <c r="P949" s="790">
        <v>46147</v>
      </c>
      <c r="S949" t="s">
        <v>7024</v>
      </c>
      <c r="U949" t="s">
        <v>7019</v>
      </c>
    </row>
    <row r="950" spans="2:21" ht="39">
      <c r="B950" s="750" t="s">
        <v>7075</v>
      </c>
      <c r="C950" s="750"/>
      <c r="D950" s="751"/>
      <c r="E950" s="792" t="s">
        <v>670</v>
      </c>
      <c r="F950" s="753" t="s">
        <v>413</v>
      </c>
      <c r="G950" s="754" t="s">
        <v>33</v>
      </c>
      <c r="H950" s="755" t="s">
        <v>468</v>
      </c>
      <c r="I950" s="751" t="str">
        <f t="shared" si="15"/>
        <v>SJ5252</v>
      </c>
      <c r="J950" s="826"/>
      <c r="K950" s="470">
        <v>-76.92307692307692</v>
      </c>
      <c r="L950" s="470"/>
      <c r="M950" s="790">
        <v>46139</v>
      </c>
      <c r="N950" s="751"/>
      <c r="O950" s="788" t="s">
        <v>5763</v>
      </c>
      <c r="P950" s="790">
        <v>46143</v>
      </c>
      <c r="S950" t="s">
        <v>7032</v>
      </c>
      <c r="U950" t="s">
        <v>6915</v>
      </c>
    </row>
    <row r="951" spans="2:21" ht="39">
      <c r="B951" s="750" t="s">
        <v>7075</v>
      </c>
      <c r="C951" s="750"/>
      <c r="D951" s="751"/>
      <c r="E951" s="792" t="s">
        <v>670</v>
      </c>
      <c r="F951" s="753" t="s">
        <v>413</v>
      </c>
      <c r="G951" s="754" t="s">
        <v>33</v>
      </c>
      <c r="H951" s="755" t="s">
        <v>468</v>
      </c>
      <c r="I951" s="751" t="str">
        <f t="shared" si="15"/>
        <v>SJ5252</v>
      </c>
      <c r="J951" s="826"/>
      <c r="K951" s="470">
        <v>-91.538461538461533</v>
      </c>
      <c r="L951" s="470"/>
      <c r="M951" s="790">
        <v>46139</v>
      </c>
      <c r="N951" s="751"/>
      <c r="O951" s="788" t="s">
        <v>5763</v>
      </c>
      <c r="P951" s="790">
        <v>46143</v>
      </c>
      <c r="S951" t="s">
        <v>7033</v>
      </c>
      <c r="U951" t="s">
        <v>6915</v>
      </c>
    </row>
    <row r="952" spans="2:21" ht="39">
      <c r="B952" s="750" t="s">
        <v>7075</v>
      </c>
      <c r="C952" s="750"/>
      <c r="D952" s="751"/>
      <c r="E952" s="792" t="s">
        <v>670</v>
      </c>
      <c r="F952" s="753" t="s">
        <v>413</v>
      </c>
      <c r="G952" s="754" t="s">
        <v>33</v>
      </c>
      <c r="H952" s="755" t="s">
        <v>468</v>
      </c>
      <c r="I952" s="751" t="str">
        <f t="shared" si="15"/>
        <v>SJ5252</v>
      </c>
      <c r="J952" s="826"/>
      <c r="K952" s="470">
        <v>-21.435897435897434</v>
      </c>
      <c r="L952" s="470"/>
      <c r="M952" s="790">
        <v>46140</v>
      </c>
      <c r="N952" s="751"/>
      <c r="O952" s="788" t="s">
        <v>5763</v>
      </c>
      <c r="P952" s="790">
        <v>46143</v>
      </c>
      <c r="S952" t="s">
        <v>7036</v>
      </c>
      <c r="U952" t="s">
        <v>6915</v>
      </c>
    </row>
    <row r="953" spans="2:21" ht="39">
      <c r="B953" s="750" t="s">
        <v>7075</v>
      </c>
      <c r="C953" s="750"/>
      <c r="D953" s="751"/>
      <c r="E953" s="792" t="s">
        <v>670</v>
      </c>
      <c r="F953" s="753" t="s">
        <v>413</v>
      </c>
      <c r="G953" s="754" t="s">
        <v>33</v>
      </c>
      <c r="H953" s="755" t="s">
        <v>468</v>
      </c>
      <c r="I953" s="751" t="str">
        <f t="shared" si="15"/>
        <v>SJ5252</v>
      </c>
      <c r="J953" s="826"/>
      <c r="K953" s="470">
        <v>-41.025641025641029</v>
      </c>
      <c r="L953" s="470"/>
      <c r="M953" s="790">
        <v>46140</v>
      </c>
      <c r="N953" s="751"/>
      <c r="O953" s="788" t="s">
        <v>5763</v>
      </c>
      <c r="P953" s="790">
        <v>46143</v>
      </c>
      <c r="S953" t="s">
        <v>7037</v>
      </c>
      <c r="U953" t="s">
        <v>6915</v>
      </c>
    </row>
    <row r="954" spans="2:21" ht="39">
      <c r="B954" s="750" t="s">
        <v>7075</v>
      </c>
      <c r="C954" s="750"/>
      <c r="D954" s="751"/>
      <c r="E954" s="792" t="s">
        <v>670</v>
      </c>
      <c r="F954" s="753" t="s">
        <v>413</v>
      </c>
      <c r="G954" s="754" t="s">
        <v>33</v>
      </c>
      <c r="H954" s="755" t="s">
        <v>468</v>
      </c>
      <c r="I954" s="751" t="str">
        <f t="shared" si="15"/>
        <v>SJ5252</v>
      </c>
      <c r="J954" s="826"/>
      <c r="K954" s="470">
        <v>-233.82051282051282</v>
      </c>
      <c r="L954" s="470"/>
      <c r="M954" s="790">
        <v>46141</v>
      </c>
      <c r="N954" s="751"/>
      <c r="O954" s="788" t="s">
        <v>5763</v>
      </c>
      <c r="P954" s="790">
        <v>46143</v>
      </c>
      <c r="S954" t="s">
        <v>7048</v>
      </c>
      <c r="U954" t="s">
        <v>6915</v>
      </c>
    </row>
    <row r="955" spans="2:21" ht="39">
      <c r="B955" s="750" t="s">
        <v>7075</v>
      </c>
      <c r="C955" s="750"/>
      <c r="D955" s="751"/>
      <c r="E955" s="792" t="s">
        <v>670</v>
      </c>
      <c r="F955" s="753" t="s">
        <v>413</v>
      </c>
      <c r="G955" s="754" t="s">
        <v>33</v>
      </c>
      <c r="H955" s="755" t="s">
        <v>468</v>
      </c>
      <c r="I955" s="751" t="str">
        <f t="shared" si="15"/>
        <v>SJ5252</v>
      </c>
      <c r="J955" s="826"/>
      <c r="K955" s="470">
        <v>-1.0628205128205128</v>
      </c>
      <c r="L955" s="470"/>
      <c r="M955" s="790">
        <v>46141</v>
      </c>
      <c r="N955" s="751"/>
      <c r="O955" s="788" t="s">
        <v>5763</v>
      </c>
      <c r="P955" s="790">
        <v>46143</v>
      </c>
      <c r="S955" t="s">
        <v>2797</v>
      </c>
      <c r="U955" t="s">
        <v>6915</v>
      </c>
    </row>
    <row r="956" spans="2:21" ht="39">
      <c r="B956" s="750" t="s">
        <v>7075</v>
      </c>
      <c r="C956" s="750"/>
      <c r="D956" s="751"/>
      <c r="E956" s="792" t="s">
        <v>670</v>
      </c>
      <c r="F956" s="753" t="s">
        <v>413</v>
      </c>
      <c r="G956" s="754" t="s">
        <v>33</v>
      </c>
      <c r="H956" s="755" t="s">
        <v>468</v>
      </c>
      <c r="I956" s="751" t="str">
        <f t="shared" si="15"/>
        <v>SJ5252</v>
      </c>
      <c r="J956" s="826"/>
      <c r="K956" s="470">
        <v>-24.820512820512821</v>
      </c>
      <c r="L956" s="470"/>
      <c r="M956" s="790">
        <v>46141</v>
      </c>
      <c r="N956" s="751"/>
      <c r="O956" s="788" t="s">
        <v>5763</v>
      </c>
      <c r="P956" s="790">
        <v>46143</v>
      </c>
      <c r="S956" t="s">
        <v>7049</v>
      </c>
      <c r="U956" t="s">
        <v>6915</v>
      </c>
    </row>
    <row r="957" spans="2:21" ht="39">
      <c r="B957" s="750" t="s">
        <v>7075</v>
      </c>
      <c r="C957" s="750"/>
      <c r="D957" s="751"/>
      <c r="E957" s="792" t="s">
        <v>670</v>
      </c>
      <c r="F957" s="753" t="s">
        <v>413</v>
      </c>
      <c r="G957" s="754" t="s">
        <v>33</v>
      </c>
      <c r="H957" s="755" t="s">
        <v>468</v>
      </c>
      <c r="I957" s="751" t="str">
        <f t="shared" si="15"/>
        <v>SJ5252</v>
      </c>
      <c r="J957" s="826"/>
      <c r="K957" s="470">
        <v>-6.666666666666667</v>
      </c>
      <c r="L957" s="470"/>
      <c r="M957" s="790">
        <v>46141</v>
      </c>
      <c r="N957" s="751"/>
      <c r="O957" s="788" t="s">
        <v>5763</v>
      </c>
      <c r="P957" s="790">
        <v>46143</v>
      </c>
      <c r="S957" t="s">
        <v>7050</v>
      </c>
      <c r="U957" t="s">
        <v>6915</v>
      </c>
    </row>
    <row r="958" spans="2:21" ht="39">
      <c r="B958" s="750" t="s">
        <v>7075</v>
      </c>
      <c r="C958" s="750"/>
      <c r="D958" s="751"/>
      <c r="E958" s="792" t="s">
        <v>670</v>
      </c>
      <c r="F958" s="753" t="s">
        <v>413</v>
      </c>
      <c r="G958" s="754" t="s">
        <v>33</v>
      </c>
      <c r="H958" s="755" t="s">
        <v>468</v>
      </c>
      <c r="I958" s="751" t="str">
        <f t="shared" si="15"/>
        <v>SJ5252</v>
      </c>
      <c r="J958" s="826"/>
      <c r="K958" s="470">
        <v>-198.33333333333334</v>
      </c>
      <c r="L958" s="470"/>
      <c r="M958" s="790">
        <v>46142</v>
      </c>
      <c r="N958" s="751"/>
      <c r="O958" s="788" t="s">
        <v>5763</v>
      </c>
      <c r="P958" s="790">
        <v>46143</v>
      </c>
      <c r="S958" t="s">
        <v>7062</v>
      </c>
      <c r="U958" t="s">
        <v>6915</v>
      </c>
    </row>
    <row r="959" spans="2:21" ht="39">
      <c r="B959" s="750" t="s">
        <v>7075</v>
      </c>
      <c r="C959" s="750"/>
      <c r="D959" s="751"/>
      <c r="E959" s="792" t="s">
        <v>670</v>
      </c>
      <c r="F959" s="753" t="s">
        <v>413</v>
      </c>
      <c r="G959" s="754" t="s">
        <v>33</v>
      </c>
      <c r="H959" s="755" t="s">
        <v>468</v>
      </c>
      <c r="I959" s="751" t="str">
        <f t="shared" si="15"/>
        <v>SJ5252</v>
      </c>
      <c r="J959" s="826"/>
      <c r="K959" s="470">
        <v>-1.9625641025641027</v>
      </c>
      <c r="L959" s="470"/>
      <c r="M959" s="790">
        <v>46142</v>
      </c>
      <c r="N959" s="751"/>
      <c r="O959" s="788" t="s">
        <v>5763</v>
      </c>
      <c r="P959" s="790">
        <v>46143</v>
      </c>
      <c r="S959" t="s">
        <v>2797</v>
      </c>
      <c r="U959" t="s">
        <v>6915</v>
      </c>
    </row>
    <row r="960" spans="2:21" ht="39">
      <c r="B960" s="750" t="s">
        <v>7075</v>
      </c>
      <c r="C960" s="750"/>
      <c r="D960" s="751"/>
      <c r="E960" s="792" t="s">
        <v>670</v>
      </c>
      <c r="F960" s="753" t="s">
        <v>413</v>
      </c>
      <c r="G960" s="754" t="s">
        <v>33</v>
      </c>
      <c r="H960" s="755" t="s">
        <v>468</v>
      </c>
      <c r="I960" s="751" t="str">
        <f t="shared" si="15"/>
        <v>SJ5252</v>
      </c>
      <c r="J960" s="826"/>
      <c r="K960" s="470">
        <v>-615.38461538461536</v>
      </c>
      <c r="L960" s="470"/>
      <c r="M960" s="790">
        <v>46142</v>
      </c>
      <c r="N960" s="751"/>
      <c r="O960" s="788" t="s">
        <v>5763</v>
      </c>
      <c r="P960" s="790">
        <v>46143</v>
      </c>
      <c r="S960" t="s">
        <v>7063</v>
      </c>
      <c r="U960" t="s">
        <v>6915</v>
      </c>
    </row>
    <row r="961" spans="2:21" ht="39">
      <c r="B961" s="750" t="s">
        <v>7075</v>
      </c>
      <c r="C961" s="750"/>
      <c r="D961" s="751"/>
      <c r="E961" s="792" t="s">
        <v>670</v>
      </c>
      <c r="F961" s="753" t="s">
        <v>413</v>
      </c>
      <c r="G961" s="754" t="s">
        <v>33</v>
      </c>
      <c r="H961" s="755" t="s">
        <v>468</v>
      </c>
      <c r="I961" s="751" t="str">
        <f t="shared" si="15"/>
        <v>SJ5252</v>
      </c>
      <c r="J961" s="826"/>
      <c r="K961" s="470">
        <v>-328.46153846153845</v>
      </c>
      <c r="L961" s="470"/>
      <c r="M961" s="790">
        <v>46142</v>
      </c>
      <c r="N961" s="751"/>
      <c r="O961" s="788" t="s">
        <v>5763</v>
      </c>
      <c r="P961" s="790">
        <v>46143</v>
      </c>
      <c r="S961" t="s">
        <v>7064</v>
      </c>
      <c r="U961" t="s">
        <v>6915</v>
      </c>
    </row>
    <row r="962" spans="2:21" ht="39">
      <c r="B962" s="750" t="s">
        <v>7075</v>
      </c>
      <c r="C962" s="750"/>
      <c r="D962" s="751"/>
      <c r="E962" s="792" t="s">
        <v>670</v>
      </c>
      <c r="F962" s="753" t="s">
        <v>413</v>
      </c>
      <c r="G962" s="754" t="s">
        <v>33</v>
      </c>
      <c r="H962" s="755" t="s">
        <v>468</v>
      </c>
      <c r="I962" s="751" t="str">
        <f t="shared" si="15"/>
        <v>SJ5252</v>
      </c>
      <c r="J962" s="826"/>
      <c r="K962" s="470">
        <v>-114.1025641025641</v>
      </c>
      <c r="L962" s="470"/>
      <c r="M962" s="790">
        <v>46142</v>
      </c>
      <c r="N962" s="751"/>
      <c r="O962" s="788" t="s">
        <v>5763</v>
      </c>
      <c r="P962" s="790">
        <v>46143</v>
      </c>
      <c r="S962" t="s">
        <v>7065</v>
      </c>
      <c r="U962" t="s">
        <v>6915</v>
      </c>
    </row>
    <row r="963" spans="2:21" ht="39">
      <c r="B963" s="750" t="s">
        <v>7075</v>
      </c>
      <c r="C963" s="750"/>
      <c r="D963" s="751"/>
      <c r="E963" s="792" t="s">
        <v>670</v>
      </c>
      <c r="F963" s="753" t="s">
        <v>413</v>
      </c>
      <c r="G963" s="754" t="s">
        <v>33</v>
      </c>
      <c r="H963" s="755" t="s">
        <v>468</v>
      </c>
      <c r="I963" s="751" t="str">
        <f t="shared" si="15"/>
        <v>SJ5252</v>
      </c>
      <c r="J963" s="826"/>
      <c r="K963" s="470">
        <v>-90.666666666666671</v>
      </c>
      <c r="L963" s="470"/>
      <c r="M963" s="790">
        <v>46142</v>
      </c>
      <c r="N963" s="751"/>
      <c r="O963" s="788" t="s">
        <v>5763</v>
      </c>
      <c r="P963" s="790">
        <v>46143</v>
      </c>
      <c r="S963" t="s">
        <v>7066</v>
      </c>
      <c r="U963" t="s">
        <v>6915</v>
      </c>
    </row>
    <row r="964" spans="2:21" ht="39">
      <c r="B964" s="750" t="s">
        <v>7075</v>
      </c>
      <c r="C964" s="750"/>
      <c r="D964" s="751"/>
      <c r="E964" s="792" t="s">
        <v>670</v>
      </c>
      <c r="F964" s="753" t="s">
        <v>413</v>
      </c>
      <c r="G964" s="754" t="s">
        <v>33</v>
      </c>
      <c r="H964" s="755" t="s">
        <v>468</v>
      </c>
      <c r="I964" s="751" t="str">
        <f t="shared" si="15"/>
        <v>SJ5252</v>
      </c>
      <c r="J964" s="826"/>
      <c r="K964" s="470">
        <v>-334.89743589743591</v>
      </c>
      <c r="L964" s="470"/>
      <c r="M964" s="790">
        <v>46142</v>
      </c>
      <c r="N964" s="751"/>
      <c r="O964" s="788" t="s">
        <v>5763</v>
      </c>
      <c r="P964" s="790">
        <v>46143</v>
      </c>
      <c r="S964" t="s">
        <v>7067</v>
      </c>
      <c r="U964" t="s">
        <v>6915</v>
      </c>
    </row>
    <row r="965" spans="2:21" ht="39">
      <c r="B965" s="750" t="s">
        <v>7075</v>
      </c>
      <c r="C965" s="750"/>
      <c r="D965" s="751"/>
      <c r="E965" s="792" t="s">
        <v>670</v>
      </c>
      <c r="F965" s="753" t="s">
        <v>413</v>
      </c>
      <c r="G965" s="754" t="s">
        <v>33</v>
      </c>
      <c r="H965" s="755" t="s">
        <v>468</v>
      </c>
      <c r="I965" s="751" t="str">
        <f t="shared" si="15"/>
        <v>SJ5252</v>
      </c>
      <c r="J965" s="826"/>
      <c r="K965" s="470">
        <v>-490.17948717948718</v>
      </c>
      <c r="L965" s="470"/>
      <c r="M965" s="790">
        <v>46142</v>
      </c>
      <c r="N965" s="751"/>
      <c r="O965" s="788" t="s">
        <v>5763</v>
      </c>
      <c r="P965" s="790">
        <v>46143</v>
      </c>
      <c r="S965" t="s">
        <v>7068</v>
      </c>
      <c r="U965" t="s">
        <v>6915</v>
      </c>
    </row>
    <row r="966" spans="2:21" ht="39">
      <c r="B966" s="750" t="s">
        <v>7075</v>
      </c>
      <c r="C966" s="750"/>
      <c r="D966" s="751"/>
      <c r="E966" s="792" t="s">
        <v>670</v>
      </c>
      <c r="F966" s="753" t="s">
        <v>414</v>
      </c>
      <c r="G966" s="754" t="s">
        <v>66</v>
      </c>
      <c r="H966" s="755" t="s">
        <v>469</v>
      </c>
      <c r="I966" s="751" t="str">
        <f t="shared" si="15"/>
        <v>SJ5253</v>
      </c>
      <c r="J966" s="826"/>
      <c r="K966" s="470">
        <v>-7.5641025641025639</v>
      </c>
      <c r="L966" s="470"/>
      <c r="M966" s="790">
        <v>46126</v>
      </c>
      <c r="N966" s="751"/>
      <c r="O966" s="788" t="s">
        <v>5763</v>
      </c>
      <c r="P966" s="790">
        <v>46147</v>
      </c>
      <c r="S966" t="s">
        <v>7025</v>
      </c>
      <c r="U966" t="s">
        <v>7019</v>
      </c>
    </row>
    <row r="967" spans="2:21" ht="39">
      <c r="B967" s="750" t="s">
        <v>7075</v>
      </c>
      <c r="C967" s="750"/>
      <c r="D967" s="751"/>
      <c r="E967" s="792" t="s">
        <v>670</v>
      </c>
      <c r="F967" s="753" t="s">
        <v>415</v>
      </c>
      <c r="G967" s="754" t="s">
        <v>31</v>
      </c>
      <c r="H967" s="755" t="s">
        <v>470</v>
      </c>
      <c r="I967" s="751" t="str">
        <f t="shared" si="15"/>
        <v>SJ5254</v>
      </c>
      <c r="J967" s="470"/>
      <c r="K967" s="825">
        <v>-100.72</v>
      </c>
      <c r="L967" s="470"/>
      <c r="M967" s="790">
        <v>46142</v>
      </c>
      <c r="N967" s="751"/>
      <c r="O967" s="788" t="s">
        <v>5763</v>
      </c>
      <c r="P967" s="790">
        <v>46143</v>
      </c>
      <c r="S967" t="s">
        <v>7069</v>
      </c>
      <c r="U967" t="s">
        <v>6912</v>
      </c>
    </row>
    <row r="968" spans="2:21" ht="39">
      <c r="B968" s="750" t="s">
        <v>7075</v>
      </c>
      <c r="C968" s="750"/>
      <c r="D968" s="751"/>
      <c r="E968" s="792" t="s">
        <v>670</v>
      </c>
      <c r="F968" s="753" t="s">
        <v>415</v>
      </c>
      <c r="G968" s="754" t="s">
        <v>31</v>
      </c>
      <c r="H968" s="755" t="s">
        <v>470</v>
      </c>
      <c r="I968" s="751" t="str">
        <f t="shared" si="15"/>
        <v>SJ5254</v>
      </c>
      <c r="J968" s="470"/>
      <c r="K968" s="825">
        <v>-51.67</v>
      </c>
      <c r="L968" s="470"/>
      <c r="M968" s="790">
        <v>46142</v>
      </c>
      <c r="N968" s="751"/>
      <c r="O968" s="788" t="s">
        <v>5763</v>
      </c>
      <c r="P968" s="790">
        <v>46143</v>
      </c>
      <c r="S968" t="s">
        <v>7070</v>
      </c>
      <c r="U968" t="s">
        <v>6912</v>
      </c>
    </row>
    <row r="969" spans="2:21" ht="39">
      <c r="B969" s="750" t="s">
        <v>7075</v>
      </c>
      <c r="C969" s="750"/>
      <c r="D969" s="751"/>
      <c r="E969" s="792" t="s">
        <v>670</v>
      </c>
      <c r="F969" s="753" t="s">
        <v>415</v>
      </c>
      <c r="G969" s="754" t="s">
        <v>31</v>
      </c>
      <c r="H969" s="755" t="s">
        <v>470</v>
      </c>
      <c r="I969" s="751" t="str">
        <f t="shared" si="15"/>
        <v>SJ5254</v>
      </c>
      <c r="J969" s="470"/>
      <c r="K969" s="825">
        <v>-425.67</v>
      </c>
      <c r="L969" s="470"/>
      <c r="M969" s="790">
        <v>46142</v>
      </c>
      <c r="N969" s="751"/>
      <c r="O969" s="788" t="s">
        <v>5763</v>
      </c>
      <c r="P969" s="790">
        <v>46143</v>
      </c>
      <c r="S969" t="s">
        <v>7071</v>
      </c>
      <c r="U969" t="s">
        <v>6912</v>
      </c>
    </row>
    <row r="970" spans="2:21" ht="39">
      <c r="B970" s="750" t="s">
        <v>7075</v>
      </c>
      <c r="C970" s="750"/>
      <c r="D970" s="751"/>
      <c r="E970" s="792" t="s">
        <v>670</v>
      </c>
      <c r="F970" s="753" t="s">
        <v>415</v>
      </c>
      <c r="G970" s="754" t="s">
        <v>31</v>
      </c>
      <c r="H970" s="755" t="s">
        <v>470</v>
      </c>
      <c r="I970" s="751" t="str">
        <f t="shared" si="15"/>
        <v>SJ5254</v>
      </c>
      <c r="J970" s="826"/>
      <c r="K970" s="470">
        <v>-68.512820512820511</v>
      </c>
      <c r="L970" s="470"/>
      <c r="M970" s="790">
        <v>46142</v>
      </c>
      <c r="N970" s="751"/>
      <c r="O970" s="788" t="s">
        <v>5763</v>
      </c>
      <c r="P970" s="790">
        <v>46159</v>
      </c>
      <c r="S970" t="s">
        <v>6959</v>
      </c>
      <c r="U970" t="s">
        <v>6915</v>
      </c>
    </row>
    <row r="971" spans="2:21" ht="39">
      <c r="B971" s="750" t="s">
        <v>7075</v>
      </c>
      <c r="C971" s="750"/>
      <c r="D971" s="751"/>
      <c r="E971" s="792" t="s">
        <v>670</v>
      </c>
      <c r="F971" s="753" t="s">
        <v>415</v>
      </c>
      <c r="G971" s="754" t="s">
        <v>31</v>
      </c>
      <c r="H971" s="755" t="s">
        <v>470</v>
      </c>
      <c r="I971" s="751" t="str">
        <f t="shared" si="15"/>
        <v>SJ5254</v>
      </c>
      <c r="J971" s="826"/>
      <c r="K971" s="470">
        <v>-129.74358974358975</v>
      </c>
      <c r="L971" s="470"/>
      <c r="M971" s="790">
        <v>46126</v>
      </c>
      <c r="N971" s="751"/>
      <c r="O971" s="788" t="s">
        <v>5763</v>
      </c>
      <c r="P971" s="790">
        <v>46147</v>
      </c>
      <c r="S971" t="s">
        <v>7026</v>
      </c>
      <c r="U971" t="s">
        <v>7019</v>
      </c>
    </row>
    <row r="972" spans="2:21" ht="39">
      <c r="B972" s="750" t="s">
        <v>7075</v>
      </c>
      <c r="C972" s="750"/>
      <c r="D972" s="751"/>
      <c r="E972" s="792" t="s">
        <v>670</v>
      </c>
      <c r="F972" s="753" t="s">
        <v>415</v>
      </c>
      <c r="G972" s="754" t="s">
        <v>31</v>
      </c>
      <c r="H972" s="755" t="s">
        <v>470</v>
      </c>
      <c r="I972" s="751" t="str">
        <f t="shared" si="15"/>
        <v>SJ5254</v>
      </c>
      <c r="J972" s="826"/>
      <c r="K972" s="470">
        <v>-51.282051282051285</v>
      </c>
      <c r="L972" s="470"/>
      <c r="M972" s="790">
        <v>46126</v>
      </c>
      <c r="N972" s="751"/>
      <c r="O972" s="788" t="s">
        <v>5763</v>
      </c>
      <c r="P972" s="790">
        <v>46147</v>
      </c>
      <c r="S972" t="s">
        <v>7027</v>
      </c>
      <c r="U972" t="s">
        <v>7019</v>
      </c>
    </row>
    <row r="973" spans="2:21" ht="39">
      <c r="B973" s="750" t="s">
        <v>7075</v>
      </c>
      <c r="C973" s="750"/>
      <c r="D973" s="751"/>
      <c r="E973" s="792" t="s">
        <v>670</v>
      </c>
      <c r="F973" s="753" t="s">
        <v>415</v>
      </c>
      <c r="G973" s="754" t="s">
        <v>31</v>
      </c>
      <c r="H973" s="755" t="s">
        <v>470</v>
      </c>
      <c r="I973" s="751" t="str">
        <f t="shared" si="15"/>
        <v>SJ5254</v>
      </c>
      <c r="J973" s="826"/>
      <c r="K973" s="470">
        <v>-153.84615384615384</v>
      </c>
      <c r="L973" s="470"/>
      <c r="M973" s="790">
        <v>46140</v>
      </c>
      <c r="N973" s="751"/>
      <c r="O973" s="788" t="s">
        <v>5763</v>
      </c>
      <c r="P973" s="790">
        <v>46143</v>
      </c>
      <c r="S973" t="s">
        <v>7038</v>
      </c>
      <c r="U973" t="s">
        <v>6915</v>
      </c>
    </row>
    <row r="974" spans="2:21" ht="39">
      <c r="B974" s="750" t="s">
        <v>7075</v>
      </c>
      <c r="C974" s="750"/>
      <c r="D974" s="751"/>
      <c r="E974" s="792" t="s">
        <v>670</v>
      </c>
      <c r="F974" s="753" t="s">
        <v>415</v>
      </c>
      <c r="G974" s="754" t="s">
        <v>31</v>
      </c>
      <c r="H974" s="755" t="s">
        <v>470</v>
      </c>
      <c r="I974" s="751" t="str">
        <f t="shared" si="15"/>
        <v>SJ5254</v>
      </c>
      <c r="J974" s="826"/>
      <c r="K974" s="470">
        <v>-1.9379487179487178</v>
      </c>
      <c r="L974" s="470"/>
      <c r="M974" s="790">
        <v>46140</v>
      </c>
      <c r="N974" s="751"/>
      <c r="O974" s="788" t="s">
        <v>5763</v>
      </c>
      <c r="P974" s="790">
        <v>46143</v>
      </c>
      <c r="S974" t="s">
        <v>2797</v>
      </c>
      <c r="U974" t="s">
        <v>6915</v>
      </c>
    </row>
    <row r="975" spans="2:21" ht="39">
      <c r="B975" s="750" t="s">
        <v>7075</v>
      </c>
      <c r="C975" s="750"/>
      <c r="D975" s="751"/>
      <c r="E975" s="792" t="s">
        <v>670</v>
      </c>
      <c r="F975" s="753" t="s">
        <v>415</v>
      </c>
      <c r="G975" s="754" t="s">
        <v>31</v>
      </c>
      <c r="H975" s="755" t="s">
        <v>470</v>
      </c>
      <c r="I975" s="751" t="str">
        <f t="shared" si="15"/>
        <v>SJ5254</v>
      </c>
      <c r="J975" s="826"/>
      <c r="K975" s="470">
        <v>-76</v>
      </c>
      <c r="L975" s="470"/>
      <c r="M975" s="790">
        <v>46140</v>
      </c>
      <c r="N975" s="751"/>
      <c r="O975" s="788" t="s">
        <v>5763</v>
      </c>
      <c r="P975" s="790">
        <v>46143</v>
      </c>
      <c r="S975" t="s">
        <v>7039</v>
      </c>
      <c r="U975" t="s">
        <v>6915</v>
      </c>
    </row>
    <row r="976" spans="2:21" ht="52">
      <c r="B976" s="750" t="s">
        <v>7075</v>
      </c>
      <c r="C976" s="210" t="s">
        <v>7095</v>
      </c>
      <c r="D976" s="751"/>
      <c r="E976" s="792" t="s">
        <v>670</v>
      </c>
      <c r="F976" s="753" t="s">
        <v>433</v>
      </c>
      <c r="G976" s="607" t="s">
        <v>6</v>
      </c>
      <c r="H976" s="597" t="s">
        <v>5</v>
      </c>
      <c r="I976" s="751" t="str">
        <f t="shared" si="15"/>
        <v>SJ12020301</v>
      </c>
      <c r="J976" s="826"/>
      <c r="K976" s="470">
        <v>-710.15384615384619</v>
      </c>
      <c r="L976" s="470"/>
      <c r="M976" s="790">
        <v>46141</v>
      </c>
      <c r="N976" s="751"/>
      <c r="O976" s="788" t="s">
        <v>5763</v>
      </c>
      <c r="P976" s="790">
        <v>46143</v>
      </c>
      <c r="S976" t="s">
        <v>7051</v>
      </c>
      <c r="U976" t="s">
        <v>6915</v>
      </c>
    </row>
    <row r="977" spans="2:21" ht="39">
      <c r="B977" s="750" t="s">
        <v>7075</v>
      </c>
      <c r="C977" s="750"/>
      <c r="D977" s="751"/>
      <c r="E977" s="792" t="s">
        <v>670</v>
      </c>
      <c r="F977" s="753" t="s">
        <v>409</v>
      </c>
      <c r="G977" s="754" t="s">
        <v>68</v>
      </c>
      <c r="H977" s="755" t="s">
        <v>464</v>
      </c>
      <c r="I977" s="751" t="str">
        <f t="shared" si="15"/>
        <v>SJ5255</v>
      </c>
      <c r="J977" s="470"/>
      <c r="K977" s="825">
        <v>-159</v>
      </c>
      <c r="L977" s="470"/>
      <c r="M977" s="790">
        <v>46142</v>
      </c>
      <c r="N977" s="751"/>
      <c r="O977" s="788" t="s">
        <v>5763</v>
      </c>
      <c r="P977" s="790">
        <v>46158</v>
      </c>
      <c r="S977" t="s">
        <v>6993</v>
      </c>
      <c r="U977" t="s">
        <v>6912</v>
      </c>
    </row>
    <row r="978" spans="2:21" ht="39">
      <c r="B978" s="750" t="s">
        <v>7075</v>
      </c>
      <c r="C978" s="750"/>
      <c r="D978" s="751"/>
      <c r="E978" s="792" t="s">
        <v>670</v>
      </c>
      <c r="F978" s="753" t="s">
        <v>409</v>
      </c>
      <c r="G978" s="754" t="s">
        <v>68</v>
      </c>
      <c r="H978" s="755" t="s">
        <v>464</v>
      </c>
      <c r="I978" s="751" t="str">
        <f t="shared" si="15"/>
        <v>SJ5255</v>
      </c>
      <c r="J978" s="826"/>
      <c r="K978" s="470">
        <v>-1.9564102564102563</v>
      </c>
      <c r="L978" s="470"/>
      <c r="M978" s="790">
        <v>46142</v>
      </c>
      <c r="N978" s="751"/>
      <c r="O978" s="788" t="s">
        <v>5763</v>
      </c>
      <c r="P978" s="790">
        <v>46159</v>
      </c>
      <c r="S978" t="s">
        <v>2797</v>
      </c>
      <c r="U978" t="s">
        <v>6915</v>
      </c>
    </row>
    <row r="979" spans="2:21" ht="39">
      <c r="B979" s="750" t="s">
        <v>7075</v>
      </c>
      <c r="C979" s="750"/>
      <c r="D979" s="751"/>
      <c r="E979" s="792" t="s">
        <v>670</v>
      </c>
      <c r="F979" s="753" t="s">
        <v>409</v>
      </c>
      <c r="G979" s="754" t="s">
        <v>68</v>
      </c>
      <c r="H979" s="755" t="s">
        <v>464</v>
      </c>
      <c r="I979" s="751" t="str">
        <f t="shared" si="15"/>
        <v>SJ5255</v>
      </c>
      <c r="J979" s="826"/>
      <c r="K979" s="470">
        <v>-15.333333333333334</v>
      </c>
      <c r="L979" s="470"/>
      <c r="M979" s="790">
        <v>46142</v>
      </c>
      <c r="N979" s="751"/>
      <c r="O979" s="788" t="s">
        <v>5763</v>
      </c>
      <c r="P979" s="790">
        <v>46159</v>
      </c>
      <c r="S979" t="s">
        <v>6960</v>
      </c>
      <c r="U979" t="s">
        <v>6915</v>
      </c>
    </row>
    <row r="980" spans="2:21" ht="39">
      <c r="B980" s="750" t="s">
        <v>7075</v>
      </c>
      <c r="C980" s="750"/>
      <c r="D980" s="751"/>
      <c r="E980" s="792" t="s">
        <v>670</v>
      </c>
      <c r="F980" s="753" t="s">
        <v>409</v>
      </c>
      <c r="G980" s="754" t="s">
        <v>68</v>
      </c>
      <c r="H980" s="755" t="s">
        <v>464</v>
      </c>
      <c r="I980" s="751" t="str">
        <f t="shared" si="15"/>
        <v>SJ5255</v>
      </c>
      <c r="J980" s="826"/>
      <c r="K980" s="470">
        <v>-42.46153846153846</v>
      </c>
      <c r="L980" s="470"/>
      <c r="M980" s="790">
        <v>46142</v>
      </c>
      <c r="N980" s="751"/>
      <c r="O980" s="788" t="s">
        <v>5763</v>
      </c>
      <c r="P980" s="790">
        <v>46159</v>
      </c>
      <c r="S980" t="s">
        <v>6961</v>
      </c>
      <c r="U980" t="s">
        <v>6915</v>
      </c>
    </row>
    <row r="981" spans="2:21" ht="39">
      <c r="B981" s="750" t="s">
        <v>7075</v>
      </c>
      <c r="C981" s="750"/>
      <c r="D981" s="751"/>
      <c r="E981" s="792" t="s">
        <v>670</v>
      </c>
      <c r="F981" s="753" t="s">
        <v>409</v>
      </c>
      <c r="G981" s="754" t="s">
        <v>68</v>
      </c>
      <c r="H981" s="755" t="s">
        <v>464</v>
      </c>
      <c r="I981" s="751" t="str">
        <f t="shared" si="15"/>
        <v>SJ5255</v>
      </c>
      <c r="J981" s="826"/>
      <c r="K981" s="470">
        <v>-16.871794871794872</v>
      </c>
      <c r="L981" s="470"/>
      <c r="M981" s="790">
        <v>46126</v>
      </c>
      <c r="N981" s="751"/>
      <c r="O981" s="788" t="s">
        <v>5763</v>
      </c>
      <c r="P981" s="790">
        <v>46147</v>
      </c>
      <c r="S981" t="s">
        <v>7028</v>
      </c>
      <c r="U981" t="s">
        <v>7019</v>
      </c>
    </row>
    <row r="982" spans="2:21" ht="39">
      <c r="B982" s="750" t="s">
        <v>7075</v>
      </c>
      <c r="C982" s="750"/>
      <c r="D982" s="751"/>
      <c r="E982" s="792" t="s">
        <v>670</v>
      </c>
      <c r="F982" s="753" t="s">
        <v>409</v>
      </c>
      <c r="G982" s="754" t="s">
        <v>68</v>
      </c>
      <c r="H982" s="755" t="s">
        <v>464</v>
      </c>
      <c r="I982" s="751" t="str">
        <f t="shared" si="15"/>
        <v>SJ5255</v>
      </c>
      <c r="J982" s="826"/>
      <c r="K982" s="470">
        <v>-17.153846153846153</v>
      </c>
      <c r="L982" s="470"/>
      <c r="M982" s="790">
        <v>46126</v>
      </c>
      <c r="N982" s="751"/>
      <c r="O982" s="788" t="s">
        <v>5763</v>
      </c>
      <c r="P982" s="790">
        <v>46147</v>
      </c>
      <c r="S982" t="s">
        <v>7029</v>
      </c>
      <c r="U982" t="s">
        <v>7019</v>
      </c>
    </row>
    <row r="983" spans="2:21" ht="39">
      <c r="B983" s="750" t="s">
        <v>7075</v>
      </c>
      <c r="C983" s="750"/>
      <c r="D983" s="751"/>
      <c r="E983" s="792" t="s">
        <v>670</v>
      </c>
      <c r="F983" s="753" t="s">
        <v>409</v>
      </c>
      <c r="G983" s="754" t="s">
        <v>68</v>
      </c>
      <c r="H983" s="755" t="s">
        <v>464</v>
      </c>
      <c r="I983" s="751" t="str">
        <f t="shared" si="15"/>
        <v>SJ5255</v>
      </c>
      <c r="J983" s="826"/>
      <c r="K983" s="470">
        <v>-8.615384615384615</v>
      </c>
      <c r="L983" s="470"/>
      <c r="M983" s="790">
        <v>46140</v>
      </c>
      <c r="N983" s="751"/>
      <c r="O983" s="788" t="s">
        <v>5763</v>
      </c>
      <c r="P983" s="790">
        <v>46143</v>
      </c>
      <c r="S983" t="s">
        <v>7040</v>
      </c>
      <c r="U983" t="s">
        <v>6915</v>
      </c>
    </row>
    <row r="984" spans="2:21" ht="39">
      <c r="B984" s="750" t="s">
        <v>7075</v>
      </c>
      <c r="C984" s="750"/>
      <c r="D984" s="751"/>
      <c r="E984" s="792" t="s">
        <v>670</v>
      </c>
      <c r="F984" s="753" t="s">
        <v>403</v>
      </c>
      <c r="G984" s="754" t="s">
        <v>1718</v>
      </c>
      <c r="H984" s="755" t="s">
        <v>1719</v>
      </c>
      <c r="I984" s="751" t="str">
        <f t="shared" si="15"/>
        <v>SJ5257</v>
      </c>
      <c r="J984" s="826"/>
      <c r="K984" s="470">
        <v>-962.23076923076928</v>
      </c>
      <c r="L984" s="470"/>
      <c r="M984" s="790">
        <v>46141</v>
      </c>
      <c r="N984" s="751"/>
      <c r="O984" s="788" t="s">
        <v>5763</v>
      </c>
      <c r="P984" s="790">
        <v>46143</v>
      </c>
      <c r="S984" t="s">
        <v>7052</v>
      </c>
      <c r="U984" t="s">
        <v>6915</v>
      </c>
    </row>
    <row r="985" spans="2:21" ht="39">
      <c r="B985" s="750" t="s">
        <v>7075</v>
      </c>
      <c r="C985" s="750"/>
      <c r="D985" s="751"/>
      <c r="E985" s="792" t="s">
        <v>670</v>
      </c>
      <c r="F985" s="753" t="s">
        <v>403</v>
      </c>
      <c r="G985" s="754" t="s">
        <v>1718</v>
      </c>
      <c r="H985" s="755" t="s">
        <v>1719</v>
      </c>
      <c r="I985" s="751" t="str">
        <f t="shared" si="15"/>
        <v>SJ5257</v>
      </c>
      <c r="J985" s="826"/>
      <c r="K985" s="470">
        <v>-1.9423076923076923</v>
      </c>
      <c r="L985" s="470"/>
      <c r="M985" s="790">
        <v>46141</v>
      </c>
      <c r="N985" s="751"/>
      <c r="O985" s="788" t="s">
        <v>5763</v>
      </c>
      <c r="P985" s="790">
        <v>46143</v>
      </c>
      <c r="S985" t="s">
        <v>2797</v>
      </c>
      <c r="U985" t="s">
        <v>6915</v>
      </c>
    </row>
    <row r="986" spans="2:21" ht="39">
      <c r="B986" s="750" t="s">
        <v>7075</v>
      </c>
      <c r="C986" s="750"/>
      <c r="D986" s="751"/>
      <c r="E986" s="792" t="s">
        <v>670</v>
      </c>
      <c r="F986" s="753" t="s">
        <v>405</v>
      </c>
      <c r="G986" s="754" t="s">
        <v>70</v>
      </c>
      <c r="H986" s="755" t="s">
        <v>460</v>
      </c>
      <c r="I986" s="751" t="str">
        <f t="shared" si="15"/>
        <v>SJ5259</v>
      </c>
      <c r="J986" s="826"/>
      <c r="K986" s="470">
        <v>-1.9625641025641027</v>
      </c>
      <c r="L986" s="470"/>
      <c r="M986" s="790">
        <v>46142</v>
      </c>
      <c r="N986" s="751"/>
      <c r="O986" s="788" t="s">
        <v>5763</v>
      </c>
      <c r="P986" s="790">
        <v>46143</v>
      </c>
      <c r="S986" t="s">
        <v>2797</v>
      </c>
      <c r="U986" t="s">
        <v>6915</v>
      </c>
    </row>
    <row r="987" spans="2:21" ht="39">
      <c r="B987" s="750" t="s">
        <v>7075</v>
      </c>
      <c r="C987" s="750"/>
      <c r="D987" s="751"/>
      <c r="E987" s="792" t="s">
        <v>670</v>
      </c>
      <c r="F987" s="753" t="s">
        <v>405</v>
      </c>
      <c r="G987" s="754" t="s">
        <v>70</v>
      </c>
      <c r="H987" s="755" t="s">
        <v>460</v>
      </c>
      <c r="I987" s="751" t="str">
        <f t="shared" si="15"/>
        <v>SJ5259</v>
      </c>
      <c r="J987" s="826"/>
      <c r="K987" s="470">
        <v>-1472.3076923076924</v>
      </c>
      <c r="L987" s="470"/>
      <c r="M987" s="790">
        <v>46142</v>
      </c>
      <c r="N987" s="751"/>
      <c r="O987" s="788" t="s">
        <v>5763</v>
      </c>
      <c r="P987" s="790">
        <v>46143</v>
      </c>
      <c r="S987" t="s">
        <v>7072</v>
      </c>
      <c r="U987" t="s">
        <v>6915</v>
      </c>
    </row>
    <row r="988" spans="2:21" ht="52">
      <c r="B988" s="750" t="s">
        <v>7075</v>
      </c>
      <c r="C988" s="210" t="s">
        <v>7093</v>
      </c>
      <c r="D988" s="751"/>
      <c r="E988" s="792" t="s">
        <v>670</v>
      </c>
      <c r="F988" s="753" t="s">
        <v>433</v>
      </c>
      <c r="G988" s="607" t="s">
        <v>6</v>
      </c>
      <c r="H988" s="597" t="s">
        <v>5</v>
      </c>
      <c r="I988" s="751" t="str">
        <f t="shared" si="15"/>
        <v>SJ12020301</v>
      </c>
      <c r="J988" s="826"/>
      <c r="K988" s="470">
        <v>-650.66666666666663</v>
      </c>
      <c r="L988" s="470"/>
      <c r="M988" s="790">
        <v>46140</v>
      </c>
      <c r="N988" s="751"/>
      <c r="O988" s="788" t="s">
        <v>5763</v>
      </c>
      <c r="P988" s="790">
        <v>46143</v>
      </c>
      <c r="S988" t="s">
        <v>7041</v>
      </c>
      <c r="U988" t="s">
        <v>6915</v>
      </c>
    </row>
    <row r="989" spans="2:21" ht="52">
      <c r="B989" s="750" t="s">
        <v>7075</v>
      </c>
      <c r="C989" s="750"/>
      <c r="D989" s="751"/>
      <c r="E989" s="792" t="s">
        <v>670</v>
      </c>
      <c r="F989" s="753" t="s">
        <v>433</v>
      </c>
      <c r="G989" s="754" t="s">
        <v>50</v>
      </c>
      <c r="H989" s="755" t="s">
        <v>51</v>
      </c>
      <c r="I989" s="751" t="str">
        <f t="shared" si="15"/>
        <v>SJ12020103</v>
      </c>
      <c r="J989" s="470"/>
      <c r="K989" s="825">
        <v>-35.33</v>
      </c>
      <c r="L989" s="470"/>
      <c r="M989" s="790">
        <v>46142</v>
      </c>
      <c r="N989" s="751"/>
      <c r="O989" s="788" t="s">
        <v>5763</v>
      </c>
      <c r="P989" s="790">
        <v>46143</v>
      </c>
      <c r="S989" t="s">
        <v>7073</v>
      </c>
      <c r="U989" t="s">
        <v>6912</v>
      </c>
    </row>
    <row r="990" spans="2:21" ht="52">
      <c r="B990" s="750" t="s">
        <v>7075</v>
      </c>
      <c r="C990" s="750"/>
      <c r="D990" s="751"/>
      <c r="E990" s="792" t="s">
        <v>670</v>
      </c>
      <c r="F990" s="753" t="s">
        <v>433</v>
      </c>
      <c r="G990" s="754" t="s">
        <v>50</v>
      </c>
      <c r="H990" s="755" t="s">
        <v>51</v>
      </c>
      <c r="I990" s="751" t="str">
        <f t="shared" si="15"/>
        <v>SJ12020103</v>
      </c>
      <c r="J990" s="470"/>
      <c r="K990" s="825">
        <v>-198.87</v>
      </c>
      <c r="L990" s="470"/>
      <c r="M990" s="790">
        <v>46142</v>
      </c>
      <c r="N990" s="751"/>
      <c r="O990" s="788" t="s">
        <v>5763</v>
      </c>
      <c r="P990" s="790">
        <v>46143</v>
      </c>
      <c r="S990" t="s">
        <v>7074</v>
      </c>
      <c r="U990" t="s">
        <v>6912</v>
      </c>
    </row>
    <row r="991" spans="2:21" ht="52">
      <c r="B991" s="750" t="s">
        <v>7075</v>
      </c>
      <c r="C991" s="750"/>
      <c r="D991" s="751"/>
      <c r="E991" s="792" t="s">
        <v>670</v>
      </c>
      <c r="F991" s="753" t="s">
        <v>433</v>
      </c>
      <c r="G991" s="754" t="s">
        <v>6</v>
      </c>
      <c r="H991" s="755" t="s">
        <v>5</v>
      </c>
      <c r="I991" s="751" t="str">
        <f t="shared" si="15"/>
        <v>SJ12020301</v>
      </c>
      <c r="J991" s="826"/>
      <c r="K991" s="470">
        <v>-108.82051282051282</v>
      </c>
      <c r="L991" s="470"/>
      <c r="M991" s="790">
        <v>46142</v>
      </c>
      <c r="N991" s="751"/>
      <c r="O991" s="788" t="s">
        <v>5763</v>
      </c>
      <c r="P991" s="790">
        <v>46159</v>
      </c>
      <c r="S991" t="s">
        <v>6962</v>
      </c>
      <c r="U991" t="s">
        <v>6915</v>
      </c>
    </row>
    <row r="992" spans="2:21" ht="52">
      <c r="B992" s="750" t="s">
        <v>7075</v>
      </c>
      <c r="C992" s="750"/>
      <c r="D992" s="751"/>
      <c r="E992" s="792" t="s">
        <v>670</v>
      </c>
      <c r="F992" s="753" t="s">
        <v>433</v>
      </c>
      <c r="G992" s="754" t="s">
        <v>6</v>
      </c>
      <c r="H992" s="755" t="s">
        <v>5</v>
      </c>
      <c r="I992" s="751" t="str">
        <f t="shared" si="15"/>
        <v>SJ12020301</v>
      </c>
      <c r="J992" s="826"/>
      <c r="K992" s="470">
        <v>-242.66666666666666</v>
      </c>
      <c r="L992" s="470"/>
      <c r="M992" s="790">
        <v>46142</v>
      </c>
      <c r="N992" s="751"/>
      <c r="O992" s="788" t="s">
        <v>5763</v>
      </c>
      <c r="P992" s="790">
        <v>46159</v>
      </c>
      <c r="S992" t="s">
        <v>6963</v>
      </c>
      <c r="U992" t="s">
        <v>6915</v>
      </c>
    </row>
    <row r="993" spans="2:23" ht="39">
      <c r="B993" s="750" t="s">
        <v>7075</v>
      </c>
      <c r="C993" s="750"/>
      <c r="D993" s="751"/>
      <c r="E993" s="792" t="s">
        <v>670</v>
      </c>
      <c r="F993" s="753" t="s">
        <v>411</v>
      </c>
      <c r="G993" s="754" t="s">
        <v>62</v>
      </c>
      <c r="H993" s="755" t="s">
        <v>63</v>
      </c>
      <c r="I993" s="751" t="str">
        <f t="shared" si="15"/>
        <v>SJ5221</v>
      </c>
      <c r="J993" s="826"/>
      <c r="K993" s="470">
        <v>-1538.4615384615386</v>
      </c>
      <c r="L993" s="470"/>
      <c r="M993" s="790">
        <v>46141</v>
      </c>
      <c r="N993" s="751"/>
      <c r="O993" s="788" t="s">
        <v>5763</v>
      </c>
      <c r="P993" s="790">
        <v>46143</v>
      </c>
      <c r="S993" t="s">
        <v>7045</v>
      </c>
      <c r="U993" t="s">
        <v>6915</v>
      </c>
    </row>
    <row r="995" spans="2:23" s="751" customFormat="1" ht="26">
      <c r="B995" s="750"/>
      <c r="C995" s="750" t="s">
        <v>7077</v>
      </c>
      <c r="D995" s="750"/>
      <c r="E995" s="792" t="s">
        <v>676</v>
      </c>
      <c r="F995" s="753" t="s">
        <v>411</v>
      </c>
      <c r="G995" s="751" t="s">
        <v>37</v>
      </c>
      <c r="H995" s="752" t="s">
        <v>36</v>
      </c>
      <c r="I995" s="751" t="str">
        <f t="shared" si="15"/>
        <v>CAR5250</v>
      </c>
      <c r="J995" s="870">
        <v>20916.599999999999</v>
      </c>
      <c r="K995" s="470">
        <v>14.73</v>
      </c>
      <c r="L995" s="470">
        <v>1420</v>
      </c>
      <c r="M995" s="751" t="s">
        <v>7143</v>
      </c>
      <c r="N995" s="470" t="s">
        <v>780</v>
      </c>
      <c r="O995" s="470" t="s">
        <v>781</v>
      </c>
      <c r="P995" s="470" t="s">
        <v>7664</v>
      </c>
      <c r="Q995" s="756" t="s">
        <v>7101</v>
      </c>
      <c r="R995" s="751" t="s">
        <v>7665</v>
      </c>
      <c r="S995" s="751" t="s">
        <v>7681</v>
      </c>
      <c r="T995" s="751" t="s">
        <v>7667</v>
      </c>
      <c r="U995" s="751" t="s">
        <v>786</v>
      </c>
    </row>
    <row r="996" spans="2:23" s="751" customFormat="1" ht="26">
      <c r="B996" s="750"/>
      <c r="C996" s="750" t="s">
        <v>7077</v>
      </c>
      <c r="D996" s="750"/>
      <c r="E996" s="792" t="s">
        <v>676</v>
      </c>
      <c r="F996" s="753" t="s">
        <v>411</v>
      </c>
      <c r="G996" s="751" t="s">
        <v>33</v>
      </c>
      <c r="H996" s="752" t="s">
        <v>32</v>
      </c>
      <c r="I996" s="751" t="str">
        <f t="shared" si="15"/>
        <v>CAR5252</v>
      </c>
      <c r="J996" s="870">
        <v>107053.8</v>
      </c>
      <c r="K996" s="470">
        <v>75.39</v>
      </c>
      <c r="L996" s="470">
        <v>1420</v>
      </c>
      <c r="M996" s="751" t="s">
        <v>7143</v>
      </c>
      <c r="N996" s="470" t="s">
        <v>780</v>
      </c>
      <c r="O996" s="470" t="s">
        <v>781</v>
      </c>
      <c r="P996" s="470" t="s">
        <v>7664</v>
      </c>
      <c r="Q996" s="756" t="s">
        <v>7101</v>
      </c>
      <c r="R996" s="751" t="s">
        <v>7665</v>
      </c>
      <c r="S996" s="751" t="s">
        <v>7679</v>
      </c>
      <c r="T996" s="751" t="s">
        <v>7667</v>
      </c>
      <c r="U996" s="751" t="s">
        <v>786</v>
      </c>
    </row>
    <row r="997" spans="2:23" s="751" customFormat="1" ht="26">
      <c r="B997" s="750"/>
      <c r="C997" s="750" t="s">
        <v>7077</v>
      </c>
      <c r="D997" s="750"/>
      <c r="E997" s="792" t="s">
        <v>676</v>
      </c>
      <c r="F997" s="753" t="s">
        <v>411</v>
      </c>
      <c r="G997" s="751" t="s">
        <v>33</v>
      </c>
      <c r="H997" s="752" t="s">
        <v>32</v>
      </c>
      <c r="I997" s="751" t="str">
        <f t="shared" si="15"/>
        <v>CAR5252</v>
      </c>
      <c r="J997" s="870">
        <v>203415.9</v>
      </c>
      <c r="K997" s="470">
        <v>144.78</v>
      </c>
      <c r="L997" s="470">
        <v>1405</v>
      </c>
      <c r="M997" s="751" t="s">
        <v>7116</v>
      </c>
      <c r="N997" s="470" t="s">
        <v>780</v>
      </c>
      <c r="O997" s="470" t="s">
        <v>781</v>
      </c>
      <c r="P997" s="470" t="s">
        <v>7517</v>
      </c>
      <c r="Q997" s="756" t="s">
        <v>7101</v>
      </c>
      <c r="R997" s="751" t="s">
        <v>7518</v>
      </c>
      <c r="S997" s="751" t="s">
        <v>7546</v>
      </c>
      <c r="T997" s="751" t="s">
        <v>7520</v>
      </c>
      <c r="U997" s="751" t="s">
        <v>786</v>
      </c>
    </row>
    <row r="998" spans="2:23" s="751" customFormat="1" ht="26">
      <c r="B998" s="750"/>
      <c r="C998" s="750" t="s">
        <v>7077</v>
      </c>
      <c r="D998" s="750"/>
      <c r="E998" s="792" t="s">
        <v>676</v>
      </c>
      <c r="F998" s="753" t="s">
        <v>411</v>
      </c>
      <c r="G998" s="751" t="s">
        <v>33</v>
      </c>
      <c r="H998" s="752" t="s">
        <v>32</v>
      </c>
      <c r="I998" s="751" t="str">
        <f t="shared" ref="I998:I999" si="16">+E998&amp;G998</f>
        <v>CAR5252</v>
      </c>
      <c r="J998" s="870">
        <v>261081.2</v>
      </c>
      <c r="K998" s="470">
        <v>183.86</v>
      </c>
      <c r="L998" s="470">
        <v>1420</v>
      </c>
      <c r="M998" s="751" t="s">
        <v>7143</v>
      </c>
      <c r="N998" s="470" t="s">
        <v>780</v>
      </c>
      <c r="O998" s="470" t="s">
        <v>781</v>
      </c>
      <c r="P998" s="470" t="s">
        <v>7664</v>
      </c>
      <c r="Q998" s="756" t="s">
        <v>7101</v>
      </c>
      <c r="R998" s="751" t="s">
        <v>7665</v>
      </c>
      <c r="S998" s="751" t="s">
        <v>7680</v>
      </c>
      <c r="T998" s="751" t="s">
        <v>7667</v>
      </c>
      <c r="U998" s="751" t="s">
        <v>786</v>
      </c>
    </row>
    <row r="999" spans="2:23" ht="26">
      <c r="C999" s="750" t="s">
        <v>7077</v>
      </c>
      <c r="D999" s="750"/>
      <c r="E999" s="792" t="s">
        <v>676</v>
      </c>
      <c r="F999" s="753" t="s">
        <v>411</v>
      </c>
      <c r="G999" s="751" t="s">
        <v>33</v>
      </c>
      <c r="H999" s="752" t="s">
        <v>32</v>
      </c>
      <c r="I999" s="751" t="str">
        <f t="shared" si="16"/>
        <v>CAR5252</v>
      </c>
      <c r="J999" s="870">
        <v>231670.45</v>
      </c>
      <c r="K999" s="470">
        <v>164.89</v>
      </c>
      <c r="L999" s="470">
        <v>1405</v>
      </c>
      <c r="M999" s="751" t="s">
        <v>7116</v>
      </c>
      <c r="N999" s="470" t="s">
        <v>780</v>
      </c>
      <c r="O999" s="470" t="s">
        <v>781</v>
      </c>
      <c r="P999" s="470" t="s">
        <v>7517</v>
      </c>
      <c r="Q999" s="756" t="s">
        <v>7101</v>
      </c>
      <c r="R999" s="751" t="s">
        <v>7518</v>
      </c>
      <c r="S999" s="751" t="s">
        <v>7548</v>
      </c>
      <c r="T999" s="751" t="s">
        <v>7520</v>
      </c>
      <c r="U999" s="751" t="s">
        <v>786</v>
      </c>
    </row>
    <row r="1001" spans="2:23" ht="39">
      <c r="B1001" s="750" t="s">
        <v>8529</v>
      </c>
      <c r="C1001" s="750"/>
      <c r="D1001" s="751"/>
      <c r="E1001" s="752" t="s">
        <v>670</v>
      </c>
      <c r="F1001" s="753" t="str">
        <f>+VLOOKUP(G1001,Resumen_Base!$C$8:$G$156,5,0)</f>
        <v>Field:</v>
      </c>
      <c r="G1001" s="754" t="s">
        <v>133</v>
      </c>
      <c r="H1001" s="755" t="s">
        <v>451</v>
      </c>
      <c r="I1001" s="751" t="str">
        <f>+E1001&amp;G1001</f>
        <v>SJ5207</v>
      </c>
      <c r="J1001" s="470"/>
      <c r="K1001" s="470">
        <v>1.9</v>
      </c>
      <c r="L1001" s="470"/>
      <c r="M1001" s="875">
        <v>46172</v>
      </c>
      <c r="N1001" s="751"/>
      <c r="O1001" s="751" t="s">
        <v>5763</v>
      </c>
      <c r="P1001" s="751"/>
      <c r="Q1001" s="875">
        <v>46183</v>
      </c>
      <c r="R1001" s="751"/>
      <c r="S1001" s="751" t="s">
        <v>2797</v>
      </c>
      <c r="T1001" s="751" t="s">
        <v>2797</v>
      </c>
      <c r="U1001" s="751"/>
      <c r="V1001" s="751" t="s">
        <v>6912</v>
      </c>
      <c r="W1001" s="793">
        <f>+K1001</f>
        <v>1.9</v>
      </c>
    </row>
    <row r="1002" spans="2:23" ht="39">
      <c r="B1002" s="750" t="s">
        <v>8529</v>
      </c>
      <c r="C1002" s="750"/>
      <c r="D1002" s="751"/>
      <c r="E1002" s="752" t="s">
        <v>670</v>
      </c>
      <c r="F1002" s="753" t="str">
        <f>+VLOOKUP(G1002,Resumen_Base!$C$8:$G$156,5,0)</f>
        <v>Field:</v>
      </c>
      <c r="G1002" s="754" t="s">
        <v>133</v>
      </c>
      <c r="H1002" s="755" t="s">
        <v>451</v>
      </c>
      <c r="I1002" s="751" t="str">
        <f t="shared" ref="I1002:I1065" si="17">+E1002&amp;G1002</f>
        <v>SJ5207</v>
      </c>
      <c r="J1002" s="470"/>
      <c r="K1002" s="470">
        <v>1600</v>
      </c>
      <c r="L1002" s="470"/>
      <c r="M1002" s="875">
        <v>46172</v>
      </c>
      <c r="N1002" s="751"/>
      <c r="O1002" s="751" t="s">
        <v>5763</v>
      </c>
      <c r="P1002" s="751"/>
      <c r="Q1002" s="875">
        <v>46183</v>
      </c>
      <c r="R1002" s="751"/>
      <c r="S1002" s="751" t="s">
        <v>8448</v>
      </c>
      <c r="T1002" s="751" t="s">
        <v>8448</v>
      </c>
      <c r="U1002" s="751"/>
      <c r="V1002" s="751" t="s">
        <v>6912</v>
      </c>
      <c r="W1002" s="793">
        <f t="shared" ref="W1002:W1003" si="18">+K1002</f>
        <v>1600</v>
      </c>
    </row>
    <row r="1003" spans="2:23" ht="39">
      <c r="B1003" s="750" t="s">
        <v>8529</v>
      </c>
      <c r="C1003" s="750"/>
      <c r="D1003" s="751"/>
      <c r="E1003" s="752" t="s">
        <v>670</v>
      </c>
      <c r="F1003" s="753" t="str">
        <f>+VLOOKUP(G1003,Resumen_Base!$C$8:$G$156,5,0)</f>
        <v>Field:</v>
      </c>
      <c r="G1003" s="754" t="s">
        <v>133</v>
      </c>
      <c r="H1003" s="755" t="s">
        <v>451</v>
      </c>
      <c r="I1003" s="751" t="str">
        <f t="shared" si="17"/>
        <v>SJ5207</v>
      </c>
      <c r="J1003" s="470"/>
      <c r="K1003" s="470">
        <v>2800</v>
      </c>
      <c r="L1003" s="470"/>
      <c r="M1003" s="875">
        <v>46172</v>
      </c>
      <c r="N1003" s="751"/>
      <c r="O1003" s="751" t="s">
        <v>5763</v>
      </c>
      <c r="P1003" s="751"/>
      <c r="Q1003" s="875">
        <v>46183</v>
      </c>
      <c r="R1003" s="751"/>
      <c r="S1003" s="751" t="s">
        <v>8449</v>
      </c>
      <c r="T1003" s="751" t="s">
        <v>8449</v>
      </c>
      <c r="U1003" s="751"/>
      <c r="V1003" s="751" t="s">
        <v>6912</v>
      </c>
      <c r="W1003" s="793">
        <f t="shared" si="18"/>
        <v>2800</v>
      </c>
    </row>
    <row r="1004" spans="2:23" ht="39">
      <c r="B1004" s="750" t="s">
        <v>8529</v>
      </c>
      <c r="C1004" s="750"/>
      <c r="D1004" s="751"/>
      <c r="E1004" s="752" t="s">
        <v>676</v>
      </c>
      <c r="F1004" s="753" t="str">
        <f>+VLOOKUP(G1004,Resumen_Base!$C$8:$G$156,5,0)</f>
        <v>Miscellaneous &amp; Shipping</v>
      </c>
      <c r="G1004" s="754" t="s">
        <v>58</v>
      </c>
      <c r="H1004" s="755" t="s">
        <v>59</v>
      </c>
      <c r="I1004" s="751" t="str">
        <f t="shared" si="17"/>
        <v>CAR5219</v>
      </c>
      <c r="J1004" s="470"/>
      <c r="K1004" s="470">
        <v>846.15384615384619</v>
      </c>
      <c r="L1004" s="470"/>
      <c r="M1004" s="875">
        <v>46172</v>
      </c>
      <c r="N1004" s="751"/>
      <c r="O1004" s="751" t="s">
        <v>2771</v>
      </c>
      <c r="P1004" s="751"/>
      <c r="Q1004" s="875">
        <v>46182</v>
      </c>
      <c r="R1004" s="751"/>
      <c r="S1004" s="751" t="s">
        <v>8489</v>
      </c>
      <c r="T1004" s="751" t="s">
        <v>8489</v>
      </c>
      <c r="U1004" s="751"/>
      <c r="V1004" s="751" t="s">
        <v>6915</v>
      </c>
      <c r="W1004" s="513">
        <f>+K1004*39</f>
        <v>33000</v>
      </c>
    </row>
    <row r="1005" spans="2:23" ht="39">
      <c r="B1005" s="750" t="s">
        <v>8529</v>
      </c>
      <c r="C1005" s="750"/>
      <c r="D1005" s="751"/>
      <c r="E1005" s="752" t="s">
        <v>670</v>
      </c>
      <c r="F1005" s="753" t="str">
        <f>+VLOOKUP(G1005,Resumen_Base!$C$8:$G$156,5,0)</f>
        <v>Miscellaneous &amp; Shipping</v>
      </c>
      <c r="G1005" s="754" t="s">
        <v>58</v>
      </c>
      <c r="H1005" s="755" t="s">
        <v>59</v>
      </c>
      <c r="I1005" s="751" t="str">
        <f t="shared" si="17"/>
        <v>SJ5219</v>
      </c>
      <c r="J1005" s="470"/>
      <c r="K1005" s="470">
        <v>1351</v>
      </c>
      <c r="L1005" s="470"/>
      <c r="M1005" s="875">
        <v>46172</v>
      </c>
      <c r="N1005" s="751"/>
      <c r="O1005" s="751" t="s">
        <v>5763</v>
      </c>
      <c r="P1005" s="751"/>
      <c r="Q1005" s="875">
        <v>46186</v>
      </c>
      <c r="R1005" s="751"/>
      <c r="S1005" s="751" t="s">
        <v>8444</v>
      </c>
      <c r="T1005" s="751" t="s">
        <v>8444</v>
      </c>
      <c r="U1005" s="751"/>
      <c r="V1005" s="751" t="s">
        <v>6912</v>
      </c>
      <c r="W1005" s="793">
        <f>+K1005</f>
        <v>1351</v>
      </c>
    </row>
    <row r="1006" spans="2:23" ht="39">
      <c r="B1006" s="750" t="s">
        <v>8529</v>
      </c>
      <c r="C1006" s="750"/>
      <c r="D1006" s="751"/>
      <c r="E1006" s="752" t="s">
        <v>670</v>
      </c>
      <c r="F1006" s="753" t="str">
        <f>+VLOOKUP(G1006,Resumen_Base!$C$8:$G$156,5,0)</f>
        <v>Miscellaneous &amp; Shipping</v>
      </c>
      <c r="G1006" s="754" t="s">
        <v>58</v>
      </c>
      <c r="H1006" s="755" t="s">
        <v>59</v>
      </c>
      <c r="I1006" s="751" t="str">
        <f t="shared" si="17"/>
        <v>SJ5219</v>
      </c>
      <c r="J1006" s="470"/>
      <c r="K1006" s="470">
        <v>102.56410256410257</v>
      </c>
      <c r="L1006" s="470"/>
      <c r="M1006" s="875">
        <v>46172</v>
      </c>
      <c r="N1006" s="751"/>
      <c r="O1006" s="751" t="s">
        <v>5763</v>
      </c>
      <c r="P1006" s="751"/>
      <c r="Q1006" s="875">
        <v>46183</v>
      </c>
      <c r="R1006" s="751"/>
      <c r="S1006" s="751" t="s">
        <v>8459</v>
      </c>
      <c r="T1006" s="751" t="s">
        <v>8459</v>
      </c>
      <c r="U1006" s="751"/>
      <c r="V1006" s="751" t="s">
        <v>6915</v>
      </c>
      <c r="W1006" s="513">
        <f t="shared" ref="W1006:W1007" si="19">+K1006*39</f>
        <v>4000</v>
      </c>
    </row>
    <row r="1007" spans="2:23" ht="39">
      <c r="B1007" s="750" t="s">
        <v>8529</v>
      </c>
      <c r="C1007" s="750"/>
      <c r="D1007" s="751"/>
      <c r="E1007" s="752" t="s">
        <v>670</v>
      </c>
      <c r="F1007" s="753" t="str">
        <f>+VLOOKUP(G1007,Resumen_Base!$C$8:$G$156,5,0)</f>
        <v>Miscellaneous &amp; Shipping</v>
      </c>
      <c r="G1007" s="754" t="s">
        <v>58</v>
      </c>
      <c r="H1007" s="755" t="s">
        <v>59</v>
      </c>
      <c r="I1007" s="751" t="str">
        <f t="shared" si="17"/>
        <v>SJ5219</v>
      </c>
      <c r="J1007" s="470"/>
      <c r="K1007" s="470">
        <v>458.66666666666669</v>
      </c>
      <c r="L1007" s="470"/>
      <c r="M1007" s="875">
        <v>46172</v>
      </c>
      <c r="N1007" s="751"/>
      <c r="O1007" s="751" t="s">
        <v>5763</v>
      </c>
      <c r="P1007" s="751"/>
      <c r="Q1007" s="875">
        <v>46183</v>
      </c>
      <c r="R1007" s="751"/>
      <c r="S1007" s="751" t="s">
        <v>8460</v>
      </c>
      <c r="T1007" s="751" t="s">
        <v>8460</v>
      </c>
      <c r="U1007" s="751"/>
      <c r="V1007" s="751" t="s">
        <v>6915</v>
      </c>
      <c r="W1007" s="513">
        <f t="shared" si="19"/>
        <v>17888</v>
      </c>
    </row>
    <row r="1008" spans="2:23" ht="39">
      <c r="B1008" s="750" t="s">
        <v>8529</v>
      </c>
      <c r="C1008" s="750"/>
      <c r="D1008" s="751"/>
      <c r="E1008" s="752" t="s">
        <v>676</v>
      </c>
      <c r="F1008" s="753" t="str">
        <f>+VLOOKUP(G1008,Resumen_Base!$C$8:$G$156,5,0)</f>
        <v>Licenses / Permits (Fishing and Shooting)</v>
      </c>
      <c r="G1008" s="754" t="s">
        <v>62</v>
      </c>
      <c r="H1008" s="755" t="s">
        <v>63</v>
      </c>
      <c r="I1008" s="751" t="str">
        <f t="shared" si="17"/>
        <v>CAR5221</v>
      </c>
      <c r="J1008" s="470"/>
      <c r="K1008" s="470">
        <v>2340</v>
      </c>
      <c r="L1008" s="470"/>
      <c r="M1008" s="875">
        <v>46172</v>
      </c>
      <c r="N1008" s="751"/>
      <c r="O1008" s="751" t="s">
        <v>2771</v>
      </c>
      <c r="P1008" s="751"/>
      <c r="Q1008" s="875">
        <v>46186</v>
      </c>
      <c r="R1008" s="751"/>
      <c r="S1008" s="751" t="s">
        <v>8441</v>
      </c>
      <c r="T1008" s="751" t="s">
        <v>8441</v>
      </c>
      <c r="U1008" s="751"/>
      <c r="V1008" s="751" t="s">
        <v>6912</v>
      </c>
      <c r="W1008" s="793">
        <f t="shared" ref="W1008:W1012" si="20">+K1008</f>
        <v>2340</v>
      </c>
    </row>
    <row r="1009" spans="2:23" ht="39">
      <c r="B1009" s="750" t="s">
        <v>8529</v>
      </c>
      <c r="C1009" s="750"/>
      <c r="D1009" s="751"/>
      <c r="E1009" s="752" t="s">
        <v>670</v>
      </c>
      <c r="F1009" s="753" t="str">
        <f>+VLOOKUP(G1009,Resumen_Base!$C$8:$G$156,5,0)</f>
        <v>Licenses / Permits (Fishing and Shooting)</v>
      </c>
      <c r="G1009" s="754" t="s">
        <v>62</v>
      </c>
      <c r="H1009" s="755" t="s">
        <v>63</v>
      </c>
      <c r="I1009" s="751" t="str">
        <f t="shared" si="17"/>
        <v>SJ5221</v>
      </c>
      <c r="J1009" s="470"/>
      <c r="K1009" s="470">
        <v>305</v>
      </c>
      <c r="L1009" s="470"/>
      <c r="M1009" s="875">
        <v>46172</v>
      </c>
      <c r="N1009" s="751"/>
      <c r="O1009" s="751" t="s">
        <v>5763</v>
      </c>
      <c r="P1009" s="751"/>
      <c r="Q1009" s="875">
        <v>46183</v>
      </c>
      <c r="R1009" s="751"/>
      <c r="S1009" s="751" t="s">
        <v>8450</v>
      </c>
      <c r="T1009" s="751" t="s">
        <v>8450</v>
      </c>
      <c r="U1009" s="751"/>
      <c r="V1009" s="751" t="s">
        <v>6912</v>
      </c>
      <c r="W1009" s="793">
        <f t="shared" si="20"/>
        <v>305</v>
      </c>
    </row>
    <row r="1010" spans="2:23" ht="39">
      <c r="B1010" s="750" t="s">
        <v>8529</v>
      </c>
      <c r="C1010" s="750"/>
      <c r="D1010" s="751"/>
      <c r="E1010" s="752" t="s">
        <v>670</v>
      </c>
      <c r="F1010" s="753" t="str">
        <f>+VLOOKUP(G1010,Resumen_Base!$C$8:$G$156,5,0)</f>
        <v>Licenses / Permits (Fishing and Shooting)</v>
      </c>
      <c r="G1010" s="754" t="s">
        <v>62</v>
      </c>
      <c r="H1010" s="755" t="s">
        <v>63</v>
      </c>
      <c r="I1010" s="751" t="str">
        <f t="shared" si="17"/>
        <v>SJ5221</v>
      </c>
      <c r="J1010" s="470"/>
      <c r="K1010" s="470">
        <v>305</v>
      </c>
      <c r="L1010" s="470"/>
      <c r="M1010" s="875">
        <v>46172</v>
      </c>
      <c r="N1010" s="751"/>
      <c r="O1010" s="751" t="s">
        <v>5763</v>
      </c>
      <c r="P1010" s="751"/>
      <c r="Q1010" s="875">
        <v>46183</v>
      </c>
      <c r="R1010" s="751"/>
      <c r="S1010" s="751" t="s">
        <v>8451</v>
      </c>
      <c r="T1010" s="751" t="s">
        <v>8451</v>
      </c>
      <c r="U1010" s="751"/>
      <c r="V1010" s="751" t="s">
        <v>6912</v>
      </c>
      <c r="W1010" s="793">
        <f t="shared" si="20"/>
        <v>305</v>
      </c>
    </row>
    <row r="1011" spans="2:23" ht="39">
      <c r="B1011" s="750" t="s">
        <v>8529</v>
      </c>
      <c r="C1011" s="750"/>
      <c r="D1011" s="751"/>
      <c r="E1011" s="752" t="s">
        <v>676</v>
      </c>
      <c r="F1011" s="753" t="str">
        <f>+VLOOKUP(G1011,Resumen_Base!$C$8:$G$156,5,0)</f>
        <v>Transfer to and from the airport (local taxi) - Vehicle Rental</v>
      </c>
      <c r="G1011" s="754" t="s">
        <v>138</v>
      </c>
      <c r="H1011" s="755" t="s">
        <v>202</v>
      </c>
      <c r="I1011" s="751" t="str">
        <f t="shared" si="17"/>
        <v>CAR5225</v>
      </c>
      <c r="J1011" s="470"/>
      <c r="K1011" s="470">
        <v>7082</v>
      </c>
      <c r="L1011" s="470"/>
      <c r="M1011" s="875">
        <v>46172</v>
      </c>
      <c r="N1011" s="751"/>
      <c r="O1011" s="751" t="s">
        <v>2771</v>
      </c>
      <c r="P1011" s="751"/>
      <c r="Q1011" s="875">
        <v>46186</v>
      </c>
      <c r="R1011" s="751"/>
      <c r="S1011" s="751" t="s">
        <v>8442</v>
      </c>
      <c r="T1011" s="751" t="s">
        <v>8442</v>
      </c>
      <c r="U1011" s="751"/>
      <c r="V1011" s="751" t="s">
        <v>6912</v>
      </c>
      <c r="W1011" s="793">
        <f t="shared" si="20"/>
        <v>7082</v>
      </c>
    </row>
    <row r="1012" spans="2:23" ht="39">
      <c r="B1012" s="750" t="s">
        <v>8529</v>
      </c>
      <c r="C1012" s="750"/>
      <c r="D1012" s="751"/>
      <c r="E1012" s="752" t="s">
        <v>670</v>
      </c>
      <c r="F1012" s="753" t="str">
        <f>+VLOOKUP(G1012,Resumen_Base!$C$8:$G$156,5,0)</f>
        <v>Transfer to and from the airport (local taxi) - Vehicle Rental</v>
      </c>
      <c r="G1012" s="754" t="s">
        <v>138</v>
      </c>
      <c r="H1012" s="755" t="s">
        <v>202</v>
      </c>
      <c r="I1012" s="751" t="str">
        <f t="shared" si="17"/>
        <v>SJ5225</v>
      </c>
      <c r="J1012" s="470"/>
      <c r="K1012" s="470">
        <v>7680</v>
      </c>
      <c r="L1012" s="470"/>
      <c r="M1012" s="875">
        <v>46172</v>
      </c>
      <c r="N1012" s="751"/>
      <c r="O1012" s="751" t="s">
        <v>5763</v>
      </c>
      <c r="P1012" s="751"/>
      <c r="Q1012" s="875">
        <v>46186</v>
      </c>
      <c r="R1012" s="751"/>
      <c r="S1012" s="751" t="s">
        <v>8445</v>
      </c>
      <c r="T1012" s="751" t="s">
        <v>8445</v>
      </c>
      <c r="U1012" s="751"/>
      <c r="V1012" s="751" t="s">
        <v>6912</v>
      </c>
      <c r="W1012" s="793">
        <f t="shared" si="20"/>
        <v>7680</v>
      </c>
    </row>
    <row r="1013" spans="2:23" ht="39">
      <c r="B1013" s="750" t="s">
        <v>8529</v>
      </c>
      <c r="C1013" s="750"/>
      <c r="D1013" s="751"/>
      <c r="E1013" s="752" t="s">
        <v>676</v>
      </c>
      <c r="F1013" s="753" t="str">
        <f>+VLOOKUP(G1013,Resumen_Base!$C$8:$G$156,5,0)</f>
        <v>Services/House</v>
      </c>
      <c r="G1013" s="754" t="s">
        <v>321</v>
      </c>
      <c r="H1013" s="755" t="s">
        <v>455</v>
      </c>
      <c r="I1013" s="751" t="str">
        <f t="shared" si="17"/>
        <v>CAR5226</v>
      </c>
      <c r="J1013" s="470"/>
      <c r="K1013" s="470">
        <v>926.38461538461536</v>
      </c>
      <c r="L1013" s="470"/>
      <c r="M1013" s="875">
        <v>46172</v>
      </c>
      <c r="N1013" s="751"/>
      <c r="O1013" s="751" t="s">
        <v>2771</v>
      </c>
      <c r="P1013" s="751"/>
      <c r="Q1013" s="875">
        <v>46182</v>
      </c>
      <c r="R1013" s="751"/>
      <c r="S1013" s="751" t="s">
        <v>8490</v>
      </c>
      <c r="T1013" s="751" t="s">
        <v>8490</v>
      </c>
      <c r="U1013" s="751"/>
      <c r="V1013" s="751" t="s">
        <v>6915</v>
      </c>
      <c r="W1013" s="513">
        <f t="shared" ref="W1013:W1037" si="21">+K1013*39</f>
        <v>36129</v>
      </c>
    </row>
    <row r="1014" spans="2:23" ht="39">
      <c r="B1014" s="750" t="s">
        <v>8529</v>
      </c>
      <c r="C1014" s="750"/>
      <c r="D1014" s="751"/>
      <c r="E1014" s="752" t="s">
        <v>676</v>
      </c>
      <c r="F1014" s="753" t="str">
        <f>+VLOOKUP(G1014,Resumen_Base!$C$8:$G$156,5,0)</f>
        <v>Services/House</v>
      </c>
      <c r="G1014" s="754" t="s">
        <v>321</v>
      </c>
      <c r="H1014" s="755" t="s">
        <v>455</v>
      </c>
      <c r="I1014" s="751" t="str">
        <f t="shared" si="17"/>
        <v>CAR5226</v>
      </c>
      <c r="J1014" s="470"/>
      <c r="K1014" s="470">
        <v>906.53846153846155</v>
      </c>
      <c r="L1014" s="470"/>
      <c r="M1014" s="875">
        <v>46172</v>
      </c>
      <c r="N1014" s="751"/>
      <c r="O1014" s="751" t="s">
        <v>2771</v>
      </c>
      <c r="P1014" s="751"/>
      <c r="Q1014" s="875">
        <v>46182</v>
      </c>
      <c r="R1014" s="751"/>
      <c r="S1014" s="751" t="s">
        <v>8491</v>
      </c>
      <c r="T1014" s="751" t="s">
        <v>8491</v>
      </c>
      <c r="U1014" s="751"/>
      <c r="V1014" s="751" t="s">
        <v>6915</v>
      </c>
      <c r="W1014" s="513">
        <f t="shared" si="21"/>
        <v>35355</v>
      </c>
    </row>
    <row r="1015" spans="2:23" ht="39">
      <c r="B1015" s="750" t="s">
        <v>8529</v>
      </c>
      <c r="C1015" s="750"/>
      <c r="D1015" s="751"/>
      <c r="E1015" s="752" t="s">
        <v>676</v>
      </c>
      <c r="F1015" s="753" t="str">
        <f>+VLOOKUP(G1015,Resumen_Base!$C$8:$G$156,5,0)</f>
        <v>Services/House</v>
      </c>
      <c r="G1015" s="754" t="s">
        <v>321</v>
      </c>
      <c r="H1015" s="755" t="s">
        <v>455</v>
      </c>
      <c r="I1015" s="751" t="str">
        <f t="shared" si="17"/>
        <v>CAR5226</v>
      </c>
      <c r="J1015" s="470"/>
      <c r="K1015" s="470">
        <v>926.38461538461536</v>
      </c>
      <c r="L1015" s="470"/>
      <c r="M1015" s="875">
        <v>46172</v>
      </c>
      <c r="N1015" s="751"/>
      <c r="O1015" s="751" t="s">
        <v>2771</v>
      </c>
      <c r="P1015" s="751"/>
      <c r="Q1015" s="875">
        <v>46182</v>
      </c>
      <c r="R1015" s="751"/>
      <c r="S1015" s="751" t="s">
        <v>8492</v>
      </c>
      <c r="T1015" s="751" t="s">
        <v>8492</v>
      </c>
      <c r="U1015" s="751"/>
      <c r="V1015" s="751" t="s">
        <v>6915</v>
      </c>
      <c r="W1015" s="513">
        <f t="shared" si="21"/>
        <v>36129</v>
      </c>
    </row>
    <row r="1016" spans="2:23" ht="39">
      <c r="B1016" s="750" t="s">
        <v>8529</v>
      </c>
      <c r="C1016" s="750"/>
      <c r="D1016" s="751"/>
      <c r="E1016" s="752" t="s">
        <v>676</v>
      </c>
      <c r="F1016" s="753" t="str">
        <f>+VLOOKUP(G1016,Resumen_Base!$C$8:$G$156,5,0)</f>
        <v>Services/House</v>
      </c>
      <c r="G1016" s="754" t="s">
        <v>321</v>
      </c>
      <c r="H1016" s="755" t="s">
        <v>455</v>
      </c>
      <c r="I1016" s="751" t="str">
        <f t="shared" si="17"/>
        <v>CAR5226</v>
      </c>
      <c r="J1016" s="470"/>
      <c r="K1016" s="470">
        <v>909.10256410256409</v>
      </c>
      <c r="L1016" s="470"/>
      <c r="M1016" s="875">
        <v>46172</v>
      </c>
      <c r="N1016" s="751"/>
      <c r="O1016" s="751" t="s">
        <v>2771</v>
      </c>
      <c r="P1016" s="751"/>
      <c r="Q1016" s="875">
        <v>46182</v>
      </c>
      <c r="R1016" s="751"/>
      <c r="S1016" s="751" t="s">
        <v>8493</v>
      </c>
      <c r="T1016" s="751" t="s">
        <v>8493</v>
      </c>
      <c r="U1016" s="751"/>
      <c r="V1016" s="751" t="s">
        <v>6915</v>
      </c>
      <c r="W1016" s="513">
        <f t="shared" si="21"/>
        <v>35455</v>
      </c>
    </row>
    <row r="1017" spans="2:23" ht="39">
      <c r="B1017" s="750" t="s">
        <v>8529</v>
      </c>
      <c r="C1017" s="750"/>
      <c r="D1017" s="751"/>
      <c r="E1017" s="752" t="s">
        <v>670</v>
      </c>
      <c r="F1017" s="753" t="str">
        <f>+VLOOKUP(G1017,Resumen_Base!$C$8:$G$156,5,0)</f>
        <v>Services/House</v>
      </c>
      <c r="G1017" s="754" t="s">
        <v>321</v>
      </c>
      <c r="H1017" s="755" t="s">
        <v>455</v>
      </c>
      <c r="I1017" s="751" t="str">
        <f t="shared" si="17"/>
        <v>SJ5226</v>
      </c>
      <c r="J1017" s="470"/>
      <c r="K1017" s="470">
        <v>51.282051282051285</v>
      </c>
      <c r="L1017" s="470"/>
      <c r="M1017" s="875">
        <v>46172</v>
      </c>
      <c r="N1017" s="751"/>
      <c r="O1017" s="751" t="s">
        <v>5763</v>
      </c>
      <c r="P1017" s="751"/>
      <c r="Q1017" s="875">
        <v>46183</v>
      </c>
      <c r="R1017" s="751"/>
      <c r="S1017" s="751" t="s">
        <v>8461</v>
      </c>
      <c r="T1017" s="751" t="s">
        <v>8461</v>
      </c>
      <c r="U1017" s="751"/>
      <c r="V1017" s="751" t="s">
        <v>6915</v>
      </c>
      <c r="W1017" s="513">
        <f t="shared" si="21"/>
        <v>2000</v>
      </c>
    </row>
    <row r="1018" spans="2:23" ht="39">
      <c r="B1018" s="750" t="s">
        <v>8529</v>
      </c>
      <c r="C1018" s="750"/>
      <c r="D1018" s="751"/>
      <c r="E1018" s="752" t="s">
        <v>670</v>
      </c>
      <c r="F1018" s="753" t="str">
        <f>+VLOOKUP(G1018,Resumen_Base!$C$8:$G$156,5,0)</f>
        <v>Services/House</v>
      </c>
      <c r="G1018" s="754" t="s">
        <v>321</v>
      </c>
      <c r="H1018" s="755" t="s">
        <v>455</v>
      </c>
      <c r="I1018" s="751" t="str">
        <f t="shared" si="17"/>
        <v>SJ5226</v>
      </c>
      <c r="J1018" s="470"/>
      <c r="K1018" s="470">
        <v>1025.6410256410256</v>
      </c>
      <c r="L1018" s="470"/>
      <c r="M1018" s="875">
        <v>46172</v>
      </c>
      <c r="N1018" s="751"/>
      <c r="O1018" s="751" t="s">
        <v>5763</v>
      </c>
      <c r="P1018" s="751"/>
      <c r="Q1018" s="875">
        <v>46183</v>
      </c>
      <c r="R1018" s="751"/>
      <c r="S1018" s="751" t="s">
        <v>8462</v>
      </c>
      <c r="T1018" s="751" t="s">
        <v>8462</v>
      </c>
      <c r="U1018" s="751"/>
      <c r="V1018" s="751" t="s">
        <v>6915</v>
      </c>
      <c r="W1018" s="513">
        <f t="shared" si="21"/>
        <v>40000</v>
      </c>
    </row>
    <row r="1019" spans="2:23" ht="39">
      <c r="B1019" s="750" t="s">
        <v>8529</v>
      </c>
      <c r="C1019" s="750"/>
      <c r="D1019" s="751"/>
      <c r="E1019" s="752" t="s">
        <v>670</v>
      </c>
      <c r="F1019" s="753" t="str">
        <f>+VLOOKUP(G1019,Resumen_Base!$C$8:$G$156,5,0)</f>
        <v>Services/House</v>
      </c>
      <c r="G1019" s="754" t="s">
        <v>321</v>
      </c>
      <c r="H1019" s="755" t="s">
        <v>455</v>
      </c>
      <c r="I1019" s="751" t="str">
        <f t="shared" si="17"/>
        <v>SJ5226</v>
      </c>
      <c r="J1019" s="470"/>
      <c r="K1019" s="470">
        <v>794.87179487179492</v>
      </c>
      <c r="L1019" s="470"/>
      <c r="M1019" s="875">
        <v>46172</v>
      </c>
      <c r="N1019" s="751"/>
      <c r="O1019" s="751" t="s">
        <v>5763</v>
      </c>
      <c r="P1019" s="751"/>
      <c r="Q1019" s="875">
        <v>46183</v>
      </c>
      <c r="R1019" s="751"/>
      <c r="S1019" s="751" t="s">
        <v>8463</v>
      </c>
      <c r="T1019" s="751" t="s">
        <v>8463</v>
      </c>
      <c r="U1019" s="751"/>
      <c r="V1019" s="751" t="s">
        <v>6915</v>
      </c>
      <c r="W1019" s="513">
        <f t="shared" si="21"/>
        <v>31000</v>
      </c>
    </row>
    <row r="1020" spans="2:23" ht="39">
      <c r="B1020" s="750" t="s">
        <v>8529</v>
      </c>
      <c r="C1020" s="750"/>
      <c r="D1020" s="751"/>
      <c r="E1020" s="752" t="s">
        <v>670</v>
      </c>
      <c r="F1020" s="753" t="str">
        <f>+VLOOKUP(G1020,Resumen_Base!$C$8:$G$156,5,0)</f>
        <v>Services/House</v>
      </c>
      <c r="G1020" s="754" t="s">
        <v>321</v>
      </c>
      <c r="H1020" s="755" t="s">
        <v>455</v>
      </c>
      <c r="I1020" s="751" t="str">
        <f t="shared" si="17"/>
        <v>SJ5226</v>
      </c>
      <c r="J1020" s="470"/>
      <c r="K1020" s="470">
        <v>512.82051282051282</v>
      </c>
      <c r="L1020" s="470"/>
      <c r="M1020" s="875">
        <v>46172</v>
      </c>
      <c r="N1020" s="751"/>
      <c r="O1020" s="751" t="s">
        <v>5763</v>
      </c>
      <c r="P1020" s="751"/>
      <c r="Q1020" s="875">
        <v>46183</v>
      </c>
      <c r="R1020" s="751"/>
      <c r="S1020" s="751" t="s">
        <v>8464</v>
      </c>
      <c r="T1020" s="751" t="s">
        <v>8464</v>
      </c>
      <c r="U1020" s="751"/>
      <c r="V1020" s="751" t="s">
        <v>6915</v>
      </c>
      <c r="W1020" s="513">
        <f t="shared" si="21"/>
        <v>20000</v>
      </c>
    </row>
    <row r="1021" spans="2:23" ht="39">
      <c r="B1021" s="750" t="s">
        <v>8529</v>
      </c>
      <c r="C1021" s="750"/>
      <c r="D1021" s="751"/>
      <c r="E1021" s="752" t="s">
        <v>676</v>
      </c>
      <c r="F1021" s="753" t="str">
        <f>+VLOOKUP(G1021,Resumen_Base!$C$8:$G$156,5,0)</f>
        <v>Guides</v>
      </c>
      <c r="G1021" s="754" t="s">
        <v>323</v>
      </c>
      <c r="H1021" s="755" t="s">
        <v>453</v>
      </c>
      <c r="I1021" s="751" t="str">
        <f t="shared" si="17"/>
        <v>CAR5227</v>
      </c>
      <c r="J1021" s="470"/>
      <c r="K1021" s="470">
        <v>501.28205128205127</v>
      </c>
      <c r="L1021" s="470"/>
      <c r="M1021" s="875">
        <v>46172</v>
      </c>
      <c r="N1021" s="751"/>
      <c r="O1021" s="751" t="s">
        <v>2771</v>
      </c>
      <c r="P1021" s="751"/>
      <c r="Q1021" s="875">
        <v>46182</v>
      </c>
      <c r="R1021" s="751"/>
      <c r="S1021" s="751" t="s">
        <v>8494</v>
      </c>
      <c r="T1021" s="751" t="s">
        <v>8494</v>
      </c>
      <c r="U1021" s="751"/>
      <c r="V1021" s="751" t="s">
        <v>6915</v>
      </c>
      <c r="W1021" s="513">
        <f t="shared" si="21"/>
        <v>19550</v>
      </c>
    </row>
    <row r="1022" spans="2:23" ht="39">
      <c r="B1022" s="750" t="s">
        <v>8529</v>
      </c>
      <c r="C1022" s="750"/>
      <c r="D1022" s="751"/>
      <c r="E1022" s="752" t="s">
        <v>676</v>
      </c>
      <c r="F1022" s="753" t="str">
        <f>+VLOOKUP(G1022,Resumen_Base!$C$8:$G$156,5,0)</f>
        <v>Guides</v>
      </c>
      <c r="G1022" s="754" t="s">
        <v>323</v>
      </c>
      <c r="H1022" s="755" t="s">
        <v>453</v>
      </c>
      <c r="I1022" s="751" t="str">
        <f t="shared" si="17"/>
        <v>CAR5227</v>
      </c>
      <c r="J1022" s="470"/>
      <c r="K1022" s="470">
        <v>174.35897435897436</v>
      </c>
      <c r="L1022" s="470"/>
      <c r="M1022" s="875">
        <v>46172</v>
      </c>
      <c r="N1022" s="751"/>
      <c r="O1022" s="751" t="s">
        <v>2771</v>
      </c>
      <c r="P1022" s="751"/>
      <c r="Q1022" s="875">
        <v>46182</v>
      </c>
      <c r="R1022" s="751"/>
      <c r="S1022" s="751" t="s">
        <v>8495</v>
      </c>
      <c r="T1022" s="751" t="s">
        <v>8495</v>
      </c>
      <c r="U1022" s="751"/>
      <c r="V1022" s="751" t="s">
        <v>6915</v>
      </c>
      <c r="W1022" s="513">
        <f t="shared" si="21"/>
        <v>6800</v>
      </c>
    </row>
    <row r="1023" spans="2:23" ht="39">
      <c r="B1023" s="750" t="s">
        <v>8529</v>
      </c>
      <c r="C1023" s="750"/>
      <c r="D1023" s="751"/>
      <c r="E1023" s="752" t="s">
        <v>676</v>
      </c>
      <c r="F1023" s="753" t="str">
        <f>+VLOOKUP(G1023,Resumen_Base!$C$8:$G$156,5,0)</f>
        <v>Guides</v>
      </c>
      <c r="G1023" s="754" t="s">
        <v>323</v>
      </c>
      <c r="H1023" s="755" t="s">
        <v>453</v>
      </c>
      <c r="I1023" s="751" t="str">
        <f t="shared" si="17"/>
        <v>CAR5227</v>
      </c>
      <c r="J1023" s="470"/>
      <c r="K1023" s="470">
        <v>610.25641025641028</v>
      </c>
      <c r="L1023" s="470"/>
      <c r="M1023" s="875">
        <v>46172</v>
      </c>
      <c r="N1023" s="751"/>
      <c r="O1023" s="751" t="s">
        <v>2771</v>
      </c>
      <c r="P1023" s="751"/>
      <c r="Q1023" s="875">
        <v>46182</v>
      </c>
      <c r="R1023" s="751"/>
      <c r="S1023" s="751" t="s">
        <v>8496</v>
      </c>
      <c r="T1023" s="751" t="s">
        <v>8496</v>
      </c>
      <c r="U1023" s="751"/>
      <c r="V1023" s="751" t="s">
        <v>6915</v>
      </c>
      <c r="W1023" s="513">
        <f t="shared" si="21"/>
        <v>23800</v>
      </c>
    </row>
    <row r="1024" spans="2:23" ht="39">
      <c r="B1024" s="750" t="s">
        <v>8529</v>
      </c>
      <c r="C1024" s="750"/>
      <c r="D1024" s="751"/>
      <c r="E1024" s="752" t="s">
        <v>676</v>
      </c>
      <c r="F1024" s="753" t="str">
        <f>+VLOOKUP(G1024,Resumen_Base!$C$8:$G$156,5,0)</f>
        <v>Guides</v>
      </c>
      <c r="G1024" s="754" t="s">
        <v>323</v>
      </c>
      <c r="H1024" s="755" t="s">
        <v>453</v>
      </c>
      <c r="I1024" s="751" t="str">
        <f t="shared" si="17"/>
        <v>CAR5227</v>
      </c>
      <c r="J1024" s="470"/>
      <c r="K1024" s="470">
        <v>261.53846153846155</v>
      </c>
      <c r="L1024" s="470"/>
      <c r="M1024" s="875">
        <v>46172</v>
      </c>
      <c r="N1024" s="751"/>
      <c r="O1024" s="751" t="s">
        <v>2771</v>
      </c>
      <c r="P1024" s="751"/>
      <c r="Q1024" s="875">
        <v>46182</v>
      </c>
      <c r="R1024" s="751"/>
      <c r="S1024" s="751" t="s">
        <v>8497</v>
      </c>
      <c r="T1024" s="751" t="s">
        <v>8497</v>
      </c>
      <c r="U1024" s="751"/>
      <c r="V1024" s="751" t="s">
        <v>6915</v>
      </c>
      <c r="W1024" s="513">
        <f t="shared" si="21"/>
        <v>10200</v>
      </c>
    </row>
    <row r="1025" spans="2:23" ht="39">
      <c r="B1025" s="750" t="s">
        <v>8529</v>
      </c>
      <c r="C1025" s="750"/>
      <c r="D1025" s="751"/>
      <c r="E1025" s="752" t="s">
        <v>676</v>
      </c>
      <c r="F1025" s="753" t="str">
        <f>+VLOOKUP(G1025,Resumen_Base!$C$8:$G$156,5,0)</f>
        <v>Guides</v>
      </c>
      <c r="G1025" s="754" t="s">
        <v>323</v>
      </c>
      <c r="H1025" s="755" t="s">
        <v>453</v>
      </c>
      <c r="I1025" s="751" t="str">
        <f t="shared" si="17"/>
        <v>CAR5227</v>
      </c>
      <c r="J1025" s="470"/>
      <c r="K1025" s="470">
        <v>261.53846153846155</v>
      </c>
      <c r="L1025" s="470"/>
      <c r="M1025" s="875">
        <v>46172</v>
      </c>
      <c r="N1025" s="751"/>
      <c r="O1025" s="751" t="s">
        <v>2771</v>
      </c>
      <c r="P1025" s="751"/>
      <c r="Q1025" s="875">
        <v>46182</v>
      </c>
      <c r="R1025" s="751"/>
      <c r="S1025" s="751" t="s">
        <v>8498</v>
      </c>
      <c r="T1025" s="751" t="s">
        <v>8498</v>
      </c>
      <c r="U1025" s="751"/>
      <c r="V1025" s="751" t="s">
        <v>6915</v>
      </c>
      <c r="W1025" s="513">
        <f t="shared" si="21"/>
        <v>10200</v>
      </c>
    </row>
    <row r="1026" spans="2:23" ht="39">
      <c r="B1026" s="750" t="s">
        <v>8529</v>
      </c>
      <c r="C1026" s="750"/>
      <c r="D1026" s="751"/>
      <c r="E1026" s="752" t="s">
        <v>676</v>
      </c>
      <c r="F1026" s="753" t="str">
        <f>+VLOOKUP(G1026,Resumen_Base!$C$8:$G$156,5,0)</f>
        <v>Guides</v>
      </c>
      <c r="G1026" s="754" t="s">
        <v>323</v>
      </c>
      <c r="H1026" s="755" t="s">
        <v>453</v>
      </c>
      <c r="I1026" s="751" t="str">
        <f t="shared" si="17"/>
        <v>CAR5227</v>
      </c>
      <c r="J1026" s="470"/>
      <c r="K1026" s="470">
        <v>239.74358974358975</v>
      </c>
      <c r="L1026" s="470"/>
      <c r="M1026" s="875">
        <v>46172</v>
      </c>
      <c r="N1026" s="751"/>
      <c r="O1026" s="751" t="s">
        <v>2771</v>
      </c>
      <c r="P1026" s="751"/>
      <c r="Q1026" s="875">
        <v>46182</v>
      </c>
      <c r="R1026" s="751"/>
      <c r="S1026" s="751" t="s">
        <v>8499</v>
      </c>
      <c r="T1026" s="751" t="s">
        <v>8499</v>
      </c>
      <c r="U1026" s="751"/>
      <c r="V1026" s="751" t="s">
        <v>6915</v>
      </c>
      <c r="W1026" s="513">
        <f t="shared" si="21"/>
        <v>9350</v>
      </c>
    </row>
    <row r="1027" spans="2:23" ht="39">
      <c r="B1027" s="750" t="s">
        <v>8529</v>
      </c>
      <c r="C1027" s="750"/>
      <c r="D1027" s="751"/>
      <c r="E1027" s="752" t="s">
        <v>676</v>
      </c>
      <c r="F1027" s="753" t="str">
        <f>+VLOOKUP(G1027,Resumen_Base!$C$8:$G$156,5,0)</f>
        <v>Guides</v>
      </c>
      <c r="G1027" s="754" t="s">
        <v>323</v>
      </c>
      <c r="H1027" s="755" t="s">
        <v>453</v>
      </c>
      <c r="I1027" s="751" t="str">
        <f t="shared" si="17"/>
        <v>CAR5227</v>
      </c>
      <c r="J1027" s="470"/>
      <c r="K1027" s="470">
        <v>457.69230769230768</v>
      </c>
      <c r="L1027" s="470"/>
      <c r="M1027" s="875">
        <v>46172</v>
      </c>
      <c r="N1027" s="751"/>
      <c r="O1027" s="751" t="s">
        <v>2771</v>
      </c>
      <c r="P1027" s="751"/>
      <c r="Q1027" s="875">
        <v>46182</v>
      </c>
      <c r="R1027" s="751"/>
      <c r="S1027" s="751" t="s">
        <v>8500</v>
      </c>
      <c r="T1027" s="751" t="s">
        <v>8500</v>
      </c>
      <c r="U1027" s="751"/>
      <c r="V1027" s="751" t="s">
        <v>6915</v>
      </c>
      <c r="W1027" s="513">
        <f t="shared" si="21"/>
        <v>17850</v>
      </c>
    </row>
    <row r="1028" spans="2:23" ht="39">
      <c r="B1028" s="750" t="s">
        <v>8529</v>
      </c>
      <c r="C1028" s="750"/>
      <c r="D1028" s="751"/>
      <c r="E1028" s="752" t="s">
        <v>676</v>
      </c>
      <c r="F1028" s="753" t="str">
        <f>+VLOOKUP(G1028,Resumen_Base!$C$8:$G$156,5,0)</f>
        <v>Guides</v>
      </c>
      <c r="G1028" s="754" t="s">
        <v>323</v>
      </c>
      <c r="H1028" s="755" t="s">
        <v>453</v>
      </c>
      <c r="I1028" s="751" t="str">
        <f t="shared" si="17"/>
        <v>CAR5227</v>
      </c>
      <c r="J1028" s="470"/>
      <c r="K1028" s="470">
        <v>21.794871794871796</v>
      </c>
      <c r="L1028" s="470"/>
      <c r="M1028" s="875">
        <v>46172</v>
      </c>
      <c r="N1028" s="751"/>
      <c r="O1028" s="751" t="s">
        <v>2771</v>
      </c>
      <c r="P1028" s="751"/>
      <c r="Q1028" s="875">
        <v>46182</v>
      </c>
      <c r="R1028" s="751"/>
      <c r="S1028" s="751" t="s">
        <v>8501</v>
      </c>
      <c r="T1028" s="751" t="s">
        <v>8501</v>
      </c>
      <c r="U1028" s="751"/>
      <c r="V1028" s="751" t="s">
        <v>6915</v>
      </c>
      <c r="W1028" s="513">
        <f t="shared" si="21"/>
        <v>850</v>
      </c>
    </row>
    <row r="1029" spans="2:23" ht="39">
      <c r="B1029" s="750" t="s">
        <v>8529</v>
      </c>
      <c r="C1029" s="750"/>
      <c r="D1029" s="751"/>
      <c r="E1029" s="752" t="s">
        <v>676</v>
      </c>
      <c r="F1029" s="753" t="str">
        <f>+VLOOKUP(G1029,Resumen_Base!$C$8:$G$156,5,0)</f>
        <v>Guides</v>
      </c>
      <c r="G1029" s="754" t="s">
        <v>323</v>
      </c>
      <c r="H1029" s="755" t="s">
        <v>453</v>
      </c>
      <c r="I1029" s="751" t="str">
        <f t="shared" si="17"/>
        <v>CAR5227</v>
      </c>
      <c r="J1029" s="470"/>
      <c r="K1029" s="470">
        <v>217.94871794871796</v>
      </c>
      <c r="L1029" s="470"/>
      <c r="M1029" s="875">
        <v>46172</v>
      </c>
      <c r="N1029" s="751"/>
      <c r="O1029" s="751" t="s">
        <v>2771</v>
      </c>
      <c r="P1029" s="751"/>
      <c r="Q1029" s="875">
        <v>46182</v>
      </c>
      <c r="R1029" s="751"/>
      <c r="S1029" s="751" t="s">
        <v>8502</v>
      </c>
      <c r="T1029" s="751" t="s">
        <v>8502</v>
      </c>
      <c r="U1029" s="751"/>
      <c r="V1029" s="751" t="s">
        <v>6915</v>
      </c>
      <c r="W1029" s="513">
        <f t="shared" si="21"/>
        <v>8500</v>
      </c>
    </row>
    <row r="1030" spans="2:23" ht="39">
      <c r="B1030" s="750" t="s">
        <v>8529</v>
      </c>
      <c r="C1030" s="750"/>
      <c r="D1030" s="751"/>
      <c r="E1030" s="752" t="s">
        <v>676</v>
      </c>
      <c r="F1030" s="753" t="str">
        <f>+VLOOKUP(G1030,Resumen_Base!$C$8:$G$156,5,0)</f>
        <v>Guides</v>
      </c>
      <c r="G1030" s="754" t="s">
        <v>323</v>
      </c>
      <c r="H1030" s="755" t="s">
        <v>453</v>
      </c>
      <c r="I1030" s="751" t="str">
        <f t="shared" si="17"/>
        <v>CAR5227</v>
      </c>
      <c r="J1030" s="470"/>
      <c r="K1030" s="470">
        <v>457.69230769230768</v>
      </c>
      <c r="L1030" s="470"/>
      <c r="M1030" s="875">
        <v>46172</v>
      </c>
      <c r="N1030" s="751"/>
      <c r="O1030" s="751" t="s">
        <v>2771</v>
      </c>
      <c r="P1030" s="751"/>
      <c r="Q1030" s="875">
        <v>46182</v>
      </c>
      <c r="R1030" s="751"/>
      <c r="S1030" s="751" t="s">
        <v>8503</v>
      </c>
      <c r="T1030" s="751" t="s">
        <v>8503</v>
      </c>
      <c r="U1030" s="751"/>
      <c r="V1030" s="751" t="s">
        <v>6915</v>
      </c>
      <c r="W1030" s="513">
        <f t="shared" si="21"/>
        <v>17850</v>
      </c>
    </row>
    <row r="1031" spans="2:23" ht="39">
      <c r="B1031" s="750" t="s">
        <v>8529</v>
      </c>
      <c r="C1031" s="750"/>
      <c r="D1031" s="751"/>
      <c r="E1031" s="752" t="s">
        <v>676</v>
      </c>
      <c r="F1031" s="753" t="str">
        <f>+VLOOKUP(G1031,Resumen_Base!$C$8:$G$156,5,0)</f>
        <v>Guides</v>
      </c>
      <c r="G1031" s="754" t="s">
        <v>323</v>
      </c>
      <c r="H1031" s="755" t="s">
        <v>453</v>
      </c>
      <c r="I1031" s="751" t="str">
        <f t="shared" si="17"/>
        <v>CAR5227</v>
      </c>
      <c r="J1031" s="470"/>
      <c r="K1031" s="470">
        <v>457.69230769230768</v>
      </c>
      <c r="L1031" s="470"/>
      <c r="M1031" s="875">
        <v>46172</v>
      </c>
      <c r="N1031" s="751"/>
      <c r="O1031" s="751" t="s">
        <v>2771</v>
      </c>
      <c r="P1031" s="751"/>
      <c r="Q1031" s="875">
        <v>46182</v>
      </c>
      <c r="R1031" s="751"/>
      <c r="S1031" s="751" t="s">
        <v>8504</v>
      </c>
      <c r="T1031" s="751" t="s">
        <v>8504</v>
      </c>
      <c r="U1031" s="751"/>
      <c r="V1031" s="751" t="s">
        <v>6915</v>
      </c>
      <c r="W1031" s="513">
        <f t="shared" si="21"/>
        <v>17850</v>
      </c>
    </row>
    <row r="1032" spans="2:23" ht="39">
      <c r="B1032" s="750" t="s">
        <v>8529</v>
      </c>
      <c r="C1032" s="750"/>
      <c r="D1032" s="751"/>
      <c r="E1032" s="752" t="s">
        <v>676</v>
      </c>
      <c r="F1032" s="753" t="str">
        <f>+VLOOKUP(G1032,Resumen_Base!$C$8:$G$156,5,0)</f>
        <v>Guides</v>
      </c>
      <c r="G1032" s="754" t="s">
        <v>323</v>
      </c>
      <c r="H1032" s="755" t="s">
        <v>453</v>
      </c>
      <c r="I1032" s="751" t="str">
        <f t="shared" si="17"/>
        <v>CAR5227</v>
      </c>
      <c r="J1032" s="470"/>
      <c r="K1032" s="470">
        <v>524.10256410256409</v>
      </c>
      <c r="L1032" s="470"/>
      <c r="M1032" s="875">
        <v>46172</v>
      </c>
      <c r="N1032" s="751"/>
      <c r="O1032" s="751" t="s">
        <v>2771</v>
      </c>
      <c r="P1032" s="751"/>
      <c r="Q1032" s="875">
        <v>46182</v>
      </c>
      <c r="R1032" s="751"/>
      <c r="S1032" s="751" t="s">
        <v>8505</v>
      </c>
      <c r="T1032" s="751" t="s">
        <v>8505</v>
      </c>
      <c r="U1032" s="751"/>
      <c r="V1032" s="751" t="s">
        <v>6915</v>
      </c>
      <c r="W1032" s="513">
        <f t="shared" si="21"/>
        <v>20440</v>
      </c>
    </row>
    <row r="1033" spans="2:23" ht="39">
      <c r="B1033" s="750" t="s">
        <v>8529</v>
      </c>
      <c r="C1033" s="750"/>
      <c r="D1033" s="751"/>
      <c r="E1033" s="752" t="s">
        <v>676</v>
      </c>
      <c r="F1033" s="753" t="str">
        <f>+VLOOKUP(G1033,Resumen_Base!$C$8:$G$156,5,0)</f>
        <v>Guides</v>
      </c>
      <c r="G1033" s="754" t="s">
        <v>323</v>
      </c>
      <c r="H1033" s="755" t="s">
        <v>453</v>
      </c>
      <c r="I1033" s="751" t="str">
        <f t="shared" si="17"/>
        <v>CAR5227</v>
      </c>
      <c r="J1033" s="470"/>
      <c r="K1033" s="470">
        <v>23.596923076923076</v>
      </c>
      <c r="L1033" s="470"/>
      <c r="M1033" s="875">
        <v>46172</v>
      </c>
      <c r="N1033" s="751"/>
      <c r="O1033" s="751" t="s">
        <v>2771</v>
      </c>
      <c r="P1033" s="751"/>
      <c r="Q1033" s="875">
        <v>46182</v>
      </c>
      <c r="R1033" s="751"/>
      <c r="S1033" s="751" t="s">
        <v>2797</v>
      </c>
      <c r="T1033" s="751" t="s">
        <v>2797</v>
      </c>
      <c r="U1033" s="751"/>
      <c r="V1033" s="751" t="s">
        <v>6915</v>
      </c>
      <c r="W1033" s="513">
        <f t="shared" si="21"/>
        <v>920.28</v>
      </c>
    </row>
    <row r="1034" spans="2:23" ht="39">
      <c r="B1034" s="750" t="s">
        <v>8529</v>
      </c>
      <c r="C1034" s="750"/>
      <c r="D1034" s="751"/>
      <c r="E1034" s="752" t="s">
        <v>676</v>
      </c>
      <c r="F1034" s="753" t="str">
        <f>+VLOOKUP(G1034,Resumen_Base!$C$8:$G$156,5,0)</f>
        <v>Guides</v>
      </c>
      <c r="G1034" s="754" t="s">
        <v>323</v>
      </c>
      <c r="H1034" s="755" t="s">
        <v>453</v>
      </c>
      <c r="I1034" s="751" t="str">
        <f t="shared" si="17"/>
        <v>CAR5227</v>
      </c>
      <c r="J1034" s="470"/>
      <c r="K1034" s="470">
        <v>2666.6666666666665</v>
      </c>
      <c r="L1034" s="470"/>
      <c r="M1034" s="875">
        <v>46172</v>
      </c>
      <c r="N1034" s="751"/>
      <c r="O1034" s="751" t="s">
        <v>2771</v>
      </c>
      <c r="P1034" s="751"/>
      <c r="Q1034" s="875">
        <v>46182</v>
      </c>
      <c r="R1034" s="751"/>
      <c r="S1034" s="751" t="s">
        <v>8506</v>
      </c>
      <c r="T1034" s="751" t="s">
        <v>8506</v>
      </c>
      <c r="U1034" s="751"/>
      <c r="V1034" s="751" t="s">
        <v>6915</v>
      </c>
      <c r="W1034" s="513">
        <f t="shared" si="21"/>
        <v>104000</v>
      </c>
    </row>
    <row r="1035" spans="2:23" ht="39">
      <c r="B1035" s="750" t="s">
        <v>8529</v>
      </c>
      <c r="C1035" s="750"/>
      <c r="D1035" s="751"/>
      <c r="E1035" s="752" t="s">
        <v>676</v>
      </c>
      <c r="F1035" s="753" t="str">
        <f>+VLOOKUP(G1035,Resumen_Base!$C$8:$G$156,5,0)</f>
        <v>Guides</v>
      </c>
      <c r="G1035" s="754" t="s">
        <v>323</v>
      </c>
      <c r="H1035" s="755" t="s">
        <v>453</v>
      </c>
      <c r="I1035" s="751" t="str">
        <f t="shared" si="17"/>
        <v>CAR5227</v>
      </c>
      <c r="J1035" s="470"/>
      <c r="K1035" s="470">
        <v>897.43589743589746</v>
      </c>
      <c r="L1035" s="470"/>
      <c r="M1035" s="875">
        <v>46172</v>
      </c>
      <c r="N1035" s="751"/>
      <c r="O1035" s="751" t="s">
        <v>2771</v>
      </c>
      <c r="P1035" s="751"/>
      <c r="Q1035" s="875">
        <v>46182</v>
      </c>
      <c r="R1035" s="751"/>
      <c r="S1035" s="751" t="s">
        <v>8507</v>
      </c>
      <c r="T1035" s="751" t="s">
        <v>8507</v>
      </c>
      <c r="U1035" s="751"/>
      <c r="V1035" s="751" t="s">
        <v>6915</v>
      </c>
      <c r="W1035" s="513">
        <f t="shared" si="21"/>
        <v>35000</v>
      </c>
    </row>
    <row r="1036" spans="2:23" ht="39">
      <c r="B1036" s="750" t="s">
        <v>8529</v>
      </c>
      <c r="C1036" s="750"/>
      <c r="D1036" s="751"/>
      <c r="E1036" s="752" t="s">
        <v>676</v>
      </c>
      <c r="F1036" s="753" t="str">
        <f>+VLOOKUP(G1036,Resumen_Base!$C$8:$G$156,5,0)</f>
        <v>Guides</v>
      </c>
      <c r="G1036" s="754" t="s">
        <v>323</v>
      </c>
      <c r="H1036" s="755" t="s">
        <v>453</v>
      </c>
      <c r="I1036" s="751" t="str">
        <f t="shared" si="17"/>
        <v>CAR5227</v>
      </c>
      <c r="J1036" s="470"/>
      <c r="K1036" s="470">
        <v>1025.6410256410256</v>
      </c>
      <c r="L1036" s="470"/>
      <c r="M1036" s="875">
        <v>46172</v>
      </c>
      <c r="N1036" s="751"/>
      <c r="O1036" s="751" t="s">
        <v>2771</v>
      </c>
      <c r="P1036" s="751"/>
      <c r="Q1036" s="875">
        <v>46182</v>
      </c>
      <c r="R1036" s="751"/>
      <c r="S1036" s="751" t="s">
        <v>8508</v>
      </c>
      <c r="T1036" s="751" t="s">
        <v>8508</v>
      </c>
      <c r="U1036" s="751"/>
      <c r="V1036" s="751" t="s">
        <v>6915</v>
      </c>
      <c r="W1036" s="513">
        <f t="shared" si="21"/>
        <v>40000</v>
      </c>
    </row>
    <row r="1037" spans="2:23" ht="39">
      <c r="B1037" s="750" t="s">
        <v>8529</v>
      </c>
      <c r="C1037" s="750"/>
      <c r="D1037" s="751"/>
      <c r="E1037" s="752" t="s">
        <v>676</v>
      </c>
      <c r="F1037" s="753" t="str">
        <f>+VLOOKUP(G1037,Resumen_Base!$C$8:$G$156,5,0)</f>
        <v>Guides</v>
      </c>
      <c r="G1037" s="754" t="s">
        <v>323</v>
      </c>
      <c r="H1037" s="755" t="s">
        <v>453</v>
      </c>
      <c r="I1037" s="751" t="str">
        <f t="shared" si="17"/>
        <v>CAR5227</v>
      </c>
      <c r="J1037" s="470"/>
      <c r="K1037" s="470">
        <v>1025.6410256410256</v>
      </c>
      <c r="L1037" s="470"/>
      <c r="M1037" s="875">
        <v>46172</v>
      </c>
      <c r="N1037" s="751"/>
      <c r="O1037" s="751" t="s">
        <v>2771</v>
      </c>
      <c r="P1037" s="751"/>
      <c r="Q1037" s="875">
        <v>46182</v>
      </c>
      <c r="R1037" s="751"/>
      <c r="S1037" s="751" t="s">
        <v>8509</v>
      </c>
      <c r="T1037" s="751" t="s">
        <v>8509</v>
      </c>
      <c r="U1037" s="751"/>
      <c r="V1037" s="751" t="s">
        <v>6915</v>
      </c>
      <c r="W1037" s="513">
        <f t="shared" si="21"/>
        <v>40000</v>
      </c>
    </row>
    <row r="1038" spans="2:23" ht="39">
      <c r="B1038" s="750" t="s">
        <v>8529</v>
      </c>
      <c r="C1038" s="750"/>
      <c r="D1038" s="751"/>
      <c r="E1038" s="752" t="s">
        <v>670</v>
      </c>
      <c r="F1038" s="753" t="str">
        <f>+VLOOKUP(G1038,Resumen_Base!$C$8:$G$156,5,0)</f>
        <v>Guides</v>
      </c>
      <c r="G1038" s="754" t="s">
        <v>323</v>
      </c>
      <c r="H1038" s="755" t="s">
        <v>453</v>
      </c>
      <c r="I1038" s="751" t="str">
        <f t="shared" si="17"/>
        <v>SJ5227</v>
      </c>
      <c r="J1038" s="470"/>
      <c r="K1038" s="470">
        <v>1.9</v>
      </c>
      <c r="L1038" s="470"/>
      <c r="M1038" s="875">
        <v>46172</v>
      </c>
      <c r="N1038" s="751"/>
      <c r="O1038" s="751" t="s">
        <v>5763</v>
      </c>
      <c r="P1038" s="751"/>
      <c r="Q1038" s="875">
        <v>46183</v>
      </c>
      <c r="R1038" s="751"/>
      <c r="S1038" s="751" t="s">
        <v>2797</v>
      </c>
      <c r="T1038" s="751" t="s">
        <v>2797</v>
      </c>
      <c r="U1038" s="751"/>
      <c r="V1038" s="751" t="s">
        <v>6912</v>
      </c>
      <c r="W1038" s="793">
        <f t="shared" ref="W1038:W1039" si="22">+K1038</f>
        <v>1.9</v>
      </c>
    </row>
    <row r="1039" spans="2:23" ht="39">
      <c r="B1039" s="750" t="s">
        <v>8529</v>
      </c>
      <c r="C1039" s="750"/>
      <c r="D1039" s="751"/>
      <c r="E1039" s="752" t="s">
        <v>670</v>
      </c>
      <c r="F1039" s="753" t="str">
        <f>+VLOOKUP(G1039,Resumen_Base!$C$8:$G$156,5,0)</f>
        <v>Guides</v>
      </c>
      <c r="G1039" s="754" t="s">
        <v>323</v>
      </c>
      <c r="H1039" s="755" t="s">
        <v>453</v>
      </c>
      <c r="I1039" s="751" t="str">
        <f t="shared" si="17"/>
        <v>SJ5227</v>
      </c>
      <c r="J1039" s="470"/>
      <c r="K1039" s="470">
        <v>1200</v>
      </c>
      <c r="L1039" s="470"/>
      <c r="M1039" s="875">
        <v>46172</v>
      </c>
      <c r="N1039" s="751"/>
      <c r="O1039" s="751" t="s">
        <v>5763</v>
      </c>
      <c r="P1039" s="751"/>
      <c r="Q1039" s="875">
        <v>46183</v>
      </c>
      <c r="R1039" s="751"/>
      <c r="S1039" s="751" t="s">
        <v>8452</v>
      </c>
      <c r="T1039" s="751" t="s">
        <v>8452</v>
      </c>
      <c r="U1039" s="751"/>
      <c r="V1039" s="751" t="s">
        <v>6912</v>
      </c>
      <c r="W1039" s="793">
        <f t="shared" si="22"/>
        <v>1200</v>
      </c>
    </row>
    <row r="1040" spans="2:23" ht="39">
      <c r="B1040" s="750" t="s">
        <v>8529</v>
      </c>
      <c r="C1040" s="750"/>
      <c r="D1040" s="751"/>
      <c r="E1040" s="752" t="s">
        <v>670</v>
      </c>
      <c r="F1040" s="753" t="str">
        <f>+VLOOKUP(G1040,Resumen_Base!$C$8:$G$156,5,0)</f>
        <v>Guides</v>
      </c>
      <c r="G1040" s="754" t="s">
        <v>323</v>
      </c>
      <c r="H1040" s="755" t="s">
        <v>453</v>
      </c>
      <c r="I1040" s="751" t="str">
        <f t="shared" si="17"/>
        <v>SJ5227</v>
      </c>
      <c r="J1040" s="470"/>
      <c r="K1040" s="470">
        <v>1429.8717948717949</v>
      </c>
      <c r="L1040" s="470"/>
      <c r="M1040" s="875">
        <v>46172</v>
      </c>
      <c r="N1040" s="751"/>
      <c r="O1040" s="751" t="s">
        <v>5763</v>
      </c>
      <c r="P1040" s="751"/>
      <c r="Q1040" s="875">
        <v>46183</v>
      </c>
      <c r="R1040" s="751"/>
      <c r="S1040" s="751" t="s">
        <v>8465</v>
      </c>
      <c r="T1040" s="751" t="s">
        <v>8465</v>
      </c>
      <c r="U1040" s="751"/>
      <c r="V1040" s="751" t="s">
        <v>6915</v>
      </c>
      <c r="W1040" s="513">
        <f t="shared" ref="W1040:W1047" si="23">+K1040*39</f>
        <v>55765</v>
      </c>
    </row>
    <row r="1041" spans="2:23" ht="39">
      <c r="B1041" s="750" t="s">
        <v>8529</v>
      </c>
      <c r="C1041" s="750"/>
      <c r="D1041" s="751"/>
      <c r="E1041" s="752" t="s">
        <v>670</v>
      </c>
      <c r="F1041" s="753" t="str">
        <f>+VLOOKUP(G1041,Resumen_Base!$C$8:$G$156,5,0)</f>
        <v>Guides</v>
      </c>
      <c r="G1041" s="754" t="s">
        <v>323</v>
      </c>
      <c r="H1041" s="755" t="s">
        <v>453</v>
      </c>
      <c r="I1041" s="751" t="str">
        <f t="shared" si="17"/>
        <v>SJ5227</v>
      </c>
      <c r="J1041" s="470"/>
      <c r="K1041" s="470">
        <v>1538.4615384615386</v>
      </c>
      <c r="L1041" s="470"/>
      <c r="M1041" s="875">
        <v>46172</v>
      </c>
      <c r="N1041" s="751"/>
      <c r="O1041" s="751" t="s">
        <v>5763</v>
      </c>
      <c r="P1041" s="751"/>
      <c r="Q1041" s="875">
        <v>46183</v>
      </c>
      <c r="R1041" s="751"/>
      <c r="S1041" s="751" t="s">
        <v>8466</v>
      </c>
      <c r="T1041" s="751" t="s">
        <v>8466</v>
      </c>
      <c r="U1041" s="751"/>
      <c r="V1041" s="751" t="s">
        <v>6915</v>
      </c>
      <c r="W1041" s="513">
        <f t="shared" si="23"/>
        <v>60000.000000000007</v>
      </c>
    </row>
    <row r="1042" spans="2:23" ht="39">
      <c r="B1042" s="750" t="s">
        <v>8529</v>
      </c>
      <c r="C1042" s="750"/>
      <c r="D1042" s="751"/>
      <c r="E1042" s="752" t="s">
        <v>670</v>
      </c>
      <c r="F1042" s="753" t="str">
        <f>+VLOOKUP(G1042,Resumen_Base!$C$8:$G$156,5,0)</f>
        <v>Guides</v>
      </c>
      <c r="G1042" s="754" t="s">
        <v>323</v>
      </c>
      <c r="H1042" s="755" t="s">
        <v>453</v>
      </c>
      <c r="I1042" s="751" t="str">
        <f t="shared" si="17"/>
        <v>SJ5227</v>
      </c>
      <c r="J1042" s="470"/>
      <c r="K1042" s="470">
        <v>1282.051282051282</v>
      </c>
      <c r="L1042" s="470"/>
      <c r="M1042" s="875">
        <v>46172</v>
      </c>
      <c r="N1042" s="751"/>
      <c r="O1042" s="751" t="s">
        <v>5763</v>
      </c>
      <c r="P1042" s="751"/>
      <c r="Q1042" s="875">
        <v>46183</v>
      </c>
      <c r="R1042" s="751"/>
      <c r="S1042" s="751" t="s">
        <v>8467</v>
      </c>
      <c r="T1042" s="751" t="s">
        <v>8467</v>
      </c>
      <c r="U1042" s="751"/>
      <c r="V1042" s="751" t="s">
        <v>6915</v>
      </c>
      <c r="W1042" s="513">
        <f t="shared" si="23"/>
        <v>50000</v>
      </c>
    </row>
    <row r="1043" spans="2:23" ht="39">
      <c r="B1043" s="750" t="s">
        <v>8529</v>
      </c>
      <c r="C1043" s="750"/>
      <c r="D1043" s="751"/>
      <c r="E1043" s="752" t="s">
        <v>670</v>
      </c>
      <c r="F1043" s="753" t="str">
        <f>+VLOOKUP(G1043,Resumen_Base!$C$8:$G$156,5,0)</f>
        <v>Guides</v>
      </c>
      <c r="G1043" s="754" t="s">
        <v>323</v>
      </c>
      <c r="H1043" s="755" t="s">
        <v>453</v>
      </c>
      <c r="I1043" s="751" t="str">
        <f t="shared" si="17"/>
        <v>SJ5227</v>
      </c>
      <c r="J1043" s="470"/>
      <c r="K1043" s="470">
        <v>1403.8461538461538</v>
      </c>
      <c r="L1043" s="470"/>
      <c r="M1043" s="875">
        <v>46172</v>
      </c>
      <c r="N1043" s="751"/>
      <c r="O1043" s="751" t="s">
        <v>5763</v>
      </c>
      <c r="P1043" s="751"/>
      <c r="Q1043" s="875">
        <v>46183</v>
      </c>
      <c r="R1043" s="751"/>
      <c r="S1043" s="751" t="s">
        <v>8468</v>
      </c>
      <c r="T1043" s="751" t="s">
        <v>8468</v>
      </c>
      <c r="U1043" s="751"/>
      <c r="V1043" s="751" t="s">
        <v>6915</v>
      </c>
      <c r="W1043" s="513">
        <f t="shared" si="23"/>
        <v>54750</v>
      </c>
    </row>
    <row r="1044" spans="2:23" ht="39">
      <c r="B1044" s="750" t="s">
        <v>8529</v>
      </c>
      <c r="C1044" s="750"/>
      <c r="D1044" s="751"/>
      <c r="E1044" s="752" t="s">
        <v>670</v>
      </c>
      <c r="F1044" s="753" t="str">
        <f>+VLOOKUP(G1044,Resumen_Base!$C$8:$G$156,5,0)</f>
        <v>Guides</v>
      </c>
      <c r="G1044" s="754" t="s">
        <v>323</v>
      </c>
      <c r="H1044" s="755" t="s">
        <v>453</v>
      </c>
      <c r="I1044" s="751" t="str">
        <f t="shared" si="17"/>
        <v>SJ5227</v>
      </c>
      <c r="J1044" s="470"/>
      <c r="K1044" s="470">
        <v>1230.7692307692307</v>
      </c>
      <c r="L1044" s="470"/>
      <c r="M1044" s="875">
        <v>46172</v>
      </c>
      <c r="N1044" s="751"/>
      <c r="O1044" s="751" t="s">
        <v>5763</v>
      </c>
      <c r="P1044" s="751"/>
      <c r="Q1044" s="875">
        <v>46183</v>
      </c>
      <c r="R1044" s="751"/>
      <c r="S1044" s="751" t="s">
        <v>8469</v>
      </c>
      <c r="T1044" s="751" t="s">
        <v>8469</v>
      </c>
      <c r="U1044" s="751"/>
      <c r="V1044" s="751" t="s">
        <v>6915</v>
      </c>
      <c r="W1044" s="513">
        <f t="shared" si="23"/>
        <v>48000</v>
      </c>
    </row>
    <row r="1045" spans="2:23" ht="39">
      <c r="B1045" s="750" t="s">
        <v>8529</v>
      </c>
      <c r="C1045" s="750"/>
      <c r="D1045" s="751"/>
      <c r="E1045" s="752" t="s">
        <v>670</v>
      </c>
      <c r="F1045" s="753" t="str">
        <f>+VLOOKUP(G1045,Resumen_Base!$C$8:$G$156,5,0)</f>
        <v>Guides</v>
      </c>
      <c r="G1045" s="754" t="s">
        <v>323</v>
      </c>
      <c r="H1045" s="755" t="s">
        <v>453</v>
      </c>
      <c r="I1045" s="751" t="str">
        <f t="shared" si="17"/>
        <v>SJ5227</v>
      </c>
      <c r="J1045" s="470"/>
      <c r="K1045" s="470">
        <v>1615.3846153846155</v>
      </c>
      <c r="L1045" s="470"/>
      <c r="M1045" s="875">
        <v>46172</v>
      </c>
      <c r="N1045" s="751"/>
      <c r="O1045" s="751" t="s">
        <v>5763</v>
      </c>
      <c r="P1045" s="751"/>
      <c r="Q1045" s="875">
        <v>46183</v>
      </c>
      <c r="R1045" s="751"/>
      <c r="S1045" s="751" t="s">
        <v>8470</v>
      </c>
      <c r="T1045" s="751" t="s">
        <v>8470</v>
      </c>
      <c r="U1045" s="751"/>
      <c r="V1045" s="751" t="s">
        <v>6915</v>
      </c>
      <c r="W1045" s="513">
        <f t="shared" si="23"/>
        <v>63000</v>
      </c>
    </row>
    <row r="1046" spans="2:23" ht="39">
      <c r="B1046" s="750" t="s">
        <v>8529</v>
      </c>
      <c r="C1046" s="750"/>
      <c r="D1046" s="751"/>
      <c r="E1046" s="752" t="s">
        <v>670</v>
      </c>
      <c r="F1046" s="753" t="str">
        <f>+VLOOKUP(G1046,Resumen_Base!$C$8:$G$156,5,0)</f>
        <v>Guides</v>
      </c>
      <c r="G1046" s="754" t="s">
        <v>323</v>
      </c>
      <c r="H1046" s="755" t="s">
        <v>453</v>
      </c>
      <c r="I1046" s="751" t="str">
        <f t="shared" si="17"/>
        <v>SJ5227</v>
      </c>
      <c r="J1046" s="470"/>
      <c r="K1046" s="470">
        <v>1794.8717948717949</v>
      </c>
      <c r="L1046" s="470"/>
      <c r="M1046" s="875">
        <v>46172</v>
      </c>
      <c r="N1046" s="751"/>
      <c r="O1046" s="751" t="s">
        <v>5763</v>
      </c>
      <c r="P1046" s="751"/>
      <c r="Q1046" s="875">
        <v>46183</v>
      </c>
      <c r="R1046" s="751"/>
      <c r="S1046" s="751" t="s">
        <v>8471</v>
      </c>
      <c r="T1046" s="751" t="s">
        <v>8471</v>
      </c>
      <c r="U1046" s="751"/>
      <c r="V1046" s="751" t="s">
        <v>6915</v>
      </c>
      <c r="W1046" s="513">
        <f t="shared" si="23"/>
        <v>70000</v>
      </c>
    </row>
    <row r="1047" spans="2:23" ht="39">
      <c r="B1047" s="750" t="s">
        <v>8529</v>
      </c>
      <c r="C1047" s="750"/>
      <c r="D1047" s="751"/>
      <c r="E1047" s="752" t="s">
        <v>670</v>
      </c>
      <c r="F1047" s="753" t="str">
        <f>+VLOOKUP(G1047,Resumen_Base!$C$8:$G$156,5,0)</f>
        <v>Guides</v>
      </c>
      <c r="G1047" s="754" t="s">
        <v>323</v>
      </c>
      <c r="H1047" s="755" t="s">
        <v>453</v>
      </c>
      <c r="I1047" s="751" t="str">
        <f t="shared" si="17"/>
        <v>SJ5227</v>
      </c>
      <c r="J1047" s="470"/>
      <c r="K1047" s="470">
        <v>871.79487179487182</v>
      </c>
      <c r="L1047" s="470"/>
      <c r="M1047" s="875">
        <v>46172</v>
      </c>
      <c r="N1047" s="751"/>
      <c r="O1047" s="751" t="s">
        <v>5763</v>
      </c>
      <c r="P1047" s="751"/>
      <c r="Q1047" s="875">
        <v>46183</v>
      </c>
      <c r="R1047" s="751"/>
      <c r="S1047" s="751" t="s">
        <v>8472</v>
      </c>
      <c r="T1047" s="751" t="s">
        <v>8472</v>
      </c>
      <c r="U1047" s="751"/>
      <c r="V1047" s="751" t="s">
        <v>6915</v>
      </c>
      <c r="W1047" s="513">
        <f t="shared" si="23"/>
        <v>34000</v>
      </c>
    </row>
    <row r="1048" spans="2:23" ht="39">
      <c r="B1048" s="750" t="s">
        <v>8529</v>
      </c>
      <c r="C1048" s="750"/>
      <c r="D1048" s="751"/>
      <c r="E1048" s="752" t="s">
        <v>670</v>
      </c>
      <c r="F1048" s="753" t="str">
        <f>+VLOOKUP(G1048,Resumen_Base!$C$8:$G$156,5,0)</f>
        <v>Manager</v>
      </c>
      <c r="G1048" s="754" t="s">
        <v>325</v>
      </c>
      <c r="H1048" s="755" t="s">
        <v>452</v>
      </c>
      <c r="I1048" s="751" t="str">
        <f t="shared" si="17"/>
        <v>SJ5228</v>
      </c>
      <c r="J1048" s="470"/>
      <c r="K1048" s="470">
        <v>800</v>
      </c>
      <c r="L1048" s="470"/>
      <c r="M1048" s="875">
        <v>46172</v>
      </c>
      <c r="N1048" s="751"/>
      <c r="O1048" s="751" t="s">
        <v>5763</v>
      </c>
      <c r="P1048" s="751"/>
      <c r="Q1048" s="875">
        <v>46186</v>
      </c>
      <c r="R1048" s="751"/>
      <c r="S1048" s="751" t="s">
        <v>8446</v>
      </c>
      <c r="T1048" s="751" t="s">
        <v>8446</v>
      </c>
      <c r="U1048" s="751"/>
      <c r="V1048" s="751" t="s">
        <v>6912</v>
      </c>
      <c r="W1048" s="793">
        <f t="shared" ref="W1048:W1051" si="24">+K1048</f>
        <v>800</v>
      </c>
    </row>
    <row r="1049" spans="2:23" ht="39">
      <c r="B1049" s="750" t="s">
        <v>8529</v>
      </c>
      <c r="C1049" s="750"/>
      <c r="D1049" s="751"/>
      <c r="E1049" s="752" t="s">
        <v>670</v>
      </c>
      <c r="F1049" s="753" t="str">
        <f>+VLOOKUP(G1049,Resumen_Base!$C$8:$G$156,5,0)</f>
        <v>Manager</v>
      </c>
      <c r="G1049" s="754" t="s">
        <v>325</v>
      </c>
      <c r="H1049" s="755" t="s">
        <v>452</v>
      </c>
      <c r="I1049" s="751" t="str">
        <f t="shared" si="17"/>
        <v>SJ5228</v>
      </c>
      <c r="J1049" s="470"/>
      <c r="K1049" s="470">
        <v>700</v>
      </c>
      <c r="L1049" s="470"/>
      <c r="M1049" s="875">
        <v>46172</v>
      </c>
      <c r="N1049" s="751"/>
      <c r="O1049" s="751" t="s">
        <v>5763</v>
      </c>
      <c r="P1049" s="751"/>
      <c r="Q1049" s="875">
        <v>46183</v>
      </c>
      <c r="R1049" s="751"/>
      <c r="S1049" s="751" t="s">
        <v>8453</v>
      </c>
      <c r="T1049" s="751" t="s">
        <v>8453</v>
      </c>
      <c r="U1049" s="751"/>
      <c r="V1049" s="751" t="s">
        <v>6912</v>
      </c>
      <c r="W1049" s="793">
        <f t="shared" si="24"/>
        <v>700</v>
      </c>
    </row>
    <row r="1050" spans="2:23" ht="39">
      <c r="B1050" s="750" t="s">
        <v>8529</v>
      </c>
      <c r="C1050" s="750"/>
      <c r="D1050" s="751"/>
      <c r="E1050" s="752" t="s">
        <v>670</v>
      </c>
      <c r="F1050" s="753" t="str">
        <f>+VLOOKUP(G1050,Resumen_Base!$C$8:$G$156,5,0)</f>
        <v>Manager</v>
      </c>
      <c r="G1050" s="754" t="s">
        <v>325</v>
      </c>
      <c r="H1050" s="755" t="s">
        <v>452</v>
      </c>
      <c r="I1050" s="751" t="str">
        <f t="shared" si="17"/>
        <v>SJ5228</v>
      </c>
      <c r="J1050" s="470"/>
      <c r="K1050" s="470">
        <v>1300</v>
      </c>
      <c r="L1050" s="470"/>
      <c r="M1050" s="875">
        <v>46172</v>
      </c>
      <c r="N1050" s="751"/>
      <c r="O1050" s="751" t="s">
        <v>5763</v>
      </c>
      <c r="P1050" s="751"/>
      <c r="Q1050" s="875">
        <v>46183</v>
      </c>
      <c r="R1050" s="751"/>
      <c r="S1050" s="751" t="s">
        <v>8454</v>
      </c>
      <c r="T1050" s="751" t="s">
        <v>8454</v>
      </c>
      <c r="U1050" s="751"/>
      <c r="V1050" s="751" t="s">
        <v>6912</v>
      </c>
      <c r="W1050" s="793">
        <f t="shared" si="24"/>
        <v>1300</v>
      </c>
    </row>
    <row r="1051" spans="2:23" ht="39">
      <c r="B1051" s="750" t="s">
        <v>8529</v>
      </c>
      <c r="C1051" s="750"/>
      <c r="D1051" s="751"/>
      <c r="E1051" s="752" t="s">
        <v>670</v>
      </c>
      <c r="F1051" s="753" t="str">
        <f>+VLOOKUP(G1051,Resumen_Base!$C$8:$G$156,5,0)</f>
        <v>Manager</v>
      </c>
      <c r="G1051" s="754" t="s">
        <v>325</v>
      </c>
      <c r="H1051" s="755" t="s">
        <v>452</v>
      </c>
      <c r="I1051" s="751" t="str">
        <f t="shared" si="17"/>
        <v>SJ5228</v>
      </c>
      <c r="J1051" s="470"/>
      <c r="K1051" s="470">
        <v>1200</v>
      </c>
      <c r="L1051" s="470"/>
      <c r="M1051" s="875">
        <v>46172</v>
      </c>
      <c r="N1051" s="751"/>
      <c r="O1051" s="751" t="s">
        <v>5763</v>
      </c>
      <c r="P1051" s="751"/>
      <c r="Q1051" s="875">
        <v>46183</v>
      </c>
      <c r="R1051" s="751"/>
      <c r="S1051" s="751" t="s">
        <v>8455</v>
      </c>
      <c r="T1051" s="751" t="s">
        <v>8455</v>
      </c>
      <c r="U1051" s="751"/>
      <c r="V1051" s="751" t="s">
        <v>6912</v>
      </c>
      <c r="W1051" s="793">
        <f t="shared" si="24"/>
        <v>1200</v>
      </c>
    </row>
    <row r="1052" spans="2:23" ht="39">
      <c r="B1052" s="750" t="s">
        <v>8529</v>
      </c>
      <c r="C1052" s="750"/>
      <c r="D1052" s="751"/>
      <c r="E1052" s="752" t="s">
        <v>670</v>
      </c>
      <c r="F1052" s="753" t="str">
        <f>+VLOOKUP(G1052,Resumen_Base!$C$8:$G$156,5,0)</f>
        <v>Manager</v>
      </c>
      <c r="G1052" s="754" t="s">
        <v>325</v>
      </c>
      <c r="H1052" s="755" t="s">
        <v>452</v>
      </c>
      <c r="I1052" s="751" t="str">
        <f t="shared" si="17"/>
        <v>SJ5228</v>
      </c>
      <c r="J1052" s="470"/>
      <c r="K1052" s="470">
        <v>1.9664102564102564</v>
      </c>
      <c r="L1052" s="470"/>
      <c r="M1052" s="875">
        <v>46172</v>
      </c>
      <c r="N1052" s="751"/>
      <c r="O1052" s="751" t="s">
        <v>5763</v>
      </c>
      <c r="P1052" s="751"/>
      <c r="Q1052" s="875">
        <v>46183</v>
      </c>
      <c r="R1052" s="751"/>
      <c r="S1052" s="751" t="s">
        <v>2797</v>
      </c>
      <c r="T1052" s="751" t="s">
        <v>2797</v>
      </c>
      <c r="U1052" s="751"/>
      <c r="V1052" s="751" t="s">
        <v>6915</v>
      </c>
      <c r="W1052" s="513">
        <f t="shared" ref="W1052:W1077" si="25">+K1052*39</f>
        <v>76.69</v>
      </c>
    </row>
    <row r="1053" spans="2:23" ht="39">
      <c r="B1053" s="750" t="s">
        <v>8529</v>
      </c>
      <c r="C1053" s="750"/>
      <c r="D1053" s="751"/>
      <c r="E1053" s="752" t="s">
        <v>670</v>
      </c>
      <c r="F1053" s="753" t="str">
        <f>+VLOOKUP(G1053,Resumen_Base!$C$8:$G$156,5,0)</f>
        <v>Manager</v>
      </c>
      <c r="G1053" s="754" t="s">
        <v>325</v>
      </c>
      <c r="H1053" s="755" t="s">
        <v>452</v>
      </c>
      <c r="I1053" s="751" t="str">
        <f t="shared" si="17"/>
        <v>SJ5228</v>
      </c>
      <c r="J1053" s="470"/>
      <c r="K1053" s="470">
        <v>2133.3333333333335</v>
      </c>
      <c r="L1053" s="470"/>
      <c r="M1053" s="875">
        <v>46172</v>
      </c>
      <c r="N1053" s="751"/>
      <c r="O1053" s="751" t="s">
        <v>5763</v>
      </c>
      <c r="P1053" s="751"/>
      <c r="Q1053" s="875">
        <v>46183</v>
      </c>
      <c r="R1053" s="751"/>
      <c r="S1053" s="751" t="s">
        <v>8473</v>
      </c>
      <c r="T1053" s="751" t="s">
        <v>8473</v>
      </c>
      <c r="U1053" s="751"/>
      <c r="V1053" s="751" t="s">
        <v>6915</v>
      </c>
      <c r="W1053" s="513">
        <f t="shared" si="25"/>
        <v>83200</v>
      </c>
    </row>
    <row r="1054" spans="2:23" ht="39">
      <c r="B1054" s="750" t="s">
        <v>8529</v>
      </c>
      <c r="C1054" s="750"/>
      <c r="D1054" s="751"/>
      <c r="E1054" s="752" t="s">
        <v>676</v>
      </c>
      <c r="F1054" s="753" t="str">
        <f>+VLOOKUP(G1054,Resumen_Base!$C$8:$G$156,5,0)</f>
        <v>Social Security Contributions</v>
      </c>
      <c r="G1054" s="754" t="s">
        <v>331</v>
      </c>
      <c r="H1054" s="755" t="s">
        <v>332</v>
      </c>
      <c r="I1054" s="751" t="str">
        <f t="shared" si="17"/>
        <v>CAR5236</v>
      </c>
      <c r="J1054" s="470"/>
      <c r="K1054" s="470">
        <v>670.35897435897436</v>
      </c>
      <c r="L1054" s="470"/>
      <c r="M1054" s="875">
        <v>46172</v>
      </c>
      <c r="N1054" s="751"/>
      <c r="O1054" s="751" t="s">
        <v>2771</v>
      </c>
      <c r="P1054" s="751"/>
      <c r="Q1054" s="875">
        <v>46182</v>
      </c>
      <c r="R1054" s="751"/>
      <c r="S1054" s="751" t="s">
        <v>8510</v>
      </c>
      <c r="T1054" s="751" t="s">
        <v>8510</v>
      </c>
      <c r="U1054" s="751"/>
      <c r="V1054" s="751" t="s">
        <v>6915</v>
      </c>
      <c r="W1054" s="513">
        <f t="shared" si="25"/>
        <v>26144</v>
      </c>
    </row>
    <row r="1055" spans="2:23" ht="39">
      <c r="B1055" s="750" t="s">
        <v>8529</v>
      </c>
      <c r="C1055" s="750"/>
      <c r="D1055" s="751"/>
      <c r="E1055" s="752" t="s">
        <v>670</v>
      </c>
      <c r="F1055" s="753" t="str">
        <f>+VLOOKUP(G1055,Resumen_Base!$C$8:$G$156,5,0)</f>
        <v>Social Security Contributions</v>
      </c>
      <c r="G1055" s="754" t="s">
        <v>331</v>
      </c>
      <c r="H1055" s="755" t="s">
        <v>332</v>
      </c>
      <c r="I1055" s="751" t="str">
        <f t="shared" si="17"/>
        <v>SJ5236</v>
      </c>
      <c r="J1055" s="470"/>
      <c r="K1055" s="470">
        <v>584.97435897435901</v>
      </c>
      <c r="L1055" s="470"/>
      <c r="M1055" s="875">
        <v>46172</v>
      </c>
      <c r="N1055" s="751"/>
      <c r="O1055" s="751" t="s">
        <v>5763</v>
      </c>
      <c r="P1055" s="751"/>
      <c r="Q1055" s="875">
        <v>46183</v>
      </c>
      <c r="R1055" s="751"/>
      <c r="S1055" s="751" t="s">
        <v>8474</v>
      </c>
      <c r="T1055" s="751" t="s">
        <v>8474</v>
      </c>
      <c r="U1055" s="751"/>
      <c r="V1055" s="751" t="s">
        <v>6915</v>
      </c>
      <c r="W1055" s="513">
        <f t="shared" si="25"/>
        <v>22814</v>
      </c>
    </row>
    <row r="1056" spans="2:23" ht="39">
      <c r="B1056" s="750" t="s">
        <v>8529</v>
      </c>
      <c r="C1056" s="750"/>
      <c r="D1056" s="751"/>
      <c r="E1056" s="752" t="s">
        <v>676</v>
      </c>
      <c r="F1056" s="753" t="str">
        <f>+VLOOKUP(G1056,Resumen_Base!$C$8:$G$156,5,0)</f>
        <v>Electricity - Gas for Boats &amp; Vehicles</v>
      </c>
      <c r="G1056" s="754" t="s">
        <v>64</v>
      </c>
      <c r="H1056" s="755" t="s">
        <v>461</v>
      </c>
      <c r="I1056" s="751" t="str">
        <f t="shared" si="17"/>
        <v>CAR5248</v>
      </c>
      <c r="J1056" s="470"/>
      <c r="K1056" s="470">
        <v>6711.2820512820517</v>
      </c>
      <c r="L1056" s="470"/>
      <c r="M1056" s="875">
        <v>46172</v>
      </c>
      <c r="N1056" s="751"/>
      <c r="O1056" s="751" t="s">
        <v>2771</v>
      </c>
      <c r="P1056" s="751"/>
      <c r="Q1056" s="875">
        <v>46182</v>
      </c>
      <c r="R1056" s="751"/>
      <c r="S1056" s="751" t="s">
        <v>8511</v>
      </c>
      <c r="T1056" s="751" t="s">
        <v>8511</v>
      </c>
      <c r="U1056" s="751"/>
      <c r="V1056" s="751" t="s">
        <v>6915</v>
      </c>
      <c r="W1056" s="513">
        <f t="shared" si="25"/>
        <v>261740.00000000003</v>
      </c>
    </row>
    <row r="1057" spans="2:23" ht="39">
      <c r="B1057" s="750" t="s">
        <v>8529</v>
      </c>
      <c r="C1057" s="750"/>
      <c r="D1057" s="751"/>
      <c r="E1057" s="752" t="s">
        <v>676</v>
      </c>
      <c r="F1057" s="753" t="str">
        <f>+VLOOKUP(G1057,Resumen_Base!$C$8:$G$156,5,0)</f>
        <v>Electricity - Gas for Boats &amp; Vehicles</v>
      </c>
      <c r="G1057" s="754" t="s">
        <v>64</v>
      </c>
      <c r="H1057" s="755" t="s">
        <v>461</v>
      </c>
      <c r="I1057" s="751" t="str">
        <f t="shared" si="17"/>
        <v>CAR5248</v>
      </c>
      <c r="J1057" s="470"/>
      <c r="K1057" s="470">
        <v>1.961025641025641</v>
      </c>
      <c r="L1057" s="470"/>
      <c r="M1057" s="875">
        <v>46172</v>
      </c>
      <c r="N1057" s="751"/>
      <c r="O1057" s="751" t="s">
        <v>2771</v>
      </c>
      <c r="P1057" s="751"/>
      <c r="Q1057" s="875">
        <v>46182</v>
      </c>
      <c r="R1057" s="751"/>
      <c r="S1057" s="751" t="s">
        <v>2797</v>
      </c>
      <c r="T1057" s="751" t="s">
        <v>2797</v>
      </c>
      <c r="U1057" s="751"/>
      <c r="V1057" s="751" t="s">
        <v>6915</v>
      </c>
      <c r="W1057" s="513">
        <f t="shared" si="25"/>
        <v>76.48</v>
      </c>
    </row>
    <row r="1058" spans="2:23" ht="39">
      <c r="B1058" s="750" t="s">
        <v>8529</v>
      </c>
      <c r="C1058" s="750"/>
      <c r="D1058" s="751"/>
      <c r="E1058" s="752" t="s">
        <v>676</v>
      </c>
      <c r="F1058" s="753" t="str">
        <f>+VLOOKUP(G1058,Resumen_Base!$C$8:$G$156,5,0)</f>
        <v>Electricity - Gas for Boats &amp; Vehicles</v>
      </c>
      <c r="G1058" s="754" t="s">
        <v>64</v>
      </c>
      <c r="H1058" s="755" t="s">
        <v>461</v>
      </c>
      <c r="I1058" s="751" t="str">
        <f t="shared" si="17"/>
        <v>CAR5248</v>
      </c>
      <c r="J1058" s="470"/>
      <c r="K1058" s="470">
        <v>111.88461538461539</v>
      </c>
      <c r="L1058" s="470"/>
      <c r="M1058" s="875">
        <v>46172</v>
      </c>
      <c r="N1058" s="751"/>
      <c r="O1058" s="751" t="s">
        <v>2771</v>
      </c>
      <c r="P1058" s="751"/>
      <c r="Q1058" s="875">
        <v>46182</v>
      </c>
      <c r="R1058" s="751"/>
      <c r="S1058" s="751" t="s">
        <v>8512</v>
      </c>
      <c r="T1058" s="751" t="s">
        <v>8512</v>
      </c>
      <c r="U1058" s="751"/>
      <c r="V1058" s="751" t="s">
        <v>6915</v>
      </c>
      <c r="W1058" s="513">
        <f t="shared" si="25"/>
        <v>4363.5</v>
      </c>
    </row>
    <row r="1059" spans="2:23" ht="39">
      <c r="B1059" s="750" t="s">
        <v>8529</v>
      </c>
      <c r="C1059" s="750"/>
      <c r="D1059" s="751"/>
      <c r="E1059" s="752" t="s">
        <v>670</v>
      </c>
      <c r="F1059" s="753" t="str">
        <f>+VLOOKUP(G1059,Resumen_Base!$C$8:$G$156,5,0)</f>
        <v>Electricity - Gas for Boats &amp; Vehicles</v>
      </c>
      <c r="G1059" s="754" t="s">
        <v>64</v>
      </c>
      <c r="H1059" s="755" t="s">
        <v>461</v>
      </c>
      <c r="I1059" s="751" t="str">
        <f t="shared" si="17"/>
        <v>SJ5248</v>
      </c>
      <c r="J1059" s="470"/>
      <c r="K1059" s="470">
        <v>102.56410256410257</v>
      </c>
      <c r="L1059" s="470"/>
      <c r="M1059" s="875">
        <v>46172</v>
      </c>
      <c r="N1059" s="751"/>
      <c r="O1059" s="751" t="s">
        <v>5763</v>
      </c>
      <c r="P1059" s="751"/>
      <c r="Q1059" s="875">
        <v>46183</v>
      </c>
      <c r="R1059" s="751"/>
      <c r="S1059" s="751" t="s">
        <v>8475</v>
      </c>
      <c r="T1059" s="751" t="s">
        <v>8475</v>
      </c>
      <c r="U1059" s="751"/>
      <c r="V1059" s="751" t="s">
        <v>6915</v>
      </c>
      <c r="W1059" s="513">
        <f t="shared" si="25"/>
        <v>4000</v>
      </c>
    </row>
    <row r="1060" spans="2:23" ht="39">
      <c r="B1060" s="750" t="s">
        <v>8529</v>
      </c>
      <c r="C1060" s="750"/>
      <c r="D1060" s="751"/>
      <c r="E1060" s="752" t="s">
        <v>670</v>
      </c>
      <c r="F1060" s="753" t="str">
        <f>+VLOOKUP(G1060,Resumen_Base!$C$8:$G$156,5,0)</f>
        <v>Electricity - Gas for Boats &amp; Vehicles</v>
      </c>
      <c r="G1060" s="754" t="s">
        <v>64</v>
      </c>
      <c r="H1060" s="755" t="s">
        <v>461</v>
      </c>
      <c r="I1060" s="751" t="str">
        <f t="shared" si="17"/>
        <v>SJ5248</v>
      </c>
      <c r="J1060" s="470"/>
      <c r="K1060" s="470">
        <v>271.74358974358972</v>
      </c>
      <c r="L1060" s="470"/>
      <c r="M1060" s="875">
        <v>46172</v>
      </c>
      <c r="N1060" s="751"/>
      <c r="O1060" s="751" t="s">
        <v>5763</v>
      </c>
      <c r="P1060" s="751"/>
      <c r="Q1060" s="875">
        <v>46183</v>
      </c>
      <c r="R1060" s="751"/>
      <c r="S1060" s="751" t="s">
        <v>8476</v>
      </c>
      <c r="T1060" s="751" t="s">
        <v>8476</v>
      </c>
      <c r="U1060" s="751"/>
      <c r="V1060" s="751" t="s">
        <v>6915</v>
      </c>
      <c r="W1060" s="513">
        <f t="shared" si="25"/>
        <v>10598</v>
      </c>
    </row>
    <row r="1061" spans="2:23" ht="39">
      <c r="B1061" s="750" t="s">
        <v>8529</v>
      </c>
      <c r="C1061" s="750"/>
      <c r="D1061" s="751"/>
      <c r="E1061" s="752" t="s">
        <v>676</v>
      </c>
      <c r="F1061" s="753" t="str">
        <f>+VLOOKUP(G1061,Resumen_Base!$C$8:$G$156,5,0)</f>
        <v>Food &amp; Wine</v>
      </c>
      <c r="G1061" s="754" t="s">
        <v>37</v>
      </c>
      <c r="H1061" s="755" t="s">
        <v>457</v>
      </c>
      <c r="I1061" s="751" t="str">
        <f t="shared" si="17"/>
        <v>CAR5250</v>
      </c>
      <c r="J1061" s="470"/>
      <c r="K1061" s="470">
        <v>3.9220512820512821</v>
      </c>
      <c r="L1061" s="470"/>
      <c r="M1061" s="875">
        <v>46172</v>
      </c>
      <c r="N1061" s="751"/>
      <c r="O1061" s="751" t="s">
        <v>2771</v>
      </c>
      <c r="P1061" s="751"/>
      <c r="Q1061" s="875">
        <v>46182</v>
      </c>
      <c r="R1061" s="751"/>
      <c r="S1061" s="751" t="s">
        <v>2797</v>
      </c>
      <c r="T1061" s="751" t="s">
        <v>2797</v>
      </c>
      <c r="U1061" s="751"/>
      <c r="V1061" s="751" t="s">
        <v>6915</v>
      </c>
      <c r="W1061" s="513">
        <f t="shared" si="25"/>
        <v>152.96</v>
      </c>
    </row>
    <row r="1062" spans="2:23" ht="39">
      <c r="B1062" s="750" t="s">
        <v>8529</v>
      </c>
      <c r="C1062" s="750"/>
      <c r="D1062" s="751"/>
      <c r="E1062" s="752" t="s">
        <v>676</v>
      </c>
      <c r="F1062" s="753" t="str">
        <f>+VLOOKUP(G1062,Resumen_Base!$C$8:$G$156,5,0)</f>
        <v>Food &amp; Wine</v>
      </c>
      <c r="G1062" s="754" t="s">
        <v>37</v>
      </c>
      <c r="H1062" s="755" t="s">
        <v>457</v>
      </c>
      <c r="I1062" s="751" t="str">
        <f t="shared" si="17"/>
        <v>CAR5250</v>
      </c>
      <c r="J1062" s="470"/>
      <c r="K1062" s="470">
        <v>522.51282051282055</v>
      </c>
      <c r="L1062" s="470"/>
      <c r="M1062" s="875">
        <v>46172</v>
      </c>
      <c r="N1062" s="751"/>
      <c r="O1062" s="751" t="s">
        <v>2771</v>
      </c>
      <c r="P1062" s="751"/>
      <c r="Q1062" s="875">
        <v>46182</v>
      </c>
      <c r="R1062" s="751"/>
      <c r="S1062" s="751" t="s">
        <v>8513</v>
      </c>
      <c r="T1062" s="751" t="s">
        <v>8513</v>
      </c>
      <c r="U1062" s="751"/>
      <c r="V1062" s="751" t="s">
        <v>6915</v>
      </c>
      <c r="W1062" s="513">
        <f t="shared" si="25"/>
        <v>20378</v>
      </c>
    </row>
    <row r="1063" spans="2:23" ht="39">
      <c r="B1063" s="750" t="s">
        <v>8529</v>
      </c>
      <c r="C1063" s="750"/>
      <c r="D1063" s="751"/>
      <c r="E1063" s="752" t="s">
        <v>676</v>
      </c>
      <c r="F1063" s="753" t="str">
        <f>+VLOOKUP(G1063,Resumen_Base!$C$8:$G$156,5,0)</f>
        <v>Food &amp; Wine</v>
      </c>
      <c r="G1063" s="754" t="s">
        <v>37</v>
      </c>
      <c r="H1063" s="755" t="s">
        <v>457</v>
      </c>
      <c r="I1063" s="751" t="str">
        <f t="shared" si="17"/>
        <v>CAR5250</v>
      </c>
      <c r="J1063" s="470"/>
      <c r="K1063" s="470">
        <v>2916.5384615384614</v>
      </c>
      <c r="L1063" s="470"/>
      <c r="M1063" s="875">
        <v>46172</v>
      </c>
      <c r="N1063" s="751"/>
      <c r="O1063" s="751" t="s">
        <v>2771</v>
      </c>
      <c r="P1063" s="751"/>
      <c r="Q1063" s="875">
        <v>46182</v>
      </c>
      <c r="R1063" s="751"/>
      <c r="S1063" s="751" t="s">
        <v>8514</v>
      </c>
      <c r="T1063" s="751" t="s">
        <v>8514</v>
      </c>
      <c r="U1063" s="751"/>
      <c r="V1063" s="751" t="s">
        <v>6915</v>
      </c>
      <c r="W1063" s="513">
        <f t="shared" si="25"/>
        <v>113745</v>
      </c>
    </row>
    <row r="1064" spans="2:23" ht="39">
      <c r="B1064" s="750" t="s">
        <v>8529</v>
      </c>
      <c r="C1064" s="750"/>
      <c r="D1064" s="751"/>
      <c r="E1064" s="752" t="s">
        <v>676</v>
      </c>
      <c r="F1064" s="753" t="str">
        <f>+VLOOKUP(G1064,Resumen_Base!$C$8:$G$156,5,0)</f>
        <v>Food &amp; Wine</v>
      </c>
      <c r="G1064" s="754" t="s">
        <v>37</v>
      </c>
      <c r="H1064" s="755" t="s">
        <v>457</v>
      </c>
      <c r="I1064" s="751" t="str">
        <f t="shared" si="17"/>
        <v>CAR5250</v>
      </c>
      <c r="J1064" s="470"/>
      <c r="K1064" s="470">
        <v>213.64102564102564</v>
      </c>
      <c r="L1064" s="470"/>
      <c r="M1064" s="875">
        <v>46172</v>
      </c>
      <c r="N1064" s="751"/>
      <c r="O1064" s="751" t="s">
        <v>2771</v>
      </c>
      <c r="P1064" s="751"/>
      <c r="Q1064" s="875">
        <v>46182</v>
      </c>
      <c r="R1064" s="751"/>
      <c r="S1064" s="751" t="s">
        <v>8515</v>
      </c>
      <c r="T1064" s="751" t="s">
        <v>8515</v>
      </c>
      <c r="U1064" s="751"/>
      <c r="V1064" s="751" t="s">
        <v>6915</v>
      </c>
      <c r="W1064" s="513">
        <f t="shared" si="25"/>
        <v>8332</v>
      </c>
    </row>
    <row r="1065" spans="2:23" ht="39">
      <c r="B1065" s="750" t="s">
        <v>8529</v>
      </c>
      <c r="C1065" s="750"/>
      <c r="D1065" s="751"/>
      <c r="E1065" s="752" t="s">
        <v>676</v>
      </c>
      <c r="F1065" s="753" t="str">
        <f>+VLOOKUP(G1065,Resumen_Base!$C$8:$G$156,5,0)</f>
        <v>Food &amp; Wine</v>
      </c>
      <c r="G1065" s="754" t="s">
        <v>37</v>
      </c>
      <c r="H1065" s="755" t="s">
        <v>457</v>
      </c>
      <c r="I1065" s="751" t="str">
        <f t="shared" si="17"/>
        <v>CAR5250</v>
      </c>
      <c r="J1065" s="470"/>
      <c r="K1065" s="470">
        <v>2127</v>
      </c>
      <c r="L1065" s="470"/>
      <c r="M1065" s="875">
        <v>46172</v>
      </c>
      <c r="N1065" s="751"/>
      <c r="O1065" s="751" t="s">
        <v>2771</v>
      </c>
      <c r="P1065" s="751"/>
      <c r="Q1065" s="875">
        <v>46182</v>
      </c>
      <c r="R1065" s="751"/>
      <c r="S1065" s="751" t="s">
        <v>8516</v>
      </c>
      <c r="T1065" s="751" t="s">
        <v>8516</v>
      </c>
      <c r="U1065" s="751"/>
      <c r="V1065" s="751" t="s">
        <v>6915</v>
      </c>
      <c r="W1065" s="513">
        <f t="shared" si="25"/>
        <v>82953</v>
      </c>
    </row>
    <row r="1066" spans="2:23" ht="39">
      <c r="B1066" s="750" t="s">
        <v>8529</v>
      </c>
      <c r="C1066" s="750"/>
      <c r="D1066" s="751"/>
      <c r="E1066" s="752" t="s">
        <v>670</v>
      </c>
      <c r="F1066" s="753" t="str">
        <f>+VLOOKUP(G1066,Resumen_Base!$C$8:$G$156,5,0)</f>
        <v>Food &amp; Wine</v>
      </c>
      <c r="G1066" s="754" t="s">
        <v>37</v>
      </c>
      <c r="H1066" s="755" t="s">
        <v>457</v>
      </c>
      <c r="I1066" s="751" t="str">
        <f t="shared" ref="I1066:I1103" si="26">+E1066&amp;G1066</f>
        <v>SJ5250</v>
      </c>
      <c r="J1066" s="470"/>
      <c r="K1066" s="470">
        <v>210.76923076923077</v>
      </c>
      <c r="L1066" s="470"/>
      <c r="M1066" s="875">
        <v>46172</v>
      </c>
      <c r="N1066" s="751"/>
      <c r="O1066" s="751" t="s">
        <v>5763</v>
      </c>
      <c r="P1066" s="751"/>
      <c r="Q1066" s="875">
        <v>46183</v>
      </c>
      <c r="R1066" s="751"/>
      <c r="S1066" s="751" t="s">
        <v>8477</v>
      </c>
      <c r="T1066" s="751" t="s">
        <v>8477</v>
      </c>
      <c r="U1066" s="751"/>
      <c r="V1066" s="751" t="s">
        <v>6915</v>
      </c>
      <c r="W1066" s="513">
        <f t="shared" si="25"/>
        <v>8220</v>
      </c>
    </row>
    <row r="1067" spans="2:23" ht="39">
      <c r="B1067" s="750" t="s">
        <v>8529</v>
      </c>
      <c r="C1067" s="750"/>
      <c r="D1067" s="751"/>
      <c r="E1067" s="752" t="s">
        <v>670</v>
      </c>
      <c r="F1067" s="753" t="str">
        <f>+VLOOKUP(G1067,Resumen_Base!$C$8:$G$156,5,0)</f>
        <v>Food &amp; Wine</v>
      </c>
      <c r="G1067" s="754" t="s">
        <v>37</v>
      </c>
      <c r="H1067" s="755" t="s">
        <v>457</v>
      </c>
      <c r="I1067" s="751" t="str">
        <f t="shared" si="26"/>
        <v>SJ5250</v>
      </c>
      <c r="J1067" s="470"/>
      <c r="K1067" s="470">
        <v>270.53846153846155</v>
      </c>
      <c r="L1067" s="470"/>
      <c r="M1067" s="875">
        <v>46172</v>
      </c>
      <c r="N1067" s="751"/>
      <c r="O1067" s="751" t="s">
        <v>5763</v>
      </c>
      <c r="P1067" s="751"/>
      <c r="Q1067" s="875">
        <v>46183</v>
      </c>
      <c r="R1067" s="751"/>
      <c r="S1067" s="751" t="s">
        <v>8478</v>
      </c>
      <c r="T1067" s="751" t="s">
        <v>8478</v>
      </c>
      <c r="U1067" s="751"/>
      <c r="V1067" s="751" t="s">
        <v>6915</v>
      </c>
      <c r="W1067" s="513">
        <f t="shared" si="25"/>
        <v>10551</v>
      </c>
    </row>
    <row r="1068" spans="2:23" ht="39">
      <c r="B1068" s="750" t="s">
        <v>8529</v>
      </c>
      <c r="C1068" s="750"/>
      <c r="D1068" s="751"/>
      <c r="E1068" s="752" t="s">
        <v>670</v>
      </c>
      <c r="F1068" s="753" t="str">
        <f>+VLOOKUP(G1068,Resumen_Base!$C$8:$G$156,5,0)</f>
        <v>Food &amp; Wine</v>
      </c>
      <c r="G1068" s="754" t="s">
        <v>37</v>
      </c>
      <c r="H1068" s="755" t="s">
        <v>457</v>
      </c>
      <c r="I1068" s="751" t="str">
        <f t="shared" si="26"/>
        <v>SJ5250</v>
      </c>
      <c r="J1068" s="470"/>
      <c r="K1068" s="470">
        <v>7.891282051282051</v>
      </c>
      <c r="L1068" s="470"/>
      <c r="M1068" s="875">
        <v>46172</v>
      </c>
      <c r="N1068" s="751"/>
      <c r="O1068" s="751" t="s">
        <v>5763</v>
      </c>
      <c r="P1068" s="751"/>
      <c r="Q1068" s="875">
        <v>46183</v>
      </c>
      <c r="R1068" s="751"/>
      <c r="S1068" s="751" t="s">
        <v>2797</v>
      </c>
      <c r="T1068" s="751" t="s">
        <v>2797</v>
      </c>
      <c r="U1068" s="751"/>
      <c r="V1068" s="751" t="s">
        <v>6915</v>
      </c>
      <c r="W1068" s="513">
        <f t="shared" si="25"/>
        <v>307.76</v>
      </c>
    </row>
    <row r="1069" spans="2:23" ht="39">
      <c r="B1069" s="750" t="s">
        <v>8529</v>
      </c>
      <c r="C1069" s="750"/>
      <c r="D1069" s="751"/>
      <c r="E1069" s="752" t="s">
        <v>670</v>
      </c>
      <c r="F1069" s="753" t="str">
        <f>+VLOOKUP(G1069,Resumen_Base!$C$8:$G$156,5,0)</f>
        <v>Food &amp; Wine</v>
      </c>
      <c r="G1069" s="754" t="s">
        <v>37</v>
      </c>
      <c r="H1069" s="755" t="s">
        <v>457</v>
      </c>
      <c r="I1069" s="751" t="str">
        <f t="shared" si="26"/>
        <v>SJ5250</v>
      </c>
      <c r="J1069" s="470"/>
      <c r="K1069" s="470">
        <v>1389.7948717948718</v>
      </c>
      <c r="L1069" s="470"/>
      <c r="M1069" s="875">
        <v>46172</v>
      </c>
      <c r="N1069" s="751"/>
      <c r="O1069" s="751" t="s">
        <v>5763</v>
      </c>
      <c r="P1069" s="751"/>
      <c r="Q1069" s="875">
        <v>46183</v>
      </c>
      <c r="R1069" s="751"/>
      <c r="S1069" s="751" t="s">
        <v>8479</v>
      </c>
      <c r="T1069" s="751" t="s">
        <v>8479</v>
      </c>
      <c r="U1069" s="751"/>
      <c r="V1069" s="751" t="s">
        <v>6915</v>
      </c>
      <c r="W1069" s="513">
        <f t="shared" si="25"/>
        <v>54202</v>
      </c>
    </row>
    <row r="1070" spans="2:23" ht="39">
      <c r="B1070" s="750" t="s">
        <v>8529</v>
      </c>
      <c r="C1070" s="750"/>
      <c r="D1070" s="751"/>
      <c r="E1070" s="752" t="s">
        <v>670</v>
      </c>
      <c r="F1070" s="753" t="str">
        <f>+VLOOKUP(G1070,Resumen_Base!$C$8:$G$156,5,0)</f>
        <v>Food &amp; Wine</v>
      </c>
      <c r="G1070" s="754" t="s">
        <v>37</v>
      </c>
      <c r="H1070" s="755" t="s">
        <v>457</v>
      </c>
      <c r="I1070" s="751" t="str">
        <f t="shared" si="26"/>
        <v>SJ5250</v>
      </c>
      <c r="J1070" s="470"/>
      <c r="K1070" s="470">
        <v>109.23076923076923</v>
      </c>
      <c r="L1070" s="470"/>
      <c r="M1070" s="875">
        <v>46172</v>
      </c>
      <c r="N1070" s="751"/>
      <c r="O1070" s="751" t="s">
        <v>5763</v>
      </c>
      <c r="P1070" s="751"/>
      <c r="Q1070" s="875">
        <v>46183</v>
      </c>
      <c r="R1070" s="751"/>
      <c r="S1070" s="751" t="s">
        <v>8480</v>
      </c>
      <c r="T1070" s="751" t="s">
        <v>8480</v>
      </c>
      <c r="U1070" s="751"/>
      <c r="V1070" s="751" t="s">
        <v>6915</v>
      </c>
      <c r="W1070" s="513">
        <f t="shared" si="25"/>
        <v>4260</v>
      </c>
    </row>
    <row r="1071" spans="2:23" ht="39">
      <c r="B1071" s="750" t="s">
        <v>8529</v>
      </c>
      <c r="C1071" s="750"/>
      <c r="D1071" s="751"/>
      <c r="E1071" s="752" t="s">
        <v>670</v>
      </c>
      <c r="F1071" s="753" t="str">
        <f>+VLOOKUP(G1071,Resumen_Base!$C$8:$G$156,5,0)</f>
        <v>Food &amp; Wine</v>
      </c>
      <c r="G1071" s="754" t="s">
        <v>37</v>
      </c>
      <c r="H1071" s="755" t="s">
        <v>457</v>
      </c>
      <c r="I1071" s="751" t="str">
        <f t="shared" si="26"/>
        <v>SJ5250</v>
      </c>
      <c r="J1071" s="470"/>
      <c r="K1071" s="470">
        <v>7100.6923076923076</v>
      </c>
      <c r="L1071" s="470"/>
      <c r="M1071" s="875">
        <v>46172</v>
      </c>
      <c r="N1071" s="751"/>
      <c r="O1071" s="751" t="s">
        <v>5763</v>
      </c>
      <c r="P1071" s="751"/>
      <c r="Q1071" s="875">
        <v>46183</v>
      </c>
      <c r="R1071" s="751"/>
      <c r="S1071" s="751" t="s">
        <v>8481</v>
      </c>
      <c r="T1071" s="751" t="s">
        <v>8481</v>
      </c>
      <c r="U1071" s="751"/>
      <c r="V1071" s="751" t="s">
        <v>6915</v>
      </c>
      <c r="W1071" s="513">
        <f t="shared" si="25"/>
        <v>276927</v>
      </c>
    </row>
    <row r="1072" spans="2:23" ht="39">
      <c r="B1072" s="750" t="s">
        <v>8529</v>
      </c>
      <c r="C1072" s="750"/>
      <c r="D1072" s="751"/>
      <c r="E1072" s="752" t="s">
        <v>670</v>
      </c>
      <c r="F1072" s="753" t="str">
        <f>+VLOOKUP(G1072,Resumen_Base!$C$8:$G$156,5,0)</f>
        <v>Food &amp; Wine</v>
      </c>
      <c r="G1072" s="754" t="s">
        <v>37</v>
      </c>
      <c r="H1072" s="755" t="s">
        <v>457</v>
      </c>
      <c r="I1072" s="751" t="str">
        <f t="shared" si="26"/>
        <v>SJ5250</v>
      </c>
      <c r="J1072" s="470"/>
      <c r="K1072" s="470">
        <v>1361.2051282051282</v>
      </c>
      <c r="L1072" s="470"/>
      <c r="M1072" s="875">
        <v>46172</v>
      </c>
      <c r="N1072" s="751"/>
      <c r="O1072" s="751" t="s">
        <v>5763</v>
      </c>
      <c r="P1072" s="751"/>
      <c r="Q1072" s="875">
        <v>46183</v>
      </c>
      <c r="R1072" s="751"/>
      <c r="S1072" s="751" t="s">
        <v>8482</v>
      </c>
      <c r="T1072" s="751" t="s">
        <v>8482</v>
      </c>
      <c r="U1072" s="751"/>
      <c r="V1072" s="751" t="s">
        <v>6915</v>
      </c>
      <c r="W1072" s="513">
        <f t="shared" si="25"/>
        <v>53087</v>
      </c>
    </row>
    <row r="1073" spans="2:23" ht="39">
      <c r="B1073" s="750" t="s">
        <v>8529</v>
      </c>
      <c r="C1073" s="750"/>
      <c r="D1073" s="751"/>
      <c r="E1073" s="752" t="s">
        <v>676</v>
      </c>
      <c r="F1073" s="753" t="str">
        <f>+VLOOKUP(G1073,Resumen_Base!$C$8:$G$156,5,0)</f>
        <v>Food &amp; Wine</v>
      </c>
      <c r="G1073" s="754" t="s">
        <v>35</v>
      </c>
      <c r="H1073" s="755" t="s">
        <v>458</v>
      </c>
      <c r="I1073" s="751" t="str">
        <f t="shared" si="26"/>
        <v>CAR5251</v>
      </c>
      <c r="J1073" s="470"/>
      <c r="K1073" s="470">
        <v>1.9617948717948719</v>
      </c>
      <c r="L1073" s="470"/>
      <c r="M1073" s="875">
        <v>46172</v>
      </c>
      <c r="N1073" s="751"/>
      <c r="O1073" s="751" t="s">
        <v>2771</v>
      </c>
      <c r="P1073" s="751"/>
      <c r="Q1073" s="875">
        <v>46182</v>
      </c>
      <c r="R1073" s="751"/>
      <c r="S1073" s="751" t="s">
        <v>2797</v>
      </c>
      <c r="T1073" s="751" t="s">
        <v>2797</v>
      </c>
      <c r="U1073" s="751"/>
      <c r="V1073" s="751" t="s">
        <v>6915</v>
      </c>
      <c r="W1073" s="513">
        <f t="shared" si="25"/>
        <v>76.510000000000005</v>
      </c>
    </row>
    <row r="1074" spans="2:23" ht="39">
      <c r="B1074" s="750" t="s">
        <v>8529</v>
      </c>
      <c r="C1074" s="750"/>
      <c r="D1074" s="751"/>
      <c r="E1074" s="752" t="s">
        <v>676</v>
      </c>
      <c r="F1074" s="753" t="str">
        <f>+VLOOKUP(G1074,Resumen_Base!$C$8:$G$156,5,0)</f>
        <v>Food &amp; Wine</v>
      </c>
      <c r="G1074" s="754" t="s">
        <v>35</v>
      </c>
      <c r="H1074" s="755" t="s">
        <v>458</v>
      </c>
      <c r="I1074" s="751" t="str">
        <f t="shared" si="26"/>
        <v>CAR5251</v>
      </c>
      <c r="J1074" s="470"/>
      <c r="K1074" s="470">
        <v>49.03846153846154</v>
      </c>
      <c r="L1074" s="470"/>
      <c r="M1074" s="875">
        <v>46172</v>
      </c>
      <c r="N1074" s="751"/>
      <c r="O1074" s="751" t="s">
        <v>2771</v>
      </c>
      <c r="P1074" s="751"/>
      <c r="Q1074" s="875">
        <v>46182</v>
      </c>
      <c r="R1074" s="751"/>
      <c r="S1074" s="751" t="s">
        <v>8517</v>
      </c>
      <c r="T1074" s="751" t="s">
        <v>8517</v>
      </c>
      <c r="U1074" s="751"/>
      <c r="V1074" s="751" t="s">
        <v>6915</v>
      </c>
      <c r="W1074" s="513">
        <f t="shared" si="25"/>
        <v>1912.5</v>
      </c>
    </row>
    <row r="1075" spans="2:23" ht="39">
      <c r="B1075" s="750" t="s">
        <v>8529</v>
      </c>
      <c r="C1075" s="750"/>
      <c r="D1075" s="751"/>
      <c r="E1075" s="752" t="s">
        <v>670</v>
      </c>
      <c r="F1075" s="753" t="str">
        <f>+VLOOKUP(G1075,Resumen_Base!$C$8:$G$156,5,0)</f>
        <v>Food &amp; Wine</v>
      </c>
      <c r="G1075" s="754" t="s">
        <v>35</v>
      </c>
      <c r="H1075" s="755" t="s">
        <v>458</v>
      </c>
      <c r="I1075" s="751" t="str">
        <f t="shared" si="26"/>
        <v>SJ5251</v>
      </c>
      <c r="J1075" s="470"/>
      <c r="K1075" s="470">
        <v>1.9728205128205127</v>
      </c>
      <c r="L1075" s="470"/>
      <c r="M1075" s="875">
        <v>46172</v>
      </c>
      <c r="N1075" s="751"/>
      <c r="O1075" s="751" t="s">
        <v>5763</v>
      </c>
      <c r="P1075" s="751"/>
      <c r="Q1075" s="875">
        <v>46183</v>
      </c>
      <c r="R1075" s="751"/>
      <c r="S1075" s="751" t="s">
        <v>2797</v>
      </c>
      <c r="T1075" s="751" t="s">
        <v>2797</v>
      </c>
      <c r="U1075" s="751"/>
      <c r="V1075" s="751" t="s">
        <v>6915</v>
      </c>
      <c r="W1075" s="513">
        <f t="shared" si="25"/>
        <v>76.94</v>
      </c>
    </row>
    <row r="1076" spans="2:23" ht="39">
      <c r="B1076" s="750" t="s">
        <v>8529</v>
      </c>
      <c r="C1076" s="750"/>
      <c r="D1076" s="751"/>
      <c r="E1076" s="752" t="s">
        <v>670</v>
      </c>
      <c r="F1076" s="753" t="str">
        <f>+VLOOKUP(G1076,Resumen_Base!$C$8:$G$156,5,0)</f>
        <v>Food &amp; Wine</v>
      </c>
      <c r="G1076" s="754" t="s">
        <v>35</v>
      </c>
      <c r="H1076" s="755" t="s">
        <v>458</v>
      </c>
      <c r="I1076" s="751" t="str">
        <f t="shared" si="26"/>
        <v>SJ5251</v>
      </c>
      <c r="J1076" s="470"/>
      <c r="K1076" s="470">
        <v>965.41025641025647</v>
      </c>
      <c r="L1076" s="470"/>
      <c r="M1076" s="875">
        <v>46172</v>
      </c>
      <c r="N1076" s="751"/>
      <c r="O1076" s="751" t="s">
        <v>5763</v>
      </c>
      <c r="P1076" s="751"/>
      <c r="Q1076" s="875">
        <v>46183</v>
      </c>
      <c r="R1076" s="751"/>
      <c r="S1076" s="751" t="s">
        <v>8483</v>
      </c>
      <c r="T1076" s="751" t="s">
        <v>8483</v>
      </c>
      <c r="U1076" s="751"/>
      <c r="V1076" s="751" t="s">
        <v>6915</v>
      </c>
      <c r="W1076" s="513">
        <f t="shared" si="25"/>
        <v>37651</v>
      </c>
    </row>
    <row r="1077" spans="2:23" ht="39">
      <c r="B1077" s="750" t="s">
        <v>8529</v>
      </c>
      <c r="C1077" s="750"/>
      <c r="D1077" s="751"/>
      <c r="E1077" s="752" t="s">
        <v>676</v>
      </c>
      <c r="F1077" s="753" t="str">
        <f>+VLOOKUP(G1077,Resumen_Base!$C$8:$G$156,5,0)</f>
        <v>Maintenance Lodge</v>
      </c>
      <c r="G1077" s="754" t="s">
        <v>33</v>
      </c>
      <c r="H1077" s="755" t="s">
        <v>468</v>
      </c>
      <c r="I1077" s="751" t="str">
        <f t="shared" si="26"/>
        <v>CAR5252</v>
      </c>
      <c r="J1077" s="470"/>
      <c r="K1077" s="470">
        <v>6.1538461538461542</v>
      </c>
      <c r="L1077" s="470"/>
      <c r="M1077" s="875">
        <v>46172</v>
      </c>
      <c r="N1077" s="751"/>
      <c r="O1077" s="751" t="s">
        <v>2771</v>
      </c>
      <c r="P1077" s="751"/>
      <c r="Q1077" s="875">
        <v>46182</v>
      </c>
      <c r="R1077" s="751"/>
      <c r="S1077" s="751" t="s">
        <v>8518</v>
      </c>
      <c r="T1077" s="751" t="s">
        <v>8518</v>
      </c>
      <c r="U1077" s="751"/>
      <c r="V1077" s="751" t="s">
        <v>6915</v>
      </c>
      <c r="W1077" s="513">
        <f t="shared" si="25"/>
        <v>240</v>
      </c>
    </row>
    <row r="1078" spans="2:23" ht="39">
      <c r="B1078" s="750" t="s">
        <v>8529</v>
      </c>
      <c r="C1078" s="750"/>
      <c r="D1078" s="751"/>
      <c r="E1078" s="752" t="s">
        <v>670</v>
      </c>
      <c r="F1078" s="753" t="str">
        <f>+VLOOKUP(G1078,Resumen_Base!$C$8:$G$156,5,0)</f>
        <v>Maintenance Lodge</v>
      </c>
      <c r="G1078" s="754" t="s">
        <v>33</v>
      </c>
      <c r="H1078" s="755" t="s">
        <v>468</v>
      </c>
      <c r="I1078" s="751" t="str">
        <f t="shared" si="26"/>
        <v>SJ5252</v>
      </c>
      <c r="J1078" s="470"/>
      <c r="K1078" s="470">
        <v>1.9</v>
      </c>
      <c r="L1078" s="470"/>
      <c r="M1078" s="875">
        <v>46172</v>
      </c>
      <c r="N1078" s="751"/>
      <c r="O1078" s="751" t="s">
        <v>5763</v>
      </c>
      <c r="P1078" s="751"/>
      <c r="Q1078" s="875">
        <v>46183</v>
      </c>
      <c r="R1078" s="751"/>
      <c r="S1078" s="751" t="s">
        <v>2797</v>
      </c>
      <c r="T1078" s="751" t="s">
        <v>2797</v>
      </c>
      <c r="U1078" s="751"/>
      <c r="V1078" s="751" t="s">
        <v>6912</v>
      </c>
      <c r="W1078" s="793">
        <f t="shared" ref="W1078:W1079" si="27">+K1078</f>
        <v>1.9</v>
      </c>
    </row>
    <row r="1079" spans="2:23" ht="39">
      <c r="B1079" s="750" t="s">
        <v>8529</v>
      </c>
      <c r="C1079" s="750"/>
      <c r="D1079" s="751"/>
      <c r="E1079" s="752" t="s">
        <v>670</v>
      </c>
      <c r="F1079" s="753" t="str">
        <f>+VLOOKUP(G1079,Resumen_Base!$C$8:$G$156,5,0)</f>
        <v>Maintenance Lodge</v>
      </c>
      <c r="G1079" s="754" t="s">
        <v>33</v>
      </c>
      <c r="H1079" s="755" t="s">
        <v>468</v>
      </c>
      <c r="I1079" s="751" t="str">
        <f t="shared" si="26"/>
        <v>SJ5252</v>
      </c>
      <c r="J1079" s="470"/>
      <c r="K1079" s="470">
        <v>1998</v>
      </c>
      <c r="L1079" s="470"/>
      <c r="M1079" s="875">
        <v>46172</v>
      </c>
      <c r="N1079" s="751"/>
      <c r="O1079" s="751" t="s">
        <v>5763</v>
      </c>
      <c r="P1079" s="751"/>
      <c r="Q1079" s="875">
        <v>46183</v>
      </c>
      <c r="R1079" s="751"/>
      <c r="S1079" s="751" t="s">
        <v>8456</v>
      </c>
      <c r="T1079" s="751" t="s">
        <v>8456</v>
      </c>
      <c r="U1079" s="751"/>
      <c r="V1079" s="751" t="s">
        <v>6912</v>
      </c>
      <c r="W1079" s="793">
        <f t="shared" si="27"/>
        <v>1998</v>
      </c>
    </row>
    <row r="1080" spans="2:23" ht="39">
      <c r="B1080" s="750" t="s">
        <v>8529</v>
      </c>
      <c r="C1080" s="750"/>
      <c r="D1080" s="751"/>
      <c r="E1080" s="752" t="s">
        <v>670</v>
      </c>
      <c r="F1080" s="753" t="str">
        <f>+VLOOKUP(G1080,Resumen_Base!$C$8:$G$156,5,0)</f>
        <v>Maintenance Lodge</v>
      </c>
      <c r="G1080" s="754" t="s">
        <v>33</v>
      </c>
      <c r="H1080" s="755" t="s">
        <v>468</v>
      </c>
      <c r="I1080" s="751" t="str">
        <f t="shared" si="26"/>
        <v>SJ5252</v>
      </c>
      <c r="J1080" s="470"/>
      <c r="K1080" s="470">
        <v>152.56410256410257</v>
      </c>
      <c r="L1080" s="470"/>
      <c r="M1080" s="875">
        <v>46172</v>
      </c>
      <c r="N1080" s="751"/>
      <c r="O1080" s="751" t="s">
        <v>5763</v>
      </c>
      <c r="P1080" s="751"/>
      <c r="Q1080" s="875">
        <v>46183</v>
      </c>
      <c r="R1080" s="751"/>
      <c r="S1080" s="751" t="s">
        <v>8484</v>
      </c>
      <c r="T1080" s="751" t="s">
        <v>8484</v>
      </c>
      <c r="U1080" s="751"/>
      <c r="V1080" s="751" t="s">
        <v>6915</v>
      </c>
      <c r="W1080" s="513">
        <f t="shared" ref="W1080:W1092" si="28">+K1080*39</f>
        <v>5950</v>
      </c>
    </row>
    <row r="1081" spans="2:23" ht="39">
      <c r="B1081" s="750" t="s">
        <v>8529</v>
      </c>
      <c r="C1081" s="750"/>
      <c r="D1081" s="751"/>
      <c r="E1081" s="752" t="s">
        <v>670</v>
      </c>
      <c r="F1081" s="753" t="str">
        <f>+VLOOKUP(G1081,Resumen_Base!$C$8:$G$156,5,0)</f>
        <v>Maintenance Lodge</v>
      </c>
      <c r="G1081" s="754" t="s">
        <v>33</v>
      </c>
      <c r="H1081" s="755" t="s">
        <v>468</v>
      </c>
      <c r="I1081" s="751" t="str">
        <f t="shared" si="26"/>
        <v>SJ5252</v>
      </c>
      <c r="J1081" s="470"/>
      <c r="K1081" s="470">
        <v>124.76923076923077</v>
      </c>
      <c r="L1081" s="470"/>
      <c r="M1081" s="875">
        <v>46172</v>
      </c>
      <c r="N1081" s="751"/>
      <c r="O1081" s="751" t="s">
        <v>5763</v>
      </c>
      <c r="P1081" s="751"/>
      <c r="Q1081" s="875">
        <v>46183</v>
      </c>
      <c r="R1081" s="751"/>
      <c r="S1081" s="751" t="s">
        <v>8485</v>
      </c>
      <c r="T1081" s="751" t="s">
        <v>8485</v>
      </c>
      <c r="U1081" s="751"/>
      <c r="V1081" s="751" t="s">
        <v>6915</v>
      </c>
      <c r="W1081" s="513">
        <f t="shared" si="28"/>
        <v>4866</v>
      </c>
    </row>
    <row r="1082" spans="2:23" ht="39">
      <c r="B1082" s="750" t="s">
        <v>8529</v>
      </c>
      <c r="C1082" s="750"/>
      <c r="D1082" s="751"/>
      <c r="E1082" s="752" t="s">
        <v>670</v>
      </c>
      <c r="F1082" s="753" t="str">
        <f>+VLOOKUP(G1082,Resumen_Base!$C$8:$G$156,5,0)</f>
        <v>Maintenance Lodge</v>
      </c>
      <c r="G1082" s="754" t="s">
        <v>33</v>
      </c>
      <c r="H1082" s="755" t="s">
        <v>468</v>
      </c>
      <c r="I1082" s="751" t="str">
        <f t="shared" si="26"/>
        <v>SJ5252</v>
      </c>
      <c r="J1082" s="470"/>
      <c r="K1082" s="470">
        <v>1.9617948717948719</v>
      </c>
      <c r="L1082" s="470"/>
      <c r="M1082" s="875">
        <v>46172</v>
      </c>
      <c r="N1082" s="751"/>
      <c r="O1082" s="751" t="s">
        <v>5763</v>
      </c>
      <c r="P1082" s="751"/>
      <c r="Q1082" s="875">
        <v>46183</v>
      </c>
      <c r="R1082" s="751"/>
      <c r="S1082" s="751" t="s">
        <v>2797</v>
      </c>
      <c r="T1082" s="751" t="s">
        <v>2797</v>
      </c>
      <c r="U1082" s="751"/>
      <c r="V1082" s="751" t="s">
        <v>6915</v>
      </c>
      <c r="W1082" s="513">
        <f t="shared" si="28"/>
        <v>76.510000000000005</v>
      </c>
    </row>
    <row r="1083" spans="2:23" ht="39">
      <c r="B1083" s="750" t="s">
        <v>8529</v>
      </c>
      <c r="C1083" s="750"/>
      <c r="D1083" s="751"/>
      <c r="E1083" s="752" t="s">
        <v>670</v>
      </c>
      <c r="F1083" s="753" t="str">
        <f>+VLOOKUP(G1083,Resumen_Base!$C$8:$G$156,5,0)</f>
        <v>Maintenance Lodge</v>
      </c>
      <c r="G1083" s="754" t="s">
        <v>33</v>
      </c>
      <c r="H1083" s="755" t="s">
        <v>468</v>
      </c>
      <c r="I1083" s="751" t="str">
        <f t="shared" si="26"/>
        <v>SJ5252</v>
      </c>
      <c r="J1083" s="470"/>
      <c r="K1083" s="470">
        <v>358.97435897435895</v>
      </c>
      <c r="L1083" s="470"/>
      <c r="M1083" s="875">
        <v>46172</v>
      </c>
      <c r="N1083" s="751"/>
      <c r="O1083" s="751" t="s">
        <v>5763</v>
      </c>
      <c r="P1083" s="751"/>
      <c r="Q1083" s="875">
        <v>46183</v>
      </c>
      <c r="R1083" s="751"/>
      <c r="S1083" s="751" t="s">
        <v>8486</v>
      </c>
      <c r="T1083" s="751" t="s">
        <v>8486</v>
      </c>
      <c r="U1083" s="751"/>
      <c r="V1083" s="751" t="s">
        <v>6915</v>
      </c>
      <c r="W1083" s="513">
        <f t="shared" si="28"/>
        <v>13999.999999999998</v>
      </c>
    </row>
    <row r="1084" spans="2:23" ht="39">
      <c r="B1084" s="750" t="s">
        <v>8529</v>
      </c>
      <c r="C1084" s="750"/>
      <c r="D1084" s="751"/>
      <c r="E1084" s="752" t="s">
        <v>670</v>
      </c>
      <c r="F1084" s="753" t="str">
        <f>+VLOOKUP(G1084,Resumen_Base!$C$8:$G$156,5,0)</f>
        <v>Maintenance Lodge</v>
      </c>
      <c r="G1084" s="754" t="s">
        <v>33</v>
      </c>
      <c r="H1084" s="755" t="s">
        <v>468</v>
      </c>
      <c r="I1084" s="751" t="str">
        <f t="shared" si="26"/>
        <v>SJ5252</v>
      </c>
      <c r="J1084" s="470"/>
      <c r="K1084" s="470">
        <v>102.1025641025641</v>
      </c>
      <c r="L1084" s="470"/>
      <c r="M1084" s="875">
        <v>46172</v>
      </c>
      <c r="N1084" s="751"/>
      <c r="O1084" s="751" t="s">
        <v>5763</v>
      </c>
      <c r="P1084" s="751"/>
      <c r="Q1084" s="875">
        <v>46183</v>
      </c>
      <c r="R1084" s="751"/>
      <c r="S1084" s="751" t="s">
        <v>8487</v>
      </c>
      <c r="T1084" s="751" t="s">
        <v>8487</v>
      </c>
      <c r="U1084" s="751"/>
      <c r="V1084" s="751" t="s">
        <v>6915</v>
      </c>
      <c r="W1084" s="513">
        <f t="shared" si="28"/>
        <v>3982</v>
      </c>
    </row>
    <row r="1085" spans="2:23" ht="39">
      <c r="B1085" s="750" t="s">
        <v>8529</v>
      </c>
      <c r="C1085" s="750"/>
      <c r="D1085" s="751"/>
      <c r="E1085" s="752" t="s">
        <v>676</v>
      </c>
      <c r="F1085" s="753" t="str">
        <f>+VLOOKUP(G1085,Resumen_Base!$C$8:$G$156,5,0)</f>
        <v>Maintenance  Boats / Vehicles</v>
      </c>
      <c r="G1085" s="754" t="s">
        <v>66</v>
      </c>
      <c r="H1085" s="755" t="s">
        <v>469</v>
      </c>
      <c r="I1085" s="751" t="str">
        <f t="shared" si="26"/>
        <v>CAR5253</v>
      </c>
      <c r="J1085" s="470"/>
      <c r="K1085" s="470">
        <v>11.538461538461538</v>
      </c>
      <c r="L1085" s="470"/>
      <c r="M1085" s="875">
        <v>46172</v>
      </c>
      <c r="N1085" s="751"/>
      <c r="O1085" s="751" t="s">
        <v>2771</v>
      </c>
      <c r="P1085" s="751"/>
      <c r="Q1085" s="875">
        <v>46182</v>
      </c>
      <c r="R1085" s="751"/>
      <c r="S1085" s="751" t="s">
        <v>8519</v>
      </c>
      <c r="T1085" s="751" t="s">
        <v>8519</v>
      </c>
      <c r="U1085" s="751"/>
      <c r="V1085" s="751" t="s">
        <v>6915</v>
      </c>
      <c r="W1085" s="513">
        <f t="shared" si="28"/>
        <v>450</v>
      </c>
    </row>
    <row r="1086" spans="2:23" ht="39">
      <c r="B1086" s="750" t="s">
        <v>8529</v>
      </c>
      <c r="C1086" s="750"/>
      <c r="D1086" s="751"/>
      <c r="E1086" s="752" t="s">
        <v>676</v>
      </c>
      <c r="F1086" s="753" t="str">
        <f>+VLOOKUP(G1086,Resumen_Base!$C$8:$G$156,5,0)</f>
        <v>Maintenance  Boats / Vehicles</v>
      </c>
      <c r="G1086" s="754" t="s">
        <v>66</v>
      </c>
      <c r="H1086" s="755" t="s">
        <v>469</v>
      </c>
      <c r="I1086" s="751" t="str">
        <f t="shared" si="26"/>
        <v>CAR5253</v>
      </c>
      <c r="J1086" s="470"/>
      <c r="K1086" s="470">
        <v>24.358974358974358</v>
      </c>
      <c r="L1086" s="470"/>
      <c r="M1086" s="875">
        <v>46172</v>
      </c>
      <c r="N1086" s="751"/>
      <c r="O1086" s="751" t="s">
        <v>2771</v>
      </c>
      <c r="P1086" s="751"/>
      <c r="Q1086" s="875">
        <v>46182</v>
      </c>
      <c r="R1086" s="751"/>
      <c r="S1086" s="751" t="s">
        <v>8520</v>
      </c>
      <c r="T1086" s="751" t="s">
        <v>8520</v>
      </c>
      <c r="U1086" s="751"/>
      <c r="V1086" s="751" t="s">
        <v>6915</v>
      </c>
      <c r="W1086" s="513">
        <f t="shared" si="28"/>
        <v>950</v>
      </c>
    </row>
    <row r="1087" spans="2:23" ht="39">
      <c r="B1087" s="750" t="s">
        <v>8529</v>
      </c>
      <c r="C1087" s="750"/>
      <c r="D1087" s="751"/>
      <c r="E1087" s="752" t="s">
        <v>676</v>
      </c>
      <c r="F1087" s="753" t="str">
        <f>+VLOOKUP(G1087,Resumen_Base!$C$8:$G$156,5,0)</f>
        <v>Maintenance  Boats / Vehicles</v>
      </c>
      <c r="G1087" s="754" t="s">
        <v>66</v>
      </c>
      <c r="H1087" s="755" t="s">
        <v>469</v>
      </c>
      <c r="I1087" s="751" t="str">
        <f t="shared" si="26"/>
        <v>CAR5253</v>
      </c>
      <c r="J1087" s="470"/>
      <c r="K1087" s="470">
        <v>14.871794871794872</v>
      </c>
      <c r="L1087" s="470"/>
      <c r="M1087" s="875">
        <v>46172</v>
      </c>
      <c r="N1087" s="751"/>
      <c r="O1087" s="751" t="s">
        <v>2771</v>
      </c>
      <c r="P1087" s="751"/>
      <c r="Q1087" s="875">
        <v>46182</v>
      </c>
      <c r="R1087" s="751"/>
      <c r="S1087" s="751" t="s">
        <v>8521</v>
      </c>
      <c r="T1087" s="751" t="s">
        <v>8521</v>
      </c>
      <c r="U1087" s="751"/>
      <c r="V1087" s="751" t="s">
        <v>6915</v>
      </c>
      <c r="W1087" s="513">
        <f t="shared" si="28"/>
        <v>580</v>
      </c>
    </row>
    <row r="1088" spans="2:23" ht="39">
      <c r="B1088" s="750" t="s">
        <v>8529</v>
      </c>
      <c r="C1088" s="750"/>
      <c r="D1088" s="751"/>
      <c r="E1088" s="752" t="s">
        <v>676</v>
      </c>
      <c r="F1088" s="753" t="str">
        <f>+VLOOKUP(G1088,Resumen_Base!$C$8:$G$156,5,0)</f>
        <v>Maintenance  Boats / Vehicles</v>
      </c>
      <c r="G1088" s="754" t="s">
        <v>66</v>
      </c>
      <c r="H1088" s="755" t="s">
        <v>469</v>
      </c>
      <c r="I1088" s="751" t="str">
        <f t="shared" si="26"/>
        <v>CAR5253</v>
      </c>
      <c r="J1088" s="470"/>
      <c r="K1088" s="470">
        <v>261.53846153846155</v>
      </c>
      <c r="L1088" s="470"/>
      <c r="M1088" s="875">
        <v>46172</v>
      </c>
      <c r="N1088" s="751"/>
      <c r="O1088" s="751" t="s">
        <v>2771</v>
      </c>
      <c r="P1088" s="751"/>
      <c r="Q1088" s="875">
        <v>46182</v>
      </c>
      <c r="R1088" s="751"/>
      <c r="S1088" s="751" t="s">
        <v>8522</v>
      </c>
      <c r="T1088" s="751" t="s">
        <v>8522</v>
      </c>
      <c r="U1088" s="751"/>
      <c r="V1088" s="751" t="s">
        <v>6915</v>
      </c>
      <c r="W1088" s="513">
        <f t="shared" si="28"/>
        <v>10200</v>
      </c>
    </row>
    <row r="1089" spans="2:30" ht="39">
      <c r="B1089" s="750" t="s">
        <v>8529</v>
      </c>
      <c r="C1089" s="750"/>
      <c r="D1089" s="751"/>
      <c r="E1089" s="752" t="s">
        <v>676</v>
      </c>
      <c r="F1089" s="753" t="str">
        <f>+VLOOKUP(G1089,Resumen_Base!$C$8:$G$156,5,0)</f>
        <v>Maintenance  Boats / Vehicles</v>
      </c>
      <c r="G1089" s="754" t="s">
        <v>66</v>
      </c>
      <c r="H1089" s="755" t="s">
        <v>469</v>
      </c>
      <c r="I1089" s="751" t="str">
        <f t="shared" si="26"/>
        <v>CAR5253</v>
      </c>
      <c r="J1089" s="470"/>
      <c r="K1089" s="470">
        <v>8.9743589743589745</v>
      </c>
      <c r="L1089" s="470"/>
      <c r="M1089" s="875">
        <v>46172</v>
      </c>
      <c r="N1089" s="751"/>
      <c r="O1089" s="751" t="s">
        <v>2771</v>
      </c>
      <c r="P1089" s="751"/>
      <c r="Q1089" s="875">
        <v>46182</v>
      </c>
      <c r="R1089" s="751"/>
      <c r="S1089" s="751" t="s">
        <v>8523</v>
      </c>
      <c r="T1089" s="751" t="s">
        <v>8523</v>
      </c>
      <c r="U1089" s="751"/>
      <c r="V1089" s="751" t="s">
        <v>6915</v>
      </c>
      <c r="W1089" s="513">
        <f t="shared" si="28"/>
        <v>350</v>
      </c>
    </row>
    <row r="1090" spans="2:30" ht="39">
      <c r="B1090" s="750" t="s">
        <v>8529</v>
      </c>
      <c r="C1090" s="750"/>
      <c r="D1090" s="751"/>
      <c r="E1090" s="752" t="s">
        <v>676</v>
      </c>
      <c r="F1090" s="753" t="str">
        <f>+VLOOKUP(G1090,Resumen_Base!$C$8:$G$156,5,0)</f>
        <v>Maintenance  Boats / Vehicles</v>
      </c>
      <c r="G1090" s="754" t="s">
        <v>66</v>
      </c>
      <c r="H1090" s="755" t="s">
        <v>469</v>
      </c>
      <c r="I1090" s="751" t="str">
        <f t="shared" si="26"/>
        <v>CAR5253</v>
      </c>
      <c r="J1090" s="470"/>
      <c r="K1090" s="470">
        <v>7.6923076923076925</v>
      </c>
      <c r="L1090" s="470"/>
      <c r="M1090" s="875">
        <v>46172</v>
      </c>
      <c r="N1090" s="751"/>
      <c r="O1090" s="751" t="s">
        <v>2771</v>
      </c>
      <c r="P1090" s="751"/>
      <c r="Q1090" s="875">
        <v>46182</v>
      </c>
      <c r="R1090" s="751"/>
      <c r="S1090" s="751" t="s">
        <v>8524</v>
      </c>
      <c r="T1090" s="751" t="s">
        <v>8524</v>
      </c>
      <c r="U1090" s="751"/>
      <c r="V1090" s="751" t="s">
        <v>6915</v>
      </c>
      <c r="W1090" s="513">
        <f t="shared" si="28"/>
        <v>300</v>
      </c>
    </row>
    <row r="1091" spans="2:30" ht="39">
      <c r="B1091" s="750" t="s">
        <v>8529</v>
      </c>
      <c r="C1091" s="750"/>
      <c r="D1091" s="751"/>
      <c r="E1091" s="752" t="s">
        <v>676</v>
      </c>
      <c r="F1091" s="753" t="str">
        <f>+VLOOKUP(G1091,Resumen_Base!$C$8:$G$156,5,0)</f>
        <v>Maintenance  Equipment</v>
      </c>
      <c r="G1091" s="754" t="s">
        <v>31</v>
      </c>
      <c r="H1091" s="755" t="s">
        <v>470</v>
      </c>
      <c r="I1091" s="751" t="str">
        <f t="shared" si="26"/>
        <v>CAR5254</v>
      </c>
      <c r="J1091" s="470"/>
      <c r="K1091" s="470">
        <v>35.692307692307693</v>
      </c>
      <c r="L1091" s="470"/>
      <c r="M1091" s="875">
        <v>46172</v>
      </c>
      <c r="N1091" s="751"/>
      <c r="O1091" s="751" t="s">
        <v>2771</v>
      </c>
      <c r="P1091" s="751"/>
      <c r="Q1091" s="875">
        <v>46182</v>
      </c>
      <c r="R1091" s="751"/>
      <c r="S1091" s="751" t="s">
        <v>8525</v>
      </c>
      <c r="T1091" s="751" t="s">
        <v>8525</v>
      </c>
      <c r="U1091" s="751"/>
      <c r="V1091" s="751" t="s">
        <v>6915</v>
      </c>
      <c r="W1091" s="513">
        <f t="shared" si="28"/>
        <v>1392</v>
      </c>
    </row>
    <row r="1092" spans="2:30" ht="39">
      <c r="B1092" s="750" t="s">
        <v>8529</v>
      </c>
      <c r="C1092" s="750"/>
      <c r="D1092" s="751"/>
      <c r="E1092" s="752" t="s">
        <v>676</v>
      </c>
      <c r="F1092" s="753" t="str">
        <f>+VLOOKUP(G1092,Resumen_Base!$C$8:$G$156,5,0)</f>
        <v>Maintenance  Equipment</v>
      </c>
      <c r="G1092" s="754" t="s">
        <v>31</v>
      </c>
      <c r="H1092" s="755" t="s">
        <v>470</v>
      </c>
      <c r="I1092" s="751" t="str">
        <f t="shared" si="26"/>
        <v>CAR5254</v>
      </c>
      <c r="J1092" s="470"/>
      <c r="K1092" s="470">
        <v>58.794871794871796</v>
      </c>
      <c r="L1092" s="470"/>
      <c r="M1092" s="875">
        <v>46172</v>
      </c>
      <c r="N1092" s="751"/>
      <c r="O1092" s="751" t="s">
        <v>2771</v>
      </c>
      <c r="P1092" s="751"/>
      <c r="Q1092" s="875">
        <v>46182</v>
      </c>
      <c r="R1092" s="751"/>
      <c r="S1092" s="751" t="s">
        <v>8526</v>
      </c>
      <c r="T1092" s="751" t="s">
        <v>8526</v>
      </c>
      <c r="U1092" s="751"/>
      <c r="V1092" s="751" t="s">
        <v>6915</v>
      </c>
      <c r="W1092" s="513">
        <f t="shared" si="28"/>
        <v>2293</v>
      </c>
    </row>
    <row r="1093" spans="2:30" ht="39">
      <c r="B1093" s="750" t="s">
        <v>8529</v>
      </c>
      <c r="C1093" s="750"/>
      <c r="D1093" s="751"/>
      <c r="E1093" s="752" t="s">
        <v>670</v>
      </c>
      <c r="F1093" s="753" t="str">
        <f>+VLOOKUP(G1093,Resumen_Base!$C$8:$G$156,5,0)</f>
        <v>Maintenance  Equipment</v>
      </c>
      <c r="G1093" s="754" t="s">
        <v>31</v>
      </c>
      <c r="H1093" s="755" t="s">
        <v>470</v>
      </c>
      <c r="I1093" s="751" t="str">
        <f t="shared" si="26"/>
        <v>SJ5254</v>
      </c>
      <c r="J1093" s="470"/>
      <c r="K1093" s="470">
        <v>1.9</v>
      </c>
      <c r="L1093" s="470"/>
      <c r="M1093" s="875">
        <v>46172</v>
      </c>
      <c r="N1093" s="751"/>
      <c r="O1093" s="751" t="s">
        <v>5763</v>
      </c>
      <c r="P1093" s="751"/>
      <c r="Q1093" s="875">
        <v>46183</v>
      </c>
      <c r="R1093" s="751"/>
      <c r="S1093" s="751" t="s">
        <v>2797</v>
      </c>
      <c r="T1093" s="751" t="s">
        <v>2797</v>
      </c>
      <c r="U1093" s="751"/>
      <c r="V1093" s="751" t="s">
        <v>6912</v>
      </c>
      <c r="W1093" s="793">
        <f t="shared" ref="W1093:W1095" si="29">+K1093</f>
        <v>1.9</v>
      </c>
    </row>
    <row r="1094" spans="2:30" ht="39">
      <c r="B1094" s="750" t="s">
        <v>8529</v>
      </c>
      <c r="C1094" s="750"/>
      <c r="D1094" s="751"/>
      <c r="E1094" s="752" t="s">
        <v>670</v>
      </c>
      <c r="F1094" s="753" t="str">
        <f>+VLOOKUP(G1094,Resumen_Base!$C$8:$G$156,5,0)</f>
        <v>Maintenance  Equipment</v>
      </c>
      <c r="G1094" s="754" t="s">
        <v>31</v>
      </c>
      <c r="H1094" s="755" t="s">
        <v>470</v>
      </c>
      <c r="I1094" s="751" t="str">
        <f t="shared" si="26"/>
        <v>SJ5254</v>
      </c>
      <c r="J1094" s="470"/>
      <c r="K1094" s="470">
        <v>255</v>
      </c>
      <c r="L1094" s="470"/>
      <c r="M1094" s="875">
        <v>46172</v>
      </c>
      <c r="N1094" s="751"/>
      <c r="O1094" s="751" t="s">
        <v>5763</v>
      </c>
      <c r="P1094" s="751"/>
      <c r="Q1094" s="875">
        <v>46183</v>
      </c>
      <c r="R1094" s="751"/>
      <c r="S1094" s="751" t="s">
        <v>8457</v>
      </c>
      <c r="T1094" s="751" t="s">
        <v>8457</v>
      </c>
      <c r="U1094" s="751"/>
      <c r="V1094" s="751" t="s">
        <v>6912</v>
      </c>
      <c r="W1094" s="793">
        <f t="shared" si="29"/>
        <v>255</v>
      </c>
    </row>
    <row r="1095" spans="2:30" ht="39">
      <c r="B1095" s="750" t="s">
        <v>8529</v>
      </c>
      <c r="C1095" s="750"/>
      <c r="D1095" s="751"/>
      <c r="E1095" s="752" t="s">
        <v>676</v>
      </c>
      <c r="F1095" s="753" t="str">
        <f>+VLOOKUP(G1095,Resumen_Base!$C$8:$G$156,5,0)</f>
        <v>Travel for personnel (employees)</v>
      </c>
      <c r="G1095" s="754" t="s">
        <v>68</v>
      </c>
      <c r="H1095" s="755" t="s">
        <v>464</v>
      </c>
      <c r="I1095" s="751" t="str">
        <f t="shared" si="26"/>
        <v>CAR5255</v>
      </c>
      <c r="J1095" s="470"/>
      <c r="K1095" s="470">
        <v>445</v>
      </c>
      <c r="L1095" s="470"/>
      <c r="M1095" s="875">
        <v>46172</v>
      </c>
      <c r="N1095" s="751"/>
      <c r="O1095" s="751" t="s">
        <v>2771</v>
      </c>
      <c r="P1095" s="751"/>
      <c r="Q1095" s="875">
        <v>46186</v>
      </c>
      <c r="R1095" s="751"/>
      <c r="S1095" s="751" t="s">
        <v>8443</v>
      </c>
      <c r="T1095" s="751" t="s">
        <v>8443</v>
      </c>
      <c r="U1095" s="751"/>
      <c r="V1095" s="751" t="s">
        <v>6912</v>
      </c>
      <c r="W1095" s="793">
        <f t="shared" si="29"/>
        <v>445</v>
      </c>
    </row>
    <row r="1096" spans="2:30" ht="39">
      <c r="B1096" s="750" t="s">
        <v>8529</v>
      </c>
      <c r="C1096" s="750"/>
      <c r="D1096" s="751"/>
      <c r="E1096" s="752" t="s">
        <v>676</v>
      </c>
      <c r="F1096" s="753" t="str">
        <f>+VLOOKUP(G1096,Resumen_Base!$C$8:$G$156,5,0)</f>
        <v>Travel for personnel (employees)</v>
      </c>
      <c r="G1096" s="754" t="s">
        <v>68</v>
      </c>
      <c r="H1096" s="755" t="s">
        <v>464</v>
      </c>
      <c r="I1096" s="751" t="str">
        <f t="shared" si="26"/>
        <v>CAR5255</v>
      </c>
      <c r="J1096" s="470"/>
      <c r="K1096" s="470">
        <v>38.384615384615387</v>
      </c>
      <c r="L1096" s="470"/>
      <c r="M1096" s="875">
        <v>46172</v>
      </c>
      <c r="N1096" s="751"/>
      <c r="O1096" s="751" t="s">
        <v>2771</v>
      </c>
      <c r="P1096" s="751"/>
      <c r="Q1096" s="875">
        <v>46182</v>
      </c>
      <c r="R1096" s="751"/>
      <c r="S1096" s="751" t="s">
        <v>8527</v>
      </c>
      <c r="T1096" s="751" t="s">
        <v>8527</v>
      </c>
      <c r="U1096" s="751"/>
      <c r="V1096" s="751" t="s">
        <v>6915</v>
      </c>
      <c r="W1096" s="513">
        <f>+K1096*39</f>
        <v>1497</v>
      </c>
    </row>
    <row r="1097" spans="2:30" ht="39">
      <c r="B1097" s="750" t="s">
        <v>8529</v>
      </c>
      <c r="C1097" s="750"/>
      <c r="D1097" s="751"/>
      <c r="E1097" s="752" t="s">
        <v>670</v>
      </c>
      <c r="F1097" s="753" t="str">
        <f>+VLOOKUP(G1097,Resumen_Base!$C$8:$G$156,5,0)</f>
        <v>Travel for personnel (employees)</v>
      </c>
      <c r="G1097" s="754" t="s">
        <v>68</v>
      </c>
      <c r="H1097" s="755" t="s">
        <v>464</v>
      </c>
      <c r="I1097" s="751" t="str">
        <f t="shared" si="26"/>
        <v>SJ5255</v>
      </c>
      <c r="J1097" s="470"/>
      <c r="K1097" s="470">
        <v>632</v>
      </c>
      <c r="L1097" s="470"/>
      <c r="M1097" s="875">
        <v>46172</v>
      </c>
      <c r="N1097" s="751"/>
      <c r="O1097" s="751" t="s">
        <v>5763</v>
      </c>
      <c r="P1097" s="751"/>
      <c r="Q1097" s="875">
        <v>46186</v>
      </c>
      <c r="R1097" s="751"/>
      <c r="S1097" s="751" t="s">
        <v>8447</v>
      </c>
      <c r="T1097" s="751" t="s">
        <v>8447</v>
      </c>
      <c r="U1097" s="751"/>
      <c r="V1097" s="751" t="s">
        <v>6912</v>
      </c>
      <c r="W1097" s="793">
        <f>+K1097</f>
        <v>632</v>
      </c>
    </row>
    <row r="1098" spans="2:30" ht="39">
      <c r="B1098" s="750" t="s">
        <v>8529</v>
      </c>
      <c r="C1098" s="750"/>
      <c r="D1098" s="751"/>
      <c r="E1098" s="752" t="s">
        <v>676</v>
      </c>
      <c r="F1098" s="753" t="str">
        <f>+VLOOKUP(G1098,Resumen_Base!$C$8:$G$156,5,0)</f>
        <v>Miscellaneous &amp; Shipping</v>
      </c>
      <c r="G1098" s="754" t="s">
        <v>28</v>
      </c>
      <c r="H1098" s="755" t="s">
        <v>475</v>
      </c>
      <c r="I1098" s="751" t="str">
        <f t="shared" si="26"/>
        <v>CAR5263</v>
      </c>
      <c r="J1098" s="470"/>
      <c r="K1098" s="470">
        <v>265.38461538461536</v>
      </c>
      <c r="L1098" s="470"/>
      <c r="M1098" s="875">
        <v>46172</v>
      </c>
      <c r="N1098" s="751"/>
      <c r="O1098" s="751" t="s">
        <v>2771</v>
      </c>
      <c r="P1098" s="751"/>
      <c r="Q1098" s="875">
        <v>46182</v>
      </c>
      <c r="R1098" s="751"/>
      <c r="S1098" s="751" t="s">
        <v>8528</v>
      </c>
      <c r="T1098" s="751" t="s">
        <v>8528</v>
      </c>
      <c r="U1098" s="751"/>
      <c r="V1098" s="751" t="s">
        <v>6915</v>
      </c>
      <c r="W1098" s="513">
        <f>+K1098*39</f>
        <v>10349.999999999998</v>
      </c>
    </row>
    <row r="1099" spans="2:30" ht="39">
      <c r="B1099" s="750" t="s">
        <v>8529</v>
      </c>
      <c r="C1099" s="750"/>
      <c r="D1099" s="751"/>
      <c r="E1099" s="752" t="s">
        <v>670</v>
      </c>
      <c r="F1099" s="753" t="str">
        <f>+VLOOKUP(G1099,Resumen_Base!$C$8:$G$156,5,0)</f>
        <v>Baiting/Maize:</v>
      </c>
      <c r="G1099" s="754" t="s">
        <v>238</v>
      </c>
      <c r="H1099" s="755" t="s">
        <v>239</v>
      </c>
      <c r="I1099" s="751" t="str">
        <f t="shared" si="26"/>
        <v>SJ5284</v>
      </c>
      <c r="J1099" s="470"/>
      <c r="K1099" s="470">
        <v>1.9</v>
      </c>
      <c r="L1099" s="470"/>
      <c r="M1099" s="875">
        <v>46172</v>
      </c>
      <c r="N1099" s="751"/>
      <c r="O1099" s="751" t="s">
        <v>5763</v>
      </c>
      <c r="P1099" s="751"/>
      <c r="Q1099" s="875">
        <v>46183</v>
      </c>
      <c r="R1099" s="751"/>
      <c r="S1099" s="751" t="s">
        <v>2797</v>
      </c>
      <c r="T1099" s="751" t="s">
        <v>2797</v>
      </c>
      <c r="U1099" s="751"/>
      <c r="V1099" s="751" t="s">
        <v>6912</v>
      </c>
      <c r="W1099" s="793">
        <f t="shared" ref="W1099:W1101" si="30">+K1099</f>
        <v>1.9</v>
      </c>
    </row>
    <row r="1100" spans="2:30" ht="39">
      <c r="B1100" s="750" t="s">
        <v>8529</v>
      </c>
      <c r="C1100" s="750"/>
      <c r="D1100" s="751"/>
      <c r="E1100" s="752" t="s">
        <v>670</v>
      </c>
      <c r="F1100" s="753" t="str">
        <f>+VLOOKUP(G1100,Resumen_Base!$C$8:$G$156,5,0)</f>
        <v>Baiting/Maize:</v>
      </c>
      <c r="G1100" s="754" t="s">
        <v>238</v>
      </c>
      <c r="H1100" s="755" t="s">
        <v>239</v>
      </c>
      <c r="I1100" s="751" t="str">
        <f t="shared" si="26"/>
        <v>SJ5284</v>
      </c>
      <c r="J1100" s="470"/>
      <c r="K1100" s="470">
        <v>3713</v>
      </c>
      <c r="L1100" s="470"/>
      <c r="M1100" s="875">
        <v>46172</v>
      </c>
      <c r="N1100" s="751"/>
      <c r="O1100" s="751" t="s">
        <v>5763</v>
      </c>
      <c r="P1100" s="751"/>
      <c r="Q1100" s="875">
        <v>46183</v>
      </c>
      <c r="R1100" s="751"/>
      <c r="S1100" s="751" t="s">
        <v>8458</v>
      </c>
      <c r="T1100" s="751" t="s">
        <v>8458</v>
      </c>
      <c r="U1100" s="751"/>
      <c r="V1100" s="751" t="s">
        <v>6912</v>
      </c>
      <c r="W1100" s="793">
        <f t="shared" si="30"/>
        <v>3713</v>
      </c>
    </row>
    <row r="1101" spans="2:30" ht="39">
      <c r="B1101" s="750" t="s">
        <v>8529</v>
      </c>
      <c r="C1101" s="750"/>
      <c r="D1101" s="751"/>
      <c r="E1101" s="752" t="s">
        <v>670</v>
      </c>
      <c r="F1101" s="753" t="str">
        <f>+VLOOKUP(G1101,Resumen_Base!$C$8:$G$156,5,0)</f>
        <v>Fixed Asset's Payments (Investments) Armas</v>
      </c>
      <c r="G1101" s="754" t="s">
        <v>4</v>
      </c>
      <c r="H1101" s="755" t="s">
        <v>478</v>
      </c>
      <c r="I1101" s="751" t="str">
        <f t="shared" si="26"/>
        <v>SJ120211</v>
      </c>
      <c r="J1101" s="470"/>
      <c r="K1101" s="470">
        <v>3.8</v>
      </c>
      <c r="L1101" s="470"/>
      <c r="M1101" s="875">
        <v>46172</v>
      </c>
      <c r="N1101" s="751"/>
      <c r="O1101" s="751" t="s">
        <v>5763</v>
      </c>
      <c r="P1101" s="751"/>
      <c r="Q1101" s="875">
        <v>46183</v>
      </c>
      <c r="R1101" s="751"/>
      <c r="S1101" s="751" t="s">
        <v>2797</v>
      </c>
      <c r="T1101" s="751" t="s">
        <v>2797</v>
      </c>
      <c r="U1101" s="751"/>
      <c r="V1101" s="751" t="s">
        <v>6912</v>
      </c>
      <c r="W1101" s="793">
        <f t="shared" si="30"/>
        <v>3.8</v>
      </c>
    </row>
    <row r="1102" spans="2:30" ht="52">
      <c r="B1102" s="750" t="s">
        <v>8529</v>
      </c>
      <c r="C1102" s="750"/>
      <c r="D1102" s="751"/>
      <c r="E1102" s="752" t="s">
        <v>670</v>
      </c>
      <c r="F1102" s="753" t="str">
        <f>+VLOOKUP(G1102,Resumen_Base!$C$8:$G$156,5,0)</f>
        <v>Fixed Asset's Payments (Investments) Mejoras/equipamiento Lodge</v>
      </c>
      <c r="G1102" s="754" t="s">
        <v>50</v>
      </c>
      <c r="H1102" s="755" t="s">
        <v>51</v>
      </c>
      <c r="I1102" s="751" t="str">
        <f t="shared" si="26"/>
        <v>SJ12020103</v>
      </c>
      <c r="J1102" s="470"/>
      <c r="K1102" s="470">
        <v>1.961025641025641</v>
      </c>
      <c r="L1102" s="470"/>
      <c r="M1102" s="875">
        <v>46172</v>
      </c>
      <c r="N1102" s="751"/>
      <c r="O1102" s="751" t="s">
        <v>5763</v>
      </c>
      <c r="P1102" s="751"/>
      <c r="Q1102" s="875">
        <v>46183</v>
      </c>
      <c r="R1102" s="751"/>
      <c r="S1102" s="751" t="s">
        <v>2797</v>
      </c>
      <c r="T1102" s="751" t="s">
        <v>2797</v>
      </c>
      <c r="U1102" s="751"/>
      <c r="V1102" s="751" t="s">
        <v>6915</v>
      </c>
      <c r="W1102" s="513">
        <f t="shared" ref="W1102:W1103" si="31">+K1102*39</f>
        <v>76.48</v>
      </c>
    </row>
    <row r="1103" spans="2:30" ht="52">
      <c r="B1103" s="750" t="s">
        <v>8529</v>
      </c>
      <c r="C1103" s="750"/>
      <c r="D1103" s="751"/>
      <c r="E1103" s="752" t="s">
        <v>670</v>
      </c>
      <c r="F1103" s="753" t="str">
        <f>+VLOOKUP(G1103,Resumen_Base!$C$8:$G$156,5,0)</f>
        <v>Fixed Asset's Payments (Investments) Mejoras/equipamiento Lodge</v>
      </c>
      <c r="G1103" s="754" t="s">
        <v>50</v>
      </c>
      <c r="H1103" s="755" t="s">
        <v>51</v>
      </c>
      <c r="I1103" s="751" t="str">
        <f t="shared" si="26"/>
        <v>SJ12020103</v>
      </c>
      <c r="J1103" s="470"/>
      <c r="K1103" s="470">
        <v>512.82051282051282</v>
      </c>
      <c r="L1103" s="470"/>
      <c r="M1103" s="875">
        <v>46172</v>
      </c>
      <c r="N1103" s="751"/>
      <c r="O1103" s="751" t="s">
        <v>5763</v>
      </c>
      <c r="P1103" s="751"/>
      <c r="Q1103" s="875">
        <v>46183</v>
      </c>
      <c r="R1103" s="751"/>
      <c r="S1103" s="751" t="s">
        <v>8488</v>
      </c>
      <c r="T1103" s="751" t="s">
        <v>8488</v>
      </c>
      <c r="U1103" s="751"/>
      <c r="V1103" s="751" t="s">
        <v>6915</v>
      </c>
      <c r="W1103" s="513">
        <f t="shared" si="31"/>
        <v>20000</v>
      </c>
    </row>
    <row r="1104" spans="2:30" ht="39">
      <c r="B1104" s="750" t="s">
        <v>8529</v>
      </c>
      <c r="C1104" s="750"/>
      <c r="D1104" s="751"/>
      <c r="E1104" s="752" t="s">
        <v>676</v>
      </c>
      <c r="F1104" s="753" t="str">
        <f>+VLOOKUP(G1104,Resumen_Base!$C$8:$G$156,5,0)</f>
        <v>Field:</v>
      </c>
      <c r="G1104" s="754" t="s">
        <v>133</v>
      </c>
      <c r="H1104" s="755" t="s">
        <v>451</v>
      </c>
      <c r="I1104" s="751" t="str">
        <f>+E1104&amp;G1104</f>
        <v>CAR5207</v>
      </c>
      <c r="J1104" s="470"/>
      <c r="K1104" s="470">
        <v>650</v>
      </c>
      <c r="L1104" s="470"/>
      <c r="M1104" s="875">
        <v>46172</v>
      </c>
      <c r="N1104" s="751"/>
      <c r="O1104" s="751" t="s">
        <v>2771</v>
      </c>
      <c r="P1104" s="751"/>
      <c r="Q1104" s="875">
        <v>46194</v>
      </c>
      <c r="R1104" s="751"/>
      <c r="S1104" s="751" t="s">
        <v>8537</v>
      </c>
      <c r="T1104" s="751" t="s">
        <v>8537</v>
      </c>
      <c r="U1104" s="751"/>
      <c r="V1104" s="751" t="s">
        <v>6912</v>
      </c>
      <c r="W1104" s="513"/>
      <c r="AA1104" s="152" t="s">
        <v>8536</v>
      </c>
      <c r="AD1104" s="152" t="s">
        <v>3415</v>
      </c>
    </row>
    <row r="1105" spans="2:30" ht="39">
      <c r="B1105" s="750" t="s">
        <v>8529</v>
      </c>
      <c r="C1105" s="750"/>
      <c r="D1105" s="751"/>
      <c r="E1105" s="752" t="s">
        <v>676</v>
      </c>
      <c r="F1105" s="753" t="str">
        <f>+VLOOKUP(G1105,Resumen_Base!$C$8:$G$156,5,0)</f>
        <v>Field:</v>
      </c>
      <c r="G1105" s="754" t="s">
        <v>133</v>
      </c>
      <c r="H1105" s="755" t="s">
        <v>451</v>
      </c>
      <c r="I1105" s="751" t="str">
        <f>+E1105&amp;G1105</f>
        <v>CAR5207</v>
      </c>
      <c r="J1105" s="470"/>
      <c r="K1105" s="470">
        <v>3.8</v>
      </c>
      <c r="L1105" s="470"/>
      <c r="M1105" s="875">
        <v>46172</v>
      </c>
      <c r="N1105" s="751"/>
      <c r="O1105" s="751" t="s">
        <v>2771</v>
      </c>
      <c r="P1105" s="751"/>
      <c r="Q1105" s="875">
        <v>46194</v>
      </c>
      <c r="R1105" s="751"/>
      <c r="S1105" s="751" t="s">
        <v>2797</v>
      </c>
      <c r="T1105" s="751" t="s">
        <v>2797</v>
      </c>
      <c r="U1105" s="751"/>
      <c r="V1105" s="751" t="s">
        <v>6912</v>
      </c>
      <c r="W1105" s="513"/>
      <c r="AA1105" s="152" t="s">
        <v>8536</v>
      </c>
      <c r="AD1105" s="152" t="s">
        <v>3415</v>
      </c>
    </row>
    <row r="1106" spans="2:30" ht="39">
      <c r="B1106" s="750" t="s">
        <v>8529</v>
      </c>
      <c r="C1106" s="750"/>
      <c r="D1106" s="751"/>
      <c r="E1106" s="752" t="s">
        <v>676</v>
      </c>
      <c r="F1106" s="753" t="str">
        <f>+VLOOKUP(G1106,Resumen_Base!$C$8:$G$156,5,0)</f>
        <v>Field:</v>
      </c>
      <c r="G1106" s="754" t="s">
        <v>133</v>
      </c>
      <c r="H1106" s="755" t="s">
        <v>451</v>
      </c>
      <c r="I1106" s="751" t="str">
        <f>+E1106&amp;G1106</f>
        <v>CAR5207</v>
      </c>
      <c r="J1106" s="470"/>
      <c r="K1106" s="470">
        <v>5640</v>
      </c>
      <c r="L1106" s="470"/>
      <c r="M1106" s="875">
        <v>46172</v>
      </c>
      <c r="N1106" s="751"/>
      <c r="O1106" s="751" t="s">
        <v>2771</v>
      </c>
      <c r="P1106" s="751"/>
      <c r="Q1106" s="875">
        <v>46194</v>
      </c>
      <c r="R1106" s="751"/>
      <c r="S1106" s="751" t="s">
        <v>8538</v>
      </c>
      <c r="T1106" s="751" t="s">
        <v>8538</v>
      </c>
      <c r="U1106" s="751"/>
      <c r="V1106" s="751" t="s">
        <v>6912</v>
      </c>
      <c r="W1106" s="513"/>
      <c r="AA1106" s="152" t="s">
        <v>8536</v>
      </c>
      <c r="AD1106" s="152" t="s">
        <v>3415</v>
      </c>
    </row>
    <row r="1107" spans="2:30" ht="39">
      <c r="B1107" s="750" t="s">
        <v>8529</v>
      </c>
      <c r="C1107" s="750"/>
      <c r="D1107" s="751"/>
      <c r="E1107" s="752" t="s">
        <v>670</v>
      </c>
      <c r="F1107" s="753" t="str">
        <f>+VLOOKUP(G1107,Resumen_Base!$C$8:$G$156,5,0)</f>
        <v>Food &amp; Wine</v>
      </c>
      <c r="G1107" s="754" t="s">
        <v>45</v>
      </c>
      <c r="H1107" s="755" t="s">
        <v>44</v>
      </c>
      <c r="I1107" s="751" t="str">
        <f>+E1107&amp;G1107</f>
        <v>SJ5213</v>
      </c>
      <c r="J1107" s="470"/>
      <c r="K1107" s="470">
        <v>1290.4358974358975</v>
      </c>
      <c r="L1107" s="470"/>
      <c r="M1107" s="875">
        <v>46172</v>
      </c>
      <c r="N1107" s="751"/>
      <c r="O1107" s="751" t="s">
        <v>5763</v>
      </c>
      <c r="P1107" s="751"/>
      <c r="Q1107" s="875">
        <v>46194</v>
      </c>
      <c r="R1107" s="751"/>
      <c r="S1107" s="751" t="s">
        <v>8546</v>
      </c>
      <c r="T1107" s="751" t="s">
        <v>8546</v>
      </c>
      <c r="U1107" s="751"/>
      <c r="V1107" s="751" t="s">
        <v>6915</v>
      </c>
      <c r="W1107" s="513"/>
      <c r="AA1107" s="152" t="s">
        <v>8536</v>
      </c>
      <c r="AD1107" s="152" t="s">
        <v>8539</v>
      </c>
    </row>
    <row r="1108" spans="2:30" ht="39">
      <c r="B1108" s="750" t="s">
        <v>8529</v>
      </c>
      <c r="C1108" s="750"/>
      <c r="D1108" s="751"/>
      <c r="E1108" s="752" t="s">
        <v>676</v>
      </c>
      <c r="F1108" s="753" t="str">
        <f>+VLOOKUP(G1108,Resumen_Base!$C$8:$G$156,5,0)</f>
        <v>Social Security Contributions</v>
      </c>
      <c r="G1108" s="754" t="s">
        <v>331</v>
      </c>
      <c r="H1108" s="755" t="s">
        <v>332</v>
      </c>
      <c r="I1108" s="751" t="str">
        <f>+E1108&amp;G1108</f>
        <v>CAR5236</v>
      </c>
      <c r="J1108" s="470"/>
      <c r="K1108" s="470">
        <v>1.9658974358974359</v>
      </c>
      <c r="L1108" s="470"/>
      <c r="M1108" s="875">
        <v>46172</v>
      </c>
      <c r="N1108" s="751"/>
      <c r="O1108" s="751" t="s">
        <v>2771</v>
      </c>
      <c r="P1108" s="751"/>
      <c r="Q1108" s="875">
        <v>46194</v>
      </c>
      <c r="R1108" s="751"/>
      <c r="S1108" s="751" t="s">
        <v>2797</v>
      </c>
      <c r="T1108" s="751" t="s">
        <v>2797</v>
      </c>
      <c r="U1108" s="751"/>
      <c r="V1108" s="751" t="s">
        <v>6915</v>
      </c>
      <c r="W1108" s="513"/>
      <c r="AA1108" s="152" t="s">
        <v>8536</v>
      </c>
      <c r="AD1108" s="152" t="s">
        <v>8539</v>
      </c>
    </row>
    <row r="1109" spans="2:30" ht="39">
      <c r="B1109" s="750" t="s">
        <v>8529</v>
      </c>
      <c r="C1109" s="750"/>
      <c r="D1109" s="751"/>
      <c r="E1109" s="752" t="s">
        <v>676</v>
      </c>
      <c r="F1109" s="753" t="str">
        <f>+VLOOKUP(G1109,Resumen_Base!$C$8:$G$156,5,0)</f>
        <v>Social Security Contributions</v>
      </c>
      <c r="G1109" s="754" t="s">
        <v>331</v>
      </c>
      <c r="H1109" s="755" t="s">
        <v>332</v>
      </c>
      <c r="I1109" s="751" t="str">
        <f>+E1109&amp;G1109</f>
        <v>CAR5236</v>
      </c>
      <c r="J1109" s="470"/>
      <c r="K1109" s="470">
        <v>54.46153846153846</v>
      </c>
      <c r="L1109" s="470"/>
      <c r="M1109" s="875">
        <v>46172</v>
      </c>
      <c r="N1109" s="751"/>
      <c r="O1109" s="751" t="s">
        <v>2771</v>
      </c>
      <c r="P1109" s="751"/>
      <c r="Q1109" s="875">
        <v>46194</v>
      </c>
      <c r="R1109" s="751"/>
      <c r="S1109" s="751" t="s">
        <v>8540</v>
      </c>
      <c r="T1109" s="751" t="s">
        <v>8540</v>
      </c>
      <c r="U1109" s="751"/>
      <c r="V1109" s="751" t="s">
        <v>6915</v>
      </c>
      <c r="W1109" s="513"/>
      <c r="AA1109" s="152" t="s">
        <v>8536</v>
      </c>
      <c r="AD1109" s="152" t="s">
        <v>8539</v>
      </c>
    </row>
    <row r="1110" spans="2:30" ht="39">
      <c r="B1110" s="750" t="s">
        <v>8529</v>
      </c>
      <c r="C1110" s="750"/>
      <c r="D1110" s="751"/>
      <c r="E1110" s="752" t="s">
        <v>676</v>
      </c>
      <c r="F1110" s="753" t="str">
        <f>+VLOOKUP(G1110,Resumen_Base!$C$8:$G$156,5,0)</f>
        <v>Electricity</v>
      </c>
      <c r="G1110" s="754" t="s">
        <v>41</v>
      </c>
      <c r="H1110" s="755" t="s">
        <v>459</v>
      </c>
      <c r="I1110" s="751" t="str">
        <f>+E1110&amp;G1110</f>
        <v>CAR5247</v>
      </c>
      <c r="J1110" s="470"/>
      <c r="K1110" s="470">
        <v>389.4871794871795</v>
      </c>
      <c r="L1110" s="470"/>
      <c r="M1110" s="875">
        <v>46172</v>
      </c>
      <c r="N1110" s="751"/>
      <c r="O1110" s="751" t="s">
        <v>2771</v>
      </c>
      <c r="P1110" s="751"/>
      <c r="Q1110" s="875">
        <v>46194</v>
      </c>
      <c r="R1110" s="751"/>
      <c r="S1110" s="751" t="s">
        <v>8541</v>
      </c>
      <c r="T1110" s="751" t="s">
        <v>8541</v>
      </c>
      <c r="U1110" s="751"/>
      <c r="V1110" s="751" t="s">
        <v>6915</v>
      </c>
      <c r="W1110" s="513"/>
      <c r="AA1110" s="152" t="s">
        <v>8536</v>
      </c>
      <c r="AD1110" s="152" t="s">
        <v>8539</v>
      </c>
    </row>
    <row r="1111" spans="2:30" ht="39">
      <c r="B1111" s="750" t="s">
        <v>8529</v>
      </c>
      <c r="C1111" s="750"/>
      <c r="D1111" s="751"/>
      <c r="E1111" s="752" t="s">
        <v>676</v>
      </c>
      <c r="F1111" s="753" t="str">
        <f>+VLOOKUP(G1111,Resumen_Base!$C$8:$G$156,5,0)</f>
        <v>Electricity</v>
      </c>
      <c r="G1111" s="754" t="s">
        <v>41</v>
      </c>
      <c r="H1111" s="755" t="s">
        <v>459</v>
      </c>
      <c r="I1111" s="751" t="str">
        <f>+E1111&amp;G1111</f>
        <v>CAR5247</v>
      </c>
      <c r="J1111" s="470"/>
      <c r="K1111" s="470">
        <v>1542.8461538461538</v>
      </c>
      <c r="L1111" s="470"/>
      <c r="M1111" s="875">
        <v>46172</v>
      </c>
      <c r="N1111" s="751"/>
      <c r="O1111" s="751" t="s">
        <v>2771</v>
      </c>
      <c r="P1111" s="751"/>
      <c r="Q1111" s="875">
        <v>46194</v>
      </c>
      <c r="R1111" s="751"/>
      <c r="S1111" s="751" t="s">
        <v>8542</v>
      </c>
      <c r="T1111" s="751" t="s">
        <v>8542</v>
      </c>
      <c r="U1111" s="751"/>
      <c r="V1111" s="751" t="s">
        <v>6915</v>
      </c>
      <c r="W1111" s="513"/>
      <c r="AA1111" s="152" t="s">
        <v>8536</v>
      </c>
      <c r="AD1111" s="152" t="s">
        <v>8539</v>
      </c>
    </row>
    <row r="1112" spans="2:30" ht="39">
      <c r="B1112" s="750" t="s">
        <v>8529</v>
      </c>
      <c r="C1112" s="750"/>
      <c r="D1112" s="751"/>
      <c r="E1112" s="752" t="s">
        <v>670</v>
      </c>
      <c r="F1112" s="753" t="str">
        <f>+VLOOKUP(G1112,Resumen_Base!$C$8:$G$156,5,0)</f>
        <v>Electricity - Gas for Boats &amp; Vehicles</v>
      </c>
      <c r="G1112" s="754" t="s">
        <v>64</v>
      </c>
      <c r="H1112" s="755" t="s">
        <v>461</v>
      </c>
      <c r="I1112" s="751" t="str">
        <f>+E1112&amp;G1112</f>
        <v>SJ5248</v>
      </c>
      <c r="J1112" s="470"/>
      <c r="K1112" s="470">
        <v>12316.923076923076</v>
      </c>
      <c r="L1112" s="470"/>
      <c r="M1112" s="875">
        <v>46172</v>
      </c>
      <c r="N1112" s="751"/>
      <c r="O1112" s="751" t="s">
        <v>5763</v>
      </c>
      <c r="P1112" s="751"/>
      <c r="Q1112" s="875">
        <v>46194</v>
      </c>
      <c r="R1112" s="751"/>
      <c r="S1112" s="751" t="s">
        <v>8547</v>
      </c>
      <c r="T1112" s="751" t="s">
        <v>8547</v>
      </c>
      <c r="U1112" s="751"/>
      <c r="V1112" s="751" t="s">
        <v>6915</v>
      </c>
      <c r="W1112" s="513"/>
      <c r="AA1112" s="152" t="s">
        <v>8536</v>
      </c>
      <c r="AD1112" s="152" t="s">
        <v>8539</v>
      </c>
    </row>
    <row r="1113" spans="2:30" ht="39">
      <c r="B1113" s="750" t="s">
        <v>8529</v>
      </c>
      <c r="C1113" s="750"/>
      <c r="D1113" s="751"/>
      <c r="E1113" s="752" t="s">
        <v>670</v>
      </c>
      <c r="F1113" s="753" t="str">
        <f>+VLOOKUP(G1113,Resumen_Base!$C$8:$G$156,5,0)</f>
        <v>Electricity - Gas for Boats &amp; Vehicles</v>
      </c>
      <c r="G1113" s="754" t="s">
        <v>64</v>
      </c>
      <c r="H1113" s="755" t="s">
        <v>461</v>
      </c>
      <c r="I1113" s="751" t="str">
        <f>+E1113&amp;G1113</f>
        <v>SJ5248</v>
      </c>
      <c r="J1113" s="470"/>
      <c r="K1113" s="470">
        <v>10.33923076923077</v>
      </c>
      <c r="L1113" s="470"/>
      <c r="M1113" s="875">
        <v>46172</v>
      </c>
      <c r="N1113" s="751"/>
      <c r="O1113" s="751" t="s">
        <v>5763</v>
      </c>
      <c r="P1113" s="751"/>
      <c r="Q1113" s="875">
        <v>46194</v>
      </c>
      <c r="R1113" s="751"/>
      <c r="S1113" s="751" t="s">
        <v>2797</v>
      </c>
      <c r="T1113" s="751" t="s">
        <v>2797</v>
      </c>
      <c r="U1113" s="751"/>
      <c r="V1113" s="751" t="s">
        <v>6915</v>
      </c>
      <c r="W1113" s="513"/>
      <c r="AA1113" s="152" t="s">
        <v>8536</v>
      </c>
      <c r="AD1113" s="152" t="s">
        <v>8539</v>
      </c>
    </row>
    <row r="1114" spans="2:30" ht="39">
      <c r="B1114" s="750" t="s">
        <v>8529</v>
      </c>
      <c r="C1114" s="750"/>
      <c r="D1114" s="751"/>
      <c r="E1114" s="752" t="s">
        <v>676</v>
      </c>
      <c r="F1114" s="753" t="str">
        <f>+VLOOKUP(G1114,Resumen_Base!$C$8:$G$156,5,0)</f>
        <v>Food &amp; Wine</v>
      </c>
      <c r="G1114" s="754" t="s">
        <v>37</v>
      </c>
      <c r="H1114" s="755" t="s">
        <v>457</v>
      </c>
      <c r="I1114" s="751" t="str">
        <f>+E1114&amp;G1114</f>
        <v>CAR5250</v>
      </c>
      <c r="J1114" s="470"/>
      <c r="K1114" s="470">
        <v>1101.7692307692307</v>
      </c>
      <c r="L1114" s="470"/>
      <c r="M1114" s="875">
        <v>46172</v>
      </c>
      <c r="N1114" s="751"/>
      <c r="O1114" s="751" t="s">
        <v>2771</v>
      </c>
      <c r="P1114" s="751"/>
      <c r="Q1114" s="875">
        <v>46194</v>
      </c>
      <c r="R1114" s="751"/>
      <c r="S1114" s="751" t="s">
        <v>8543</v>
      </c>
      <c r="T1114" s="751" t="s">
        <v>8543</v>
      </c>
      <c r="U1114" s="751"/>
      <c r="V1114" s="751" t="s">
        <v>6915</v>
      </c>
      <c r="W1114" s="513"/>
      <c r="AA1114" s="152" t="s">
        <v>8536</v>
      </c>
      <c r="AD1114" s="152" t="s">
        <v>8539</v>
      </c>
    </row>
    <row r="1115" spans="2:30" ht="39">
      <c r="B1115" s="750" t="s">
        <v>8529</v>
      </c>
      <c r="C1115" s="750"/>
      <c r="D1115" s="751"/>
      <c r="E1115" s="752" t="s">
        <v>676</v>
      </c>
      <c r="F1115" s="753" t="str">
        <f>+VLOOKUP(G1115,Resumen_Base!$C$8:$G$156,5,0)</f>
        <v>Food &amp; Wine</v>
      </c>
      <c r="G1115" s="754" t="s">
        <v>37</v>
      </c>
      <c r="H1115" s="755" t="s">
        <v>457</v>
      </c>
      <c r="I1115" s="751" t="str">
        <f>+E1115&amp;G1115</f>
        <v>CAR5250</v>
      </c>
      <c r="J1115" s="470"/>
      <c r="K1115" s="470">
        <v>4.8717948717948718E-2</v>
      </c>
      <c r="L1115" s="470"/>
      <c r="M1115" s="875">
        <v>46172</v>
      </c>
      <c r="N1115" s="751"/>
      <c r="O1115" s="751" t="s">
        <v>2771</v>
      </c>
      <c r="P1115" s="751"/>
      <c r="Q1115" s="875">
        <v>46194</v>
      </c>
      <c r="R1115" s="751"/>
      <c r="S1115" s="751" t="s">
        <v>2797</v>
      </c>
      <c r="T1115" s="751" t="s">
        <v>2797</v>
      </c>
      <c r="U1115" s="751"/>
      <c r="V1115" s="751" t="s">
        <v>6915</v>
      </c>
      <c r="W1115" s="513"/>
      <c r="AA1115" s="152" t="s">
        <v>8536</v>
      </c>
      <c r="AD1115" s="152" t="s">
        <v>8539</v>
      </c>
    </row>
    <row r="1116" spans="2:30" ht="39">
      <c r="B1116" s="750" t="s">
        <v>8529</v>
      </c>
      <c r="C1116" s="750"/>
      <c r="D1116" s="751"/>
      <c r="E1116" s="752" t="s">
        <v>676</v>
      </c>
      <c r="F1116" s="753" t="str">
        <f>+VLOOKUP(G1116,Resumen_Base!$C$8:$G$156,5,0)</f>
        <v>Maintenance  Equipment</v>
      </c>
      <c r="G1116" s="754" t="s">
        <v>31</v>
      </c>
      <c r="H1116" s="755" t="s">
        <v>470</v>
      </c>
      <c r="I1116" s="751" t="str">
        <f>+E1116&amp;G1116</f>
        <v>CAR5254</v>
      </c>
      <c r="J1116" s="470"/>
      <c r="K1116" s="470">
        <v>1.9</v>
      </c>
      <c r="L1116" s="470"/>
      <c r="M1116" s="875">
        <v>46172</v>
      </c>
      <c r="N1116" s="751"/>
      <c r="O1116" s="751" t="s">
        <v>2771</v>
      </c>
      <c r="P1116" s="751"/>
      <c r="Q1116" s="875">
        <v>46194</v>
      </c>
      <c r="R1116" s="751"/>
      <c r="S1116" s="751" t="s">
        <v>2797</v>
      </c>
      <c r="T1116" s="751" t="s">
        <v>2797</v>
      </c>
      <c r="U1116" s="751"/>
      <c r="V1116" s="751" t="s">
        <v>6912</v>
      </c>
      <c r="W1116" s="513"/>
      <c r="AA1116" s="152" t="s">
        <v>8536</v>
      </c>
      <c r="AD1116" s="152" t="s">
        <v>3415</v>
      </c>
    </row>
    <row r="1117" spans="2:30" ht="39">
      <c r="B1117" s="750" t="s">
        <v>8529</v>
      </c>
      <c r="C1117" s="750"/>
      <c r="D1117" s="751"/>
      <c r="E1117" s="752" t="s">
        <v>676</v>
      </c>
      <c r="F1117" s="753" t="str">
        <f>+VLOOKUP(G1117,Resumen_Base!$C$8:$G$156,5,0)</f>
        <v>Maintenance  Equipment</v>
      </c>
      <c r="G1117" s="754" t="s">
        <v>31</v>
      </c>
      <c r="H1117" s="755" t="s">
        <v>470</v>
      </c>
      <c r="I1117" s="751" t="str">
        <f>+E1117&amp;G1117</f>
        <v>CAR5254</v>
      </c>
      <c r="J1117" s="470"/>
      <c r="K1117" s="470">
        <v>1255</v>
      </c>
      <c r="L1117" s="470"/>
      <c r="M1117" s="875">
        <v>46172</v>
      </c>
      <c r="N1117" s="751"/>
      <c r="O1117" s="751" t="s">
        <v>2771</v>
      </c>
      <c r="P1117" s="751"/>
      <c r="Q1117" s="875">
        <v>46194</v>
      </c>
      <c r="R1117" s="751"/>
      <c r="S1117" s="751" t="s">
        <v>8544</v>
      </c>
      <c r="T1117" s="751" t="s">
        <v>8544</v>
      </c>
      <c r="U1117" s="751"/>
      <c r="V1117" s="751" t="s">
        <v>6912</v>
      </c>
      <c r="W1117" s="513"/>
      <c r="AA1117" s="152" t="s">
        <v>8536</v>
      </c>
      <c r="AD1117" s="152" t="s">
        <v>3415</v>
      </c>
    </row>
    <row r="1118" spans="2:30" ht="39">
      <c r="B1118" s="750" t="s">
        <v>8529</v>
      </c>
      <c r="C1118" s="750"/>
      <c r="D1118" s="751"/>
      <c r="E1118" s="752" t="s">
        <v>670</v>
      </c>
      <c r="F1118" s="753" t="str">
        <f>+VLOOKUP(G1118,Resumen_Base!$C$8:$G$156,5,0)</f>
        <v>Maintenance  Equipment</v>
      </c>
      <c r="G1118" s="754" t="s">
        <v>31</v>
      </c>
      <c r="H1118" s="755" t="s">
        <v>470</v>
      </c>
      <c r="I1118" s="751" t="str">
        <f>+E1118&amp;G1118</f>
        <v>SJ5254</v>
      </c>
      <c r="J1118" s="470"/>
      <c r="K1118" s="470">
        <v>1.9</v>
      </c>
      <c r="L1118" s="470"/>
      <c r="M1118" s="875">
        <v>46172</v>
      </c>
      <c r="N1118" s="751"/>
      <c r="O1118" s="751" t="s">
        <v>5763</v>
      </c>
      <c r="P1118" s="751"/>
      <c r="Q1118" s="875">
        <v>46194</v>
      </c>
      <c r="R1118" s="751"/>
      <c r="S1118" s="751" t="s">
        <v>2797</v>
      </c>
      <c r="T1118" s="751" t="s">
        <v>2797</v>
      </c>
      <c r="U1118" s="751"/>
      <c r="V1118" s="751" t="s">
        <v>6912</v>
      </c>
      <c r="W1118" s="513"/>
      <c r="AA1118" s="152" t="s">
        <v>8536</v>
      </c>
      <c r="AD1118" s="152" t="s">
        <v>3415</v>
      </c>
    </row>
    <row r="1119" spans="2:30" ht="39">
      <c r="B1119" s="750" t="s">
        <v>8529</v>
      </c>
      <c r="C1119" s="750"/>
      <c r="D1119" s="751"/>
      <c r="E1119" s="752" t="s">
        <v>670</v>
      </c>
      <c r="F1119" s="753" t="str">
        <f>+VLOOKUP(G1119,Resumen_Base!$C$8:$G$156,5,0)</f>
        <v>Maintenance  Equipment</v>
      </c>
      <c r="G1119" s="754" t="s">
        <v>31</v>
      </c>
      <c r="H1119" s="755" t="s">
        <v>470</v>
      </c>
      <c r="I1119" s="751" t="str">
        <f>+E1119&amp;G1119</f>
        <v>SJ5254</v>
      </c>
      <c r="J1119" s="470"/>
      <c r="K1119" s="470">
        <v>628</v>
      </c>
      <c r="L1119" s="470"/>
      <c r="M1119" s="875">
        <v>46172</v>
      </c>
      <c r="N1119" s="751"/>
      <c r="O1119" s="751" t="s">
        <v>5763</v>
      </c>
      <c r="P1119" s="751"/>
      <c r="Q1119" s="875">
        <v>46194</v>
      </c>
      <c r="R1119" s="751"/>
      <c r="S1119" s="751" t="s">
        <v>8548</v>
      </c>
      <c r="T1119" s="751" t="s">
        <v>8548</v>
      </c>
      <c r="U1119" s="751"/>
      <c r="V1119" s="751" t="s">
        <v>6912</v>
      </c>
      <c r="W1119" s="513"/>
      <c r="AA1119" s="152" t="s">
        <v>8536</v>
      </c>
      <c r="AD1119" s="152" t="s">
        <v>3415</v>
      </c>
    </row>
    <row r="1120" spans="2:30" ht="39">
      <c r="B1120" s="750" t="s">
        <v>8529</v>
      </c>
      <c r="C1120" s="750"/>
      <c r="D1120" s="751"/>
      <c r="E1120" s="752" t="s">
        <v>676</v>
      </c>
      <c r="F1120" s="753" t="str">
        <f>+VLOOKUP(G1120,Resumen_Base!$C$8:$G$156,5,0)</f>
        <v>Communications - Phone, internet and satellite TV</v>
      </c>
      <c r="G1120" s="754" t="s">
        <v>72</v>
      </c>
      <c r="H1120" s="755" t="s">
        <v>315</v>
      </c>
      <c r="I1120" s="751" t="str">
        <f>+E1120&amp;G1120</f>
        <v>CAR5266</v>
      </c>
      <c r="J1120" s="470"/>
      <c r="K1120" s="470">
        <v>82.84615384615384</v>
      </c>
      <c r="L1120" s="470"/>
      <c r="M1120" s="875">
        <v>46172</v>
      </c>
      <c r="N1120" s="751"/>
      <c r="O1120" s="751" t="s">
        <v>2771</v>
      </c>
      <c r="P1120" s="751"/>
      <c r="Q1120" s="875">
        <v>46194</v>
      </c>
      <c r="R1120" s="751"/>
      <c r="S1120" s="751" t="s">
        <v>8545</v>
      </c>
      <c r="T1120" s="751" t="s">
        <v>8545</v>
      </c>
      <c r="U1120" s="751"/>
      <c r="V1120" s="751" t="s">
        <v>6915</v>
      </c>
      <c r="W1120" s="513"/>
      <c r="AA1120" s="152" t="s">
        <v>8536</v>
      </c>
      <c r="AD1120" s="152" t="s">
        <v>8539</v>
      </c>
    </row>
    <row r="1121" spans="1:30" ht="39">
      <c r="B1121" s="750" t="s">
        <v>8529</v>
      </c>
      <c r="C1121" s="750"/>
      <c r="D1121" s="751"/>
      <c r="E1121" s="752" t="s">
        <v>670</v>
      </c>
      <c r="F1121" s="753" t="str">
        <f>+VLOOKUP(G1121,Resumen_Base!$C$8:$G$156,5,0)</f>
        <v>Maintenance Lodge</v>
      </c>
      <c r="G1121" s="754" t="s">
        <v>261</v>
      </c>
      <c r="H1121" s="755" t="s">
        <v>262</v>
      </c>
      <c r="I1121" s="751" t="str">
        <f>+E1121&amp;G1121</f>
        <v>SJ5282</v>
      </c>
      <c r="J1121" s="470"/>
      <c r="K1121" s="470">
        <v>1.9643589743589744</v>
      </c>
      <c r="L1121" s="470"/>
      <c r="M1121" s="875">
        <v>46172</v>
      </c>
      <c r="N1121" s="751"/>
      <c r="O1121" s="751" t="s">
        <v>5763</v>
      </c>
      <c r="P1121" s="751"/>
      <c r="Q1121" s="875">
        <v>46194</v>
      </c>
      <c r="R1121" s="751"/>
      <c r="S1121" s="751" t="s">
        <v>2797</v>
      </c>
      <c r="T1121" s="751" t="s">
        <v>2797</v>
      </c>
      <c r="U1121" s="751"/>
      <c r="V1121" s="751" t="s">
        <v>6915</v>
      </c>
      <c r="W1121" s="513"/>
      <c r="AA1121" s="152" t="s">
        <v>8536</v>
      </c>
      <c r="AD1121" s="152" t="s">
        <v>8539</v>
      </c>
    </row>
    <row r="1122" spans="1:30" ht="39">
      <c r="B1122" s="750" t="s">
        <v>8529</v>
      </c>
      <c r="C1122" s="750"/>
      <c r="D1122" s="751"/>
      <c r="E1122" s="752" t="s">
        <v>670</v>
      </c>
      <c r="F1122" s="753" t="str">
        <f>+VLOOKUP(G1122,Resumen_Base!$C$8:$G$156,5,0)</f>
        <v>Maintenance Lodge</v>
      </c>
      <c r="G1122" s="754" t="s">
        <v>261</v>
      </c>
      <c r="H1122" s="755" t="s">
        <v>262</v>
      </c>
      <c r="I1122" s="751" t="str">
        <f>+E1122&amp;G1122</f>
        <v>SJ5282</v>
      </c>
      <c r="J1122" s="470"/>
      <c r="K1122" s="470">
        <v>887.17948717948718</v>
      </c>
      <c r="L1122" s="470"/>
      <c r="M1122" s="875">
        <v>46172</v>
      </c>
      <c r="N1122" s="751"/>
      <c r="O1122" s="751" t="s">
        <v>5763</v>
      </c>
      <c r="P1122" s="751"/>
      <c r="Q1122" s="875">
        <v>46194</v>
      </c>
      <c r="R1122" s="751"/>
      <c r="S1122" s="751" t="s">
        <v>8549</v>
      </c>
      <c r="T1122" s="751" t="s">
        <v>8549</v>
      </c>
      <c r="U1122" s="751"/>
      <c r="V1122" s="751" t="s">
        <v>6915</v>
      </c>
      <c r="W1122" s="513"/>
      <c r="AA1122" s="152" t="s">
        <v>8536</v>
      </c>
      <c r="AD1122" s="152" t="s">
        <v>8539</v>
      </c>
    </row>
    <row r="1124" spans="1:30">
      <c r="A1124" s="452" t="s">
        <v>84</v>
      </c>
      <c r="B1124" s="452" t="s">
        <v>84</v>
      </c>
      <c r="C1124" s="452" t="s">
        <v>84</v>
      </c>
      <c r="D1124" s="452" t="s">
        <v>84</v>
      </c>
      <c r="E1124" s="11" t="s">
        <v>84</v>
      </c>
      <c r="F1124" s="452" t="s">
        <v>84</v>
      </c>
      <c r="G1124" s="453" t="s">
        <v>84</v>
      </c>
      <c r="H1124" s="453" t="s">
        <v>84</v>
      </c>
      <c r="I1124" s="453" t="s">
        <v>84</v>
      </c>
      <c r="J1124" s="187" t="s">
        <v>84</v>
      </c>
      <c r="K1124" s="187" t="s">
        <v>84</v>
      </c>
      <c r="L1124" s="187" t="s">
        <v>84</v>
      </c>
      <c r="M1124" s="457" t="s">
        <v>84</v>
      </c>
      <c r="N1124" s="453" t="s">
        <v>84</v>
      </c>
      <c r="O1124" s="453" t="s">
        <v>84</v>
      </c>
      <c r="P1124" s="453" t="s">
        <v>84</v>
      </c>
      <c r="Q1124" s="453" t="s">
        <v>84</v>
      </c>
      <c r="R1124" s="453" t="s">
        <v>84</v>
      </c>
      <c r="S1124" s="453" t="s">
        <v>84</v>
      </c>
      <c r="T1124" s="453" t="s">
        <v>84</v>
      </c>
      <c r="U1124" s="453" t="s">
        <v>84</v>
      </c>
      <c r="V1124" s="453" t="s">
        <v>84</v>
      </c>
      <c r="W1124" s="453" t="s">
        <v>84</v>
      </c>
      <c r="X1124" s="453" t="s">
        <v>84</v>
      </c>
    </row>
    <row r="1126" spans="1:30" ht="39">
      <c r="B1126" s="750" t="s">
        <v>7075</v>
      </c>
      <c r="C1126" s="750"/>
      <c r="D1126" s="751"/>
      <c r="E1126" s="752"/>
      <c r="F1126" s="750"/>
      <c r="G1126" s="751"/>
      <c r="H1126" s="751"/>
      <c r="I1126" s="751"/>
      <c r="J1126" s="470"/>
      <c r="K1126" s="470">
        <v>84691.845897435851</v>
      </c>
      <c r="L1126" s="470"/>
      <c r="M1126" s="790">
        <v>46142</v>
      </c>
      <c r="N1126" s="751"/>
      <c r="O1126" s="751"/>
      <c r="P1126" s="751"/>
    </row>
    <row r="1127" spans="1:30" ht="39">
      <c r="B1127" s="750" t="s">
        <v>8529</v>
      </c>
      <c r="C1127" s="750"/>
      <c r="D1127" s="751"/>
      <c r="E1127" s="752"/>
      <c r="F1127" s="750"/>
      <c r="G1127" s="751"/>
      <c r="H1127" s="751"/>
      <c r="I1127" s="751"/>
      <c r="J1127" s="470"/>
      <c r="K1127" s="470">
        <v>-119863</v>
      </c>
      <c r="L1127" s="470"/>
      <c r="M1127" s="875">
        <v>46172</v>
      </c>
      <c r="N1127" s="751"/>
      <c r="O1127" s="751"/>
      <c r="P1127" s="751"/>
      <c r="Q1127" s="751"/>
      <c r="R1127" s="751"/>
      <c r="S1127" s="751"/>
      <c r="T1127" s="751"/>
      <c r="U1127" s="751"/>
      <c r="V1127" s="751"/>
    </row>
    <row r="1128" spans="1:30" ht="13">
      <c r="B1128" s="750"/>
      <c r="C1128" s="750"/>
      <c r="D1128" s="751"/>
      <c r="E1128" s="752"/>
      <c r="F1128" s="750"/>
      <c r="G1128" s="751"/>
      <c r="H1128" s="751"/>
      <c r="I1128" s="751"/>
      <c r="J1128" s="470"/>
      <c r="K1128" s="470"/>
      <c r="L1128" s="470"/>
      <c r="M1128" s="790"/>
      <c r="N1128" s="751"/>
      <c r="O1128" s="751"/>
      <c r="P1128" s="751"/>
    </row>
    <row r="1129" spans="1:30" s="751" customFormat="1" ht="13">
      <c r="A1129" s="751" t="s">
        <v>8437</v>
      </c>
      <c r="B1129" s="750"/>
      <c r="C1129" s="750"/>
      <c r="D1129" s="750"/>
      <c r="E1129" s="752"/>
      <c r="F1129" s="750"/>
      <c r="G1129" s="751" t="s">
        <v>358</v>
      </c>
      <c r="H1129" s="752" t="s">
        <v>359</v>
      </c>
      <c r="I1129" s="869"/>
      <c r="J1129" s="870">
        <v>-36480825</v>
      </c>
      <c r="K1129" s="470">
        <v>-25965</v>
      </c>
      <c r="L1129" s="470">
        <v>1405</v>
      </c>
      <c r="M1129" s="751" t="s">
        <v>7116</v>
      </c>
      <c r="N1129" s="470" t="s">
        <v>780</v>
      </c>
      <c r="O1129" s="470" t="s">
        <v>1407</v>
      </c>
      <c r="P1129" s="470" t="s">
        <v>7120</v>
      </c>
      <c r="Q1129" s="756" t="s">
        <v>7101</v>
      </c>
      <c r="R1129" s="751" t="s">
        <v>7121</v>
      </c>
      <c r="S1129" s="751" t="s">
        <v>1432</v>
      </c>
      <c r="T1129" s="751" t="s">
        <v>7122</v>
      </c>
      <c r="U1129" s="751" t="s">
        <v>786</v>
      </c>
    </row>
    <row r="1130" spans="1:30" s="751" customFormat="1" ht="13">
      <c r="A1130" s="751" t="s">
        <v>8437</v>
      </c>
      <c r="B1130" s="750"/>
      <c r="C1130" s="750"/>
      <c r="D1130" s="750"/>
      <c r="E1130" s="752"/>
      <c r="F1130" s="750"/>
      <c r="G1130" s="751" t="s">
        <v>358</v>
      </c>
      <c r="H1130" s="752" t="s">
        <v>359</v>
      </c>
      <c r="I1130" s="869"/>
      <c r="J1130" s="870">
        <v>36530000</v>
      </c>
      <c r="K1130" s="470">
        <v>26000</v>
      </c>
      <c r="L1130" s="470">
        <v>1405</v>
      </c>
      <c r="M1130" s="751" t="s">
        <v>7108</v>
      </c>
      <c r="N1130" s="470" t="s">
        <v>780</v>
      </c>
      <c r="O1130" s="470" t="s">
        <v>1407</v>
      </c>
      <c r="P1130" s="470" t="s">
        <v>7245</v>
      </c>
      <c r="Q1130" s="756" t="s">
        <v>7101</v>
      </c>
      <c r="R1130" s="751" t="s">
        <v>7246</v>
      </c>
      <c r="S1130" s="751" t="s">
        <v>7256</v>
      </c>
      <c r="T1130" s="751" t="s">
        <v>7248</v>
      </c>
      <c r="U1130" s="751" t="s">
        <v>786</v>
      </c>
    </row>
    <row r="1131" spans="1:30" s="751" customFormat="1" ht="13">
      <c r="A1131" s="751" t="s">
        <v>8437</v>
      </c>
      <c r="B1131" s="750"/>
      <c r="C1131" s="750"/>
      <c r="D1131" s="750"/>
      <c r="E1131" s="752"/>
      <c r="F1131" s="750"/>
      <c r="G1131" s="751" t="s">
        <v>358</v>
      </c>
      <c r="H1131" s="752" t="s">
        <v>359</v>
      </c>
      <c r="I1131" s="869"/>
      <c r="J1131" s="870">
        <v>-55330300</v>
      </c>
      <c r="K1131" s="470">
        <v>-38965</v>
      </c>
      <c r="L1131" s="470">
        <v>1420</v>
      </c>
      <c r="M1131" s="751" t="s">
        <v>7143</v>
      </c>
      <c r="N1131" s="470" t="s">
        <v>780</v>
      </c>
      <c r="O1131" s="470" t="s">
        <v>1407</v>
      </c>
      <c r="P1131" s="470" t="s">
        <v>7147</v>
      </c>
      <c r="Q1131" s="756" t="s">
        <v>7101</v>
      </c>
      <c r="R1131" s="751" t="s">
        <v>7148</v>
      </c>
      <c r="S1131" s="751" t="s">
        <v>1432</v>
      </c>
      <c r="T1131" s="751" t="s">
        <v>7149</v>
      </c>
      <c r="U1131" s="751" t="s">
        <v>786</v>
      </c>
    </row>
    <row r="1132" spans="1:30" s="751" customFormat="1" ht="13">
      <c r="A1132" s="751" t="s">
        <v>8437</v>
      </c>
      <c r="B1132" s="750"/>
      <c r="C1132" s="750"/>
      <c r="D1132" s="750"/>
      <c r="E1132" s="752"/>
      <c r="F1132" s="750"/>
      <c r="G1132" s="751" t="s">
        <v>358</v>
      </c>
      <c r="H1132" s="752" t="s">
        <v>359</v>
      </c>
      <c r="I1132" s="869"/>
      <c r="J1132" s="870">
        <v>55380000</v>
      </c>
      <c r="K1132" s="470">
        <v>39000</v>
      </c>
      <c r="L1132" s="470">
        <v>1420</v>
      </c>
      <c r="M1132" s="751" t="s">
        <v>7276</v>
      </c>
      <c r="N1132" s="470" t="s">
        <v>780</v>
      </c>
      <c r="O1132" s="470" t="s">
        <v>1407</v>
      </c>
      <c r="P1132" s="470" t="s">
        <v>7277</v>
      </c>
      <c r="Q1132" s="756" t="s">
        <v>7101</v>
      </c>
      <c r="R1132" s="751" t="s">
        <v>7278</v>
      </c>
      <c r="S1132" s="751" t="s">
        <v>7283</v>
      </c>
      <c r="T1132" s="751" t="s">
        <v>7280</v>
      </c>
      <c r="U1132" s="751" t="s">
        <v>786</v>
      </c>
    </row>
    <row r="1133" spans="1:30" s="751" customFormat="1" ht="13">
      <c r="A1133" s="751" t="s">
        <v>8437</v>
      </c>
      <c r="B1133" s="750"/>
      <c r="C1133" s="750"/>
      <c r="D1133" s="750"/>
      <c r="E1133" s="752"/>
      <c r="F1133" s="750"/>
      <c r="G1133" s="751" t="s">
        <v>358</v>
      </c>
      <c r="H1133" s="752" t="s">
        <v>359</v>
      </c>
      <c r="I1133" s="869"/>
      <c r="J1133" s="870">
        <v>-68110300</v>
      </c>
      <c r="K1133" s="470">
        <v>-47965</v>
      </c>
      <c r="L1133" s="470">
        <v>1420</v>
      </c>
      <c r="M1133" s="751" t="s">
        <v>7143</v>
      </c>
      <c r="N1133" s="470" t="s">
        <v>780</v>
      </c>
      <c r="O1133" s="470" t="s">
        <v>781</v>
      </c>
      <c r="P1133" s="470" t="s">
        <v>7150</v>
      </c>
      <c r="Q1133" s="756" t="s">
        <v>7101</v>
      </c>
      <c r="R1133" s="751" t="s">
        <v>7151</v>
      </c>
      <c r="S1133" s="751" t="s">
        <v>806</v>
      </c>
      <c r="T1133" s="751" t="s">
        <v>7152</v>
      </c>
      <c r="U1133" s="751" t="s">
        <v>786</v>
      </c>
    </row>
    <row r="1134" spans="1:30" s="751" customFormat="1" ht="13">
      <c r="A1134" s="751" t="s">
        <v>8437</v>
      </c>
      <c r="B1134" s="750"/>
      <c r="C1134" s="750"/>
      <c r="D1134" s="750"/>
      <c r="E1134" s="752"/>
      <c r="F1134" s="750"/>
      <c r="G1134" s="751" t="s">
        <v>358</v>
      </c>
      <c r="H1134" s="752" t="s">
        <v>359</v>
      </c>
      <c r="I1134" s="869"/>
      <c r="J1134" s="870">
        <v>68160000</v>
      </c>
      <c r="K1134" s="470">
        <v>48000</v>
      </c>
      <c r="L1134" s="470">
        <v>1420</v>
      </c>
      <c r="M1134" s="751" t="s">
        <v>7276</v>
      </c>
      <c r="N1134" s="470" t="s">
        <v>780</v>
      </c>
      <c r="O1134" s="470" t="s">
        <v>781</v>
      </c>
      <c r="P1134" s="470" t="s">
        <v>7277</v>
      </c>
      <c r="Q1134" s="756" t="s">
        <v>7101</v>
      </c>
      <c r="R1134" s="751" t="s">
        <v>7278</v>
      </c>
      <c r="S1134" s="751" t="s">
        <v>7279</v>
      </c>
      <c r="T1134" s="751" t="s">
        <v>7280</v>
      </c>
      <c r="U1134" s="751" t="s">
        <v>786</v>
      </c>
    </row>
    <row r="1135" spans="1:30" s="751" customFormat="1" ht="13">
      <c r="A1135" s="751" t="s">
        <v>8437</v>
      </c>
      <c r="B1135" s="750"/>
      <c r="C1135" s="750"/>
      <c r="D1135" s="750"/>
      <c r="E1135" s="752"/>
      <c r="F1135" s="750"/>
      <c r="G1135" s="751" t="s">
        <v>358</v>
      </c>
      <c r="H1135" s="752" t="s">
        <v>359</v>
      </c>
      <c r="I1135" s="869"/>
      <c r="J1135" s="870">
        <v>-33670825</v>
      </c>
      <c r="K1135" s="470">
        <v>-23965</v>
      </c>
      <c r="L1135" s="470">
        <v>1405</v>
      </c>
      <c r="M1135" s="751" t="s">
        <v>7116</v>
      </c>
      <c r="N1135" s="470" t="s">
        <v>780</v>
      </c>
      <c r="O1135" s="470" t="s">
        <v>781</v>
      </c>
      <c r="P1135" s="470" t="s">
        <v>7125</v>
      </c>
      <c r="Q1135" s="756" t="s">
        <v>7101</v>
      </c>
      <c r="R1135" s="751" t="s">
        <v>7126</v>
      </c>
      <c r="S1135" s="751" t="s">
        <v>806</v>
      </c>
      <c r="T1135" s="751" t="s">
        <v>7127</v>
      </c>
      <c r="U1135" s="751" t="s">
        <v>786</v>
      </c>
    </row>
    <row r="1136" spans="1:30" s="751" customFormat="1" ht="13">
      <c r="A1136" s="751" t="s">
        <v>8437</v>
      </c>
      <c r="B1136" s="750"/>
      <c r="C1136" s="750"/>
      <c r="D1136" s="750"/>
      <c r="E1136" s="752"/>
      <c r="F1136" s="750"/>
      <c r="G1136" s="751" t="s">
        <v>358</v>
      </c>
      <c r="H1136" s="752" t="s">
        <v>359</v>
      </c>
      <c r="I1136" s="869"/>
      <c r="J1136" s="870">
        <v>33720000</v>
      </c>
      <c r="K1136" s="470">
        <v>24000</v>
      </c>
      <c r="L1136" s="470">
        <v>1405</v>
      </c>
      <c r="M1136" s="751" t="s">
        <v>7108</v>
      </c>
      <c r="N1136" s="470" t="s">
        <v>780</v>
      </c>
      <c r="O1136" s="470" t="s">
        <v>781</v>
      </c>
      <c r="P1136" s="470" t="s">
        <v>7245</v>
      </c>
      <c r="Q1136" s="756" t="s">
        <v>7101</v>
      </c>
      <c r="R1136" s="751" t="s">
        <v>7246</v>
      </c>
      <c r="S1136" s="751" t="s">
        <v>7253</v>
      </c>
      <c r="T1136" s="751" t="s">
        <v>7248</v>
      </c>
      <c r="U1136" s="751" t="s">
        <v>786</v>
      </c>
    </row>
    <row r="1137" spans="1:21" s="751" customFormat="1" ht="13">
      <c r="A1137" s="751" t="s">
        <v>8437</v>
      </c>
      <c r="B1137" s="750"/>
      <c r="C1137" s="750"/>
      <c r="D1137" s="750"/>
      <c r="E1137" s="752"/>
      <c r="F1137" s="750"/>
      <c r="G1137" s="751" t="s">
        <v>358</v>
      </c>
      <c r="H1137" s="752" t="s">
        <v>359</v>
      </c>
      <c r="I1137" s="869"/>
      <c r="J1137" s="870">
        <v>-8893.65</v>
      </c>
      <c r="K1137" s="470">
        <v>-6.33</v>
      </c>
      <c r="L1137" s="470">
        <v>1405</v>
      </c>
      <c r="M1137" s="751" t="s">
        <v>7116</v>
      </c>
      <c r="N1137" s="470" t="s">
        <v>780</v>
      </c>
      <c r="O1137" s="470" t="s">
        <v>1407</v>
      </c>
      <c r="P1137" s="470" t="s">
        <v>7140</v>
      </c>
      <c r="Q1137" s="756" t="s">
        <v>7101</v>
      </c>
      <c r="R1137" s="751" t="s">
        <v>7141</v>
      </c>
      <c r="S1137" s="751" t="s">
        <v>4093</v>
      </c>
      <c r="T1137" s="751" t="s">
        <v>7142</v>
      </c>
      <c r="U1137" s="751" t="s">
        <v>786</v>
      </c>
    </row>
    <row r="1138" spans="1:21" s="751" customFormat="1" ht="13">
      <c r="A1138" s="751" t="s">
        <v>8437</v>
      </c>
      <c r="B1138" s="750"/>
      <c r="C1138" s="750"/>
      <c r="D1138" s="750"/>
      <c r="E1138" s="752"/>
      <c r="F1138" s="750"/>
      <c r="G1138" s="751" t="s">
        <v>358</v>
      </c>
      <c r="H1138" s="752" t="s">
        <v>359</v>
      </c>
      <c r="I1138" s="869"/>
      <c r="J1138" s="870">
        <v>13717.2</v>
      </c>
      <c r="K1138" s="470">
        <v>9.66</v>
      </c>
      <c r="L1138" s="470">
        <v>1420</v>
      </c>
      <c r="M1138" s="751" t="s">
        <v>7143</v>
      </c>
      <c r="N1138" s="470" t="s">
        <v>780</v>
      </c>
      <c r="O1138" s="470" t="s">
        <v>781</v>
      </c>
      <c r="P1138" s="470" t="s">
        <v>7664</v>
      </c>
      <c r="Q1138" s="756" t="s">
        <v>7101</v>
      </c>
      <c r="R1138" s="751" t="s">
        <v>7665</v>
      </c>
      <c r="S1138" s="751" t="s">
        <v>7687</v>
      </c>
      <c r="T1138" s="751" t="s">
        <v>7667</v>
      </c>
      <c r="U1138" s="751" t="s">
        <v>786</v>
      </c>
    </row>
    <row r="1139" spans="1:21" s="751" customFormat="1" ht="13">
      <c r="A1139" s="751" t="s">
        <v>8437</v>
      </c>
      <c r="B1139" s="750"/>
      <c r="C1139" s="750"/>
      <c r="D1139" s="750"/>
      <c r="E1139" s="752"/>
      <c r="F1139" s="750"/>
      <c r="G1139" s="751" t="s">
        <v>358</v>
      </c>
      <c r="H1139" s="752" t="s">
        <v>359</v>
      </c>
      <c r="I1139" s="869"/>
      <c r="J1139" s="870">
        <v>49175</v>
      </c>
      <c r="K1139" s="470">
        <v>35</v>
      </c>
      <c r="L1139" s="470">
        <v>1405</v>
      </c>
      <c r="M1139" s="751" t="s">
        <v>7116</v>
      </c>
      <c r="N1139" s="470" t="s">
        <v>780</v>
      </c>
      <c r="O1139" s="470" t="s">
        <v>781</v>
      </c>
      <c r="P1139" s="470" t="s">
        <v>7418</v>
      </c>
      <c r="Q1139" s="756" t="s">
        <v>7101</v>
      </c>
      <c r="R1139" s="751" t="s">
        <v>7419</v>
      </c>
      <c r="S1139" s="751" t="s">
        <v>4800</v>
      </c>
      <c r="T1139" s="751" t="s">
        <v>7421</v>
      </c>
      <c r="U1139" s="751" t="s">
        <v>786</v>
      </c>
    </row>
    <row r="1140" spans="1:21" s="751" customFormat="1" ht="13">
      <c r="A1140" s="751" t="s">
        <v>8437</v>
      </c>
      <c r="B1140" s="750"/>
      <c r="C1140" s="750"/>
      <c r="D1140" s="750"/>
      <c r="E1140" s="752"/>
      <c r="F1140" s="750"/>
      <c r="G1140" s="751" t="s">
        <v>358</v>
      </c>
      <c r="H1140" s="752" t="s">
        <v>359</v>
      </c>
      <c r="I1140" s="869"/>
      <c r="J1140" s="870">
        <v>75785.7</v>
      </c>
      <c r="K1140" s="470">
        <v>53.94</v>
      </c>
      <c r="L1140" s="470">
        <v>1405</v>
      </c>
      <c r="M1140" s="751" t="s">
        <v>7116</v>
      </c>
      <c r="N1140" s="470" t="s">
        <v>780</v>
      </c>
      <c r="O1140" s="470" t="s">
        <v>781</v>
      </c>
      <c r="P1140" s="470" t="s">
        <v>7418</v>
      </c>
      <c r="Q1140" s="756" t="s">
        <v>7101</v>
      </c>
      <c r="R1140" s="751" t="s">
        <v>7419</v>
      </c>
      <c r="S1140" s="751" t="s">
        <v>7430</v>
      </c>
      <c r="T1140" s="751" t="s">
        <v>7421</v>
      </c>
      <c r="U1140" s="751" t="s">
        <v>786</v>
      </c>
    </row>
    <row r="1141" spans="1:21" s="751" customFormat="1" ht="13">
      <c r="A1141" s="751" t="s">
        <v>8437</v>
      </c>
      <c r="B1141" s="750"/>
      <c r="C1141" s="750"/>
      <c r="D1141" s="750"/>
      <c r="E1141" s="752"/>
      <c r="F1141" s="750"/>
      <c r="G1141" s="751" t="s">
        <v>358</v>
      </c>
      <c r="H1141" s="752" t="s">
        <v>359</v>
      </c>
      <c r="I1141" s="869"/>
      <c r="J1141" s="870">
        <v>82984.800000000003</v>
      </c>
      <c r="K1141" s="470">
        <v>58.44</v>
      </c>
      <c r="L1141" s="470">
        <v>1420</v>
      </c>
      <c r="M1141" s="751" t="s">
        <v>7143</v>
      </c>
      <c r="N1141" s="470" t="s">
        <v>780</v>
      </c>
      <c r="O1141" s="470" t="s">
        <v>1407</v>
      </c>
      <c r="P1141" s="470" t="s">
        <v>7646</v>
      </c>
      <c r="Q1141" s="756" t="s">
        <v>7101</v>
      </c>
      <c r="R1141" s="751" t="s">
        <v>7647</v>
      </c>
      <c r="S1141" s="751" t="s">
        <v>3869</v>
      </c>
      <c r="T1141" s="751" t="s">
        <v>7649</v>
      </c>
      <c r="U1141" s="751" t="s">
        <v>786</v>
      </c>
    </row>
    <row r="1142" spans="1:21" s="751" customFormat="1" ht="13">
      <c r="A1142" s="751" t="s">
        <v>8437</v>
      </c>
      <c r="B1142" s="750"/>
      <c r="C1142" s="750"/>
      <c r="D1142" s="750"/>
      <c r="E1142" s="752"/>
      <c r="F1142" s="750"/>
      <c r="G1142" s="751" t="s">
        <v>358</v>
      </c>
      <c r="H1142" s="752" t="s">
        <v>359</v>
      </c>
      <c r="I1142" s="869"/>
      <c r="J1142" s="870">
        <v>-150321.20000000001</v>
      </c>
      <c r="K1142" s="470">
        <v>-105.86</v>
      </c>
      <c r="L1142" s="470">
        <v>1420</v>
      </c>
      <c r="M1142" s="751" t="s">
        <v>7143</v>
      </c>
      <c r="N1142" s="470" t="s">
        <v>780</v>
      </c>
      <c r="O1142" s="470" t="s">
        <v>781</v>
      </c>
      <c r="P1142" s="470" t="s">
        <v>7165</v>
      </c>
      <c r="Q1142" s="756" t="s">
        <v>7101</v>
      </c>
      <c r="R1142" s="751" t="s">
        <v>7166</v>
      </c>
      <c r="S1142" s="751" t="s">
        <v>7161</v>
      </c>
      <c r="T1142" s="751" t="s">
        <v>7167</v>
      </c>
      <c r="U1142" s="751" t="s">
        <v>786</v>
      </c>
    </row>
    <row r="1143" spans="1:21" s="751" customFormat="1" ht="13">
      <c r="A1143" s="751" t="s">
        <v>8437</v>
      </c>
      <c r="B1143" s="750"/>
      <c r="C1143" s="750"/>
      <c r="D1143" s="750"/>
      <c r="E1143" s="752"/>
      <c r="F1143" s="750"/>
      <c r="G1143" s="751" t="s">
        <v>358</v>
      </c>
      <c r="H1143" s="752" t="s">
        <v>359</v>
      </c>
      <c r="I1143" s="869"/>
      <c r="J1143" s="870">
        <v>356420</v>
      </c>
      <c r="K1143" s="470">
        <v>251</v>
      </c>
      <c r="L1143" s="470">
        <v>1420</v>
      </c>
      <c r="M1143" s="751" t="s">
        <v>7143</v>
      </c>
      <c r="N1143" s="470" t="s">
        <v>780</v>
      </c>
      <c r="O1143" s="470" t="s">
        <v>781</v>
      </c>
      <c r="P1143" s="470" t="s">
        <v>7653</v>
      </c>
      <c r="Q1143" s="756" t="s">
        <v>7101</v>
      </c>
      <c r="R1143" s="751" t="s">
        <v>7654</v>
      </c>
      <c r="S1143" s="751" t="s">
        <v>936</v>
      </c>
      <c r="T1143" s="751" t="s">
        <v>7655</v>
      </c>
      <c r="U1143" s="751" t="s">
        <v>786</v>
      </c>
    </row>
    <row r="1144" spans="1:21" s="751" customFormat="1" ht="13">
      <c r="A1144" s="751" t="s">
        <v>8437</v>
      </c>
      <c r="B1144" s="750"/>
      <c r="C1144" s="750"/>
      <c r="D1144" s="750"/>
      <c r="E1144" s="752"/>
      <c r="F1144" s="750"/>
      <c r="G1144" s="751" t="s">
        <v>358</v>
      </c>
      <c r="H1144" s="752" t="s">
        <v>359</v>
      </c>
      <c r="I1144" s="869"/>
      <c r="J1144" s="870">
        <v>786519</v>
      </c>
      <c r="K1144" s="470">
        <v>559.79999999999995</v>
      </c>
      <c r="L1144" s="470">
        <v>1405</v>
      </c>
      <c r="M1144" s="751" t="s">
        <v>7116</v>
      </c>
      <c r="N1144" s="470" t="s">
        <v>780</v>
      </c>
      <c r="O1144" s="470" t="s">
        <v>781</v>
      </c>
      <c r="P1144" s="470" t="s">
        <v>7517</v>
      </c>
      <c r="Q1144" s="756" t="s">
        <v>7101</v>
      </c>
      <c r="R1144" s="751" t="s">
        <v>7518</v>
      </c>
      <c r="S1144" s="751" t="s">
        <v>7541</v>
      </c>
      <c r="T1144" s="751" t="s">
        <v>7520</v>
      </c>
      <c r="U1144" s="751" t="s">
        <v>786</v>
      </c>
    </row>
    <row r="1145" spans="1:21" s="751" customFormat="1" ht="13">
      <c r="A1145" s="751" t="s">
        <v>8437</v>
      </c>
      <c r="B1145" s="750"/>
      <c r="C1145" s="750"/>
      <c r="D1145" s="750"/>
      <c r="E1145" s="752"/>
      <c r="F1145" s="750"/>
      <c r="G1145" s="751" t="s">
        <v>358</v>
      </c>
      <c r="H1145" s="752" t="s">
        <v>359</v>
      </c>
      <c r="I1145" s="869"/>
      <c r="J1145" s="870">
        <v>786519</v>
      </c>
      <c r="K1145" s="470">
        <v>559.79999999999995</v>
      </c>
      <c r="L1145" s="470">
        <v>1405</v>
      </c>
      <c r="M1145" s="751" t="s">
        <v>7116</v>
      </c>
      <c r="N1145" s="470" t="s">
        <v>780</v>
      </c>
      <c r="O1145" s="470" t="s">
        <v>781</v>
      </c>
      <c r="P1145" s="470" t="s">
        <v>7517</v>
      </c>
      <c r="Q1145" s="756" t="s">
        <v>7101</v>
      </c>
      <c r="R1145" s="751" t="s">
        <v>7518</v>
      </c>
      <c r="S1145" s="751" t="s">
        <v>7553</v>
      </c>
      <c r="T1145" s="751" t="s">
        <v>7520</v>
      </c>
      <c r="U1145" s="751" t="s">
        <v>786</v>
      </c>
    </row>
    <row r="1146" spans="1:21" s="751" customFormat="1" ht="13">
      <c r="A1146" s="751" t="s">
        <v>8437</v>
      </c>
      <c r="B1146" s="750"/>
      <c r="C1146" s="750"/>
      <c r="D1146" s="750"/>
      <c r="E1146" s="752"/>
      <c r="F1146" s="750"/>
      <c r="G1146" s="751" t="s">
        <v>358</v>
      </c>
      <c r="H1146" s="752" t="s">
        <v>359</v>
      </c>
      <c r="I1146" s="869"/>
      <c r="J1146" s="870">
        <v>-1551316.7</v>
      </c>
      <c r="K1146" s="470">
        <v>-1104.1400000000001</v>
      </c>
      <c r="L1146" s="470">
        <v>1405</v>
      </c>
      <c r="M1146" s="751" t="s">
        <v>7143</v>
      </c>
      <c r="N1146" s="470" t="s">
        <v>780</v>
      </c>
      <c r="O1146" s="470" t="s">
        <v>781</v>
      </c>
      <c r="P1146" s="470" t="s">
        <v>7725</v>
      </c>
      <c r="Q1146" s="756" t="s">
        <v>7101</v>
      </c>
      <c r="R1146" s="751" t="s">
        <v>7726</v>
      </c>
      <c r="S1146" s="751" t="s">
        <v>7731</v>
      </c>
      <c r="T1146" s="751" t="s">
        <v>7728</v>
      </c>
      <c r="U1146" s="751" t="s">
        <v>786</v>
      </c>
    </row>
    <row r="1147" spans="1:21" s="751" customFormat="1" ht="13">
      <c r="A1147" s="751" t="s">
        <v>8440</v>
      </c>
      <c r="B1147" s="750"/>
      <c r="C1147" s="750"/>
      <c r="D1147" s="750"/>
      <c r="E1147" s="752"/>
      <c r="F1147" s="750"/>
      <c r="G1147" s="751" t="s">
        <v>358</v>
      </c>
      <c r="H1147" s="752" t="s">
        <v>359</v>
      </c>
      <c r="I1147" s="869"/>
      <c r="J1147" s="870">
        <v>-7704408.7999999998</v>
      </c>
      <c r="K1147" s="470">
        <v>-5425.64</v>
      </c>
      <c r="L1147" s="470">
        <v>1420</v>
      </c>
      <c r="M1147" s="751" t="s">
        <v>7143</v>
      </c>
      <c r="N1147" s="470" t="s">
        <v>780</v>
      </c>
      <c r="O1147" s="470" t="s">
        <v>781</v>
      </c>
      <c r="P1147" s="470" t="s">
        <v>7165</v>
      </c>
      <c r="Q1147" s="756" t="s">
        <v>7101</v>
      </c>
      <c r="R1147" s="751" t="s">
        <v>7166</v>
      </c>
      <c r="S1147" s="751" t="s">
        <v>7157</v>
      </c>
      <c r="T1147" s="751" t="s">
        <v>7167</v>
      </c>
      <c r="U1147" s="751" t="s">
        <v>786</v>
      </c>
    </row>
    <row r="1148" spans="1:21" s="751" customFormat="1" ht="13">
      <c r="A1148" s="751" t="s">
        <v>8440</v>
      </c>
      <c r="B1148" s="750"/>
      <c r="C1148" s="750"/>
      <c r="D1148" s="750"/>
      <c r="E1148" s="752"/>
      <c r="F1148" s="750"/>
      <c r="G1148" s="751" t="s">
        <v>358</v>
      </c>
      <c r="H1148" s="752" t="s">
        <v>359</v>
      </c>
      <c r="I1148" s="869"/>
      <c r="J1148" s="870">
        <v>-3852204.4</v>
      </c>
      <c r="K1148" s="470">
        <v>-2712.82</v>
      </c>
      <c r="L1148" s="470">
        <v>1420</v>
      </c>
      <c r="M1148" s="751" t="s">
        <v>7143</v>
      </c>
      <c r="N1148" s="470" t="s">
        <v>780</v>
      </c>
      <c r="O1148" s="470" t="s">
        <v>781</v>
      </c>
      <c r="P1148" s="470" t="s">
        <v>7154</v>
      </c>
      <c r="Q1148" s="756" t="s">
        <v>7101</v>
      </c>
      <c r="R1148" s="751" t="s">
        <v>7155</v>
      </c>
      <c r="S1148" s="751" t="s">
        <v>7157</v>
      </c>
      <c r="T1148" s="751" t="s">
        <v>7156</v>
      </c>
      <c r="U1148" s="751" t="s">
        <v>786</v>
      </c>
    </row>
    <row r="1149" spans="1:21" s="751" customFormat="1" ht="13">
      <c r="A1149" s="751" t="s">
        <v>8440</v>
      </c>
      <c r="B1149" s="750"/>
      <c r="C1149" s="750"/>
      <c r="D1149" s="750"/>
      <c r="E1149" s="752"/>
      <c r="F1149" s="750"/>
      <c r="G1149" s="751" t="s">
        <v>358</v>
      </c>
      <c r="H1149" s="752" t="s">
        <v>359</v>
      </c>
      <c r="I1149" s="869"/>
      <c r="J1149" s="870">
        <v>3852204.4</v>
      </c>
      <c r="K1149" s="470">
        <v>2712.82</v>
      </c>
      <c r="L1149" s="470">
        <v>1420</v>
      </c>
      <c r="M1149" s="751" t="s">
        <v>7143</v>
      </c>
      <c r="N1149" s="470" t="s">
        <v>780</v>
      </c>
      <c r="O1149" s="470" t="s">
        <v>781</v>
      </c>
      <c r="P1149" s="470" t="s">
        <v>7653</v>
      </c>
      <c r="Q1149" s="756" t="s">
        <v>7101</v>
      </c>
      <c r="R1149" s="751" t="s">
        <v>7654</v>
      </c>
      <c r="S1149" s="751" t="s">
        <v>7157</v>
      </c>
      <c r="T1149" s="751" t="s">
        <v>7655</v>
      </c>
      <c r="U1149" s="751" t="s">
        <v>786</v>
      </c>
    </row>
    <row r="1150" spans="1:21">
      <c r="D1150" s="210"/>
      <c r="H1150" s="474"/>
      <c r="I1150" s="866"/>
      <c r="J1150" s="847"/>
      <c r="M1150" s="152"/>
      <c r="N1150" s="513"/>
      <c r="O1150" s="513"/>
      <c r="P1150" s="513"/>
      <c r="Q1150" s="518"/>
    </row>
    <row r="1151" spans="1:21">
      <c r="D1151" s="210"/>
      <c r="H1151" s="474"/>
      <c r="I1151" s="866"/>
      <c r="J1151" s="847"/>
      <c r="M1151" s="152"/>
      <c r="N1151" s="513"/>
      <c r="O1151" s="513"/>
      <c r="P1151" s="513"/>
      <c r="Q1151" s="518"/>
    </row>
    <row r="1152" spans="1:21">
      <c r="D1152" s="210"/>
      <c r="G1152" s="152" t="s">
        <v>370</v>
      </c>
      <c r="H1152" s="474" t="s">
        <v>320</v>
      </c>
      <c r="I1152" s="474"/>
      <c r="J1152" s="847">
        <v>-18262</v>
      </c>
      <c r="K1152" s="513">
        <v>-12.9978647686833</v>
      </c>
      <c r="L1152" s="513">
        <v>1405</v>
      </c>
      <c r="M1152" s="152" t="s">
        <v>7108</v>
      </c>
      <c r="N1152" s="513" t="s">
        <v>780</v>
      </c>
      <c r="O1152" s="513" t="s">
        <v>781</v>
      </c>
      <c r="P1152" s="513" t="s">
        <v>7259</v>
      </c>
      <c r="Q1152" s="518" t="s">
        <v>7101</v>
      </c>
      <c r="R1152" s="152" t="s">
        <v>7260</v>
      </c>
      <c r="S1152" s="152" t="s">
        <v>7261</v>
      </c>
      <c r="T1152" s="152" t="s">
        <v>7262</v>
      </c>
      <c r="U1152" s="152" t="s">
        <v>786</v>
      </c>
    </row>
    <row r="1153" spans="4:21">
      <c r="D1153" s="210"/>
      <c r="G1153" s="152" t="s">
        <v>370</v>
      </c>
      <c r="H1153" s="474" t="s">
        <v>320</v>
      </c>
      <c r="I1153" s="474"/>
      <c r="J1153" s="847">
        <v>-40000</v>
      </c>
      <c r="K1153" s="513">
        <v>-28.469750889679698</v>
      </c>
      <c r="L1153" s="513">
        <v>1405</v>
      </c>
      <c r="M1153" s="152" t="s">
        <v>7112</v>
      </c>
      <c r="N1153" s="513" t="s">
        <v>780</v>
      </c>
      <c r="O1153" s="513" t="s">
        <v>781</v>
      </c>
      <c r="P1153" s="513" t="s">
        <v>7271</v>
      </c>
      <c r="Q1153" s="518" t="s">
        <v>7101</v>
      </c>
      <c r="R1153" s="152" t="s">
        <v>7272</v>
      </c>
      <c r="S1153" s="152" t="s">
        <v>7275</v>
      </c>
      <c r="T1153" s="152" t="s">
        <v>7274</v>
      </c>
      <c r="U1153" s="152" t="s">
        <v>786</v>
      </c>
    </row>
    <row r="1154" spans="4:21">
      <c r="D1154" s="210"/>
      <c r="G1154" s="152" t="s">
        <v>370</v>
      </c>
      <c r="H1154" s="474" t="s">
        <v>320</v>
      </c>
      <c r="I1154" s="474"/>
      <c r="J1154" s="847">
        <v>-18262</v>
      </c>
      <c r="K1154" s="513">
        <v>-12.9978647686833</v>
      </c>
      <c r="L1154" s="513">
        <v>1405</v>
      </c>
      <c r="M1154" s="152" t="s">
        <v>7108</v>
      </c>
      <c r="N1154" s="513" t="s">
        <v>780</v>
      </c>
      <c r="O1154" s="513" t="s">
        <v>1272</v>
      </c>
      <c r="P1154" s="513" t="s">
        <v>7259</v>
      </c>
      <c r="Q1154" s="518" t="s">
        <v>7101</v>
      </c>
      <c r="R1154" s="152" t="s">
        <v>7260</v>
      </c>
      <c r="S1154" s="152" t="s">
        <v>7264</v>
      </c>
      <c r="T1154" s="152" t="s">
        <v>7262</v>
      </c>
      <c r="U1154" s="152" t="s">
        <v>786</v>
      </c>
    </row>
    <row r="1155" spans="4:21">
      <c r="D1155" s="210"/>
      <c r="G1155" s="152" t="s">
        <v>370</v>
      </c>
      <c r="H1155" s="474" t="s">
        <v>320</v>
      </c>
      <c r="I1155" s="474"/>
      <c r="J1155" s="847">
        <v>-132750</v>
      </c>
      <c r="K1155" s="513">
        <v>-94.483985765124601</v>
      </c>
      <c r="L1155" s="513">
        <v>1405</v>
      </c>
      <c r="M1155" s="152" t="s">
        <v>7108</v>
      </c>
      <c r="N1155" s="513" t="s">
        <v>780</v>
      </c>
      <c r="O1155" s="513" t="s">
        <v>1407</v>
      </c>
      <c r="P1155" s="513" t="s">
        <v>7259</v>
      </c>
      <c r="Q1155" s="518" t="s">
        <v>7101</v>
      </c>
      <c r="R1155" s="152" t="s">
        <v>7260</v>
      </c>
      <c r="S1155" s="152" t="s">
        <v>7263</v>
      </c>
      <c r="T1155" s="152" t="s">
        <v>7262</v>
      </c>
      <c r="U1155" s="152" t="s">
        <v>786</v>
      </c>
    </row>
    <row r="1156" spans="4:21">
      <c r="D1156" s="210"/>
      <c r="G1156" s="152" t="s">
        <v>370</v>
      </c>
      <c r="H1156" s="474" t="s">
        <v>320</v>
      </c>
      <c r="I1156" s="474"/>
      <c r="J1156" s="847">
        <v>-18262</v>
      </c>
      <c r="K1156" s="513">
        <v>-12.9978647686833</v>
      </c>
      <c r="L1156" s="513">
        <v>1405</v>
      </c>
      <c r="M1156" s="152" t="s">
        <v>7108</v>
      </c>
      <c r="N1156" s="513" t="s">
        <v>780</v>
      </c>
      <c r="O1156" s="513" t="s">
        <v>1407</v>
      </c>
      <c r="P1156" s="513" t="s">
        <v>7259</v>
      </c>
      <c r="Q1156" s="518" t="s">
        <v>7101</v>
      </c>
      <c r="R1156" s="152" t="s">
        <v>7260</v>
      </c>
      <c r="S1156" s="152" t="s">
        <v>7265</v>
      </c>
      <c r="T1156" s="152" t="s">
        <v>7262</v>
      </c>
      <c r="U1156" s="152" t="s">
        <v>786</v>
      </c>
    </row>
    <row r="1157" spans="4:21">
      <c r="D1157" s="210"/>
      <c r="G1157" s="152" t="s">
        <v>370</v>
      </c>
      <c r="H1157" s="474" t="s">
        <v>320</v>
      </c>
      <c r="I1157" s="474"/>
      <c r="J1157" s="847">
        <v>-120400</v>
      </c>
      <c r="K1157" s="513">
        <v>-85.693950177935903</v>
      </c>
      <c r="L1157" s="513">
        <v>1405</v>
      </c>
      <c r="M1157" s="152" t="s">
        <v>7108</v>
      </c>
      <c r="N1157" s="513" t="s">
        <v>780</v>
      </c>
      <c r="O1157" s="513" t="s">
        <v>1407</v>
      </c>
      <c r="P1157" s="513" t="s">
        <v>7259</v>
      </c>
      <c r="Q1157" s="518" t="s">
        <v>7101</v>
      </c>
      <c r="R1157" s="152" t="s">
        <v>7260</v>
      </c>
      <c r="S1157" s="152" t="s">
        <v>7266</v>
      </c>
      <c r="T1157" s="152" t="s">
        <v>7262</v>
      </c>
      <c r="U1157" s="152" t="s">
        <v>786</v>
      </c>
    </row>
    <row r="1158" spans="4:21">
      <c r="D1158" s="210"/>
      <c r="G1158" s="152" t="s">
        <v>370</v>
      </c>
      <c r="H1158" s="474" t="s">
        <v>320</v>
      </c>
      <c r="I1158" s="474"/>
      <c r="J1158" s="847">
        <v>-171500</v>
      </c>
      <c r="K1158" s="513">
        <v>-122.064056939502</v>
      </c>
      <c r="L1158" s="513">
        <v>1405</v>
      </c>
      <c r="M1158" s="152" t="s">
        <v>7112</v>
      </c>
      <c r="N1158" s="513" t="s">
        <v>780</v>
      </c>
      <c r="O1158" s="513" t="s">
        <v>1407</v>
      </c>
      <c r="P1158" s="513" t="s">
        <v>7271</v>
      </c>
      <c r="Q1158" s="518" t="s">
        <v>7101</v>
      </c>
      <c r="R1158" s="152" t="s">
        <v>7272</v>
      </c>
      <c r="S1158" s="152" t="s">
        <v>7273</v>
      </c>
      <c r="T1158" s="152" t="s">
        <v>7274</v>
      </c>
      <c r="U1158" s="152" t="s">
        <v>786</v>
      </c>
    </row>
    <row r="1159" spans="4:21">
      <c r="D1159" s="210"/>
      <c r="G1159" s="152" t="s">
        <v>370</v>
      </c>
      <c r="H1159" s="474" t="s">
        <v>320</v>
      </c>
      <c r="I1159" s="474"/>
      <c r="J1159" s="847">
        <v>-1846000</v>
      </c>
      <c r="K1159" s="513">
        <v>-1300</v>
      </c>
      <c r="L1159" s="513">
        <v>1420</v>
      </c>
      <c r="M1159" s="152" t="s">
        <v>7143</v>
      </c>
      <c r="N1159" s="513" t="s">
        <v>780</v>
      </c>
      <c r="O1159" s="513" t="s">
        <v>1407</v>
      </c>
      <c r="P1159" s="513" t="s">
        <v>7408</v>
      </c>
      <c r="Q1159" s="518" t="s">
        <v>7101</v>
      </c>
      <c r="R1159" s="152" t="s">
        <v>7409</v>
      </c>
      <c r="S1159" s="152" t="s">
        <v>7410</v>
      </c>
      <c r="T1159" s="152" t="s">
        <v>7411</v>
      </c>
      <c r="U1159" s="152" t="s">
        <v>786</v>
      </c>
    </row>
    <row r="1160" spans="4:21">
      <c r="D1160" s="210"/>
      <c r="G1160" s="152" t="s">
        <v>370</v>
      </c>
      <c r="H1160" s="474" t="s">
        <v>320</v>
      </c>
      <c r="I1160" s="474"/>
      <c r="J1160" s="847">
        <v>-2272000</v>
      </c>
      <c r="K1160" s="513">
        <v>-1600</v>
      </c>
      <c r="L1160" s="513">
        <v>1420</v>
      </c>
      <c r="M1160" s="152" t="s">
        <v>7143</v>
      </c>
      <c r="N1160" s="513" t="s">
        <v>780</v>
      </c>
      <c r="O1160" s="513" t="s">
        <v>1407</v>
      </c>
      <c r="P1160" s="513" t="s">
        <v>7408</v>
      </c>
      <c r="Q1160" s="518" t="s">
        <v>7101</v>
      </c>
      <c r="R1160" s="152" t="s">
        <v>7409</v>
      </c>
      <c r="S1160" s="152" t="s">
        <v>7413</v>
      </c>
      <c r="T1160" s="152" t="s">
        <v>7411</v>
      </c>
      <c r="U1160" s="152" t="s">
        <v>786</v>
      </c>
    </row>
    <row r="1161" spans="4:21">
      <c r="D1161" s="210"/>
      <c r="G1161" s="152" t="s">
        <v>370</v>
      </c>
      <c r="H1161" s="474" t="s">
        <v>320</v>
      </c>
      <c r="I1161" s="474"/>
      <c r="J1161" s="847">
        <v>-686000</v>
      </c>
      <c r="K1161" s="513">
        <v>-483.09859154929597</v>
      </c>
      <c r="L1161" s="513">
        <v>1420</v>
      </c>
      <c r="M1161" s="152" t="s">
        <v>7143</v>
      </c>
      <c r="N1161" s="513" t="s">
        <v>780</v>
      </c>
      <c r="O1161" s="513" t="s">
        <v>1407</v>
      </c>
      <c r="P1161" s="513" t="s">
        <v>7408</v>
      </c>
      <c r="Q1161" s="518" t="s">
        <v>7101</v>
      </c>
      <c r="R1161" s="152" t="s">
        <v>7409</v>
      </c>
      <c r="S1161" s="152" t="s">
        <v>7412</v>
      </c>
      <c r="T1161" s="152" t="s">
        <v>7411</v>
      </c>
      <c r="U1161" s="152" t="s">
        <v>786</v>
      </c>
    </row>
    <row r="1162" spans="4:21">
      <c r="D1162" s="210"/>
      <c r="G1162" s="152" t="s">
        <v>370</v>
      </c>
      <c r="H1162" s="474" t="s">
        <v>320</v>
      </c>
      <c r="I1162" s="474"/>
      <c r="J1162" s="847">
        <v>500000</v>
      </c>
      <c r="K1162" s="513">
        <v>355.87188612099601</v>
      </c>
      <c r="L1162" s="513">
        <v>1405</v>
      </c>
      <c r="M1162" s="152" t="s">
        <v>7099</v>
      </c>
      <c r="N1162" s="513" t="s">
        <v>780</v>
      </c>
      <c r="O1162" s="513" t="s">
        <v>2705</v>
      </c>
      <c r="P1162" s="513" t="s">
        <v>7100</v>
      </c>
      <c r="Q1162" s="518" t="s">
        <v>7101</v>
      </c>
      <c r="R1162" s="152" t="s">
        <v>7102</v>
      </c>
      <c r="T1162" s="152" t="s">
        <v>7103</v>
      </c>
      <c r="U1162" s="152" t="s">
        <v>786</v>
      </c>
    </row>
    <row r="1163" spans="4:21">
      <c r="D1163" s="210"/>
      <c r="G1163" s="152" t="s">
        <v>370</v>
      </c>
      <c r="H1163" s="474" t="s">
        <v>320</v>
      </c>
      <c r="I1163" s="474"/>
      <c r="J1163" s="847">
        <v>500000</v>
      </c>
      <c r="K1163" s="513">
        <v>355.87188612099601</v>
      </c>
      <c r="L1163" s="513">
        <v>1405</v>
      </c>
      <c r="M1163" s="152" t="s">
        <v>7104</v>
      </c>
      <c r="N1163" s="513" t="s">
        <v>780</v>
      </c>
      <c r="O1163" s="513" t="s">
        <v>2705</v>
      </c>
      <c r="P1163" s="513" t="s">
        <v>7105</v>
      </c>
      <c r="Q1163" s="518" t="s">
        <v>7101</v>
      </c>
      <c r="R1163" s="152" t="s">
        <v>7106</v>
      </c>
      <c r="T1163" s="152" t="s">
        <v>7107</v>
      </c>
      <c r="U1163" s="152" t="s">
        <v>786</v>
      </c>
    </row>
    <row r="1164" spans="4:21">
      <c r="D1164" s="210"/>
      <c r="G1164" s="152" t="s">
        <v>370</v>
      </c>
      <c r="H1164" s="474" t="s">
        <v>320</v>
      </c>
      <c r="I1164" s="474"/>
      <c r="J1164" s="847">
        <v>300000</v>
      </c>
      <c r="K1164" s="513">
        <v>213.523131672598</v>
      </c>
      <c r="L1164" s="513">
        <v>1405</v>
      </c>
      <c r="M1164" s="152" t="s">
        <v>7108</v>
      </c>
      <c r="N1164" s="513" t="s">
        <v>780</v>
      </c>
      <c r="O1164" s="513" t="s">
        <v>2705</v>
      </c>
      <c r="P1164" s="513" t="s">
        <v>7109</v>
      </c>
      <c r="Q1164" s="518" t="s">
        <v>7101</v>
      </c>
      <c r="R1164" s="152" t="s">
        <v>7110</v>
      </c>
      <c r="T1164" s="152" t="s">
        <v>7111</v>
      </c>
      <c r="U1164" s="152" t="s">
        <v>786</v>
      </c>
    </row>
    <row r="1165" spans="4:21">
      <c r="D1165" s="210"/>
      <c r="G1165" s="152" t="s">
        <v>370</v>
      </c>
      <c r="H1165" s="474" t="s">
        <v>320</v>
      </c>
      <c r="I1165" s="474"/>
      <c r="J1165" s="847">
        <v>200000</v>
      </c>
      <c r="K1165" s="513">
        <v>142.34875444839901</v>
      </c>
      <c r="L1165" s="513">
        <v>1405</v>
      </c>
      <c r="M1165" s="152" t="s">
        <v>7112</v>
      </c>
      <c r="N1165" s="513" t="s">
        <v>780</v>
      </c>
      <c r="O1165" s="513" t="s">
        <v>2705</v>
      </c>
      <c r="P1165" s="513" t="s">
        <v>7113</v>
      </c>
      <c r="Q1165" s="518" t="s">
        <v>7101</v>
      </c>
      <c r="R1165" s="152" t="s">
        <v>7114</v>
      </c>
      <c r="T1165" s="152" t="s">
        <v>7115</v>
      </c>
      <c r="U1165" s="152" t="s">
        <v>786</v>
      </c>
    </row>
    <row r="1166" spans="4:21">
      <c r="D1166" s="210"/>
      <c r="G1166" s="152" t="s">
        <v>371</v>
      </c>
      <c r="H1166" s="474" t="s">
        <v>353</v>
      </c>
      <c r="I1166" s="474"/>
      <c r="J1166" s="847">
        <v>-702500</v>
      </c>
      <c r="K1166" s="513">
        <v>-500</v>
      </c>
      <c r="L1166" s="513">
        <v>1405</v>
      </c>
      <c r="M1166" s="152" t="s">
        <v>7104</v>
      </c>
      <c r="N1166" s="513" t="s">
        <v>780</v>
      </c>
      <c r="O1166" s="513" t="s">
        <v>781</v>
      </c>
      <c r="P1166" s="513" t="s">
        <v>7175</v>
      </c>
      <c r="Q1166" s="518" t="s">
        <v>7101</v>
      </c>
      <c r="R1166" s="152" t="s">
        <v>7176</v>
      </c>
      <c r="S1166" s="152" t="s">
        <v>7177</v>
      </c>
      <c r="T1166" s="152" t="s">
        <v>7178</v>
      </c>
      <c r="U1166" s="152" t="s">
        <v>786</v>
      </c>
    </row>
    <row r="1167" spans="4:21">
      <c r="D1167" s="210"/>
      <c r="G1167" s="152" t="s">
        <v>371</v>
      </c>
      <c r="H1167" s="474" t="s">
        <v>353</v>
      </c>
      <c r="I1167" s="474"/>
      <c r="J1167" s="847">
        <v>-33720000</v>
      </c>
      <c r="K1167" s="513">
        <v>-24000</v>
      </c>
      <c r="L1167" s="513">
        <v>1405</v>
      </c>
      <c r="M1167" s="152" t="s">
        <v>7108</v>
      </c>
      <c r="N1167" s="513" t="s">
        <v>780</v>
      </c>
      <c r="O1167" s="513" t="s">
        <v>781</v>
      </c>
      <c r="P1167" s="513" t="s">
        <v>7245</v>
      </c>
      <c r="Q1167" s="518" t="s">
        <v>7101</v>
      </c>
      <c r="R1167" s="152" t="s">
        <v>7246</v>
      </c>
      <c r="S1167" s="152" t="s">
        <v>7253</v>
      </c>
      <c r="T1167" s="152" t="s">
        <v>7248</v>
      </c>
      <c r="U1167" s="152" t="s">
        <v>786</v>
      </c>
    </row>
    <row r="1168" spans="4:21">
      <c r="D1168" s="210"/>
      <c r="G1168" s="152" t="s">
        <v>371</v>
      </c>
      <c r="H1168" s="474" t="s">
        <v>353</v>
      </c>
      <c r="I1168" s="474"/>
      <c r="J1168" s="847">
        <v>-38089550</v>
      </c>
      <c r="K1168" s="513">
        <v>-27110</v>
      </c>
      <c r="L1168" s="513">
        <v>1405</v>
      </c>
      <c r="M1168" s="152" t="s">
        <v>7112</v>
      </c>
      <c r="N1168" s="513" t="s">
        <v>780</v>
      </c>
      <c r="O1168" s="513" t="s">
        <v>781</v>
      </c>
      <c r="P1168" s="513" t="s">
        <v>7267</v>
      </c>
      <c r="Q1168" s="518" t="s">
        <v>7101</v>
      </c>
      <c r="R1168" s="152" t="s">
        <v>7268</v>
      </c>
      <c r="S1168" s="152" t="s">
        <v>7269</v>
      </c>
      <c r="T1168" s="152" t="s">
        <v>7270</v>
      </c>
      <c r="U1168" s="152" t="s">
        <v>786</v>
      </c>
    </row>
    <row r="1169" spans="4:21">
      <c r="D1169" s="210"/>
      <c r="G1169" s="152" t="s">
        <v>371</v>
      </c>
      <c r="H1169" s="474" t="s">
        <v>353</v>
      </c>
      <c r="I1169" s="474"/>
      <c r="J1169" s="847">
        <v>-38496200</v>
      </c>
      <c r="K1169" s="513">
        <v>-27110</v>
      </c>
      <c r="L1169" s="513">
        <v>1420</v>
      </c>
      <c r="M1169" s="152" t="s">
        <v>7276</v>
      </c>
      <c r="N1169" s="513" t="s">
        <v>780</v>
      </c>
      <c r="O1169" s="513" t="s">
        <v>781</v>
      </c>
      <c r="P1169" s="513" t="s">
        <v>7277</v>
      </c>
      <c r="Q1169" s="518" t="s">
        <v>7101</v>
      </c>
      <c r="R1169" s="152" t="s">
        <v>7278</v>
      </c>
      <c r="S1169" s="152" t="s">
        <v>7282</v>
      </c>
      <c r="T1169" s="152" t="s">
        <v>7280</v>
      </c>
      <c r="U1169" s="152" t="s">
        <v>786</v>
      </c>
    </row>
    <row r="1170" spans="4:21">
      <c r="D1170" s="210"/>
      <c r="G1170" s="152" t="s">
        <v>371</v>
      </c>
      <c r="H1170" s="474" t="s">
        <v>353</v>
      </c>
      <c r="I1170" s="474"/>
      <c r="J1170" s="847">
        <v>-68160000</v>
      </c>
      <c r="K1170" s="513">
        <v>-48000</v>
      </c>
      <c r="L1170" s="513">
        <v>1420</v>
      </c>
      <c r="M1170" s="152" t="s">
        <v>7276</v>
      </c>
      <c r="N1170" s="513" t="s">
        <v>780</v>
      </c>
      <c r="O1170" s="513" t="s">
        <v>781</v>
      </c>
      <c r="P1170" s="513" t="s">
        <v>7277</v>
      </c>
      <c r="Q1170" s="518" t="s">
        <v>7101</v>
      </c>
      <c r="R1170" s="152" t="s">
        <v>7278</v>
      </c>
      <c r="S1170" s="152" t="s">
        <v>7279</v>
      </c>
      <c r="T1170" s="152" t="s">
        <v>7280</v>
      </c>
      <c r="U1170" s="152" t="s">
        <v>786</v>
      </c>
    </row>
    <row r="1171" spans="4:21">
      <c r="D1171" s="210"/>
      <c r="G1171" s="152" t="s">
        <v>371</v>
      </c>
      <c r="H1171" s="474" t="s">
        <v>353</v>
      </c>
      <c r="I1171" s="474"/>
      <c r="J1171" s="847">
        <v>-407213.4</v>
      </c>
      <c r="K1171" s="513">
        <v>-286.77</v>
      </c>
      <c r="L1171" s="513">
        <v>1420</v>
      </c>
      <c r="M1171" s="152" t="s">
        <v>7143</v>
      </c>
      <c r="N1171" s="513" t="s">
        <v>780</v>
      </c>
      <c r="O1171" s="513" t="s">
        <v>781</v>
      </c>
      <c r="P1171" s="513" t="s">
        <v>7337</v>
      </c>
      <c r="Q1171" s="518" t="s">
        <v>7101</v>
      </c>
      <c r="R1171" s="152" t="s">
        <v>7338</v>
      </c>
      <c r="S1171" s="152" t="s">
        <v>7374</v>
      </c>
      <c r="T1171" s="152" t="s">
        <v>7340</v>
      </c>
      <c r="U1171" s="152" t="s">
        <v>786</v>
      </c>
    </row>
    <row r="1172" spans="4:21">
      <c r="D1172" s="210"/>
      <c r="G1172" s="152" t="s">
        <v>371</v>
      </c>
      <c r="H1172" s="474" t="s">
        <v>353</v>
      </c>
      <c r="I1172" s="474"/>
      <c r="J1172" s="847">
        <v>-101331.2</v>
      </c>
      <c r="K1172" s="513">
        <v>-71.36</v>
      </c>
      <c r="L1172" s="513">
        <v>1420</v>
      </c>
      <c r="M1172" s="152" t="s">
        <v>7143</v>
      </c>
      <c r="N1172" s="513" t="s">
        <v>780</v>
      </c>
      <c r="O1172" s="513" t="s">
        <v>781</v>
      </c>
      <c r="P1172" s="513" t="s">
        <v>7337</v>
      </c>
      <c r="Q1172" s="518" t="s">
        <v>7101</v>
      </c>
      <c r="R1172" s="152" t="s">
        <v>7338</v>
      </c>
      <c r="S1172" s="152" t="s">
        <v>7375</v>
      </c>
      <c r="T1172" s="152" t="s">
        <v>7340</v>
      </c>
      <c r="U1172" s="152" t="s">
        <v>786</v>
      </c>
    </row>
    <row r="1173" spans="4:21">
      <c r="D1173" s="210"/>
      <c r="G1173" s="152" t="s">
        <v>371</v>
      </c>
      <c r="H1173" s="474" t="s">
        <v>353</v>
      </c>
      <c r="I1173" s="474"/>
      <c r="J1173" s="847">
        <v>-107991</v>
      </c>
      <c r="K1173" s="513">
        <v>-76.05</v>
      </c>
      <c r="L1173" s="513">
        <v>1420</v>
      </c>
      <c r="M1173" s="152" t="s">
        <v>7143</v>
      </c>
      <c r="N1173" s="513" t="s">
        <v>780</v>
      </c>
      <c r="O1173" s="513" t="s">
        <v>781</v>
      </c>
      <c r="P1173" s="513" t="s">
        <v>7337</v>
      </c>
      <c r="Q1173" s="518" t="s">
        <v>7101</v>
      </c>
      <c r="R1173" s="152" t="s">
        <v>7338</v>
      </c>
      <c r="S1173" s="152" t="s">
        <v>7339</v>
      </c>
      <c r="T1173" s="152" t="s">
        <v>7340</v>
      </c>
      <c r="U1173" s="152" t="s">
        <v>786</v>
      </c>
    </row>
    <row r="1174" spans="4:21">
      <c r="D1174" s="210"/>
      <c r="G1174" s="152" t="s">
        <v>371</v>
      </c>
      <c r="H1174" s="474" t="s">
        <v>353</v>
      </c>
      <c r="I1174" s="474"/>
      <c r="J1174" s="847">
        <v>-126536.2</v>
      </c>
      <c r="K1174" s="513">
        <v>-89.11</v>
      </c>
      <c r="L1174" s="513">
        <v>1420</v>
      </c>
      <c r="M1174" s="152" t="s">
        <v>7143</v>
      </c>
      <c r="N1174" s="513" t="s">
        <v>780</v>
      </c>
      <c r="O1174" s="513" t="s">
        <v>781</v>
      </c>
      <c r="P1174" s="513" t="s">
        <v>7337</v>
      </c>
      <c r="Q1174" s="518" t="s">
        <v>7101</v>
      </c>
      <c r="R1174" s="152" t="s">
        <v>7338</v>
      </c>
      <c r="S1174" s="152" t="s">
        <v>7376</v>
      </c>
      <c r="T1174" s="152" t="s">
        <v>7340</v>
      </c>
      <c r="U1174" s="152" t="s">
        <v>786</v>
      </c>
    </row>
    <row r="1175" spans="4:21">
      <c r="D1175" s="210"/>
      <c r="G1175" s="152" t="s">
        <v>371</v>
      </c>
      <c r="H1175" s="474" t="s">
        <v>353</v>
      </c>
      <c r="I1175" s="474"/>
      <c r="J1175" s="847">
        <v>-74848.2</v>
      </c>
      <c r="K1175" s="513">
        <v>-52.71</v>
      </c>
      <c r="L1175" s="513">
        <v>1420</v>
      </c>
      <c r="M1175" s="152" t="s">
        <v>7143</v>
      </c>
      <c r="N1175" s="513" t="s">
        <v>780</v>
      </c>
      <c r="O1175" s="513" t="s">
        <v>781</v>
      </c>
      <c r="P1175" s="513" t="s">
        <v>7337</v>
      </c>
      <c r="Q1175" s="518" t="s">
        <v>7101</v>
      </c>
      <c r="R1175" s="152" t="s">
        <v>7338</v>
      </c>
      <c r="S1175" s="152" t="s">
        <v>7377</v>
      </c>
      <c r="T1175" s="152" t="s">
        <v>7340</v>
      </c>
      <c r="U1175" s="152" t="s">
        <v>786</v>
      </c>
    </row>
    <row r="1176" spans="4:21">
      <c r="D1176" s="210"/>
      <c r="G1176" s="152" t="s">
        <v>371</v>
      </c>
      <c r="H1176" s="474" t="s">
        <v>353</v>
      </c>
      <c r="I1176" s="474"/>
      <c r="J1176" s="847">
        <v>-88608</v>
      </c>
      <c r="K1176" s="513">
        <v>-62.4</v>
      </c>
      <c r="L1176" s="513">
        <v>1420</v>
      </c>
      <c r="M1176" s="152" t="s">
        <v>7143</v>
      </c>
      <c r="N1176" s="513" t="s">
        <v>780</v>
      </c>
      <c r="O1176" s="513" t="s">
        <v>781</v>
      </c>
      <c r="P1176" s="513" t="s">
        <v>7337</v>
      </c>
      <c r="Q1176" s="518" t="s">
        <v>7101</v>
      </c>
      <c r="R1176" s="152" t="s">
        <v>7338</v>
      </c>
      <c r="S1176" s="152" t="s">
        <v>7378</v>
      </c>
      <c r="T1176" s="152" t="s">
        <v>7340</v>
      </c>
      <c r="U1176" s="152" t="s">
        <v>786</v>
      </c>
    </row>
    <row r="1177" spans="4:21">
      <c r="D1177" s="210"/>
      <c r="G1177" s="152" t="s">
        <v>371</v>
      </c>
      <c r="H1177" s="474" t="s">
        <v>353</v>
      </c>
      <c r="I1177" s="474"/>
      <c r="J1177" s="847">
        <v>-61727.4</v>
      </c>
      <c r="K1177" s="513">
        <v>-43.47</v>
      </c>
      <c r="L1177" s="513">
        <v>1420</v>
      </c>
      <c r="M1177" s="152" t="s">
        <v>7143</v>
      </c>
      <c r="N1177" s="513" t="s">
        <v>780</v>
      </c>
      <c r="O1177" s="513" t="s">
        <v>781</v>
      </c>
      <c r="P1177" s="513" t="s">
        <v>7337</v>
      </c>
      <c r="Q1177" s="518" t="s">
        <v>7101</v>
      </c>
      <c r="R1177" s="152" t="s">
        <v>7338</v>
      </c>
      <c r="S1177" s="152" t="s">
        <v>7379</v>
      </c>
      <c r="T1177" s="152" t="s">
        <v>7340</v>
      </c>
      <c r="U1177" s="152" t="s">
        <v>786</v>
      </c>
    </row>
    <row r="1178" spans="4:21">
      <c r="D1178" s="210"/>
      <c r="G1178" s="152" t="s">
        <v>371</v>
      </c>
      <c r="H1178" s="474" t="s">
        <v>353</v>
      </c>
      <c r="I1178" s="474"/>
      <c r="J1178" s="847">
        <v>-66228.800000000003</v>
      </c>
      <c r="K1178" s="513">
        <v>-46.64</v>
      </c>
      <c r="L1178" s="513">
        <v>1420</v>
      </c>
      <c r="M1178" s="152" t="s">
        <v>7143</v>
      </c>
      <c r="N1178" s="513" t="s">
        <v>780</v>
      </c>
      <c r="O1178" s="513" t="s">
        <v>781</v>
      </c>
      <c r="P1178" s="513" t="s">
        <v>7337</v>
      </c>
      <c r="Q1178" s="518" t="s">
        <v>7101</v>
      </c>
      <c r="R1178" s="152" t="s">
        <v>7338</v>
      </c>
      <c r="S1178" s="152" t="s">
        <v>7380</v>
      </c>
      <c r="T1178" s="152" t="s">
        <v>7340</v>
      </c>
      <c r="U1178" s="152" t="s">
        <v>786</v>
      </c>
    </row>
    <row r="1179" spans="4:21">
      <c r="D1179" s="210"/>
      <c r="G1179" s="152" t="s">
        <v>371</v>
      </c>
      <c r="H1179" s="474" t="s">
        <v>353</v>
      </c>
      <c r="I1179" s="474"/>
      <c r="J1179" s="847">
        <v>-71610.600000000006</v>
      </c>
      <c r="K1179" s="513">
        <v>-50.43</v>
      </c>
      <c r="L1179" s="513">
        <v>1420</v>
      </c>
      <c r="M1179" s="152" t="s">
        <v>7143</v>
      </c>
      <c r="N1179" s="513" t="s">
        <v>780</v>
      </c>
      <c r="O1179" s="513" t="s">
        <v>781</v>
      </c>
      <c r="P1179" s="513" t="s">
        <v>7337</v>
      </c>
      <c r="Q1179" s="518" t="s">
        <v>7101</v>
      </c>
      <c r="R1179" s="152" t="s">
        <v>7338</v>
      </c>
      <c r="S1179" s="152" t="s">
        <v>7381</v>
      </c>
      <c r="T1179" s="152" t="s">
        <v>7340</v>
      </c>
      <c r="U1179" s="152" t="s">
        <v>786</v>
      </c>
    </row>
    <row r="1180" spans="4:21">
      <c r="D1180" s="210"/>
      <c r="G1180" s="152" t="s">
        <v>371</v>
      </c>
      <c r="H1180" s="474" t="s">
        <v>353</v>
      </c>
      <c r="I1180" s="474"/>
      <c r="J1180" s="847">
        <v>-65845.399999999994</v>
      </c>
      <c r="K1180" s="513">
        <v>-46.37</v>
      </c>
      <c r="L1180" s="513">
        <v>1420</v>
      </c>
      <c r="M1180" s="152" t="s">
        <v>7143</v>
      </c>
      <c r="N1180" s="513" t="s">
        <v>780</v>
      </c>
      <c r="O1180" s="513" t="s">
        <v>781</v>
      </c>
      <c r="P1180" s="513" t="s">
        <v>7337</v>
      </c>
      <c r="Q1180" s="518" t="s">
        <v>7101</v>
      </c>
      <c r="R1180" s="152" t="s">
        <v>7338</v>
      </c>
      <c r="S1180" s="152" t="s">
        <v>7382</v>
      </c>
      <c r="T1180" s="152" t="s">
        <v>7340</v>
      </c>
      <c r="U1180" s="152" t="s">
        <v>786</v>
      </c>
    </row>
    <row r="1181" spans="4:21">
      <c r="D1181" s="210"/>
      <c r="G1181" s="152" t="s">
        <v>371</v>
      </c>
      <c r="H1181" s="474" t="s">
        <v>353</v>
      </c>
      <c r="I1181" s="474"/>
      <c r="J1181" s="847">
        <v>-114807</v>
      </c>
      <c r="K1181" s="513">
        <v>-80.849999999999994</v>
      </c>
      <c r="L1181" s="513">
        <v>1420</v>
      </c>
      <c r="M1181" s="152" t="s">
        <v>7143</v>
      </c>
      <c r="N1181" s="513" t="s">
        <v>780</v>
      </c>
      <c r="O1181" s="513" t="s">
        <v>781</v>
      </c>
      <c r="P1181" s="513" t="s">
        <v>7337</v>
      </c>
      <c r="Q1181" s="518" t="s">
        <v>7101</v>
      </c>
      <c r="R1181" s="152" t="s">
        <v>7338</v>
      </c>
      <c r="S1181" s="152" t="s">
        <v>7383</v>
      </c>
      <c r="T1181" s="152" t="s">
        <v>7340</v>
      </c>
      <c r="U1181" s="152" t="s">
        <v>786</v>
      </c>
    </row>
    <row r="1182" spans="4:21">
      <c r="D1182" s="210"/>
      <c r="G1182" s="152" t="s">
        <v>371</v>
      </c>
      <c r="H1182" s="474" t="s">
        <v>353</v>
      </c>
      <c r="I1182" s="474"/>
      <c r="J1182" s="847">
        <v>-489190</v>
      </c>
      <c r="K1182" s="513">
        <v>-344.5</v>
      </c>
      <c r="L1182" s="513">
        <v>1420</v>
      </c>
      <c r="M1182" s="152" t="s">
        <v>7143</v>
      </c>
      <c r="N1182" s="513" t="s">
        <v>780</v>
      </c>
      <c r="O1182" s="513" t="s">
        <v>781</v>
      </c>
      <c r="P1182" s="513" t="s">
        <v>7337</v>
      </c>
      <c r="Q1182" s="518" t="s">
        <v>7101</v>
      </c>
      <c r="R1182" s="152" t="s">
        <v>7338</v>
      </c>
      <c r="S1182" s="152" t="s">
        <v>7384</v>
      </c>
      <c r="T1182" s="152" t="s">
        <v>7340</v>
      </c>
      <c r="U1182" s="152" t="s">
        <v>786</v>
      </c>
    </row>
    <row r="1183" spans="4:21">
      <c r="D1183" s="210"/>
      <c r="G1183" s="152" t="s">
        <v>371</v>
      </c>
      <c r="H1183" s="474" t="s">
        <v>353</v>
      </c>
      <c r="I1183" s="474"/>
      <c r="J1183" s="847">
        <v>-84717.2</v>
      </c>
      <c r="K1183" s="513">
        <v>-59.66</v>
      </c>
      <c r="L1183" s="513">
        <v>1420</v>
      </c>
      <c r="M1183" s="152" t="s">
        <v>7143</v>
      </c>
      <c r="N1183" s="513" t="s">
        <v>780</v>
      </c>
      <c r="O1183" s="513" t="s">
        <v>781</v>
      </c>
      <c r="P1183" s="513" t="s">
        <v>7337</v>
      </c>
      <c r="Q1183" s="518" t="s">
        <v>7101</v>
      </c>
      <c r="R1183" s="152" t="s">
        <v>7338</v>
      </c>
      <c r="S1183" s="152" t="s">
        <v>7385</v>
      </c>
      <c r="T1183" s="152" t="s">
        <v>7340</v>
      </c>
      <c r="U1183" s="152" t="s">
        <v>786</v>
      </c>
    </row>
    <row r="1184" spans="4:21">
      <c r="D1184" s="210"/>
      <c r="G1184" s="152" t="s">
        <v>371</v>
      </c>
      <c r="H1184" s="474" t="s">
        <v>353</v>
      </c>
      <c r="I1184" s="474"/>
      <c r="J1184" s="847">
        <v>-88608</v>
      </c>
      <c r="K1184" s="513">
        <v>-62.4</v>
      </c>
      <c r="L1184" s="513">
        <v>1420</v>
      </c>
      <c r="M1184" s="152" t="s">
        <v>7143</v>
      </c>
      <c r="N1184" s="513" t="s">
        <v>780</v>
      </c>
      <c r="O1184" s="513" t="s">
        <v>781</v>
      </c>
      <c r="P1184" s="513" t="s">
        <v>7337</v>
      </c>
      <c r="Q1184" s="518" t="s">
        <v>7101</v>
      </c>
      <c r="R1184" s="152" t="s">
        <v>7338</v>
      </c>
      <c r="S1184" s="152" t="s">
        <v>7386</v>
      </c>
      <c r="T1184" s="152" t="s">
        <v>7340</v>
      </c>
      <c r="U1184" s="152" t="s">
        <v>786</v>
      </c>
    </row>
    <row r="1185" spans="4:21">
      <c r="D1185" s="210"/>
      <c r="G1185" s="152" t="s">
        <v>371</v>
      </c>
      <c r="H1185" s="474" t="s">
        <v>353</v>
      </c>
      <c r="I1185" s="474"/>
      <c r="J1185" s="847">
        <v>-76239.8</v>
      </c>
      <c r="K1185" s="513">
        <v>-53.69</v>
      </c>
      <c r="L1185" s="513">
        <v>1420</v>
      </c>
      <c r="M1185" s="152" t="s">
        <v>7143</v>
      </c>
      <c r="N1185" s="513" t="s">
        <v>780</v>
      </c>
      <c r="O1185" s="513" t="s">
        <v>781</v>
      </c>
      <c r="P1185" s="513" t="s">
        <v>7337</v>
      </c>
      <c r="Q1185" s="518" t="s">
        <v>7101</v>
      </c>
      <c r="R1185" s="152" t="s">
        <v>7338</v>
      </c>
      <c r="S1185" s="152" t="s">
        <v>7387</v>
      </c>
      <c r="T1185" s="152" t="s">
        <v>7340</v>
      </c>
      <c r="U1185" s="152" t="s">
        <v>786</v>
      </c>
    </row>
    <row r="1186" spans="4:21">
      <c r="D1186" s="210"/>
      <c r="G1186" s="152" t="s">
        <v>371</v>
      </c>
      <c r="H1186" s="474" t="s">
        <v>353</v>
      </c>
      <c r="I1186" s="474"/>
      <c r="J1186" s="847">
        <v>-79733</v>
      </c>
      <c r="K1186" s="513">
        <v>-56.15</v>
      </c>
      <c r="L1186" s="513">
        <v>1420</v>
      </c>
      <c r="M1186" s="152" t="s">
        <v>7143</v>
      </c>
      <c r="N1186" s="513" t="s">
        <v>780</v>
      </c>
      <c r="O1186" s="513" t="s">
        <v>781</v>
      </c>
      <c r="P1186" s="513" t="s">
        <v>7337</v>
      </c>
      <c r="Q1186" s="518" t="s">
        <v>7101</v>
      </c>
      <c r="R1186" s="152" t="s">
        <v>7338</v>
      </c>
      <c r="S1186" s="152" t="s">
        <v>7388</v>
      </c>
      <c r="T1186" s="152" t="s">
        <v>7340</v>
      </c>
      <c r="U1186" s="152" t="s">
        <v>786</v>
      </c>
    </row>
    <row r="1187" spans="4:21">
      <c r="D1187" s="210"/>
      <c r="G1187" s="152" t="s">
        <v>371</v>
      </c>
      <c r="H1187" s="474" t="s">
        <v>353</v>
      </c>
      <c r="I1187" s="474"/>
      <c r="J1187" s="847">
        <v>-103759.4</v>
      </c>
      <c r="K1187" s="513">
        <v>-73.069999999999993</v>
      </c>
      <c r="L1187" s="513">
        <v>1420</v>
      </c>
      <c r="M1187" s="152" t="s">
        <v>7143</v>
      </c>
      <c r="N1187" s="513" t="s">
        <v>780</v>
      </c>
      <c r="O1187" s="513" t="s">
        <v>781</v>
      </c>
      <c r="P1187" s="513" t="s">
        <v>7337</v>
      </c>
      <c r="Q1187" s="518" t="s">
        <v>7101</v>
      </c>
      <c r="R1187" s="152" t="s">
        <v>7338</v>
      </c>
      <c r="S1187" s="152" t="s">
        <v>7389</v>
      </c>
      <c r="T1187" s="152" t="s">
        <v>7340</v>
      </c>
      <c r="U1187" s="152" t="s">
        <v>786</v>
      </c>
    </row>
    <row r="1188" spans="4:21">
      <c r="D1188" s="210"/>
      <c r="G1188" s="152" t="s">
        <v>371</v>
      </c>
      <c r="H1188" s="474" t="s">
        <v>353</v>
      </c>
      <c r="I1188" s="474"/>
      <c r="J1188" s="847">
        <v>-92456.2</v>
      </c>
      <c r="K1188" s="513">
        <v>-65.11</v>
      </c>
      <c r="L1188" s="513">
        <v>1420</v>
      </c>
      <c r="M1188" s="152" t="s">
        <v>7143</v>
      </c>
      <c r="N1188" s="513" t="s">
        <v>780</v>
      </c>
      <c r="O1188" s="513" t="s">
        <v>781</v>
      </c>
      <c r="P1188" s="513" t="s">
        <v>7337</v>
      </c>
      <c r="Q1188" s="518" t="s">
        <v>7101</v>
      </c>
      <c r="R1188" s="152" t="s">
        <v>7338</v>
      </c>
      <c r="S1188" s="152" t="s">
        <v>7390</v>
      </c>
      <c r="T1188" s="152" t="s">
        <v>7340</v>
      </c>
      <c r="U1188" s="152" t="s">
        <v>786</v>
      </c>
    </row>
    <row r="1189" spans="4:21">
      <c r="D1189" s="210"/>
      <c r="G1189" s="152" t="s">
        <v>371</v>
      </c>
      <c r="H1189" s="474" t="s">
        <v>353</v>
      </c>
      <c r="I1189" s="474"/>
      <c r="J1189" s="847">
        <v>-74067.199999999997</v>
      </c>
      <c r="K1189" s="513">
        <v>-52.16</v>
      </c>
      <c r="L1189" s="513">
        <v>1420</v>
      </c>
      <c r="M1189" s="152" t="s">
        <v>7143</v>
      </c>
      <c r="N1189" s="513" t="s">
        <v>780</v>
      </c>
      <c r="O1189" s="513" t="s">
        <v>781</v>
      </c>
      <c r="P1189" s="513" t="s">
        <v>7337</v>
      </c>
      <c r="Q1189" s="518" t="s">
        <v>7101</v>
      </c>
      <c r="R1189" s="152" t="s">
        <v>7338</v>
      </c>
      <c r="S1189" s="152" t="s">
        <v>7391</v>
      </c>
      <c r="T1189" s="152" t="s">
        <v>7340</v>
      </c>
      <c r="U1189" s="152" t="s">
        <v>786</v>
      </c>
    </row>
    <row r="1190" spans="4:21">
      <c r="D1190" s="210"/>
      <c r="G1190" s="152" t="s">
        <v>371</v>
      </c>
      <c r="H1190" s="474" t="s">
        <v>353</v>
      </c>
      <c r="I1190" s="474"/>
      <c r="J1190" s="847">
        <v>-352870</v>
      </c>
      <c r="K1190" s="513">
        <v>-248.5</v>
      </c>
      <c r="L1190" s="513">
        <v>1420</v>
      </c>
      <c r="M1190" s="152" t="s">
        <v>7143</v>
      </c>
      <c r="N1190" s="513" t="s">
        <v>780</v>
      </c>
      <c r="O1190" s="513" t="s">
        <v>781</v>
      </c>
      <c r="P1190" s="513" t="s">
        <v>7337</v>
      </c>
      <c r="Q1190" s="518" t="s">
        <v>7101</v>
      </c>
      <c r="R1190" s="152" t="s">
        <v>7338</v>
      </c>
      <c r="S1190" s="152" t="s">
        <v>7346</v>
      </c>
      <c r="T1190" s="152" t="s">
        <v>7340</v>
      </c>
      <c r="U1190" s="152" t="s">
        <v>786</v>
      </c>
    </row>
    <row r="1191" spans="4:21">
      <c r="D1191" s="210"/>
      <c r="G1191" s="152" t="s">
        <v>371</v>
      </c>
      <c r="H1191" s="474" t="s">
        <v>353</v>
      </c>
      <c r="I1191" s="474"/>
      <c r="J1191" s="847">
        <v>-61216.2</v>
      </c>
      <c r="K1191" s="513">
        <v>-43.11</v>
      </c>
      <c r="L1191" s="513">
        <v>1420</v>
      </c>
      <c r="M1191" s="152" t="s">
        <v>7143</v>
      </c>
      <c r="N1191" s="513" t="s">
        <v>780</v>
      </c>
      <c r="O1191" s="513" t="s">
        <v>781</v>
      </c>
      <c r="P1191" s="513" t="s">
        <v>7337</v>
      </c>
      <c r="Q1191" s="518" t="s">
        <v>7101</v>
      </c>
      <c r="R1191" s="152" t="s">
        <v>7338</v>
      </c>
      <c r="S1191" s="152" t="s">
        <v>7392</v>
      </c>
      <c r="T1191" s="152" t="s">
        <v>7340</v>
      </c>
      <c r="U1191" s="152" t="s">
        <v>786</v>
      </c>
    </row>
    <row r="1192" spans="4:21">
      <c r="D1192" s="210"/>
      <c r="G1192" s="152" t="s">
        <v>371</v>
      </c>
      <c r="H1192" s="474" t="s">
        <v>353</v>
      </c>
      <c r="I1192" s="474"/>
      <c r="J1192" s="847">
        <v>-90411.4</v>
      </c>
      <c r="K1192" s="513">
        <v>-63.67</v>
      </c>
      <c r="L1192" s="513">
        <v>1420</v>
      </c>
      <c r="M1192" s="152" t="s">
        <v>7143</v>
      </c>
      <c r="N1192" s="513" t="s">
        <v>780</v>
      </c>
      <c r="O1192" s="513" t="s">
        <v>781</v>
      </c>
      <c r="P1192" s="513" t="s">
        <v>7337</v>
      </c>
      <c r="Q1192" s="518" t="s">
        <v>7101</v>
      </c>
      <c r="R1192" s="152" t="s">
        <v>7338</v>
      </c>
      <c r="S1192" s="152" t="s">
        <v>7393</v>
      </c>
      <c r="T1192" s="152" t="s">
        <v>7340</v>
      </c>
      <c r="U1192" s="152" t="s">
        <v>786</v>
      </c>
    </row>
    <row r="1193" spans="4:21">
      <c r="D1193" s="210"/>
      <c r="G1193" s="152" t="s">
        <v>371</v>
      </c>
      <c r="H1193" s="474" t="s">
        <v>353</v>
      </c>
      <c r="I1193" s="474"/>
      <c r="J1193" s="847">
        <v>-72022.399999999994</v>
      </c>
      <c r="K1193" s="513">
        <v>-50.72</v>
      </c>
      <c r="L1193" s="513">
        <v>1420</v>
      </c>
      <c r="M1193" s="152" t="s">
        <v>7143</v>
      </c>
      <c r="N1193" s="513" t="s">
        <v>780</v>
      </c>
      <c r="O1193" s="513" t="s">
        <v>781</v>
      </c>
      <c r="P1193" s="513" t="s">
        <v>7337</v>
      </c>
      <c r="Q1193" s="518" t="s">
        <v>7101</v>
      </c>
      <c r="R1193" s="152" t="s">
        <v>7338</v>
      </c>
      <c r="S1193" s="152" t="s">
        <v>7394</v>
      </c>
      <c r="T1193" s="152" t="s">
        <v>7340</v>
      </c>
      <c r="U1193" s="152" t="s">
        <v>786</v>
      </c>
    </row>
    <row r="1194" spans="4:21">
      <c r="D1194" s="210"/>
      <c r="G1194" s="152" t="s">
        <v>371</v>
      </c>
      <c r="H1194" s="474" t="s">
        <v>353</v>
      </c>
      <c r="I1194" s="474"/>
      <c r="J1194" s="847">
        <v>-158429.4</v>
      </c>
      <c r="K1194" s="513">
        <v>-111.57</v>
      </c>
      <c r="L1194" s="513">
        <v>1420</v>
      </c>
      <c r="M1194" s="152" t="s">
        <v>7143</v>
      </c>
      <c r="N1194" s="513" t="s">
        <v>780</v>
      </c>
      <c r="O1194" s="513" t="s">
        <v>781</v>
      </c>
      <c r="P1194" s="513" t="s">
        <v>7337</v>
      </c>
      <c r="Q1194" s="518" t="s">
        <v>7101</v>
      </c>
      <c r="R1194" s="152" t="s">
        <v>7338</v>
      </c>
      <c r="S1194" s="152" t="s">
        <v>7358</v>
      </c>
      <c r="T1194" s="152" t="s">
        <v>7340</v>
      </c>
      <c r="U1194" s="152" t="s">
        <v>786</v>
      </c>
    </row>
    <row r="1195" spans="4:21">
      <c r="D1195" s="210"/>
      <c r="G1195" s="152" t="s">
        <v>371</v>
      </c>
      <c r="H1195" s="474" t="s">
        <v>353</v>
      </c>
      <c r="I1195" s="474"/>
      <c r="J1195" s="847">
        <v>-55039.199999999997</v>
      </c>
      <c r="K1195" s="513">
        <v>-38.76</v>
      </c>
      <c r="L1195" s="513">
        <v>1420</v>
      </c>
      <c r="M1195" s="152" t="s">
        <v>7143</v>
      </c>
      <c r="N1195" s="513" t="s">
        <v>780</v>
      </c>
      <c r="O1195" s="513" t="s">
        <v>781</v>
      </c>
      <c r="P1195" s="513" t="s">
        <v>7337</v>
      </c>
      <c r="Q1195" s="518" t="s">
        <v>7101</v>
      </c>
      <c r="R1195" s="152" t="s">
        <v>7338</v>
      </c>
      <c r="S1195" s="152" t="s">
        <v>7395</v>
      </c>
      <c r="T1195" s="152" t="s">
        <v>7340</v>
      </c>
      <c r="U1195" s="152" t="s">
        <v>786</v>
      </c>
    </row>
    <row r="1196" spans="4:21">
      <c r="D1196" s="210"/>
      <c r="G1196" s="152" t="s">
        <v>371</v>
      </c>
      <c r="H1196" s="474" t="s">
        <v>353</v>
      </c>
      <c r="I1196" s="474"/>
      <c r="J1196" s="847">
        <v>-41918.400000000001</v>
      </c>
      <c r="K1196" s="513">
        <v>-29.52</v>
      </c>
      <c r="L1196" s="513">
        <v>1420</v>
      </c>
      <c r="M1196" s="152" t="s">
        <v>7143</v>
      </c>
      <c r="N1196" s="513" t="s">
        <v>780</v>
      </c>
      <c r="O1196" s="513" t="s">
        <v>781</v>
      </c>
      <c r="P1196" s="513" t="s">
        <v>7337</v>
      </c>
      <c r="Q1196" s="518" t="s">
        <v>7101</v>
      </c>
      <c r="R1196" s="152" t="s">
        <v>7338</v>
      </c>
      <c r="S1196" s="152" t="s">
        <v>7396</v>
      </c>
      <c r="T1196" s="152" t="s">
        <v>7340</v>
      </c>
      <c r="U1196" s="152" t="s">
        <v>786</v>
      </c>
    </row>
    <row r="1197" spans="4:21">
      <c r="D1197" s="210"/>
      <c r="G1197" s="152" t="s">
        <v>371</v>
      </c>
      <c r="H1197" s="474" t="s">
        <v>353</v>
      </c>
      <c r="I1197" s="474"/>
      <c r="J1197" s="847">
        <v>-205758</v>
      </c>
      <c r="K1197" s="513">
        <v>-144.9</v>
      </c>
      <c r="L1197" s="513">
        <v>1420</v>
      </c>
      <c r="M1197" s="152" t="s">
        <v>7143</v>
      </c>
      <c r="N1197" s="513" t="s">
        <v>780</v>
      </c>
      <c r="O1197" s="513" t="s">
        <v>781</v>
      </c>
      <c r="P1197" s="513" t="s">
        <v>7337</v>
      </c>
      <c r="Q1197" s="518" t="s">
        <v>7101</v>
      </c>
      <c r="R1197" s="152" t="s">
        <v>7338</v>
      </c>
      <c r="S1197" s="152" t="s">
        <v>7359</v>
      </c>
      <c r="T1197" s="152" t="s">
        <v>7340</v>
      </c>
      <c r="U1197" s="152" t="s">
        <v>786</v>
      </c>
    </row>
    <row r="1198" spans="4:21">
      <c r="D1198" s="210"/>
      <c r="G1198" s="152" t="s">
        <v>371</v>
      </c>
      <c r="H1198" s="474" t="s">
        <v>353</v>
      </c>
      <c r="I1198" s="474"/>
      <c r="J1198" s="847">
        <v>-166921</v>
      </c>
      <c r="K1198" s="513">
        <v>-117.55</v>
      </c>
      <c r="L1198" s="513">
        <v>1420</v>
      </c>
      <c r="M1198" s="152" t="s">
        <v>7143</v>
      </c>
      <c r="N1198" s="513" t="s">
        <v>780</v>
      </c>
      <c r="O1198" s="513" t="s">
        <v>781</v>
      </c>
      <c r="P1198" s="513" t="s">
        <v>7337</v>
      </c>
      <c r="Q1198" s="518" t="s">
        <v>7101</v>
      </c>
      <c r="R1198" s="152" t="s">
        <v>7338</v>
      </c>
      <c r="S1198" s="152" t="s">
        <v>7397</v>
      </c>
      <c r="T1198" s="152" t="s">
        <v>7340</v>
      </c>
      <c r="U1198" s="152" t="s">
        <v>786</v>
      </c>
    </row>
    <row r="1199" spans="4:21">
      <c r="D1199" s="210"/>
      <c r="G1199" s="152" t="s">
        <v>371</v>
      </c>
      <c r="H1199" s="474" t="s">
        <v>353</v>
      </c>
      <c r="I1199" s="474"/>
      <c r="J1199" s="847">
        <v>-204338</v>
      </c>
      <c r="K1199" s="513">
        <v>-143.9</v>
      </c>
      <c r="L1199" s="513">
        <v>1420</v>
      </c>
      <c r="M1199" s="152" t="s">
        <v>7143</v>
      </c>
      <c r="N1199" s="513" t="s">
        <v>780</v>
      </c>
      <c r="O1199" s="513" t="s">
        <v>781</v>
      </c>
      <c r="P1199" s="513" t="s">
        <v>7337</v>
      </c>
      <c r="Q1199" s="518" t="s">
        <v>7101</v>
      </c>
      <c r="R1199" s="152" t="s">
        <v>7338</v>
      </c>
      <c r="S1199" s="152" t="s">
        <v>7398</v>
      </c>
      <c r="T1199" s="152" t="s">
        <v>7340</v>
      </c>
      <c r="U1199" s="152" t="s">
        <v>786</v>
      </c>
    </row>
    <row r="1200" spans="4:21">
      <c r="D1200" s="210"/>
      <c r="G1200" s="152" t="s">
        <v>371</v>
      </c>
      <c r="H1200" s="474" t="s">
        <v>353</v>
      </c>
      <c r="I1200" s="474"/>
      <c r="J1200" s="847">
        <v>-212318.4</v>
      </c>
      <c r="K1200" s="513">
        <v>-149.52000000000001</v>
      </c>
      <c r="L1200" s="513">
        <v>1420</v>
      </c>
      <c r="M1200" s="152" t="s">
        <v>7143</v>
      </c>
      <c r="N1200" s="513" t="s">
        <v>780</v>
      </c>
      <c r="O1200" s="513" t="s">
        <v>781</v>
      </c>
      <c r="P1200" s="513" t="s">
        <v>7337</v>
      </c>
      <c r="Q1200" s="518" t="s">
        <v>7101</v>
      </c>
      <c r="R1200" s="152" t="s">
        <v>7338</v>
      </c>
      <c r="S1200" s="152" t="s">
        <v>7360</v>
      </c>
      <c r="T1200" s="152" t="s">
        <v>7340</v>
      </c>
      <c r="U1200" s="152" t="s">
        <v>786</v>
      </c>
    </row>
    <row r="1201" spans="4:21">
      <c r="D1201" s="210"/>
      <c r="G1201" s="152" t="s">
        <v>371</v>
      </c>
      <c r="H1201" s="474" t="s">
        <v>353</v>
      </c>
      <c r="I1201" s="474"/>
      <c r="J1201" s="847">
        <v>-114963.2</v>
      </c>
      <c r="K1201" s="513">
        <v>-80.959999999999994</v>
      </c>
      <c r="L1201" s="513">
        <v>1420</v>
      </c>
      <c r="M1201" s="152" t="s">
        <v>7143</v>
      </c>
      <c r="N1201" s="513" t="s">
        <v>780</v>
      </c>
      <c r="O1201" s="513" t="s">
        <v>781</v>
      </c>
      <c r="P1201" s="513" t="s">
        <v>7337</v>
      </c>
      <c r="Q1201" s="518" t="s">
        <v>7101</v>
      </c>
      <c r="R1201" s="152" t="s">
        <v>7338</v>
      </c>
      <c r="S1201" s="152" t="s">
        <v>7399</v>
      </c>
      <c r="T1201" s="152" t="s">
        <v>7340</v>
      </c>
      <c r="U1201" s="152" t="s">
        <v>786</v>
      </c>
    </row>
    <row r="1202" spans="4:21">
      <c r="D1202" s="210"/>
      <c r="G1202" s="152" t="s">
        <v>371</v>
      </c>
      <c r="H1202" s="474" t="s">
        <v>353</v>
      </c>
      <c r="I1202" s="474"/>
      <c r="J1202" s="847">
        <v>-115218.8</v>
      </c>
      <c r="K1202" s="513">
        <v>-81.14</v>
      </c>
      <c r="L1202" s="513">
        <v>1420</v>
      </c>
      <c r="M1202" s="152" t="s">
        <v>7143</v>
      </c>
      <c r="N1202" s="513" t="s">
        <v>780</v>
      </c>
      <c r="O1202" s="513" t="s">
        <v>781</v>
      </c>
      <c r="P1202" s="513" t="s">
        <v>7337</v>
      </c>
      <c r="Q1202" s="518" t="s">
        <v>7101</v>
      </c>
      <c r="R1202" s="152" t="s">
        <v>7338</v>
      </c>
      <c r="S1202" s="152" t="s">
        <v>7400</v>
      </c>
      <c r="T1202" s="152" t="s">
        <v>7340</v>
      </c>
      <c r="U1202" s="152" t="s">
        <v>786</v>
      </c>
    </row>
    <row r="1203" spans="4:21">
      <c r="D1203" s="210"/>
      <c r="G1203" s="152" t="s">
        <v>371</v>
      </c>
      <c r="H1203" s="474" t="s">
        <v>353</v>
      </c>
      <c r="I1203" s="474"/>
      <c r="J1203" s="847">
        <v>-212318.4</v>
      </c>
      <c r="K1203" s="513">
        <v>-149.52000000000001</v>
      </c>
      <c r="L1203" s="513">
        <v>1420</v>
      </c>
      <c r="M1203" s="152" t="s">
        <v>7143</v>
      </c>
      <c r="N1203" s="513" t="s">
        <v>780</v>
      </c>
      <c r="O1203" s="513" t="s">
        <v>781</v>
      </c>
      <c r="P1203" s="513" t="s">
        <v>7337</v>
      </c>
      <c r="Q1203" s="518" t="s">
        <v>7101</v>
      </c>
      <c r="R1203" s="152" t="s">
        <v>7338</v>
      </c>
      <c r="S1203" s="152" t="s">
        <v>7361</v>
      </c>
      <c r="T1203" s="152" t="s">
        <v>7340</v>
      </c>
      <c r="U1203" s="152" t="s">
        <v>786</v>
      </c>
    </row>
    <row r="1204" spans="4:21">
      <c r="D1204" s="210"/>
      <c r="G1204" s="152" t="s">
        <v>371</v>
      </c>
      <c r="H1204" s="474" t="s">
        <v>353</v>
      </c>
      <c r="I1204" s="474"/>
      <c r="J1204" s="847">
        <v>-148659.79999999999</v>
      </c>
      <c r="K1204" s="513">
        <v>-104.69</v>
      </c>
      <c r="L1204" s="513">
        <v>1420</v>
      </c>
      <c r="M1204" s="152" t="s">
        <v>7143</v>
      </c>
      <c r="N1204" s="513" t="s">
        <v>780</v>
      </c>
      <c r="O1204" s="513" t="s">
        <v>781</v>
      </c>
      <c r="P1204" s="513" t="s">
        <v>7337</v>
      </c>
      <c r="Q1204" s="518" t="s">
        <v>7101</v>
      </c>
      <c r="R1204" s="152" t="s">
        <v>7338</v>
      </c>
      <c r="S1204" s="152" t="s">
        <v>7401</v>
      </c>
      <c r="T1204" s="152" t="s">
        <v>7340</v>
      </c>
      <c r="U1204" s="152" t="s">
        <v>786</v>
      </c>
    </row>
    <row r="1205" spans="4:21">
      <c r="D1205" s="210"/>
      <c r="G1205" s="152" t="s">
        <v>371</v>
      </c>
      <c r="H1205" s="474" t="s">
        <v>353</v>
      </c>
      <c r="I1205" s="474"/>
      <c r="J1205" s="847">
        <v>-79065.600000000006</v>
      </c>
      <c r="K1205" s="513">
        <v>-55.68</v>
      </c>
      <c r="L1205" s="513">
        <v>1420</v>
      </c>
      <c r="M1205" s="152" t="s">
        <v>7143</v>
      </c>
      <c r="N1205" s="513" t="s">
        <v>780</v>
      </c>
      <c r="O1205" s="513" t="s">
        <v>781</v>
      </c>
      <c r="P1205" s="513" t="s">
        <v>7337</v>
      </c>
      <c r="Q1205" s="518" t="s">
        <v>7101</v>
      </c>
      <c r="R1205" s="152" t="s">
        <v>7338</v>
      </c>
      <c r="S1205" s="152" t="s">
        <v>7402</v>
      </c>
      <c r="T1205" s="152" t="s">
        <v>7340</v>
      </c>
      <c r="U1205" s="152" t="s">
        <v>786</v>
      </c>
    </row>
    <row r="1206" spans="4:21">
      <c r="D1206" s="210"/>
      <c r="G1206" s="152" t="s">
        <v>371</v>
      </c>
      <c r="H1206" s="474" t="s">
        <v>353</v>
      </c>
      <c r="I1206" s="474"/>
      <c r="J1206" s="847">
        <v>5830750</v>
      </c>
      <c r="K1206" s="513">
        <v>4150</v>
      </c>
      <c r="L1206" s="513">
        <v>1405</v>
      </c>
      <c r="M1206" s="152" t="s">
        <v>7104</v>
      </c>
      <c r="N1206" s="513" t="s">
        <v>780</v>
      </c>
      <c r="O1206" s="513" t="s">
        <v>781</v>
      </c>
      <c r="P1206" s="513" t="s">
        <v>7697</v>
      </c>
      <c r="Q1206" s="518" t="s">
        <v>7101</v>
      </c>
      <c r="R1206" s="152" t="s">
        <v>7698</v>
      </c>
      <c r="S1206" s="152" t="s">
        <v>7702</v>
      </c>
      <c r="T1206" s="152" t="s">
        <v>7700</v>
      </c>
      <c r="U1206" s="152" t="s">
        <v>786</v>
      </c>
    </row>
    <row r="1207" spans="4:21">
      <c r="D1207" s="210"/>
      <c r="G1207" s="152" t="s">
        <v>371</v>
      </c>
      <c r="H1207" s="474" t="s">
        <v>353</v>
      </c>
      <c r="I1207" s="474"/>
      <c r="J1207" s="847">
        <v>5830750</v>
      </c>
      <c r="K1207" s="513">
        <v>4150</v>
      </c>
      <c r="L1207" s="513">
        <v>1405</v>
      </c>
      <c r="M1207" s="152" t="s">
        <v>7104</v>
      </c>
      <c r="N1207" s="513" t="s">
        <v>780</v>
      </c>
      <c r="O1207" s="513" t="s">
        <v>781</v>
      </c>
      <c r="P1207" s="513" t="s">
        <v>7697</v>
      </c>
      <c r="Q1207" s="518" t="s">
        <v>7101</v>
      </c>
      <c r="R1207" s="152" t="s">
        <v>7698</v>
      </c>
      <c r="S1207" s="152" t="s">
        <v>7701</v>
      </c>
      <c r="T1207" s="152" t="s">
        <v>7700</v>
      </c>
      <c r="U1207" s="152" t="s">
        <v>786</v>
      </c>
    </row>
    <row r="1208" spans="4:21">
      <c r="D1208" s="210"/>
      <c r="G1208" s="152" t="s">
        <v>371</v>
      </c>
      <c r="H1208" s="474" t="s">
        <v>353</v>
      </c>
      <c r="I1208" s="474"/>
      <c r="J1208" s="847">
        <v>5830750</v>
      </c>
      <c r="K1208" s="513">
        <v>4150</v>
      </c>
      <c r="L1208" s="513">
        <v>1405</v>
      </c>
      <c r="M1208" s="152" t="s">
        <v>7104</v>
      </c>
      <c r="N1208" s="513" t="s">
        <v>780</v>
      </c>
      <c r="O1208" s="513" t="s">
        <v>781</v>
      </c>
      <c r="P1208" s="513" t="s">
        <v>7697</v>
      </c>
      <c r="Q1208" s="518" t="s">
        <v>7101</v>
      </c>
      <c r="R1208" s="152" t="s">
        <v>7698</v>
      </c>
      <c r="S1208" s="152" t="s">
        <v>7704</v>
      </c>
      <c r="T1208" s="152" t="s">
        <v>7700</v>
      </c>
      <c r="U1208" s="152" t="s">
        <v>786</v>
      </c>
    </row>
    <row r="1209" spans="4:21">
      <c r="D1209" s="210"/>
      <c r="G1209" s="152" t="s">
        <v>371</v>
      </c>
      <c r="H1209" s="474" t="s">
        <v>353</v>
      </c>
      <c r="I1209" s="474"/>
      <c r="J1209" s="847">
        <v>5620000</v>
      </c>
      <c r="K1209" s="513">
        <v>4000</v>
      </c>
      <c r="L1209" s="513">
        <v>1405</v>
      </c>
      <c r="M1209" s="152" t="s">
        <v>7108</v>
      </c>
      <c r="N1209" s="513" t="s">
        <v>780</v>
      </c>
      <c r="O1209" s="513" t="s">
        <v>781</v>
      </c>
      <c r="P1209" s="513" t="s">
        <v>7705</v>
      </c>
      <c r="Q1209" s="518" t="s">
        <v>7101</v>
      </c>
      <c r="R1209" s="152" t="s">
        <v>7706</v>
      </c>
      <c r="S1209" s="152" t="s">
        <v>7707</v>
      </c>
      <c r="T1209" s="152" t="s">
        <v>7708</v>
      </c>
      <c r="U1209" s="152" t="s">
        <v>786</v>
      </c>
    </row>
    <row r="1210" spans="4:21">
      <c r="D1210" s="210"/>
      <c r="G1210" s="152" t="s">
        <v>371</v>
      </c>
      <c r="H1210" s="474" t="s">
        <v>353</v>
      </c>
      <c r="I1210" s="474"/>
      <c r="J1210" s="847">
        <v>5830750</v>
      </c>
      <c r="K1210" s="513">
        <v>4150</v>
      </c>
      <c r="L1210" s="513">
        <v>1405</v>
      </c>
      <c r="M1210" s="152" t="s">
        <v>7108</v>
      </c>
      <c r="N1210" s="513" t="s">
        <v>780</v>
      </c>
      <c r="O1210" s="513" t="s">
        <v>781</v>
      </c>
      <c r="P1210" s="513" t="s">
        <v>7705</v>
      </c>
      <c r="Q1210" s="518" t="s">
        <v>7101</v>
      </c>
      <c r="R1210" s="152" t="s">
        <v>7706</v>
      </c>
      <c r="S1210" s="152" t="s">
        <v>7714</v>
      </c>
      <c r="T1210" s="152" t="s">
        <v>7708</v>
      </c>
      <c r="U1210" s="152" t="s">
        <v>786</v>
      </c>
    </row>
    <row r="1211" spans="4:21">
      <c r="D1211" s="210"/>
      <c r="G1211" s="152" t="s">
        <v>371</v>
      </c>
      <c r="H1211" s="474" t="s">
        <v>353</v>
      </c>
      <c r="I1211" s="474"/>
      <c r="J1211" s="847">
        <v>5799137.5</v>
      </c>
      <c r="K1211" s="513">
        <v>4127.5</v>
      </c>
      <c r="L1211" s="513">
        <v>1405</v>
      </c>
      <c r="M1211" s="152" t="s">
        <v>7112</v>
      </c>
      <c r="N1211" s="513" t="s">
        <v>780</v>
      </c>
      <c r="O1211" s="513" t="s">
        <v>781</v>
      </c>
      <c r="P1211" s="513" t="s">
        <v>7715</v>
      </c>
      <c r="Q1211" s="518" t="s">
        <v>7101</v>
      </c>
      <c r="R1211" s="152" t="s">
        <v>7716</v>
      </c>
      <c r="S1211" s="152" t="s">
        <v>7717</v>
      </c>
      <c r="T1211" s="152" t="s">
        <v>7718</v>
      </c>
      <c r="U1211" s="152" t="s">
        <v>786</v>
      </c>
    </row>
    <row r="1212" spans="4:21">
      <c r="D1212" s="210"/>
      <c r="G1212" s="152" t="s">
        <v>371</v>
      </c>
      <c r="H1212" s="474" t="s">
        <v>353</v>
      </c>
      <c r="I1212" s="474"/>
      <c r="J1212" s="847">
        <v>5799137.5</v>
      </c>
      <c r="K1212" s="513">
        <v>4127.5</v>
      </c>
      <c r="L1212" s="513">
        <v>1405</v>
      </c>
      <c r="M1212" s="152" t="s">
        <v>7112</v>
      </c>
      <c r="N1212" s="513" t="s">
        <v>780</v>
      </c>
      <c r="O1212" s="513" t="s">
        <v>781</v>
      </c>
      <c r="P1212" s="513" t="s">
        <v>7715</v>
      </c>
      <c r="Q1212" s="518" t="s">
        <v>7101</v>
      </c>
      <c r="R1212" s="152" t="s">
        <v>7716</v>
      </c>
      <c r="S1212" s="152" t="s">
        <v>7719</v>
      </c>
      <c r="T1212" s="152" t="s">
        <v>7718</v>
      </c>
      <c r="U1212" s="152" t="s">
        <v>786</v>
      </c>
    </row>
    <row r="1213" spans="4:21">
      <c r="D1213" s="210"/>
      <c r="G1213" s="152" t="s">
        <v>371</v>
      </c>
      <c r="H1213" s="474" t="s">
        <v>353</v>
      </c>
      <c r="I1213" s="474"/>
      <c r="J1213" s="847">
        <v>11977625</v>
      </c>
      <c r="K1213" s="513">
        <v>8525</v>
      </c>
      <c r="L1213" s="513">
        <v>1405</v>
      </c>
      <c r="M1213" s="152" t="s">
        <v>7276</v>
      </c>
      <c r="N1213" s="513" t="s">
        <v>780</v>
      </c>
      <c r="O1213" s="513" t="s">
        <v>781</v>
      </c>
      <c r="P1213" s="513" t="s">
        <v>7720</v>
      </c>
      <c r="Q1213" s="518" t="s">
        <v>7101</v>
      </c>
      <c r="R1213" s="152" t="s">
        <v>7721</v>
      </c>
      <c r="S1213" s="152" t="s">
        <v>7722</v>
      </c>
      <c r="T1213" s="152" t="s">
        <v>7723</v>
      </c>
      <c r="U1213" s="152" t="s">
        <v>786</v>
      </c>
    </row>
    <row r="1214" spans="4:21">
      <c r="D1214" s="210"/>
      <c r="G1214" s="152" t="s">
        <v>371</v>
      </c>
      <c r="H1214" s="474" t="s">
        <v>353</v>
      </c>
      <c r="I1214" s="474"/>
      <c r="J1214" s="847">
        <v>6814250</v>
      </c>
      <c r="K1214" s="513">
        <v>4850</v>
      </c>
      <c r="L1214" s="513">
        <v>1405</v>
      </c>
      <c r="M1214" s="152" t="s">
        <v>7276</v>
      </c>
      <c r="N1214" s="513" t="s">
        <v>780</v>
      </c>
      <c r="O1214" s="513" t="s">
        <v>781</v>
      </c>
      <c r="P1214" s="513" t="s">
        <v>7720</v>
      </c>
      <c r="Q1214" s="518" t="s">
        <v>7101</v>
      </c>
      <c r="R1214" s="152" t="s">
        <v>7721</v>
      </c>
      <c r="S1214" s="152" t="s">
        <v>7724</v>
      </c>
      <c r="T1214" s="152" t="s">
        <v>7723</v>
      </c>
      <c r="U1214" s="152" t="s">
        <v>786</v>
      </c>
    </row>
    <row r="1215" spans="4:21">
      <c r="D1215" s="210"/>
      <c r="G1215" s="152" t="s">
        <v>371</v>
      </c>
      <c r="H1215" s="474" t="s">
        <v>353</v>
      </c>
      <c r="I1215" s="474"/>
      <c r="J1215" s="847">
        <v>5878800</v>
      </c>
      <c r="K1215" s="513">
        <v>4140</v>
      </c>
      <c r="L1215" s="513">
        <v>1420</v>
      </c>
      <c r="M1215" s="152" t="s">
        <v>7143</v>
      </c>
      <c r="N1215" s="513" t="s">
        <v>780</v>
      </c>
      <c r="O1215" s="513" t="s">
        <v>781</v>
      </c>
      <c r="P1215" s="513" t="s">
        <v>7734</v>
      </c>
      <c r="Q1215" s="518" t="s">
        <v>7101</v>
      </c>
      <c r="R1215" s="152" t="s">
        <v>7735</v>
      </c>
      <c r="S1215" s="152" t="s">
        <v>7747</v>
      </c>
      <c r="T1215" s="152" t="s">
        <v>7737</v>
      </c>
      <c r="U1215" s="152" t="s">
        <v>786</v>
      </c>
    </row>
    <row r="1216" spans="4:21">
      <c r="D1216" s="210"/>
      <c r="G1216" s="152" t="s">
        <v>371</v>
      </c>
      <c r="H1216" s="474" t="s">
        <v>353</v>
      </c>
      <c r="I1216" s="474"/>
      <c r="J1216" s="847">
        <v>4526676</v>
      </c>
      <c r="K1216" s="513">
        <v>3187.8</v>
      </c>
      <c r="L1216" s="513">
        <v>1420</v>
      </c>
      <c r="M1216" s="152" t="s">
        <v>7143</v>
      </c>
      <c r="N1216" s="513" t="s">
        <v>780</v>
      </c>
      <c r="O1216" s="513" t="s">
        <v>781</v>
      </c>
      <c r="P1216" s="513" t="s">
        <v>7734</v>
      </c>
      <c r="Q1216" s="518" t="s">
        <v>7101</v>
      </c>
      <c r="R1216" s="152" t="s">
        <v>7735</v>
      </c>
      <c r="S1216" s="152" t="s">
        <v>7751</v>
      </c>
      <c r="T1216" s="152" t="s">
        <v>7737</v>
      </c>
      <c r="U1216" s="152" t="s">
        <v>786</v>
      </c>
    </row>
    <row r="1217" spans="4:21">
      <c r="D1217" s="210"/>
      <c r="G1217" s="152" t="s">
        <v>371</v>
      </c>
      <c r="H1217" s="474" t="s">
        <v>353</v>
      </c>
      <c r="I1217" s="474"/>
      <c r="J1217" s="847">
        <v>6066183.2000000002</v>
      </c>
      <c r="K1217" s="513">
        <v>4271.96</v>
      </c>
      <c r="L1217" s="513">
        <v>1420</v>
      </c>
      <c r="M1217" s="152" t="s">
        <v>7143</v>
      </c>
      <c r="N1217" s="513" t="s">
        <v>780</v>
      </c>
      <c r="O1217" s="513" t="s">
        <v>781</v>
      </c>
      <c r="P1217" s="513" t="s">
        <v>7734</v>
      </c>
      <c r="Q1217" s="518" t="s">
        <v>7101</v>
      </c>
      <c r="R1217" s="152" t="s">
        <v>7735</v>
      </c>
      <c r="S1217" s="152" t="s">
        <v>7745</v>
      </c>
      <c r="T1217" s="152" t="s">
        <v>7737</v>
      </c>
      <c r="U1217" s="152" t="s">
        <v>786</v>
      </c>
    </row>
    <row r="1218" spans="4:21">
      <c r="D1218" s="210"/>
      <c r="G1218" s="152" t="s">
        <v>371</v>
      </c>
      <c r="H1218" s="474" t="s">
        <v>353</v>
      </c>
      <c r="I1218" s="474"/>
      <c r="J1218" s="847">
        <v>6066183.2000000002</v>
      </c>
      <c r="K1218" s="513">
        <v>4271.96</v>
      </c>
      <c r="L1218" s="513">
        <v>1420</v>
      </c>
      <c r="M1218" s="152" t="s">
        <v>7143</v>
      </c>
      <c r="N1218" s="513" t="s">
        <v>780</v>
      </c>
      <c r="O1218" s="513" t="s">
        <v>781</v>
      </c>
      <c r="P1218" s="513" t="s">
        <v>7734</v>
      </c>
      <c r="Q1218" s="518" t="s">
        <v>7101</v>
      </c>
      <c r="R1218" s="152" t="s">
        <v>7735</v>
      </c>
      <c r="S1218" s="152" t="s">
        <v>7749</v>
      </c>
      <c r="T1218" s="152" t="s">
        <v>7737</v>
      </c>
      <c r="U1218" s="152" t="s">
        <v>786</v>
      </c>
    </row>
    <row r="1219" spans="4:21">
      <c r="D1219" s="210"/>
      <c r="G1219" s="152" t="s">
        <v>371</v>
      </c>
      <c r="H1219" s="474" t="s">
        <v>353</v>
      </c>
      <c r="I1219" s="474"/>
      <c r="J1219" s="847">
        <v>340942</v>
      </c>
      <c r="K1219" s="513">
        <v>240.1</v>
      </c>
      <c r="L1219" s="513">
        <v>1420</v>
      </c>
      <c r="M1219" s="152" t="s">
        <v>7143</v>
      </c>
      <c r="N1219" s="513" t="s">
        <v>780</v>
      </c>
      <c r="O1219" s="513" t="s">
        <v>781</v>
      </c>
      <c r="P1219" s="513" t="s">
        <v>7754</v>
      </c>
      <c r="Q1219" s="518" t="s">
        <v>7101</v>
      </c>
      <c r="R1219" s="152" t="s">
        <v>7755</v>
      </c>
      <c r="S1219" s="152" t="s">
        <v>7758</v>
      </c>
      <c r="T1219" s="152" t="s">
        <v>7756</v>
      </c>
      <c r="U1219" s="152" t="s">
        <v>786</v>
      </c>
    </row>
    <row r="1220" spans="4:21">
      <c r="D1220" s="210"/>
      <c r="G1220" s="152" t="s">
        <v>371</v>
      </c>
      <c r="H1220" s="474" t="s">
        <v>353</v>
      </c>
      <c r="I1220" s="474"/>
      <c r="J1220" s="847">
        <v>53179</v>
      </c>
      <c r="K1220" s="513">
        <v>37.450000000000003</v>
      </c>
      <c r="L1220" s="513">
        <v>1420</v>
      </c>
      <c r="M1220" s="152" t="s">
        <v>7143</v>
      </c>
      <c r="N1220" s="513" t="s">
        <v>780</v>
      </c>
      <c r="O1220" s="513" t="s">
        <v>781</v>
      </c>
      <c r="P1220" s="513" t="s">
        <v>7754</v>
      </c>
      <c r="Q1220" s="518" t="s">
        <v>7101</v>
      </c>
      <c r="R1220" s="152" t="s">
        <v>7755</v>
      </c>
      <c r="S1220" s="152" t="s">
        <v>7763</v>
      </c>
      <c r="T1220" s="152" t="s">
        <v>7756</v>
      </c>
      <c r="U1220" s="152" t="s">
        <v>786</v>
      </c>
    </row>
    <row r="1221" spans="4:21">
      <c r="D1221" s="210"/>
      <c r="G1221" s="152" t="s">
        <v>371</v>
      </c>
      <c r="H1221" s="474" t="s">
        <v>353</v>
      </c>
      <c r="I1221" s="474"/>
      <c r="J1221" s="847">
        <v>97909</v>
      </c>
      <c r="K1221" s="513">
        <v>68.95</v>
      </c>
      <c r="L1221" s="513">
        <v>1420</v>
      </c>
      <c r="M1221" s="152" t="s">
        <v>7143</v>
      </c>
      <c r="N1221" s="513" t="s">
        <v>780</v>
      </c>
      <c r="O1221" s="513" t="s">
        <v>781</v>
      </c>
      <c r="P1221" s="513" t="s">
        <v>7754</v>
      </c>
      <c r="Q1221" s="518" t="s">
        <v>7101</v>
      </c>
      <c r="R1221" s="152" t="s">
        <v>7755</v>
      </c>
      <c r="S1221" s="152" t="s">
        <v>7769</v>
      </c>
      <c r="T1221" s="152" t="s">
        <v>7756</v>
      </c>
      <c r="U1221" s="152" t="s">
        <v>786</v>
      </c>
    </row>
    <row r="1222" spans="4:21">
      <c r="D1222" s="210"/>
      <c r="G1222" s="152" t="s">
        <v>371</v>
      </c>
      <c r="H1222" s="474" t="s">
        <v>353</v>
      </c>
      <c r="I1222" s="474"/>
      <c r="J1222" s="847">
        <v>69580</v>
      </c>
      <c r="K1222" s="513">
        <v>49</v>
      </c>
      <c r="L1222" s="513">
        <v>1420</v>
      </c>
      <c r="M1222" s="152" t="s">
        <v>7143</v>
      </c>
      <c r="N1222" s="513" t="s">
        <v>780</v>
      </c>
      <c r="O1222" s="513" t="s">
        <v>781</v>
      </c>
      <c r="P1222" s="513" t="s">
        <v>7754</v>
      </c>
      <c r="Q1222" s="518" t="s">
        <v>7101</v>
      </c>
      <c r="R1222" s="152" t="s">
        <v>7755</v>
      </c>
      <c r="S1222" s="152" t="s">
        <v>7771</v>
      </c>
      <c r="T1222" s="152" t="s">
        <v>7756</v>
      </c>
      <c r="U1222" s="152" t="s">
        <v>786</v>
      </c>
    </row>
    <row r="1223" spans="4:21">
      <c r="D1223" s="210"/>
      <c r="G1223" s="152" t="s">
        <v>371</v>
      </c>
      <c r="H1223" s="474" t="s">
        <v>353</v>
      </c>
      <c r="I1223" s="474"/>
      <c r="J1223" s="847">
        <v>111328</v>
      </c>
      <c r="K1223" s="513">
        <v>78.400000000000006</v>
      </c>
      <c r="L1223" s="513">
        <v>1420</v>
      </c>
      <c r="M1223" s="152" t="s">
        <v>7143</v>
      </c>
      <c r="N1223" s="513" t="s">
        <v>780</v>
      </c>
      <c r="O1223" s="513" t="s">
        <v>781</v>
      </c>
      <c r="P1223" s="513" t="s">
        <v>7754</v>
      </c>
      <c r="Q1223" s="518" t="s">
        <v>7101</v>
      </c>
      <c r="R1223" s="152" t="s">
        <v>7755</v>
      </c>
      <c r="S1223" s="152" t="s">
        <v>7767</v>
      </c>
      <c r="T1223" s="152" t="s">
        <v>7756</v>
      </c>
      <c r="U1223" s="152" t="s">
        <v>786</v>
      </c>
    </row>
    <row r="1224" spans="4:21">
      <c r="D1224" s="210"/>
      <c r="G1224" s="152" t="s">
        <v>371</v>
      </c>
      <c r="H1224" s="474" t="s">
        <v>353</v>
      </c>
      <c r="I1224" s="474"/>
      <c r="J1224" s="847">
        <v>197436.79999999999</v>
      </c>
      <c r="K1224" s="513">
        <v>139.04</v>
      </c>
      <c r="L1224" s="513">
        <v>1420</v>
      </c>
      <c r="M1224" s="152" t="s">
        <v>7143</v>
      </c>
      <c r="N1224" s="513" t="s">
        <v>780</v>
      </c>
      <c r="O1224" s="513" t="s">
        <v>781</v>
      </c>
      <c r="P1224" s="513" t="s">
        <v>7754</v>
      </c>
      <c r="Q1224" s="518" t="s">
        <v>7101</v>
      </c>
      <c r="R1224" s="152" t="s">
        <v>7755</v>
      </c>
      <c r="S1224" s="152" t="s">
        <v>7773</v>
      </c>
      <c r="T1224" s="152" t="s">
        <v>7756</v>
      </c>
      <c r="U1224" s="152" t="s">
        <v>786</v>
      </c>
    </row>
    <row r="1225" spans="4:21">
      <c r="D1225" s="210"/>
      <c r="G1225" s="152" t="s">
        <v>371</v>
      </c>
      <c r="H1225" s="474" t="s">
        <v>353</v>
      </c>
      <c r="I1225" s="474"/>
      <c r="J1225" s="847">
        <v>161283.6</v>
      </c>
      <c r="K1225" s="513">
        <v>113.58</v>
      </c>
      <c r="L1225" s="513">
        <v>1420</v>
      </c>
      <c r="M1225" s="152" t="s">
        <v>7143</v>
      </c>
      <c r="N1225" s="513" t="s">
        <v>780</v>
      </c>
      <c r="O1225" s="513" t="s">
        <v>781</v>
      </c>
      <c r="P1225" s="513" t="s">
        <v>7754</v>
      </c>
      <c r="Q1225" s="518" t="s">
        <v>7101</v>
      </c>
      <c r="R1225" s="152" t="s">
        <v>7755</v>
      </c>
      <c r="S1225" s="152" t="s">
        <v>7778</v>
      </c>
      <c r="T1225" s="152" t="s">
        <v>7756</v>
      </c>
      <c r="U1225" s="152" t="s">
        <v>786</v>
      </c>
    </row>
    <row r="1226" spans="4:21">
      <c r="D1226" s="210"/>
      <c r="G1226" s="152" t="s">
        <v>371</v>
      </c>
      <c r="H1226" s="474" t="s">
        <v>353</v>
      </c>
      <c r="I1226" s="474"/>
      <c r="J1226" s="847">
        <v>104341.6</v>
      </c>
      <c r="K1226" s="513">
        <v>73.48</v>
      </c>
      <c r="L1226" s="513">
        <v>1420</v>
      </c>
      <c r="M1226" s="152" t="s">
        <v>7143</v>
      </c>
      <c r="N1226" s="513" t="s">
        <v>780</v>
      </c>
      <c r="O1226" s="513" t="s">
        <v>781</v>
      </c>
      <c r="P1226" s="513" t="s">
        <v>7754</v>
      </c>
      <c r="Q1226" s="518" t="s">
        <v>7101</v>
      </c>
      <c r="R1226" s="152" t="s">
        <v>7755</v>
      </c>
      <c r="S1226" s="152" t="s">
        <v>7780</v>
      </c>
      <c r="T1226" s="152" t="s">
        <v>7756</v>
      </c>
      <c r="U1226" s="152" t="s">
        <v>786</v>
      </c>
    </row>
    <row r="1227" spans="4:21">
      <c r="D1227" s="210"/>
      <c r="G1227" s="152" t="s">
        <v>371</v>
      </c>
      <c r="H1227" s="474" t="s">
        <v>353</v>
      </c>
      <c r="I1227" s="474"/>
      <c r="J1227" s="847">
        <v>87344.2</v>
      </c>
      <c r="K1227" s="513">
        <v>61.51</v>
      </c>
      <c r="L1227" s="513">
        <v>1420</v>
      </c>
      <c r="M1227" s="152" t="s">
        <v>7143</v>
      </c>
      <c r="N1227" s="513" t="s">
        <v>780</v>
      </c>
      <c r="O1227" s="513" t="s">
        <v>781</v>
      </c>
      <c r="P1227" s="513" t="s">
        <v>7754</v>
      </c>
      <c r="Q1227" s="518" t="s">
        <v>7101</v>
      </c>
      <c r="R1227" s="152" t="s">
        <v>7755</v>
      </c>
      <c r="S1227" s="152" t="s">
        <v>7782</v>
      </c>
      <c r="T1227" s="152" t="s">
        <v>7756</v>
      </c>
      <c r="U1227" s="152" t="s">
        <v>786</v>
      </c>
    </row>
    <row r="1228" spans="4:21">
      <c r="D1228" s="210"/>
      <c r="G1228" s="152" t="s">
        <v>371</v>
      </c>
      <c r="H1228" s="474" t="s">
        <v>353</v>
      </c>
      <c r="I1228" s="474"/>
      <c r="J1228" s="847">
        <v>59640</v>
      </c>
      <c r="K1228" s="513">
        <v>42</v>
      </c>
      <c r="L1228" s="513">
        <v>1420</v>
      </c>
      <c r="M1228" s="152" t="s">
        <v>7143</v>
      </c>
      <c r="N1228" s="513" t="s">
        <v>780</v>
      </c>
      <c r="O1228" s="513" t="s">
        <v>781</v>
      </c>
      <c r="P1228" s="513" t="s">
        <v>7754</v>
      </c>
      <c r="Q1228" s="518" t="s">
        <v>7101</v>
      </c>
      <c r="R1228" s="152" t="s">
        <v>7755</v>
      </c>
      <c r="S1228" s="152" t="s">
        <v>7765</v>
      </c>
      <c r="T1228" s="152" t="s">
        <v>7756</v>
      </c>
      <c r="U1228" s="152" t="s">
        <v>786</v>
      </c>
    </row>
    <row r="1229" spans="4:21">
      <c r="D1229" s="210"/>
      <c r="G1229" s="152" t="s">
        <v>371</v>
      </c>
      <c r="H1229" s="474" t="s">
        <v>353</v>
      </c>
      <c r="I1229" s="474"/>
      <c r="J1229" s="847">
        <v>85611.8</v>
      </c>
      <c r="K1229" s="513">
        <v>60.29</v>
      </c>
      <c r="L1229" s="513">
        <v>1420</v>
      </c>
      <c r="M1229" s="152" t="s">
        <v>7143</v>
      </c>
      <c r="N1229" s="513" t="s">
        <v>780</v>
      </c>
      <c r="O1229" s="513" t="s">
        <v>781</v>
      </c>
      <c r="P1229" s="513" t="s">
        <v>7754</v>
      </c>
      <c r="Q1229" s="518" t="s">
        <v>7101</v>
      </c>
      <c r="R1229" s="152" t="s">
        <v>7755</v>
      </c>
      <c r="S1229" s="152" t="s">
        <v>7761</v>
      </c>
      <c r="T1229" s="152" t="s">
        <v>7756</v>
      </c>
      <c r="U1229" s="152" t="s">
        <v>786</v>
      </c>
    </row>
    <row r="1230" spans="4:21">
      <c r="D1230" s="210"/>
      <c r="G1230" s="152" t="s">
        <v>371</v>
      </c>
      <c r="H1230" s="474" t="s">
        <v>353</v>
      </c>
      <c r="I1230" s="474"/>
      <c r="J1230" s="847">
        <v>40512.6</v>
      </c>
      <c r="K1230" s="513">
        <v>28.53</v>
      </c>
      <c r="L1230" s="513">
        <v>1420</v>
      </c>
      <c r="M1230" s="152" t="s">
        <v>7143</v>
      </c>
      <c r="N1230" s="513" t="s">
        <v>780</v>
      </c>
      <c r="O1230" s="513" t="s">
        <v>781</v>
      </c>
      <c r="P1230" s="513" t="s">
        <v>7754</v>
      </c>
      <c r="Q1230" s="518" t="s">
        <v>7101</v>
      </c>
      <c r="R1230" s="152" t="s">
        <v>7755</v>
      </c>
      <c r="S1230" s="152" t="s">
        <v>7783</v>
      </c>
      <c r="T1230" s="152" t="s">
        <v>7756</v>
      </c>
      <c r="U1230" s="152" t="s">
        <v>786</v>
      </c>
    </row>
    <row r="1231" spans="4:21">
      <c r="D1231" s="210"/>
      <c r="G1231" s="152" t="s">
        <v>371</v>
      </c>
      <c r="H1231" s="474" t="s">
        <v>353</v>
      </c>
      <c r="I1231" s="474"/>
      <c r="J1231" s="847">
        <v>72320.600000000006</v>
      </c>
      <c r="K1231" s="513">
        <v>50.93</v>
      </c>
      <c r="L1231" s="513">
        <v>1420</v>
      </c>
      <c r="M1231" s="152" t="s">
        <v>7143</v>
      </c>
      <c r="N1231" s="513" t="s">
        <v>780</v>
      </c>
      <c r="O1231" s="513" t="s">
        <v>781</v>
      </c>
      <c r="P1231" s="513" t="s">
        <v>7754</v>
      </c>
      <c r="Q1231" s="518" t="s">
        <v>7101</v>
      </c>
      <c r="R1231" s="152" t="s">
        <v>7755</v>
      </c>
      <c r="S1231" s="152" t="s">
        <v>7764</v>
      </c>
      <c r="T1231" s="152" t="s">
        <v>7756</v>
      </c>
      <c r="U1231" s="152" t="s">
        <v>786</v>
      </c>
    </row>
    <row r="1232" spans="4:21">
      <c r="D1232" s="210"/>
      <c r="G1232" s="152" t="s">
        <v>371</v>
      </c>
      <c r="H1232" s="474" t="s">
        <v>353</v>
      </c>
      <c r="I1232" s="474"/>
      <c r="J1232" s="847">
        <v>71568</v>
      </c>
      <c r="K1232" s="513">
        <v>50.4</v>
      </c>
      <c r="L1232" s="513">
        <v>1420</v>
      </c>
      <c r="M1232" s="152" t="s">
        <v>7143</v>
      </c>
      <c r="N1232" s="513" t="s">
        <v>780</v>
      </c>
      <c r="O1232" s="513" t="s">
        <v>781</v>
      </c>
      <c r="P1232" s="513" t="s">
        <v>7754</v>
      </c>
      <c r="Q1232" s="518" t="s">
        <v>7101</v>
      </c>
      <c r="R1232" s="152" t="s">
        <v>7755</v>
      </c>
      <c r="S1232" s="152" t="s">
        <v>7770</v>
      </c>
      <c r="T1232" s="152" t="s">
        <v>7756</v>
      </c>
      <c r="U1232" s="152" t="s">
        <v>786</v>
      </c>
    </row>
    <row r="1233" spans="4:21">
      <c r="D1233" s="210"/>
      <c r="G1233" s="152" t="s">
        <v>371</v>
      </c>
      <c r="H1233" s="474" t="s">
        <v>353</v>
      </c>
      <c r="I1233" s="474"/>
      <c r="J1233" s="847">
        <v>76396</v>
      </c>
      <c r="K1233" s="513">
        <v>53.8</v>
      </c>
      <c r="L1233" s="513">
        <v>1420</v>
      </c>
      <c r="M1233" s="152" t="s">
        <v>7143</v>
      </c>
      <c r="N1233" s="513" t="s">
        <v>780</v>
      </c>
      <c r="O1233" s="513" t="s">
        <v>781</v>
      </c>
      <c r="P1233" s="513" t="s">
        <v>7754</v>
      </c>
      <c r="Q1233" s="518" t="s">
        <v>7101</v>
      </c>
      <c r="R1233" s="152" t="s">
        <v>7755</v>
      </c>
      <c r="S1233" s="152" t="s">
        <v>7775</v>
      </c>
      <c r="T1233" s="152" t="s">
        <v>7756</v>
      </c>
      <c r="U1233" s="152" t="s">
        <v>786</v>
      </c>
    </row>
    <row r="1234" spans="4:21">
      <c r="D1234" s="210"/>
      <c r="G1234" s="152" t="s">
        <v>371</v>
      </c>
      <c r="H1234" s="474" t="s">
        <v>353</v>
      </c>
      <c r="I1234" s="474"/>
      <c r="J1234" s="847">
        <v>143633</v>
      </c>
      <c r="K1234" s="513">
        <v>101.15</v>
      </c>
      <c r="L1234" s="513">
        <v>1420</v>
      </c>
      <c r="M1234" s="152" t="s">
        <v>7143</v>
      </c>
      <c r="N1234" s="513" t="s">
        <v>780</v>
      </c>
      <c r="O1234" s="513" t="s">
        <v>781</v>
      </c>
      <c r="P1234" s="513" t="s">
        <v>7754</v>
      </c>
      <c r="Q1234" s="518" t="s">
        <v>7101</v>
      </c>
      <c r="R1234" s="152" t="s">
        <v>7755</v>
      </c>
      <c r="S1234" s="152" t="s">
        <v>7774</v>
      </c>
      <c r="T1234" s="152" t="s">
        <v>7756</v>
      </c>
      <c r="U1234" s="152" t="s">
        <v>786</v>
      </c>
    </row>
    <row r="1235" spans="4:21">
      <c r="D1235" s="210"/>
      <c r="G1235" s="152" t="s">
        <v>371</v>
      </c>
      <c r="H1235" s="474" t="s">
        <v>353</v>
      </c>
      <c r="I1235" s="474"/>
      <c r="J1235" s="847">
        <v>110930.4</v>
      </c>
      <c r="K1235" s="513">
        <v>78.12</v>
      </c>
      <c r="L1235" s="513">
        <v>1420</v>
      </c>
      <c r="M1235" s="152" t="s">
        <v>7143</v>
      </c>
      <c r="N1235" s="513" t="s">
        <v>780</v>
      </c>
      <c r="O1235" s="513" t="s">
        <v>781</v>
      </c>
      <c r="P1235" s="513" t="s">
        <v>7754</v>
      </c>
      <c r="Q1235" s="518" t="s">
        <v>7101</v>
      </c>
      <c r="R1235" s="152" t="s">
        <v>7755</v>
      </c>
      <c r="S1235" s="152" t="s">
        <v>7777</v>
      </c>
      <c r="T1235" s="152" t="s">
        <v>7756</v>
      </c>
      <c r="U1235" s="152" t="s">
        <v>786</v>
      </c>
    </row>
    <row r="1236" spans="4:21">
      <c r="D1236" s="210"/>
      <c r="G1236" s="152" t="s">
        <v>371</v>
      </c>
      <c r="H1236" s="474" t="s">
        <v>353</v>
      </c>
      <c r="I1236" s="474"/>
      <c r="J1236" s="847">
        <v>59143</v>
      </c>
      <c r="K1236" s="513">
        <v>41.65</v>
      </c>
      <c r="L1236" s="513">
        <v>1420</v>
      </c>
      <c r="M1236" s="152" t="s">
        <v>7143</v>
      </c>
      <c r="N1236" s="513" t="s">
        <v>780</v>
      </c>
      <c r="O1236" s="513" t="s">
        <v>781</v>
      </c>
      <c r="P1236" s="513" t="s">
        <v>7754</v>
      </c>
      <c r="Q1236" s="518" t="s">
        <v>7101</v>
      </c>
      <c r="R1236" s="152" t="s">
        <v>7755</v>
      </c>
      <c r="S1236" s="152" t="s">
        <v>7772</v>
      </c>
      <c r="T1236" s="152" t="s">
        <v>7756</v>
      </c>
      <c r="U1236" s="152" t="s">
        <v>786</v>
      </c>
    </row>
    <row r="1237" spans="4:21">
      <c r="D1237" s="210"/>
      <c r="G1237" s="152" t="s">
        <v>371</v>
      </c>
      <c r="H1237" s="474" t="s">
        <v>353</v>
      </c>
      <c r="I1237" s="474"/>
      <c r="J1237" s="847">
        <v>63616</v>
      </c>
      <c r="K1237" s="513">
        <v>44.8</v>
      </c>
      <c r="L1237" s="513">
        <v>1420</v>
      </c>
      <c r="M1237" s="152" t="s">
        <v>7143</v>
      </c>
      <c r="N1237" s="513" t="s">
        <v>780</v>
      </c>
      <c r="O1237" s="513" t="s">
        <v>781</v>
      </c>
      <c r="P1237" s="513" t="s">
        <v>7754</v>
      </c>
      <c r="Q1237" s="518" t="s">
        <v>7101</v>
      </c>
      <c r="R1237" s="152" t="s">
        <v>7755</v>
      </c>
      <c r="S1237" s="152" t="s">
        <v>7776</v>
      </c>
      <c r="T1237" s="152" t="s">
        <v>7756</v>
      </c>
      <c r="U1237" s="152" t="s">
        <v>786</v>
      </c>
    </row>
    <row r="1238" spans="4:21">
      <c r="D1238" s="210"/>
      <c r="G1238" s="152" t="s">
        <v>371</v>
      </c>
      <c r="H1238" s="474" t="s">
        <v>353</v>
      </c>
      <c r="I1238" s="474"/>
      <c r="J1238" s="847">
        <v>69182.399999999994</v>
      </c>
      <c r="K1238" s="513">
        <v>48.72</v>
      </c>
      <c r="L1238" s="513">
        <v>1420</v>
      </c>
      <c r="M1238" s="152" t="s">
        <v>7143</v>
      </c>
      <c r="N1238" s="513" t="s">
        <v>780</v>
      </c>
      <c r="O1238" s="513" t="s">
        <v>781</v>
      </c>
      <c r="P1238" s="513" t="s">
        <v>7754</v>
      </c>
      <c r="Q1238" s="518" t="s">
        <v>7101</v>
      </c>
      <c r="R1238" s="152" t="s">
        <v>7755</v>
      </c>
      <c r="S1238" s="152" t="s">
        <v>7766</v>
      </c>
      <c r="T1238" s="152" t="s">
        <v>7756</v>
      </c>
      <c r="U1238" s="152" t="s">
        <v>786</v>
      </c>
    </row>
    <row r="1239" spans="4:21">
      <c r="D1239" s="210"/>
      <c r="G1239" s="152" t="s">
        <v>371</v>
      </c>
      <c r="H1239" s="474" t="s">
        <v>353</v>
      </c>
      <c r="I1239" s="474"/>
      <c r="J1239" s="847">
        <v>63985.2</v>
      </c>
      <c r="K1239" s="513">
        <v>45.06</v>
      </c>
      <c r="L1239" s="513">
        <v>1420</v>
      </c>
      <c r="M1239" s="152" t="s">
        <v>7143</v>
      </c>
      <c r="N1239" s="513" t="s">
        <v>780</v>
      </c>
      <c r="O1239" s="513" t="s">
        <v>781</v>
      </c>
      <c r="P1239" s="513" t="s">
        <v>7754</v>
      </c>
      <c r="Q1239" s="518" t="s">
        <v>7101</v>
      </c>
      <c r="R1239" s="152" t="s">
        <v>7755</v>
      </c>
      <c r="S1239" s="152" t="s">
        <v>7784</v>
      </c>
      <c r="T1239" s="152" t="s">
        <v>7756</v>
      </c>
      <c r="U1239" s="152" t="s">
        <v>786</v>
      </c>
    </row>
    <row r="1240" spans="4:21">
      <c r="D1240" s="210"/>
      <c r="G1240" s="152" t="s">
        <v>371</v>
      </c>
      <c r="H1240" s="474" t="s">
        <v>353</v>
      </c>
      <c r="I1240" s="474"/>
      <c r="J1240" s="847">
        <v>89332.2</v>
      </c>
      <c r="K1240" s="513">
        <v>62.91</v>
      </c>
      <c r="L1240" s="513">
        <v>1420</v>
      </c>
      <c r="M1240" s="152" t="s">
        <v>7143</v>
      </c>
      <c r="N1240" s="513" t="s">
        <v>780</v>
      </c>
      <c r="O1240" s="513" t="s">
        <v>781</v>
      </c>
      <c r="P1240" s="513" t="s">
        <v>7754</v>
      </c>
      <c r="Q1240" s="518" t="s">
        <v>7101</v>
      </c>
      <c r="R1240" s="152" t="s">
        <v>7755</v>
      </c>
      <c r="S1240" s="152" t="s">
        <v>7788</v>
      </c>
      <c r="T1240" s="152" t="s">
        <v>7756</v>
      </c>
      <c r="U1240" s="152" t="s">
        <v>786</v>
      </c>
    </row>
    <row r="1241" spans="4:21">
      <c r="D1241" s="210"/>
      <c r="G1241" s="152" t="s">
        <v>371</v>
      </c>
      <c r="H1241" s="474" t="s">
        <v>353</v>
      </c>
      <c r="I1241" s="474"/>
      <c r="J1241" s="847">
        <v>100252</v>
      </c>
      <c r="K1241" s="513">
        <v>70.599999999999994</v>
      </c>
      <c r="L1241" s="513">
        <v>1420</v>
      </c>
      <c r="M1241" s="152" t="s">
        <v>7143</v>
      </c>
      <c r="N1241" s="513" t="s">
        <v>780</v>
      </c>
      <c r="O1241" s="513" t="s">
        <v>781</v>
      </c>
      <c r="P1241" s="513" t="s">
        <v>7754</v>
      </c>
      <c r="Q1241" s="518" t="s">
        <v>7101</v>
      </c>
      <c r="R1241" s="152" t="s">
        <v>7755</v>
      </c>
      <c r="S1241" s="152" t="s">
        <v>7786</v>
      </c>
      <c r="T1241" s="152" t="s">
        <v>7756</v>
      </c>
      <c r="U1241" s="152" t="s">
        <v>786</v>
      </c>
    </row>
    <row r="1242" spans="4:21">
      <c r="D1242" s="210"/>
      <c r="G1242" s="152" t="s">
        <v>371</v>
      </c>
      <c r="H1242" s="474" t="s">
        <v>353</v>
      </c>
      <c r="I1242" s="474"/>
      <c r="J1242" s="847">
        <v>77035</v>
      </c>
      <c r="K1242" s="513">
        <v>54.25</v>
      </c>
      <c r="L1242" s="513">
        <v>1420</v>
      </c>
      <c r="M1242" s="152" t="s">
        <v>7143</v>
      </c>
      <c r="N1242" s="513" t="s">
        <v>780</v>
      </c>
      <c r="O1242" s="513" t="s">
        <v>781</v>
      </c>
      <c r="P1242" s="513" t="s">
        <v>7754</v>
      </c>
      <c r="Q1242" s="518" t="s">
        <v>7101</v>
      </c>
      <c r="R1242" s="152" t="s">
        <v>7755</v>
      </c>
      <c r="S1242" s="152" t="s">
        <v>7785</v>
      </c>
      <c r="T1242" s="152" t="s">
        <v>7756</v>
      </c>
      <c r="U1242" s="152" t="s">
        <v>786</v>
      </c>
    </row>
    <row r="1243" spans="4:21">
      <c r="D1243" s="210"/>
      <c r="G1243" s="152" t="s">
        <v>371</v>
      </c>
      <c r="H1243" s="474" t="s">
        <v>353</v>
      </c>
      <c r="I1243" s="474"/>
      <c r="J1243" s="847">
        <v>73655.399999999994</v>
      </c>
      <c r="K1243" s="513">
        <v>51.87</v>
      </c>
      <c r="L1243" s="513">
        <v>1420</v>
      </c>
      <c r="M1243" s="152" t="s">
        <v>7143</v>
      </c>
      <c r="N1243" s="513" t="s">
        <v>780</v>
      </c>
      <c r="O1243" s="513" t="s">
        <v>781</v>
      </c>
      <c r="P1243" s="513" t="s">
        <v>7754</v>
      </c>
      <c r="Q1243" s="518" t="s">
        <v>7101</v>
      </c>
      <c r="R1243" s="152" t="s">
        <v>7755</v>
      </c>
      <c r="S1243" s="152" t="s">
        <v>7787</v>
      </c>
      <c r="T1243" s="152" t="s">
        <v>7756</v>
      </c>
      <c r="U1243" s="152" t="s">
        <v>786</v>
      </c>
    </row>
    <row r="1244" spans="4:21">
      <c r="D1244" s="210"/>
      <c r="G1244" s="152" t="s">
        <v>371</v>
      </c>
      <c r="H1244" s="474" t="s">
        <v>353</v>
      </c>
      <c r="I1244" s="474"/>
      <c r="J1244" s="847">
        <v>122262</v>
      </c>
      <c r="K1244" s="513">
        <v>86.1</v>
      </c>
      <c r="L1244" s="513">
        <v>1420</v>
      </c>
      <c r="M1244" s="152" t="s">
        <v>7143</v>
      </c>
      <c r="N1244" s="513" t="s">
        <v>780</v>
      </c>
      <c r="O1244" s="513" t="s">
        <v>781</v>
      </c>
      <c r="P1244" s="513" t="s">
        <v>7754</v>
      </c>
      <c r="Q1244" s="518" t="s">
        <v>7101</v>
      </c>
      <c r="R1244" s="152" t="s">
        <v>7755</v>
      </c>
      <c r="S1244" s="152" t="s">
        <v>7759</v>
      </c>
      <c r="T1244" s="152" t="s">
        <v>7756</v>
      </c>
      <c r="U1244" s="152" t="s">
        <v>786</v>
      </c>
    </row>
    <row r="1245" spans="4:21">
      <c r="D1245" s="210"/>
      <c r="G1245" s="152" t="s">
        <v>371</v>
      </c>
      <c r="H1245" s="474" t="s">
        <v>353</v>
      </c>
      <c r="I1245" s="474"/>
      <c r="J1245" s="847">
        <v>85611.8</v>
      </c>
      <c r="K1245" s="513">
        <v>60.29</v>
      </c>
      <c r="L1245" s="513">
        <v>1420</v>
      </c>
      <c r="M1245" s="152" t="s">
        <v>7143</v>
      </c>
      <c r="N1245" s="513" t="s">
        <v>780</v>
      </c>
      <c r="O1245" s="513" t="s">
        <v>781</v>
      </c>
      <c r="P1245" s="513" t="s">
        <v>7754</v>
      </c>
      <c r="Q1245" s="518" t="s">
        <v>7101</v>
      </c>
      <c r="R1245" s="152" t="s">
        <v>7755</v>
      </c>
      <c r="S1245" s="152" t="s">
        <v>7789</v>
      </c>
      <c r="T1245" s="152" t="s">
        <v>7756</v>
      </c>
      <c r="U1245" s="152" t="s">
        <v>786</v>
      </c>
    </row>
    <row r="1246" spans="4:21">
      <c r="D1246" s="210"/>
      <c r="G1246" s="152" t="s">
        <v>371</v>
      </c>
      <c r="H1246" s="474" t="s">
        <v>353</v>
      </c>
      <c r="I1246" s="474"/>
      <c r="J1246" s="847">
        <v>81863</v>
      </c>
      <c r="K1246" s="513">
        <v>57.65</v>
      </c>
      <c r="L1246" s="513">
        <v>1420</v>
      </c>
      <c r="M1246" s="152" t="s">
        <v>7143</v>
      </c>
      <c r="N1246" s="513" t="s">
        <v>780</v>
      </c>
      <c r="O1246" s="513" t="s">
        <v>781</v>
      </c>
      <c r="P1246" s="513" t="s">
        <v>7754</v>
      </c>
      <c r="Q1246" s="518" t="s">
        <v>7101</v>
      </c>
      <c r="R1246" s="152" t="s">
        <v>7755</v>
      </c>
      <c r="S1246" s="152" t="s">
        <v>7790</v>
      </c>
      <c r="T1246" s="152" t="s">
        <v>7756</v>
      </c>
      <c r="U1246" s="152" t="s">
        <v>786</v>
      </c>
    </row>
    <row r="1247" spans="4:21">
      <c r="D1247" s="210"/>
      <c r="G1247" s="152" t="s">
        <v>371</v>
      </c>
      <c r="H1247" s="474" t="s">
        <v>353</v>
      </c>
      <c r="I1247" s="474"/>
      <c r="J1247" s="847">
        <v>472647</v>
      </c>
      <c r="K1247" s="513">
        <v>332.85</v>
      </c>
      <c r="L1247" s="513">
        <v>1420</v>
      </c>
      <c r="M1247" s="152" t="s">
        <v>7143</v>
      </c>
      <c r="N1247" s="513" t="s">
        <v>780</v>
      </c>
      <c r="O1247" s="513" t="s">
        <v>781</v>
      </c>
      <c r="P1247" s="513" t="s">
        <v>7754</v>
      </c>
      <c r="Q1247" s="518" t="s">
        <v>7101</v>
      </c>
      <c r="R1247" s="152" t="s">
        <v>7755</v>
      </c>
      <c r="S1247" s="152" t="s">
        <v>7779</v>
      </c>
      <c r="T1247" s="152" t="s">
        <v>7756</v>
      </c>
      <c r="U1247" s="152" t="s">
        <v>786</v>
      </c>
    </row>
    <row r="1248" spans="4:21">
      <c r="D1248" s="210"/>
      <c r="G1248" s="152" t="s">
        <v>371</v>
      </c>
      <c r="H1248" s="474" t="s">
        <v>353</v>
      </c>
      <c r="I1248" s="474"/>
      <c r="J1248" s="847">
        <v>111086.6</v>
      </c>
      <c r="K1248" s="513">
        <v>78.23</v>
      </c>
      <c r="L1248" s="513">
        <v>1420</v>
      </c>
      <c r="M1248" s="152" t="s">
        <v>7143</v>
      </c>
      <c r="N1248" s="513" t="s">
        <v>780</v>
      </c>
      <c r="O1248" s="513" t="s">
        <v>781</v>
      </c>
      <c r="P1248" s="513" t="s">
        <v>7754</v>
      </c>
      <c r="Q1248" s="518" t="s">
        <v>7101</v>
      </c>
      <c r="R1248" s="152" t="s">
        <v>7755</v>
      </c>
      <c r="S1248" s="152" t="s">
        <v>7781</v>
      </c>
      <c r="T1248" s="152" t="s">
        <v>7756</v>
      </c>
      <c r="U1248" s="152" t="s">
        <v>786</v>
      </c>
    </row>
    <row r="1249" spans="4:21">
      <c r="D1249" s="210"/>
      <c r="G1249" s="152" t="s">
        <v>371</v>
      </c>
      <c r="H1249" s="474" t="s">
        <v>353</v>
      </c>
      <c r="I1249" s="474"/>
      <c r="J1249" s="847">
        <v>56800</v>
      </c>
      <c r="K1249" s="513">
        <v>40</v>
      </c>
      <c r="L1249" s="513">
        <v>1420</v>
      </c>
      <c r="M1249" s="152" t="s">
        <v>7143</v>
      </c>
      <c r="N1249" s="513" t="s">
        <v>780</v>
      </c>
      <c r="O1249" s="513" t="s">
        <v>781</v>
      </c>
      <c r="P1249" s="513" t="s">
        <v>7792</v>
      </c>
      <c r="Q1249" s="518" t="s">
        <v>7101</v>
      </c>
      <c r="R1249" s="152" t="s">
        <v>7793</v>
      </c>
      <c r="S1249" s="152" t="s">
        <v>7789</v>
      </c>
      <c r="T1249" s="152" t="s">
        <v>7794</v>
      </c>
      <c r="U1249" s="152" t="s">
        <v>786</v>
      </c>
    </row>
    <row r="1250" spans="4:21">
      <c r="D1250" s="210"/>
      <c r="G1250" s="152" t="s">
        <v>371</v>
      </c>
      <c r="H1250" s="474" t="s">
        <v>353</v>
      </c>
      <c r="I1250" s="474"/>
      <c r="J1250" s="847">
        <v>156200</v>
      </c>
      <c r="K1250" s="513">
        <v>110</v>
      </c>
      <c r="L1250" s="513">
        <v>1420</v>
      </c>
      <c r="M1250" s="152" t="s">
        <v>7143</v>
      </c>
      <c r="N1250" s="513" t="s">
        <v>780</v>
      </c>
      <c r="O1250" s="513" t="s">
        <v>781</v>
      </c>
      <c r="P1250" s="513" t="s">
        <v>7792</v>
      </c>
      <c r="Q1250" s="518" t="s">
        <v>7101</v>
      </c>
      <c r="R1250" s="152" t="s">
        <v>7793</v>
      </c>
      <c r="S1250" s="152" t="s">
        <v>7778</v>
      </c>
      <c r="T1250" s="152" t="s">
        <v>7794</v>
      </c>
      <c r="U1250" s="152" t="s">
        <v>786</v>
      </c>
    </row>
    <row r="1251" spans="4:21">
      <c r="D1251" s="210"/>
      <c r="G1251" s="152" t="s">
        <v>371</v>
      </c>
      <c r="H1251" s="474" t="s">
        <v>353</v>
      </c>
      <c r="I1251" s="474"/>
      <c r="J1251" s="847">
        <v>2160187.5</v>
      </c>
      <c r="K1251" s="513">
        <v>1537.5</v>
      </c>
      <c r="L1251" s="513">
        <v>1405</v>
      </c>
      <c r="M1251" s="152" t="s">
        <v>7143</v>
      </c>
      <c r="N1251" s="513" t="s">
        <v>1540</v>
      </c>
      <c r="O1251" s="513" t="s">
        <v>781</v>
      </c>
      <c r="P1251" s="513" t="s">
        <v>8292</v>
      </c>
      <c r="Q1251" s="518" t="s">
        <v>8091</v>
      </c>
      <c r="R1251" s="152" t="s">
        <v>8293</v>
      </c>
      <c r="T1251" s="152" t="s">
        <v>8294</v>
      </c>
      <c r="U1251" s="152" t="s">
        <v>786</v>
      </c>
    </row>
    <row r="1252" spans="4:21">
      <c r="D1252" s="210"/>
      <c r="G1252" s="152" t="s">
        <v>371</v>
      </c>
      <c r="H1252" s="474" t="s">
        <v>353</v>
      </c>
      <c r="I1252" s="474"/>
      <c r="J1252" s="847">
        <v>4060450</v>
      </c>
      <c r="K1252" s="513">
        <v>2890</v>
      </c>
      <c r="L1252" s="513">
        <v>1405</v>
      </c>
      <c r="M1252" s="152" t="s">
        <v>7143</v>
      </c>
      <c r="N1252" s="513" t="s">
        <v>1540</v>
      </c>
      <c r="O1252" s="513" t="s">
        <v>781</v>
      </c>
      <c r="P1252" s="513" t="s">
        <v>8295</v>
      </c>
      <c r="Q1252" s="518" t="s">
        <v>8091</v>
      </c>
      <c r="R1252" s="152" t="s">
        <v>8296</v>
      </c>
      <c r="T1252" s="152" t="s">
        <v>8297</v>
      </c>
      <c r="U1252" s="152" t="s">
        <v>786</v>
      </c>
    </row>
    <row r="1253" spans="4:21">
      <c r="D1253" s="210"/>
      <c r="G1253" s="152" t="s">
        <v>371</v>
      </c>
      <c r="H1253" s="474" t="s">
        <v>353</v>
      </c>
      <c r="I1253" s="474"/>
      <c r="J1253" s="847">
        <v>3147200</v>
      </c>
      <c r="K1253" s="513">
        <v>2240</v>
      </c>
      <c r="L1253" s="513">
        <v>1405</v>
      </c>
      <c r="M1253" s="152" t="s">
        <v>7143</v>
      </c>
      <c r="N1253" s="513" t="s">
        <v>1540</v>
      </c>
      <c r="O1253" s="513" t="s">
        <v>781</v>
      </c>
      <c r="P1253" s="513" t="s">
        <v>8298</v>
      </c>
      <c r="Q1253" s="518" t="s">
        <v>8091</v>
      </c>
      <c r="R1253" s="152" t="s">
        <v>8299</v>
      </c>
      <c r="T1253" s="152" t="s">
        <v>8300</v>
      </c>
      <c r="U1253" s="152" t="s">
        <v>786</v>
      </c>
    </row>
    <row r="1254" spans="4:21">
      <c r="D1254" s="210"/>
      <c r="G1254" s="152" t="s">
        <v>371</v>
      </c>
      <c r="H1254" s="474" t="s">
        <v>353</v>
      </c>
      <c r="I1254" s="474"/>
      <c r="J1254" s="847">
        <v>3140175</v>
      </c>
      <c r="K1254" s="513">
        <v>2235</v>
      </c>
      <c r="L1254" s="513">
        <v>1405</v>
      </c>
      <c r="M1254" s="152" t="s">
        <v>7143</v>
      </c>
      <c r="N1254" s="513" t="s">
        <v>1540</v>
      </c>
      <c r="O1254" s="513" t="s">
        <v>781</v>
      </c>
      <c r="P1254" s="513" t="s">
        <v>8301</v>
      </c>
      <c r="Q1254" s="518" t="s">
        <v>8091</v>
      </c>
      <c r="R1254" s="152" t="s">
        <v>8302</v>
      </c>
      <c r="T1254" s="152" t="s">
        <v>8303</v>
      </c>
      <c r="U1254" s="152" t="s">
        <v>786</v>
      </c>
    </row>
    <row r="1255" spans="4:21">
      <c r="D1255" s="210"/>
      <c r="G1255" s="152" t="s">
        <v>371</v>
      </c>
      <c r="H1255" s="474" t="s">
        <v>353</v>
      </c>
      <c r="I1255" s="474"/>
      <c r="J1255" s="847">
        <v>5581362.5</v>
      </c>
      <c r="K1255" s="513">
        <v>3972.5</v>
      </c>
      <c r="L1255" s="513">
        <v>1405</v>
      </c>
      <c r="M1255" s="152" t="s">
        <v>7143</v>
      </c>
      <c r="N1255" s="513" t="s">
        <v>1540</v>
      </c>
      <c r="O1255" s="513" t="s">
        <v>781</v>
      </c>
      <c r="P1255" s="513" t="s">
        <v>8304</v>
      </c>
      <c r="Q1255" s="518" t="s">
        <v>8091</v>
      </c>
      <c r="R1255" s="152" t="s">
        <v>8305</v>
      </c>
      <c r="T1255" s="152" t="s">
        <v>8306</v>
      </c>
      <c r="U1255" s="152" t="s">
        <v>786</v>
      </c>
    </row>
    <row r="1256" spans="4:21">
      <c r="D1256" s="210"/>
      <c r="G1256" s="152" t="s">
        <v>371</v>
      </c>
      <c r="H1256" s="474" t="s">
        <v>353</v>
      </c>
      <c r="I1256" s="474"/>
      <c r="J1256" s="847">
        <v>4404675</v>
      </c>
      <c r="K1256" s="513">
        <v>3135</v>
      </c>
      <c r="L1256" s="513">
        <v>1405</v>
      </c>
      <c r="M1256" s="152" t="s">
        <v>7143</v>
      </c>
      <c r="N1256" s="513" t="s">
        <v>1540</v>
      </c>
      <c r="O1256" s="513" t="s">
        <v>781</v>
      </c>
      <c r="P1256" s="513" t="s">
        <v>8307</v>
      </c>
      <c r="Q1256" s="518" t="s">
        <v>8091</v>
      </c>
      <c r="R1256" s="152" t="s">
        <v>8308</v>
      </c>
      <c r="T1256" s="152" t="s">
        <v>8309</v>
      </c>
      <c r="U1256" s="152" t="s">
        <v>786</v>
      </c>
    </row>
    <row r="1257" spans="4:21">
      <c r="D1257" s="210"/>
      <c r="G1257" s="152" t="s">
        <v>371</v>
      </c>
      <c r="H1257" s="474" t="s">
        <v>353</v>
      </c>
      <c r="I1257" s="474"/>
      <c r="J1257" s="847">
        <v>1145075</v>
      </c>
      <c r="K1257" s="513">
        <v>815</v>
      </c>
      <c r="L1257" s="513">
        <v>1405</v>
      </c>
      <c r="M1257" s="152" t="s">
        <v>7143</v>
      </c>
      <c r="N1257" s="513" t="s">
        <v>1540</v>
      </c>
      <c r="O1257" s="513" t="s">
        <v>781</v>
      </c>
      <c r="P1257" s="513" t="s">
        <v>8310</v>
      </c>
      <c r="Q1257" s="518" t="s">
        <v>8091</v>
      </c>
      <c r="R1257" s="152" t="s">
        <v>8311</v>
      </c>
      <c r="T1257" s="152" t="s">
        <v>8312</v>
      </c>
      <c r="U1257" s="152" t="s">
        <v>786</v>
      </c>
    </row>
    <row r="1258" spans="4:21">
      <c r="D1258" s="210"/>
      <c r="G1258" s="152" t="s">
        <v>371</v>
      </c>
      <c r="H1258" s="474" t="s">
        <v>353</v>
      </c>
      <c r="I1258" s="474"/>
      <c r="J1258" s="847">
        <v>1503350</v>
      </c>
      <c r="K1258" s="513">
        <v>1070</v>
      </c>
      <c r="L1258" s="513">
        <v>1405</v>
      </c>
      <c r="M1258" s="152" t="s">
        <v>7143</v>
      </c>
      <c r="N1258" s="513" t="s">
        <v>1540</v>
      </c>
      <c r="O1258" s="513" t="s">
        <v>781</v>
      </c>
      <c r="P1258" s="513" t="s">
        <v>8313</v>
      </c>
      <c r="Q1258" s="518" t="s">
        <v>8091</v>
      </c>
      <c r="R1258" s="152" t="s">
        <v>8314</v>
      </c>
      <c r="T1258" s="152" t="s">
        <v>8315</v>
      </c>
      <c r="U1258" s="152" t="s">
        <v>786</v>
      </c>
    </row>
    <row r="1259" spans="4:21">
      <c r="D1259" s="210"/>
      <c r="G1259" s="152" t="s">
        <v>371</v>
      </c>
      <c r="H1259" s="474" t="s">
        <v>353</v>
      </c>
      <c r="I1259" s="474"/>
      <c r="J1259" s="847">
        <v>1967000</v>
      </c>
      <c r="K1259" s="513">
        <v>1400</v>
      </c>
      <c r="L1259" s="513">
        <v>1405</v>
      </c>
      <c r="M1259" s="152" t="s">
        <v>7143</v>
      </c>
      <c r="N1259" s="513" t="s">
        <v>1540</v>
      </c>
      <c r="O1259" s="513" t="s">
        <v>781</v>
      </c>
      <c r="P1259" s="513" t="s">
        <v>8316</v>
      </c>
      <c r="Q1259" s="518" t="s">
        <v>8091</v>
      </c>
      <c r="R1259" s="152" t="s">
        <v>8317</v>
      </c>
      <c r="T1259" s="152" t="s">
        <v>8318</v>
      </c>
      <c r="U1259" s="152" t="s">
        <v>786</v>
      </c>
    </row>
    <row r="1260" spans="4:21">
      <c r="D1260" s="210"/>
      <c r="G1260" s="152" t="s">
        <v>371</v>
      </c>
      <c r="H1260" s="474" t="s">
        <v>353</v>
      </c>
      <c r="I1260" s="474"/>
      <c r="J1260" s="847">
        <v>2469287.5</v>
      </c>
      <c r="K1260" s="513">
        <v>1757.5</v>
      </c>
      <c r="L1260" s="513">
        <v>1405</v>
      </c>
      <c r="M1260" s="152" t="s">
        <v>7143</v>
      </c>
      <c r="N1260" s="513" t="s">
        <v>1540</v>
      </c>
      <c r="O1260" s="513" t="s">
        <v>781</v>
      </c>
      <c r="P1260" s="513" t="s">
        <v>8319</v>
      </c>
      <c r="Q1260" s="518" t="s">
        <v>8091</v>
      </c>
      <c r="R1260" s="152" t="s">
        <v>8320</v>
      </c>
      <c r="T1260" s="152" t="s">
        <v>8321</v>
      </c>
      <c r="U1260" s="152" t="s">
        <v>786</v>
      </c>
    </row>
    <row r="1261" spans="4:21">
      <c r="D1261" s="210"/>
      <c r="G1261" s="152" t="s">
        <v>371</v>
      </c>
      <c r="H1261" s="474" t="s">
        <v>353</v>
      </c>
      <c r="I1261" s="474"/>
      <c r="J1261" s="847">
        <v>1671950</v>
      </c>
      <c r="K1261" s="513">
        <v>1190</v>
      </c>
      <c r="L1261" s="513">
        <v>1405</v>
      </c>
      <c r="M1261" s="152" t="s">
        <v>7143</v>
      </c>
      <c r="N1261" s="513" t="s">
        <v>1540</v>
      </c>
      <c r="O1261" s="513" t="s">
        <v>781</v>
      </c>
      <c r="P1261" s="513" t="s">
        <v>8322</v>
      </c>
      <c r="Q1261" s="518" t="s">
        <v>8091</v>
      </c>
      <c r="R1261" s="152" t="s">
        <v>8323</v>
      </c>
      <c r="T1261" s="152" t="s">
        <v>8324</v>
      </c>
      <c r="U1261" s="152" t="s">
        <v>786</v>
      </c>
    </row>
    <row r="1262" spans="4:21">
      <c r="D1262" s="210"/>
      <c r="G1262" s="152" t="s">
        <v>371</v>
      </c>
      <c r="H1262" s="474" t="s">
        <v>353</v>
      </c>
      <c r="I1262" s="474"/>
      <c r="J1262" s="847">
        <v>9638300</v>
      </c>
      <c r="K1262" s="513">
        <v>6860</v>
      </c>
      <c r="L1262" s="513">
        <v>1405</v>
      </c>
      <c r="M1262" s="152" t="s">
        <v>7143</v>
      </c>
      <c r="N1262" s="513" t="s">
        <v>1540</v>
      </c>
      <c r="O1262" s="513" t="s">
        <v>781</v>
      </c>
      <c r="P1262" s="513" t="s">
        <v>8325</v>
      </c>
      <c r="Q1262" s="518" t="s">
        <v>8091</v>
      </c>
      <c r="R1262" s="152" t="s">
        <v>8326</v>
      </c>
      <c r="T1262" s="152" t="s">
        <v>8327</v>
      </c>
      <c r="U1262" s="152" t="s">
        <v>786</v>
      </c>
    </row>
    <row r="1263" spans="4:21">
      <c r="D1263" s="210"/>
      <c r="G1263" s="152" t="s">
        <v>371</v>
      </c>
      <c r="H1263" s="474" t="s">
        <v>353</v>
      </c>
      <c r="I1263" s="474"/>
      <c r="J1263" s="847">
        <v>2023200</v>
      </c>
      <c r="K1263" s="513">
        <v>1440</v>
      </c>
      <c r="L1263" s="513">
        <v>1405</v>
      </c>
      <c r="M1263" s="152" t="s">
        <v>7143</v>
      </c>
      <c r="N1263" s="513" t="s">
        <v>1540</v>
      </c>
      <c r="O1263" s="513" t="s">
        <v>781</v>
      </c>
      <c r="P1263" s="513" t="s">
        <v>8328</v>
      </c>
      <c r="Q1263" s="518" t="s">
        <v>8091</v>
      </c>
      <c r="R1263" s="152" t="s">
        <v>8329</v>
      </c>
      <c r="T1263" s="152" t="s">
        <v>8330</v>
      </c>
      <c r="U1263" s="152" t="s">
        <v>786</v>
      </c>
    </row>
    <row r="1264" spans="4:21">
      <c r="D1264" s="210"/>
      <c r="G1264" s="152" t="s">
        <v>371</v>
      </c>
      <c r="H1264" s="474" t="s">
        <v>353</v>
      </c>
      <c r="I1264" s="474"/>
      <c r="J1264" s="847">
        <v>2525487.5</v>
      </c>
      <c r="K1264" s="513">
        <v>1797.5</v>
      </c>
      <c r="L1264" s="513">
        <v>1405</v>
      </c>
      <c r="M1264" s="152" t="s">
        <v>7143</v>
      </c>
      <c r="N1264" s="513" t="s">
        <v>1540</v>
      </c>
      <c r="O1264" s="513" t="s">
        <v>781</v>
      </c>
      <c r="P1264" s="513" t="s">
        <v>8331</v>
      </c>
      <c r="Q1264" s="518" t="s">
        <v>8091</v>
      </c>
      <c r="R1264" s="152" t="s">
        <v>8332</v>
      </c>
      <c r="T1264" s="152" t="s">
        <v>8333</v>
      </c>
      <c r="U1264" s="152" t="s">
        <v>786</v>
      </c>
    </row>
    <row r="1265" spans="4:21">
      <c r="D1265" s="210"/>
      <c r="G1265" s="152" t="s">
        <v>371</v>
      </c>
      <c r="H1265" s="474" t="s">
        <v>353</v>
      </c>
      <c r="I1265" s="474"/>
      <c r="J1265" s="847">
        <v>2834587.5</v>
      </c>
      <c r="K1265" s="513">
        <v>2017.5</v>
      </c>
      <c r="L1265" s="513">
        <v>1405</v>
      </c>
      <c r="M1265" s="152" t="s">
        <v>7143</v>
      </c>
      <c r="N1265" s="513" t="s">
        <v>1540</v>
      </c>
      <c r="O1265" s="513" t="s">
        <v>781</v>
      </c>
      <c r="P1265" s="513" t="s">
        <v>8334</v>
      </c>
      <c r="Q1265" s="518" t="s">
        <v>8091</v>
      </c>
      <c r="R1265" s="152" t="s">
        <v>8335</v>
      </c>
      <c r="T1265" s="152" t="s">
        <v>8336</v>
      </c>
      <c r="U1265" s="152" t="s">
        <v>786</v>
      </c>
    </row>
    <row r="1266" spans="4:21">
      <c r="D1266" s="210"/>
      <c r="G1266" s="152" t="s">
        <v>371</v>
      </c>
      <c r="H1266" s="474" t="s">
        <v>353</v>
      </c>
      <c r="I1266" s="474"/>
      <c r="J1266" s="847">
        <v>2177750</v>
      </c>
      <c r="K1266" s="513">
        <v>1550</v>
      </c>
      <c r="L1266" s="513">
        <v>1405</v>
      </c>
      <c r="M1266" s="152" t="s">
        <v>7143</v>
      </c>
      <c r="N1266" s="513" t="s">
        <v>1540</v>
      </c>
      <c r="O1266" s="513" t="s">
        <v>781</v>
      </c>
      <c r="P1266" s="513" t="s">
        <v>8337</v>
      </c>
      <c r="Q1266" s="518" t="s">
        <v>8091</v>
      </c>
      <c r="R1266" s="152" t="s">
        <v>8338</v>
      </c>
      <c r="T1266" s="152" t="s">
        <v>8339</v>
      </c>
      <c r="U1266" s="152" t="s">
        <v>786</v>
      </c>
    </row>
    <row r="1267" spans="4:21">
      <c r="D1267" s="210"/>
      <c r="G1267" s="152" t="s">
        <v>371</v>
      </c>
      <c r="H1267" s="474" t="s">
        <v>353</v>
      </c>
      <c r="I1267" s="474"/>
      <c r="J1267" s="847">
        <v>2082210</v>
      </c>
      <c r="K1267" s="513">
        <v>1482</v>
      </c>
      <c r="L1267" s="513">
        <v>1405</v>
      </c>
      <c r="M1267" s="152" t="s">
        <v>7143</v>
      </c>
      <c r="N1267" s="513" t="s">
        <v>1540</v>
      </c>
      <c r="O1267" s="513" t="s">
        <v>781</v>
      </c>
      <c r="P1267" s="513" t="s">
        <v>8340</v>
      </c>
      <c r="Q1267" s="518" t="s">
        <v>8091</v>
      </c>
      <c r="R1267" s="152" t="s">
        <v>8341</v>
      </c>
      <c r="T1267" s="152" t="s">
        <v>8342</v>
      </c>
      <c r="U1267" s="152" t="s">
        <v>786</v>
      </c>
    </row>
    <row r="1268" spans="4:21">
      <c r="D1268" s="210"/>
      <c r="G1268" s="152" t="s">
        <v>371</v>
      </c>
      <c r="H1268" s="474" t="s">
        <v>353</v>
      </c>
      <c r="I1268" s="474"/>
      <c r="J1268" s="847">
        <v>2363912.5</v>
      </c>
      <c r="K1268" s="513">
        <v>1682.5</v>
      </c>
      <c r="L1268" s="513">
        <v>1405</v>
      </c>
      <c r="M1268" s="152" t="s">
        <v>7143</v>
      </c>
      <c r="N1268" s="513" t="s">
        <v>1540</v>
      </c>
      <c r="O1268" s="513" t="s">
        <v>781</v>
      </c>
      <c r="P1268" s="513" t="s">
        <v>8343</v>
      </c>
      <c r="Q1268" s="518" t="s">
        <v>8091</v>
      </c>
      <c r="R1268" s="152" t="s">
        <v>8344</v>
      </c>
      <c r="T1268" s="152" t="s">
        <v>8345</v>
      </c>
      <c r="U1268" s="152" t="s">
        <v>786</v>
      </c>
    </row>
    <row r="1269" spans="4:21">
      <c r="D1269" s="210"/>
      <c r="G1269" s="152" t="s">
        <v>371</v>
      </c>
      <c r="H1269" s="474" t="s">
        <v>353</v>
      </c>
      <c r="I1269" s="474"/>
      <c r="J1269" s="847">
        <v>2314035</v>
      </c>
      <c r="K1269" s="513">
        <v>1647</v>
      </c>
      <c r="L1269" s="513">
        <v>1405</v>
      </c>
      <c r="M1269" s="152" t="s">
        <v>7143</v>
      </c>
      <c r="N1269" s="513" t="s">
        <v>1540</v>
      </c>
      <c r="O1269" s="513" t="s">
        <v>781</v>
      </c>
      <c r="P1269" s="513" t="s">
        <v>8346</v>
      </c>
      <c r="Q1269" s="518" t="s">
        <v>8091</v>
      </c>
      <c r="R1269" s="152" t="s">
        <v>8347</v>
      </c>
      <c r="T1269" s="152" t="s">
        <v>8348</v>
      </c>
      <c r="U1269" s="152" t="s">
        <v>786</v>
      </c>
    </row>
    <row r="1270" spans="4:21">
      <c r="D1270" s="210"/>
      <c r="G1270" s="152" t="s">
        <v>371</v>
      </c>
      <c r="H1270" s="474" t="s">
        <v>353</v>
      </c>
      <c r="I1270" s="474"/>
      <c r="J1270" s="847">
        <v>13504200</v>
      </c>
      <c r="K1270" s="513">
        <v>9510</v>
      </c>
      <c r="L1270" s="513">
        <v>1420</v>
      </c>
      <c r="M1270" s="152" t="s">
        <v>7143</v>
      </c>
      <c r="N1270" s="513" t="s">
        <v>1540</v>
      </c>
      <c r="O1270" s="513" t="s">
        <v>781</v>
      </c>
      <c r="P1270" s="513" t="s">
        <v>8349</v>
      </c>
      <c r="Q1270" s="518" t="s">
        <v>8091</v>
      </c>
      <c r="R1270" s="152" t="s">
        <v>8350</v>
      </c>
      <c r="T1270" s="152" t="s">
        <v>8351</v>
      </c>
      <c r="U1270" s="152" t="s">
        <v>786</v>
      </c>
    </row>
    <row r="1271" spans="4:21">
      <c r="D1271" s="210"/>
      <c r="G1271" s="152" t="s">
        <v>371</v>
      </c>
      <c r="H1271" s="474" t="s">
        <v>353</v>
      </c>
      <c r="I1271" s="474"/>
      <c r="J1271" s="847">
        <v>3170150</v>
      </c>
      <c r="K1271" s="513">
        <v>2232.5</v>
      </c>
      <c r="L1271" s="513">
        <v>1420</v>
      </c>
      <c r="M1271" s="152" t="s">
        <v>7143</v>
      </c>
      <c r="N1271" s="513" t="s">
        <v>1540</v>
      </c>
      <c r="O1271" s="513" t="s">
        <v>781</v>
      </c>
      <c r="P1271" s="513" t="s">
        <v>8352</v>
      </c>
      <c r="Q1271" s="518" t="s">
        <v>8091</v>
      </c>
      <c r="R1271" s="152" t="s">
        <v>8353</v>
      </c>
      <c r="T1271" s="152" t="s">
        <v>8354</v>
      </c>
      <c r="U1271" s="152" t="s">
        <v>786</v>
      </c>
    </row>
    <row r="1272" spans="4:21">
      <c r="D1272" s="210"/>
      <c r="G1272" s="152" t="s">
        <v>371</v>
      </c>
      <c r="H1272" s="474" t="s">
        <v>353</v>
      </c>
      <c r="I1272" s="474"/>
      <c r="J1272" s="847">
        <v>1798400</v>
      </c>
      <c r="K1272" s="513">
        <v>1280</v>
      </c>
      <c r="L1272" s="513">
        <v>1405</v>
      </c>
      <c r="M1272" s="152" t="s">
        <v>7143</v>
      </c>
      <c r="N1272" s="513" t="s">
        <v>1540</v>
      </c>
      <c r="O1272" s="513" t="s">
        <v>781</v>
      </c>
      <c r="P1272" s="513" t="s">
        <v>8355</v>
      </c>
      <c r="Q1272" s="518" t="s">
        <v>8091</v>
      </c>
      <c r="R1272" s="152" t="s">
        <v>8356</v>
      </c>
      <c r="T1272" s="152" t="s">
        <v>8357</v>
      </c>
      <c r="U1272" s="152" t="s">
        <v>786</v>
      </c>
    </row>
    <row r="1273" spans="4:21">
      <c r="D1273" s="210"/>
      <c r="G1273" s="152" t="s">
        <v>371</v>
      </c>
      <c r="H1273" s="474" t="s">
        <v>353</v>
      </c>
      <c r="I1273" s="474"/>
      <c r="J1273" s="847">
        <v>1956462.5</v>
      </c>
      <c r="K1273" s="513">
        <v>1392.5</v>
      </c>
      <c r="L1273" s="513">
        <v>1405</v>
      </c>
      <c r="M1273" s="152" t="s">
        <v>7143</v>
      </c>
      <c r="N1273" s="513" t="s">
        <v>1540</v>
      </c>
      <c r="O1273" s="513" t="s">
        <v>781</v>
      </c>
      <c r="P1273" s="513" t="s">
        <v>8358</v>
      </c>
      <c r="Q1273" s="518" t="s">
        <v>8091</v>
      </c>
      <c r="R1273" s="152" t="s">
        <v>8359</v>
      </c>
      <c r="T1273" s="152" t="s">
        <v>8360</v>
      </c>
      <c r="U1273" s="152" t="s">
        <v>786</v>
      </c>
    </row>
    <row r="1274" spans="4:21">
      <c r="D1274" s="210"/>
      <c r="G1274" s="152" t="s">
        <v>371</v>
      </c>
      <c r="H1274" s="474" t="s">
        <v>353</v>
      </c>
      <c r="I1274" s="474"/>
      <c r="J1274" s="847">
        <v>1808937.5</v>
      </c>
      <c r="K1274" s="513">
        <v>1287.5</v>
      </c>
      <c r="L1274" s="513">
        <v>1405</v>
      </c>
      <c r="M1274" s="152" t="s">
        <v>7143</v>
      </c>
      <c r="N1274" s="513" t="s">
        <v>1540</v>
      </c>
      <c r="O1274" s="513" t="s">
        <v>781</v>
      </c>
      <c r="P1274" s="513" t="s">
        <v>8361</v>
      </c>
      <c r="Q1274" s="518" t="s">
        <v>8091</v>
      </c>
      <c r="R1274" s="152" t="s">
        <v>8362</v>
      </c>
      <c r="T1274" s="152" t="s">
        <v>8363</v>
      </c>
      <c r="U1274" s="152" t="s">
        <v>786</v>
      </c>
    </row>
    <row r="1275" spans="4:21">
      <c r="D1275" s="210"/>
      <c r="G1275" s="152" t="s">
        <v>371</v>
      </c>
      <c r="H1275" s="474" t="s">
        <v>353</v>
      </c>
      <c r="I1275" s="474"/>
      <c r="J1275" s="847">
        <v>1686000</v>
      </c>
      <c r="K1275" s="513">
        <v>1200</v>
      </c>
      <c r="L1275" s="513">
        <v>1405</v>
      </c>
      <c r="M1275" s="152" t="s">
        <v>7143</v>
      </c>
      <c r="N1275" s="513" t="s">
        <v>1540</v>
      </c>
      <c r="O1275" s="513" t="s">
        <v>781</v>
      </c>
      <c r="P1275" s="513" t="s">
        <v>8364</v>
      </c>
      <c r="Q1275" s="518" t="s">
        <v>8091</v>
      </c>
      <c r="R1275" s="152" t="s">
        <v>8365</v>
      </c>
      <c r="T1275" s="152" t="s">
        <v>8366</v>
      </c>
      <c r="U1275" s="152" t="s">
        <v>786</v>
      </c>
    </row>
    <row r="1276" spans="4:21">
      <c r="D1276" s="210"/>
      <c r="G1276" s="152" t="s">
        <v>371</v>
      </c>
      <c r="H1276" s="474" t="s">
        <v>353</v>
      </c>
      <c r="I1276" s="474"/>
      <c r="J1276" s="847">
        <v>2420112.5</v>
      </c>
      <c r="K1276" s="513">
        <v>1722.5</v>
      </c>
      <c r="L1276" s="513">
        <v>1405</v>
      </c>
      <c r="M1276" s="152" t="s">
        <v>7143</v>
      </c>
      <c r="N1276" s="513" t="s">
        <v>1540</v>
      </c>
      <c r="O1276" s="513" t="s">
        <v>781</v>
      </c>
      <c r="P1276" s="513" t="s">
        <v>8367</v>
      </c>
      <c r="Q1276" s="518" t="s">
        <v>8091</v>
      </c>
      <c r="R1276" s="152" t="s">
        <v>8368</v>
      </c>
      <c r="T1276" s="152" t="s">
        <v>8369</v>
      </c>
      <c r="U1276" s="152" t="s">
        <v>786</v>
      </c>
    </row>
    <row r="1277" spans="4:21">
      <c r="D1277" s="210"/>
      <c r="G1277" s="152" t="s">
        <v>371</v>
      </c>
      <c r="H1277" s="474" t="s">
        <v>353</v>
      </c>
      <c r="I1277" s="474"/>
      <c r="J1277" s="847">
        <v>2044275</v>
      </c>
      <c r="K1277" s="513">
        <v>1455</v>
      </c>
      <c r="L1277" s="513">
        <v>1405</v>
      </c>
      <c r="M1277" s="152" t="s">
        <v>7143</v>
      </c>
      <c r="N1277" s="513" t="s">
        <v>1540</v>
      </c>
      <c r="O1277" s="513" t="s">
        <v>781</v>
      </c>
      <c r="P1277" s="513" t="s">
        <v>8370</v>
      </c>
      <c r="Q1277" s="518" t="s">
        <v>8091</v>
      </c>
      <c r="R1277" s="152" t="s">
        <v>8371</v>
      </c>
      <c r="T1277" s="152" t="s">
        <v>8372</v>
      </c>
      <c r="U1277" s="152" t="s">
        <v>786</v>
      </c>
    </row>
    <row r="1278" spans="4:21">
      <c r="D1278" s="210"/>
      <c r="G1278" s="152" t="s">
        <v>371</v>
      </c>
      <c r="H1278" s="474" t="s">
        <v>353</v>
      </c>
      <c r="I1278" s="474"/>
      <c r="J1278" s="847">
        <v>3456300</v>
      </c>
      <c r="K1278" s="513">
        <v>2460</v>
      </c>
      <c r="L1278" s="513">
        <v>1405</v>
      </c>
      <c r="M1278" s="152" t="s">
        <v>7143</v>
      </c>
      <c r="N1278" s="513" t="s">
        <v>1540</v>
      </c>
      <c r="O1278" s="513" t="s">
        <v>781</v>
      </c>
      <c r="P1278" s="513" t="s">
        <v>8373</v>
      </c>
      <c r="Q1278" s="518" t="s">
        <v>8091</v>
      </c>
      <c r="R1278" s="152" t="s">
        <v>8374</v>
      </c>
      <c r="T1278" s="152" t="s">
        <v>8375</v>
      </c>
      <c r="U1278" s="152" t="s">
        <v>786</v>
      </c>
    </row>
    <row r="1279" spans="4:21">
      <c r="D1279" s="210"/>
      <c r="G1279" s="152" t="s">
        <v>371</v>
      </c>
      <c r="H1279" s="474" t="s">
        <v>353</v>
      </c>
      <c r="I1279" s="474"/>
      <c r="J1279" s="847">
        <v>2949797.5</v>
      </c>
      <c r="K1279" s="513">
        <v>2099.5</v>
      </c>
      <c r="L1279" s="513">
        <v>1405</v>
      </c>
      <c r="M1279" s="152" t="s">
        <v>7143</v>
      </c>
      <c r="N1279" s="513" t="s">
        <v>1540</v>
      </c>
      <c r="O1279" s="513" t="s">
        <v>781</v>
      </c>
      <c r="P1279" s="513" t="s">
        <v>8376</v>
      </c>
      <c r="Q1279" s="518" t="s">
        <v>8091</v>
      </c>
      <c r="R1279" s="152" t="s">
        <v>8377</v>
      </c>
      <c r="T1279" s="152" t="s">
        <v>8378</v>
      </c>
      <c r="U1279" s="152" t="s">
        <v>786</v>
      </c>
    </row>
    <row r="1280" spans="4:21">
      <c r="D1280" s="210"/>
      <c r="G1280" s="152" t="s">
        <v>371</v>
      </c>
      <c r="H1280" s="474" t="s">
        <v>353</v>
      </c>
      <c r="I1280" s="474"/>
      <c r="J1280" s="847">
        <v>2767850</v>
      </c>
      <c r="K1280" s="513">
        <v>1970</v>
      </c>
      <c r="L1280" s="513">
        <v>1405</v>
      </c>
      <c r="M1280" s="152" t="s">
        <v>7143</v>
      </c>
      <c r="N1280" s="513" t="s">
        <v>1540</v>
      </c>
      <c r="O1280" s="513" t="s">
        <v>781</v>
      </c>
      <c r="P1280" s="513" t="s">
        <v>8379</v>
      </c>
      <c r="Q1280" s="518" t="s">
        <v>8091</v>
      </c>
      <c r="R1280" s="152" t="s">
        <v>8380</v>
      </c>
      <c r="T1280" s="152" t="s">
        <v>8381</v>
      </c>
      <c r="U1280" s="152" t="s">
        <v>786</v>
      </c>
    </row>
    <row r="1281" spans="4:21">
      <c r="D1281" s="210"/>
      <c r="G1281" s="152" t="s">
        <v>371</v>
      </c>
      <c r="H1281" s="474" t="s">
        <v>353</v>
      </c>
      <c r="I1281" s="474"/>
      <c r="J1281" s="847">
        <v>-334390</v>
      </c>
      <c r="K1281" s="513">
        <v>-238</v>
      </c>
      <c r="L1281" s="513">
        <v>1405</v>
      </c>
      <c r="M1281" s="152" t="s">
        <v>7108</v>
      </c>
      <c r="N1281" s="513" t="s">
        <v>780</v>
      </c>
      <c r="O1281" s="513" t="s">
        <v>1407</v>
      </c>
      <c r="P1281" s="513" t="s">
        <v>7245</v>
      </c>
      <c r="Q1281" s="518" t="s">
        <v>7101</v>
      </c>
      <c r="R1281" s="152" t="s">
        <v>7246</v>
      </c>
      <c r="S1281" s="152" t="s">
        <v>7247</v>
      </c>
      <c r="T1281" s="152" t="s">
        <v>7248</v>
      </c>
      <c r="U1281" s="152" t="s">
        <v>786</v>
      </c>
    </row>
    <row r="1282" spans="4:21">
      <c r="D1282" s="210"/>
      <c r="G1282" s="152" t="s">
        <v>371</v>
      </c>
      <c r="H1282" s="474" t="s">
        <v>353</v>
      </c>
      <c r="I1282" s="474"/>
      <c r="J1282" s="847">
        <v>-4251530</v>
      </c>
      <c r="K1282" s="513">
        <v>-3026</v>
      </c>
      <c r="L1282" s="513">
        <v>1405</v>
      </c>
      <c r="M1282" s="152" t="s">
        <v>7108</v>
      </c>
      <c r="N1282" s="513" t="s">
        <v>780</v>
      </c>
      <c r="O1282" s="513" t="s">
        <v>1407</v>
      </c>
      <c r="P1282" s="513" t="s">
        <v>7245</v>
      </c>
      <c r="Q1282" s="518" t="s">
        <v>7101</v>
      </c>
      <c r="R1282" s="152" t="s">
        <v>7246</v>
      </c>
      <c r="S1282" s="152" t="s">
        <v>7249</v>
      </c>
      <c r="T1282" s="152" t="s">
        <v>7248</v>
      </c>
      <c r="U1282" s="152" t="s">
        <v>786</v>
      </c>
    </row>
    <row r="1283" spans="4:21">
      <c r="D1283" s="210"/>
      <c r="G1283" s="152" t="s">
        <v>371</v>
      </c>
      <c r="H1283" s="474" t="s">
        <v>353</v>
      </c>
      <c r="I1283" s="474"/>
      <c r="J1283" s="847">
        <v>-334390</v>
      </c>
      <c r="K1283" s="513">
        <v>-238</v>
      </c>
      <c r="L1283" s="513">
        <v>1405</v>
      </c>
      <c r="M1283" s="152" t="s">
        <v>7108</v>
      </c>
      <c r="N1283" s="513" t="s">
        <v>780</v>
      </c>
      <c r="O1283" s="513" t="s">
        <v>1407</v>
      </c>
      <c r="P1283" s="513" t="s">
        <v>7245</v>
      </c>
      <c r="Q1283" s="518" t="s">
        <v>7101</v>
      </c>
      <c r="R1283" s="152" t="s">
        <v>7246</v>
      </c>
      <c r="S1283" s="152" t="s">
        <v>7250</v>
      </c>
      <c r="T1283" s="152" t="s">
        <v>7248</v>
      </c>
      <c r="U1283" s="152" t="s">
        <v>786</v>
      </c>
    </row>
    <row r="1284" spans="4:21">
      <c r="D1284" s="210"/>
      <c r="G1284" s="152" t="s">
        <v>371</v>
      </c>
      <c r="H1284" s="474" t="s">
        <v>353</v>
      </c>
      <c r="I1284" s="474"/>
      <c r="J1284" s="847">
        <v>-1371280</v>
      </c>
      <c r="K1284" s="513">
        <v>-976</v>
      </c>
      <c r="L1284" s="513">
        <v>1405</v>
      </c>
      <c r="M1284" s="152" t="s">
        <v>7108</v>
      </c>
      <c r="N1284" s="513" t="s">
        <v>780</v>
      </c>
      <c r="O1284" s="513" t="s">
        <v>1407</v>
      </c>
      <c r="P1284" s="513" t="s">
        <v>7245</v>
      </c>
      <c r="Q1284" s="518" t="s">
        <v>7101</v>
      </c>
      <c r="R1284" s="152" t="s">
        <v>7246</v>
      </c>
      <c r="S1284" s="152" t="s">
        <v>7250</v>
      </c>
      <c r="T1284" s="152" t="s">
        <v>7248</v>
      </c>
      <c r="U1284" s="152" t="s">
        <v>786</v>
      </c>
    </row>
    <row r="1285" spans="4:21">
      <c r="D1285" s="210"/>
      <c r="G1285" s="152" t="s">
        <v>371</v>
      </c>
      <c r="H1285" s="474" t="s">
        <v>353</v>
      </c>
      <c r="I1285" s="474"/>
      <c r="J1285" s="847">
        <v>-1405000</v>
      </c>
      <c r="K1285" s="513">
        <v>-1000</v>
      </c>
      <c r="L1285" s="513">
        <v>1405</v>
      </c>
      <c r="M1285" s="152" t="s">
        <v>7108</v>
      </c>
      <c r="N1285" s="513" t="s">
        <v>780</v>
      </c>
      <c r="O1285" s="513" t="s">
        <v>1407</v>
      </c>
      <c r="P1285" s="513" t="s">
        <v>7245</v>
      </c>
      <c r="Q1285" s="518" t="s">
        <v>7101</v>
      </c>
      <c r="R1285" s="152" t="s">
        <v>7246</v>
      </c>
      <c r="S1285" s="152" t="s">
        <v>7251</v>
      </c>
      <c r="T1285" s="152" t="s">
        <v>7248</v>
      </c>
      <c r="U1285" s="152" t="s">
        <v>786</v>
      </c>
    </row>
    <row r="1286" spans="4:21">
      <c r="D1286" s="210"/>
      <c r="G1286" s="152" t="s">
        <v>371</v>
      </c>
      <c r="H1286" s="474" t="s">
        <v>353</v>
      </c>
      <c r="I1286" s="474"/>
      <c r="J1286" s="847">
        <v>-421500</v>
      </c>
      <c r="K1286" s="513">
        <v>-300</v>
      </c>
      <c r="L1286" s="513">
        <v>1405</v>
      </c>
      <c r="M1286" s="152" t="s">
        <v>7108</v>
      </c>
      <c r="N1286" s="513" t="s">
        <v>780</v>
      </c>
      <c r="O1286" s="513" t="s">
        <v>1407</v>
      </c>
      <c r="P1286" s="513" t="s">
        <v>7245</v>
      </c>
      <c r="Q1286" s="518" t="s">
        <v>7101</v>
      </c>
      <c r="R1286" s="152" t="s">
        <v>7246</v>
      </c>
      <c r="S1286" s="152" t="s">
        <v>7252</v>
      </c>
      <c r="T1286" s="152" t="s">
        <v>7248</v>
      </c>
      <c r="U1286" s="152" t="s">
        <v>786</v>
      </c>
    </row>
    <row r="1287" spans="4:21">
      <c r="D1287" s="210"/>
      <c r="G1287" s="152" t="s">
        <v>371</v>
      </c>
      <c r="H1287" s="474" t="s">
        <v>353</v>
      </c>
      <c r="I1287" s="474"/>
      <c r="J1287" s="847">
        <v>-1124000</v>
      </c>
      <c r="K1287" s="513">
        <v>-800</v>
      </c>
      <c r="L1287" s="513">
        <v>1405</v>
      </c>
      <c r="M1287" s="152" t="s">
        <v>7108</v>
      </c>
      <c r="N1287" s="513" t="s">
        <v>780</v>
      </c>
      <c r="O1287" s="513" t="s">
        <v>1407</v>
      </c>
      <c r="P1287" s="513" t="s">
        <v>7245</v>
      </c>
      <c r="Q1287" s="518" t="s">
        <v>7101</v>
      </c>
      <c r="R1287" s="152" t="s">
        <v>7246</v>
      </c>
      <c r="S1287" s="152" t="s">
        <v>7254</v>
      </c>
      <c r="T1287" s="152" t="s">
        <v>7248</v>
      </c>
      <c r="U1287" s="152" t="s">
        <v>786</v>
      </c>
    </row>
    <row r="1288" spans="4:21">
      <c r="D1288" s="210"/>
      <c r="G1288" s="152" t="s">
        <v>371</v>
      </c>
      <c r="H1288" s="474" t="s">
        <v>353</v>
      </c>
      <c r="I1288" s="474"/>
      <c r="J1288" s="847">
        <v>-36530000</v>
      </c>
      <c r="K1288" s="513">
        <v>-26000</v>
      </c>
      <c r="L1288" s="513">
        <v>1405</v>
      </c>
      <c r="M1288" s="152" t="s">
        <v>7108</v>
      </c>
      <c r="N1288" s="513" t="s">
        <v>780</v>
      </c>
      <c r="O1288" s="513" t="s">
        <v>1407</v>
      </c>
      <c r="P1288" s="513" t="s">
        <v>7245</v>
      </c>
      <c r="Q1288" s="518" t="s">
        <v>7101</v>
      </c>
      <c r="R1288" s="152" t="s">
        <v>7246</v>
      </c>
      <c r="S1288" s="152" t="s">
        <v>7256</v>
      </c>
      <c r="T1288" s="152" t="s">
        <v>7248</v>
      </c>
      <c r="U1288" s="152" t="s">
        <v>786</v>
      </c>
    </row>
    <row r="1289" spans="4:21">
      <c r="D1289" s="210"/>
      <c r="G1289" s="152" t="s">
        <v>371</v>
      </c>
      <c r="H1289" s="474" t="s">
        <v>353</v>
      </c>
      <c r="I1289" s="474"/>
      <c r="J1289" s="847">
        <v>-55380000</v>
      </c>
      <c r="K1289" s="513">
        <v>-39000</v>
      </c>
      <c r="L1289" s="513">
        <v>1420</v>
      </c>
      <c r="M1289" s="152" t="s">
        <v>7276</v>
      </c>
      <c r="N1289" s="513" t="s">
        <v>780</v>
      </c>
      <c r="O1289" s="513" t="s">
        <v>1407</v>
      </c>
      <c r="P1289" s="513" t="s">
        <v>7277</v>
      </c>
      <c r="Q1289" s="518" t="s">
        <v>7101</v>
      </c>
      <c r="R1289" s="152" t="s">
        <v>7278</v>
      </c>
      <c r="S1289" s="152" t="s">
        <v>7283</v>
      </c>
      <c r="T1289" s="152" t="s">
        <v>7280</v>
      </c>
      <c r="U1289" s="152" t="s">
        <v>786</v>
      </c>
    </row>
    <row r="1290" spans="4:21">
      <c r="D1290" s="210"/>
      <c r="G1290" s="152" t="s">
        <v>371</v>
      </c>
      <c r="H1290" s="474" t="s">
        <v>353</v>
      </c>
      <c r="I1290" s="474"/>
      <c r="J1290" s="847">
        <v>-146984.20000000001</v>
      </c>
      <c r="K1290" s="513">
        <v>-103.51</v>
      </c>
      <c r="L1290" s="513">
        <v>1420</v>
      </c>
      <c r="M1290" s="152" t="s">
        <v>7143</v>
      </c>
      <c r="N1290" s="513" t="s">
        <v>780</v>
      </c>
      <c r="O1290" s="513" t="s">
        <v>1407</v>
      </c>
      <c r="P1290" s="513" t="s">
        <v>7337</v>
      </c>
      <c r="Q1290" s="518" t="s">
        <v>7101</v>
      </c>
      <c r="R1290" s="152" t="s">
        <v>7338</v>
      </c>
      <c r="S1290" s="152" t="s">
        <v>7341</v>
      </c>
      <c r="T1290" s="152" t="s">
        <v>7340</v>
      </c>
      <c r="U1290" s="152" t="s">
        <v>786</v>
      </c>
    </row>
    <row r="1291" spans="4:21">
      <c r="D1291" s="210"/>
      <c r="G1291" s="152" t="s">
        <v>371</v>
      </c>
      <c r="H1291" s="474" t="s">
        <v>353</v>
      </c>
      <c r="I1291" s="474"/>
      <c r="J1291" s="847">
        <v>-633604</v>
      </c>
      <c r="K1291" s="513">
        <v>-446.2</v>
      </c>
      <c r="L1291" s="513">
        <v>1420</v>
      </c>
      <c r="M1291" s="152" t="s">
        <v>7143</v>
      </c>
      <c r="N1291" s="513" t="s">
        <v>780</v>
      </c>
      <c r="O1291" s="513" t="s">
        <v>1407</v>
      </c>
      <c r="P1291" s="513" t="s">
        <v>7337</v>
      </c>
      <c r="Q1291" s="518" t="s">
        <v>7101</v>
      </c>
      <c r="R1291" s="152" t="s">
        <v>7338</v>
      </c>
      <c r="S1291" s="152" t="s">
        <v>7342</v>
      </c>
      <c r="T1291" s="152" t="s">
        <v>7340</v>
      </c>
      <c r="U1291" s="152" t="s">
        <v>786</v>
      </c>
    </row>
    <row r="1292" spans="4:21">
      <c r="D1292" s="210"/>
      <c r="G1292" s="152" t="s">
        <v>371</v>
      </c>
      <c r="H1292" s="474" t="s">
        <v>353</v>
      </c>
      <c r="I1292" s="474"/>
      <c r="J1292" s="847">
        <v>-312371.59999999998</v>
      </c>
      <c r="K1292" s="513">
        <v>-219.98</v>
      </c>
      <c r="L1292" s="513">
        <v>1420</v>
      </c>
      <c r="M1292" s="152" t="s">
        <v>7143</v>
      </c>
      <c r="N1292" s="513" t="s">
        <v>780</v>
      </c>
      <c r="O1292" s="513" t="s">
        <v>1407</v>
      </c>
      <c r="P1292" s="513" t="s">
        <v>7337</v>
      </c>
      <c r="Q1292" s="518" t="s">
        <v>7101</v>
      </c>
      <c r="R1292" s="152" t="s">
        <v>7338</v>
      </c>
      <c r="S1292" s="152" t="s">
        <v>7343</v>
      </c>
      <c r="T1292" s="152" t="s">
        <v>7340</v>
      </c>
      <c r="U1292" s="152" t="s">
        <v>786</v>
      </c>
    </row>
    <row r="1293" spans="4:21">
      <c r="D1293" s="210"/>
      <c r="G1293" s="152" t="s">
        <v>371</v>
      </c>
      <c r="H1293" s="474" t="s">
        <v>353</v>
      </c>
      <c r="I1293" s="474"/>
      <c r="J1293" s="847">
        <v>-77162.8</v>
      </c>
      <c r="K1293" s="513">
        <v>-54.34</v>
      </c>
      <c r="L1293" s="513">
        <v>1420</v>
      </c>
      <c r="M1293" s="152" t="s">
        <v>7143</v>
      </c>
      <c r="N1293" s="513" t="s">
        <v>780</v>
      </c>
      <c r="O1293" s="513" t="s">
        <v>1407</v>
      </c>
      <c r="P1293" s="513" t="s">
        <v>7337</v>
      </c>
      <c r="Q1293" s="518" t="s">
        <v>7101</v>
      </c>
      <c r="R1293" s="152" t="s">
        <v>7338</v>
      </c>
      <c r="S1293" s="152" t="s">
        <v>7344</v>
      </c>
      <c r="T1293" s="152" t="s">
        <v>7340</v>
      </c>
      <c r="U1293" s="152" t="s">
        <v>786</v>
      </c>
    </row>
    <row r="1294" spans="4:21">
      <c r="D1294" s="210"/>
      <c r="G1294" s="152" t="s">
        <v>371</v>
      </c>
      <c r="H1294" s="474" t="s">
        <v>353</v>
      </c>
      <c r="I1294" s="474"/>
      <c r="J1294" s="847">
        <v>-2130000</v>
      </c>
      <c r="K1294" s="513">
        <v>-1500</v>
      </c>
      <c r="L1294" s="513">
        <v>1420</v>
      </c>
      <c r="M1294" s="152" t="s">
        <v>7143</v>
      </c>
      <c r="N1294" s="513" t="s">
        <v>780</v>
      </c>
      <c r="O1294" s="513" t="s">
        <v>1407</v>
      </c>
      <c r="P1294" s="513" t="s">
        <v>7337</v>
      </c>
      <c r="Q1294" s="518" t="s">
        <v>7101</v>
      </c>
      <c r="R1294" s="152" t="s">
        <v>7338</v>
      </c>
      <c r="S1294" s="152" t="s">
        <v>7345</v>
      </c>
      <c r="T1294" s="152" t="s">
        <v>7340</v>
      </c>
      <c r="U1294" s="152" t="s">
        <v>786</v>
      </c>
    </row>
    <row r="1295" spans="4:21">
      <c r="D1295" s="210"/>
      <c r="G1295" s="152" t="s">
        <v>371</v>
      </c>
      <c r="H1295" s="474" t="s">
        <v>353</v>
      </c>
      <c r="I1295" s="474"/>
      <c r="J1295" s="847">
        <v>-639781</v>
      </c>
      <c r="K1295" s="513">
        <v>-450.55</v>
      </c>
      <c r="L1295" s="513">
        <v>1420</v>
      </c>
      <c r="M1295" s="152" t="s">
        <v>7143</v>
      </c>
      <c r="N1295" s="513" t="s">
        <v>780</v>
      </c>
      <c r="O1295" s="513" t="s">
        <v>1407</v>
      </c>
      <c r="P1295" s="513" t="s">
        <v>7337</v>
      </c>
      <c r="Q1295" s="518" t="s">
        <v>7101</v>
      </c>
      <c r="R1295" s="152" t="s">
        <v>7338</v>
      </c>
      <c r="S1295" s="152" t="s">
        <v>7373</v>
      </c>
      <c r="T1295" s="152" t="s">
        <v>7340</v>
      </c>
      <c r="U1295" s="152" t="s">
        <v>786</v>
      </c>
    </row>
    <row r="1296" spans="4:21">
      <c r="D1296" s="210"/>
      <c r="G1296" s="152" t="s">
        <v>371</v>
      </c>
      <c r="H1296" s="474" t="s">
        <v>353</v>
      </c>
      <c r="I1296" s="474"/>
      <c r="J1296" s="847">
        <v>-365224</v>
      </c>
      <c r="K1296" s="513">
        <v>-257.2</v>
      </c>
      <c r="L1296" s="513">
        <v>1420</v>
      </c>
      <c r="M1296" s="152" t="s">
        <v>7143</v>
      </c>
      <c r="N1296" s="513" t="s">
        <v>780</v>
      </c>
      <c r="O1296" s="513" t="s">
        <v>1407</v>
      </c>
      <c r="P1296" s="513" t="s">
        <v>7337</v>
      </c>
      <c r="Q1296" s="518" t="s">
        <v>7101</v>
      </c>
      <c r="R1296" s="152" t="s">
        <v>7338</v>
      </c>
      <c r="S1296" s="152" t="s">
        <v>7355</v>
      </c>
      <c r="T1296" s="152" t="s">
        <v>7340</v>
      </c>
      <c r="U1296" s="152" t="s">
        <v>786</v>
      </c>
    </row>
    <row r="1297" spans="4:21">
      <c r="D1297" s="210"/>
      <c r="G1297" s="152" t="s">
        <v>371</v>
      </c>
      <c r="H1297" s="474" t="s">
        <v>353</v>
      </c>
      <c r="I1297" s="474"/>
      <c r="J1297" s="847">
        <v>-124250</v>
      </c>
      <c r="K1297" s="513">
        <v>-87.5</v>
      </c>
      <c r="L1297" s="513">
        <v>1420</v>
      </c>
      <c r="M1297" s="152" t="s">
        <v>7143</v>
      </c>
      <c r="N1297" s="513" t="s">
        <v>780</v>
      </c>
      <c r="O1297" s="513" t="s">
        <v>1407</v>
      </c>
      <c r="P1297" s="513" t="s">
        <v>7337</v>
      </c>
      <c r="Q1297" s="518" t="s">
        <v>7101</v>
      </c>
      <c r="R1297" s="152" t="s">
        <v>7338</v>
      </c>
      <c r="S1297" s="152" t="s">
        <v>7356</v>
      </c>
      <c r="T1297" s="152" t="s">
        <v>7340</v>
      </c>
      <c r="U1297" s="152" t="s">
        <v>786</v>
      </c>
    </row>
    <row r="1298" spans="4:21">
      <c r="D1298" s="210"/>
      <c r="G1298" s="152" t="s">
        <v>371</v>
      </c>
      <c r="H1298" s="474" t="s">
        <v>353</v>
      </c>
      <c r="I1298" s="474"/>
      <c r="J1298" s="847">
        <v>-235592.2</v>
      </c>
      <c r="K1298" s="513">
        <v>-165.91</v>
      </c>
      <c r="L1298" s="513">
        <v>1420</v>
      </c>
      <c r="M1298" s="152" t="s">
        <v>7143</v>
      </c>
      <c r="N1298" s="513" t="s">
        <v>780</v>
      </c>
      <c r="O1298" s="513" t="s">
        <v>1407</v>
      </c>
      <c r="P1298" s="513" t="s">
        <v>7337</v>
      </c>
      <c r="Q1298" s="518" t="s">
        <v>7101</v>
      </c>
      <c r="R1298" s="152" t="s">
        <v>7338</v>
      </c>
      <c r="S1298" s="152" t="s">
        <v>7357</v>
      </c>
      <c r="T1298" s="152" t="s">
        <v>7340</v>
      </c>
      <c r="U1298" s="152" t="s">
        <v>786</v>
      </c>
    </row>
    <row r="1299" spans="4:21">
      <c r="D1299" s="210"/>
      <c r="G1299" s="152" t="s">
        <v>371</v>
      </c>
      <c r="H1299" s="474" t="s">
        <v>353</v>
      </c>
      <c r="I1299" s="474"/>
      <c r="J1299" s="847">
        <v>-136178</v>
      </c>
      <c r="K1299" s="513">
        <v>-95.9</v>
      </c>
      <c r="L1299" s="513">
        <v>1420</v>
      </c>
      <c r="M1299" s="152" t="s">
        <v>7143</v>
      </c>
      <c r="N1299" s="513" t="s">
        <v>780</v>
      </c>
      <c r="O1299" s="513" t="s">
        <v>1407</v>
      </c>
      <c r="P1299" s="513" t="s">
        <v>7337</v>
      </c>
      <c r="Q1299" s="518" t="s">
        <v>7101</v>
      </c>
      <c r="R1299" s="152" t="s">
        <v>7338</v>
      </c>
      <c r="S1299" s="152" t="s">
        <v>7362</v>
      </c>
      <c r="T1299" s="152" t="s">
        <v>7340</v>
      </c>
      <c r="U1299" s="152" t="s">
        <v>786</v>
      </c>
    </row>
    <row r="1300" spans="4:21">
      <c r="D1300" s="210"/>
      <c r="G1300" s="152" t="s">
        <v>371</v>
      </c>
      <c r="H1300" s="474" t="s">
        <v>353</v>
      </c>
      <c r="I1300" s="474"/>
      <c r="J1300" s="847">
        <v>-307075</v>
      </c>
      <c r="K1300" s="513">
        <v>-216.25</v>
      </c>
      <c r="L1300" s="513">
        <v>1420</v>
      </c>
      <c r="M1300" s="152" t="s">
        <v>7143</v>
      </c>
      <c r="N1300" s="513" t="s">
        <v>780</v>
      </c>
      <c r="O1300" s="513" t="s">
        <v>1407</v>
      </c>
      <c r="P1300" s="513" t="s">
        <v>7337</v>
      </c>
      <c r="Q1300" s="518" t="s">
        <v>7101</v>
      </c>
      <c r="R1300" s="152" t="s">
        <v>7338</v>
      </c>
      <c r="S1300" s="152" t="s">
        <v>7403</v>
      </c>
      <c r="T1300" s="152" t="s">
        <v>7340</v>
      </c>
      <c r="U1300" s="152" t="s">
        <v>786</v>
      </c>
    </row>
    <row r="1301" spans="4:21">
      <c r="D1301" s="210"/>
      <c r="G1301" s="152" t="s">
        <v>371</v>
      </c>
      <c r="H1301" s="474" t="s">
        <v>353</v>
      </c>
      <c r="I1301" s="474"/>
      <c r="J1301" s="847">
        <v>-613411.6</v>
      </c>
      <c r="K1301" s="513">
        <v>-431.98</v>
      </c>
      <c r="L1301" s="513">
        <v>1420</v>
      </c>
      <c r="M1301" s="152" t="s">
        <v>7143</v>
      </c>
      <c r="N1301" s="513" t="s">
        <v>780</v>
      </c>
      <c r="O1301" s="513" t="s">
        <v>1407</v>
      </c>
      <c r="P1301" s="513" t="s">
        <v>7337</v>
      </c>
      <c r="Q1301" s="518" t="s">
        <v>7101</v>
      </c>
      <c r="R1301" s="152" t="s">
        <v>7338</v>
      </c>
      <c r="S1301" s="152" t="s">
        <v>7404</v>
      </c>
      <c r="T1301" s="152" t="s">
        <v>7340</v>
      </c>
      <c r="U1301" s="152" t="s">
        <v>786</v>
      </c>
    </row>
    <row r="1302" spans="4:21">
      <c r="D1302" s="210"/>
      <c r="G1302" s="152" t="s">
        <v>371</v>
      </c>
      <c r="H1302" s="474" t="s">
        <v>353</v>
      </c>
      <c r="I1302" s="474"/>
      <c r="J1302" s="847">
        <v>-100891</v>
      </c>
      <c r="K1302" s="513">
        <v>-71.05</v>
      </c>
      <c r="L1302" s="513">
        <v>1420</v>
      </c>
      <c r="M1302" s="152" t="s">
        <v>7143</v>
      </c>
      <c r="N1302" s="513" t="s">
        <v>780</v>
      </c>
      <c r="O1302" s="513" t="s">
        <v>1407</v>
      </c>
      <c r="P1302" s="513" t="s">
        <v>7337</v>
      </c>
      <c r="Q1302" s="518" t="s">
        <v>7101</v>
      </c>
      <c r="R1302" s="152" t="s">
        <v>7338</v>
      </c>
      <c r="S1302" s="152" t="s">
        <v>7363</v>
      </c>
      <c r="T1302" s="152" t="s">
        <v>7340</v>
      </c>
      <c r="U1302" s="152" t="s">
        <v>786</v>
      </c>
    </row>
    <row r="1303" spans="4:21">
      <c r="D1303" s="210"/>
      <c r="G1303" s="152" t="s">
        <v>371</v>
      </c>
      <c r="H1303" s="474" t="s">
        <v>353</v>
      </c>
      <c r="I1303" s="474"/>
      <c r="J1303" s="847">
        <v>-73428.2</v>
      </c>
      <c r="K1303" s="513">
        <v>-51.71</v>
      </c>
      <c r="L1303" s="513">
        <v>1420</v>
      </c>
      <c r="M1303" s="152" t="s">
        <v>7143</v>
      </c>
      <c r="N1303" s="513" t="s">
        <v>780</v>
      </c>
      <c r="O1303" s="513" t="s">
        <v>1407</v>
      </c>
      <c r="P1303" s="513" t="s">
        <v>7337</v>
      </c>
      <c r="Q1303" s="518" t="s">
        <v>7101</v>
      </c>
      <c r="R1303" s="152" t="s">
        <v>7338</v>
      </c>
      <c r="S1303" s="152" t="s">
        <v>7405</v>
      </c>
      <c r="T1303" s="152" t="s">
        <v>7340</v>
      </c>
      <c r="U1303" s="152" t="s">
        <v>786</v>
      </c>
    </row>
    <row r="1304" spans="4:21">
      <c r="D1304" s="210"/>
      <c r="G1304" s="152" t="s">
        <v>371</v>
      </c>
      <c r="H1304" s="474" t="s">
        <v>353</v>
      </c>
      <c r="I1304" s="474"/>
      <c r="J1304" s="847">
        <v>-306578</v>
      </c>
      <c r="K1304" s="513">
        <v>-215.9</v>
      </c>
      <c r="L1304" s="513">
        <v>1420</v>
      </c>
      <c r="M1304" s="152" t="s">
        <v>7143</v>
      </c>
      <c r="N1304" s="513" t="s">
        <v>780</v>
      </c>
      <c r="O1304" s="513" t="s">
        <v>1407</v>
      </c>
      <c r="P1304" s="513" t="s">
        <v>7337</v>
      </c>
      <c r="Q1304" s="518" t="s">
        <v>7101</v>
      </c>
      <c r="R1304" s="152" t="s">
        <v>7338</v>
      </c>
      <c r="S1304" s="152" t="s">
        <v>7406</v>
      </c>
      <c r="T1304" s="152" t="s">
        <v>7340</v>
      </c>
      <c r="U1304" s="152" t="s">
        <v>786</v>
      </c>
    </row>
    <row r="1305" spans="4:21">
      <c r="D1305" s="210"/>
      <c r="G1305" s="152" t="s">
        <v>371</v>
      </c>
      <c r="H1305" s="474" t="s">
        <v>353</v>
      </c>
      <c r="I1305" s="474"/>
      <c r="J1305" s="847">
        <v>-278036</v>
      </c>
      <c r="K1305" s="513">
        <v>-195.8</v>
      </c>
      <c r="L1305" s="513">
        <v>1420</v>
      </c>
      <c r="M1305" s="152" t="s">
        <v>7143</v>
      </c>
      <c r="N1305" s="513" t="s">
        <v>780</v>
      </c>
      <c r="O1305" s="513" t="s">
        <v>1407</v>
      </c>
      <c r="P1305" s="513" t="s">
        <v>7337</v>
      </c>
      <c r="Q1305" s="518" t="s">
        <v>7101</v>
      </c>
      <c r="R1305" s="152" t="s">
        <v>7338</v>
      </c>
      <c r="S1305" s="152" t="s">
        <v>7365</v>
      </c>
      <c r="T1305" s="152" t="s">
        <v>7340</v>
      </c>
      <c r="U1305" s="152" t="s">
        <v>786</v>
      </c>
    </row>
    <row r="1306" spans="4:21">
      <c r="D1306" s="210"/>
      <c r="G1306" s="152" t="s">
        <v>371</v>
      </c>
      <c r="H1306" s="474" t="s">
        <v>353</v>
      </c>
      <c r="I1306" s="474"/>
      <c r="J1306" s="847">
        <v>-428882.6</v>
      </c>
      <c r="K1306" s="513">
        <v>-302.02999999999997</v>
      </c>
      <c r="L1306" s="513">
        <v>1420</v>
      </c>
      <c r="M1306" s="152" t="s">
        <v>7143</v>
      </c>
      <c r="N1306" s="513" t="s">
        <v>780</v>
      </c>
      <c r="O1306" s="513" t="s">
        <v>1407</v>
      </c>
      <c r="P1306" s="513" t="s">
        <v>7337</v>
      </c>
      <c r="Q1306" s="518" t="s">
        <v>7101</v>
      </c>
      <c r="R1306" s="152" t="s">
        <v>7338</v>
      </c>
      <c r="S1306" s="152" t="s">
        <v>7372</v>
      </c>
      <c r="T1306" s="152" t="s">
        <v>7340</v>
      </c>
      <c r="U1306" s="152" t="s">
        <v>786</v>
      </c>
    </row>
    <row r="1307" spans="4:21">
      <c r="D1307" s="210"/>
      <c r="G1307" s="152" t="s">
        <v>371</v>
      </c>
      <c r="H1307" s="474" t="s">
        <v>353</v>
      </c>
      <c r="I1307" s="474"/>
      <c r="J1307" s="847">
        <v>-209237</v>
      </c>
      <c r="K1307" s="513">
        <v>-147.35</v>
      </c>
      <c r="L1307" s="513">
        <v>1420</v>
      </c>
      <c r="M1307" s="152" t="s">
        <v>7143</v>
      </c>
      <c r="N1307" s="513" t="s">
        <v>780</v>
      </c>
      <c r="O1307" s="513" t="s">
        <v>1407</v>
      </c>
      <c r="P1307" s="513" t="s">
        <v>7337</v>
      </c>
      <c r="Q1307" s="518" t="s">
        <v>7101</v>
      </c>
      <c r="R1307" s="152" t="s">
        <v>7338</v>
      </c>
      <c r="S1307" s="152" t="s">
        <v>7364</v>
      </c>
      <c r="T1307" s="152" t="s">
        <v>7340</v>
      </c>
      <c r="U1307" s="152" t="s">
        <v>786</v>
      </c>
    </row>
    <row r="1308" spans="4:21">
      <c r="D1308" s="210"/>
      <c r="G1308" s="152" t="s">
        <v>371</v>
      </c>
      <c r="H1308" s="474" t="s">
        <v>353</v>
      </c>
      <c r="I1308" s="474"/>
      <c r="J1308" s="847">
        <v>-123199.2</v>
      </c>
      <c r="K1308" s="513">
        <v>-86.76</v>
      </c>
      <c r="L1308" s="513">
        <v>1420</v>
      </c>
      <c r="M1308" s="152" t="s">
        <v>7143</v>
      </c>
      <c r="N1308" s="513" t="s">
        <v>780</v>
      </c>
      <c r="O1308" s="513" t="s">
        <v>1407</v>
      </c>
      <c r="P1308" s="513" t="s">
        <v>7337</v>
      </c>
      <c r="Q1308" s="518" t="s">
        <v>7101</v>
      </c>
      <c r="R1308" s="152" t="s">
        <v>7338</v>
      </c>
      <c r="S1308" s="152" t="s">
        <v>7366</v>
      </c>
      <c r="T1308" s="152" t="s">
        <v>7340</v>
      </c>
      <c r="U1308" s="152" t="s">
        <v>786</v>
      </c>
    </row>
    <row r="1309" spans="4:21">
      <c r="D1309" s="210"/>
      <c r="G1309" s="152" t="s">
        <v>371</v>
      </c>
      <c r="H1309" s="474" t="s">
        <v>353</v>
      </c>
      <c r="I1309" s="474"/>
      <c r="J1309" s="847">
        <v>-306578</v>
      </c>
      <c r="K1309" s="513">
        <v>-215.9</v>
      </c>
      <c r="L1309" s="513">
        <v>1420</v>
      </c>
      <c r="M1309" s="152" t="s">
        <v>7143</v>
      </c>
      <c r="N1309" s="513" t="s">
        <v>780</v>
      </c>
      <c r="O1309" s="513" t="s">
        <v>1407</v>
      </c>
      <c r="P1309" s="513" t="s">
        <v>7337</v>
      </c>
      <c r="Q1309" s="518" t="s">
        <v>7101</v>
      </c>
      <c r="R1309" s="152" t="s">
        <v>7338</v>
      </c>
      <c r="S1309" s="152" t="s">
        <v>7371</v>
      </c>
      <c r="T1309" s="152" t="s">
        <v>7340</v>
      </c>
      <c r="U1309" s="152" t="s">
        <v>786</v>
      </c>
    </row>
    <row r="1310" spans="4:21">
      <c r="D1310" s="210"/>
      <c r="G1310" s="152" t="s">
        <v>371</v>
      </c>
      <c r="H1310" s="474" t="s">
        <v>353</v>
      </c>
      <c r="I1310" s="474"/>
      <c r="J1310" s="847">
        <v>-283787</v>
      </c>
      <c r="K1310" s="513">
        <v>-199.85</v>
      </c>
      <c r="L1310" s="513">
        <v>1420</v>
      </c>
      <c r="M1310" s="152" t="s">
        <v>7143</v>
      </c>
      <c r="N1310" s="513" t="s">
        <v>780</v>
      </c>
      <c r="O1310" s="513" t="s">
        <v>1407</v>
      </c>
      <c r="P1310" s="513" t="s">
        <v>7337</v>
      </c>
      <c r="Q1310" s="518" t="s">
        <v>7101</v>
      </c>
      <c r="R1310" s="152" t="s">
        <v>7338</v>
      </c>
      <c r="S1310" s="152" t="s">
        <v>7370</v>
      </c>
      <c r="T1310" s="152" t="s">
        <v>7340</v>
      </c>
      <c r="U1310" s="152" t="s">
        <v>786</v>
      </c>
    </row>
    <row r="1311" spans="4:21">
      <c r="D1311" s="210"/>
      <c r="G1311" s="152" t="s">
        <v>371</v>
      </c>
      <c r="H1311" s="474" t="s">
        <v>353</v>
      </c>
      <c r="I1311" s="474"/>
      <c r="J1311" s="847">
        <v>-139912.6</v>
      </c>
      <c r="K1311" s="513">
        <v>-98.53</v>
      </c>
      <c r="L1311" s="513">
        <v>1420</v>
      </c>
      <c r="M1311" s="152" t="s">
        <v>7143</v>
      </c>
      <c r="N1311" s="513" t="s">
        <v>780</v>
      </c>
      <c r="O1311" s="513" t="s">
        <v>1407</v>
      </c>
      <c r="P1311" s="513" t="s">
        <v>7337</v>
      </c>
      <c r="Q1311" s="518" t="s">
        <v>7101</v>
      </c>
      <c r="R1311" s="152" t="s">
        <v>7338</v>
      </c>
      <c r="S1311" s="152" t="s">
        <v>7367</v>
      </c>
      <c r="T1311" s="152" t="s">
        <v>7340</v>
      </c>
      <c r="U1311" s="152" t="s">
        <v>786</v>
      </c>
    </row>
    <row r="1312" spans="4:21">
      <c r="D1312" s="210"/>
      <c r="G1312" s="152" t="s">
        <v>371</v>
      </c>
      <c r="H1312" s="474" t="s">
        <v>353</v>
      </c>
      <c r="I1312" s="474"/>
      <c r="J1312" s="847">
        <v>-38581.4</v>
      </c>
      <c r="K1312" s="513">
        <v>-27.17</v>
      </c>
      <c r="L1312" s="513">
        <v>1420</v>
      </c>
      <c r="M1312" s="152" t="s">
        <v>7143</v>
      </c>
      <c r="N1312" s="513" t="s">
        <v>780</v>
      </c>
      <c r="O1312" s="513" t="s">
        <v>1407</v>
      </c>
      <c r="P1312" s="513" t="s">
        <v>7337</v>
      </c>
      <c r="Q1312" s="518" t="s">
        <v>7101</v>
      </c>
      <c r="R1312" s="152" t="s">
        <v>7338</v>
      </c>
      <c r="S1312" s="152" t="s">
        <v>7342</v>
      </c>
      <c r="T1312" s="152" t="s">
        <v>7340</v>
      </c>
      <c r="U1312" s="152" t="s">
        <v>786</v>
      </c>
    </row>
    <row r="1313" spans="4:21">
      <c r="D1313" s="210"/>
      <c r="G1313" s="152" t="s">
        <v>371</v>
      </c>
      <c r="H1313" s="474" t="s">
        <v>353</v>
      </c>
      <c r="I1313" s="474"/>
      <c r="J1313" s="847">
        <v>-110334</v>
      </c>
      <c r="K1313" s="513">
        <v>-77.7</v>
      </c>
      <c r="L1313" s="513">
        <v>1420</v>
      </c>
      <c r="M1313" s="152" t="s">
        <v>7143</v>
      </c>
      <c r="N1313" s="513" t="s">
        <v>780</v>
      </c>
      <c r="O1313" s="513" t="s">
        <v>1407</v>
      </c>
      <c r="P1313" s="513" t="s">
        <v>7337</v>
      </c>
      <c r="Q1313" s="518" t="s">
        <v>7101</v>
      </c>
      <c r="R1313" s="152" t="s">
        <v>7338</v>
      </c>
      <c r="S1313" s="152" t="s">
        <v>7352</v>
      </c>
      <c r="T1313" s="152" t="s">
        <v>7340</v>
      </c>
      <c r="U1313" s="152" t="s">
        <v>786</v>
      </c>
    </row>
    <row r="1314" spans="4:21">
      <c r="D1314" s="210"/>
      <c r="G1314" s="152" t="s">
        <v>371</v>
      </c>
      <c r="H1314" s="474" t="s">
        <v>353</v>
      </c>
      <c r="I1314" s="474"/>
      <c r="J1314" s="847">
        <v>-110334</v>
      </c>
      <c r="K1314" s="513">
        <v>-77.7</v>
      </c>
      <c r="L1314" s="513">
        <v>1420</v>
      </c>
      <c r="M1314" s="152" t="s">
        <v>7143</v>
      </c>
      <c r="N1314" s="513" t="s">
        <v>780</v>
      </c>
      <c r="O1314" s="513" t="s">
        <v>1407</v>
      </c>
      <c r="P1314" s="513" t="s">
        <v>7337</v>
      </c>
      <c r="Q1314" s="518" t="s">
        <v>7101</v>
      </c>
      <c r="R1314" s="152" t="s">
        <v>7338</v>
      </c>
      <c r="S1314" s="152" t="s">
        <v>7351</v>
      </c>
      <c r="T1314" s="152" t="s">
        <v>7340</v>
      </c>
      <c r="U1314" s="152" t="s">
        <v>786</v>
      </c>
    </row>
    <row r="1315" spans="4:21">
      <c r="D1315" s="210"/>
      <c r="G1315" s="152" t="s">
        <v>371</v>
      </c>
      <c r="H1315" s="474" t="s">
        <v>353</v>
      </c>
      <c r="I1315" s="474"/>
      <c r="J1315" s="847">
        <v>-144925.20000000001</v>
      </c>
      <c r="K1315" s="513">
        <v>-102.06</v>
      </c>
      <c r="L1315" s="513">
        <v>1420</v>
      </c>
      <c r="M1315" s="152" t="s">
        <v>7143</v>
      </c>
      <c r="N1315" s="513" t="s">
        <v>780</v>
      </c>
      <c r="O1315" s="513" t="s">
        <v>1407</v>
      </c>
      <c r="P1315" s="513" t="s">
        <v>7337</v>
      </c>
      <c r="Q1315" s="518" t="s">
        <v>7101</v>
      </c>
      <c r="R1315" s="152" t="s">
        <v>7338</v>
      </c>
      <c r="S1315" s="152" t="s">
        <v>7369</v>
      </c>
      <c r="T1315" s="152" t="s">
        <v>7340</v>
      </c>
      <c r="U1315" s="152" t="s">
        <v>786</v>
      </c>
    </row>
    <row r="1316" spans="4:21">
      <c r="D1316" s="210"/>
      <c r="G1316" s="152" t="s">
        <v>371</v>
      </c>
      <c r="H1316" s="474" t="s">
        <v>353</v>
      </c>
      <c r="I1316" s="474"/>
      <c r="J1316" s="847">
        <v>-52469</v>
      </c>
      <c r="K1316" s="513">
        <v>-36.950000000000003</v>
      </c>
      <c r="L1316" s="513">
        <v>1420</v>
      </c>
      <c r="M1316" s="152" t="s">
        <v>7143</v>
      </c>
      <c r="N1316" s="513" t="s">
        <v>780</v>
      </c>
      <c r="O1316" s="513" t="s">
        <v>1407</v>
      </c>
      <c r="P1316" s="513" t="s">
        <v>7337</v>
      </c>
      <c r="Q1316" s="518" t="s">
        <v>7101</v>
      </c>
      <c r="R1316" s="152" t="s">
        <v>7338</v>
      </c>
      <c r="S1316" s="152" t="s">
        <v>7350</v>
      </c>
      <c r="T1316" s="152" t="s">
        <v>7340</v>
      </c>
      <c r="U1316" s="152" t="s">
        <v>786</v>
      </c>
    </row>
    <row r="1317" spans="4:21">
      <c r="D1317" s="210"/>
      <c r="G1317" s="152" t="s">
        <v>371</v>
      </c>
      <c r="H1317" s="474" t="s">
        <v>353</v>
      </c>
      <c r="I1317" s="474"/>
      <c r="J1317" s="847">
        <v>-166992</v>
      </c>
      <c r="K1317" s="513">
        <v>-117.6</v>
      </c>
      <c r="L1317" s="513">
        <v>1420</v>
      </c>
      <c r="M1317" s="152" t="s">
        <v>7143</v>
      </c>
      <c r="N1317" s="513" t="s">
        <v>780</v>
      </c>
      <c r="O1317" s="513" t="s">
        <v>1407</v>
      </c>
      <c r="P1317" s="513" t="s">
        <v>7337</v>
      </c>
      <c r="Q1317" s="518" t="s">
        <v>7101</v>
      </c>
      <c r="R1317" s="152" t="s">
        <v>7338</v>
      </c>
      <c r="S1317" s="152" t="s">
        <v>7349</v>
      </c>
      <c r="T1317" s="152" t="s">
        <v>7340</v>
      </c>
      <c r="U1317" s="152" t="s">
        <v>786</v>
      </c>
    </row>
    <row r="1318" spans="4:21">
      <c r="D1318" s="210"/>
      <c r="G1318" s="152" t="s">
        <v>371</v>
      </c>
      <c r="H1318" s="474" t="s">
        <v>353</v>
      </c>
      <c r="I1318" s="474"/>
      <c r="J1318" s="847">
        <v>-176932</v>
      </c>
      <c r="K1318" s="513">
        <v>-124.6</v>
      </c>
      <c r="L1318" s="513">
        <v>1420</v>
      </c>
      <c r="M1318" s="152" t="s">
        <v>7143</v>
      </c>
      <c r="N1318" s="513" t="s">
        <v>780</v>
      </c>
      <c r="O1318" s="513" t="s">
        <v>1407</v>
      </c>
      <c r="P1318" s="513" t="s">
        <v>7337</v>
      </c>
      <c r="Q1318" s="518" t="s">
        <v>7101</v>
      </c>
      <c r="R1318" s="152" t="s">
        <v>7338</v>
      </c>
      <c r="S1318" s="152" t="s">
        <v>7348</v>
      </c>
      <c r="T1318" s="152" t="s">
        <v>7340</v>
      </c>
      <c r="U1318" s="152" t="s">
        <v>786</v>
      </c>
    </row>
    <row r="1319" spans="4:21">
      <c r="D1319" s="210"/>
      <c r="G1319" s="152" t="s">
        <v>371</v>
      </c>
      <c r="H1319" s="474" t="s">
        <v>353</v>
      </c>
      <c r="I1319" s="474"/>
      <c r="J1319" s="847">
        <v>-58149</v>
      </c>
      <c r="K1319" s="513">
        <v>-40.950000000000003</v>
      </c>
      <c r="L1319" s="513">
        <v>1420</v>
      </c>
      <c r="M1319" s="152" t="s">
        <v>7143</v>
      </c>
      <c r="N1319" s="513" t="s">
        <v>780</v>
      </c>
      <c r="O1319" s="513" t="s">
        <v>1407</v>
      </c>
      <c r="P1319" s="513" t="s">
        <v>7337</v>
      </c>
      <c r="Q1319" s="518" t="s">
        <v>7101</v>
      </c>
      <c r="R1319" s="152" t="s">
        <v>7338</v>
      </c>
      <c r="S1319" s="152" t="s">
        <v>7347</v>
      </c>
      <c r="T1319" s="152" t="s">
        <v>7340</v>
      </c>
      <c r="U1319" s="152" t="s">
        <v>786</v>
      </c>
    </row>
    <row r="1320" spans="4:21">
      <c r="D1320" s="210"/>
      <c r="G1320" s="152" t="s">
        <v>371</v>
      </c>
      <c r="H1320" s="474" t="s">
        <v>353</v>
      </c>
      <c r="I1320" s="474"/>
      <c r="J1320" s="847">
        <v>-2130000</v>
      </c>
      <c r="K1320" s="513">
        <v>-1500</v>
      </c>
      <c r="L1320" s="513">
        <v>1420</v>
      </c>
      <c r="M1320" s="152" t="s">
        <v>7143</v>
      </c>
      <c r="N1320" s="513" t="s">
        <v>780</v>
      </c>
      <c r="O1320" s="513" t="s">
        <v>1407</v>
      </c>
      <c r="P1320" s="513" t="s">
        <v>7337</v>
      </c>
      <c r="Q1320" s="518" t="s">
        <v>7101</v>
      </c>
      <c r="R1320" s="152" t="s">
        <v>7338</v>
      </c>
      <c r="S1320" s="152" t="s">
        <v>7407</v>
      </c>
      <c r="T1320" s="152" t="s">
        <v>7340</v>
      </c>
      <c r="U1320" s="152" t="s">
        <v>786</v>
      </c>
    </row>
    <row r="1321" spans="4:21">
      <c r="D1321" s="210"/>
      <c r="G1321" s="152" t="s">
        <v>371</v>
      </c>
      <c r="H1321" s="474" t="s">
        <v>353</v>
      </c>
      <c r="I1321" s="474"/>
      <c r="J1321" s="847">
        <v>-277780.40000000002</v>
      </c>
      <c r="K1321" s="513">
        <v>-195.62</v>
      </c>
      <c r="L1321" s="513">
        <v>1420</v>
      </c>
      <c r="M1321" s="152" t="s">
        <v>7143</v>
      </c>
      <c r="N1321" s="513" t="s">
        <v>780</v>
      </c>
      <c r="O1321" s="513" t="s">
        <v>1407</v>
      </c>
      <c r="P1321" s="513" t="s">
        <v>7337</v>
      </c>
      <c r="Q1321" s="518" t="s">
        <v>7101</v>
      </c>
      <c r="R1321" s="152" t="s">
        <v>7338</v>
      </c>
      <c r="S1321" s="152" t="s">
        <v>7368</v>
      </c>
      <c r="T1321" s="152" t="s">
        <v>7340</v>
      </c>
      <c r="U1321" s="152" t="s">
        <v>786</v>
      </c>
    </row>
    <row r="1322" spans="4:21">
      <c r="D1322" s="210"/>
      <c r="G1322" s="152" t="s">
        <v>371</v>
      </c>
      <c r="H1322" s="474" t="s">
        <v>353</v>
      </c>
      <c r="I1322" s="474"/>
      <c r="J1322" s="847">
        <v>-52469</v>
      </c>
      <c r="K1322" s="513">
        <v>-36.950000000000003</v>
      </c>
      <c r="L1322" s="513">
        <v>1420</v>
      </c>
      <c r="M1322" s="152" t="s">
        <v>7143</v>
      </c>
      <c r="N1322" s="513" t="s">
        <v>780</v>
      </c>
      <c r="O1322" s="513" t="s">
        <v>1407</v>
      </c>
      <c r="P1322" s="513" t="s">
        <v>7337</v>
      </c>
      <c r="Q1322" s="518" t="s">
        <v>7101</v>
      </c>
      <c r="R1322" s="152" t="s">
        <v>7338</v>
      </c>
      <c r="S1322" s="152" t="s">
        <v>7354</v>
      </c>
      <c r="T1322" s="152" t="s">
        <v>7340</v>
      </c>
      <c r="U1322" s="152" t="s">
        <v>786</v>
      </c>
    </row>
    <row r="1323" spans="4:21">
      <c r="D1323" s="210"/>
      <c r="G1323" s="152" t="s">
        <v>371</v>
      </c>
      <c r="H1323" s="474" t="s">
        <v>353</v>
      </c>
      <c r="I1323" s="474"/>
      <c r="J1323" s="847">
        <v>-110334</v>
      </c>
      <c r="K1323" s="513">
        <v>-77.7</v>
      </c>
      <c r="L1323" s="513">
        <v>1420</v>
      </c>
      <c r="M1323" s="152" t="s">
        <v>7143</v>
      </c>
      <c r="N1323" s="513" t="s">
        <v>780</v>
      </c>
      <c r="O1323" s="513" t="s">
        <v>1407</v>
      </c>
      <c r="P1323" s="513" t="s">
        <v>7337</v>
      </c>
      <c r="Q1323" s="518" t="s">
        <v>7101</v>
      </c>
      <c r="R1323" s="152" t="s">
        <v>7338</v>
      </c>
      <c r="S1323" s="152" t="s">
        <v>7353</v>
      </c>
      <c r="T1323" s="152" t="s">
        <v>7340</v>
      </c>
      <c r="U1323" s="152" t="s">
        <v>786</v>
      </c>
    </row>
    <row r="1324" spans="4:21">
      <c r="D1324" s="210"/>
      <c r="G1324" s="152" t="s">
        <v>371</v>
      </c>
      <c r="H1324" s="474" t="s">
        <v>353</v>
      </c>
      <c r="I1324" s="474"/>
      <c r="J1324" s="847">
        <v>-1320202.3999999999</v>
      </c>
      <c r="K1324" s="513">
        <v>-929.72</v>
      </c>
      <c r="L1324" s="513">
        <v>1420</v>
      </c>
      <c r="M1324" s="152" t="s">
        <v>7143</v>
      </c>
      <c r="N1324" s="513" t="s">
        <v>780</v>
      </c>
      <c r="O1324" s="513" t="s">
        <v>1407</v>
      </c>
      <c r="P1324" s="513" t="s">
        <v>7414</v>
      </c>
      <c r="Q1324" s="518" t="s">
        <v>7101</v>
      </c>
      <c r="R1324" s="152" t="s">
        <v>7415</v>
      </c>
      <c r="S1324" s="152" t="s">
        <v>7416</v>
      </c>
      <c r="T1324" s="152" t="s">
        <v>7417</v>
      </c>
      <c r="U1324" s="152" t="s">
        <v>786</v>
      </c>
    </row>
    <row r="1325" spans="4:21">
      <c r="D1325" s="210"/>
      <c r="G1325" s="152" t="s">
        <v>371</v>
      </c>
      <c r="H1325" s="474" t="s">
        <v>353</v>
      </c>
      <c r="I1325" s="474"/>
      <c r="J1325" s="847">
        <v>12290237.5</v>
      </c>
      <c r="K1325" s="513">
        <v>8747.5</v>
      </c>
      <c r="L1325" s="513">
        <v>1405</v>
      </c>
      <c r="M1325" s="152" t="s">
        <v>7104</v>
      </c>
      <c r="N1325" s="513" t="s">
        <v>780</v>
      </c>
      <c r="O1325" s="513" t="s">
        <v>1407</v>
      </c>
      <c r="P1325" s="513" t="s">
        <v>7697</v>
      </c>
      <c r="Q1325" s="518" t="s">
        <v>7101</v>
      </c>
      <c r="R1325" s="152" t="s">
        <v>7698</v>
      </c>
      <c r="S1325" s="152" t="s">
        <v>7703</v>
      </c>
      <c r="T1325" s="152" t="s">
        <v>7700</v>
      </c>
      <c r="U1325" s="152" t="s">
        <v>786</v>
      </c>
    </row>
    <row r="1326" spans="4:21">
      <c r="D1326" s="210"/>
      <c r="G1326" s="152" t="s">
        <v>371</v>
      </c>
      <c r="H1326" s="474" t="s">
        <v>353</v>
      </c>
      <c r="I1326" s="474"/>
      <c r="J1326" s="847">
        <v>4682162.5</v>
      </c>
      <c r="K1326" s="513">
        <v>3332.5</v>
      </c>
      <c r="L1326" s="513">
        <v>1405</v>
      </c>
      <c r="M1326" s="152" t="s">
        <v>7104</v>
      </c>
      <c r="N1326" s="513" t="s">
        <v>780</v>
      </c>
      <c r="O1326" s="513" t="s">
        <v>1407</v>
      </c>
      <c r="P1326" s="513" t="s">
        <v>7697</v>
      </c>
      <c r="Q1326" s="518" t="s">
        <v>7101</v>
      </c>
      <c r="R1326" s="152" t="s">
        <v>7698</v>
      </c>
      <c r="S1326" s="152" t="s">
        <v>7699</v>
      </c>
      <c r="T1326" s="152" t="s">
        <v>7700</v>
      </c>
      <c r="U1326" s="152" t="s">
        <v>786</v>
      </c>
    </row>
    <row r="1327" spans="4:21">
      <c r="D1327" s="210"/>
      <c r="G1327" s="152" t="s">
        <v>371</v>
      </c>
      <c r="H1327" s="474" t="s">
        <v>353</v>
      </c>
      <c r="I1327" s="474"/>
      <c r="J1327" s="847">
        <v>969450</v>
      </c>
      <c r="K1327" s="513">
        <v>690</v>
      </c>
      <c r="L1327" s="513">
        <v>1405</v>
      </c>
      <c r="M1327" s="152" t="s">
        <v>7108</v>
      </c>
      <c r="N1327" s="513" t="s">
        <v>780</v>
      </c>
      <c r="O1327" s="513" t="s">
        <v>1407</v>
      </c>
      <c r="P1327" s="513" t="s">
        <v>7705</v>
      </c>
      <c r="Q1327" s="518" t="s">
        <v>7101</v>
      </c>
      <c r="R1327" s="152" t="s">
        <v>7706</v>
      </c>
      <c r="S1327" s="152" t="s">
        <v>7710</v>
      </c>
      <c r="T1327" s="152" t="s">
        <v>7708</v>
      </c>
      <c r="U1327" s="152" t="s">
        <v>786</v>
      </c>
    </row>
    <row r="1328" spans="4:21">
      <c r="D1328" s="210"/>
      <c r="G1328" s="152" t="s">
        <v>371</v>
      </c>
      <c r="H1328" s="474" t="s">
        <v>353</v>
      </c>
      <c r="I1328" s="474"/>
      <c r="J1328" s="847">
        <v>24784200</v>
      </c>
      <c r="K1328" s="513">
        <v>17640</v>
      </c>
      <c r="L1328" s="513">
        <v>1405</v>
      </c>
      <c r="M1328" s="152" t="s">
        <v>7108</v>
      </c>
      <c r="N1328" s="513" t="s">
        <v>780</v>
      </c>
      <c r="O1328" s="513" t="s">
        <v>1407</v>
      </c>
      <c r="P1328" s="513" t="s">
        <v>7705</v>
      </c>
      <c r="Q1328" s="518" t="s">
        <v>7101</v>
      </c>
      <c r="R1328" s="152" t="s">
        <v>7706</v>
      </c>
      <c r="S1328" s="152" t="s">
        <v>7709</v>
      </c>
      <c r="T1328" s="152" t="s">
        <v>7708</v>
      </c>
      <c r="U1328" s="152" t="s">
        <v>786</v>
      </c>
    </row>
    <row r="1329" spans="4:21">
      <c r="D1329" s="210"/>
      <c r="G1329" s="152" t="s">
        <v>371</v>
      </c>
      <c r="H1329" s="474" t="s">
        <v>353</v>
      </c>
      <c r="I1329" s="474"/>
      <c r="J1329" s="847">
        <v>3877800</v>
      </c>
      <c r="K1329" s="513">
        <v>2760</v>
      </c>
      <c r="L1329" s="513">
        <v>1405</v>
      </c>
      <c r="M1329" s="152" t="s">
        <v>7108</v>
      </c>
      <c r="N1329" s="513" t="s">
        <v>780</v>
      </c>
      <c r="O1329" s="513" t="s">
        <v>1407</v>
      </c>
      <c r="P1329" s="513" t="s">
        <v>7705</v>
      </c>
      <c r="Q1329" s="518" t="s">
        <v>7101</v>
      </c>
      <c r="R1329" s="152" t="s">
        <v>7706</v>
      </c>
      <c r="S1329" s="152" t="s">
        <v>7711</v>
      </c>
      <c r="T1329" s="152" t="s">
        <v>7708</v>
      </c>
      <c r="U1329" s="152" t="s">
        <v>786</v>
      </c>
    </row>
    <row r="1330" spans="4:21">
      <c r="D1330" s="210"/>
      <c r="G1330" s="152" t="s">
        <v>371</v>
      </c>
      <c r="H1330" s="474" t="s">
        <v>353</v>
      </c>
      <c r="I1330" s="474"/>
      <c r="J1330" s="847">
        <v>8767200</v>
      </c>
      <c r="K1330" s="513">
        <v>6240</v>
      </c>
      <c r="L1330" s="513">
        <v>1405</v>
      </c>
      <c r="M1330" s="152" t="s">
        <v>7108</v>
      </c>
      <c r="N1330" s="513" t="s">
        <v>780</v>
      </c>
      <c r="O1330" s="513" t="s">
        <v>1407</v>
      </c>
      <c r="P1330" s="513" t="s">
        <v>7705</v>
      </c>
      <c r="Q1330" s="518" t="s">
        <v>7101</v>
      </c>
      <c r="R1330" s="152" t="s">
        <v>7706</v>
      </c>
      <c r="S1330" s="152" t="s">
        <v>7712</v>
      </c>
      <c r="T1330" s="152" t="s">
        <v>7708</v>
      </c>
      <c r="U1330" s="152" t="s">
        <v>786</v>
      </c>
    </row>
    <row r="1331" spans="4:21">
      <c r="D1331" s="210"/>
      <c r="G1331" s="152" t="s">
        <v>371</v>
      </c>
      <c r="H1331" s="474" t="s">
        <v>353</v>
      </c>
      <c r="I1331" s="474"/>
      <c r="J1331" s="847">
        <v>983500</v>
      </c>
      <c r="K1331" s="513">
        <v>700</v>
      </c>
      <c r="L1331" s="513">
        <v>1405</v>
      </c>
      <c r="M1331" s="152" t="s">
        <v>7108</v>
      </c>
      <c r="N1331" s="513" t="s">
        <v>780</v>
      </c>
      <c r="O1331" s="513" t="s">
        <v>1407</v>
      </c>
      <c r="P1331" s="513" t="s">
        <v>7705</v>
      </c>
      <c r="Q1331" s="518" t="s">
        <v>7101</v>
      </c>
      <c r="R1331" s="152" t="s">
        <v>7706</v>
      </c>
      <c r="S1331" s="152" t="s">
        <v>7713</v>
      </c>
      <c r="T1331" s="152" t="s">
        <v>7708</v>
      </c>
      <c r="U1331" s="152" t="s">
        <v>786</v>
      </c>
    </row>
    <row r="1332" spans="4:21">
      <c r="D1332" s="210"/>
      <c r="G1332" s="152" t="s">
        <v>371</v>
      </c>
      <c r="H1332" s="474" t="s">
        <v>353</v>
      </c>
      <c r="I1332" s="474"/>
      <c r="J1332" s="847">
        <v>10434870</v>
      </c>
      <c r="K1332" s="513">
        <v>7348.5</v>
      </c>
      <c r="L1332" s="513">
        <v>1420</v>
      </c>
      <c r="M1332" s="152" t="s">
        <v>7143</v>
      </c>
      <c r="N1332" s="513" t="s">
        <v>780</v>
      </c>
      <c r="O1332" s="513" t="s">
        <v>1407</v>
      </c>
      <c r="P1332" s="513" t="s">
        <v>7734</v>
      </c>
      <c r="Q1332" s="518" t="s">
        <v>7101</v>
      </c>
      <c r="R1332" s="152" t="s">
        <v>7735</v>
      </c>
      <c r="S1332" s="152" t="s">
        <v>7736</v>
      </c>
      <c r="T1332" s="152" t="s">
        <v>7737</v>
      </c>
      <c r="U1332" s="152" t="s">
        <v>786</v>
      </c>
    </row>
    <row r="1333" spans="4:21">
      <c r="D1333" s="210"/>
      <c r="G1333" s="152" t="s">
        <v>371</v>
      </c>
      <c r="H1333" s="474" t="s">
        <v>353</v>
      </c>
      <c r="I1333" s="474"/>
      <c r="J1333" s="847">
        <v>1499094</v>
      </c>
      <c r="K1333" s="513">
        <v>1055.7</v>
      </c>
      <c r="L1333" s="513">
        <v>1420</v>
      </c>
      <c r="M1333" s="152" t="s">
        <v>7143</v>
      </c>
      <c r="N1333" s="513" t="s">
        <v>780</v>
      </c>
      <c r="O1333" s="513" t="s">
        <v>1407</v>
      </c>
      <c r="P1333" s="513" t="s">
        <v>7734</v>
      </c>
      <c r="Q1333" s="518" t="s">
        <v>7101</v>
      </c>
      <c r="R1333" s="152" t="s">
        <v>7735</v>
      </c>
      <c r="S1333" s="152" t="s">
        <v>7738</v>
      </c>
      <c r="T1333" s="152" t="s">
        <v>7737</v>
      </c>
      <c r="U1333" s="152" t="s">
        <v>786</v>
      </c>
    </row>
    <row r="1334" spans="4:21">
      <c r="D1334" s="210"/>
      <c r="G1334" s="152" t="s">
        <v>371</v>
      </c>
      <c r="H1334" s="474" t="s">
        <v>353</v>
      </c>
      <c r="I1334" s="474"/>
      <c r="J1334" s="847">
        <v>1661400</v>
      </c>
      <c r="K1334" s="513">
        <v>1170</v>
      </c>
      <c r="L1334" s="513">
        <v>1420</v>
      </c>
      <c r="M1334" s="152" t="s">
        <v>7143</v>
      </c>
      <c r="N1334" s="513" t="s">
        <v>780</v>
      </c>
      <c r="O1334" s="513" t="s">
        <v>1407</v>
      </c>
      <c r="P1334" s="513" t="s">
        <v>7734</v>
      </c>
      <c r="Q1334" s="518" t="s">
        <v>7101</v>
      </c>
      <c r="R1334" s="152" t="s">
        <v>7735</v>
      </c>
      <c r="S1334" s="152" t="s">
        <v>7744</v>
      </c>
      <c r="T1334" s="152" t="s">
        <v>7737</v>
      </c>
      <c r="U1334" s="152" t="s">
        <v>786</v>
      </c>
    </row>
    <row r="1335" spans="4:21">
      <c r="D1335" s="210"/>
      <c r="G1335" s="152" t="s">
        <v>371</v>
      </c>
      <c r="H1335" s="474" t="s">
        <v>353</v>
      </c>
      <c r="I1335" s="474"/>
      <c r="J1335" s="847">
        <v>5055200</v>
      </c>
      <c r="K1335" s="513">
        <v>3560</v>
      </c>
      <c r="L1335" s="513">
        <v>1420</v>
      </c>
      <c r="M1335" s="152" t="s">
        <v>7143</v>
      </c>
      <c r="N1335" s="513" t="s">
        <v>780</v>
      </c>
      <c r="O1335" s="513" t="s">
        <v>1407</v>
      </c>
      <c r="P1335" s="513" t="s">
        <v>7734</v>
      </c>
      <c r="Q1335" s="518" t="s">
        <v>7101</v>
      </c>
      <c r="R1335" s="152" t="s">
        <v>7735</v>
      </c>
      <c r="S1335" s="152" t="s">
        <v>7743</v>
      </c>
      <c r="T1335" s="152" t="s">
        <v>7737</v>
      </c>
      <c r="U1335" s="152" t="s">
        <v>786</v>
      </c>
    </row>
    <row r="1336" spans="4:21">
      <c r="D1336" s="210"/>
      <c r="G1336" s="152" t="s">
        <v>371</v>
      </c>
      <c r="H1336" s="474" t="s">
        <v>353</v>
      </c>
      <c r="I1336" s="474"/>
      <c r="J1336" s="847">
        <v>4771200</v>
      </c>
      <c r="K1336" s="513">
        <v>3360</v>
      </c>
      <c r="L1336" s="513">
        <v>1420</v>
      </c>
      <c r="M1336" s="152" t="s">
        <v>7143</v>
      </c>
      <c r="N1336" s="513" t="s">
        <v>780</v>
      </c>
      <c r="O1336" s="513" t="s">
        <v>1407</v>
      </c>
      <c r="P1336" s="513" t="s">
        <v>7734</v>
      </c>
      <c r="Q1336" s="518" t="s">
        <v>7101</v>
      </c>
      <c r="R1336" s="152" t="s">
        <v>7735</v>
      </c>
      <c r="S1336" s="152" t="s">
        <v>7746</v>
      </c>
      <c r="T1336" s="152" t="s">
        <v>7737</v>
      </c>
      <c r="U1336" s="152" t="s">
        <v>786</v>
      </c>
    </row>
    <row r="1337" spans="4:21">
      <c r="D1337" s="210"/>
      <c r="G1337" s="152" t="s">
        <v>371</v>
      </c>
      <c r="H1337" s="474" t="s">
        <v>353</v>
      </c>
      <c r="I1337" s="474"/>
      <c r="J1337" s="847">
        <v>3152513.6</v>
      </c>
      <c r="K1337" s="513">
        <v>2220.08</v>
      </c>
      <c r="L1337" s="513">
        <v>1420</v>
      </c>
      <c r="M1337" s="152" t="s">
        <v>7143</v>
      </c>
      <c r="N1337" s="513" t="s">
        <v>780</v>
      </c>
      <c r="O1337" s="513" t="s">
        <v>1407</v>
      </c>
      <c r="P1337" s="513" t="s">
        <v>7734</v>
      </c>
      <c r="Q1337" s="518" t="s">
        <v>7101</v>
      </c>
      <c r="R1337" s="152" t="s">
        <v>7735</v>
      </c>
      <c r="S1337" s="152" t="s">
        <v>7739</v>
      </c>
      <c r="T1337" s="152" t="s">
        <v>7737</v>
      </c>
      <c r="U1337" s="152" t="s">
        <v>786</v>
      </c>
    </row>
    <row r="1338" spans="4:21">
      <c r="D1338" s="210"/>
      <c r="G1338" s="152" t="s">
        <v>371</v>
      </c>
      <c r="H1338" s="474" t="s">
        <v>353</v>
      </c>
      <c r="I1338" s="474"/>
      <c r="J1338" s="847">
        <v>1499094</v>
      </c>
      <c r="K1338" s="513">
        <v>1055.7</v>
      </c>
      <c r="L1338" s="513">
        <v>1420</v>
      </c>
      <c r="M1338" s="152" t="s">
        <v>7143</v>
      </c>
      <c r="N1338" s="513" t="s">
        <v>780</v>
      </c>
      <c r="O1338" s="513" t="s">
        <v>1407</v>
      </c>
      <c r="P1338" s="513" t="s">
        <v>7734</v>
      </c>
      <c r="Q1338" s="518" t="s">
        <v>7101</v>
      </c>
      <c r="R1338" s="152" t="s">
        <v>7735</v>
      </c>
      <c r="S1338" s="152" t="s">
        <v>7742</v>
      </c>
      <c r="T1338" s="152" t="s">
        <v>7737</v>
      </c>
      <c r="U1338" s="152" t="s">
        <v>786</v>
      </c>
    </row>
    <row r="1339" spans="4:21">
      <c r="D1339" s="210"/>
      <c r="G1339" s="152" t="s">
        <v>371</v>
      </c>
      <c r="H1339" s="474" t="s">
        <v>353</v>
      </c>
      <c r="I1339" s="474"/>
      <c r="J1339" s="847">
        <v>3152513.6</v>
      </c>
      <c r="K1339" s="513">
        <v>2220.08</v>
      </c>
      <c r="L1339" s="513">
        <v>1420</v>
      </c>
      <c r="M1339" s="152" t="s">
        <v>7143</v>
      </c>
      <c r="N1339" s="513" t="s">
        <v>780</v>
      </c>
      <c r="O1339" s="513" t="s">
        <v>1407</v>
      </c>
      <c r="P1339" s="513" t="s">
        <v>7734</v>
      </c>
      <c r="Q1339" s="518" t="s">
        <v>7101</v>
      </c>
      <c r="R1339" s="152" t="s">
        <v>7735</v>
      </c>
      <c r="S1339" s="152" t="s">
        <v>7741</v>
      </c>
      <c r="T1339" s="152" t="s">
        <v>7737</v>
      </c>
      <c r="U1339" s="152" t="s">
        <v>786</v>
      </c>
    </row>
    <row r="1340" spans="4:21">
      <c r="D1340" s="210"/>
      <c r="G1340" s="152" t="s">
        <v>371</v>
      </c>
      <c r="H1340" s="474" t="s">
        <v>353</v>
      </c>
      <c r="I1340" s="474"/>
      <c r="J1340" s="847">
        <v>3152513.6</v>
      </c>
      <c r="K1340" s="513">
        <v>2220.08</v>
      </c>
      <c r="L1340" s="513">
        <v>1420</v>
      </c>
      <c r="M1340" s="152" t="s">
        <v>7143</v>
      </c>
      <c r="N1340" s="513" t="s">
        <v>780</v>
      </c>
      <c r="O1340" s="513" t="s">
        <v>1407</v>
      </c>
      <c r="P1340" s="513" t="s">
        <v>7734</v>
      </c>
      <c r="Q1340" s="518" t="s">
        <v>7101</v>
      </c>
      <c r="R1340" s="152" t="s">
        <v>7735</v>
      </c>
      <c r="S1340" s="152" t="s">
        <v>7740</v>
      </c>
      <c r="T1340" s="152" t="s">
        <v>7737</v>
      </c>
      <c r="U1340" s="152" t="s">
        <v>786</v>
      </c>
    </row>
    <row r="1341" spans="4:21">
      <c r="D1341" s="210"/>
      <c r="G1341" s="152" t="s">
        <v>371</v>
      </c>
      <c r="H1341" s="474" t="s">
        <v>353</v>
      </c>
      <c r="I1341" s="474"/>
      <c r="J1341" s="847">
        <v>2882600</v>
      </c>
      <c r="K1341" s="513">
        <v>2030</v>
      </c>
      <c r="L1341" s="513">
        <v>1420</v>
      </c>
      <c r="M1341" s="152" t="s">
        <v>7143</v>
      </c>
      <c r="N1341" s="513" t="s">
        <v>780</v>
      </c>
      <c r="O1341" s="513" t="s">
        <v>1407</v>
      </c>
      <c r="P1341" s="513" t="s">
        <v>7734</v>
      </c>
      <c r="Q1341" s="518" t="s">
        <v>7101</v>
      </c>
      <c r="R1341" s="152" t="s">
        <v>7735</v>
      </c>
      <c r="S1341" s="152" t="s">
        <v>7748</v>
      </c>
      <c r="T1341" s="152" t="s">
        <v>7737</v>
      </c>
      <c r="U1341" s="152" t="s">
        <v>786</v>
      </c>
    </row>
    <row r="1342" spans="4:21">
      <c r="D1342" s="210"/>
      <c r="G1342" s="152" t="s">
        <v>371</v>
      </c>
      <c r="H1342" s="474" t="s">
        <v>353</v>
      </c>
      <c r="I1342" s="474"/>
      <c r="J1342" s="847">
        <v>3890800</v>
      </c>
      <c r="K1342" s="513">
        <v>2740</v>
      </c>
      <c r="L1342" s="513">
        <v>1420</v>
      </c>
      <c r="M1342" s="152" t="s">
        <v>7143</v>
      </c>
      <c r="N1342" s="513" t="s">
        <v>780</v>
      </c>
      <c r="O1342" s="513" t="s">
        <v>1407</v>
      </c>
      <c r="P1342" s="513" t="s">
        <v>7734</v>
      </c>
      <c r="Q1342" s="518" t="s">
        <v>7101</v>
      </c>
      <c r="R1342" s="152" t="s">
        <v>7735</v>
      </c>
      <c r="S1342" s="152" t="s">
        <v>7750</v>
      </c>
      <c r="T1342" s="152" t="s">
        <v>7737</v>
      </c>
      <c r="U1342" s="152" t="s">
        <v>786</v>
      </c>
    </row>
    <row r="1343" spans="4:21">
      <c r="D1343" s="210"/>
      <c r="G1343" s="152" t="s">
        <v>371</v>
      </c>
      <c r="H1343" s="474" t="s">
        <v>353</v>
      </c>
      <c r="I1343" s="474"/>
      <c r="J1343" s="847">
        <v>3550000</v>
      </c>
      <c r="K1343" s="513">
        <v>2500</v>
      </c>
      <c r="L1343" s="513">
        <v>1420</v>
      </c>
      <c r="M1343" s="152" t="s">
        <v>7143</v>
      </c>
      <c r="N1343" s="513" t="s">
        <v>780</v>
      </c>
      <c r="O1343" s="513" t="s">
        <v>1407</v>
      </c>
      <c r="P1343" s="513" t="s">
        <v>7734</v>
      </c>
      <c r="Q1343" s="518" t="s">
        <v>7101</v>
      </c>
      <c r="R1343" s="152" t="s">
        <v>7735</v>
      </c>
      <c r="S1343" s="152" t="s">
        <v>7752</v>
      </c>
      <c r="T1343" s="152" t="s">
        <v>7737</v>
      </c>
      <c r="U1343" s="152" t="s">
        <v>786</v>
      </c>
    </row>
    <row r="1344" spans="4:21">
      <c r="D1344" s="210"/>
      <c r="G1344" s="152" t="s">
        <v>371</v>
      </c>
      <c r="H1344" s="474" t="s">
        <v>353</v>
      </c>
      <c r="I1344" s="474"/>
      <c r="J1344" s="847">
        <v>6731226</v>
      </c>
      <c r="K1344" s="513">
        <v>4740.3</v>
      </c>
      <c r="L1344" s="513">
        <v>1420</v>
      </c>
      <c r="M1344" s="152" t="s">
        <v>7143</v>
      </c>
      <c r="N1344" s="513" t="s">
        <v>780</v>
      </c>
      <c r="O1344" s="513" t="s">
        <v>1407</v>
      </c>
      <c r="P1344" s="513" t="s">
        <v>7734</v>
      </c>
      <c r="Q1344" s="518" t="s">
        <v>7101</v>
      </c>
      <c r="R1344" s="152" t="s">
        <v>7735</v>
      </c>
      <c r="S1344" s="152" t="s">
        <v>7753</v>
      </c>
      <c r="T1344" s="152" t="s">
        <v>7737</v>
      </c>
      <c r="U1344" s="152" t="s">
        <v>786</v>
      </c>
    </row>
    <row r="1345" spans="4:21">
      <c r="D1345" s="210"/>
      <c r="G1345" s="152" t="s">
        <v>371</v>
      </c>
      <c r="H1345" s="474" t="s">
        <v>353</v>
      </c>
      <c r="I1345" s="474"/>
      <c r="J1345" s="847">
        <v>296212</v>
      </c>
      <c r="K1345" s="513">
        <v>208.6</v>
      </c>
      <c r="L1345" s="513">
        <v>1420</v>
      </c>
      <c r="M1345" s="152" t="s">
        <v>7143</v>
      </c>
      <c r="N1345" s="513" t="s">
        <v>780</v>
      </c>
      <c r="O1345" s="513" t="s">
        <v>1407</v>
      </c>
      <c r="P1345" s="513" t="s">
        <v>7754</v>
      </c>
      <c r="Q1345" s="518" t="s">
        <v>7101</v>
      </c>
      <c r="R1345" s="152" t="s">
        <v>7755</v>
      </c>
      <c r="S1345" s="152" t="s">
        <v>7406</v>
      </c>
      <c r="T1345" s="152" t="s">
        <v>7756</v>
      </c>
      <c r="U1345" s="152" t="s">
        <v>786</v>
      </c>
    </row>
    <row r="1346" spans="4:21">
      <c r="D1346" s="210"/>
      <c r="G1346" s="152" t="s">
        <v>371</v>
      </c>
      <c r="H1346" s="474" t="s">
        <v>353</v>
      </c>
      <c r="I1346" s="474"/>
      <c r="J1346" s="847">
        <v>70943.199999999997</v>
      </c>
      <c r="K1346" s="513">
        <v>49.96</v>
      </c>
      <c r="L1346" s="513">
        <v>1420</v>
      </c>
      <c r="M1346" s="152" t="s">
        <v>7143</v>
      </c>
      <c r="N1346" s="513" t="s">
        <v>780</v>
      </c>
      <c r="O1346" s="513" t="s">
        <v>1407</v>
      </c>
      <c r="P1346" s="513" t="s">
        <v>7754</v>
      </c>
      <c r="Q1346" s="518" t="s">
        <v>7101</v>
      </c>
      <c r="R1346" s="152" t="s">
        <v>7755</v>
      </c>
      <c r="S1346" s="152" t="s">
        <v>7757</v>
      </c>
      <c r="T1346" s="152" t="s">
        <v>7756</v>
      </c>
      <c r="U1346" s="152" t="s">
        <v>786</v>
      </c>
    </row>
    <row r="1347" spans="4:21">
      <c r="D1347" s="210"/>
      <c r="G1347" s="152" t="s">
        <v>371</v>
      </c>
      <c r="H1347" s="474" t="s">
        <v>353</v>
      </c>
      <c r="I1347" s="474"/>
      <c r="J1347" s="847">
        <v>140026.20000000001</v>
      </c>
      <c r="K1347" s="513">
        <v>98.61</v>
      </c>
      <c r="L1347" s="513">
        <v>1420</v>
      </c>
      <c r="M1347" s="152" t="s">
        <v>7143</v>
      </c>
      <c r="N1347" s="513" t="s">
        <v>780</v>
      </c>
      <c r="O1347" s="513" t="s">
        <v>1407</v>
      </c>
      <c r="P1347" s="513" t="s">
        <v>7754</v>
      </c>
      <c r="Q1347" s="518" t="s">
        <v>7101</v>
      </c>
      <c r="R1347" s="152" t="s">
        <v>7755</v>
      </c>
      <c r="S1347" s="152" t="s">
        <v>7768</v>
      </c>
      <c r="T1347" s="152" t="s">
        <v>7756</v>
      </c>
      <c r="U1347" s="152" t="s">
        <v>786</v>
      </c>
    </row>
    <row r="1348" spans="4:21">
      <c r="D1348" s="210"/>
      <c r="G1348" s="152" t="s">
        <v>371</v>
      </c>
      <c r="H1348" s="474" t="s">
        <v>353</v>
      </c>
      <c r="I1348" s="474"/>
      <c r="J1348" s="847">
        <v>274187.8</v>
      </c>
      <c r="K1348" s="513">
        <v>193.09</v>
      </c>
      <c r="L1348" s="513">
        <v>1420</v>
      </c>
      <c r="M1348" s="152" t="s">
        <v>7143</v>
      </c>
      <c r="N1348" s="513" t="s">
        <v>780</v>
      </c>
      <c r="O1348" s="513" t="s">
        <v>1407</v>
      </c>
      <c r="P1348" s="513" t="s">
        <v>7754</v>
      </c>
      <c r="Q1348" s="518" t="s">
        <v>7101</v>
      </c>
      <c r="R1348" s="152" t="s">
        <v>7755</v>
      </c>
      <c r="S1348" s="152" t="s">
        <v>7370</v>
      </c>
      <c r="T1348" s="152" t="s">
        <v>7756</v>
      </c>
      <c r="U1348" s="152" t="s">
        <v>786</v>
      </c>
    </row>
    <row r="1349" spans="4:21">
      <c r="D1349" s="210"/>
      <c r="G1349" s="152" t="s">
        <v>371</v>
      </c>
      <c r="H1349" s="474" t="s">
        <v>353</v>
      </c>
      <c r="I1349" s="474"/>
      <c r="J1349" s="847">
        <v>37275</v>
      </c>
      <c r="K1349" s="513">
        <v>26.25</v>
      </c>
      <c r="L1349" s="513">
        <v>1420</v>
      </c>
      <c r="M1349" s="152" t="s">
        <v>7143</v>
      </c>
      <c r="N1349" s="513" t="s">
        <v>780</v>
      </c>
      <c r="O1349" s="513" t="s">
        <v>1407</v>
      </c>
      <c r="P1349" s="513" t="s">
        <v>7754</v>
      </c>
      <c r="Q1349" s="518" t="s">
        <v>7101</v>
      </c>
      <c r="R1349" s="152" t="s">
        <v>7755</v>
      </c>
      <c r="S1349" s="152" t="s">
        <v>7342</v>
      </c>
      <c r="T1349" s="152" t="s">
        <v>7756</v>
      </c>
      <c r="U1349" s="152" t="s">
        <v>786</v>
      </c>
    </row>
    <row r="1350" spans="4:21">
      <c r="D1350" s="210"/>
      <c r="G1350" s="152" t="s">
        <v>371</v>
      </c>
      <c r="H1350" s="474" t="s">
        <v>353</v>
      </c>
      <c r="I1350" s="474"/>
      <c r="J1350" s="847">
        <v>268635.59999999998</v>
      </c>
      <c r="K1350" s="513">
        <v>189.18</v>
      </c>
      <c r="L1350" s="513">
        <v>1420</v>
      </c>
      <c r="M1350" s="152" t="s">
        <v>7143</v>
      </c>
      <c r="N1350" s="513" t="s">
        <v>780</v>
      </c>
      <c r="O1350" s="513" t="s">
        <v>1407</v>
      </c>
      <c r="P1350" s="513" t="s">
        <v>7754</v>
      </c>
      <c r="Q1350" s="518" t="s">
        <v>7101</v>
      </c>
      <c r="R1350" s="152" t="s">
        <v>7755</v>
      </c>
      <c r="S1350" s="152" t="s">
        <v>7365</v>
      </c>
      <c r="T1350" s="152" t="s">
        <v>7756</v>
      </c>
      <c r="U1350" s="152" t="s">
        <v>786</v>
      </c>
    </row>
    <row r="1351" spans="4:21">
      <c r="D1351" s="210"/>
      <c r="G1351" s="152" t="s">
        <v>371</v>
      </c>
      <c r="H1351" s="474" t="s">
        <v>353</v>
      </c>
      <c r="I1351" s="474"/>
      <c r="J1351" s="847">
        <v>74550</v>
      </c>
      <c r="K1351" s="513">
        <v>52.5</v>
      </c>
      <c r="L1351" s="513">
        <v>1420</v>
      </c>
      <c r="M1351" s="152" t="s">
        <v>7143</v>
      </c>
      <c r="N1351" s="513" t="s">
        <v>780</v>
      </c>
      <c r="O1351" s="513" t="s">
        <v>1407</v>
      </c>
      <c r="P1351" s="513" t="s">
        <v>7754</v>
      </c>
      <c r="Q1351" s="518" t="s">
        <v>7101</v>
      </c>
      <c r="R1351" s="152" t="s">
        <v>7755</v>
      </c>
      <c r="S1351" s="152" t="s">
        <v>7344</v>
      </c>
      <c r="T1351" s="152" t="s">
        <v>7756</v>
      </c>
      <c r="U1351" s="152" t="s">
        <v>786</v>
      </c>
    </row>
    <row r="1352" spans="4:21">
      <c r="D1352" s="210"/>
      <c r="G1352" s="152" t="s">
        <v>371</v>
      </c>
      <c r="H1352" s="474" t="s">
        <v>353</v>
      </c>
      <c r="I1352" s="474"/>
      <c r="J1352" s="847">
        <v>142014.20000000001</v>
      </c>
      <c r="K1352" s="513">
        <v>100.01</v>
      </c>
      <c r="L1352" s="513">
        <v>1420</v>
      </c>
      <c r="M1352" s="152" t="s">
        <v>7143</v>
      </c>
      <c r="N1352" s="513" t="s">
        <v>780</v>
      </c>
      <c r="O1352" s="513" t="s">
        <v>1407</v>
      </c>
      <c r="P1352" s="513" t="s">
        <v>7754</v>
      </c>
      <c r="Q1352" s="518" t="s">
        <v>7101</v>
      </c>
      <c r="R1352" s="152" t="s">
        <v>7755</v>
      </c>
      <c r="S1352" s="152" t="s">
        <v>7341</v>
      </c>
      <c r="T1352" s="152" t="s">
        <v>7756</v>
      </c>
      <c r="U1352" s="152" t="s">
        <v>786</v>
      </c>
    </row>
    <row r="1353" spans="4:21">
      <c r="D1353" s="210"/>
      <c r="G1353" s="152" t="s">
        <v>371</v>
      </c>
      <c r="H1353" s="474" t="s">
        <v>353</v>
      </c>
      <c r="I1353" s="474"/>
      <c r="J1353" s="847">
        <v>135184</v>
      </c>
      <c r="K1353" s="513">
        <v>95.2</v>
      </c>
      <c r="L1353" s="513">
        <v>1420</v>
      </c>
      <c r="M1353" s="152" t="s">
        <v>7143</v>
      </c>
      <c r="N1353" s="513" t="s">
        <v>780</v>
      </c>
      <c r="O1353" s="513" t="s">
        <v>1407</v>
      </c>
      <c r="P1353" s="513" t="s">
        <v>7754</v>
      </c>
      <c r="Q1353" s="518" t="s">
        <v>7101</v>
      </c>
      <c r="R1353" s="152" t="s">
        <v>7755</v>
      </c>
      <c r="S1353" s="152" t="s">
        <v>7367</v>
      </c>
      <c r="T1353" s="152" t="s">
        <v>7756</v>
      </c>
      <c r="U1353" s="152" t="s">
        <v>786</v>
      </c>
    </row>
    <row r="1354" spans="4:21">
      <c r="D1354" s="210"/>
      <c r="G1354" s="152" t="s">
        <v>371</v>
      </c>
      <c r="H1354" s="474" t="s">
        <v>353</v>
      </c>
      <c r="I1354" s="474"/>
      <c r="J1354" s="847">
        <v>119038.6</v>
      </c>
      <c r="K1354" s="513">
        <v>83.83</v>
      </c>
      <c r="L1354" s="513">
        <v>1420</v>
      </c>
      <c r="M1354" s="152" t="s">
        <v>7143</v>
      </c>
      <c r="N1354" s="513" t="s">
        <v>780</v>
      </c>
      <c r="O1354" s="513" t="s">
        <v>1407</v>
      </c>
      <c r="P1354" s="513" t="s">
        <v>7754</v>
      </c>
      <c r="Q1354" s="518" t="s">
        <v>7101</v>
      </c>
      <c r="R1354" s="152" t="s">
        <v>7755</v>
      </c>
      <c r="S1354" s="152" t="s">
        <v>7366</v>
      </c>
      <c r="T1354" s="152" t="s">
        <v>7756</v>
      </c>
      <c r="U1354" s="152" t="s">
        <v>786</v>
      </c>
    </row>
    <row r="1355" spans="4:21">
      <c r="D1355" s="210"/>
      <c r="G1355" s="152" t="s">
        <v>371</v>
      </c>
      <c r="H1355" s="474" t="s">
        <v>353</v>
      </c>
      <c r="I1355" s="474"/>
      <c r="J1355" s="847">
        <v>612176.19999999995</v>
      </c>
      <c r="K1355" s="513">
        <v>431.11</v>
      </c>
      <c r="L1355" s="513">
        <v>1420</v>
      </c>
      <c r="M1355" s="152" t="s">
        <v>7143</v>
      </c>
      <c r="N1355" s="513" t="s">
        <v>780</v>
      </c>
      <c r="O1355" s="513" t="s">
        <v>1407</v>
      </c>
      <c r="P1355" s="513" t="s">
        <v>7754</v>
      </c>
      <c r="Q1355" s="518" t="s">
        <v>7101</v>
      </c>
      <c r="R1355" s="152" t="s">
        <v>7755</v>
      </c>
      <c r="S1355" s="152" t="s">
        <v>7342</v>
      </c>
      <c r="T1355" s="152" t="s">
        <v>7756</v>
      </c>
      <c r="U1355" s="152" t="s">
        <v>786</v>
      </c>
    </row>
    <row r="1356" spans="4:21">
      <c r="D1356" s="210"/>
      <c r="G1356" s="152" t="s">
        <v>371</v>
      </c>
      <c r="H1356" s="474" t="s">
        <v>353</v>
      </c>
      <c r="I1356" s="474"/>
      <c r="J1356" s="847">
        <v>301806.8</v>
      </c>
      <c r="K1356" s="513">
        <v>212.54</v>
      </c>
      <c r="L1356" s="513">
        <v>1420</v>
      </c>
      <c r="M1356" s="152" t="s">
        <v>7143</v>
      </c>
      <c r="N1356" s="513" t="s">
        <v>780</v>
      </c>
      <c r="O1356" s="513" t="s">
        <v>1407</v>
      </c>
      <c r="P1356" s="513" t="s">
        <v>7754</v>
      </c>
      <c r="Q1356" s="518" t="s">
        <v>7101</v>
      </c>
      <c r="R1356" s="152" t="s">
        <v>7755</v>
      </c>
      <c r="S1356" s="152" t="s">
        <v>7343</v>
      </c>
      <c r="T1356" s="152" t="s">
        <v>7756</v>
      </c>
      <c r="U1356" s="152" t="s">
        <v>786</v>
      </c>
    </row>
    <row r="1357" spans="4:21">
      <c r="D1357" s="210"/>
      <c r="G1357" s="152" t="s">
        <v>371</v>
      </c>
      <c r="H1357" s="474" t="s">
        <v>353</v>
      </c>
      <c r="I1357" s="474"/>
      <c r="J1357" s="847">
        <v>268380</v>
      </c>
      <c r="K1357" s="513">
        <v>189</v>
      </c>
      <c r="L1357" s="513">
        <v>1420</v>
      </c>
      <c r="M1357" s="152" t="s">
        <v>7143</v>
      </c>
      <c r="N1357" s="513" t="s">
        <v>780</v>
      </c>
      <c r="O1357" s="513" t="s">
        <v>1407</v>
      </c>
      <c r="P1357" s="513" t="s">
        <v>7754</v>
      </c>
      <c r="Q1357" s="518" t="s">
        <v>7101</v>
      </c>
      <c r="R1357" s="152" t="s">
        <v>7755</v>
      </c>
      <c r="S1357" s="152" t="s">
        <v>7368</v>
      </c>
      <c r="T1357" s="152" t="s">
        <v>7756</v>
      </c>
      <c r="U1357" s="152" t="s">
        <v>786</v>
      </c>
    </row>
    <row r="1358" spans="4:21">
      <c r="D1358" s="210"/>
      <c r="G1358" s="152" t="s">
        <v>371</v>
      </c>
      <c r="H1358" s="474" t="s">
        <v>353</v>
      </c>
      <c r="I1358" s="474"/>
      <c r="J1358" s="847">
        <v>296680.59999999998</v>
      </c>
      <c r="K1358" s="513">
        <v>208.93</v>
      </c>
      <c r="L1358" s="513">
        <v>1420</v>
      </c>
      <c r="M1358" s="152" t="s">
        <v>7143</v>
      </c>
      <c r="N1358" s="513" t="s">
        <v>780</v>
      </c>
      <c r="O1358" s="513" t="s">
        <v>1407</v>
      </c>
      <c r="P1358" s="513" t="s">
        <v>7754</v>
      </c>
      <c r="Q1358" s="518" t="s">
        <v>7101</v>
      </c>
      <c r="R1358" s="152" t="s">
        <v>7755</v>
      </c>
      <c r="S1358" s="152" t="s">
        <v>7403</v>
      </c>
      <c r="T1358" s="152" t="s">
        <v>7756</v>
      </c>
      <c r="U1358" s="152" t="s">
        <v>786</v>
      </c>
    </row>
    <row r="1359" spans="4:21">
      <c r="D1359" s="210"/>
      <c r="G1359" s="152" t="s">
        <v>371</v>
      </c>
      <c r="H1359" s="474" t="s">
        <v>353</v>
      </c>
      <c r="I1359" s="474"/>
      <c r="J1359" s="847">
        <v>592679.6</v>
      </c>
      <c r="K1359" s="513">
        <v>417.38</v>
      </c>
      <c r="L1359" s="513">
        <v>1420</v>
      </c>
      <c r="M1359" s="152" t="s">
        <v>7143</v>
      </c>
      <c r="N1359" s="513" t="s">
        <v>780</v>
      </c>
      <c r="O1359" s="513" t="s">
        <v>1407</v>
      </c>
      <c r="P1359" s="513" t="s">
        <v>7754</v>
      </c>
      <c r="Q1359" s="518" t="s">
        <v>7101</v>
      </c>
      <c r="R1359" s="152" t="s">
        <v>7755</v>
      </c>
      <c r="S1359" s="152" t="s">
        <v>7762</v>
      </c>
      <c r="T1359" s="152" t="s">
        <v>7756</v>
      </c>
      <c r="U1359" s="152" t="s">
        <v>786</v>
      </c>
    </row>
    <row r="1360" spans="4:21">
      <c r="D1360" s="210"/>
      <c r="G1360" s="152" t="s">
        <v>371</v>
      </c>
      <c r="H1360" s="474" t="s">
        <v>353</v>
      </c>
      <c r="I1360" s="474"/>
      <c r="J1360" s="847">
        <v>296212</v>
      </c>
      <c r="K1360" s="513">
        <v>208.6</v>
      </c>
      <c r="L1360" s="513">
        <v>1420</v>
      </c>
      <c r="M1360" s="152" t="s">
        <v>7143</v>
      </c>
      <c r="N1360" s="513" t="s">
        <v>780</v>
      </c>
      <c r="O1360" s="513" t="s">
        <v>1407</v>
      </c>
      <c r="P1360" s="513" t="s">
        <v>7754</v>
      </c>
      <c r="Q1360" s="518" t="s">
        <v>7101</v>
      </c>
      <c r="R1360" s="152" t="s">
        <v>7755</v>
      </c>
      <c r="S1360" s="152" t="s">
        <v>7791</v>
      </c>
      <c r="T1360" s="152" t="s">
        <v>7756</v>
      </c>
      <c r="U1360" s="152" t="s">
        <v>786</v>
      </c>
    </row>
    <row r="1361" spans="4:21">
      <c r="D1361" s="210"/>
      <c r="G1361" s="152" t="s">
        <v>371</v>
      </c>
      <c r="H1361" s="474" t="s">
        <v>353</v>
      </c>
      <c r="I1361" s="474"/>
      <c r="J1361" s="847">
        <v>202151.2</v>
      </c>
      <c r="K1361" s="513">
        <v>142.36000000000001</v>
      </c>
      <c r="L1361" s="513">
        <v>1420</v>
      </c>
      <c r="M1361" s="152" t="s">
        <v>7143</v>
      </c>
      <c r="N1361" s="513" t="s">
        <v>780</v>
      </c>
      <c r="O1361" s="513" t="s">
        <v>1407</v>
      </c>
      <c r="P1361" s="513" t="s">
        <v>7754</v>
      </c>
      <c r="Q1361" s="518" t="s">
        <v>7101</v>
      </c>
      <c r="R1361" s="152" t="s">
        <v>7755</v>
      </c>
      <c r="S1361" s="152" t="s">
        <v>7760</v>
      </c>
      <c r="T1361" s="152" t="s">
        <v>7756</v>
      </c>
      <c r="U1361" s="152" t="s">
        <v>786</v>
      </c>
    </row>
    <row r="1362" spans="4:21">
      <c r="D1362" s="210"/>
      <c r="G1362" s="152" t="s">
        <v>371</v>
      </c>
      <c r="H1362" s="474" t="s">
        <v>353</v>
      </c>
      <c r="I1362" s="474"/>
      <c r="J1362" s="847">
        <v>414370.2</v>
      </c>
      <c r="K1362" s="513">
        <v>291.81</v>
      </c>
      <c r="L1362" s="513">
        <v>1420</v>
      </c>
      <c r="M1362" s="152" t="s">
        <v>7143</v>
      </c>
      <c r="N1362" s="513" t="s">
        <v>780</v>
      </c>
      <c r="O1362" s="513" t="s">
        <v>1407</v>
      </c>
      <c r="P1362" s="513" t="s">
        <v>7754</v>
      </c>
      <c r="Q1362" s="518" t="s">
        <v>7101</v>
      </c>
      <c r="R1362" s="152" t="s">
        <v>7755</v>
      </c>
      <c r="S1362" s="152" t="s">
        <v>7372</v>
      </c>
      <c r="T1362" s="152" t="s">
        <v>7756</v>
      </c>
      <c r="U1362" s="152" t="s">
        <v>786</v>
      </c>
    </row>
    <row r="1363" spans="4:21">
      <c r="D1363" s="210"/>
      <c r="G1363" s="152" t="s">
        <v>371</v>
      </c>
      <c r="H1363" s="474" t="s">
        <v>353</v>
      </c>
      <c r="I1363" s="474"/>
      <c r="J1363" s="847">
        <v>3480887.5</v>
      </c>
      <c r="K1363" s="513">
        <v>2477.5</v>
      </c>
      <c r="L1363" s="513">
        <v>1405</v>
      </c>
      <c r="M1363" s="152" t="s">
        <v>7143</v>
      </c>
      <c r="N1363" s="513" t="s">
        <v>1540</v>
      </c>
      <c r="O1363" s="513" t="s">
        <v>1407</v>
      </c>
      <c r="P1363" s="513" t="s">
        <v>8196</v>
      </c>
      <c r="Q1363" s="518" t="s">
        <v>8091</v>
      </c>
      <c r="R1363" s="152" t="s">
        <v>8197</v>
      </c>
      <c r="T1363" s="152" t="s">
        <v>8198</v>
      </c>
      <c r="U1363" s="152" t="s">
        <v>786</v>
      </c>
    </row>
    <row r="1364" spans="4:21">
      <c r="D1364" s="210"/>
      <c r="G1364" s="152" t="s">
        <v>371</v>
      </c>
      <c r="H1364" s="474" t="s">
        <v>353</v>
      </c>
      <c r="I1364" s="474"/>
      <c r="J1364" s="847">
        <v>4113137.5</v>
      </c>
      <c r="K1364" s="513">
        <v>2927.5</v>
      </c>
      <c r="L1364" s="513">
        <v>1405</v>
      </c>
      <c r="M1364" s="152" t="s">
        <v>7143</v>
      </c>
      <c r="N1364" s="513" t="s">
        <v>1540</v>
      </c>
      <c r="O1364" s="513" t="s">
        <v>1407</v>
      </c>
      <c r="P1364" s="513" t="s">
        <v>8199</v>
      </c>
      <c r="Q1364" s="518" t="s">
        <v>8091</v>
      </c>
      <c r="R1364" s="152" t="s">
        <v>8200</v>
      </c>
      <c r="T1364" s="152" t="s">
        <v>8201</v>
      </c>
      <c r="U1364" s="152" t="s">
        <v>786</v>
      </c>
    </row>
    <row r="1365" spans="4:21">
      <c r="D1365" s="210"/>
      <c r="G1365" s="152" t="s">
        <v>371</v>
      </c>
      <c r="H1365" s="474" t="s">
        <v>353</v>
      </c>
      <c r="I1365" s="474"/>
      <c r="J1365" s="847">
        <v>2620325</v>
      </c>
      <c r="K1365" s="513">
        <v>1865</v>
      </c>
      <c r="L1365" s="513">
        <v>1405</v>
      </c>
      <c r="M1365" s="152" t="s">
        <v>7143</v>
      </c>
      <c r="N1365" s="513" t="s">
        <v>1540</v>
      </c>
      <c r="O1365" s="513" t="s">
        <v>1407</v>
      </c>
      <c r="P1365" s="513" t="s">
        <v>8202</v>
      </c>
      <c r="Q1365" s="518" t="s">
        <v>8091</v>
      </c>
      <c r="R1365" s="152" t="s">
        <v>8203</v>
      </c>
      <c r="T1365" s="152" t="s">
        <v>8204</v>
      </c>
      <c r="U1365" s="152" t="s">
        <v>786</v>
      </c>
    </row>
    <row r="1366" spans="4:21">
      <c r="D1366" s="210"/>
      <c r="G1366" s="152" t="s">
        <v>371</v>
      </c>
      <c r="H1366" s="474" t="s">
        <v>353</v>
      </c>
      <c r="I1366" s="474"/>
      <c r="J1366" s="847">
        <v>744650</v>
      </c>
      <c r="K1366" s="513">
        <v>530</v>
      </c>
      <c r="L1366" s="513">
        <v>1405</v>
      </c>
      <c r="M1366" s="152" t="s">
        <v>7143</v>
      </c>
      <c r="N1366" s="513" t="s">
        <v>1540</v>
      </c>
      <c r="O1366" s="513" t="s">
        <v>1407</v>
      </c>
      <c r="P1366" s="513" t="s">
        <v>8205</v>
      </c>
      <c r="Q1366" s="518" t="s">
        <v>8091</v>
      </c>
      <c r="R1366" s="152" t="s">
        <v>8206</v>
      </c>
      <c r="T1366" s="152" t="s">
        <v>8207</v>
      </c>
      <c r="U1366" s="152" t="s">
        <v>786</v>
      </c>
    </row>
    <row r="1367" spans="4:21">
      <c r="D1367" s="210"/>
      <c r="G1367" s="152" t="s">
        <v>371</v>
      </c>
      <c r="H1367" s="474" t="s">
        <v>353</v>
      </c>
      <c r="I1367" s="474"/>
      <c r="J1367" s="847">
        <v>2314737.5</v>
      </c>
      <c r="K1367" s="513">
        <v>1647.5</v>
      </c>
      <c r="L1367" s="513">
        <v>1405</v>
      </c>
      <c r="M1367" s="152" t="s">
        <v>7143</v>
      </c>
      <c r="N1367" s="513" t="s">
        <v>1540</v>
      </c>
      <c r="O1367" s="513" t="s">
        <v>1407</v>
      </c>
      <c r="P1367" s="513" t="s">
        <v>8208</v>
      </c>
      <c r="Q1367" s="518" t="s">
        <v>8091</v>
      </c>
      <c r="R1367" s="152" t="s">
        <v>8209</v>
      </c>
      <c r="T1367" s="152" t="s">
        <v>8210</v>
      </c>
      <c r="U1367" s="152" t="s">
        <v>786</v>
      </c>
    </row>
    <row r="1368" spans="4:21">
      <c r="D1368" s="210"/>
      <c r="G1368" s="152" t="s">
        <v>371</v>
      </c>
      <c r="H1368" s="474" t="s">
        <v>353</v>
      </c>
      <c r="I1368" s="474"/>
      <c r="J1368" s="847">
        <v>1506862.5</v>
      </c>
      <c r="K1368" s="513">
        <v>1072.5</v>
      </c>
      <c r="L1368" s="513">
        <v>1405</v>
      </c>
      <c r="M1368" s="152" t="s">
        <v>7143</v>
      </c>
      <c r="N1368" s="513" t="s">
        <v>1540</v>
      </c>
      <c r="O1368" s="513" t="s">
        <v>1407</v>
      </c>
      <c r="P1368" s="513" t="s">
        <v>8211</v>
      </c>
      <c r="Q1368" s="518" t="s">
        <v>8091</v>
      </c>
      <c r="R1368" s="152" t="s">
        <v>8212</v>
      </c>
      <c r="T1368" s="152" t="s">
        <v>8213</v>
      </c>
      <c r="U1368" s="152" t="s">
        <v>786</v>
      </c>
    </row>
    <row r="1369" spans="4:21">
      <c r="D1369" s="210"/>
      <c r="G1369" s="152" t="s">
        <v>371</v>
      </c>
      <c r="H1369" s="474" t="s">
        <v>353</v>
      </c>
      <c r="I1369" s="474"/>
      <c r="J1369" s="847">
        <v>1893237.5</v>
      </c>
      <c r="K1369" s="513">
        <v>1347.5</v>
      </c>
      <c r="L1369" s="513">
        <v>1405</v>
      </c>
      <c r="M1369" s="152" t="s">
        <v>7143</v>
      </c>
      <c r="N1369" s="513" t="s">
        <v>1540</v>
      </c>
      <c r="O1369" s="513" t="s">
        <v>1407</v>
      </c>
      <c r="P1369" s="513" t="s">
        <v>8214</v>
      </c>
      <c r="Q1369" s="518" t="s">
        <v>8091</v>
      </c>
      <c r="R1369" s="152" t="s">
        <v>8215</v>
      </c>
      <c r="T1369" s="152" t="s">
        <v>8216</v>
      </c>
      <c r="U1369" s="152" t="s">
        <v>786</v>
      </c>
    </row>
    <row r="1370" spans="4:21">
      <c r="D1370" s="210"/>
      <c r="G1370" s="152" t="s">
        <v>371</v>
      </c>
      <c r="H1370" s="474" t="s">
        <v>353</v>
      </c>
      <c r="I1370" s="474"/>
      <c r="J1370" s="847">
        <v>2121550</v>
      </c>
      <c r="K1370" s="513">
        <v>1510</v>
      </c>
      <c r="L1370" s="513">
        <v>1405</v>
      </c>
      <c r="M1370" s="152" t="s">
        <v>7143</v>
      </c>
      <c r="N1370" s="513" t="s">
        <v>1540</v>
      </c>
      <c r="O1370" s="513" t="s">
        <v>1407</v>
      </c>
      <c r="P1370" s="513" t="s">
        <v>8217</v>
      </c>
      <c r="Q1370" s="518" t="s">
        <v>8091</v>
      </c>
      <c r="R1370" s="152" t="s">
        <v>8218</v>
      </c>
      <c r="T1370" s="152" t="s">
        <v>8219</v>
      </c>
      <c r="U1370" s="152" t="s">
        <v>786</v>
      </c>
    </row>
    <row r="1371" spans="4:21">
      <c r="D1371" s="210"/>
      <c r="G1371" s="152" t="s">
        <v>371</v>
      </c>
      <c r="H1371" s="474" t="s">
        <v>353</v>
      </c>
      <c r="I1371" s="474"/>
      <c r="J1371" s="847">
        <v>987012.5</v>
      </c>
      <c r="K1371" s="513">
        <v>702.5</v>
      </c>
      <c r="L1371" s="513">
        <v>1405</v>
      </c>
      <c r="M1371" s="152" t="s">
        <v>7143</v>
      </c>
      <c r="N1371" s="513" t="s">
        <v>1540</v>
      </c>
      <c r="O1371" s="513" t="s">
        <v>1407</v>
      </c>
      <c r="P1371" s="513" t="s">
        <v>8220</v>
      </c>
      <c r="Q1371" s="518" t="s">
        <v>8091</v>
      </c>
      <c r="R1371" s="152" t="s">
        <v>8221</v>
      </c>
      <c r="T1371" s="152" t="s">
        <v>8222</v>
      </c>
      <c r="U1371" s="152" t="s">
        <v>786</v>
      </c>
    </row>
    <row r="1372" spans="4:21">
      <c r="D1372" s="210"/>
      <c r="G1372" s="152" t="s">
        <v>371</v>
      </c>
      <c r="H1372" s="474" t="s">
        <v>353</v>
      </c>
      <c r="I1372" s="474"/>
      <c r="J1372" s="847">
        <v>1120487.5</v>
      </c>
      <c r="K1372" s="513">
        <v>797.5</v>
      </c>
      <c r="L1372" s="513">
        <v>1405</v>
      </c>
      <c r="M1372" s="152" t="s">
        <v>7143</v>
      </c>
      <c r="N1372" s="513" t="s">
        <v>1540</v>
      </c>
      <c r="O1372" s="513" t="s">
        <v>1407</v>
      </c>
      <c r="P1372" s="513" t="s">
        <v>8223</v>
      </c>
      <c r="Q1372" s="518" t="s">
        <v>8091</v>
      </c>
      <c r="R1372" s="152" t="s">
        <v>8224</v>
      </c>
      <c r="T1372" s="152" t="s">
        <v>8225</v>
      </c>
      <c r="U1372" s="152" t="s">
        <v>786</v>
      </c>
    </row>
    <row r="1373" spans="4:21">
      <c r="D1373" s="210"/>
      <c r="G1373" s="152" t="s">
        <v>371</v>
      </c>
      <c r="H1373" s="474" t="s">
        <v>353</v>
      </c>
      <c r="I1373" s="474"/>
      <c r="J1373" s="847">
        <v>4759437.5</v>
      </c>
      <c r="K1373" s="513">
        <v>3387.5</v>
      </c>
      <c r="L1373" s="513">
        <v>1405</v>
      </c>
      <c r="M1373" s="152" t="s">
        <v>7143</v>
      </c>
      <c r="N1373" s="513" t="s">
        <v>1540</v>
      </c>
      <c r="O1373" s="513" t="s">
        <v>1407</v>
      </c>
      <c r="P1373" s="513" t="s">
        <v>8226</v>
      </c>
      <c r="Q1373" s="518" t="s">
        <v>8091</v>
      </c>
      <c r="R1373" s="152" t="s">
        <v>8227</v>
      </c>
      <c r="T1373" s="152" t="s">
        <v>8228</v>
      </c>
      <c r="U1373" s="152" t="s">
        <v>786</v>
      </c>
    </row>
    <row r="1374" spans="4:21">
      <c r="D1374" s="210"/>
      <c r="G1374" s="152" t="s">
        <v>371</v>
      </c>
      <c r="H1374" s="474" t="s">
        <v>353</v>
      </c>
      <c r="I1374" s="474"/>
      <c r="J1374" s="847">
        <v>2827562.5</v>
      </c>
      <c r="K1374" s="513">
        <v>2012.5</v>
      </c>
      <c r="L1374" s="513">
        <v>1405</v>
      </c>
      <c r="M1374" s="152" t="s">
        <v>7143</v>
      </c>
      <c r="N1374" s="513" t="s">
        <v>1540</v>
      </c>
      <c r="O1374" s="513" t="s">
        <v>1407</v>
      </c>
      <c r="P1374" s="513" t="s">
        <v>8229</v>
      </c>
      <c r="Q1374" s="518" t="s">
        <v>8091</v>
      </c>
      <c r="R1374" s="152" t="s">
        <v>8230</v>
      </c>
      <c r="T1374" s="152" t="s">
        <v>8231</v>
      </c>
      <c r="U1374" s="152" t="s">
        <v>786</v>
      </c>
    </row>
    <row r="1375" spans="4:21">
      <c r="D1375" s="210"/>
      <c r="G1375" s="152" t="s">
        <v>371</v>
      </c>
      <c r="H1375" s="474" t="s">
        <v>353</v>
      </c>
      <c r="I1375" s="474"/>
      <c r="J1375" s="847">
        <v>4826175</v>
      </c>
      <c r="K1375" s="513">
        <v>3435</v>
      </c>
      <c r="L1375" s="513">
        <v>1405</v>
      </c>
      <c r="M1375" s="152" t="s">
        <v>7143</v>
      </c>
      <c r="N1375" s="513" t="s">
        <v>1540</v>
      </c>
      <c r="O1375" s="513" t="s">
        <v>1407</v>
      </c>
      <c r="P1375" s="513" t="s">
        <v>8232</v>
      </c>
      <c r="Q1375" s="518" t="s">
        <v>8091</v>
      </c>
      <c r="R1375" s="152" t="s">
        <v>8233</v>
      </c>
      <c r="T1375" s="152" t="s">
        <v>8234</v>
      </c>
      <c r="U1375" s="152" t="s">
        <v>786</v>
      </c>
    </row>
    <row r="1376" spans="4:21">
      <c r="D1376" s="210"/>
      <c r="G1376" s="152" t="s">
        <v>371</v>
      </c>
      <c r="H1376" s="474" t="s">
        <v>353</v>
      </c>
      <c r="I1376" s="474"/>
      <c r="J1376" s="847">
        <v>3705687.5</v>
      </c>
      <c r="K1376" s="513">
        <v>2637.5</v>
      </c>
      <c r="L1376" s="513">
        <v>1405</v>
      </c>
      <c r="M1376" s="152" t="s">
        <v>7143</v>
      </c>
      <c r="N1376" s="513" t="s">
        <v>1540</v>
      </c>
      <c r="O1376" s="513" t="s">
        <v>1407</v>
      </c>
      <c r="P1376" s="513" t="s">
        <v>8235</v>
      </c>
      <c r="Q1376" s="518" t="s">
        <v>8091</v>
      </c>
      <c r="R1376" s="152" t="s">
        <v>8236</v>
      </c>
      <c r="T1376" s="152" t="s">
        <v>8237</v>
      </c>
      <c r="U1376" s="152" t="s">
        <v>786</v>
      </c>
    </row>
    <row r="1377" spans="4:21">
      <c r="D1377" s="210"/>
      <c r="G1377" s="152" t="s">
        <v>371</v>
      </c>
      <c r="H1377" s="474" t="s">
        <v>353</v>
      </c>
      <c r="I1377" s="474"/>
      <c r="J1377" s="847">
        <v>5041000</v>
      </c>
      <c r="K1377" s="513">
        <v>3550</v>
      </c>
      <c r="L1377" s="513">
        <v>1420</v>
      </c>
      <c r="M1377" s="152" t="s">
        <v>7143</v>
      </c>
      <c r="N1377" s="513" t="s">
        <v>1540</v>
      </c>
      <c r="O1377" s="513" t="s">
        <v>1407</v>
      </c>
      <c r="P1377" s="513" t="s">
        <v>8238</v>
      </c>
      <c r="Q1377" s="518" t="s">
        <v>8091</v>
      </c>
      <c r="R1377" s="152" t="s">
        <v>8239</v>
      </c>
      <c r="T1377" s="152" t="s">
        <v>8240</v>
      </c>
      <c r="U1377" s="152" t="s">
        <v>786</v>
      </c>
    </row>
    <row r="1378" spans="4:21">
      <c r="D1378" s="210"/>
      <c r="G1378" s="152" t="s">
        <v>371</v>
      </c>
      <c r="H1378" s="474" t="s">
        <v>353</v>
      </c>
      <c r="I1378" s="474"/>
      <c r="J1378" s="847">
        <v>5971100</v>
      </c>
      <c r="K1378" s="513">
        <v>4205</v>
      </c>
      <c r="L1378" s="513">
        <v>1420</v>
      </c>
      <c r="M1378" s="152" t="s">
        <v>7143</v>
      </c>
      <c r="N1378" s="513" t="s">
        <v>1540</v>
      </c>
      <c r="O1378" s="513" t="s">
        <v>1407</v>
      </c>
      <c r="P1378" s="513" t="s">
        <v>8241</v>
      </c>
      <c r="Q1378" s="518" t="s">
        <v>8091</v>
      </c>
      <c r="R1378" s="152" t="s">
        <v>8242</v>
      </c>
      <c r="T1378" s="152" t="s">
        <v>8243</v>
      </c>
      <c r="U1378" s="152" t="s">
        <v>786</v>
      </c>
    </row>
    <row r="1379" spans="4:21">
      <c r="D1379" s="210"/>
      <c r="G1379" s="152" t="s">
        <v>371</v>
      </c>
      <c r="H1379" s="474" t="s">
        <v>353</v>
      </c>
      <c r="I1379" s="474"/>
      <c r="J1379" s="847">
        <v>6479460</v>
      </c>
      <c r="K1379" s="513">
        <v>4563</v>
      </c>
      <c r="L1379" s="513">
        <v>1420</v>
      </c>
      <c r="M1379" s="152" t="s">
        <v>7143</v>
      </c>
      <c r="N1379" s="513" t="s">
        <v>1540</v>
      </c>
      <c r="O1379" s="513" t="s">
        <v>1407</v>
      </c>
      <c r="P1379" s="513" t="s">
        <v>8244</v>
      </c>
      <c r="Q1379" s="518" t="s">
        <v>8091</v>
      </c>
      <c r="R1379" s="152" t="s">
        <v>8245</v>
      </c>
      <c r="T1379" s="152" t="s">
        <v>8246</v>
      </c>
      <c r="U1379" s="152" t="s">
        <v>786</v>
      </c>
    </row>
    <row r="1380" spans="4:21">
      <c r="D1380" s="210"/>
      <c r="G1380" s="152" t="s">
        <v>371</v>
      </c>
      <c r="H1380" s="474" t="s">
        <v>353</v>
      </c>
      <c r="I1380" s="474"/>
      <c r="J1380" s="847">
        <v>1065000</v>
      </c>
      <c r="K1380" s="513">
        <v>750</v>
      </c>
      <c r="L1380" s="513">
        <v>1420</v>
      </c>
      <c r="M1380" s="152" t="s">
        <v>7143</v>
      </c>
      <c r="N1380" s="513" t="s">
        <v>1540</v>
      </c>
      <c r="O1380" s="513" t="s">
        <v>1407</v>
      </c>
      <c r="P1380" s="513" t="s">
        <v>8247</v>
      </c>
      <c r="Q1380" s="518" t="s">
        <v>8091</v>
      </c>
      <c r="R1380" s="152" t="s">
        <v>8248</v>
      </c>
      <c r="T1380" s="152" t="s">
        <v>8249</v>
      </c>
      <c r="U1380" s="152" t="s">
        <v>786</v>
      </c>
    </row>
    <row r="1381" spans="4:21">
      <c r="D1381" s="210"/>
      <c r="G1381" s="152" t="s">
        <v>371</v>
      </c>
      <c r="H1381" s="474" t="s">
        <v>353</v>
      </c>
      <c r="I1381" s="474"/>
      <c r="J1381" s="847">
        <v>4000850</v>
      </c>
      <c r="K1381" s="513">
        <v>2817.5</v>
      </c>
      <c r="L1381" s="513">
        <v>1420</v>
      </c>
      <c r="M1381" s="152" t="s">
        <v>7143</v>
      </c>
      <c r="N1381" s="513" t="s">
        <v>1540</v>
      </c>
      <c r="O1381" s="513" t="s">
        <v>1407</v>
      </c>
      <c r="P1381" s="513" t="s">
        <v>8250</v>
      </c>
      <c r="Q1381" s="518" t="s">
        <v>8091</v>
      </c>
      <c r="R1381" s="152" t="s">
        <v>8251</v>
      </c>
      <c r="T1381" s="152" t="s">
        <v>8252</v>
      </c>
      <c r="U1381" s="152" t="s">
        <v>786</v>
      </c>
    </row>
    <row r="1382" spans="4:21">
      <c r="D1382" s="210"/>
      <c r="G1382" s="152" t="s">
        <v>371</v>
      </c>
      <c r="H1382" s="474" t="s">
        <v>353</v>
      </c>
      <c r="I1382" s="474"/>
      <c r="J1382" s="847">
        <v>7751258.5499999998</v>
      </c>
      <c r="K1382" s="513">
        <v>5516.91</v>
      </c>
      <c r="L1382" s="513">
        <v>1405</v>
      </c>
      <c r="M1382" s="152" t="s">
        <v>7143</v>
      </c>
      <c r="N1382" s="513" t="s">
        <v>1540</v>
      </c>
      <c r="O1382" s="513" t="s">
        <v>1407</v>
      </c>
      <c r="P1382" s="513" t="s">
        <v>8253</v>
      </c>
      <c r="Q1382" s="518" t="s">
        <v>8091</v>
      </c>
      <c r="R1382" s="152" t="s">
        <v>8254</v>
      </c>
      <c r="T1382" s="152" t="s">
        <v>8255</v>
      </c>
      <c r="U1382" s="152" t="s">
        <v>786</v>
      </c>
    </row>
    <row r="1383" spans="4:21">
      <c r="D1383" s="210"/>
      <c r="G1383" s="152" t="s">
        <v>371</v>
      </c>
      <c r="H1383" s="474" t="s">
        <v>353</v>
      </c>
      <c r="I1383" s="474"/>
      <c r="J1383" s="847">
        <v>8373800</v>
      </c>
      <c r="K1383" s="513">
        <v>5960</v>
      </c>
      <c r="L1383" s="513">
        <v>1405</v>
      </c>
      <c r="M1383" s="152" t="s">
        <v>7143</v>
      </c>
      <c r="N1383" s="513" t="s">
        <v>1540</v>
      </c>
      <c r="O1383" s="513" t="s">
        <v>1407</v>
      </c>
      <c r="P1383" s="513" t="s">
        <v>8256</v>
      </c>
      <c r="Q1383" s="518" t="s">
        <v>8091</v>
      </c>
      <c r="R1383" s="152" t="s">
        <v>8257</v>
      </c>
      <c r="T1383" s="152" t="s">
        <v>8258</v>
      </c>
      <c r="U1383" s="152" t="s">
        <v>786</v>
      </c>
    </row>
    <row r="1384" spans="4:21">
      <c r="D1384" s="210"/>
      <c r="G1384" s="152" t="s">
        <v>371</v>
      </c>
      <c r="H1384" s="474" t="s">
        <v>353</v>
      </c>
      <c r="I1384" s="474"/>
      <c r="J1384" s="847">
        <v>5714837.5</v>
      </c>
      <c r="K1384" s="513">
        <v>4067.5</v>
      </c>
      <c r="L1384" s="513">
        <v>1405</v>
      </c>
      <c r="M1384" s="152" t="s">
        <v>7143</v>
      </c>
      <c r="N1384" s="513" t="s">
        <v>1540</v>
      </c>
      <c r="O1384" s="513" t="s">
        <v>1407</v>
      </c>
      <c r="P1384" s="513" t="s">
        <v>8259</v>
      </c>
      <c r="Q1384" s="518" t="s">
        <v>8091</v>
      </c>
      <c r="R1384" s="152" t="s">
        <v>8260</v>
      </c>
      <c r="T1384" s="152" t="s">
        <v>8261</v>
      </c>
      <c r="U1384" s="152" t="s">
        <v>786</v>
      </c>
    </row>
    <row r="1385" spans="4:21">
      <c r="D1385" s="210"/>
      <c r="G1385" s="152" t="s">
        <v>371</v>
      </c>
      <c r="H1385" s="474" t="s">
        <v>353</v>
      </c>
      <c r="I1385" s="474"/>
      <c r="J1385" s="847">
        <v>6182000</v>
      </c>
      <c r="K1385" s="513">
        <v>4400</v>
      </c>
      <c r="L1385" s="513">
        <v>1405</v>
      </c>
      <c r="M1385" s="152" t="s">
        <v>7143</v>
      </c>
      <c r="N1385" s="513" t="s">
        <v>1540</v>
      </c>
      <c r="O1385" s="513" t="s">
        <v>1407</v>
      </c>
      <c r="P1385" s="513" t="s">
        <v>8262</v>
      </c>
      <c r="Q1385" s="518" t="s">
        <v>8091</v>
      </c>
      <c r="R1385" s="152" t="s">
        <v>8263</v>
      </c>
      <c r="T1385" s="152" t="s">
        <v>8264</v>
      </c>
      <c r="U1385" s="152" t="s">
        <v>786</v>
      </c>
    </row>
    <row r="1386" spans="4:21">
      <c r="D1386" s="210"/>
      <c r="G1386" s="152" t="s">
        <v>371</v>
      </c>
      <c r="H1386" s="474" t="s">
        <v>353</v>
      </c>
      <c r="I1386" s="474"/>
      <c r="J1386" s="847">
        <v>5532187.5</v>
      </c>
      <c r="K1386" s="513">
        <v>3937.5</v>
      </c>
      <c r="L1386" s="513">
        <v>1405</v>
      </c>
      <c r="M1386" s="152" t="s">
        <v>7143</v>
      </c>
      <c r="N1386" s="513" t="s">
        <v>1540</v>
      </c>
      <c r="O1386" s="513" t="s">
        <v>1407</v>
      </c>
      <c r="P1386" s="513" t="s">
        <v>8265</v>
      </c>
      <c r="Q1386" s="518" t="s">
        <v>8091</v>
      </c>
      <c r="R1386" s="152" t="s">
        <v>8266</v>
      </c>
      <c r="T1386" s="152" t="s">
        <v>8267</v>
      </c>
      <c r="U1386" s="152" t="s">
        <v>786</v>
      </c>
    </row>
    <row r="1387" spans="4:21">
      <c r="D1387" s="210"/>
      <c r="G1387" s="152" t="s">
        <v>371</v>
      </c>
      <c r="H1387" s="474" t="s">
        <v>353</v>
      </c>
      <c r="I1387" s="474"/>
      <c r="J1387" s="847">
        <v>4432775</v>
      </c>
      <c r="K1387" s="513">
        <v>3155</v>
      </c>
      <c r="L1387" s="513">
        <v>1405</v>
      </c>
      <c r="M1387" s="152" t="s">
        <v>7143</v>
      </c>
      <c r="N1387" s="513" t="s">
        <v>1540</v>
      </c>
      <c r="O1387" s="513" t="s">
        <v>1407</v>
      </c>
      <c r="P1387" s="513" t="s">
        <v>8268</v>
      </c>
      <c r="Q1387" s="518" t="s">
        <v>8091</v>
      </c>
      <c r="R1387" s="152" t="s">
        <v>8269</v>
      </c>
      <c r="T1387" s="152" t="s">
        <v>8270</v>
      </c>
      <c r="U1387" s="152" t="s">
        <v>786</v>
      </c>
    </row>
    <row r="1388" spans="4:21">
      <c r="D1388" s="210"/>
      <c r="G1388" s="152" t="s">
        <v>371</v>
      </c>
      <c r="H1388" s="474" t="s">
        <v>353</v>
      </c>
      <c r="I1388" s="474"/>
      <c r="J1388" s="847">
        <v>3941025</v>
      </c>
      <c r="K1388" s="513">
        <v>2805</v>
      </c>
      <c r="L1388" s="513">
        <v>1405</v>
      </c>
      <c r="M1388" s="152" t="s">
        <v>7143</v>
      </c>
      <c r="N1388" s="513" t="s">
        <v>1540</v>
      </c>
      <c r="O1388" s="513" t="s">
        <v>1407</v>
      </c>
      <c r="P1388" s="513" t="s">
        <v>8271</v>
      </c>
      <c r="Q1388" s="518" t="s">
        <v>8091</v>
      </c>
      <c r="R1388" s="152" t="s">
        <v>8272</v>
      </c>
      <c r="T1388" s="152" t="s">
        <v>8273</v>
      </c>
      <c r="U1388" s="152" t="s">
        <v>786</v>
      </c>
    </row>
    <row r="1389" spans="4:21">
      <c r="D1389" s="210"/>
      <c r="G1389" s="152" t="s">
        <v>371</v>
      </c>
      <c r="H1389" s="474" t="s">
        <v>353</v>
      </c>
      <c r="I1389" s="474"/>
      <c r="J1389" s="847">
        <v>2005637.5</v>
      </c>
      <c r="K1389" s="513">
        <v>1427.5</v>
      </c>
      <c r="L1389" s="513">
        <v>1405</v>
      </c>
      <c r="M1389" s="152" t="s">
        <v>7143</v>
      </c>
      <c r="N1389" s="513" t="s">
        <v>1540</v>
      </c>
      <c r="O1389" s="513" t="s">
        <v>1407</v>
      </c>
      <c r="P1389" s="513" t="s">
        <v>8274</v>
      </c>
      <c r="Q1389" s="518" t="s">
        <v>8091</v>
      </c>
      <c r="R1389" s="152" t="s">
        <v>8275</v>
      </c>
      <c r="T1389" s="152" t="s">
        <v>8276</v>
      </c>
      <c r="U1389" s="152" t="s">
        <v>786</v>
      </c>
    </row>
    <row r="1390" spans="4:21">
      <c r="D1390" s="210"/>
      <c r="G1390" s="152" t="s">
        <v>371</v>
      </c>
      <c r="H1390" s="474" t="s">
        <v>353</v>
      </c>
      <c r="I1390" s="474"/>
      <c r="J1390" s="847">
        <v>4994850</v>
      </c>
      <c r="K1390" s="513">
        <v>3517.5</v>
      </c>
      <c r="L1390" s="513">
        <v>1420</v>
      </c>
      <c r="M1390" s="152" t="s">
        <v>7143</v>
      </c>
      <c r="N1390" s="513" t="s">
        <v>1540</v>
      </c>
      <c r="O1390" s="513" t="s">
        <v>1407</v>
      </c>
      <c r="P1390" s="513" t="s">
        <v>8277</v>
      </c>
      <c r="Q1390" s="518" t="s">
        <v>8091</v>
      </c>
      <c r="R1390" s="152" t="s">
        <v>8278</v>
      </c>
      <c r="T1390" s="152" t="s">
        <v>8279</v>
      </c>
      <c r="U1390" s="152" t="s">
        <v>786</v>
      </c>
    </row>
    <row r="1391" spans="4:21">
      <c r="D1391" s="210"/>
      <c r="G1391" s="152" t="s">
        <v>371</v>
      </c>
      <c r="H1391" s="474" t="s">
        <v>353</v>
      </c>
      <c r="I1391" s="474"/>
      <c r="J1391" s="847">
        <v>621010</v>
      </c>
      <c r="K1391" s="513">
        <v>442</v>
      </c>
      <c r="L1391" s="513">
        <v>1405</v>
      </c>
      <c r="M1391" s="152" t="s">
        <v>7143</v>
      </c>
      <c r="N1391" s="513" t="s">
        <v>1540</v>
      </c>
      <c r="O1391" s="513" t="s">
        <v>1407</v>
      </c>
      <c r="P1391" s="513" t="s">
        <v>8280</v>
      </c>
      <c r="Q1391" s="518" t="s">
        <v>8091</v>
      </c>
      <c r="R1391" s="152" t="s">
        <v>8281</v>
      </c>
      <c r="T1391" s="152" t="s">
        <v>8282</v>
      </c>
      <c r="U1391" s="152" t="s">
        <v>786</v>
      </c>
    </row>
    <row r="1392" spans="4:21">
      <c r="D1392" s="210"/>
      <c r="G1392" s="152" t="s">
        <v>371</v>
      </c>
      <c r="H1392" s="474" t="s">
        <v>353</v>
      </c>
      <c r="I1392" s="474"/>
      <c r="J1392" s="847">
        <v>2370937.5</v>
      </c>
      <c r="K1392" s="513">
        <v>1687.5</v>
      </c>
      <c r="L1392" s="513">
        <v>1405</v>
      </c>
      <c r="M1392" s="152" t="s">
        <v>7143</v>
      </c>
      <c r="N1392" s="513" t="s">
        <v>1540</v>
      </c>
      <c r="O1392" s="513" t="s">
        <v>1407</v>
      </c>
      <c r="P1392" s="513" t="s">
        <v>8283</v>
      </c>
      <c r="Q1392" s="518" t="s">
        <v>8091</v>
      </c>
      <c r="R1392" s="152" t="s">
        <v>8284</v>
      </c>
      <c r="T1392" s="152" t="s">
        <v>8285</v>
      </c>
      <c r="U1392" s="152" t="s">
        <v>786</v>
      </c>
    </row>
    <row r="1393" spans="4:21">
      <c r="D1393" s="210"/>
      <c r="G1393" s="152" t="s">
        <v>371</v>
      </c>
      <c r="H1393" s="474" t="s">
        <v>353</v>
      </c>
      <c r="I1393" s="474"/>
      <c r="J1393" s="847">
        <v>3224475</v>
      </c>
      <c r="K1393" s="513">
        <v>2295</v>
      </c>
      <c r="L1393" s="513">
        <v>1405</v>
      </c>
      <c r="M1393" s="152" t="s">
        <v>7143</v>
      </c>
      <c r="N1393" s="513" t="s">
        <v>1540</v>
      </c>
      <c r="O1393" s="513" t="s">
        <v>1407</v>
      </c>
      <c r="P1393" s="513" t="s">
        <v>8286</v>
      </c>
      <c r="Q1393" s="518" t="s">
        <v>8091</v>
      </c>
      <c r="R1393" s="152" t="s">
        <v>8287</v>
      </c>
      <c r="T1393" s="152" t="s">
        <v>8288</v>
      </c>
      <c r="U1393" s="152" t="s">
        <v>786</v>
      </c>
    </row>
    <row r="1394" spans="4:21">
      <c r="D1394" s="210"/>
      <c r="G1394" s="152" t="s">
        <v>371</v>
      </c>
      <c r="H1394" s="474" t="s">
        <v>353</v>
      </c>
      <c r="I1394" s="474"/>
      <c r="J1394" s="847">
        <v>2170725</v>
      </c>
      <c r="K1394" s="513">
        <v>1545</v>
      </c>
      <c r="L1394" s="513">
        <v>1405</v>
      </c>
      <c r="M1394" s="152" t="s">
        <v>7143</v>
      </c>
      <c r="N1394" s="513" t="s">
        <v>1540</v>
      </c>
      <c r="O1394" s="513" t="s">
        <v>1407</v>
      </c>
      <c r="P1394" s="513" t="s">
        <v>8289</v>
      </c>
      <c r="Q1394" s="518" t="s">
        <v>8091</v>
      </c>
      <c r="R1394" s="152" t="s">
        <v>8290</v>
      </c>
      <c r="T1394" s="152" t="s">
        <v>8291</v>
      </c>
      <c r="U1394" s="152" t="s">
        <v>786</v>
      </c>
    </row>
    <row r="1395" spans="4:21">
      <c r="D1395" s="210"/>
      <c r="G1395" s="152" t="s">
        <v>371</v>
      </c>
      <c r="H1395" s="474" t="s">
        <v>353</v>
      </c>
      <c r="I1395" s="474"/>
      <c r="J1395" s="847">
        <v>-4994850</v>
      </c>
      <c r="K1395" s="513">
        <v>-3517.5</v>
      </c>
      <c r="L1395" s="513">
        <v>1420</v>
      </c>
      <c r="M1395" s="152" t="s">
        <v>7143</v>
      </c>
      <c r="N1395" s="513" t="s">
        <v>1540</v>
      </c>
      <c r="O1395" s="513" t="s">
        <v>1407</v>
      </c>
      <c r="P1395" s="513" t="s">
        <v>8382</v>
      </c>
      <c r="Q1395" s="518" t="s">
        <v>8091</v>
      </c>
      <c r="R1395" s="152" t="s">
        <v>8383</v>
      </c>
      <c r="T1395" s="152" t="s">
        <v>8384</v>
      </c>
      <c r="U1395" s="152" t="s">
        <v>786</v>
      </c>
    </row>
    <row r="1396" spans="4:21">
      <c r="D1396" s="210"/>
      <c r="G1396" s="152" t="s">
        <v>371</v>
      </c>
      <c r="H1396" s="474" t="s">
        <v>353</v>
      </c>
      <c r="I1396" s="474"/>
      <c r="J1396" s="847">
        <v>4604350</v>
      </c>
      <c r="K1396" s="513">
        <v>3242.5</v>
      </c>
      <c r="L1396" s="513">
        <v>1420</v>
      </c>
      <c r="M1396" s="152" t="s">
        <v>7143</v>
      </c>
      <c r="N1396" s="513" t="s">
        <v>1540</v>
      </c>
      <c r="O1396" s="513" t="s">
        <v>1407</v>
      </c>
      <c r="P1396" s="513" t="s">
        <v>8385</v>
      </c>
      <c r="Q1396" s="518" t="s">
        <v>8091</v>
      </c>
      <c r="R1396" s="152" t="s">
        <v>8386</v>
      </c>
      <c r="T1396" s="152" t="s">
        <v>8387</v>
      </c>
      <c r="U1396" s="152" t="s">
        <v>786</v>
      </c>
    </row>
    <row r="1397" spans="4:21">
      <c r="D1397" s="210"/>
      <c r="G1397" s="152" t="s">
        <v>371</v>
      </c>
      <c r="H1397" s="474" t="s">
        <v>353</v>
      </c>
      <c r="I1397" s="474"/>
      <c r="J1397" s="847">
        <v>3081400</v>
      </c>
      <c r="K1397" s="513">
        <v>2170</v>
      </c>
      <c r="L1397" s="513">
        <v>1420</v>
      </c>
      <c r="M1397" s="152" t="s">
        <v>7143</v>
      </c>
      <c r="N1397" s="513" t="s">
        <v>1540</v>
      </c>
      <c r="O1397" s="513" t="s">
        <v>1407</v>
      </c>
      <c r="P1397" s="513" t="s">
        <v>8388</v>
      </c>
      <c r="Q1397" s="518" t="s">
        <v>8091</v>
      </c>
      <c r="R1397" s="152" t="s">
        <v>8389</v>
      </c>
      <c r="T1397" s="152" t="s">
        <v>8390</v>
      </c>
      <c r="U1397" s="152" t="s">
        <v>786</v>
      </c>
    </row>
    <row r="1398" spans="4:21">
      <c r="D1398" s="210"/>
      <c r="G1398" s="152" t="s">
        <v>371</v>
      </c>
      <c r="H1398" s="474" t="s">
        <v>353</v>
      </c>
      <c r="I1398" s="474"/>
      <c r="J1398" s="847">
        <v>4643400</v>
      </c>
      <c r="K1398" s="513">
        <v>3270</v>
      </c>
      <c r="L1398" s="513">
        <v>1420</v>
      </c>
      <c r="M1398" s="152" t="s">
        <v>7143</v>
      </c>
      <c r="N1398" s="513" t="s">
        <v>1540</v>
      </c>
      <c r="O1398" s="513" t="s">
        <v>1407</v>
      </c>
      <c r="P1398" s="513" t="s">
        <v>8391</v>
      </c>
      <c r="Q1398" s="518" t="s">
        <v>8091</v>
      </c>
      <c r="R1398" s="152" t="s">
        <v>8392</v>
      </c>
      <c r="T1398" s="152" t="s">
        <v>8393</v>
      </c>
      <c r="U1398" s="152" t="s">
        <v>786</v>
      </c>
    </row>
    <row r="1399" spans="4:21">
      <c r="D1399" s="210"/>
      <c r="G1399" s="152" t="s">
        <v>371</v>
      </c>
      <c r="H1399" s="474" t="s">
        <v>353</v>
      </c>
      <c r="I1399" s="474"/>
      <c r="J1399" s="847">
        <v>-499997.35</v>
      </c>
      <c r="K1399" s="513">
        <v>-355.87</v>
      </c>
      <c r="L1399" s="513">
        <v>1405</v>
      </c>
      <c r="M1399" s="152" t="s">
        <v>7099</v>
      </c>
      <c r="N1399" s="513" t="s">
        <v>780</v>
      </c>
      <c r="O1399" s="513" t="s">
        <v>2705</v>
      </c>
      <c r="P1399" s="513" t="s">
        <v>7100</v>
      </c>
      <c r="Q1399" s="518" t="s">
        <v>7101</v>
      </c>
      <c r="R1399" s="152" t="s">
        <v>7102</v>
      </c>
      <c r="T1399" s="152" t="s">
        <v>7103</v>
      </c>
      <c r="U1399" s="152" t="s">
        <v>786</v>
      </c>
    </row>
    <row r="1400" spans="4:21">
      <c r="D1400" s="210"/>
      <c r="G1400" s="152" t="s">
        <v>371</v>
      </c>
      <c r="H1400" s="474" t="s">
        <v>353</v>
      </c>
      <c r="I1400" s="474"/>
      <c r="J1400" s="847">
        <v>-499997.35</v>
      </c>
      <c r="K1400" s="513">
        <v>-355.87</v>
      </c>
      <c r="L1400" s="513">
        <v>1405</v>
      </c>
      <c r="M1400" s="152" t="s">
        <v>7104</v>
      </c>
      <c r="N1400" s="513" t="s">
        <v>780</v>
      </c>
      <c r="O1400" s="513" t="s">
        <v>2705</v>
      </c>
      <c r="P1400" s="513" t="s">
        <v>7105</v>
      </c>
      <c r="Q1400" s="518" t="s">
        <v>7101</v>
      </c>
      <c r="R1400" s="152" t="s">
        <v>7106</v>
      </c>
      <c r="T1400" s="152" t="s">
        <v>7107</v>
      </c>
      <c r="U1400" s="152" t="s">
        <v>786</v>
      </c>
    </row>
    <row r="1401" spans="4:21">
      <c r="D1401" s="210"/>
      <c r="G1401" s="152" t="s">
        <v>371</v>
      </c>
      <c r="H1401" s="474" t="s">
        <v>353</v>
      </c>
      <c r="I1401" s="474"/>
      <c r="J1401" s="847">
        <v>-299995.59999999998</v>
      </c>
      <c r="K1401" s="513">
        <v>-213.52</v>
      </c>
      <c r="L1401" s="513">
        <v>1405</v>
      </c>
      <c r="M1401" s="152" t="s">
        <v>7108</v>
      </c>
      <c r="N1401" s="513" t="s">
        <v>780</v>
      </c>
      <c r="O1401" s="513" t="s">
        <v>2705</v>
      </c>
      <c r="P1401" s="513" t="s">
        <v>7109</v>
      </c>
      <c r="Q1401" s="518" t="s">
        <v>7101</v>
      </c>
      <c r="R1401" s="152" t="s">
        <v>7110</v>
      </c>
      <c r="T1401" s="152" t="s">
        <v>7111</v>
      </c>
      <c r="U1401" s="152" t="s">
        <v>786</v>
      </c>
    </row>
    <row r="1402" spans="4:21">
      <c r="D1402" s="210"/>
      <c r="G1402" s="152" t="s">
        <v>371</v>
      </c>
      <c r="H1402" s="474" t="s">
        <v>353</v>
      </c>
      <c r="I1402" s="474"/>
      <c r="J1402" s="847">
        <v>-200001.75</v>
      </c>
      <c r="K1402" s="513">
        <v>-142.35</v>
      </c>
      <c r="L1402" s="513">
        <v>1405</v>
      </c>
      <c r="M1402" s="152" t="s">
        <v>7112</v>
      </c>
      <c r="N1402" s="513" t="s">
        <v>780</v>
      </c>
      <c r="O1402" s="513" t="s">
        <v>2705</v>
      </c>
      <c r="P1402" s="513" t="s">
        <v>7113</v>
      </c>
      <c r="Q1402" s="518" t="s">
        <v>7101</v>
      </c>
      <c r="R1402" s="152" t="s">
        <v>7114</v>
      </c>
      <c r="T1402" s="152" t="s">
        <v>7115</v>
      </c>
      <c r="U1402" s="152" t="s">
        <v>786</v>
      </c>
    </row>
    <row r="1403" spans="4:21">
      <c r="D1403" s="210"/>
      <c r="G1403" s="152" t="s">
        <v>371</v>
      </c>
      <c r="H1403" s="474" t="s">
        <v>353</v>
      </c>
      <c r="I1403" s="474"/>
      <c r="J1403" s="847">
        <v>-509073.65</v>
      </c>
      <c r="K1403" s="513">
        <v>-362.33</v>
      </c>
      <c r="L1403" s="513">
        <v>1405</v>
      </c>
      <c r="M1403" s="152" t="s">
        <v>7108</v>
      </c>
      <c r="N1403" s="513" t="s">
        <v>780</v>
      </c>
      <c r="O1403" s="513" t="s">
        <v>2705</v>
      </c>
      <c r="P1403" s="513" t="s">
        <v>7245</v>
      </c>
      <c r="Q1403" s="518" t="s">
        <v>7101</v>
      </c>
      <c r="R1403" s="152" t="s">
        <v>7246</v>
      </c>
      <c r="S1403" s="152" t="s">
        <v>7255</v>
      </c>
      <c r="T1403" s="152" t="s">
        <v>7248</v>
      </c>
      <c r="U1403" s="152" t="s">
        <v>786</v>
      </c>
    </row>
    <row r="1404" spans="4:21">
      <c r="D1404" s="210"/>
      <c r="G1404" s="152" t="s">
        <v>371</v>
      </c>
      <c r="H1404" s="474" t="s">
        <v>353</v>
      </c>
      <c r="I1404" s="474"/>
      <c r="J1404" s="847">
        <v>-1278000</v>
      </c>
      <c r="K1404" s="513">
        <v>-900</v>
      </c>
      <c r="L1404" s="513">
        <v>1420</v>
      </c>
      <c r="M1404" s="152" t="s">
        <v>7276</v>
      </c>
      <c r="N1404" s="513" t="s">
        <v>780</v>
      </c>
      <c r="O1404" s="513" t="s">
        <v>2705</v>
      </c>
      <c r="P1404" s="513" t="s">
        <v>7277</v>
      </c>
      <c r="Q1404" s="518" t="s">
        <v>7101</v>
      </c>
      <c r="R1404" s="152" t="s">
        <v>7278</v>
      </c>
      <c r="S1404" s="152" t="s">
        <v>7281</v>
      </c>
      <c r="T1404" s="152" t="s">
        <v>7280</v>
      </c>
      <c r="U1404" s="152" t="s">
        <v>786</v>
      </c>
    </row>
    <row r="1405" spans="4:21">
      <c r="D1405" s="210"/>
      <c r="G1405" s="152" t="s">
        <v>372</v>
      </c>
      <c r="H1405" s="474" t="s">
        <v>309</v>
      </c>
      <c r="I1405" s="474"/>
      <c r="J1405" s="847">
        <v>-23491.599999999999</v>
      </c>
      <c r="K1405" s="513">
        <v>-16.72</v>
      </c>
      <c r="L1405" s="513">
        <v>1405</v>
      </c>
      <c r="M1405" s="152" t="s">
        <v>7116</v>
      </c>
      <c r="N1405" s="513" t="s">
        <v>780</v>
      </c>
      <c r="O1405" s="513" t="s">
        <v>781</v>
      </c>
      <c r="P1405" s="513" t="s">
        <v>7179</v>
      </c>
      <c r="Q1405" s="518" t="s">
        <v>7101</v>
      </c>
      <c r="R1405" s="152" t="s">
        <v>7180</v>
      </c>
      <c r="S1405" s="152" t="s">
        <v>7202</v>
      </c>
      <c r="T1405" s="152" t="s">
        <v>7182</v>
      </c>
      <c r="U1405" s="152" t="s">
        <v>786</v>
      </c>
    </row>
    <row r="1406" spans="4:21">
      <c r="D1406" s="210"/>
      <c r="G1406" s="152" t="s">
        <v>372</v>
      </c>
      <c r="H1406" s="474" t="s">
        <v>309</v>
      </c>
      <c r="I1406" s="474"/>
      <c r="J1406" s="847">
        <v>-23885</v>
      </c>
      <c r="K1406" s="513">
        <v>-17</v>
      </c>
      <c r="L1406" s="513">
        <v>1405</v>
      </c>
      <c r="M1406" s="152" t="s">
        <v>7116</v>
      </c>
      <c r="N1406" s="513" t="s">
        <v>780</v>
      </c>
      <c r="O1406" s="513" t="s">
        <v>781</v>
      </c>
      <c r="P1406" s="513" t="s">
        <v>7179</v>
      </c>
      <c r="Q1406" s="518" t="s">
        <v>7101</v>
      </c>
      <c r="R1406" s="152" t="s">
        <v>7180</v>
      </c>
      <c r="S1406" s="152" t="s">
        <v>7203</v>
      </c>
      <c r="T1406" s="152" t="s">
        <v>7182</v>
      </c>
      <c r="U1406" s="152" t="s">
        <v>786</v>
      </c>
    </row>
    <row r="1407" spans="4:21">
      <c r="D1407" s="210"/>
      <c r="G1407" s="152" t="s">
        <v>372</v>
      </c>
      <c r="H1407" s="474" t="s">
        <v>309</v>
      </c>
      <c r="I1407" s="474"/>
      <c r="J1407" s="847">
        <v>-10537.5</v>
      </c>
      <c r="K1407" s="513">
        <v>-7.5</v>
      </c>
      <c r="L1407" s="513">
        <v>1405</v>
      </c>
      <c r="M1407" s="152" t="s">
        <v>7116</v>
      </c>
      <c r="N1407" s="513" t="s">
        <v>780</v>
      </c>
      <c r="O1407" s="513" t="s">
        <v>781</v>
      </c>
      <c r="P1407" s="513" t="s">
        <v>7179</v>
      </c>
      <c r="Q1407" s="518" t="s">
        <v>7101</v>
      </c>
      <c r="R1407" s="152" t="s">
        <v>7180</v>
      </c>
      <c r="S1407" s="152" t="s">
        <v>7205</v>
      </c>
      <c r="T1407" s="152" t="s">
        <v>7182</v>
      </c>
      <c r="U1407" s="152" t="s">
        <v>786</v>
      </c>
    </row>
    <row r="1408" spans="4:21">
      <c r="D1408" s="210"/>
      <c r="G1408" s="152" t="s">
        <v>372</v>
      </c>
      <c r="H1408" s="474" t="s">
        <v>309</v>
      </c>
      <c r="I1408" s="474"/>
      <c r="J1408" s="847">
        <v>-249935.45</v>
      </c>
      <c r="K1408" s="513">
        <v>-177.89</v>
      </c>
      <c r="L1408" s="513">
        <v>1405</v>
      </c>
      <c r="M1408" s="152" t="s">
        <v>7116</v>
      </c>
      <c r="N1408" s="513" t="s">
        <v>780</v>
      </c>
      <c r="O1408" s="513" t="s">
        <v>781</v>
      </c>
      <c r="P1408" s="513" t="s">
        <v>7179</v>
      </c>
      <c r="Q1408" s="518" t="s">
        <v>7101</v>
      </c>
      <c r="R1408" s="152" t="s">
        <v>7180</v>
      </c>
      <c r="S1408" s="152" t="s">
        <v>7181</v>
      </c>
      <c r="T1408" s="152" t="s">
        <v>7182</v>
      </c>
      <c r="U1408" s="152" t="s">
        <v>786</v>
      </c>
    </row>
    <row r="1409" spans="4:21">
      <c r="D1409" s="210"/>
      <c r="G1409" s="152" t="s">
        <v>372</v>
      </c>
      <c r="H1409" s="474" t="s">
        <v>309</v>
      </c>
      <c r="I1409" s="474"/>
      <c r="J1409" s="847">
        <v>-17070.75</v>
      </c>
      <c r="K1409" s="513">
        <v>-12.15</v>
      </c>
      <c r="L1409" s="513">
        <v>1405</v>
      </c>
      <c r="M1409" s="152" t="s">
        <v>7116</v>
      </c>
      <c r="N1409" s="513" t="s">
        <v>780</v>
      </c>
      <c r="O1409" s="513" t="s">
        <v>781</v>
      </c>
      <c r="P1409" s="513" t="s">
        <v>7179</v>
      </c>
      <c r="Q1409" s="518" t="s">
        <v>7101</v>
      </c>
      <c r="R1409" s="152" t="s">
        <v>7180</v>
      </c>
      <c r="S1409" s="152" t="s">
        <v>7214</v>
      </c>
      <c r="T1409" s="152" t="s">
        <v>7182</v>
      </c>
      <c r="U1409" s="152" t="s">
        <v>786</v>
      </c>
    </row>
    <row r="1410" spans="4:21">
      <c r="D1410" s="210"/>
      <c r="G1410" s="152" t="s">
        <v>372</v>
      </c>
      <c r="H1410" s="474" t="s">
        <v>309</v>
      </c>
      <c r="I1410" s="474"/>
      <c r="J1410" s="847">
        <v>-180668.95</v>
      </c>
      <c r="K1410" s="513">
        <v>-128.59</v>
      </c>
      <c r="L1410" s="513">
        <v>1405</v>
      </c>
      <c r="M1410" s="152" t="s">
        <v>7116</v>
      </c>
      <c r="N1410" s="513" t="s">
        <v>780</v>
      </c>
      <c r="O1410" s="513" t="s">
        <v>781</v>
      </c>
      <c r="P1410" s="513" t="s">
        <v>7179</v>
      </c>
      <c r="Q1410" s="518" t="s">
        <v>7101</v>
      </c>
      <c r="R1410" s="152" t="s">
        <v>7180</v>
      </c>
      <c r="S1410" s="152" t="s">
        <v>7215</v>
      </c>
      <c r="T1410" s="152" t="s">
        <v>7182</v>
      </c>
      <c r="U1410" s="152" t="s">
        <v>786</v>
      </c>
    </row>
    <row r="1411" spans="4:21">
      <c r="D1411" s="210"/>
      <c r="G1411" s="152" t="s">
        <v>372</v>
      </c>
      <c r="H1411" s="474" t="s">
        <v>309</v>
      </c>
      <c r="I1411" s="474"/>
      <c r="J1411" s="847">
        <v>-71416.149999999994</v>
      </c>
      <c r="K1411" s="513">
        <v>-50.83</v>
      </c>
      <c r="L1411" s="513">
        <v>1405</v>
      </c>
      <c r="M1411" s="152" t="s">
        <v>7116</v>
      </c>
      <c r="N1411" s="513" t="s">
        <v>780</v>
      </c>
      <c r="O1411" s="513" t="s">
        <v>781</v>
      </c>
      <c r="P1411" s="513" t="s">
        <v>7179</v>
      </c>
      <c r="Q1411" s="518" t="s">
        <v>7101</v>
      </c>
      <c r="R1411" s="152" t="s">
        <v>7180</v>
      </c>
      <c r="S1411" s="152" t="s">
        <v>7216</v>
      </c>
      <c r="T1411" s="152" t="s">
        <v>7182</v>
      </c>
      <c r="U1411" s="152" t="s">
        <v>786</v>
      </c>
    </row>
    <row r="1412" spans="4:21">
      <c r="D1412" s="210"/>
      <c r="G1412" s="152" t="s">
        <v>372</v>
      </c>
      <c r="H1412" s="474" t="s">
        <v>309</v>
      </c>
      <c r="I1412" s="474"/>
      <c r="J1412" s="847">
        <v>-71542.600000000006</v>
      </c>
      <c r="K1412" s="513">
        <v>-50.92</v>
      </c>
      <c r="L1412" s="513">
        <v>1405</v>
      </c>
      <c r="M1412" s="152" t="s">
        <v>7116</v>
      </c>
      <c r="N1412" s="513" t="s">
        <v>780</v>
      </c>
      <c r="O1412" s="513" t="s">
        <v>781</v>
      </c>
      <c r="P1412" s="513" t="s">
        <v>7179</v>
      </c>
      <c r="Q1412" s="518" t="s">
        <v>7101</v>
      </c>
      <c r="R1412" s="152" t="s">
        <v>7180</v>
      </c>
      <c r="S1412" s="152" t="s">
        <v>7217</v>
      </c>
      <c r="T1412" s="152" t="s">
        <v>7182</v>
      </c>
      <c r="U1412" s="152" t="s">
        <v>786</v>
      </c>
    </row>
    <row r="1413" spans="4:21">
      <c r="D1413" s="210"/>
      <c r="G1413" s="152" t="s">
        <v>372</v>
      </c>
      <c r="H1413" s="474" t="s">
        <v>309</v>
      </c>
      <c r="I1413" s="474"/>
      <c r="J1413" s="847">
        <v>-70250</v>
      </c>
      <c r="K1413" s="513">
        <v>-50</v>
      </c>
      <c r="L1413" s="513">
        <v>1405</v>
      </c>
      <c r="M1413" s="152" t="s">
        <v>7116</v>
      </c>
      <c r="N1413" s="513" t="s">
        <v>780</v>
      </c>
      <c r="O1413" s="513" t="s">
        <v>781</v>
      </c>
      <c r="P1413" s="513" t="s">
        <v>7179</v>
      </c>
      <c r="Q1413" s="518" t="s">
        <v>7101</v>
      </c>
      <c r="R1413" s="152" t="s">
        <v>7180</v>
      </c>
      <c r="S1413" s="152" t="s">
        <v>7218</v>
      </c>
      <c r="T1413" s="152" t="s">
        <v>7182</v>
      </c>
      <c r="U1413" s="152" t="s">
        <v>786</v>
      </c>
    </row>
    <row r="1414" spans="4:21">
      <c r="D1414" s="210"/>
      <c r="G1414" s="152" t="s">
        <v>372</v>
      </c>
      <c r="H1414" s="474" t="s">
        <v>309</v>
      </c>
      <c r="I1414" s="474"/>
      <c r="J1414" s="847">
        <v>-1615750</v>
      </c>
      <c r="K1414" s="513">
        <v>-1150</v>
      </c>
      <c r="L1414" s="513">
        <v>1405</v>
      </c>
      <c r="M1414" s="152" t="s">
        <v>7116</v>
      </c>
      <c r="N1414" s="513" t="s">
        <v>780</v>
      </c>
      <c r="O1414" s="513" t="s">
        <v>781</v>
      </c>
      <c r="P1414" s="513" t="s">
        <v>7179</v>
      </c>
      <c r="Q1414" s="518" t="s">
        <v>7101</v>
      </c>
      <c r="R1414" s="152" t="s">
        <v>7180</v>
      </c>
      <c r="S1414" s="152" t="s">
        <v>7219</v>
      </c>
      <c r="T1414" s="152" t="s">
        <v>7182</v>
      </c>
      <c r="U1414" s="152" t="s">
        <v>786</v>
      </c>
    </row>
    <row r="1415" spans="4:21">
      <c r="D1415" s="210"/>
      <c r="G1415" s="152" t="s">
        <v>372</v>
      </c>
      <c r="H1415" s="474" t="s">
        <v>309</v>
      </c>
      <c r="I1415" s="474"/>
      <c r="J1415" s="847">
        <v>-58419.9</v>
      </c>
      <c r="K1415" s="513">
        <v>-41.58</v>
      </c>
      <c r="L1415" s="513">
        <v>1405</v>
      </c>
      <c r="M1415" s="152" t="s">
        <v>7116</v>
      </c>
      <c r="N1415" s="513" t="s">
        <v>780</v>
      </c>
      <c r="O1415" s="513" t="s">
        <v>781</v>
      </c>
      <c r="P1415" s="513" t="s">
        <v>7179</v>
      </c>
      <c r="Q1415" s="518" t="s">
        <v>7101</v>
      </c>
      <c r="R1415" s="152" t="s">
        <v>7180</v>
      </c>
      <c r="S1415" s="152" t="s">
        <v>7221</v>
      </c>
      <c r="T1415" s="152" t="s">
        <v>7182</v>
      </c>
      <c r="U1415" s="152" t="s">
        <v>786</v>
      </c>
    </row>
    <row r="1416" spans="4:21">
      <c r="D1416" s="210"/>
      <c r="G1416" s="152" t="s">
        <v>372</v>
      </c>
      <c r="H1416" s="474" t="s">
        <v>309</v>
      </c>
      <c r="I1416" s="474"/>
      <c r="J1416" s="847">
        <v>-26273.5</v>
      </c>
      <c r="K1416" s="513">
        <v>-18.7</v>
      </c>
      <c r="L1416" s="513">
        <v>1405</v>
      </c>
      <c r="M1416" s="152" t="s">
        <v>7116</v>
      </c>
      <c r="N1416" s="513" t="s">
        <v>780</v>
      </c>
      <c r="O1416" s="513" t="s">
        <v>781</v>
      </c>
      <c r="P1416" s="513" t="s">
        <v>7179</v>
      </c>
      <c r="Q1416" s="518" t="s">
        <v>7101</v>
      </c>
      <c r="R1416" s="152" t="s">
        <v>7180</v>
      </c>
      <c r="S1416" s="152" t="s">
        <v>7224</v>
      </c>
      <c r="T1416" s="152" t="s">
        <v>7182</v>
      </c>
      <c r="U1416" s="152" t="s">
        <v>786</v>
      </c>
    </row>
    <row r="1417" spans="4:21">
      <c r="D1417" s="210"/>
      <c r="G1417" s="152" t="s">
        <v>372</v>
      </c>
      <c r="H1417" s="474" t="s">
        <v>309</v>
      </c>
      <c r="I1417" s="474"/>
      <c r="J1417" s="847">
        <v>-53558.6</v>
      </c>
      <c r="K1417" s="513">
        <v>-38.119999999999997</v>
      </c>
      <c r="L1417" s="513">
        <v>1405</v>
      </c>
      <c r="M1417" s="152" t="s">
        <v>7116</v>
      </c>
      <c r="N1417" s="513" t="s">
        <v>780</v>
      </c>
      <c r="O1417" s="513" t="s">
        <v>781</v>
      </c>
      <c r="P1417" s="513" t="s">
        <v>7179</v>
      </c>
      <c r="Q1417" s="518" t="s">
        <v>7101</v>
      </c>
      <c r="R1417" s="152" t="s">
        <v>7180</v>
      </c>
      <c r="S1417" s="152" t="s">
        <v>7225</v>
      </c>
      <c r="T1417" s="152" t="s">
        <v>7182</v>
      </c>
      <c r="U1417" s="152" t="s">
        <v>786</v>
      </c>
    </row>
    <row r="1418" spans="4:21">
      <c r="D1418" s="210"/>
      <c r="G1418" s="152" t="s">
        <v>372</v>
      </c>
      <c r="H1418" s="474" t="s">
        <v>309</v>
      </c>
      <c r="I1418" s="474"/>
      <c r="J1418" s="847">
        <v>-13586.35</v>
      </c>
      <c r="K1418" s="513">
        <v>-9.67</v>
      </c>
      <c r="L1418" s="513">
        <v>1405</v>
      </c>
      <c r="M1418" s="152" t="s">
        <v>7116</v>
      </c>
      <c r="N1418" s="513" t="s">
        <v>780</v>
      </c>
      <c r="O1418" s="513" t="s">
        <v>781</v>
      </c>
      <c r="P1418" s="513" t="s">
        <v>7179</v>
      </c>
      <c r="Q1418" s="518" t="s">
        <v>7101</v>
      </c>
      <c r="R1418" s="152" t="s">
        <v>7180</v>
      </c>
      <c r="S1418" s="152" t="s">
        <v>7228</v>
      </c>
      <c r="T1418" s="152" t="s">
        <v>7182</v>
      </c>
      <c r="U1418" s="152" t="s">
        <v>786</v>
      </c>
    </row>
    <row r="1419" spans="4:21">
      <c r="D1419" s="210"/>
      <c r="G1419" s="152" t="s">
        <v>372</v>
      </c>
      <c r="H1419" s="474" t="s">
        <v>309</v>
      </c>
      <c r="I1419" s="474"/>
      <c r="J1419" s="847">
        <v>-10720.15</v>
      </c>
      <c r="K1419" s="513">
        <v>-7.63</v>
      </c>
      <c r="L1419" s="513">
        <v>1405</v>
      </c>
      <c r="M1419" s="152" t="s">
        <v>7116</v>
      </c>
      <c r="N1419" s="513" t="s">
        <v>780</v>
      </c>
      <c r="O1419" s="513" t="s">
        <v>781</v>
      </c>
      <c r="P1419" s="513" t="s">
        <v>7179</v>
      </c>
      <c r="Q1419" s="518" t="s">
        <v>7101</v>
      </c>
      <c r="R1419" s="152" t="s">
        <v>7180</v>
      </c>
      <c r="S1419" s="152" t="s">
        <v>7229</v>
      </c>
      <c r="T1419" s="152" t="s">
        <v>7182</v>
      </c>
      <c r="U1419" s="152" t="s">
        <v>786</v>
      </c>
    </row>
    <row r="1420" spans="4:21">
      <c r="D1420" s="210"/>
      <c r="G1420" s="152" t="s">
        <v>372</v>
      </c>
      <c r="H1420" s="474" t="s">
        <v>309</v>
      </c>
      <c r="I1420" s="474"/>
      <c r="J1420" s="847">
        <v>-68072.25</v>
      </c>
      <c r="K1420" s="513">
        <v>-48.45</v>
      </c>
      <c r="L1420" s="513">
        <v>1405</v>
      </c>
      <c r="M1420" s="152" t="s">
        <v>7116</v>
      </c>
      <c r="N1420" s="513" t="s">
        <v>780</v>
      </c>
      <c r="O1420" s="513" t="s">
        <v>781</v>
      </c>
      <c r="P1420" s="513" t="s">
        <v>7179</v>
      </c>
      <c r="Q1420" s="518" t="s">
        <v>7101</v>
      </c>
      <c r="R1420" s="152" t="s">
        <v>7180</v>
      </c>
      <c r="S1420" s="152" t="s">
        <v>7230</v>
      </c>
      <c r="T1420" s="152" t="s">
        <v>7182</v>
      </c>
      <c r="U1420" s="152" t="s">
        <v>786</v>
      </c>
    </row>
    <row r="1421" spans="4:21">
      <c r="D1421" s="210"/>
      <c r="G1421" s="152" t="s">
        <v>372</v>
      </c>
      <c r="H1421" s="474" t="s">
        <v>309</v>
      </c>
      <c r="I1421" s="474"/>
      <c r="J1421" s="847">
        <v>-27523.95</v>
      </c>
      <c r="K1421" s="513">
        <v>-19.59</v>
      </c>
      <c r="L1421" s="513">
        <v>1405</v>
      </c>
      <c r="M1421" s="152" t="s">
        <v>7116</v>
      </c>
      <c r="N1421" s="513" t="s">
        <v>780</v>
      </c>
      <c r="O1421" s="513" t="s">
        <v>781</v>
      </c>
      <c r="P1421" s="513" t="s">
        <v>7179</v>
      </c>
      <c r="Q1421" s="518" t="s">
        <v>7101</v>
      </c>
      <c r="R1421" s="152" t="s">
        <v>7180</v>
      </c>
      <c r="S1421" s="152" t="s">
        <v>7231</v>
      </c>
      <c r="T1421" s="152" t="s">
        <v>7182</v>
      </c>
      <c r="U1421" s="152" t="s">
        <v>786</v>
      </c>
    </row>
    <row r="1422" spans="4:21">
      <c r="D1422" s="210"/>
      <c r="G1422" s="152" t="s">
        <v>372</v>
      </c>
      <c r="H1422" s="474" t="s">
        <v>309</v>
      </c>
      <c r="I1422" s="474"/>
      <c r="J1422" s="847">
        <v>-56874.400000000001</v>
      </c>
      <c r="K1422" s="513">
        <v>-40.479999999999997</v>
      </c>
      <c r="L1422" s="513">
        <v>1405</v>
      </c>
      <c r="M1422" s="152" t="s">
        <v>7116</v>
      </c>
      <c r="N1422" s="513" t="s">
        <v>780</v>
      </c>
      <c r="O1422" s="513" t="s">
        <v>781</v>
      </c>
      <c r="P1422" s="513" t="s">
        <v>7179</v>
      </c>
      <c r="Q1422" s="518" t="s">
        <v>7101</v>
      </c>
      <c r="R1422" s="152" t="s">
        <v>7180</v>
      </c>
      <c r="S1422" s="152" t="s">
        <v>7232</v>
      </c>
      <c r="T1422" s="152" t="s">
        <v>7182</v>
      </c>
      <c r="U1422" s="152" t="s">
        <v>786</v>
      </c>
    </row>
    <row r="1423" spans="4:21">
      <c r="D1423" s="210"/>
      <c r="G1423" s="152" t="s">
        <v>372</v>
      </c>
      <c r="H1423" s="474" t="s">
        <v>309</v>
      </c>
      <c r="I1423" s="474"/>
      <c r="J1423" s="847">
        <v>-11759.85</v>
      </c>
      <c r="K1423" s="513">
        <v>-8.3699999999999992</v>
      </c>
      <c r="L1423" s="513">
        <v>1405</v>
      </c>
      <c r="M1423" s="152" t="s">
        <v>7116</v>
      </c>
      <c r="N1423" s="513" t="s">
        <v>780</v>
      </c>
      <c r="O1423" s="513" t="s">
        <v>781</v>
      </c>
      <c r="P1423" s="513" t="s">
        <v>7179</v>
      </c>
      <c r="Q1423" s="518" t="s">
        <v>7101</v>
      </c>
      <c r="R1423" s="152" t="s">
        <v>7180</v>
      </c>
      <c r="S1423" s="152" t="s">
        <v>7233</v>
      </c>
      <c r="T1423" s="152" t="s">
        <v>7182</v>
      </c>
      <c r="U1423" s="152" t="s">
        <v>786</v>
      </c>
    </row>
    <row r="1424" spans="4:21">
      <c r="D1424" s="210"/>
      <c r="G1424" s="152" t="s">
        <v>372</v>
      </c>
      <c r="H1424" s="474" t="s">
        <v>309</v>
      </c>
      <c r="I1424" s="474"/>
      <c r="J1424" s="847">
        <v>-984357.05</v>
      </c>
      <c r="K1424" s="513">
        <v>-700.61</v>
      </c>
      <c r="L1424" s="513">
        <v>1405</v>
      </c>
      <c r="M1424" s="152" t="s">
        <v>7116</v>
      </c>
      <c r="N1424" s="513" t="s">
        <v>780</v>
      </c>
      <c r="O1424" s="513" t="s">
        <v>781</v>
      </c>
      <c r="P1424" s="513" t="s">
        <v>7179</v>
      </c>
      <c r="Q1424" s="518" t="s">
        <v>7101</v>
      </c>
      <c r="R1424" s="152" t="s">
        <v>7180</v>
      </c>
      <c r="S1424" s="152" t="s">
        <v>7234</v>
      </c>
      <c r="T1424" s="152" t="s">
        <v>7182</v>
      </c>
      <c r="U1424" s="152" t="s">
        <v>786</v>
      </c>
    </row>
    <row r="1425" spans="4:21">
      <c r="D1425" s="210"/>
      <c r="G1425" s="152" t="s">
        <v>372</v>
      </c>
      <c r="H1425" s="474" t="s">
        <v>309</v>
      </c>
      <c r="I1425" s="474"/>
      <c r="J1425" s="847">
        <v>-196194.2</v>
      </c>
      <c r="K1425" s="513">
        <v>-139.63999999999999</v>
      </c>
      <c r="L1425" s="513">
        <v>1405</v>
      </c>
      <c r="M1425" s="152" t="s">
        <v>7116</v>
      </c>
      <c r="N1425" s="513" t="s">
        <v>780</v>
      </c>
      <c r="O1425" s="513" t="s">
        <v>781</v>
      </c>
      <c r="P1425" s="513" t="s">
        <v>7179</v>
      </c>
      <c r="Q1425" s="518" t="s">
        <v>7101</v>
      </c>
      <c r="R1425" s="152" t="s">
        <v>7180</v>
      </c>
      <c r="S1425" s="152" t="s">
        <v>7235</v>
      </c>
      <c r="T1425" s="152" t="s">
        <v>7182</v>
      </c>
      <c r="U1425" s="152" t="s">
        <v>786</v>
      </c>
    </row>
    <row r="1426" spans="4:21">
      <c r="D1426" s="210"/>
      <c r="G1426" s="152" t="s">
        <v>372</v>
      </c>
      <c r="H1426" s="474" t="s">
        <v>309</v>
      </c>
      <c r="I1426" s="474"/>
      <c r="J1426" s="847">
        <v>-68606.149999999994</v>
      </c>
      <c r="K1426" s="513">
        <v>-48.83</v>
      </c>
      <c r="L1426" s="513">
        <v>1405</v>
      </c>
      <c r="M1426" s="152" t="s">
        <v>7116</v>
      </c>
      <c r="N1426" s="513" t="s">
        <v>780</v>
      </c>
      <c r="O1426" s="513" t="s">
        <v>781</v>
      </c>
      <c r="P1426" s="513" t="s">
        <v>7179</v>
      </c>
      <c r="Q1426" s="518" t="s">
        <v>7101</v>
      </c>
      <c r="R1426" s="152" t="s">
        <v>7180</v>
      </c>
      <c r="S1426" s="152" t="s">
        <v>7236</v>
      </c>
      <c r="T1426" s="152" t="s">
        <v>7182</v>
      </c>
      <c r="U1426" s="152" t="s">
        <v>786</v>
      </c>
    </row>
    <row r="1427" spans="4:21">
      <c r="D1427" s="210"/>
      <c r="G1427" s="152" t="s">
        <v>372</v>
      </c>
      <c r="H1427" s="474" t="s">
        <v>309</v>
      </c>
      <c r="I1427" s="474"/>
      <c r="J1427" s="847">
        <v>-13403.7</v>
      </c>
      <c r="K1427" s="513">
        <v>-9.5399999999999991</v>
      </c>
      <c r="L1427" s="513">
        <v>1405</v>
      </c>
      <c r="M1427" s="152" t="s">
        <v>7116</v>
      </c>
      <c r="N1427" s="513" t="s">
        <v>780</v>
      </c>
      <c r="O1427" s="513" t="s">
        <v>781</v>
      </c>
      <c r="P1427" s="513" t="s">
        <v>7179</v>
      </c>
      <c r="Q1427" s="518" t="s">
        <v>7101</v>
      </c>
      <c r="R1427" s="152" t="s">
        <v>7180</v>
      </c>
      <c r="S1427" s="152" t="s">
        <v>7227</v>
      </c>
      <c r="T1427" s="152" t="s">
        <v>7182</v>
      </c>
      <c r="U1427" s="152" t="s">
        <v>786</v>
      </c>
    </row>
    <row r="1428" spans="4:21">
      <c r="D1428" s="210"/>
      <c r="G1428" s="152" t="s">
        <v>372</v>
      </c>
      <c r="H1428" s="474" t="s">
        <v>309</v>
      </c>
      <c r="I1428" s="474"/>
      <c r="J1428" s="847">
        <v>-351250</v>
      </c>
      <c r="K1428" s="513">
        <v>-250</v>
      </c>
      <c r="L1428" s="513">
        <v>1405</v>
      </c>
      <c r="M1428" s="152" t="s">
        <v>7116</v>
      </c>
      <c r="N1428" s="513" t="s">
        <v>780</v>
      </c>
      <c r="O1428" s="513" t="s">
        <v>781</v>
      </c>
      <c r="P1428" s="513" t="s">
        <v>7179</v>
      </c>
      <c r="Q1428" s="518" t="s">
        <v>7101</v>
      </c>
      <c r="R1428" s="152" t="s">
        <v>7180</v>
      </c>
      <c r="S1428" s="152" t="s">
        <v>7243</v>
      </c>
      <c r="T1428" s="152" t="s">
        <v>7182</v>
      </c>
      <c r="U1428" s="152" t="s">
        <v>786</v>
      </c>
    </row>
    <row r="1429" spans="4:21">
      <c r="D1429" s="210"/>
      <c r="G1429" s="152" t="s">
        <v>372</v>
      </c>
      <c r="H1429" s="474" t="s">
        <v>309</v>
      </c>
      <c r="I1429" s="474"/>
      <c r="J1429" s="847">
        <v>-915793.05</v>
      </c>
      <c r="K1429" s="513">
        <v>-651.80999999999995</v>
      </c>
      <c r="L1429" s="513">
        <v>1405</v>
      </c>
      <c r="M1429" s="152" t="s">
        <v>7116</v>
      </c>
      <c r="N1429" s="513" t="s">
        <v>780</v>
      </c>
      <c r="O1429" s="513" t="s">
        <v>781</v>
      </c>
      <c r="P1429" s="513" t="s">
        <v>7179</v>
      </c>
      <c r="Q1429" s="518" t="s">
        <v>7101</v>
      </c>
      <c r="R1429" s="152" t="s">
        <v>7180</v>
      </c>
      <c r="S1429" s="152" t="s">
        <v>7234</v>
      </c>
      <c r="T1429" s="152" t="s">
        <v>7182</v>
      </c>
      <c r="U1429" s="152" t="s">
        <v>786</v>
      </c>
    </row>
    <row r="1430" spans="4:21">
      <c r="D1430" s="210"/>
      <c r="G1430" s="152" t="s">
        <v>372</v>
      </c>
      <c r="H1430" s="474" t="s">
        <v>309</v>
      </c>
      <c r="I1430" s="474"/>
      <c r="J1430" s="847">
        <v>-421500</v>
      </c>
      <c r="K1430" s="513">
        <v>-300</v>
      </c>
      <c r="L1430" s="513">
        <v>1405</v>
      </c>
      <c r="M1430" s="152" t="s">
        <v>7143</v>
      </c>
      <c r="N1430" s="513" t="s">
        <v>780</v>
      </c>
      <c r="O1430" s="513" t="s">
        <v>781</v>
      </c>
      <c r="P1430" s="513" t="s">
        <v>7284</v>
      </c>
      <c r="Q1430" s="518" t="s">
        <v>7101</v>
      </c>
      <c r="R1430" s="152" t="s">
        <v>7285</v>
      </c>
      <c r="S1430" s="152" t="s">
        <v>7286</v>
      </c>
      <c r="T1430" s="152" t="s">
        <v>7287</v>
      </c>
      <c r="U1430" s="152" t="s">
        <v>786</v>
      </c>
    </row>
    <row r="1431" spans="4:21">
      <c r="D1431" s="210"/>
      <c r="G1431" s="152" t="s">
        <v>372</v>
      </c>
      <c r="H1431" s="474" t="s">
        <v>309</v>
      </c>
      <c r="I1431" s="474"/>
      <c r="J1431" s="847">
        <v>-421500</v>
      </c>
      <c r="K1431" s="513">
        <v>-300</v>
      </c>
      <c r="L1431" s="513">
        <v>1405</v>
      </c>
      <c r="M1431" s="152" t="s">
        <v>7143</v>
      </c>
      <c r="N1431" s="513" t="s">
        <v>780</v>
      </c>
      <c r="O1431" s="513" t="s">
        <v>781</v>
      </c>
      <c r="P1431" s="513" t="s">
        <v>7284</v>
      </c>
      <c r="Q1431" s="518" t="s">
        <v>7101</v>
      </c>
      <c r="R1431" s="152" t="s">
        <v>7285</v>
      </c>
      <c r="S1431" s="152" t="s">
        <v>7304</v>
      </c>
      <c r="T1431" s="152" t="s">
        <v>7287</v>
      </c>
      <c r="U1431" s="152" t="s">
        <v>786</v>
      </c>
    </row>
    <row r="1432" spans="4:21">
      <c r="D1432" s="210"/>
      <c r="G1432" s="152" t="s">
        <v>372</v>
      </c>
      <c r="H1432" s="474" t="s">
        <v>309</v>
      </c>
      <c r="I1432" s="474"/>
      <c r="J1432" s="847">
        <v>-421500</v>
      </c>
      <c r="K1432" s="513">
        <v>-300</v>
      </c>
      <c r="L1432" s="513">
        <v>1405</v>
      </c>
      <c r="M1432" s="152" t="s">
        <v>7143</v>
      </c>
      <c r="N1432" s="513" t="s">
        <v>780</v>
      </c>
      <c r="O1432" s="513" t="s">
        <v>781</v>
      </c>
      <c r="P1432" s="513" t="s">
        <v>7284</v>
      </c>
      <c r="Q1432" s="518" t="s">
        <v>7101</v>
      </c>
      <c r="R1432" s="152" t="s">
        <v>7285</v>
      </c>
      <c r="S1432" s="152" t="s">
        <v>7306</v>
      </c>
      <c r="T1432" s="152" t="s">
        <v>7287</v>
      </c>
      <c r="U1432" s="152" t="s">
        <v>786</v>
      </c>
    </row>
    <row r="1433" spans="4:21">
      <c r="D1433" s="210"/>
      <c r="G1433" s="152" t="s">
        <v>372</v>
      </c>
      <c r="H1433" s="474" t="s">
        <v>309</v>
      </c>
      <c r="I1433" s="474"/>
      <c r="J1433" s="847">
        <v>-562000</v>
      </c>
      <c r="K1433" s="513">
        <v>-400</v>
      </c>
      <c r="L1433" s="513">
        <v>1405</v>
      </c>
      <c r="M1433" s="152" t="s">
        <v>7143</v>
      </c>
      <c r="N1433" s="513" t="s">
        <v>780</v>
      </c>
      <c r="O1433" s="513" t="s">
        <v>781</v>
      </c>
      <c r="P1433" s="513" t="s">
        <v>7284</v>
      </c>
      <c r="Q1433" s="518" t="s">
        <v>7101</v>
      </c>
      <c r="R1433" s="152" t="s">
        <v>7285</v>
      </c>
      <c r="S1433" s="152" t="s">
        <v>7307</v>
      </c>
      <c r="T1433" s="152" t="s">
        <v>7287</v>
      </c>
      <c r="U1433" s="152" t="s">
        <v>786</v>
      </c>
    </row>
    <row r="1434" spans="4:21">
      <c r="D1434" s="210"/>
      <c r="G1434" s="152" t="s">
        <v>372</v>
      </c>
      <c r="H1434" s="474" t="s">
        <v>309</v>
      </c>
      <c r="I1434" s="474"/>
      <c r="J1434" s="847">
        <v>-140500</v>
      </c>
      <c r="K1434" s="513">
        <v>-100</v>
      </c>
      <c r="L1434" s="513">
        <v>1405</v>
      </c>
      <c r="M1434" s="152" t="s">
        <v>7143</v>
      </c>
      <c r="N1434" s="513" t="s">
        <v>780</v>
      </c>
      <c r="O1434" s="513" t="s">
        <v>781</v>
      </c>
      <c r="P1434" s="513" t="s">
        <v>7284</v>
      </c>
      <c r="Q1434" s="518" t="s">
        <v>7101</v>
      </c>
      <c r="R1434" s="152" t="s">
        <v>7285</v>
      </c>
      <c r="S1434" s="152" t="s">
        <v>7286</v>
      </c>
      <c r="T1434" s="152" t="s">
        <v>7287</v>
      </c>
      <c r="U1434" s="152" t="s">
        <v>786</v>
      </c>
    </row>
    <row r="1435" spans="4:21">
      <c r="D1435" s="210"/>
      <c r="G1435" s="152" t="s">
        <v>372</v>
      </c>
      <c r="H1435" s="474" t="s">
        <v>309</v>
      </c>
      <c r="I1435" s="474"/>
      <c r="J1435" s="847">
        <v>-107257.7</v>
      </c>
      <c r="K1435" s="513">
        <v>-76.34</v>
      </c>
      <c r="L1435" s="513">
        <v>1405</v>
      </c>
      <c r="M1435" s="152" t="s">
        <v>7143</v>
      </c>
      <c r="N1435" s="513" t="s">
        <v>780</v>
      </c>
      <c r="O1435" s="513" t="s">
        <v>781</v>
      </c>
      <c r="P1435" s="513" t="s">
        <v>7284</v>
      </c>
      <c r="Q1435" s="518" t="s">
        <v>7101</v>
      </c>
      <c r="R1435" s="152" t="s">
        <v>7285</v>
      </c>
      <c r="S1435" s="152" t="s">
        <v>7308</v>
      </c>
      <c r="T1435" s="152" t="s">
        <v>7287</v>
      </c>
      <c r="U1435" s="152" t="s">
        <v>786</v>
      </c>
    </row>
    <row r="1436" spans="4:21">
      <c r="D1436" s="210"/>
      <c r="G1436" s="152" t="s">
        <v>372</v>
      </c>
      <c r="H1436" s="474" t="s">
        <v>309</v>
      </c>
      <c r="I1436" s="474"/>
      <c r="J1436" s="847">
        <v>-562000</v>
      </c>
      <c r="K1436" s="513">
        <v>-400</v>
      </c>
      <c r="L1436" s="513">
        <v>1405</v>
      </c>
      <c r="M1436" s="152" t="s">
        <v>7143</v>
      </c>
      <c r="N1436" s="513" t="s">
        <v>780</v>
      </c>
      <c r="O1436" s="513" t="s">
        <v>781</v>
      </c>
      <c r="P1436" s="513" t="s">
        <v>7284</v>
      </c>
      <c r="Q1436" s="518" t="s">
        <v>7101</v>
      </c>
      <c r="R1436" s="152" t="s">
        <v>7285</v>
      </c>
      <c r="S1436" s="152" t="s">
        <v>7309</v>
      </c>
      <c r="T1436" s="152" t="s">
        <v>7287</v>
      </c>
      <c r="U1436" s="152" t="s">
        <v>786</v>
      </c>
    </row>
    <row r="1437" spans="4:21">
      <c r="D1437" s="210"/>
      <c r="G1437" s="152" t="s">
        <v>372</v>
      </c>
      <c r="H1437" s="474" t="s">
        <v>309</v>
      </c>
      <c r="I1437" s="474"/>
      <c r="J1437" s="847">
        <v>-920275</v>
      </c>
      <c r="K1437" s="513">
        <v>-655</v>
      </c>
      <c r="L1437" s="513">
        <v>1405</v>
      </c>
      <c r="M1437" s="152" t="s">
        <v>7143</v>
      </c>
      <c r="N1437" s="513" t="s">
        <v>780</v>
      </c>
      <c r="O1437" s="513" t="s">
        <v>781</v>
      </c>
      <c r="P1437" s="513" t="s">
        <v>7284</v>
      </c>
      <c r="Q1437" s="518" t="s">
        <v>7101</v>
      </c>
      <c r="R1437" s="152" t="s">
        <v>7285</v>
      </c>
      <c r="S1437" s="152" t="s">
        <v>7310</v>
      </c>
      <c r="T1437" s="152" t="s">
        <v>7287</v>
      </c>
      <c r="U1437" s="152" t="s">
        <v>786</v>
      </c>
    </row>
    <row r="1438" spans="4:21">
      <c r="D1438" s="210"/>
      <c r="G1438" s="152" t="s">
        <v>372</v>
      </c>
      <c r="H1438" s="474" t="s">
        <v>309</v>
      </c>
      <c r="I1438" s="474"/>
      <c r="J1438" s="847">
        <v>-632250</v>
      </c>
      <c r="K1438" s="513">
        <v>-450</v>
      </c>
      <c r="L1438" s="513">
        <v>1405</v>
      </c>
      <c r="M1438" s="152" t="s">
        <v>7143</v>
      </c>
      <c r="N1438" s="513" t="s">
        <v>780</v>
      </c>
      <c r="O1438" s="513" t="s">
        <v>781</v>
      </c>
      <c r="P1438" s="513" t="s">
        <v>7284</v>
      </c>
      <c r="Q1438" s="518" t="s">
        <v>7101</v>
      </c>
      <c r="R1438" s="152" t="s">
        <v>7285</v>
      </c>
      <c r="S1438" s="152" t="s">
        <v>7286</v>
      </c>
      <c r="T1438" s="152" t="s">
        <v>7287</v>
      </c>
      <c r="U1438" s="152" t="s">
        <v>786</v>
      </c>
    </row>
    <row r="1439" spans="4:21">
      <c r="D1439" s="210"/>
      <c r="G1439" s="152" t="s">
        <v>372</v>
      </c>
      <c r="H1439" s="474" t="s">
        <v>309</v>
      </c>
      <c r="I1439" s="474"/>
      <c r="J1439" s="847">
        <v>-562000</v>
      </c>
      <c r="K1439" s="513">
        <v>-400</v>
      </c>
      <c r="L1439" s="513">
        <v>1405</v>
      </c>
      <c r="M1439" s="152" t="s">
        <v>7143</v>
      </c>
      <c r="N1439" s="513" t="s">
        <v>780</v>
      </c>
      <c r="O1439" s="513" t="s">
        <v>781</v>
      </c>
      <c r="P1439" s="513" t="s">
        <v>7284</v>
      </c>
      <c r="Q1439" s="518" t="s">
        <v>7101</v>
      </c>
      <c r="R1439" s="152" t="s">
        <v>7285</v>
      </c>
      <c r="S1439" s="152" t="s">
        <v>7304</v>
      </c>
      <c r="T1439" s="152" t="s">
        <v>7287</v>
      </c>
      <c r="U1439" s="152" t="s">
        <v>786</v>
      </c>
    </row>
    <row r="1440" spans="4:21">
      <c r="D1440" s="210"/>
      <c r="G1440" s="152" t="s">
        <v>372</v>
      </c>
      <c r="H1440" s="474" t="s">
        <v>309</v>
      </c>
      <c r="I1440" s="474"/>
      <c r="J1440" s="847">
        <v>-53628.85</v>
      </c>
      <c r="K1440" s="513">
        <v>-38.17</v>
      </c>
      <c r="L1440" s="513">
        <v>1405</v>
      </c>
      <c r="M1440" s="152" t="s">
        <v>7143</v>
      </c>
      <c r="N1440" s="513" t="s">
        <v>780</v>
      </c>
      <c r="O1440" s="513" t="s">
        <v>781</v>
      </c>
      <c r="P1440" s="513" t="s">
        <v>7284</v>
      </c>
      <c r="Q1440" s="518" t="s">
        <v>7101</v>
      </c>
      <c r="R1440" s="152" t="s">
        <v>7285</v>
      </c>
      <c r="S1440" s="152" t="s">
        <v>7301</v>
      </c>
      <c r="T1440" s="152" t="s">
        <v>7287</v>
      </c>
      <c r="U1440" s="152" t="s">
        <v>786</v>
      </c>
    </row>
    <row r="1441" spans="4:21">
      <c r="D1441" s="210"/>
      <c r="G1441" s="152" t="s">
        <v>372</v>
      </c>
      <c r="H1441" s="474" t="s">
        <v>309</v>
      </c>
      <c r="I1441" s="474"/>
      <c r="J1441" s="847">
        <v>-11830.1</v>
      </c>
      <c r="K1441" s="513">
        <v>-8.42</v>
      </c>
      <c r="L1441" s="513">
        <v>1405</v>
      </c>
      <c r="M1441" s="152" t="s">
        <v>7143</v>
      </c>
      <c r="N1441" s="513" t="s">
        <v>780</v>
      </c>
      <c r="O1441" s="513" t="s">
        <v>781</v>
      </c>
      <c r="P1441" s="513" t="s">
        <v>7284</v>
      </c>
      <c r="Q1441" s="518" t="s">
        <v>7101</v>
      </c>
      <c r="R1441" s="152" t="s">
        <v>7285</v>
      </c>
      <c r="S1441" s="152" t="s">
        <v>7228</v>
      </c>
      <c r="T1441" s="152" t="s">
        <v>7287</v>
      </c>
      <c r="U1441" s="152" t="s">
        <v>786</v>
      </c>
    </row>
    <row r="1442" spans="4:21">
      <c r="D1442" s="210"/>
      <c r="G1442" s="152" t="s">
        <v>372</v>
      </c>
      <c r="H1442" s="474" t="s">
        <v>309</v>
      </c>
      <c r="I1442" s="474"/>
      <c r="J1442" s="847">
        <v>-2529000</v>
      </c>
      <c r="K1442" s="513">
        <v>-1800</v>
      </c>
      <c r="L1442" s="513">
        <v>1405</v>
      </c>
      <c r="M1442" s="152" t="s">
        <v>7143</v>
      </c>
      <c r="N1442" s="513" t="s">
        <v>780</v>
      </c>
      <c r="O1442" s="513" t="s">
        <v>781</v>
      </c>
      <c r="P1442" s="513" t="s">
        <v>7284</v>
      </c>
      <c r="Q1442" s="518" t="s">
        <v>7101</v>
      </c>
      <c r="R1442" s="152" t="s">
        <v>7285</v>
      </c>
      <c r="S1442" s="152" t="s">
        <v>7300</v>
      </c>
      <c r="T1442" s="152" t="s">
        <v>7287</v>
      </c>
      <c r="U1442" s="152" t="s">
        <v>786</v>
      </c>
    </row>
    <row r="1443" spans="4:21">
      <c r="D1443" s="210"/>
      <c r="G1443" s="152" t="s">
        <v>372</v>
      </c>
      <c r="H1443" s="474" t="s">
        <v>309</v>
      </c>
      <c r="I1443" s="474"/>
      <c r="J1443" s="847">
        <v>-426010.05</v>
      </c>
      <c r="K1443" s="513">
        <v>-303.20999999999998</v>
      </c>
      <c r="L1443" s="513">
        <v>1405</v>
      </c>
      <c r="M1443" s="152" t="s">
        <v>7143</v>
      </c>
      <c r="N1443" s="513" t="s">
        <v>780</v>
      </c>
      <c r="O1443" s="513" t="s">
        <v>781</v>
      </c>
      <c r="P1443" s="513" t="s">
        <v>7284</v>
      </c>
      <c r="Q1443" s="518" t="s">
        <v>7101</v>
      </c>
      <c r="R1443" s="152" t="s">
        <v>7285</v>
      </c>
      <c r="S1443" s="152" t="s">
        <v>7317</v>
      </c>
      <c r="T1443" s="152" t="s">
        <v>7287</v>
      </c>
      <c r="U1443" s="152" t="s">
        <v>786</v>
      </c>
    </row>
    <row r="1444" spans="4:21">
      <c r="D1444" s="210"/>
      <c r="G1444" s="152" t="s">
        <v>372</v>
      </c>
      <c r="H1444" s="474" t="s">
        <v>309</v>
      </c>
      <c r="I1444" s="474"/>
      <c r="J1444" s="847">
        <v>-44650.9</v>
      </c>
      <c r="K1444" s="513">
        <v>-31.78</v>
      </c>
      <c r="L1444" s="513">
        <v>1405</v>
      </c>
      <c r="M1444" s="152" t="s">
        <v>7143</v>
      </c>
      <c r="N1444" s="513" t="s">
        <v>780</v>
      </c>
      <c r="O1444" s="513" t="s">
        <v>781</v>
      </c>
      <c r="P1444" s="513" t="s">
        <v>7284</v>
      </c>
      <c r="Q1444" s="518" t="s">
        <v>7101</v>
      </c>
      <c r="R1444" s="152" t="s">
        <v>7285</v>
      </c>
      <c r="S1444" s="152" t="s">
        <v>7318</v>
      </c>
      <c r="T1444" s="152" t="s">
        <v>7287</v>
      </c>
      <c r="U1444" s="152" t="s">
        <v>786</v>
      </c>
    </row>
    <row r="1445" spans="4:21">
      <c r="D1445" s="210"/>
      <c r="G1445" s="152" t="s">
        <v>372</v>
      </c>
      <c r="H1445" s="474" t="s">
        <v>309</v>
      </c>
      <c r="I1445" s="474"/>
      <c r="J1445" s="847">
        <v>-446888.35</v>
      </c>
      <c r="K1445" s="513">
        <v>-318.07</v>
      </c>
      <c r="L1445" s="513">
        <v>1405</v>
      </c>
      <c r="M1445" s="152" t="s">
        <v>7143</v>
      </c>
      <c r="N1445" s="513" t="s">
        <v>780</v>
      </c>
      <c r="O1445" s="513" t="s">
        <v>781</v>
      </c>
      <c r="P1445" s="513" t="s">
        <v>7284</v>
      </c>
      <c r="Q1445" s="518" t="s">
        <v>7101</v>
      </c>
      <c r="R1445" s="152" t="s">
        <v>7285</v>
      </c>
      <c r="S1445" s="152" t="s">
        <v>7319</v>
      </c>
      <c r="T1445" s="152" t="s">
        <v>7287</v>
      </c>
      <c r="U1445" s="152" t="s">
        <v>786</v>
      </c>
    </row>
    <row r="1446" spans="4:21">
      <c r="D1446" s="210"/>
      <c r="G1446" s="152" t="s">
        <v>372</v>
      </c>
      <c r="H1446" s="474" t="s">
        <v>309</v>
      </c>
      <c r="I1446" s="474"/>
      <c r="J1446" s="847">
        <v>-171129</v>
      </c>
      <c r="K1446" s="513">
        <v>-121.8</v>
      </c>
      <c r="L1446" s="513">
        <v>1405</v>
      </c>
      <c r="M1446" s="152" t="s">
        <v>7143</v>
      </c>
      <c r="N1446" s="513" t="s">
        <v>780</v>
      </c>
      <c r="O1446" s="513" t="s">
        <v>781</v>
      </c>
      <c r="P1446" s="513" t="s">
        <v>7284</v>
      </c>
      <c r="Q1446" s="518" t="s">
        <v>7101</v>
      </c>
      <c r="R1446" s="152" t="s">
        <v>7285</v>
      </c>
      <c r="S1446" s="152" t="s">
        <v>7322</v>
      </c>
      <c r="T1446" s="152" t="s">
        <v>7287</v>
      </c>
      <c r="U1446" s="152" t="s">
        <v>786</v>
      </c>
    </row>
    <row r="1447" spans="4:21">
      <c r="D1447" s="210"/>
      <c r="G1447" s="152" t="s">
        <v>372</v>
      </c>
      <c r="H1447" s="474" t="s">
        <v>309</v>
      </c>
      <c r="I1447" s="474"/>
      <c r="J1447" s="847">
        <v>-421500</v>
      </c>
      <c r="K1447" s="513">
        <v>-300</v>
      </c>
      <c r="L1447" s="513">
        <v>1405</v>
      </c>
      <c r="M1447" s="152" t="s">
        <v>7143</v>
      </c>
      <c r="N1447" s="513" t="s">
        <v>780</v>
      </c>
      <c r="O1447" s="513" t="s">
        <v>781</v>
      </c>
      <c r="P1447" s="513" t="s">
        <v>7284</v>
      </c>
      <c r="Q1447" s="518" t="s">
        <v>7101</v>
      </c>
      <c r="R1447" s="152" t="s">
        <v>7285</v>
      </c>
      <c r="S1447" s="152" t="s">
        <v>7319</v>
      </c>
      <c r="T1447" s="152" t="s">
        <v>7287</v>
      </c>
      <c r="U1447" s="152" t="s">
        <v>786</v>
      </c>
    </row>
    <row r="1448" spans="4:21">
      <c r="D1448" s="210"/>
      <c r="G1448" s="152" t="s">
        <v>372</v>
      </c>
      <c r="H1448" s="474" t="s">
        <v>309</v>
      </c>
      <c r="I1448" s="474"/>
      <c r="J1448" s="847">
        <v>-30390.15</v>
      </c>
      <c r="K1448" s="513">
        <v>-21.63</v>
      </c>
      <c r="L1448" s="513">
        <v>1405</v>
      </c>
      <c r="M1448" s="152" t="s">
        <v>7143</v>
      </c>
      <c r="N1448" s="513" t="s">
        <v>780</v>
      </c>
      <c r="O1448" s="513" t="s">
        <v>781</v>
      </c>
      <c r="P1448" s="513" t="s">
        <v>7284</v>
      </c>
      <c r="Q1448" s="518" t="s">
        <v>7101</v>
      </c>
      <c r="R1448" s="152" t="s">
        <v>7285</v>
      </c>
      <c r="S1448" s="152" t="s">
        <v>7297</v>
      </c>
      <c r="T1448" s="152" t="s">
        <v>7287</v>
      </c>
      <c r="U1448" s="152" t="s">
        <v>786</v>
      </c>
    </row>
    <row r="1449" spans="4:21">
      <c r="D1449" s="210"/>
      <c r="G1449" s="152" t="s">
        <v>372</v>
      </c>
      <c r="H1449" s="474" t="s">
        <v>309</v>
      </c>
      <c r="I1449" s="474"/>
      <c r="J1449" s="847">
        <v>-21454.35</v>
      </c>
      <c r="K1449" s="513">
        <v>-15.27</v>
      </c>
      <c r="L1449" s="513">
        <v>1405</v>
      </c>
      <c r="M1449" s="152" t="s">
        <v>7143</v>
      </c>
      <c r="N1449" s="513" t="s">
        <v>780</v>
      </c>
      <c r="O1449" s="513" t="s">
        <v>781</v>
      </c>
      <c r="P1449" s="513" t="s">
        <v>7284</v>
      </c>
      <c r="Q1449" s="518" t="s">
        <v>7101</v>
      </c>
      <c r="R1449" s="152" t="s">
        <v>7285</v>
      </c>
      <c r="S1449" s="152" t="s">
        <v>7296</v>
      </c>
      <c r="T1449" s="152" t="s">
        <v>7287</v>
      </c>
      <c r="U1449" s="152" t="s">
        <v>786</v>
      </c>
    </row>
    <row r="1450" spans="4:21">
      <c r="D1450" s="210"/>
      <c r="G1450" s="152" t="s">
        <v>372</v>
      </c>
      <c r="H1450" s="474" t="s">
        <v>309</v>
      </c>
      <c r="I1450" s="474"/>
      <c r="J1450" s="847">
        <v>-17871.599999999999</v>
      </c>
      <c r="K1450" s="513">
        <v>-12.72</v>
      </c>
      <c r="L1450" s="513">
        <v>1405</v>
      </c>
      <c r="M1450" s="152" t="s">
        <v>7143</v>
      </c>
      <c r="N1450" s="513" t="s">
        <v>780</v>
      </c>
      <c r="O1450" s="513" t="s">
        <v>781</v>
      </c>
      <c r="P1450" s="513" t="s">
        <v>7284</v>
      </c>
      <c r="Q1450" s="518" t="s">
        <v>7101</v>
      </c>
      <c r="R1450" s="152" t="s">
        <v>7285</v>
      </c>
      <c r="S1450" s="152" t="s">
        <v>7294</v>
      </c>
      <c r="T1450" s="152" t="s">
        <v>7287</v>
      </c>
      <c r="U1450" s="152" t="s">
        <v>786</v>
      </c>
    </row>
    <row r="1451" spans="4:21">
      <c r="D1451" s="210"/>
      <c r="G1451" s="152" t="s">
        <v>372</v>
      </c>
      <c r="H1451" s="474" t="s">
        <v>309</v>
      </c>
      <c r="I1451" s="474"/>
      <c r="J1451" s="847">
        <v>-706490.2</v>
      </c>
      <c r="K1451" s="513">
        <v>-502.84</v>
      </c>
      <c r="L1451" s="513">
        <v>1405</v>
      </c>
      <c r="M1451" s="152" t="s">
        <v>7143</v>
      </c>
      <c r="N1451" s="513" t="s">
        <v>780</v>
      </c>
      <c r="O1451" s="513" t="s">
        <v>781</v>
      </c>
      <c r="P1451" s="513" t="s">
        <v>7284</v>
      </c>
      <c r="Q1451" s="518" t="s">
        <v>7101</v>
      </c>
      <c r="R1451" s="152" t="s">
        <v>7285</v>
      </c>
      <c r="S1451" s="152" t="s">
        <v>7234</v>
      </c>
      <c r="T1451" s="152" t="s">
        <v>7287</v>
      </c>
      <c r="U1451" s="152" t="s">
        <v>786</v>
      </c>
    </row>
    <row r="1452" spans="4:21">
      <c r="D1452" s="210"/>
      <c r="G1452" s="152" t="s">
        <v>372</v>
      </c>
      <c r="H1452" s="474" t="s">
        <v>309</v>
      </c>
      <c r="I1452" s="474"/>
      <c r="J1452" s="847">
        <v>-879249</v>
      </c>
      <c r="K1452" s="513">
        <v>-625.79999999999995</v>
      </c>
      <c r="L1452" s="513">
        <v>1405</v>
      </c>
      <c r="M1452" s="152" t="s">
        <v>7143</v>
      </c>
      <c r="N1452" s="513" t="s">
        <v>780</v>
      </c>
      <c r="O1452" s="513" t="s">
        <v>781</v>
      </c>
      <c r="P1452" s="513" t="s">
        <v>7284</v>
      </c>
      <c r="Q1452" s="518" t="s">
        <v>7101</v>
      </c>
      <c r="R1452" s="152" t="s">
        <v>7285</v>
      </c>
      <c r="S1452" s="152" t="s">
        <v>7234</v>
      </c>
      <c r="T1452" s="152" t="s">
        <v>7287</v>
      </c>
      <c r="U1452" s="152" t="s">
        <v>786</v>
      </c>
    </row>
    <row r="1453" spans="4:21">
      <c r="D1453" s="210"/>
      <c r="G1453" s="152" t="s">
        <v>372</v>
      </c>
      <c r="H1453" s="474" t="s">
        <v>309</v>
      </c>
      <c r="I1453" s="474"/>
      <c r="J1453" s="847">
        <v>-993742.45</v>
      </c>
      <c r="K1453" s="513">
        <v>-707.29</v>
      </c>
      <c r="L1453" s="513">
        <v>1405</v>
      </c>
      <c r="M1453" s="152" t="s">
        <v>7143</v>
      </c>
      <c r="N1453" s="513" t="s">
        <v>780</v>
      </c>
      <c r="O1453" s="513" t="s">
        <v>781</v>
      </c>
      <c r="P1453" s="513" t="s">
        <v>7284</v>
      </c>
      <c r="Q1453" s="518" t="s">
        <v>7101</v>
      </c>
      <c r="R1453" s="152" t="s">
        <v>7285</v>
      </c>
      <c r="S1453" s="152" t="s">
        <v>7234</v>
      </c>
      <c r="T1453" s="152" t="s">
        <v>7287</v>
      </c>
      <c r="U1453" s="152" t="s">
        <v>786</v>
      </c>
    </row>
    <row r="1454" spans="4:21">
      <c r="D1454" s="210"/>
      <c r="G1454" s="152" t="s">
        <v>372</v>
      </c>
      <c r="H1454" s="474" t="s">
        <v>309</v>
      </c>
      <c r="I1454" s="474"/>
      <c r="J1454" s="847">
        <v>-6772100</v>
      </c>
      <c r="K1454" s="513">
        <v>-4820</v>
      </c>
      <c r="L1454" s="513">
        <v>1405</v>
      </c>
      <c r="M1454" s="152" t="s">
        <v>7143</v>
      </c>
      <c r="N1454" s="513" t="s">
        <v>780</v>
      </c>
      <c r="O1454" s="513" t="s">
        <v>781</v>
      </c>
      <c r="P1454" s="513" t="s">
        <v>7284</v>
      </c>
      <c r="Q1454" s="518" t="s">
        <v>7101</v>
      </c>
      <c r="R1454" s="152" t="s">
        <v>7285</v>
      </c>
      <c r="S1454" s="152" t="s">
        <v>7326</v>
      </c>
      <c r="T1454" s="152" t="s">
        <v>7287</v>
      </c>
      <c r="U1454" s="152" t="s">
        <v>786</v>
      </c>
    </row>
    <row r="1455" spans="4:21">
      <c r="D1455" s="210"/>
      <c r="G1455" s="152" t="s">
        <v>372</v>
      </c>
      <c r="H1455" s="474" t="s">
        <v>309</v>
      </c>
      <c r="I1455" s="474"/>
      <c r="J1455" s="847">
        <v>-723575</v>
      </c>
      <c r="K1455" s="513">
        <v>-515</v>
      </c>
      <c r="L1455" s="513">
        <v>1405</v>
      </c>
      <c r="M1455" s="152" t="s">
        <v>7143</v>
      </c>
      <c r="N1455" s="513" t="s">
        <v>780</v>
      </c>
      <c r="O1455" s="513" t="s">
        <v>781</v>
      </c>
      <c r="P1455" s="513" t="s">
        <v>7284</v>
      </c>
      <c r="Q1455" s="518" t="s">
        <v>7101</v>
      </c>
      <c r="R1455" s="152" t="s">
        <v>7285</v>
      </c>
      <c r="S1455" s="152" t="s">
        <v>7327</v>
      </c>
      <c r="T1455" s="152" t="s">
        <v>7287</v>
      </c>
      <c r="U1455" s="152" t="s">
        <v>786</v>
      </c>
    </row>
    <row r="1456" spans="4:21">
      <c r="D1456" s="210"/>
      <c r="G1456" s="152" t="s">
        <v>372</v>
      </c>
      <c r="H1456" s="474" t="s">
        <v>309</v>
      </c>
      <c r="I1456" s="474"/>
      <c r="J1456" s="847">
        <v>-128126.6</v>
      </c>
      <c r="K1456" s="513">
        <v>-90.23</v>
      </c>
      <c r="L1456" s="513">
        <v>1420</v>
      </c>
      <c r="M1456" s="152" t="s">
        <v>7143</v>
      </c>
      <c r="N1456" s="513" t="s">
        <v>780</v>
      </c>
      <c r="O1456" s="513" t="s">
        <v>781</v>
      </c>
      <c r="P1456" s="513" t="s">
        <v>7284</v>
      </c>
      <c r="Q1456" s="518" t="s">
        <v>7101</v>
      </c>
      <c r="R1456" s="152" t="s">
        <v>7285</v>
      </c>
      <c r="S1456" s="152" t="s">
        <v>7328</v>
      </c>
      <c r="T1456" s="152" t="s">
        <v>7287</v>
      </c>
      <c r="U1456" s="152" t="s">
        <v>786</v>
      </c>
    </row>
    <row r="1457" spans="4:21">
      <c r="D1457" s="210"/>
      <c r="G1457" s="152" t="s">
        <v>372</v>
      </c>
      <c r="H1457" s="474" t="s">
        <v>309</v>
      </c>
      <c r="I1457" s="474"/>
      <c r="J1457" s="847">
        <v>-137015.79999999999</v>
      </c>
      <c r="K1457" s="513">
        <v>-96.49</v>
      </c>
      <c r="L1457" s="513">
        <v>1420</v>
      </c>
      <c r="M1457" s="152" t="s">
        <v>7143</v>
      </c>
      <c r="N1457" s="513" t="s">
        <v>780</v>
      </c>
      <c r="O1457" s="513" t="s">
        <v>781</v>
      </c>
      <c r="P1457" s="513" t="s">
        <v>7284</v>
      </c>
      <c r="Q1457" s="518" t="s">
        <v>7101</v>
      </c>
      <c r="R1457" s="152" t="s">
        <v>7285</v>
      </c>
      <c r="S1457" s="152" t="s">
        <v>7329</v>
      </c>
      <c r="T1457" s="152" t="s">
        <v>7287</v>
      </c>
      <c r="U1457" s="152" t="s">
        <v>786</v>
      </c>
    </row>
    <row r="1458" spans="4:21">
      <c r="D1458" s="210"/>
      <c r="G1458" s="152" t="s">
        <v>372</v>
      </c>
      <c r="H1458" s="474" t="s">
        <v>309</v>
      </c>
      <c r="I1458" s="474"/>
      <c r="J1458" s="847">
        <v>-17604.650000000001</v>
      </c>
      <c r="K1458" s="513">
        <v>-12.53</v>
      </c>
      <c r="L1458" s="513">
        <v>1405</v>
      </c>
      <c r="M1458" s="152" t="s">
        <v>7143</v>
      </c>
      <c r="N1458" s="513" t="s">
        <v>780</v>
      </c>
      <c r="O1458" s="513" t="s">
        <v>781</v>
      </c>
      <c r="P1458" s="513" t="s">
        <v>7284</v>
      </c>
      <c r="Q1458" s="518" t="s">
        <v>7101</v>
      </c>
      <c r="R1458" s="152" t="s">
        <v>7285</v>
      </c>
      <c r="S1458" s="152" t="s">
        <v>7295</v>
      </c>
      <c r="T1458" s="152" t="s">
        <v>7287</v>
      </c>
      <c r="U1458" s="152" t="s">
        <v>786</v>
      </c>
    </row>
    <row r="1459" spans="4:21">
      <c r="D1459" s="210"/>
      <c r="G1459" s="152" t="s">
        <v>372</v>
      </c>
      <c r="H1459" s="474" t="s">
        <v>309</v>
      </c>
      <c r="I1459" s="474"/>
      <c r="J1459" s="847">
        <v>-17604.650000000001</v>
      </c>
      <c r="K1459" s="513">
        <v>-12.53</v>
      </c>
      <c r="L1459" s="513">
        <v>1405</v>
      </c>
      <c r="M1459" s="152" t="s">
        <v>7143</v>
      </c>
      <c r="N1459" s="513" t="s">
        <v>780</v>
      </c>
      <c r="O1459" s="513" t="s">
        <v>781</v>
      </c>
      <c r="P1459" s="513" t="s">
        <v>7284</v>
      </c>
      <c r="Q1459" s="518" t="s">
        <v>7101</v>
      </c>
      <c r="R1459" s="152" t="s">
        <v>7285</v>
      </c>
      <c r="S1459" s="152" t="s">
        <v>7295</v>
      </c>
      <c r="T1459" s="152" t="s">
        <v>7287</v>
      </c>
      <c r="U1459" s="152" t="s">
        <v>786</v>
      </c>
    </row>
    <row r="1460" spans="4:21">
      <c r="D1460" s="210"/>
      <c r="G1460" s="152" t="s">
        <v>372</v>
      </c>
      <c r="H1460" s="474" t="s">
        <v>309</v>
      </c>
      <c r="I1460" s="474"/>
      <c r="J1460" s="847">
        <v>-431552.2</v>
      </c>
      <c r="K1460" s="513">
        <v>-303.91000000000003</v>
      </c>
      <c r="L1460" s="513">
        <v>1420</v>
      </c>
      <c r="M1460" s="152" t="s">
        <v>7143</v>
      </c>
      <c r="N1460" s="513" t="s">
        <v>780</v>
      </c>
      <c r="O1460" s="513" t="s">
        <v>781</v>
      </c>
      <c r="P1460" s="513" t="s">
        <v>7284</v>
      </c>
      <c r="Q1460" s="518" t="s">
        <v>7101</v>
      </c>
      <c r="R1460" s="152" t="s">
        <v>7285</v>
      </c>
      <c r="S1460" s="152" t="s">
        <v>7292</v>
      </c>
      <c r="T1460" s="152" t="s">
        <v>7287</v>
      </c>
      <c r="U1460" s="152" t="s">
        <v>786</v>
      </c>
    </row>
    <row r="1461" spans="4:21">
      <c r="D1461" s="210"/>
      <c r="G1461" s="152" t="s">
        <v>372</v>
      </c>
      <c r="H1461" s="474" t="s">
        <v>309</v>
      </c>
      <c r="I1461" s="474"/>
      <c r="J1461" s="847">
        <v>-60889.599999999999</v>
      </c>
      <c r="K1461" s="513">
        <v>-42.88</v>
      </c>
      <c r="L1461" s="513">
        <v>1420</v>
      </c>
      <c r="M1461" s="152" t="s">
        <v>7143</v>
      </c>
      <c r="N1461" s="513" t="s">
        <v>780</v>
      </c>
      <c r="O1461" s="513" t="s">
        <v>781</v>
      </c>
      <c r="P1461" s="513" t="s">
        <v>7284</v>
      </c>
      <c r="Q1461" s="518" t="s">
        <v>7101</v>
      </c>
      <c r="R1461" s="152" t="s">
        <v>7285</v>
      </c>
      <c r="S1461" s="152" t="s">
        <v>7293</v>
      </c>
      <c r="T1461" s="152" t="s">
        <v>7287</v>
      </c>
      <c r="U1461" s="152" t="s">
        <v>786</v>
      </c>
    </row>
    <row r="1462" spans="4:21">
      <c r="D1462" s="210"/>
      <c r="G1462" s="152" t="s">
        <v>372</v>
      </c>
      <c r="H1462" s="474" t="s">
        <v>309</v>
      </c>
      <c r="I1462" s="474"/>
      <c r="J1462" s="847">
        <v>-44772.6</v>
      </c>
      <c r="K1462" s="513">
        <v>-31.53</v>
      </c>
      <c r="L1462" s="513">
        <v>1420</v>
      </c>
      <c r="M1462" s="152" t="s">
        <v>7143</v>
      </c>
      <c r="N1462" s="513" t="s">
        <v>780</v>
      </c>
      <c r="O1462" s="513" t="s">
        <v>781</v>
      </c>
      <c r="P1462" s="513" t="s">
        <v>7284</v>
      </c>
      <c r="Q1462" s="518" t="s">
        <v>7101</v>
      </c>
      <c r="R1462" s="152" t="s">
        <v>7285</v>
      </c>
      <c r="S1462" s="152" t="s">
        <v>7229</v>
      </c>
      <c r="T1462" s="152" t="s">
        <v>7287</v>
      </c>
      <c r="U1462" s="152" t="s">
        <v>786</v>
      </c>
    </row>
    <row r="1463" spans="4:21">
      <c r="D1463" s="210"/>
      <c r="G1463" s="152" t="s">
        <v>372</v>
      </c>
      <c r="H1463" s="474" t="s">
        <v>309</v>
      </c>
      <c r="I1463" s="474"/>
      <c r="J1463" s="847">
        <v>-23955.4</v>
      </c>
      <c r="K1463" s="513">
        <v>-16.87</v>
      </c>
      <c r="L1463" s="513">
        <v>1420</v>
      </c>
      <c r="M1463" s="152" t="s">
        <v>7143</v>
      </c>
      <c r="N1463" s="513" t="s">
        <v>780</v>
      </c>
      <c r="O1463" s="513" t="s">
        <v>781</v>
      </c>
      <c r="P1463" s="513" t="s">
        <v>7284</v>
      </c>
      <c r="Q1463" s="518" t="s">
        <v>7101</v>
      </c>
      <c r="R1463" s="152" t="s">
        <v>7285</v>
      </c>
      <c r="S1463" s="152" t="s">
        <v>7303</v>
      </c>
      <c r="T1463" s="152" t="s">
        <v>7287</v>
      </c>
      <c r="U1463" s="152" t="s">
        <v>786</v>
      </c>
    </row>
    <row r="1464" spans="4:21">
      <c r="D1464" s="210"/>
      <c r="G1464" s="152" t="s">
        <v>372</v>
      </c>
      <c r="H1464" s="474" t="s">
        <v>309</v>
      </c>
      <c r="I1464" s="474"/>
      <c r="J1464" s="847">
        <v>-179062</v>
      </c>
      <c r="K1464" s="513">
        <v>-126.1</v>
      </c>
      <c r="L1464" s="513">
        <v>1420</v>
      </c>
      <c r="M1464" s="152" t="s">
        <v>7143</v>
      </c>
      <c r="N1464" s="513" t="s">
        <v>780</v>
      </c>
      <c r="O1464" s="513" t="s">
        <v>781</v>
      </c>
      <c r="P1464" s="513" t="s">
        <v>7284</v>
      </c>
      <c r="Q1464" s="518" t="s">
        <v>7101</v>
      </c>
      <c r="R1464" s="152" t="s">
        <v>7285</v>
      </c>
      <c r="S1464" s="152" t="s">
        <v>7298</v>
      </c>
      <c r="T1464" s="152" t="s">
        <v>7287</v>
      </c>
      <c r="U1464" s="152" t="s">
        <v>786</v>
      </c>
    </row>
    <row r="1465" spans="4:21">
      <c r="D1465" s="210"/>
      <c r="G1465" s="152" t="s">
        <v>372</v>
      </c>
      <c r="H1465" s="474" t="s">
        <v>309</v>
      </c>
      <c r="I1465" s="474"/>
      <c r="J1465" s="847">
        <v>-35812.400000000001</v>
      </c>
      <c r="K1465" s="513">
        <v>-25.22</v>
      </c>
      <c r="L1465" s="513">
        <v>1420</v>
      </c>
      <c r="M1465" s="152" t="s">
        <v>7143</v>
      </c>
      <c r="N1465" s="513" t="s">
        <v>780</v>
      </c>
      <c r="O1465" s="513" t="s">
        <v>781</v>
      </c>
      <c r="P1465" s="513" t="s">
        <v>7284</v>
      </c>
      <c r="Q1465" s="518" t="s">
        <v>7101</v>
      </c>
      <c r="R1465" s="152" t="s">
        <v>7285</v>
      </c>
      <c r="S1465" s="152" t="s">
        <v>7299</v>
      </c>
      <c r="T1465" s="152" t="s">
        <v>7287</v>
      </c>
      <c r="U1465" s="152" t="s">
        <v>786</v>
      </c>
    </row>
    <row r="1466" spans="4:21">
      <c r="D1466" s="210"/>
      <c r="G1466" s="152" t="s">
        <v>372</v>
      </c>
      <c r="H1466" s="474" t="s">
        <v>309</v>
      </c>
      <c r="I1466" s="474"/>
      <c r="J1466" s="847">
        <v>-17906.2</v>
      </c>
      <c r="K1466" s="513">
        <v>-12.61</v>
      </c>
      <c r="L1466" s="513">
        <v>1420</v>
      </c>
      <c r="M1466" s="152" t="s">
        <v>7143</v>
      </c>
      <c r="N1466" s="513" t="s">
        <v>780</v>
      </c>
      <c r="O1466" s="513" t="s">
        <v>781</v>
      </c>
      <c r="P1466" s="513" t="s">
        <v>7284</v>
      </c>
      <c r="Q1466" s="518" t="s">
        <v>7101</v>
      </c>
      <c r="R1466" s="152" t="s">
        <v>7285</v>
      </c>
      <c r="S1466" s="152" t="s">
        <v>7302</v>
      </c>
      <c r="T1466" s="152" t="s">
        <v>7287</v>
      </c>
      <c r="U1466" s="152" t="s">
        <v>786</v>
      </c>
    </row>
    <row r="1467" spans="4:21">
      <c r="D1467" s="210"/>
      <c r="G1467" s="152" t="s">
        <v>372</v>
      </c>
      <c r="H1467" s="474" t="s">
        <v>309</v>
      </c>
      <c r="I1467" s="474"/>
      <c r="J1467" s="847">
        <v>-426000</v>
      </c>
      <c r="K1467" s="513">
        <v>-300</v>
      </c>
      <c r="L1467" s="513">
        <v>1420</v>
      </c>
      <c r="M1467" s="152" t="s">
        <v>7143</v>
      </c>
      <c r="N1467" s="513" t="s">
        <v>780</v>
      </c>
      <c r="O1467" s="513" t="s">
        <v>781</v>
      </c>
      <c r="P1467" s="513" t="s">
        <v>7284</v>
      </c>
      <c r="Q1467" s="518" t="s">
        <v>7101</v>
      </c>
      <c r="R1467" s="152" t="s">
        <v>7285</v>
      </c>
      <c r="S1467" s="152" t="s">
        <v>7335</v>
      </c>
      <c r="T1467" s="152" t="s">
        <v>7287</v>
      </c>
      <c r="U1467" s="152" t="s">
        <v>786</v>
      </c>
    </row>
    <row r="1468" spans="4:21">
      <c r="D1468" s="210"/>
      <c r="G1468" s="152" t="s">
        <v>372</v>
      </c>
      <c r="H1468" s="474" t="s">
        <v>309</v>
      </c>
      <c r="I1468" s="474"/>
      <c r="J1468" s="847">
        <v>-1079200</v>
      </c>
      <c r="K1468" s="513">
        <v>-760</v>
      </c>
      <c r="L1468" s="513">
        <v>1420</v>
      </c>
      <c r="M1468" s="152" t="s">
        <v>7143</v>
      </c>
      <c r="N1468" s="513" t="s">
        <v>780</v>
      </c>
      <c r="O1468" s="513" t="s">
        <v>781</v>
      </c>
      <c r="P1468" s="513" t="s">
        <v>7284</v>
      </c>
      <c r="Q1468" s="518" t="s">
        <v>7101</v>
      </c>
      <c r="R1468" s="152" t="s">
        <v>7285</v>
      </c>
      <c r="S1468" s="152" t="s">
        <v>7304</v>
      </c>
      <c r="T1468" s="152" t="s">
        <v>7287</v>
      </c>
      <c r="U1468" s="152" t="s">
        <v>786</v>
      </c>
    </row>
    <row r="1469" spans="4:21">
      <c r="D1469" s="210"/>
      <c r="G1469" s="152" t="s">
        <v>372</v>
      </c>
      <c r="H1469" s="474" t="s">
        <v>309</v>
      </c>
      <c r="I1469" s="474"/>
      <c r="J1469" s="847">
        <v>-2601440</v>
      </c>
      <c r="K1469" s="513">
        <v>-1832</v>
      </c>
      <c r="L1469" s="513">
        <v>1420</v>
      </c>
      <c r="M1469" s="152" t="s">
        <v>7143</v>
      </c>
      <c r="N1469" s="513" t="s">
        <v>780</v>
      </c>
      <c r="O1469" s="513" t="s">
        <v>781</v>
      </c>
      <c r="P1469" s="513" t="s">
        <v>7284</v>
      </c>
      <c r="Q1469" s="518" t="s">
        <v>7101</v>
      </c>
      <c r="R1469" s="152" t="s">
        <v>7285</v>
      </c>
      <c r="S1469" s="152" t="s">
        <v>7336</v>
      </c>
      <c r="T1469" s="152" t="s">
        <v>7287</v>
      </c>
      <c r="U1469" s="152" t="s">
        <v>786</v>
      </c>
    </row>
    <row r="1470" spans="4:21">
      <c r="D1470" s="210"/>
      <c r="G1470" s="152" t="s">
        <v>372</v>
      </c>
      <c r="H1470" s="474" t="s">
        <v>309</v>
      </c>
      <c r="I1470" s="474"/>
      <c r="J1470" s="847">
        <v>2248000</v>
      </c>
      <c r="K1470" s="513">
        <v>1600</v>
      </c>
      <c r="L1470" s="513">
        <v>1405</v>
      </c>
      <c r="M1470" s="152" t="s">
        <v>7143</v>
      </c>
      <c r="N1470" s="513" t="s">
        <v>780</v>
      </c>
      <c r="O1470" s="513" t="s">
        <v>781</v>
      </c>
      <c r="P1470" s="513" t="s">
        <v>7725</v>
      </c>
      <c r="Q1470" s="518" t="s">
        <v>7101</v>
      </c>
      <c r="R1470" s="152" t="s">
        <v>7726</v>
      </c>
      <c r="S1470" s="152" t="s">
        <v>7727</v>
      </c>
      <c r="T1470" s="152" t="s">
        <v>7728</v>
      </c>
      <c r="U1470" s="152" t="s">
        <v>786</v>
      </c>
    </row>
    <row r="1471" spans="4:21">
      <c r="D1471" s="210"/>
      <c r="G1471" s="152" t="s">
        <v>372</v>
      </c>
      <c r="H1471" s="474" t="s">
        <v>309</v>
      </c>
      <c r="I1471" s="474"/>
      <c r="J1471" s="847">
        <v>4074500</v>
      </c>
      <c r="K1471" s="513">
        <v>2900</v>
      </c>
      <c r="L1471" s="513">
        <v>1405</v>
      </c>
      <c r="M1471" s="152" t="s">
        <v>7143</v>
      </c>
      <c r="N1471" s="513" t="s">
        <v>780</v>
      </c>
      <c r="O1471" s="513" t="s">
        <v>781</v>
      </c>
      <c r="P1471" s="513" t="s">
        <v>7725</v>
      </c>
      <c r="Q1471" s="518" t="s">
        <v>7101</v>
      </c>
      <c r="R1471" s="152" t="s">
        <v>7726</v>
      </c>
      <c r="S1471" s="152" t="s">
        <v>7727</v>
      </c>
      <c r="T1471" s="152" t="s">
        <v>7728</v>
      </c>
      <c r="U1471" s="152" t="s">
        <v>786</v>
      </c>
    </row>
    <row r="1472" spans="4:21">
      <c r="D1472" s="210"/>
      <c r="G1472" s="152" t="s">
        <v>372</v>
      </c>
      <c r="H1472" s="474" t="s">
        <v>309</v>
      </c>
      <c r="I1472" s="474"/>
      <c r="J1472" s="847">
        <v>2599250</v>
      </c>
      <c r="K1472" s="513">
        <v>1850</v>
      </c>
      <c r="L1472" s="513">
        <v>1405</v>
      </c>
      <c r="M1472" s="152" t="s">
        <v>7143</v>
      </c>
      <c r="N1472" s="513" t="s">
        <v>780</v>
      </c>
      <c r="O1472" s="513" t="s">
        <v>781</v>
      </c>
      <c r="P1472" s="513" t="s">
        <v>7725</v>
      </c>
      <c r="Q1472" s="518" t="s">
        <v>7101</v>
      </c>
      <c r="R1472" s="152" t="s">
        <v>7726</v>
      </c>
      <c r="S1472" s="152" t="s">
        <v>7727</v>
      </c>
      <c r="T1472" s="152" t="s">
        <v>7728</v>
      </c>
      <c r="U1472" s="152" t="s">
        <v>786</v>
      </c>
    </row>
    <row r="1473" spans="4:21">
      <c r="D1473" s="210"/>
      <c r="G1473" s="152" t="s">
        <v>372</v>
      </c>
      <c r="H1473" s="474" t="s">
        <v>309</v>
      </c>
      <c r="I1473" s="474"/>
      <c r="J1473" s="847">
        <v>1551316.7</v>
      </c>
      <c r="K1473" s="513">
        <v>1104.1400000000001</v>
      </c>
      <c r="L1473" s="513">
        <v>1405</v>
      </c>
      <c r="M1473" s="152" t="s">
        <v>7143</v>
      </c>
      <c r="N1473" s="513" t="s">
        <v>780</v>
      </c>
      <c r="O1473" s="513" t="s">
        <v>781</v>
      </c>
      <c r="P1473" s="513" t="s">
        <v>7725</v>
      </c>
      <c r="Q1473" s="518" t="s">
        <v>7101</v>
      </c>
      <c r="R1473" s="152" t="s">
        <v>7726</v>
      </c>
      <c r="S1473" s="152" t="s">
        <v>7731</v>
      </c>
      <c r="T1473" s="152" t="s">
        <v>7728</v>
      </c>
      <c r="U1473" s="152" t="s">
        <v>786</v>
      </c>
    </row>
    <row r="1474" spans="4:21">
      <c r="D1474" s="210"/>
      <c r="G1474" s="152" t="s">
        <v>372</v>
      </c>
      <c r="H1474" s="474" t="s">
        <v>309</v>
      </c>
      <c r="I1474" s="474"/>
      <c r="J1474" s="847">
        <v>2556144.6</v>
      </c>
      <c r="K1474" s="513">
        <v>1819.32</v>
      </c>
      <c r="L1474" s="513">
        <v>1405</v>
      </c>
      <c r="M1474" s="152" t="s">
        <v>7143</v>
      </c>
      <c r="N1474" s="513" t="s">
        <v>780</v>
      </c>
      <c r="O1474" s="513" t="s">
        <v>781</v>
      </c>
      <c r="P1474" s="513" t="s">
        <v>7725</v>
      </c>
      <c r="Q1474" s="518" t="s">
        <v>7101</v>
      </c>
      <c r="R1474" s="152" t="s">
        <v>7726</v>
      </c>
      <c r="S1474" s="152" t="s">
        <v>7730</v>
      </c>
      <c r="T1474" s="152" t="s">
        <v>7728</v>
      </c>
      <c r="U1474" s="152" t="s">
        <v>786</v>
      </c>
    </row>
    <row r="1475" spans="4:21">
      <c r="D1475" s="210"/>
      <c r="G1475" s="152" t="s">
        <v>372</v>
      </c>
      <c r="H1475" s="474" t="s">
        <v>309</v>
      </c>
      <c r="I1475" s="474"/>
      <c r="J1475" s="847">
        <v>2810000</v>
      </c>
      <c r="K1475" s="513">
        <v>2000</v>
      </c>
      <c r="L1475" s="513">
        <v>1405</v>
      </c>
      <c r="M1475" s="152" t="s">
        <v>7143</v>
      </c>
      <c r="N1475" s="513" t="s">
        <v>780</v>
      </c>
      <c r="O1475" s="513" t="s">
        <v>781</v>
      </c>
      <c r="P1475" s="513" t="s">
        <v>7725</v>
      </c>
      <c r="Q1475" s="518" t="s">
        <v>7101</v>
      </c>
      <c r="R1475" s="152" t="s">
        <v>7726</v>
      </c>
      <c r="S1475" s="152" t="s">
        <v>7732</v>
      </c>
      <c r="T1475" s="152" t="s">
        <v>7728</v>
      </c>
      <c r="U1475" s="152" t="s">
        <v>786</v>
      </c>
    </row>
    <row r="1476" spans="4:21">
      <c r="D1476" s="210"/>
      <c r="G1476" s="152" t="s">
        <v>372</v>
      </c>
      <c r="H1476" s="474" t="s">
        <v>309</v>
      </c>
      <c r="I1476" s="474"/>
      <c r="J1476" s="847">
        <v>23196550</v>
      </c>
      <c r="K1476" s="513">
        <v>16510</v>
      </c>
      <c r="L1476" s="513">
        <v>1405</v>
      </c>
      <c r="M1476" s="152" t="s">
        <v>7143</v>
      </c>
      <c r="N1476" s="513" t="s">
        <v>780</v>
      </c>
      <c r="O1476" s="513" t="s">
        <v>781</v>
      </c>
      <c r="P1476" s="513" t="s">
        <v>7725</v>
      </c>
      <c r="Q1476" s="518" t="s">
        <v>7101</v>
      </c>
      <c r="R1476" s="152" t="s">
        <v>7726</v>
      </c>
      <c r="S1476" s="152" t="s">
        <v>7729</v>
      </c>
      <c r="T1476" s="152" t="s">
        <v>7728</v>
      </c>
      <c r="U1476" s="152" t="s">
        <v>786</v>
      </c>
    </row>
    <row r="1477" spans="4:21">
      <c r="D1477" s="210"/>
      <c r="G1477" s="152" t="s">
        <v>372</v>
      </c>
      <c r="H1477" s="474" t="s">
        <v>309</v>
      </c>
      <c r="I1477" s="474"/>
      <c r="J1477" s="847">
        <v>714105.3</v>
      </c>
      <c r="K1477" s="513">
        <v>508.26</v>
      </c>
      <c r="L1477" s="513">
        <v>1405</v>
      </c>
      <c r="M1477" s="152" t="s">
        <v>7143</v>
      </c>
      <c r="N1477" s="513" t="s">
        <v>780</v>
      </c>
      <c r="O1477" s="513" t="s">
        <v>781</v>
      </c>
      <c r="P1477" s="513" t="s">
        <v>7725</v>
      </c>
      <c r="Q1477" s="518" t="s">
        <v>7101</v>
      </c>
      <c r="R1477" s="152" t="s">
        <v>7726</v>
      </c>
      <c r="S1477" s="152" t="s">
        <v>7733</v>
      </c>
      <c r="T1477" s="152" t="s">
        <v>7728</v>
      </c>
      <c r="U1477" s="152" t="s">
        <v>786</v>
      </c>
    </row>
    <row r="1478" spans="4:21">
      <c r="D1478" s="210"/>
      <c r="G1478" s="152" t="s">
        <v>372</v>
      </c>
      <c r="H1478" s="474" t="s">
        <v>309</v>
      </c>
      <c r="I1478" s="474"/>
      <c r="J1478" s="847">
        <v>1875675</v>
      </c>
      <c r="K1478" s="513">
        <v>1335</v>
      </c>
      <c r="L1478" s="513">
        <v>1405</v>
      </c>
      <c r="M1478" s="152" t="s">
        <v>7116</v>
      </c>
      <c r="N1478" s="513" t="s">
        <v>1540</v>
      </c>
      <c r="O1478" s="513" t="s">
        <v>781</v>
      </c>
      <c r="P1478" s="513" t="s">
        <v>8115</v>
      </c>
      <c r="Q1478" s="518" t="s">
        <v>8091</v>
      </c>
      <c r="R1478" s="152" t="s">
        <v>8116</v>
      </c>
      <c r="T1478" s="152" t="s">
        <v>8117</v>
      </c>
      <c r="U1478" s="152" t="s">
        <v>786</v>
      </c>
    </row>
    <row r="1479" spans="4:21">
      <c r="D1479" s="210"/>
      <c r="G1479" s="152" t="s">
        <v>372</v>
      </c>
      <c r="H1479" s="474" t="s">
        <v>309</v>
      </c>
      <c r="I1479" s="474"/>
      <c r="J1479" s="847">
        <v>2198825</v>
      </c>
      <c r="K1479" s="513">
        <v>1565</v>
      </c>
      <c r="L1479" s="513">
        <v>1405</v>
      </c>
      <c r="M1479" s="152" t="s">
        <v>7116</v>
      </c>
      <c r="N1479" s="513" t="s">
        <v>1540</v>
      </c>
      <c r="O1479" s="513" t="s">
        <v>781</v>
      </c>
      <c r="P1479" s="513" t="s">
        <v>8118</v>
      </c>
      <c r="Q1479" s="518" t="s">
        <v>8091</v>
      </c>
      <c r="R1479" s="152" t="s">
        <v>8119</v>
      </c>
      <c r="T1479" s="152" t="s">
        <v>8120</v>
      </c>
      <c r="U1479" s="152" t="s">
        <v>786</v>
      </c>
    </row>
    <row r="1480" spans="4:21">
      <c r="D1480" s="210"/>
      <c r="G1480" s="152" t="s">
        <v>372</v>
      </c>
      <c r="H1480" s="474" t="s">
        <v>309</v>
      </c>
      <c r="I1480" s="474"/>
      <c r="J1480" s="847">
        <v>4243100</v>
      </c>
      <c r="K1480" s="513">
        <v>3020</v>
      </c>
      <c r="L1480" s="513">
        <v>1405</v>
      </c>
      <c r="M1480" s="152" t="s">
        <v>7116</v>
      </c>
      <c r="N1480" s="513" t="s">
        <v>1540</v>
      </c>
      <c r="O1480" s="513" t="s">
        <v>781</v>
      </c>
      <c r="P1480" s="513" t="s">
        <v>8121</v>
      </c>
      <c r="Q1480" s="518" t="s">
        <v>8091</v>
      </c>
      <c r="R1480" s="152" t="s">
        <v>8122</v>
      </c>
      <c r="T1480" s="152" t="s">
        <v>8123</v>
      </c>
      <c r="U1480" s="152" t="s">
        <v>786</v>
      </c>
    </row>
    <row r="1481" spans="4:21">
      <c r="D1481" s="210"/>
      <c r="G1481" s="152" t="s">
        <v>372</v>
      </c>
      <c r="H1481" s="474" t="s">
        <v>309</v>
      </c>
      <c r="I1481" s="474"/>
      <c r="J1481" s="847">
        <v>1707075</v>
      </c>
      <c r="K1481" s="513">
        <v>1215</v>
      </c>
      <c r="L1481" s="513">
        <v>1405</v>
      </c>
      <c r="M1481" s="152" t="s">
        <v>7116</v>
      </c>
      <c r="N1481" s="513" t="s">
        <v>1540</v>
      </c>
      <c r="O1481" s="513" t="s">
        <v>781</v>
      </c>
      <c r="P1481" s="513" t="s">
        <v>8124</v>
      </c>
      <c r="Q1481" s="518" t="s">
        <v>8091</v>
      </c>
      <c r="R1481" s="152" t="s">
        <v>8125</v>
      </c>
      <c r="T1481" s="152" t="s">
        <v>8126</v>
      </c>
      <c r="U1481" s="152" t="s">
        <v>786</v>
      </c>
    </row>
    <row r="1482" spans="4:21">
      <c r="D1482" s="210"/>
      <c r="G1482" s="152" t="s">
        <v>372</v>
      </c>
      <c r="H1482" s="474" t="s">
        <v>309</v>
      </c>
      <c r="I1482" s="474"/>
      <c r="J1482" s="847">
        <v>8092800</v>
      </c>
      <c r="K1482" s="513">
        <v>5760</v>
      </c>
      <c r="L1482" s="513">
        <v>1405</v>
      </c>
      <c r="M1482" s="152" t="s">
        <v>7116</v>
      </c>
      <c r="N1482" s="513" t="s">
        <v>1540</v>
      </c>
      <c r="O1482" s="513" t="s">
        <v>781</v>
      </c>
      <c r="P1482" s="513" t="s">
        <v>8127</v>
      </c>
      <c r="Q1482" s="518" t="s">
        <v>8091</v>
      </c>
      <c r="R1482" s="152" t="s">
        <v>8128</v>
      </c>
      <c r="T1482" s="152" t="s">
        <v>8129</v>
      </c>
      <c r="U1482" s="152" t="s">
        <v>786</v>
      </c>
    </row>
    <row r="1483" spans="4:21">
      <c r="D1483" s="210"/>
      <c r="G1483" s="152" t="s">
        <v>372</v>
      </c>
      <c r="H1483" s="474" t="s">
        <v>309</v>
      </c>
      <c r="I1483" s="474"/>
      <c r="J1483" s="847">
        <v>1928362.5</v>
      </c>
      <c r="K1483" s="513">
        <v>1372.5</v>
      </c>
      <c r="L1483" s="513">
        <v>1405</v>
      </c>
      <c r="M1483" s="152" t="s">
        <v>7975</v>
      </c>
      <c r="N1483" s="513" t="s">
        <v>1540</v>
      </c>
      <c r="O1483" s="513" t="s">
        <v>781</v>
      </c>
      <c r="P1483" s="513" t="s">
        <v>8151</v>
      </c>
      <c r="Q1483" s="518" t="s">
        <v>8091</v>
      </c>
      <c r="R1483" s="152" t="s">
        <v>8152</v>
      </c>
      <c r="T1483" s="152" t="s">
        <v>8153</v>
      </c>
      <c r="U1483" s="152" t="s">
        <v>786</v>
      </c>
    </row>
    <row r="1484" spans="4:21">
      <c r="D1484" s="210"/>
      <c r="G1484" s="152" t="s">
        <v>372</v>
      </c>
      <c r="H1484" s="474" t="s">
        <v>309</v>
      </c>
      <c r="I1484" s="474"/>
      <c r="J1484" s="847">
        <v>2107500</v>
      </c>
      <c r="K1484" s="513">
        <v>1500</v>
      </c>
      <c r="L1484" s="513">
        <v>1405</v>
      </c>
      <c r="M1484" s="152" t="s">
        <v>7975</v>
      </c>
      <c r="N1484" s="513" t="s">
        <v>1540</v>
      </c>
      <c r="O1484" s="513" t="s">
        <v>781</v>
      </c>
      <c r="P1484" s="513" t="s">
        <v>8154</v>
      </c>
      <c r="Q1484" s="518" t="s">
        <v>8091</v>
      </c>
      <c r="R1484" s="152" t="s">
        <v>8155</v>
      </c>
      <c r="T1484" s="152" t="s">
        <v>8156</v>
      </c>
      <c r="U1484" s="152" t="s">
        <v>786</v>
      </c>
    </row>
    <row r="1485" spans="4:21">
      <c r="D1485" s="210"/>
      <c r="G1485" s="152" t="s">
        <v>372</v>
      </c>
      <c r="H1485" s="474" t="s">
        <v>309</v>
      </c>
      <c r="I1485" s="474"/>
      <c r="J1485" s="847">
        <v>3512500</v>
      </c>
      <c r="K1485" s="513">
        <v>2500</v>
      </c>
      <c r="L1485" s="513">
        <v>1405</v>
      </c>
      <c r="M1485" s="152" t="s">
        <v>7975</v>
      </c>
      <c r="N1485" s="513" t="s">
        <v>1540</v>
      </c>
      <c r="O1485" s="513" t="s">
        <v>781</v>
      </c>
      <c r="P1485" s="513" t="s">
        <v>8157</v>
      </c>
      <c r="Q1485" s="518" t="s">
        <v>8091</v>
      </c>
      <c r="R1485" s="152" t="s">
        <v>8158</v>
      </c>
      <c r="T1485" s="152" t="s">
        <v>8159</v>
      </c>
      <c r="U1485" s="152" t="s">
        <v>786</v>
      </c>
    </row>
    <row r="1486" spans="4:21">
      <c r="D1486" s="210"/>
      <c r="G1486" s="152" t="s">
        <v>372</v>
      </c>
      <c r="H1486" s="474" t="s">
        <v>309</v>
      </c>
      <c r="I1486" s="474"/>
      <c r="J1486" s="847">
        <v>2810000</v>
      </c>
      <c r="K1486" s="513">
        <v>2000</v>
      </c>
      <c r="L1486" s="513">
        <v>1405</v>
      </c>
      <c r="M1486" s="152" t="s">
        <v>7975</v>
      </c>
      <c r="N1486" s="513" t="s">
        <v>1540</v>
      </c>
      <c r="O1486" s="513" t="s">
        <v>781</v>
      </c>
      <c r="P1486" s="513" t="s">
        <v>8160</v>
      </c>
      <c r="Q1486" s="518" t="s">
        <v>8091</v>
      </c>
      <c r="R1486" s="152" t="s">
        <v>8161</v>
      </c>
      <c r="T1486" s="152" t="s">
        <v>8162</v>
      </c>
      <c r="U1486" s="152" t="s">
        <v>786</v>
      </c>
    </row>
    <row r="1487" spans="4:21">
      <c r="D1487" s="210"/>
      <c r="G1487" s="152" t="s">
        <v>372</v>
      </c>
      <c r="H1487" s="474" t="s">
        <v>309</v>
      </c>
      <c r="I1487" s="474"/>
      <c r="J1487" s="847">
        <v>2840000</v>
      </c>
      <c r="K1487" s="513">
        <v>2000</v>
      </c>
      <c r="L1487" s="513">
        <v>1420</v>
      </c>
      <c r="M1487" s="152" t="s">
        <v>7143</v>
      </c>
      <c r="N1487" s="513" t="s">
        <v>1540</v>
      </c>
      <c r="O1487" s="513" t="s">
        <v>781</v>
      </c>
      <c r="P1487" s="513" t="s">
        <v>8169</v>
      </c>
      <c r="Q1487" s="518" t="s">
        <v>8091</v>
      </c>
      <c r="R1487" s="152" t="s">
        <v>8170</v>
      </c>
      <c r="T1487" s="152" t="s">
        <v>8171</v>
      </c>
      <c r="U1487" s="152" t="s">
        <v>786</v>
      </c>
    </row>
    <row r="1488" spans="4:21">
      <c r="D1488" s="210"/>
      <c r="G1488" s="152" t="s">
        <v>372</v>
      </c>
      <c r="H1488" s="474" t="s">
        <v>309</v>
      </c>
      <c r="I1488" s="474"/>
      <c r="J1488" s="847">
        <v>1065000</v>
      </c>
      <c r="K1488" s="513">
        <v>750</v>
      </c>
      <c r="L1488" s="513">
        <v>1420</v>
      </c>
      <c r="M1488" s="152" t="s">
        <v>7143</v>
      </c>
      <c r="N1488" s="513" t="s">
        <v>1540</v>
      </c>
      <c r="O1488" s="513" t="s">
        <v>781</v>
      </c>
      <c r="P1488" s="513" t="s">
        <v>8172</v>
      </c>
      <c r="Q1488" s="518" t="s">
        <v>8091</v>
      </c>
      <c r="R1488" s="152" t="s">
        <v>8173</v>
      </c>
      <c r="T1488" s="152" t="s">
        <v>8174</v>
      </c>
      <c r="U1488" s="152" t="s">
        <v>786</v>
      </c>
    </row>
    <row r="1489" spans="4:21">
      <c r="D1489" s="210"/>
      <c r="G1489" s="152" t="s">
        <v>372</v>
      </c>
      <c r="H1489" s="474" t="s">
        <v>309</v>
      </c>
      <c r="I1489" s="474"/>
      <c r="J1489" s="847">
        <v>1065000</v>
      </c>
      <c r="K1489" s="513">
        <v>750</v>
      </c>
      <c r="L1489" s="513">
        <v>1420</v>
      </c>
      <c r="M1489" s="152" t="s">
        <v>7143</v>
      </c>
      <c r="N1489" s="513" t="s">
        <v>1540</v>
      </c>
      <c r="O1489" s="513" t="s">
        <v>781</v>
      </c>
      <c r="P1489" s="513" t="s">
        <v>8175</v>
      </c>
      <c r="Q1489" s="518" t="s">
        <v>8091</v>
      </c>
      <c r="R1489" s="152" t="s">
        <v>8176</v>
      </c>
      <c r="T1489" s="152" t="s">
        <v>8177</v>
      </c>
      <c r="U1489" s="152" t="s">
        <v>786</v>
      </c>
    </row>
    <row r="1490" spans="4:21">
      <c r="D1490" s="210"/>
      <c r="G1490" s="152" t="s">
        <v>372</v>
      </c>
      <c r="H1490" s="474" t="s">
        <v>309</v>
      </c>
      <c r="I1490" s="474"/>
      <c r="J1490" s="847">
        <v>1065000</v>
      </c>
      <c r="K1490" s="513">
        <v>750</v>
      </c>
      <c r="L1490" s="513">
        <v>1420</v>
      </c>
      <c r="M1490" s="152" t="s">
        <v>7143</v>
      </c>
      <c r="N1490" s="513" t="s">
        <v>1540</v>
      </c>
      <c r="O1490" s="513" t="s">
        <v>781</v>
      </c>
      <c r="P1490" s="513" t="s">
        <v>8178</v>
      </c>
      <c r="Q1490" s="518" t="s">
        <v>8091</v>
      </c>
      <c r="R1490" s="152" t="s">
        <v>8179</v>
      </c>
      <c r="T1490" s="152" t="s">
        <v>8180</v>
      </c>
      <c r="U1490" s="152" t="s">
        <v>786</v>
      </c>
    </row>
    <row r="1491" spans="4:21">
      <c r="D1491" s="210"/>
      <c r="G1491" s="152" t="s">
        <v>372</v>
      </c>
      <c r="H1491" s="474" t="s">
        <v>309</v>
      </c>
      <c r="I1491" s="474"/>
      <c r="J1491" s="847">
        <v>1065000</v>
      </c>
      <c r="K1491" s="513">
        <v>750</v>
      </c>
      <c r="L1491" s="513">
        <v>1420</v>
      </c>
      <c r="M1491" s="152" t="s">
        <v>7143</v>
      </c>
      <c r="N1491" s="513" t="s">
        <v>1540</v>
      </c>
      <c r="O1491" s="513" t="s">
        <v>781</v>
      </c>
      <c r="P1491" s="513" t="s">
        <v>8181</v>
      </c>
      <c r="Q1491" s="518" t="s">
        <v>8091</v>
      </c>
      <c r="R1491" s="152" t="s">
        <v>8182</v>
      </c>
      <c r="T1491" s="152" t="s">
        <v>8183</v>
      </c>
      <c r="U1491" s="152" t="s">
        <v>786</v>
      </c>
    </row>
    <row r="1492" spans="4:21">
      <c r="D1492" s="210"/>
      <c r="G1492" s="152" t="s">
        <v>372</v>
      </c>
      <c r="H1492" s="474" t="s">
        <v>309</v>
      </c>
      <c r="I1492" s="474"/>
      <c r="J1492" s="847">
        <v>-98167.35</v>
      </c>
      <c r="K1492" s="513">
        <v>-69.87</v>
      </c>
      <c r="L1492" s="513">
        <v>1405</v>
      </c>
      <c r="M1492" s="152" t="s">
        <v>7116</v>
      </c>
      <c r="N1492" s="513" t="s">
        <v>780</v>
      </c>
      <c r="O1492" s="513" t="s">
        <v>1407</v>
      </c>
      <c r="P1492" s="513" t="s">
        <v>7179</v>
      </c>
      <c r="Q1492" s="518" t="s">
        <v>7101</v>
      </c>
      <c r="R1492" s="152" t="s">
        <v>7180</v>
      </c>
      <c r="S1492" s="152" t="s">
        <v>7183</v>
      </c>
      <c r="T1492" s="152" t="s">
        <v>7182</v>
      </c>
      <c r="U1492" s="152" t="s">
        <v>786</v>
      </c>
    </row>
    <row r="1493" spans="4:21">
      <c r="D1493" s="210"/>
      <c r="G1493" s="152" t="s">
        <v>372</v>
      </c>
      <c r="H1493" s="474" t="s">
        <v>309</v>
      </c>
      <c r="I1493" s="474"/>
      <c r="J1493" s="847">
        <v>-3175.3</v>
      </c>
      <c r="K1493" s="513">
        <v>-2.2599999999999998</v>
      </c>
      <c r="L1493" s="513">
        <v>1405</v>
      </c>
      <c r="M1493" s="152" t="s">
        <v>7116</v>
      </c>
      <c r="N1493" s="513" t="s">
        <v>780</v>
      </c>
      <c r="O1493" s="513" t="s">
        <v>1407</v>
      </c>
      <c r="P1493" s="513" t="s">
        <v>7179</v>
      </c>
      <c r="Q1493" s="518" t="s">
        <v>7101</v>
      </c>
      <c r="R1493" s="152" t="s">
        <v>7180</v>
      </c>
      <c r="S1493" s="152" t="s">
        <v>7184</v>
      </c>
      <c r="T1493" s="152" t="s">
        <v>7182</v>
      </c>
      <c r="U1493" s="152" t="s">
        <v>786</v>
      </c>
    </row>
    <row r="1494" spans="4:21">
      <c r="D1494" s="210"/>
      <c r="G1494" s="152" t="s">
        <v>372</v>
      </c>
      <c r="H1494" s="474" t="s">
        <v>309</v>
      </c>
      <c r="I1494" s="474"/>
      <c r="J1494" s="847">
        <v>-154550</v>
      </c>
      <c r="K1494" s="513">
        <v>-110</v>
      </c>
      <c r="L1494" s="513">
        <v>1405</v>
      </c>
      <c r="M1494" s="152" t="s">
        <v>7116</v>
      </c>
      <c r="N1494" s="513" t="s">
        <v>780</v>
      </c>
      <c r="O1494" s="513" t="s">
        <v>1407</v>
      </c>
      <c r="P1494" s="513" t="s">
        <v>7179</v>
      </c>
      <c r="Q1494" s="518" t="s">
        <v>7101</v>
      </c>
      <c r="R1494" s="152" t="s">
        <v>7180</v>
      </c>
      <c r="S1494" s="152" t="s">
        <v>3948</v>
      </c>
      <c r="T1494" s="152" t="s">
        <v>7182</v>
      </c>
      <c r="U1494" s="152" t="s">
        <v>786</v>
      </c>
    </row>
    <row r="1495" spans="4:21">
      <c r="D1495" s="210"/>
      <c r="G1495" s="152" t="s">
        <v>372</v>
      </c>
      <c r="H1495" s="474" t="s">
        <v>309</v>
      </c>
      <c r="I1495" s="474"/>
      <c r="J1495" s="847">
        <v>-91310.95</v>
      </c>
      <c r="K1495" s="513">
        <v>-64.989999999999995</v>
      </c>
      <c r="L1495" s="513">
        <v>1405</v>
      </c>
      <c r="M1495" s="152" t="s">
        <v>7116</v>
      </c>
      <c r="N1495" s="513" t="s">
        <v>780</v>
      </c>
      <c r="O1495" s="513" t="s">
        <v>1407</v>
      </c>
      <c r="P1495" s="513" t="s">
        <v>7179</v>
      </c>
      <c r="Q1495" s="518" t="s">
        <v>7101</v>
      </c>
      <c r="R1495" s="152" t="s">
        <v>7180</v>
      </c>
      <c r="S1495" s="152" t="s">
        <v>4007</v>
      </c>
      <c r="T1495" s="152" t="s">
        <v>7182</v>
      </c>
      <c r="U1495" s="152" t="s">
        <v>786</v>
      </c>
    </row>
    <row r="1496" spans="4:21">
      <c r="D1496" s="210"/>
      <c r="G1496" s="152" t="s">
        <v>372</v>
      </c>
      <c r="H1496" s="474" t="s">
        <v>309</v>
      </c>
      <c r="I1496" s="474"/>
      <c r="J1496" s="847">
        <v>-10298.65</v>
      </c>
      <c r="K1496" s="513">
        <v>-7.33</v>
      </c>
      <c r="L1496" s="513">
        <v>1405</v>
      </c>
      <c r="M1496" s="152" t="s">
        <v>7116</v>
      </c>
      <c r="N1496" s="513" t="s">
        <v>780</v>
      </c>
      <c r="O1496" s="513" t="s">
        <v>1407</v>
      </c>
      <c r="P1496" s="513" t="s">
        <v>7179</v>
      </c>
      <c r="Q1496" s="518" t="s">
        <v>7101</v>
      </c>
      <c r="R1496" s="152" t="s">
        <v>7180</v>
      </c>
      <c r="S1496" s="152" t="s">
        <v>7185</v>
      </c>
      <c r="T1496" s="152" t="s">
        <v>7182</v>
      </c>
      <c r="U1496" s="152" t="s">
        <v>786</v>
      </c>
    </row>
    <row r="1497" spans="4:21">
      <c r="D1497" s="210"/>
      <c r="G1497" s="152" t="s">
        <v>372</v>
      </c>
      <c r="H1497" s="474" t="s">
        <v>309</v>
      </c>
      <c r="I1497" s="474"/>
      <c r="J1497" s="847">
        <v>-583075</v>
      </c>
      <c r="K1497" s="513">
        <v>-415</v>
      </c>
      <c r="L1497" s="513">
        <v>1405</v>
      </c>
      <c r="M1497" s="152" t="s">
        <v>7116</v>
      </c>
      <c r="N1497" s="513" t="s">
        <v>780</v>
      </c>
      <c r="O1497" s="513" t="s">
        <v>1407</v>
      </c>
      <c r="P1497" s="513" t="s">
        <v>7179</v>
      </c>
      <c r="Q1497" s="518" t="s">
        <v>7101</v>
      </c>
      <c r="R1497" s="152" t="s">
        <v>7180</v>
      </c>
      <c r="S1497" s="152" t="s">
        <v>7186</v>
      </c>
      <c r="T1497" s="152" t="s">
        <v>7182</v>
      </c>
      <c r="U1497" s="152" t="s">
        <v>786</v>
      </c>
    </row>
    <row r="1498" spans="4:21">
      <c r="D1498" s="210"/>
      <c r="G1498" s="152" t="s">
        <v>372</v>
      </c>
      <c r="H1498" s="474" t="s">
        <v>309</v>
      </c>
      <c r="I1498" s="474"/>
      <c r="J1498" s="847">
        <v>-618200</v>
      </c>
      <c r="K1498" s="513">
        <v>-440</v>
      </c>
      <c r="L1498" s="513">
        <v>1405</v>
      </c>
      <c r="M1498" s="152" t="s">
        <v>7116</v>
      </c>
      <c r="N1498" s="513" t="s">
        <v>780</v>
      </c>
      <c r="O1498" s="513" t="s">
        <v>1407</v>
      </c>
      <c r="P1498" s="513" t="s">
        <v>7179</v>
      </c>
      <c r="Q1498" s="518" t="s">
        <v>7101</v>
      </c>
      <c r="R1498" s="152" t="s">
        <v>7180</v>
      </c>
      <c r="S1498" s="152" t="s">
        <v>3898</v>
      </c>
      <c r="T1498" s="152" t="s">
        <v>7182</v>
      </c>
      <c r="U1498" s="152" t="s">
        <v>786</v>
      </c>
    </row>
    <row r="1499" spans="4:21">
      <c r="D1499" s="210"/>
      <c r="G1499" s="152" t="s">
        <v>372</v>
      </c>
      <c r="H1499" s="474" t="s">
        <v>309</v>
      </c>
      <c r="I1499" s="474"/>
      <c r="J1499" s="847">
        <v>-957226.5</v>
      </c>
      <c r="K1499" s="513">
        <v>-681.3</v>
      </c>
      <c r="L1499" s="513">
        <v>1405</v>
      </c>
      <c r="M1499" s="152" t="s">
        <v>7116</v>
      </c>
      <c r="N1499" s="513" t="s">
        <v>780</v>
      </c>
      <c r="O1499" s="513" t="s">
        <v>1407</v>
      </c>
      <c r="P1499" s="513" t="s">
        <v>7179</v>
      </c>
      <c r="Q1499" s="518" t="s">
        <v>7101</v>
      </c>
      <c r="R1499" s="152" t="s">
        <v>7180</v>
      </c>
      <c r="S1499" s="152" t="s">
        <v>4043</v>
      </c>
      <c r="T1499" s="152" t="s">
        <v>7182</v>
      </c>
      <c r="U1499" s="152" t="s">
        <v>786</v>
      </c>
    </row>
    <row r="1500" spans="4:21">
      <c r="D1500" s="210"/>
      <c r="G1500" s="152" t="s">
        <v>372</v>
      </c>
      <c r="H1500" s="474" t="s">
        <v>309</v>
      </c>
      <c r="I1500" s="474"/>
      <c r="J1500" s="847">
        <v>-839206.5</v>
      </c>
      <c r="K1500" s="513">
        <v>-597.29999999999995</v>
      </c>
      <c r="L1500" s="513">
        <v>1405</v>
      </c>
      <c r="M1500" s="152" t="s">
        <v>7116</v>
      </c>
      <c r="N1500" s="513" t="s">
        <v>780</v>
      </c>
      <c r="O1500" s="513" t="s">
        <v>1407</v>
      </c>
      <c r="P1500" s="513" t="s">
        <v>7179</v>
      </c>
      <c r="Q1500" s="518" t="s">
        <v>7101</v>
      </c>
      <c r="R1500" s="152" t="s">
        <v>7180</v>
      </c>
      <c r="S1500" s="152" t="s">
        <v>4043</v>
      </c>
      <c r="T1500" s="152" t="s">
        <v>7182</v>
      </c>
      <c r="U1500" s="152" t="s">
        <v>786</v>
      </c>
    </row>
    <row r="1501" spans="4:21">
      <c r="D1501" s="210"/>
      <c r="G1501" s="152" t="s">
        <v>372</v>
      </c>
      <c r="H1501" s="474" t="s">
        <v>309</v>
      </c>
      <c r="I1501" s="474"/>
      <c r="J1501" s="847">
        <v>-124553.25</v>
      </c>
      <c r="K1501" s="513">
        <v>-88.65</v>
      </c>
      <c r="L1501" s="513">
        <v>1405</v>
      </c>
      <c r="M1501" s="152" t="s">
        <v>7116</v>
      </c>
      <c r="N1501" s="513" t="s">
        <v>780</v>
      </c>
      <c r="O1501" s="513" t="s">
        <v>1407</v>
      </c>
      <c r="P1501" s="513" t="s">
        <v>7179</v>
      </c>
      <c r="Q1501" s="518" t="s">
        <v>7101</v>
      </c>
      <c r="R1501" s="152" t="s">
        <v>7180</v>
      </c>
      <c r="S1501" s="152" t="s">
        <v>7187</v>
      </c>
      <c r="T1501" s="152" t="s">
        <v>7182</v>
      </c>
      <c r="U1501" s="152" t="s">
        <v>786</v>
      </c>
    </row>
    <row r="1502" spans="4:21">
      <c r="D1502" s="210"/>
      <c r="G1502" s="152" t="s">
        <v>372</v>
      </c>
      <c r="H1502" s="474" t="s">
        <v>309</v>
      </c>
      <c r="I1502" s="474"/>
      <c r="J1502" s="847">
        <v>-81981.75</v>
      </c>
      <c r="K1502" s="513">
        <v>-58.35</v>
      </c>
      <c r="L1502" s="513">
        <v>1405</v>
      </c>
      <c r="M1502" s="152" t="s">
        <v>7116</v>
      </c>
      <c r="N1502" s="513" t="s">
        <v>780</v>
      </c>
      <c r="O1502" s="513" t="s">
        <v>1407</v>
      </c>
      <c r="P1502" s="513" t="s">
        <v>7179</v>
      </c>
      <c r="Q1502" s="518" t="s">
        <v>7101</v>
      </c>
      <c r="R1502" s="152" t="s">
        <v>7180</v>
      </c>
      <c r="S1502" s="152" t="s">
        <v>3834</v>
      </c>
      <c r="T1502" s="152" t="s">
        <v>7182</v>
      </c>
      <c r="U1502" s="152" t="s">
        <v>786</v>
      </c>
    </row>
    <row r="1503" spans="4:21">
      <c r="D1503" s="210"/>
      <c r="G1503" s="152" t="s">
        <v>372</v>
      </c>
      <c r="H1503" s="474" t="s">
        <v>309</v>
      </c>
      <c r="I1503" s="474"/>
      <c r="J1503" s="847">
        <v>-6153.9</v>
      </c>
      <c r="K1503" s="513">
        <v>-4.38</v>
      </c>
      <c r="L1503" s="513">
        <v>1405</v>
      </c>
      <c r="M1503" s="152" t="s">
        <v>7116</v>
      </c>
      <c r="N1503" s="513" t="s">
        <v>780</v>
      </c>
      <c r="O1503" s="513" t="s">
        <v>1407</v>
      </c>
      <c r="P1503" s="513" t="s">
        <v>7179</v>
      </c>
      <c r="Q1503" s="518" t="s">
        <v>7101</v>
      </c>
      <c r="R1503" s="152" t="s">
        <v>7180</v>
      </c>
      <c r="S1503" s="152" t="s">
        <v>3834</v>
      </c>
      <c r="T1503" s="152" t="s">
        <v>7182</v>
      </c>
      <c r="U1503" s="152" t="s">
        <v>786</v>
      </c>
    </row>
    <row r="1504" spans="4:21">
      <c r="D1504" s="210"/>
      <c r="G1504" s="152" t="s">
        <v>372</v>
      </c>
      <c r="H1504" s="474" t="s">
        <v>309</v>
      </c>
      <c r="I1504" s="474"/>
      <c r="J1504" s="847">
        <v>-307456.15000000002</v>
      </c>
      <c r="K1504" s="513">
        <v>-218.83</v>
      </c>
      <c r="L1504" s="513">
        <v>1405</v>
      </c>
      <c r="M1504" s="152" t="s">
        <v>7116</v>
      </c>
      <c r="N1504" s="513" t="s">
        <v>780</v>
      </c>
      <c r="O1504" s="513" t="s">
        <v>1407</v>
      </c>
      <c r="P1504" s="513" t="s">
        <v>7179</v>
      </c>
      <c r="Q1504" s="518" t="s">
        <v>7101</v>
      </c>
      <c r="R1504" s="152" t="s">
        <v>7180</v>
      </c>
      <c r="S1504" s="152" t="s">
        <v>6141</v>
      </c>
      <c r="T1504" s="152" t="s">
        <v>7182</v>
      </c>
      <c r="U1504" s="152" t="s">
        <v>786</v>
      </c>
    </row>
    <row r="1505" spans="4:21">
      <c r="D1505" s="210"/>
      <c r="G1505" s="152" t="s">
        <v>372</v>
      </c>
      <c r="H1505" s="474" t="s">
        <v>309</v>
      </c>
      <c r="I1505" s="474"/>
      <c r="J1505" s="847">
        <v>-80000.7</v>
      </c>
      <c r="K1505" s="513">
        <v>-56.94</v>
      </c>
      <c r="L1505" s="513">
        <v>1405</v>
      </c>
      <c r="M1505" s="152" t="s">
        <v>7116</v>
      </c>
      <c r="N1505" s="513" t="s">
        <v>780</v>
      </c>
      <c r="O1505" s="513" t="s">
        <v>1407</v>
      </c>
      <c r="P1505" s="513" t="s">
        <v>7179</v>
      </c>
      <c r="Q1505" s="518" t="s">
        <v>7101</v>
      </c>
      <c r="R1505" s="152" t="s">
        <v>7180</v>
      </c>
      <c r="S1505" s="152" t="s">
        <v>7188</v>
      </c>
      <c r="T1505" s="152" t="s">
        <v>7182</v>
      </c>
      <c r="U1505" s="152" t="s">
        <v>786</v>
      </c>
    </row>
    <row r="1506" spans="4:21">
      <c r="D1506" s="210"/>
      <c r="G1506" s="152" t="s">
        <v>372</v>
      </c>
      <c r="H1506" s="474" t="s">
        <v>309</v>
      </c>
      <c r="I1506" s="474"/>
      <c r="J1506" s="847">
        <v>-196700</v>
      </c>
      <c r="K1506" s="513">
        <v>-140</v>
      </c>
      <c r="L1506" s="513">
        <v>1405</v>
      </c>
      <c r="M1506" s="152" t="s">
        <v>7116</v>
      </c>
      <c r="N1506" s="513" t="s">
        <v>780</v>
      </c>
      <c r="O1506" s="513" t="s">
        <v>1407</v>
      </c>
      <c r="P1506" s="513" t="s">
        <v>7179</v>
      </c>
      <c r="Q1506" s="518" t="s">
        <v>7101</v>
      </c>
      <c r="R1506" s="152" t="s">
        <v>7180</v>
      </c>
      <c r="S1506" s="152" t="s">
        <v>3898</v>
      </c>
      <c r="T1506" s="152" t="s">
        <v>7182</v>
      </c>
      <c r="U1506" s="152" t="s">
        <v>786</v>
      </c>
    </row>
    <row r="1507" spans="4:21">
      <c r="D1507" s="210"/>
      <c r="G1507" s="152" t="s">
        <v>372</v>
      </c>
      <c r="H1507" s="474" t="s">
        <v>309</v>
      </c>
      <c r="I1507" s="474"/>
      <c r="J1507" s="847">
        <v>-743245</v>
      </c>
      <c r="K1507" s="513">
        <v>-529</v>
      </c>
      <c r="L1507" s="513">
        <v>1405</v>
      </c>
      <c r="M1507" s="152" t="s">
        <v>7116</v>
      </c>
      <c r="N1507" s="513" t="s">
        <v>780</v>
      </c>
      <c r="O1507" s="513" t="s">
        <v>1407</v>
      </c>
      <c r="P1507" s="513" t="s">
        <v>7179</v>
      </c>
      <c r="Q1507" s="518" t="s">
        <v>7101</v>
      </c>
      <c r="R1507" s="152" t="s">
        <v>7180</v>
      </c>
      <c r="S1507" s="152" t="s">
        <v>7189</v>
      </c>
      <c r="T1507" s="152" t="s">
        <v>7182</v>
      </c>
      <c r="U1507" s="152" t="s">
        <v>786</v>
      </c>
    </row>
    <row r="1508" spans="4:21">
      <c r="D1508" s="210"/>
      <c r="G1508" s="152" t="s">
        <v>372</v>
      </c>
      <c r="H1508" s="474" t="s">
        <v>309</v>
      </c>
      <c r="I1508" s="474"/>
      <c r="J1508" s="847">
        <v>-564810</v>
      </c>
      <c r="K1508" s="513">
        <v>-402</v>
      </c>
      <c r="L1508" s="513">
        <v>1405</v>
      </c>
      <c r="M1508" s="152" t="s">
        <v>7116</v>
      </c>
      <c r="N1508" s="513" t="s">
        <v>780</v>
      </c>
      <c r="O1508" s="513" t="s">
        <v>1407</v>
      </c>
      <c r="P1508" s="513" t="s">
        <v>7179</v>
      </c>
      <c r="Q1508" s="518" t="s">
        <v>7101</v>
      </c>
      <c r="R1508" s="152" t="s">
        <v>7180</v>
      </c>
      <c r="S1508" s="152" t="s">
        <v>7190</v>
      </c>
      <c r="T1508" s="152" t="s">
        <v>7182</v>
      </c>
      <c r="U1508" s="152" t="s">
        <v>786</v>
      </c>
    </row>
    <row r="1509" spans="4:21">
      <c r="D1509" s="210"/>
      <c r="G1509" s="152" t="s">
        <v>372</v>
      </c>
      <c r="H1509" s="474" t="s">
        <v>309</v>
      </c>
      <c r="I1509" s="474"/>
      <c r="J1509" s="847">
        <v>-743245</v>
      </c>
      <c r="K1509" s="513">
        <v>-529</v>
      </c>
      <c r="L1509" s="513">
        <v>1405</v>
      </c>
      <c r="M1509" s="152" t="s">
        <v>7116</v>
      </c>
      <c r="N1509" s="513" t="s">
        <v>780</v>
      </c>
      <c r="O1509" s="513" t="s">
        <v>1407</v>
      </c>
      <c r="P1509" s="513" t="s">
        <v>7179</v>
      </c>
      <c r="Q1509" s="518" t="s">
        <v>7101</v>
      </c>
      <c r="R1509" s="152" t="s">
        <v>7180</v>
      </c>
      <c r="S1509" s="152" t="s">
        <v>7191</v>
      </c>
      <c r="T1509" s="152" t="s">
        <v>7182</v>
      </c>
      <c r="U1509" s="152" t="s">
        <v>786</v>
      </c>
    </row>
    <row r="1510" spans="4:21">
      <c r="D1510" s="210"/>
      <c r="G1510" s="152" t="s">
        <v>372</v>
      </c>
      <c r="H1510" s="474" t="s">
        <v>309</v>
      </c>
      <c r="I1510" s="474"/>
      <c r="J1510" s="847">
        <v>-743245</v>
      </c>
      <c r="K1510" s="513">
        <v>-529</v>
      </c>
      <c r="L1510" s="513">
        <v>1405</v>
      </c>
      <c r="M1510" s="152" t="s">
        <v>7116</v>
      </c>
      <c r="N1510" s="513" t="s">
        <v>780</v>
      </c>
      <c r="O1510" s="513" t="s">
        <v>1407</v>
      </c>
      <c r="P1510" s="513" t="s">
        <v>7179</v>
      </c>
      <c r="Q1510" s="518" t="s">
        <v>7101</v>
      </c>
      <c r="R1510" s="152" t="s">
        <v>7180</v>
      </c>
      <c r="S1510" s="152" t="s">
        <v>7192</v>
      </c>
      <c r="T1510" s="152" t="s">
        <v>7182</v>
      </c>
      <c r="U1510" s="152" t="s">
        <v>786</v>
      </c>
    </row>
    <row r="1511" spans="4:21">
      <c r="D1511" s="210"/>
      <c r="G1511" s="152" t="s">
        <v>372</v>
      </c>
      <c r="H1511" s="474" t="s">
        <v>309</v>
      </c>
      <c r="I1511" s="474"/>
      <c r="J1511" s="847">
        <v>-594315</v>
      </c>
      <c r="K1511" s="513">
        <v>-423</v>
      </c>
      <c r="L1511" s="513">
        <v>1405</v>
      </c>
      <c r="M1511" s="152" t="s">
        <v>7116</v>
      </c>
      <c r="N1511" s="513" t="s">
        <v>780</v>
      </c>
      <c r="O1511" s="513" t="s">
        <v>1407</v>
      </c>
      <c r="P1511" s="513" t="s">
        <v>7179</v>
      </c>
      <c r="Q1511" s="518" t="s">
        <v>7101</v>
      </c>
      <c r="R1511" s="152" t="s">
        <v>7180</v>
      </c>
      <c r="S1511" s="152" t="s">
        <v>7193</v>
      </c>
      <c r="T1511" s="152" t="s">
        <v>7182</v>
      </c>
      <c r="U1511" s="152" t="s">
        <v>786</v>
      </c>
    </row>
    <row r="1512" spans="4:21">
      <c r="D1512" s="210"/>
      <c r="G1512" s="152" t="s">
        <v>372</v>
      </c>
      <c r="H1512" s="474" t="s">
        <v>309</v>
      </c>
      <c r="I1512" s="474"/>
      <c r="J1512" s="847">
        <v>-743245</v>
      </c>
      <c r="K1512" s="513">
        <v>-529</v>
      </c>
      <c r="L1512" s="513">
        <v>1405</v>
      </c>
      <c r="M1512" s="152" t="s">
        <v>7116</v>
      </c>
      <c r="N1512" s="513" t="s">
        <v>780</v>
      </c>
      <c r="O1512" s="513" t="s">
        <v>1407</v>
      </c>
      <c r="P1512" s="513" t="s">
        <v>7179</v>
      </c>
      <c r="Q1512" s="518" t="s">
        <v>7101</v>
      </c>
      <c r="R1512" s="152" t="s">
        <v>7180</v>
      </c>
      <c r="S1512" s="152" t="s">
        <v>7194</v>
      </c>
      <c r="T1512" s="152" t="s">
        <v>7182</v>
      </c>
      <c r="U1512" s="152" t="s">
        <v>786</v>
      </c>
    </row>
    <row r="1513" spans="4:21">
      <c r="D1513" s="210"/>
      <c r="G1513" s="152" t="s">
        <v>372</v>
      </c>
      <c r="H1513" s="474" t="s">
        <v>309</v>
      </c>
      <c r="I1513" s="474"/>
      <c r="J1513" s="847">
        <v>-580265</v>
      </c>
      <c r="K1513" s="513">
        <v>-413</v>
      </c>
      <c r="L1513" s="513">
        <v>1405</v>
      </c>
      <c r="M1513" s="152" t="s">
        <v>7116</v>
      </c>
      <c r="N1513" s="513" t="s">
        <v>780</v>
      </c>
      <c r="O1513" s="513" t="s">
        <v>1407</v>
      </c>
      <c r="P1513" s="513" t="s">
        <v>7179</v>
      </c>
      <c r="Q1513" s="518" t="s">
        <v>7101</v>
      </c>
      <c r="R1513" s="152" t="s">
        <v>7180</v>
      </c>
      <c r="S1513" s="152" t="s">
        <v>7195</v>
      </c>
      <c r="T1513" s="152" t="s">
        <v>7182</v>
      </c>
      <c r="U1513" s="152" t="s">
        <v>786</v>
      </c>
    </row>
    <row r="1514" spans="4:21">
      <c r="D1514" s="210"/>
      <c r="G1514" s="152" t="s">
        <v>372</v>
      </c>
      <c r="H1514" s="474" t="s">
        <v>309</v>
      </c>
      <c r="I1514" s="474"/>
      <c r="J1514" s="847">
        <v>-267793</v>
      </c>
      <c r="K1514" s="513">
        <v>-190.6</v>
      </c>
      <c r="L1514" s="513">
        <v>1405</v>
      </c>
      <c r="M1514" s="152" t="s">
        <v>7116</v>
      </c>
      <c r="N1514" s="513" t="s">
        <v>780</v>
      </c>
      <c r="O1514" s="513" t="s">
        <v>1407</v>
      </c>
      <c r="P1514" s="513" t="s">
        <v>7179</v>
      </c>
      <c r="Q1514" s="518" t="s">
        <v>7101</v>
      </c>
      <c r="R1514" s="152" t="s">
        <v>7180</v>
      </c>
      <c r="S1514" s="152" t="s">
        <v>7196</v>
      </c>
      <c r="T1514" s="152" t="s">
        <v>7182</v>
      </c>
      <c r="U1514" s="152" t="s">
        <v>786</v>
      </c>
    </row>
    <row r="1515" spans="4:21">
      <c r="D1515" s="210"/>
      <c r="G1515" s="152" t="s">
        <v>372</v>
      </c>
      <c r="H1515" s="474" t="s">
        <v>309</v>
      </c>
      <c r="I1515" s="474"/>
      <c r="J1515" s="847">
        <v>-1264500</v>
      </c>
      <c r="K1515" s="513">
        <v>-900</v>
      </c>
      <c r="L1515" s="513">
        <v>1405</v>
      </c>
      <c r="M1515" s="152" t="s">
        <v>7116</v>
      </c>
      <c r="N1515" s="513" t="s">
        <v>780</v>
      </c>
      <c r="O1515" s="513" t="s">
        <v>1407</v>
      </c>
      <c r="P1515" s="513" t="s">
        <v>7179</v>
      </c>
      <c r="Q1515" s="518" t="s">
        <v>7101</v>
      </c>
      <c r="R1515" s="152" t="s">
        <v>7180</v>
      </c>
      <c r="S1515" s="152" t="s">
        <v>7197</v>
      </c>
      <c r="T1515" s="152" t="s">
        <v>7182</v>
      </c>
      <c r="U1515" s="152" t="s">
        <v>786</v>
      </c>
    </row>
    <row r="1516" spans="4:21">
      <c r="D1516" s="210"/>
      <c r="G1516" s="152" t="s">
        <v>372</v>
      </c>
      <c r="H1516" s="474" t="s">
        <v>309</v>
      </c>
      <c r="I1516" s="474"/>
      <c r="J1516" s="847">
        <v>-1826500</v>
      </c>
      <c r="K1516" s="513">
        <v>-1300</v>
      </c>
      <c r="L1516" s="513">
        <v>1405</v>
      </c>
      <c r="M1516" s="152" t="s">
        <v>7116</v>
      </c>
      <c r="N1516" s="513" t="s">
        <v>780</v>
      </c>
      <c r="O1516" s="513" t="s">
        <v>1407</v>
      </c>
      <c r="P1516" s="513" t="s">
        <v>7179</v>
      </c>
      <c r="Q1516" s="518" t="s">
        <v>7101</v>
      </c>
      <c r="R1516" s="152" t="s">
        <v>7180</v>
      </c>
      <c r="S1516" s="152" t="s">
        <v>7198</v>
      </c>
      <c r="T1516" s="152" t="s">
        <v>7182</v>
      </c>
      <c r="U1516" s="152" t="s">
        <v>786</v>
      </c>
    </row>
    <row r="1517" spans="4:21">
      <c r="D1517" s="210"/>
      <c r="G1517" s="152" t="s">
        <v>372</v>
      </c>
      <c r="H1517" s="474" t="s">
        <v>309</v>
      </c>
      <c r="I1517" s="474"/>
      <c r="J1517" s="847">
        <v>-2248000</v>
      </c>
      <c r="K1517" s="513">
        <v>-1600</v>
      </c>
      <c r="L1517" s="513">
        <v>1405</v>
      </c>
      <c r="M1517" s="152" t="s">
        <v>7116</v>
      </c>
      <c r="N1517" s="513" t="s">
        <v>780</v>
      </c>
      <c r="O1517" s="513" t="s">
        <v>1407</v>
      </c>
      <c r="P1517" s="513" t="s">
        <v>7179</v>
      </c>
      <c r="Q1517" s="518" t="s">
        <v>7101</v>
      </c>
      <c r="R1517" s="152" t="s">
        <v>7180</v>
      </c>
      <c r="S1517" s="152" t="s">
        <v>7199</v>
      </c>
      <c r="T1517" s="152" t="s">
        <v>7182</v>
      </c>
      <c r="U1517" s="152" t="s">
        <v>786</v>
      </c>
    </row>
    <row r="1518" spans="4:21">
      <c r="D1518" s="210"/>
      <c r="G1518" s="152" t="s">
        <v>372</v>
      </c>
      <c r="H1518" s="474" t="s">
        <v>309</v>
      </c>
      <c r="I1518" s="474"/>
      <c r="J1518" s="847">
        <v>-946183.2</v>
      </c>
      <c r="K1518" s="513">
        <v>-673.44</v>
      </c>
      <c r="L1518" s="513">
        <v>1405</v>
      </c>
      <c r="M1518" s="152" t="s">
        <v>7116</v>
      </c>
      <c r="N1518" s="513" t="s">
        <v>780</v>
      </c>
      <c r="O1518" s="513" t="s">
        <v>1407</v>
      </c>
      <c r="P1518" s="513" t="s">
        <v>7179</v>
      </c>
      <c r="Q1518" s="518" t="s">
        <v>7101</v>
      </c>
      <c r="R1518" s="152" t="s">
        <v>7180</v>
      </c>
      <c r="S1518" s="152" t="s">
        <v>7200</v>
      </c>
      <c r="T1518" s="152" t="s">
        <v>7182</v>
      </c>
      <c r="U1518" s="152" t="s">
        <v>786</v>
      </c>
    </row>
    <row r="1519" spans="4:21">
      <c r="D1519" s="210"/>
      <c r="G1519" s="152" t="s">
        <v>372</v>
      </c>
      <c r="H1519" s="474" t="s">
        <v>309</v>
      </c>
      <c r="I1519" s="474"/>
      <c r="J1519" s="847">
        <v>-3716225</v>
      </c>
      <c r="K1519" s="513">
        <v>-2645</v>
      </c>
      <c r="L1519" s="513">
        <v>1405</v>
      </c>
      <c r="M1519" s="152" t="s">
        <v>7116</v>
      </c>
      <c r="N1519" s="513" t="s">
        <v>780</v>
      </c>
      <c r="O1519" s="513" t="s">
        <v>1407</v>
      </c>
      <c r="P1519" s="513" t="s">
        <v>7179</v>
      </c>
      <c r="Q1519" s="518" t="s">
        <v>7101</v>
      </c>
      <c r="R1519" s="152" t="s">
        <v>7180</v>
      </c>
      <c r="S1519" s="152" t="s">
        <v>7201</v>
      </c>
      <c r="T1519" s="152" t="s">
        <v>7182</v>
      </c>
      <c r="U1519" s="152" t="s">
        <v>786</v>
      </c>
    </row>
    <row r="1520" spans="4:21">
      <c r="D1520" s="210"/>
      <c r="G1520" s="152" t="s">
        <v>372</v>
      </c>
      <c r="H1520" s="474" t="s">
        <v>309</v>
      </c>
      <c r="I1520" s="474"/>
      <c r="J1520" s="847">
        <v>-1002608</v>
      </c>
      <c r="K1520" s="513">
        <v>-713.6</v>
      </c>
      <c r="L1520" s="513">
        <v>1405</v>
      </c>
      <c r="M1520" s="152" t="s">
        <v>7116</v>
      </c>
      <c r="N1520" s="513" t="s">
        <v>780</v>
      </c>
      <c r="O1520" s="513" t="s">
        <v>1407</v>
      </c>
      <c r="P1520" s="513" t="s">
        <v>7179</v>
      </c>
      <c r="Q1520" s="518" t="s">
        <v>7101</v>
      </c>
      <c r="R1520" s="152" t="s">
        <v>7180</v>
      </c>
      <c r="S1520" s="152" t="s">
        <v>4043</v>
      </c>
      <c r="T1520" s="152" t="s">
        <v>7182</v>
      </c>
      <c r="U1520" s="152" t="s">
        <v>786</v>
      </c>
    </row>
    <row r="1521" spans="4:21">
      <c r="D1521" s="210"/>
      <c r="G1521" s="152" t="s">
        <v>372</v>
      </c>
      <c r="H1521" s="474" t="s">
        <v>309</v>
      </c>
      <c r="I1521" s="474"/>
      <c r="J1521" s="847">
        <v>-1194502.8999999999</v>
      </c>
      <c r="K1521" s="513">
        <v>-850.18</v>
      </c>
      <c r="L1521" s="513">
        <v>1405</v>
      </c>
      <c r="M1521" s="152" t="s">
        <v>7116</v>
      </c>
      <c r="N1521" s="513" t="s">
        <v>780</v>
      </c>
      <c r="O1521" s="513" t="s">
        <v>1407</v>
      </c>
      <c r="P1521" s="513" t="s">
        <v>7179</v>
      </c>
      <c r="Q1521" s="518" t="s">
        <v>7101</v>
      </c>
      <c r="R1521" s="152" t="s">
        <v>7180</v>
      </c>
      <c r="S1521" s="152" t="s">
        <v>7204</v>
      </c>
      <c r="T1521" s="152" t="s">
        <v>7182</v>
      </c>
      <c r="U1521" s="152" t="s">
        <v>786</v>
      </c>
    </row>
    <row r="1522" spans="4:21">
      <c r="D1522" s="210"/>
      <c r="G1522" s="152" t="s">
        <v>372</v>
      </c>
      <c r="H1522" s="474" t="s">
        <v>309</v>
      </c>
      <c r="I1522" s="474"/>
      <c r="J1522" s="847">
        <v>-19655.95</v>
      </c>
      <c r="K1522" s="513">
        <v>-13.99</v>
      </c>
      <c r="L1522" s="513">
        <v>1405</v>
      </c>
      <c r="M1522" s="152" t="s">
        <v>7116</v>
      </c>
      <c r="N1522" s="513" t="s">
        <v>780</v>
      </c>
      <c r="O1522" s="513" t="s">
        <v>1407</v>
      </c>
      <c r="P1522" s="513" t="s">
        <v>7179</v>
      </c>
      <c r="Q1522" s="518" t="s">
        <v>7101</v>
      </c>
      <c r="R1522" s="152" t="s">
        <v>7180</v>
      </c>
      <c r="S1522" s="152" t="s">
        <v>7206</v>
      </c>
      <c r="T1522" s="152" t="s">
        <v>7182</v>
      </c>
      <c r="U1522" s="152" t="s">
        <v>786</v>
      </c>
    </row>
    <row r="1523" spans="4:21">
      <c r="D1523" s="210"/>
      <c r="G1523" s="152" t="s">
        <v>372</v>
      </c>
      <c r="H1523" s="474" t="s">
        <v>309</v>
      </c>
      <c r="I1523" s="474"/>
      <c r="J1523" s="847">
        <v>-78651.899999999994</v>
      </c>
      <c r="K1523" s="513">
        <v>-55.98</v>
      </c>
      <c r="L1523" s="513">
        <v>1405</v>
      </c>
      <c r="M1523" s="152" t="s">
        <v>7116</v>
      </c>
      <c r="N1523" s="513" t="s">
        <v>780</v>
      </c>
      <c r="O1523" s="513" t="s">
        <v>1407</v>
      </c>
      <c r="P1523" s="513" t="s">
        <v>7179</v>
      </c>
      <c r="Q1523" s="518" t="s">
        <v>7101</v>
      </c>
      <c r="R1523" s="152" t="s">
        <v>7180</v>
      </c>
      <c r="S1523" s="152" t="s">
        <v>7207</v>
      </c>
      <c r="T1523" s="152" t="s">
        <v>7182</v>
      </c>
      <c r="U1523" s="152" t="s">
        <v>786</v>
      </c>
    </row>
    <row r="1524" spans="4:21">
      <c r="D1524" s="210"/>
      <c r="G1524" s="152" t="s">
        <v>372</v>
      </c>
      <c r="H1524" s="474" t="s">
        <v>309</v>
      </c>
      <c r="I1524" s="474"/>
      <c r="J1524" s="847">
        <v>-21482.45</v>
      </c>
      <c r="K1524" s="513">
        <v>-15.29</v>
      </c>
      <c r="L1524" s="513">
        <v>1405</v>
      </c>
      <c r="M1524" s="152" t="s">
        <v>7116</v>
      </c>
      <c r="N1524" s="513" t="s">
        <v>780</v>
      </c>
      <c r="O1524" s="513" t="s">
        <v>1407</v>
      </c>
      <c r="P1524" s="513" t="s">
        <v>7179</v>
      </c>
      <c r="Q1524" s="518" t="s">
        <v>7101</v>
      </c>
      <c r="R1524" s="152" t="s">
        <v>7180</v>
      </c>
      <c r="S1524" s="152" t="s">
        <v>7208</v>
      </c>
      <c r="T1524" s="152" t="s">
        <v>7182</v>
      </c>
      <c r="U1524" s="152" t="s">
        <v>786</v>
      </c>
    </row>
    <row r="1525" spans="4:21">
      <c r="D1525" s="210"/>
      <c r="G1525" s="152" t="s">
        <v>372</v>
      </c>
      <c r="H1525" s="474" t="s">
        <v>309</v>
      </c>
      <c r="I1525" s="474"/>
      <c r="J1525" s="847">
        <v>-9301.1</v>
      </c>
      <c r="K1525" s="513">
        <v>-6.62</v>
      </c>
      <c r="L1525" s="513">
        <v>1405</v>
      </c>
      <c r="M1525" s="152" t="s">
        <v>7116</v>
      </c>
      <c r="N1525" s="513" t="s">
        <v>780</v>
      </c>
      <c r="O1525" s="513" t="s">
        <v>1407</v>
      </c>
      <c r="P1525" s="513" t="s">
        <v>7179</v>
      </c>
      <c r="Q1525" s="518" t="s">
        <v>7101</v>
      </c>
      <c r="R1525" s="152" t="s">
        <v>7180</v>
      </c>
      <c r="S1525" s="152" t="s">
        <v>7209</v>
      </c>
      <c r="T1525" s="152" t="s">
        <v>7182</v>
      </c>
      <c r="U1525" s="152" t="s">
        <v>786</v>
      </c>
    </row>
    <row r="1526" spans="4:21">
      <c r="D1526" s="210"/>
      <c r="G1526" s="152" t="s">
        <v>372</v>
      </c>
      <c r="H1526" s="474" t="s">
        <v>309</v>
      </c>
      <c r="I1526" s="474"/>
      <c r="J1526" s="847">
        <v>-19051.8</v>
      </c>
      <c r="K1526" s="513">
        <v>-13.56</v>
      </c>
      <c r="L1526" s="513">
        <v>1405</v>
      </c>
      <c r="M1526" s="152" t="s">
        <v>7116</v>
      </c>
      <c r="N1526" s="513" t="s">
        <v>780</v>
      </c>
      <c r="O1526" s="513" t="s">
        <v>1407</v>
      </c>
      <c r="P1526" s="513" t="s">
        <v>7179</v>
      </c>
      <c r="Q1526" s="518" t="s">
        <v>7101</v>
      </c>
      <c r="R1526" s="152" t="s">
        <v>7180</v>
      </c>
      <c r="S1526" s="152" t="s">
        <v>7210</v>
      </c>
      <c r="T1526" s="152" t="s">
        <v>7182</v>
      </c>
      <c r="U1526" s="152" t="s">
        <v>786</v>
      </c>
    </row>
    <row r="1527" spans="4:21">
      <c r="D1527" s="210"/>
      <c r="G1527" s="152" t="s">
        <v>372</v>
      </c>
      <c r="H1527" s="474" t="s">
        <v>309</v>
      </c>
      <c r="I1527" s="474"/>
      <c r="J1527" s="847">
        <v>-13221.05</v>
      </c>
      <c r="K1527" s="513">
        <v>-9.41</v>
      </c>
      <c r="L1527" s="513">
        <v>1405</v>
      </c>
      <c r="M1527" s="152" t="s">
        <v>7116</v>
      </c>
      <c r="N1527" s="513" t="s">
        <v>780</v>
      </c>
      <c r="O1527" s="513" t="s">
        <v>1407</v>
      </c>
      <c r="P1527" s="513" t="s">
        <v>7179</v>
      </c>
      <c r="Q1527" s="518" t="s">
        <v>7101</v>
      </c>
      <c r="R1527" s="152" t="s">
        <v>7180</v>
      </c>
      <c r="S1527" s="152" t="s">
        <v>7211</v>
      </c>
      <c r="T1527" s="152" t="s">
        <v>7182</v>
      </c>
      <c r="U1527" s="152" t="s">
        <v>786</v>
      </c>
    </row>
    <row r="1528" spans="4:21">
      <c r="D1528" s="210"/>
      <c r="G1528" s="152" t="s">
        <v>372</v>
      </c>
      <c r="H1528" s="474" t="s">
        <v>309</v>
      </c>
      <c r="I1528" s="474"/>
      <c r="J1528" s="847">
        <v>-17857.55</v>
      </c>
      <c r="K1528" s="513">
        <v>-12.71</v>
      </c>
      <c r="L1528" s="513">
        <v>1405</v>
      </c>
      <c r="M1528" s="152" t="s">
        <v>7116</v>
      </c>
      <c r="N1528" s="513" t="s">
        <v>780</v>
      </c>
      <c r="O1528" s="513" t="s">
        <v>1407</v>
      </c>
      <c r="P1528" s="513" t="s">
        <v>7179</v>
      </c>
      <c r="Q1528" s="518" t="s">
        <v>7101</v>
      </c>
      <c r="R1528" s="152" t="s">
        <v>7180</v>
      </c>
      <c r="S1528" s="152" t="s">
        <v>7212</v>
      </c>
      <c r="T1528" s="152" t="s">
        <v>7182</v>
      </c>
      <c r="U1528" s="152" t="s">
        <v>786</v>
      </c>
    </row>
    <row r="1529" spans="4:21">
      <c r="D1529" s="210"/>
      <c r="G1529" s="152" t="s">
        <v>372</v>
      </c>
      <c r="H1529" s="474" t="s">
        <v>309</v>
      </c>
      <c r="I1529" s="474"/>
      <c r="J1529" s="847">
        <v>-70250</v>
      </c>
      <c r="K1529" s="513">
        <v>-50</v>
      </c>
      <c r="L1529" s="513">
        <v>1405</v>
      </c>
      <c r="M1529" s="152" t="s">
        <v>7116</v>
      </c>
      <c r="N1529" s="513" t="s">
        <v>780</v>
      </c>
      <c r="O1529" s="513" t="s">
        <v>1407</v>
      </c>
      <c r="P1529" s="513" t="s">
        <v>7179</v>
      </c>
      <c r="Q1529" s="518" t="s">
        <v>7101</v>
      </c>
      <c r="R1529" s="152" t="s">
        <v>7180</v>
      </c>
      <c r="S1529" s="152" t="s">
        <v>7213</v>
      </c>
      <c r="T1529" s="152" t="s">
        <v>7182</v>
      </c>
      <c r="U1529" s="152" t="s">
        <v>786</v>
      </c>
    </row>
    <row r="1530" spans="4:21">
      <c r="D1530" s="210"/>
      <c r="G1530" s="152" t="s">
        <v>372</v>
      </c>
      <c r="H1530" s="474" t="s">
        <v>309</v>
      </c>
      <c r="I1530" s="474"/>
      <c r="J1530" s="847">
        <v>-231825</v>
      </c>
      <c r="K1530" s="513">
        <v>-165</v>
      </c>
      <c r="L1530" s="513">
        <v>1405</v>
      </c>
      <c r="M1530" s="152" t="s">
        <v>7116</v>
      </c>
      <c r="N1530" s="513" t="s">
        <v>780</v>
      </c>
      <c r="O1530" s="513" t="s">
        <v>1407</v>
      </c>
      <c r="P1530" s="513" t="s">
        <v>7179</v>
      </c>
      <c r="Q1530" s="518" t="s">
        <v>7101</v>
      </c>
      <c r="R1530" s="152" t="s">
        <v>7180</v>
      </c>
      <c r="S1530" s="152" t="s">
        <v>3948</v>
      </c>
      <c r="T1530" s="152" t="s">
        <v>7182</v>
      </c>
      <c r="U1530" s="152" t="s">
        <v>786</v>
      </c>
    </row>
    <row r="1531" spans="4:21">
      <c r="D1531" s="210"/>
      <c r="G1531" s="152" t="s">
        <v>372</v>
      </c>
      <c r="H1531" s="474" t="s">
        <v>309</v>
      </c>
      <c r="I1531" s="474"/>
      <c r="J1531" s="847">
        <v>-77275</v>
      </c>
      <c r="K1531" s="513">
        <v>-55</v>
      </c>
      <c r="L1531" s="513">
        <v>1405</v>
      </c>
      <c r="M1531" s="152" t="s">
        <v>7116</v>
      </c>
      <c r="N1531" s="513" t="s">
        <v>780</v>
      </c>
      <c r="O1531" s="513" t="s">
        <v>1407</v>
      </c>
      <c r="P1531" s="513" t="s">
        <v>7179</v>
      </c>
      <c r="Q1531" s="518" t="s">
        <v>7101</v>
      </c>
      <c r="R1531" s="152" t="s">
        <v>7180</v>
      </c>
      <c r="S1531" s="152" t="s">
        <v>3948</v>
      </c>
      <c r="T1531" s="152" t="s">
        <v>7182</v>
      </c>
      <c r="U1531" s="152" t="s">
        <v>786</v>
      </c>
    </row>
    <row r="1532" spans="4:21">
      <c r="D1532" s="210"/>
      <c r="G1532" s="152" t="s">
        <v>372</v>
      </c>
      <c r="H1532" s="474" t="s">
        <v>309</v>
      </c>
      <c r="I1532" s="474"/>
      <c r="J1532" s="847">
        <v>-231825</v>
      </c>
      <c r="K1532" s="513">
        <v>-165</v>
      </c>
      <c r="L1532" s="513">
        <v>1405</v>
      </c>
      <c r="M1532" s="152" t="s">
        <v>7116</v>
      </c>
      <c r="N1532" s="513" t="s">
        <v>780</v>
      </c>
      <c r="O1532" s="513" t="s">
        <v>1407</v>
      </c>
      <c r="P1532" s="513" t="s">
        <v>7179</v>
      </c>
      <c r="Q1532" s="518" t="s">
        <v>7101</v>
      </c>
      <c r="R1532" s="152" t="s">
        <v>7180</v>
      </c>
      <c r="S1532" s="152" t="s">
        <v>3951</v>
      </c>
      <c r="T1532" s="152" t="s">
        <v>7182</v>
      </c>
      <c r="U1532" s="152" t="s">
        <v>786</v>
      </c>
    </row>
    <row r="1533" spans="4:21">
      <c r="D1533" s="210"/>
      <c r="G1533" s="152" t="s">
        <v>372</v>
      </c>
      <c r="H1533" s="474" t="s">
        <v>309</v>
      </c>
      <c r="I1533" s="474"/>
      <c r="J1533" s="847">
        <v>-148368</v>
      </c>
      <c r="K1533" s="513">
        <v>-105.6</v>
      </c>
      <c r="L1533" s="513">
        <v>1405</v>
      </c>
      <c r="M1533" s="152" t="s">
        <v>7116</v>
      </c>
      <c r="N1533" s="513" t="s">
        <v>780</v>
      </c>
      <c r="O1533" s="513" t="s">
        <v>1407</v>
      </c>
      <c r="P1533" s="513" t="s">
        <v>7179</v>
      </c>
      <c r="Q1533" s="518" t="s">
        <v>7101</v>
      </c>
      <c r="R1533" s="152" t="s">
        <v>7180</v>
      </c>
      <c r="S1533" s="152" t="s">
        <v>7222</v>
      </c>
      <c r="T1533" s="152" t="s">
        <v>7182</v>
      </c>
      <c r="U1533" s="152" t="s">
        <v>786</v>
      </c>
    </row>
    <row r="1534" spans="4:21">
      <c r="D1534" s="210"/>
      <c r="G1534" s="152" t="s">
        <v>372</v>
      </c>
      <c r="H1534" s="474" t="s">
        <v>309</v>
      </c>
      <c r="I1534" s="474"/>
      <c r="J1534" s="847">
        <v>-197346.3</v>
      </c>
      <c r="K1534" s="513">
        <v>-140.46</v>
      </c>
      <c r="L1534" s="513">
        <v>1405</v>
      </c>
      <c r="M1534" s="152" t="s">
        <v>7116</v>
      </c>
      <c r="N1534" s="513" t="s">
        <v>780</v>
      </c>
      <c r="O1534" s="513" t="s">
        <v>1407</v>
      </c>
      <c r="P1534" s="513" t="s">
        <v>7179</v>
      </c>
      <c r="Q1534" s="518" t="s">
        <v>7101</v>
      </c>
      <c r="R1534" s="152" t="s">
        <v>7180</v>
      </c>
      <c r="S1534" s="152" t="s">
        <v>1661</v>
      </c>
      <c r="T1534" s="152" t="s">
        <v>7182</v>
      </c>
      <c r="U1534" s="152" t="s">
        <v>786</v>
      </c>
    </row>
    <row r="1535" spans="4:21">
      <c r="D1535" s="210"/>
      <c r="G1535" s="152" t="s">
        <v>372</v>
      </c>
      <c r="H1535" s="474" t="s">
        <v>309</v>
      </c>
      <c r="I1535" s="474"/>
      <c r="J1535" s="847">
        <v>-25739.599999999999</v>
      </c>
      <c r="K1535" s="513">
        <v>-18.32</v>
      </c>
      <c r="L1535" s="513">
        <v>1405</v>
      </c>
      <c r="M1535" s="152" t="s">
        <v>7116</v>
      </c>
      <c r="N1535" s="513" t="s">
        <v>780</v>
      </c>
      <c r="O1535" s="513" t="s">
        <v>1407</v>
      </c>
      <c r="P1535" s="513" t="s">
        <v>7179</v>
      </c>
      <c r="Q1535" s="518" t="s">
        <v>7101</v>
      </c>
      <c r="R1535" s="152" t="s">
        <v>7180</v>
      </c>
      <c r="S1535" s="152" t="s">
        <v>7223</v>
      </c>
      <c r="T1535" s="152" t="s">
        <v>7182</v>
      </c>
      <c r="U1535" s="152" t="s">
        <v>786</v>
      </c>
    </row>
    <row r="1536" spans="4:21">
      <c r="D1536" s="210"/>
      <c r="G1536" s="152" t="s">
        <v>372</v>
      </c>
      <c r="H1536" s="474" t="s">
        <v>309</v>
      </c>
      <c r="I1536" s="474"/>
      <c r="J1536" s="847">
        <v>-38974.699999999997</v>
      </c>
      <c r="K1536" s="513">
        <v>-27.74</v>
      </c>
      <c r="L1536" s="513">
        <v>1405</v>
      </c>
      <c r="M1536" s="152" t="s">
        <v>7116</v>
      </c>
      <c r="N1536" s="513" t="s">
        <v>780</v>
      </c>
      <c r="O1536" s="513" t="s">
        <v>1407</v>
      </c>
      <c r="P1536" s="513" t="s">
        <v>7179</v>
      </c>
      <c r="Q1536" s="518" t="s">
        <v>7101</v>
      </c>
      <c r="R1536" s="152" t="s">
        <v>7180</v>
      </c>
      <c r="S1536" s="152" t="s">
        <v>7220</v>
      </c>
      <c r="T1536" s="152" t="s">
        <v>7182</v>
      </c>
      <c r="U1536" s="152" t="s">
        <v>786</v>
      </c>
    </row>
    <row r="1537" spans="4:21">
      <c r="D1537" s="210"/>
      <c r="G1537" s="152" t="s">
        <v>372</v>
      </c>
      <c r="H1537" s="474" t="s">
        <v>309</v>
      </c>
      <c r="I1537" s="474"/>
      <c r="J1537" s="847">
        <v>-4215000</v>
      </c>
      <c r="K1537" s="513">
        <v>-3000</v>
      </c>
      <c r="L1537" s="513">
        <v>1405</v>
      </c>
      <c r="M1537" s="152" t="s">
        <v>7116</v>
      </c>
      <c r="N1537" s="513" t="s">
        <v>780</v>
      </c>
      <c r="O1537" s="513" t="s">
        <v>1407</v>
      </c>
      <c r="P1537" s="513" t="s">
        <v>7179</v>
      </c>
      <c r="Q1537" s="518" t="s">
        <v>7101</v>
      </c>
      <c r="R1537" s="152" t="s">
        <v>7180</v>
      </c>
      <c r="S1537" s="152" t="s">
        <v>7226</v>
      </c>
      <c r="T1537" s="152" t="s">
        <v>7182</v>
      </c>
      <c r="U1537" s="152" t="s">
        <v>786</v>
      </c>
    </row>
    <row r="1538" spans="4:21">
      <c r="D1538" s="210"/>
      <c r="G1538" s="152" t="s">
        <v>372</v>
      </c>
      <c r="H1538" s="474" t="s">
        <v>309</v>
      </c>
      <c r="I1538" s="474"/>
      <c r="J1538" s="847">
        <v>-31373.65</v>
      </c>
      <c r="K1538" s="513">
        <v>-22.33</v>
      </c>
      <c r="L1538" s="513">
        <v>1405</v>
      </c>
      <c r="M1538" s="152" t="s">
        <v>7116</v>
      </c>
      <c r="N1538" s="513" t="s">
        <v>780</v>
      </c>
      <c r="O1538" s="513" t="s">
        <v>1407</v>
      </c>
      <c r="P1538" s="513" t="s">
        <v>7179</v>
      </c>
      <c r="Q1538" s="518" t="s">
        <v>7101</v>
      </c>
      <c r="R1538" s="152" t="s">
        <v>7180</v>
      </c>
      <c r="S1538" s="152" t="s">
        <v>7237</v>
      </c>
      <c r="T1538" s="152" t="s">
        <v>7182</v>
      </c>
      <c r="U1538" s="152" t="s">
        <v>786</v>
      </c>
    </row>
    <row r="1539" spans="4:21">
      <c r="D1539" s="210"/>
      <c r="G1539" s="152" t="s">
        <v>372</v>
      </c>
      <c r="H1539" s="474" t="s">
        <v>309</v>
      </c>
      <c r="I1539" s="474"/>
      <c r="J1539" s="847">
        <v>-88149.7</v>
      </c>
      <c r="K1539" s="513">
        <v>-62.74</v>
      </c>
      <c r="L1539" s="513">
        <v>1405</v>
      </c>
      <c r="M1539" s="152" t="s">
        <v>7116</v>
      </c>
      <c r="N1539" s="513" t="s">
        <v>780</v>
      </c>
      <c r="O1539" s="513" t="s">
        <v>1407</v>
      </c>
      <c r="P1539" s="513" t="s">
        <v>7179</v>
      </c>
      <c r="Q1539" s="518" t="s">
        <v>7101</v>
      </c>
      <c r="R1539" s="152" t="s">
        <v>7180</v>
      </c>
      <c r="S1539" s="152" t="s">
        <v>7238</v>
      </c>
      <c r="T1539" s="152" t="s">
        <v>7182</v>
      </c>
      <c r="U1539" s="152" t="s">
        <v>786</v>
      </c>
    </row>
    <row r="1540" spans="4:21">
      <c r="D1540" s="210"/>
      <c r="G1540" s="152" t="s">
        <v>372</v>
      </c>
      <c r="H1540" s="474" t="s">
        <v>309</v>
      </c>
      <c r="I1540" s="474"/>
      <c r="J1540" s="847">
        <v>-983500</v>
      </c>
      <c r="K1540" s="513">
        <v>-700</v>
      </c>
      <c r="L1540" s="513">
        <v>1405</v>
      </c>
      <c r="M1540" s="152" t="s">
        <v>7116</v>
      </c>
      <c r="N1540" s="513" t="s">
        <v>780</v>
      </c>
      <c r="O1540" s="513" t="s">
        <v>1407</v>
      </c>
      <c r="P1540" s="513" t="s">
        <v>7179</v>
      </c>
      <c r="Q1540" s="518" t="s">
        <v>7101</v>
      </c>
      <c r="R1540" s="152" t="s">
        <v>7180</v>
      </c>
      <c r="S1540" s="152" t="s">
        <v>7239</v>
      </c>
      <c r="T1540" s="152" t="s">
        <v>7182</v>
      </c>
      <c r="U1540" s="152" t="s">
        <v>786</v>
      </c>
    </row>
    <row r="1541" spans="4:21">
      <c r="D1541" s="210"/>
      <c r="G1541" s="152" t="s">
        <v>372</v>
      </c>
      <c r="H1541" s="474" t="s">
        <v>309</v>
      </c>
      <c r="I1541" s="474"/>
      <c r="J1541" s="847">
        <v>-1545500</v>
      </c>
      <c r="K1541" s="513">
        <v>-1100</v>
      </c>
      <c r="L1541" s="513">
        <v>1405</v>
      </c>
      <c r="M1541" s="152" t="s">
        <v>7116</v>
      </c>
      <c r="N1541" s="513" t="s">
        <v>780</v>
      </c>
      <c r="O1541" s="513" t="s">
        <v>1407</v>
      </c>
      <c r="P1541" s="513" t="s">
        <v>7179</v>
      </c>
      <c r="Q1541" s="518" t="s">
        <v>7101</v>
      </c>
      <c r="R1541" s="152" t="s">
        <v>7180</v>
      </c>
      <c r="S1541" s="152" t="s">
        <v>7240</v>
      </c>
      <c r="T1541" s="152" t="s">
        <v>7182</v>
      </c>
      <c r="U1541" s="152" t="s">
        <v>786</v>
      </c>
    </row>
    <row r="1542" spans="4:21">
      <c r="D1542" s="210"/>
      <c r="G1542" s="152" t="s">
        <v>372</v>
      </c>
      <c r="H1542" s="474" t="s">
        <v>309</v>
      </c>
      <c r="I1542" s="474"/>
      <c r="J1542" s="847">
        <v>-1334750</v>
      </c>
      <c r="K1542" s="513">
        <v>-950</v>
      </c>
      <c r="L1542" s="513">
        <v>1405</v>
      </c>
      <c r="M1542" s="152" t="s">
        <v>7116</v>
      </c>
      <c r="N1542" s="513" t="s">
        <v>780</v>
      </c>
      <c r="O1542" s="513" t="s">
        <v>1407</v>
      </c>
      <c r="P1542" s="513" t="s">
        <v>7179</v>
      </c>
      <c r="Q1542" s="518" t="s">
        <v>7101</v>
      </c>
      <c r="R1542" s="152" t="s">
        <v>7180</v>
      </c>
      <c r="S1542" s="152" t="s">
        <v>7241</v>
      </c>
      <c r="T1542" s="152" t="s">
        <v>7182</v>
      </c>
      <c r="U1542" s="152" t="s">
        <v>786</v>
      </c>
    </row>
    <row r="1543" spans="4:21">
      <c r="D1543" s="210"/>
      <c r="G1543" s="152" t="s">
        <v>372</v>
      </c>
      <c r="H1543" s="474" t="s">
        <v>309</v>
      </c>
      <c r="I1543" s="474"/>
      <c r="J1543" s="847">
        <v>-264435.05</v>
      </c>
      <c r="K1543" s="513">
        <v>-188.21</v>
      </c>
      <c r="L1543" s="513">
        <v>1405</v>
      </c>
      <c r="M1543" s="152" t="s">
        <v>7116</v>
      </c>
      <c r="N1543" s="513" t="s">
        <v>780</v>
      </c>
      <c r="O1543" s="513" t="s">
        <v>1407</v>
      </c>
      <c r="P1543" s="513" t="s">
        <v>7179</v>
      </c>
      <c r="Q1543" s="518" t="s">
        <v>7101</v>
      </c>
      <c r="R1543" s="152" t="s">
        <v>7180</v>
      </c>
      <c r="S1543" s="152" t="s">
        <v>7242</v>
      </c>
      <c r="T1543" s="152" t="s">
        <v>7182</v>
      </c>
      <c r="U1543" s="152" t="s">
        <v>786</v>
      </c>
    </row>
    <row r="1544" spans="4:21">
      <c r="D1544" s="210"/>
      <c r="G1544" s="152" t="s">
        <v>372</v>
      </c>
      <c r="H1544" s="474" t="s">
        <v>309</v>
      </c>
      <c r="I1544" s="474"/>
      <c r="J1544" s="847">
        <v>-196700</v>
      </c>
      <c r="K1544" s="513">
        <v>-140</v>
      </c>
      <c r="L1544" s="513">
        <v>1405</v>
      </c>
      <c r="M1544" s="152" t="s">
        <v>7116</v>
      </c>
      <c r="N1544" s="513" t="s">
        <v>780</v>
      </c>
      <c r="O1544" s="513" t="s">
        <v>1407</v>
      </c>
      <c r="P1544" s="513" t="s">
        <v>7179</v>
      </c>
      <c r="Q1544" s="518" t="s">
        <v>7101</v>
      </c>
      <c r="R1544" s="152" t="s">
        <v>7180</v>
      </c>
      <c r="S1544" s="152" t="s">
        <v>3898</v>
      </c>
      <c r="T1544" s="152" t="s">
        <v>7182</v>
      </c>
      <c r="U1544" s="152" t="s">
        <v>786</v>
      </c>
    </row>
    <row r="1545" spans="4:21">
      <c r="D1545" s="210"/>
      <c r="G1545" s="152" t="s">
        <v>372</v>
      </c>
      <c r="H1545" s="474" t="s">
        <v>309</v>
      </c>
      <c r="I1545" s="474"/>
      <c r="J1545" s="847">
        <v>-154550</v>
      </c>
      <c r="K1545" s="513">
        <v>-110</v>
      </c>
      <c r="L1545" s="513">
        <v>1405</v>
      </c>
      <c r="M1545" s="152" t="s">
        <v>7116</v>
      </c>
      <c r="N1545" s="513" t="s">
        <v>780</v>
      </c>
      <c r="O1545" s="513" t="s">
        <v>1407</v>
      </c>
      <c r="P1545" s="513" t="s">
        <v>7179</v>
      </c>
      <c r="Q1545" s="518" t="s">
        <v>7101</v>
      </c>
      <c r="R1545" s="152" t="s">
        <v>7180</v>
      </c>
      <c r="S1545" s="152" t="s">
        <v>3949</v>
      </c>
      <c r="T1545" s="152" t="s">
        <v>7182</v>
      </c>
      <c r="U1545" s="152" t="s">
        <v>786</v>
      </c>
    </row>
    <row r="1546" spans="4:21">
      <c r="D1546" s="210"/>
      <c r="G1546" s="152" t="s">
        <v>372</v>
      </c>
      <c r="H1546" s="474" t="s">
        <v>309</v>
      </c>
      <c r="I1546" s="474"/>
      <c r="J1546" s="847">
        <v>-231825</v>
      </c>
      <c r="K1546" s="513">
        <v>-165</v>
      </c>
      <c r="L1546" s="513">
        <v>1405</v>
      </c>
      <c r="M1546" s="152" t="s">
        <v>7116</v>
      </c>
      <c r="N1546" s="513" t="s">
        <v>780</v>
      </c>
      <c r="O1546" s="513" t="s">
        <v>1407</v>
      </c>
      <c r="P1546" s="513" t="s">
        <v>7179</v>
      </c>
      <c r="Q1546" s="518" t="s">
        <v>7101</v>
      </c>
      <c r="R1546" s="152" t="s">
        <v>7180</v>
      </c>
      <c r="S1546" s="152" t="s">
        <v>3951</v>
      </c>
      <c r="T1546" s="152" t="s">
        <v>7182</v>
      </c>
      <c r="U1546" s="152" t="s">
        <v>786</v>
      </c>
    </row>
    <row r="1547" spans="4:21">
      <c r="D1547" s="210"/>
      <c r="G1547" s="152" t="s">
        <v>372</v>
      </c>
      <c r="H1547" s="474" t="s">
        <v>309</v>
      </c>
      <c r="I1547" s="474"/>
      <c r="J1547" s="847">
        <v>-1967786.8</v>
      </c>
      <c r="K1547" s="513">
        <v>-1400.56</v>
      </c>
      <c r="L1547" s="513">
        <v>1405</v>
      </c>
      <c r="M1547" s="152" t="s">
        <v>7116</v>
      </c>
      <c r="N1547" s="513" t="s">
        <v>780</v>
      </c>
      <c r="O1547" s="513" t="s">
        <v>1407</v>
      </c>
      <c r="P1547" s="513" t="s">
        <v>7179</v>
      </c>
      <c r="Q1547" s="518" t="s">
        <v>7101</v>
      </c>
      <c r="R1547" s="152" t="s">
        <v>7180</v>
      </c>
      <c r="S1547" s="152" t="s">
        <v>7244</v>
      </c>
      <c r="T1547" s="152" t="s">
        <v>7182</v>
      </c>
      <c r="U1547" s="152" t="s">
        <v>786</v>
      </c>
    </row>
    <row r="1548" spans="4:21">
      <c r="D1548" s="210"/>
      <c r="G1548" s="152" t="s">
        <v>372</v>
      </c>
      <c r="H1548" s="474" t="s">
        <v>309</v>
      </c>
      <c r="I1548" s="474"/>
      <c r="J1548" s="847">
        <v>-91451.45</v>
      </c>
      <c r="K1548" s="513">
        <v>-65.09</v>
      </c>
      <c r="L1548" s="513">
        <v>1405</v>
      </c>
      <c r="M1548" s="152" t="s">
        <v>7143</v>
      </c>
      <c r="N1548" s="513" t="s">
        <v>780</v>
      </c>
      <c r="O1548" s="513" t="s">
        <v>1407</v>
      </c>
      <c r="P1548" s="513" t="s">
        <v>7284</v>
      </c>
      <c r="Q1548" s="518" t="s">
        <v>7101</v>
      </c>
      <c r="R1548" s="152" t="s">
        <v>7285</v>
      </c>
      <c r="S1548" s="152" t="s">
        <v>7288</v>
      </c>
      <c r="T1548" s="152" t="s">
        <v>7287</v>
      </c>
      <c r="U1548" s="152" t="s">
        <v>786</v>
      </c>
    </row>
    <row r="1549" spans="4:21">
      <c r="D1549" s="210"/>
      <c r="G1549" s="152" t="s">
        <v>372</v>
      </c>
      <c r="H1549" s="474" t="s">
        <v>309</v>
      </c>
      <c r="I1549" s="474"/>
      <c r="J1549" s="847">
        <v>-125916.1</v>
      </c>
      <c r="K1549" s="513">
        <v>-89.62</v>
      </c>
      <c r="L1549" s="513">
        <v>1405</v>
      </c>
      <c r="M1549" s="152" t="s">
        <v>7143</v>
      </c>
      <c r="N1549" s="513" t="s">
        <v>780</v>
      </c>
      <c r="O1549" s="513" t="s">
        <v>1407</v>
      </c>
      <c r="P1549" s="513" t="s">
        <v>7284</v>
      </c>
      <c r="Q1549" s="518" t="s">
        <v>7101</v>
      </c>
      <c r="R1549" s="152" t="s">
        <v>7285</v>
      </c>
      <c r="S1549" s="152" t="s">
        <v>7305</v>
      </c>
      <c r="T1549" s="152" t="s">
        <v>7287</v>
      </c>
      <c r="U1549" s="152" t="s">
        <v>786</v>
      </c>
    </row>
    <row r="1550" spans="4:21">
      <c r="D1550" s="210"/>
      <c r="G1550" s="152" t="s">
        <v>372</v>
      </c>
      <c r="H1550" s="474" t="s">
        <v>309</v>
      </c>
      <c r="I1550" s="474"/>
      <c r="J1550" s="847">
        <v>-34324.15</v>
      </c>
      <c r="K1550" s="513">
        <v>-24.43</v>
      </c>
      <c r="L1550" s="513">
        <v>1405</v>
      </c>
      <c r="M1550" s="152" t="s">
        <v>7143</v>
      </c>
      <c r="N1550" s="513" t="s">
        <v>780</v>
      </c>
      <c r="O1550" s="513" t="s">
        <v>1407</v>
      </c>
      <c r="P1550" s="513" t="s">
        <v>7284</v>
      </c>
      <c r="Q1550" s="518" t="s">
        <v>7101</v>
      </c>
      <c r="R1550" s="152" t="s">
        <v>7285</v>
      </c>
      <c r="S1550" s="152" t="s">
        <v>1627</v>
      </c>
      <c r="T1550" s="152" t="s">
        <v>7287</v>
      </c>
      <c r="U1550" s="152" t="s">
        <v>786</v>
      </c>
    </row>
    <row r="1551" spans="4:21">
      <c r="D1551" s="210"/>
      <c r="G1551" s="152" t="s">
        <v>372</v>
      </c>
      <c r="H1551" s="474" t="s">
        <v>309</v>
      </c>
      <c r="I1551" s="474"/>
      <c r="J1551" s="847">
        <v>-307456.15000000002</v>
      </c>
      <c r="K1551" s="513">
        <v>-218.83</v>
      </c>
      <c r="L1551" s="513">
        <v>1405</v>
      </c>
      <c r="M1551" s="152" t="s">
        <v>7143</v>
      </c>
      <c r="N1551" s="513" t="s">
        <v>780</v>
      </c>
      <c r="O1551" s="513" t="s">
        <v>1407</v>
      </c>
      <c r="P1551" s="513" t="s">
        <v>7284</v>
      </c>
      <c r="Q1551" s="518" t="s">
        <v>7101</v>
      </c>
      <c r="R1551" s="152" t="s">
        <v>7285</v>
      </c>
      <c r="S1551" s="152" t="s">
        <v>2926</v>
      </c>
      <c r="T1551" s="152" t="s">
        <v>7287</v>
      </c>
      <c r="U1551" s="152" t="s">
        <v>786</v>
      </c>
    </row>
    <row r="1552" spans="4:21">
      <c r="D1552" s="210"/>
      <c r="G1552" s="152" t="s">
        <v>372</v>
      </c>
      <c r="H1552" s="474" t="s">
        <v>309</v>
      </c>
      <c r="I1552" s="474"/>
      <c r="J1552" s="847">
        <v>-196489.25</v>
      </c>
      <c r="K1552" s="513">
        <v>-139.85</v>
      </c>
      <c r="L1552" s="513">
        <v>1405</v>
      </c>
      <c r="M1552" s="152" t="s">
        <v>7143</v>
      </c>
      <c r="N1552" s="513" t="s">
        <v>780</v>
      </c>
      <c r="O1552" s="513" t="s">
        <v>1407</v>
      </c>
      <c r="P1552" s="513" t="s">
        <v>7284</v>
      </c>
      <c r="Q1552" s="518" t="s">
        <v>7101</v>
      </c>
      <c r="R1552" s="152" t="s">
        <v>7285</v>
      </c>
      <c r="S1552" s="152" t="s">
        <v>7311</v>
      </c>
      <c r="T1552" s="152" t="s">
        <v>7287</v>
      </c>
      <c r="U1552" s="152" t="s">
        <v>786</v>
      </c>
    </row>
    <row r="1553" spans="4:21">
      <c r="D1553" s="210"/>
      <c r="G1553" s="152" t="s">
        <v>372</v>
      </c>
      <c r="H1553" s="474" t="s">
        <v>309</v>
      </c>
      <c r="I1553" s="474"/>
      <c r="J1553" s="847">
        <v>-154550</v>
      </c>
      <c r="K1553" s="513">
        <v>-110</v>
      </c>
      <c r="L1553" s="513">
        <v>1405</v>
      </c>
      <c r="M1553" s="152" t="s">
        <v>7143</v>
      </c>
      <c r="N1553" s="513" t="s">
        <v>780</v>
      </c>
      <c r="O1553" s="513" t="s">
        <v>1407</v>
      </c>
      <c r="P1553" s="513" t="s">
        <v>7284</v>
      </c>
      <c r="Q1553" s="518" t="s">
        <v>7101</v>
      </c>
      <c r="R1553" s="152" t="s">
        <v>7285</v>
      </c>
      <c r="S1553" s="152" t="s">
        <v>7312</v>
      </c>
      <c r="T1553" s="152" t="s">
        <v>7287</v>
      </c>
      <c r="U1553" s="152" t="s">
        <v>786</v>
      </c>
    </row>
    <row r="1554" spans="4:21">
      <c r="D1554" s="210"/>
      <c r="G1554" s="152" t="s">
        <v>372</v>
      </c>
      <c r="H1554" s="474" t="s">
        <v>309</v>
      </c>
      <c r="I1554" s="474"/>
      <c r="J1554" s="847">
        <v>-154550</v>
      </c>
      <c r="K1554" s="513">
        <v>-110</v>
      </c>
      <c r="L1554" s="513">
        <v>1405</v>
      </c>
      <c r="M1554" s="152" t="s">
        <v>7143</v>
      </c>
      <c r="N1554" s="513" t="s">
        <v>780</v>
      </c>
      <c r="O1554" s="513" t="s">
        <v>1407</v>
      </c>
      <c r="P1554" s="513" t="s">
        <v>7284</v>
      </c>
      <c r="Q1554" s="518" t="s">
        <v>7101</v>
      </c>
      <c r="R1554" s="152" t="s">
        <v>7285</v>
      </c>
      <c r="S1554" s="152" t="s">
        <v>3949</v>
      </c>
      <c r="T1554" s="152" t="s">
        <v>7287</v>
      </c>
      <c r="U1554" s="152" t="s">
        <v>786</v>
      </c>
    </row>
    <row r="1555" spans="4:21">
      <c r="D1555" s="210"/>
      <c r="G1555" s="152" t="s">
        <v>372</v>
      </c>
      <c r="H1555" s="474" t="s">
        <v>309</v>
      </c>
      <c r="I1555" s="474"/>
      <c r="J1555" s="847">
        <v>-231825</v>
      </c>
      <c r="K1555" s="513">
        <v>-165</v>
      </c>
      <c r="L1555" s="513">
        <v>1405</v>
      </c>
      <c r="M1555" s="152" t="s">
        <v>7143</v>
      </c>
      <c r="N1555" s="513" t="s">
        <v>780</v>
      </c>
      <c r="O1555" s="513" t="s">
        <v>1407</v>
      </c>
      <c r="P1555" s="513" t="s">
        <v>7284</v>
      </c>
      <c r="Q1555" s="518" t="s">
        <v>7101</v>
      </c>
      <c r="R1555" s="152" t="s">
        <v>7285</v>
      </c>
      <c r="S1555" s="152" t="s">
        <v>3951</v>
      </c>
      <c r="T1555" s="152" t="s">
        <v>7287</v>
      </c>
      <c r="U1555" s="152" t="s">
        <v>786</v>
      </c>
    </row>
    <row r="1556" spans="4:21">
      <c r="D1556" s="210"/>
      <c r="G1556" s="152" t="s">
        <v>372</v>
      </c>
      <c r="H1556" s="474" t="s">
        <v>309</v>
      </c>
      <c r="I1556" s="474"/>
      <c r="J1556" s="847">
        <v>-118764.65</v>
      </c>
      <c r="K1556" s="513">
        <v>-84.53</v>
      </c>
      <c r="L1556" s="513">
        <v>1405</v>
      </c>
      <c r="M1556" s="152" t="s">
        <v>7143</v>
      </c>
      <c r="N1556" s="513" t="s">
        <v>780</v>
      </c>
      <c r="O1556" s="513" t="s">
        <v>1407</v>
      </c>
      <c r="P1556" s="513" t="s">
        <v>7284</v>
      </c>
      <c r="Q1556" s="518" t="s">
        <v>7101</v>
      </c>
      <c r="R1556" s="152" t="s">
        <v>7285</v>
      </c>
      <c r="S1556" s="152" t="s">
        <v>7313</v>
      </c>
      <c r="T1556" s="152" t="s">
        <v>7287</v>
      </c>
      <c r="U1556" s="152" t="s">
        <v>786</v>
      </c>
    </row>
    <row r="1557" spans="4:21">
      <c r="D1557" s="210"/>
      <c r="G1557" s="152" t="s">
        <v>372</v>
      </c>
      <c r="H1557" s="474" t="s">
        <v>309</v>
      </c>
      <c r="I1557" s="474"/>
      <c r="J1557" s="847">
        <v>-110643.75</v>
      </c>
      <c r="K1557" s="513">
        <v>-78.75</v>
      </c>
      <c r="L1557" s="513">
        <v>1405</v>
      </c>
      <c r="M1557" s="152" t="s">
        <v>7143</v>
      </c>
      <c r="N1557" s="513" t="s">
        <v>780</v>
      </c>
      <c r="O1557" s="513" t="s">
        <v>1407</v>
      </c>
      <c r="P1557" s="513" t="s">
        <v>7284</v>
      </c>
      <c r="Q1557" s="518" t="s">
        <v>7101</v>
      </c>
      <c r="R1557" s="152" t="s">
        <v>7285</v>
      </c>
      <c r="S1557" s="152" t="s">
        <v>7314</v>
      </c>
      <c r="T1557" s="152" t="s">
        <v>7287</v>
      </c>
      <c r="U1557" s="152" t="s">
        <v>786</v>
      </c>
    </row>
    <row r="1558" spans="4:21">
      <c r="D1558" s="210"/>
      <c r="G1558" s="152" t="s">
        <v>372</v>
      </c>
      <c r="H1558" s="474" t="s">
        <v>309</v>
      </c>
      <c r="I1558" s="474"/>
      <c r="J1558" s="847">
        <v>-11802</v>
      </c>
      <c r="K1558" s="513">
        <v>-8.4</v>
      </c>
      <c r="L1558" s="513">
        <v>1405</v>
      </c>
      <c r="M1558" s="152" t="s">
        <v>7143</v>
      </c>
      <c r="N1558" s="513" t="s">
        <v>780</v>
      </c>
      <c r="O1558" s="513" t="s">
        <v>1407</v>
      </c>
      <c r="P1558" s="513" t="s">
        <v>7284</v>
      </c>
      <c r="Q1558" s="518" t="s">
        <v>7101</v>
      </c>
      <c r="R1558" s="152" t="s">
        <v>7285</v>
      </c>
      <c r="S1558" s="152" t="s">
        <v>7315</v>
      </c>
      <c r="T1558" s="152" t="s">
        <v>7287</v>
      </c>
      <c r="U1558" s="152" t="s">
        <v>786</v>
      </c>
    </row>
    <row r="1559" spans="4:21">
      <c r="D1559" s="210"/>
      <c r="G1559" s="152" t="s">
        <v>372</v>
      </c>
      <c r="H1559" s="474" t="s">
        <v>309</v>
      </c>
      <c r="I1559" s="474"/>
      <c r="J1559" s="847">
        <v>-235520.15</v>
      </c>
      <c r="K1559" s="513">
        <v>-167.63</v>
      </c>
      <c r="L1559" s="513">
        <v>1405</v>
      </c>
      <c r="M1559" s="152" t="s">
        <v>7143</v>
      </c>
      <c r="N1559" s="513" t="s">
        <v>780</v>
      </c>
      <c r="O1559" s="513" t="s">
        <v>1407</v>
      </c>
      <c r="P1559" s="513" t="s">
        <v>7284</v>
      </c>
      <c r="Q1559" s="518" t="s">
        <v>7101</v>
      </c>
      <c r="R1559" s="152" t="s">
        <v>7285</v>
      </c>
      <c r="S1559" s="152" t="s">
        <v>7316</v>
      </c>
      <c r="T1559" s="152" t="s">
        <v>7287</v>
      </c>
      <c r="U1559" s="152" t="s">
        <v>786</v>
      </c>
    </row>
    <row r="1560" spans="4:21">
      <c r="D1560" s="210"/>
      <c r="G1560" s="152" t="s">
        <v>372</v>
      </c>
      <c r="H1560" s="474" t="s">
        <v>309</v>
      </c>
      <c r="I1560" s="474"/>
      <c r="J1560" s="847">
        <v>-1124000</v>
      </c>
      <c r="K1560" s="513">
        <v>-800</v>
      </c>
      <c r="L1560" s="513">
        <v>1405</v>
      </c>
      <c r="M1560" s="152" t="s">
        <v>7143</v>
      </c>
      <c r="N1560" s="513" t="s">
        <v>780</v>
      </c>
      <c r="O1560" s="513" t="s">
        <v>1407</v>
      </c>
      <c r="P1560" s="513" t="s">
        <v>7284</v>
      </c>
      <c r="Q1560" s="518" t="s">
        <v>7101</v>
      </c>
      <c r="R1560" s="152" t="s">
        <v>7285</v>
      </c>
      <c r="S1560" s="152" t="s">
        <v>7320</v>
      </c>
      <c r="T1560" s="152" t="s">
        <v>7287</v>
      </c>
      <c r="U1560" s="152" t="s">
        <v>786</v>
      </c>
    </row>
    <row r="1561" spans="4:21">
      <c r="D1561" s="210"/>
      <c r="G1561" s="152" t="s">
        <v>372</v>
      </c>
      <c r="H1561" s="474" t="s">
        <v>309</v>
      </c>
      <c r="I1561" s="474"/>
      <c r="J1561" s="847">
        <v>-248994.1</v>
      </c>
      <c r="K1561" s="513">
        <v>-177.22</v>
      </c>
      <c r="L1561" s="513">
        <v>1405</v>
      </c>
      <c r="M1561" s="152" t="s">
        <v>7143</v>
      </c>
      <c r="N1561" s="513" t="s">
        <v>780</v>
      </c>
      <c r="O1561" s="513" t="s">
        <v>1407</v>
      </c>
      <c r="P1561" s="513" t="s">
        <v>7284</v>
      </c>
      <c r="Q1561" s="518" t="s">
        <v>7101</v>
      </c>
      <c r="R1561" s="152" t="s">
        <v>7285</v>
      </c>
      <c r="S1561" s="152" t="s">
        <v>7321</v>
      </c>
      <c r="T1561" s="152" t="s">
        <v>7287</v>
      </c>
      <c r="U1561" s="152" t="s">
        <v>786</v>
      </c>
    </row>
    <row r="1562" spans="4:21">
      <c r="D1562" s="210"/>
      <c r="G1562" s="152" t="s">
        <v>372</v>
      </c>
      <c r="H1562" s="474" t="s">
        <v>309</v>
      </c>
      <c r="I1562" s="474"/>
      <c r="J1562" s="847">
        <v>-198105</v>
      </c>
      <c r="K1562" s="513">
        <v>-141</v>
      </c>
      <c r="L1562" s="513">
        <v>1405</v>
      </c>
      <c r="M1562" s="152" t="s">
        <v>7143</v>
      </c>
      <c r="N1562" s="513" t="s">
        <v>780</v>
      </c>
      <c r="O1562" s="513" t="s">
        <v>1407</v>
      </c>
      <c r="P1562" s="513" t="s">
        <v>7284</v>
      </c>
      <c r="Q1562" s="518" t="s">
        <v>7101</v>
      </c>
      <c r="R1562" s="152" t="s">
        <v>7285</v>
      </c>
      <c r="S1562" s="152" t="s">
        <v>7323</v>
      </c>
      <c r="T1562" s="152" t="s">
        <v>7287</v>
      </c>
      <c r="U1562" s="152" t="s">
        <v>786</v>
      </c>
    </row>
    <row r="1563" spans="4:21">
      <c r="D1563" s="210"/>
      <c r="G1563" s="152" t="s">
        <v>372</v>
      </c>
      <c r="H1563" s="474" t="s">
        <v>309</v>
      </c>
      <c r="I1563" s="474"/>
      <c r="J1563" s="847">
        <v>-17112.900000000001</v>
      </c>
      <c r="K1563" s="513">
        <v>-12.18</v>
      </c>
      <c r="L1563" s="513">
        <v>1405</v>
      </c>
      <c r="M1563" s="152" t="s">
        <v>7143</v>
      </c>
      <c r="N1563" s="513" t="s">
        <v>780</v>
      </c>
      <c r="O1563" s="513" t="s">
        <v>1407</v>
      </c>
      <c r="P1563" s="513" t="s">
        <v>7284</v>
      </c>
      <c r="Q1563" s="518" t="s">
        <v>7101</v>
      </c>
      <c r="R1563" s="152" t="s">
        <v>7285</v>
      </c>
      <c r="S1563" s="152" t="s">
        <v>7324</v>
      </c>
      <c r="T1563" s="152" t="s">
        <v>7287</v>
      </c>
      <c r="U1563" s="152" t="s">
        <v>786</v>
      </c>
    </row>
    <row r="1564" spans="4:21">
      <c r="D1564" s="210"/>
      <c r="G1564" s="152" t="s">
        <v>372</v>
      </c>
      <c r="H1564" s="474" t="s">
        <v>309</v>
      </c>
      <c r="I1564" s="474"/>
      <c r="J1564" s="847">
        <v>-224659.5</v>
      </c>
      <c r="K1564" s="513">
        <v>-159.9</v>
      </c>
      <c r="L1564" s="513">
        <v>1405</v>
      </c>
      <c r="M1564" s="152" t="s">
        <v>7143</v>
      </c>
      <c r="N1564" s="513" t="s">
        <v>780</v>
      </c>
      <c r="O1564" s="513" t="s">
        <v>1407</v>
      </c>
      <c r="P1564" s="513" t="s">
        <v>7284</v>
      </c>
      <c r="Q1564" s="518" t="s">
        <v>7101</v>
      </c>
      <c r="R1564" s="152" t="s">
        <v>7285</v>
      </c>
      <c r="S1564" s="152" t="s">
        <v>7325</v>
      </c>
      <c r="T1564" s="152" t="s">
        <v>7287</v>
      </c>
      <c r="U1564" s="152" t="s">
        <v>786</v>
      </c>
    </row>
    <row r="1565" spans="4:21">
      <c r="D1565" s="210"/>
      <c r="G1565" s="152" t="s">
        <v>372</v>
      </c>
      <c r="H1565" s="474" t="s">
        <v>309</v>
      </c>
      <c r="I1565" s="474"/>
      <c r="J1565" s="847">
        <v>-780463.45</v>
      </c>
      <c r="K1565" s="513">
        <v>-555.49</v>
      </c>
      <c r="L1565" s="513">
        <v>1405</v>
      </c>
      <c r="M1565" s="152" t="s">
        <v>7143</v>
      </c>
      <c r="N1565" s="513" t="s">
        <v>780</v>
      </c>
      <c r="O1565" s="513" t="s">
        <v>1407</v>
      </c>
      <c r="P1565" s="513" t="s">
        <v>7284</v>
      </c>
      <c r="Q1565" s="518" t="s">
        <v>7101</v>
      </c>
      <c r="R1565" s="152" t="s">
        <v>7285</v>
      </c>
      <c r="S1565" s="152" t="s">
        <v>4043</v>
      </c>
      <c r="T1565" s="152" t="s">
        <v>7287</v>
      </c>
      <c r="U1565" s="152" t="s">
        <v>786</v>
      </c>
    </row>
    <row r="1566" spans="4:21">
      <c r="D1566" s="210"/>
      <c r="G1566" s="152" t="s">
        <v>372</v>
      </c>
      <c r="H1566" s="474" t="s">
        <v>309</v>
      </c>
      <c r="I1566" s="474"/>
      <c r="J1566" s="847">
        <v>-562000</v>
      </c>
      <c r="K1566" s="513">
        <v>-400</v>
      </c>
      <c r="L1566" s="513">
        <v>1405</v>
      </c>
      <c r="M1566" s="152" t="s">
        <v>7143</v>
      </c>
      <c r="N1566" s="513" t="s">
        <v>780</v>
      </c>
      <c r="O1566" s="513" t="s">
        <v>1407</v>
      </c>
      <c r="P1566" s="513" t="s">
        <v>7284</v>
      </c>
      <c r="Q1566" s="518" t="s">
        <v>7101</v>
      </c>
      <c r="R1566" s="152" t="s">
        <v>7285</v>
      </c>
      <c r="S1566" s="152" t="s">
        <v>3898</v>
      </c>
      <c r="T1566" s="152" t="s">
        <v>7287</v>
      </c>
      <c r="U1566" s="152" t="s">
        <v>786</v>
      </c>
    </row>
    <row r="1567" spans="4:21">
      <c r="D1567" s="210"/>
      <c r="G1567" s="152" t="s">
        <v>372</v>
      </c>
      <c r="H1567" s="474" t="s">
        <v>309</v>
      </c>
      <c r="I1567" s="474"/>
      <c r="J1567" s="847">
        <v>-227200</v>
      </c>
      <c r="K1567" s="513">
        <v>-160</v>
      </c>
      <c r="L1567" s="513">
        <v>1420</v>
      </c>
      <c r="M1567" s="152" t="s">
        <v>7143</v>
      </c>
      <c r="N1567" s="513" t="s">
        <v>780</v>
      </c>
      <c r="O1567" s="513" t="s">
        <v>1407</v>
      </c>
      <c r="P1567" s="513" t="s">
        <v>7284</v>
      </c>
      <c r="Q1567" s="518" t="s">
        <v>7101</v>
      </c>
      <c r="R1567" s="152" t="s">
        <v>7285</v>
      </c>
      <c r="S1567" s="152" t="s">
        <v>3898</v>
      </c>
      <c r="T1567" s="152" t="s">
        <v>7287</v>
      </c>
      <c r="U1567" s="152" t="s">
        <v>786</v>
      </c>
    </row>
    <row r="1568" spans="4:21">
      <c r="D1568" s="210"/>
      <c r="G1568" s="152" t="s">
        <v>372</v>
      </c>
      <c r="H1568" s="474" t="s">
        <v>309</v>
      </c>
      <c r="I1568" s="474"/>
      <c r="J1568" s="847">
        <v>-383400</v>
      </c>
      <c r="K1568" s="513">
        <v>-270</v>
      </c>
      <c r="L1568" s="513">
        <v>1420</v>
      </c>
      <c r="M1568" s="152" t="s">
        <v>7143</v>
      </c>
      <c r="N1568" s="513" t="s">
        <v>780</v>
      </c>
      <c r="O1568" s="513" t="s">
        <v>1407</v>
      </c>
      <c r="P1568" s="513" t="s">
        <v>7284</v>
      </c>
      <c r="Q1568" s="518" t="s">
        <v>7101</v>
      </c>
      <c r="R1568" s="152" t="s">
        <v>7285</v>
      </c>
      <c r="S1568" s="152" t="s">
        <v>3898</v>
      </c>
      <c r="T1568" s="152" t="s">
        <v>7287</v>
      </c>
      <c r="U1568" s="152" t="s">
        <v>786</v>
      </c>
    </row>
    <row r="1569" spans="4:21">
      <c r="D1569" s="210"/>
      <c r="G1569" s="152" t="s">
        <v>372</v>
      </c>
      <c r="H1569" s="474" t="s">
        <v>309</v>
      </c>
      <c r="I1569" s="474"/>
      <c r="J1569" s="847">
        <v>-227200</v>
      </c>
      <c r="K1569" s="513">
        <v>-160</v>
      </c>
      <c r="L1569" s="513">
        <v>1420</v>
      </c>
      <c r="M1569" s="152" t="s">
        <v>7143</v>
      </c>
      <c r="N1569" s="513" t="s">
        <v>780</v>
      </c>
      <c r="O1569" s="513" t="s">
        <v>1407</v>
      </c>
      <c r="P1569" s="513" t="s">
        <v>7284</v>
      </c>
      <c r="Q1569" s="518" t="s">
        <v>7101</v>
      </c>
      <c r="R1569" s="152" t="s">
        <v>7285</v>
      </c>
      <c r="S1569" s="152" t="s">
        <v>3898</v>
      </c>
      <c r="T1569" s="152" t="s">
        <v>7287</v>
      </c>
      <c r="U1569" s="152" t="s">
        <v>786</v>
      </c>
    </row>
    <row r="1570" spans="4:21">
      <c r="D1570" s="210"/>
      <c r="G1570" s="152" t="s">
        <v>372</v>
      </c>
      <c r="H1570" s="474" t="s">
        <v>309</v>
      </c>
      <c r="I1570" s="474"/>
      <c r="J1570" s="847">
        <v>-840147.85</v>
      </c>
      <c r="K1570" s="513">
        <v>-597.97</v>
      </c>
      <c r="L1570" s="513">
        <v>1405</v>
      </c>
      <c r="M1570" s="152" t="s">
        <v>7143</v>
      </c>
      <c r="N1570" s="513" t="s">
        <v>780</v>
      </c>
      <c r="O1570" s="513" t="s">
        <v>1407</v>
      </c>
      <c r="P1570" s="513" t="s">
        <v>7284</v>
      </c>
      <c r="Q1570" s="518" t="s">
        <v>7101</v>
      </c>
      <c r="R1570" s="152" t="s">
        <v>7285</v>
      </c>
      <c r="S1570" s="152" t="s">
        <v>7330</v>
      </c>
      <c r="T1570" s="152" t="s">
        <v>7287</v>
      </c>
      <c r="U1570" s="152" t="s">
        <v>786</v>
      </c>
    </row>
    <row r="1571" spans="4:21">
      <c r="D1571" s="210"/>
      <c r="G1571" s="152" t="s">
        <v>372</v>
      </c>
      <c r="H1571" s="474" t="s">
        <v>309</v>
      </c>
      <c r="I1571" s="474"/>
      <c r="J1571" s="847">
        <v>-850225</v>
      </c>
      <c r="K1571" s="513">
        <v>-598.75</v>
      </c>
      <c r="L1571" s="513">
        <v>1420</v>
      </c>
      <c r="M1571" s="152" t="s">
        <v>7143</v>
      </c>
      <c r="N1571" s="513" t="s">
        <v>780</v>
      </c>
      <c r="O1571" s="513" t="s">
        <v>1407</v>
      </c>
      <c r="P1571" s="513" t="s">
        <v>7284</v>
      </c>
      <c r="Q1571" s="518" t="s">
        <v>7101</v>
      </c>
      <c r="R1571" s="152" t="s">
        <v>7285</v>
      </c>
      <c r="S1571" s="152" t="s">
        <v>4043</v>
      </c>
      <c r="T1571" s="152" t="s">
        <v>7287</v>
      </c>
      <c r="U1571" s="152" t="s">
        <v>786</v>
      </c>
    </row>
    <row r="1572" spans="4:21">
      <c r="D1572" s="210"/>
      <c r="G1572" s="152" t="s">
        <v>372</v>
      </c>
      <c r="H1572" s="474" t="s">
        <v>309</v>
      </c>
      <c r="I1572" s="474"/>
      <c r="J1572" s="847">
        <v>-991784.8</v>
      </c>
      <c r="K1572" s="513">
        <v>-698.44</v>
      </c>
      <c r="L1572" s="513">
        <v>1420</v>
      </c>
      <c r="M1572" s="152" t="s">
        <v>7143</v>
      </c>
      <c r="N1572" s="513" t="s">
        <v>780</v>
      </c>
      <c r="O1572" s="513" t="s">
        <v>1407</v>
      </c>
      <c r="P1572" s="513" t="s">
        <v>7284</v>
      </c>
      <c r="Q1572" s="518" t="s">
        <v>7101</v>
      </c>
      <c r="R1572" s="152" t="s">
        <v>7285</v>
      </c>
      <c r="S1572" s="152" t="s">
        <v>4043</v>
      </c>
      <c r="T1572" s="152" t="s">
        <v>7287</v>
      </c>
      <c r="U1572" s="152" t="s">
        <v>786</v>
      </c>
    </row>
    <row r="1573" spans="4:21">
      <c r="D1573" s="210"/>
      <c r="G1573" s="152" t="s">
        <v>372</v>
      </c>
      <c r="H1573" s="474" t="s">
        <v>309</v>
      </c>
      <c r="I1573" s="474"/>
      <c r="J1573" s="847">
        <v>-244736.95</v>
      </c>
      <c r="K1573" s="513">
        <v>-174.19</v>
      </c>
      <c r="L1573" s="513">
        <v>1405</v>
      </c>
      <c r="M1573" s="152" t="s">
        <v>7143</v>
      </c>
      <c r="N1573" s="513" t="s">
        <v>780</v>
      </c>
      <c r="O1573" s="513" t="s">
        <v>1407</v>
      </c>
      <c r="P1573" s="513" t="s">
        <v>7284</v>
      </c>
      <c r="Q1573" s="518" t="s">
        <v>7101</v>
      </c>
      <c r="R1573" s="152" t="s">
        <v>7285</v>
      </c>
      <c r="S1573" s="152" t="s">
        <v>7331</v>
      </c>
      <c r="T1573" s="152" t="s">
        <v>7287</v>
      </c>
      <c r="U1573" s="152" t="s">
        <v>786</v>
      </c>
    </row>
    <row r="1574" spans="4:21">
      <c r="D1574" s="210"/>
      <c r="G1574" s="152" t="s">
        <v>372</v>
      </c>
      <c r="H1574" s="474" t="s">
        <v>309</v>
      </c>
      <c r="I1574" s="474"/>
      <c r="J1574" s="847">
        <v>-49259.8</v>
      </c>
      <c r="K1574" s="513">
        <v>-34.69</v>
      </c>
      <c r="L1574" s="513">
        <v>1420</v>
      </c>
      <c r="M1574" s="152" t="s">
        <v>7143</v>
      </c>
      <c r="N1574" s="513" t="s">
        <v>780</v>
      </c>
      <c r="O1574" s="513" t="s">
        <v>1407</v>
      </c>
      <c r="P1574" s="513" t="s">
        <v>7284</v>
      </c>
      <c r="Q1574" s="518" t="s">
        <v>7101</v>
      </c>
      <c r="R1574" s="152" t="s">
        <v>7285</v>
      </c>
      <c r="S1574" s="152" t="s">
        <v>7332</v>
      </c>
      <c r="T1574" s="152" t="s">
        <v>7287</v>
      </c>
      <c r="U1574" s="152" t="s">
        <v>786</v>
      </c>
    </row>
    <row r="1575" spans="4:21">
      <c r="D1575" s="210"/>
      <c r="G1575" s="152" t="s">
        <v>372</v>
      </c>
      <c r="H1575" s="474" t="s">
        <v>309</v>
      </c>
      <c r="I1575" s="474"/>
      <c r="J1575" s="847">
        <v>-3805.6</v>
      </c>
      <c r="K1575" s="513">
        <v>-2.68</v>
      </c>
      <c r="L1575" s="513">
        <v>1420</v>
      </c>
      <c r="M1575" s="152" t="s">
        <v>7143</v>
      </c>
      <c r="N1575" s="513" t="s">
        <v>780</v>
      </c>
      <c r="O1575" s="513" t="s">
        <v>1407</v>
      </c>
      <c r="P1575" s="513" t="s">
        <v>7284</v>
      </c>
      <c r="Q1575" s="518" t="s">
        <v>7101</v>
      </c>
      <c r="R1575" s="152" t="s">
        <v>7285</v>
      </c>
      <c r="S1575" s="152" t="s">
        <v>7333</v>
      </c>
      <c r="T1575" s="152" t="s">
        <v>7287</v>
      </c>
      <c r="U1575" s="152" t="s">
        <v>786</v>
      </c>
    </row>
    <row r="1576" spans="4:21">
      <c r="D1576" s="210"/>
      <c r="G1576" s="152" t="s">
        <v>372</v>
      </c>
      <c r="H1576" s="474" t="s">
        <v>309</v>
      </c>
      <c r="I1576" s="474"/>
      <c r="J1576" s="847">
        <v>-55664</v>
      </c>
      <c r="K1576" s="513">
        <v>-39.200000000000003</v>
      </c>
      <c r="L1576" s="513">
        <v>1420</v>
      </c>
      <c r="M1576" s="152" t="s">
        <v>7143</v>
      </c>
      <c r="N1576" s="513" t="s">
        <v>780</v>
      </c>
      <c r="O1576" s="513" t="s">
        <v>1407</v>
      </c>
      <c r="P1576" s="513" t="s">
        <v>7284</v>
      </c>
      <c r="Q1576" s="518" t="s">
        <v>7101</v>
      </c>
      <c r="R1576" s="152" t="s">
        <v>7285</v>
      </c>
      <c r="S1576" s="152" t="s">
        <v>7334</v>
      </c>
      <c r="T1576" s="152" t="s">
        <v>7287</v>
      </c>
      <c r="U1576" s="152" t="s">
        <v>786</v>
      </c>
    </row>
    <row r="1577" spans="4:21">
      <c r="D1577" s="210"/>
      <c r="G1577" s="152" t="s">
        <v>372</v>
      </c>
      <c r="H1577" s="474" t="s">
        <v>309</v>
      </c>
      <c r="I1577" s="474"/>
      <c r="J1577" s="847">
        <v>-113103</v>
      </c>
      <c r="K1577" s="513">
        <v>-79.650000000000006</v>
      </c>
      <c r="L1577" s="513">
        <v>1420</v>
      </c>
      <c r="M1577" s="152" t="s">
        <v>7143</v>
      </c>
      <c r="N1577" s="513" t="s">
        <v>780</v>
      </c>
      <c r="O1577" s="513" t="s">
        <v>1407</v>
      </c>
      <c r="P1577" s="513" t="s">
        <v>7284</v>
      </c>
      <c r="Q1577" s="518" t="s">
        <v>7101</v>
      </c>
      <c r="R1577" s="152" t="s">
        <v>7285</v>
      </c>
      <c r="S1577" s="152" t="s">
        <v>7289</v>
      </c>
      <c r="T1577" s="152" t="s">
        <v>7287</v>
      </c>
      <c r="U1577" s="152" t="s">
        <v>786</v>
      </c>
    </row>
    <row r="1578" spans="4:21">
      <c r="D1578" s="210"/>
      <c r="G1578" s="152" t="s">
        <v>372</v>
      </c>
      <c r="H1578" s="474" t="s">
        <v>309</v>
      </c>
      <c r="I1578" s="474"/>
      <c r="J1578" s="847">
        <v>-4001844</v>
      </c>
      <c r="K1578" s="513">
        <v>-2818.2</v>
      </c>
      <c r="L1578" s="513">
        <v>1420</v>
      </c>
      <c r="M1578" s="152" t="s">
        <v>7143</v>
      </c>
      <c r="N1578" s="513" t="s">
        <v>780</v>
      </c>
      <c r="O1578" s="513" t="s">
        <v>1407</v>
      </c>
      <c r="P1578" s="513" t="s">
        <v>7284</v>
      </c>
      <c r="Q1578" s="518" t="s">
        <v>7101</v>
      </c>
      <c r="R1578" s="152" t="s">
        <v>7285</v>
      </c>
      <c r="S1578" s="152" t="s">
        <v>7290</v>
      </c>
      <c r="T1578" s="152" t="s">
        <v>7287</v>
      </c>
      <c r="U1578" s="152" t="s">
        <v>786</v>
      </c>
    </row>
    <row r="1579" spans="4:21">
      <c r="D1579" s="210"/>
      <c r="G1579" s="152" t="s">
        <v>372</v>
      </c>
      <c r="H1579" s="474" t="s">
        <v>309</v>
      </c>
      <c r="I1579" s="474"/>
      <c r="J1579" s="847">
        <v>-99101.8</v>
      </c>
      <c r="K1579" s="513">
        <v>-69.790000000000006</v>
      </c>
      <c r="L1579" s="513">
        <v>1420</v>
      </c>
      <c r="M1579" s="152" t="s">
        <v>7143</v>
      </c>
      <c r="N1579" s="513" t="s">
        <v>780</v>
      </c>
      <c r="O1579" s="513" t="s">
        <v>1407</v>
      </c>
      <c r="P1579" s="513" t="s">
        <v>7284</v>
      </c>
      <c r="Q1579" s="518" t="s">
        <v>7101</v>
      </c>
      <c r="R1579" s="152" t="s">
        <v>7285</v>
      </c>
      <c r="S1579" s="152" t="s">
        <v>7291</v>
      </c>
      <c r="T1579" s="152" t="s">
        <v>7287</v>
      </c>
      <c r="U1579" s="152" t="s">
        <v>786</v>
      </c>
    </row>
    <row r="1580" spans="4:21">
      <c r="D1580" s="210"/>
      <c r="G1580" s="152" t="s">
        <v>372</v>
      </c>
      <c r="H1580" s="474" t="s">
        <v>309</v>
      </c>
      <c r="I1580" s="474"/>
      <c r="J1580" s="847">
        <v>-156200</v>
      </c>
      <c r="K1580" s="513">
        <v>-110</v>
      </c>
      <c r="L1580" s="513">
        <v>1420</v>
      </c>
      <c r="M1580" s="152" t="s">
        <v>7143</v>
      </c>
      <c r="N1580" s="513" t="s">
        <v>780</v>
      </c>
      <c r="O1580" s="513" t="s">
        <v>1407</v>
      </c>
      <c r="P1580" s="513" t="s">
        <v>7284</v>
      </c>
      <c r="Q1580" s="518" t="s">
        <v>7101</v>
      </c>
      <c r="R1580" s="152" t="s">
        <v>7285</v>
      </c>
      <c r="S1580" s="152" t="s">
        <v>3948</v>
      </c>
      <c r="T1580" s="152" t="s">
        <v>7287</v>
      </c>
      <c r="U1580" s="152" t="s">
        <v>786</v>
      </c>
    </row>
    <row r="1581" spans="4:21">
      <c r="D1581" s="210"/>
      <c r="G1581" s="152" t="s">
        <v>372</v>
      </c>
      <c r="H1581" s="474" t="s">
        <v>309</v>
      </c>
      <c r="I1581" s="474"/>
      <c r="J1581" s="847">
        <v>-234300</v>
      </c>
      <c r="K1581" s="513">
        <v>-165</v>
      </c>
      <c r="L1581" s="513">
        <v>1420</v>
      </c>
      <c r="M1581" s="152" t="s">
        <v>7143</v>
      </c>
      <c r="N1581" s="513" t="s">
        <v>780</v>
      </c>
      <c r="O1581" s="513" t="s">
        <v>1407</v>
      </c>
      <c r="P1581" s="513" t="s">
        <v>7284</v>
      </c>
      <c r="Q1581" s="518" t="s">
        <v>7101</v>
      </c>
      <c r="R1581" s="152" t="s">
        <v>7285</v>
      </c>
      <c r="S1581" s="152" t="s">
        <v>3951</v>
      </c>
      <c r="T1581" s="152" t="s">
        <v>7287</v>
      </c>
      <c r="U1581" s="152" t="s">
        <v>786</v>
      </c>
    </row>
    <row r="1582" spans="4:21">
      <c r="D1582" s="210"/>
      <c r="G1582" s="152" t="s">
        <v>372</v>
      </c>
      <c r="H1582" s="474" t="s">
        <v>309</v>
      </c>
      <c r="I1582" s="474"/>
      <c r="J1582" s="847">
        <v>-156200</v>
      </c>
      <c r="K1582" s="513">
        <v>-110</v>
      </c>
      <c r="L1582" s="513">
        <v>1420</v>
      </c>
      <c r="M1582" s="152" t="s">
        <v>7143</v>
      </c>
      <c r="N1582" s="513" t="s">
        <v>780</v>
      </c>
      <c r="O1582" s="513" t="s">
        <v>1407</v>
      </c>
      <c r="P1582" s="513" t="s">
        <v>7284</v>
      </c>
      <c r="Q1582" s="518" t="s">
        <v>7101</v>
      </c>
      <c r="R1582" s="152" t="s">
        <v>7285</v>
      </c>
      <c r="S1582" s="152" t="s">
        <v>3948</v>
      </c>
      <c r="T1582" s="152" t="s">
        <v>7287</v>
      </c>
      <c r="U1582" s="152" t="s">
        <v>786</v>
      </c>
    </row>
    <row r="1583" spans="4:21">
      <c r="D1583" s="210"/>
      <c r="G1583" s="152" t="s">
        <v>372</v>
      </c>
      <c r="H1583" s="474" t="s">
        <v>309</v>
      </c>
      <c r="I1583" s="474"/>
      <c r="J1583" s="847">
        <v>-92442</v>
      </c>
      <c r="K1583" s="513">
        <v>-65.099999999999994</v>
      </c>
      <c r="L1583" s="513">
        <v>1420</v>
      </c>
      <c r="M1583" s="152" t="s">
        <v>7143</v>
      </c>
      <c r="N1583" s="513" t="s">
        <v>780</v>
      </c>
      <c r="O1583" s="513" t="s">
        <v>1407</v>
      </c>
      <c r="P1583" s="513" t="s">
        <v>7284</v>
      </c>
      <c r="Q1583" s="518" t="s">
        <v>7101</v>
      </c>
      <c r="R1583" s="152" t="s">
        <v>7285</v>
      </c>
      <c r="S1583" s="152" t="s">
        <v>3840</v>
      </c>
      <c r="T1583" s="152" t="s">
        <v>7287</v>
      </c>
      <c r="U1583" s="152" t="s">
        <v>786</v>
      </c>
    </row>
    <row r="1584" spans="4:21">
      <c r="D1584" s="210"/>
      <c r="G1584" s="152" t="s">
        <v>372</v>
      </c>
      <c r="H1584" s="474" t="s">
        <v>309</v>
      </c>
      <c r="I1584" s="474"/>
      <c r="J1584" s="847">
        <v>-1423564.2</v>
      </c>
      <c r="K1584" s="513">
        <v>-1002.51</v>
      </c>
      <c r="L1584" s="513">
        <v>1420</v>
      </c>
      <c r="M1584" s="152" t="s">
        <v>7143</v>
      </c>
      <c r="N1584" s="513" t="s">
        <v>780</v>
      </c>
      <c r="O1584" s="513" t="s">
        <v>1407</v>
      </c>
      <c r="P1584" s="513" t="s">
        <v>7284</v>
      </c>
      <c r="Q1584" s="518" t="s">
        <v>7101</v>
      </c>
      <c r="R1584" s="152" t="s">
        <v>7285</v>
      </c>
      <c r="S1584" s="152" t="s">
        <v>776</v>
      </c>
      <c r="T1584" s="152" t="s">
        <v>7287</v>
      </c>
      <c r="U1584" s="152" t="s">
        <v>786</v>
      </c>
    </row>
    <row r="1585" spans="4:21">
      <c r="D1585" s="210"/>
      <c r="G1585" s="152" t="s">
        <v>372</v>
      </c>
      <c r="H1585" s="474" t="s">
        <v>309</v>
      </c>
      <c r="I1585" s="474"/>
      <c r="J1585" s="847">
        <v>843000</v>
      </c>
      <c r="K1585" s="513">
        <v>600</v>
      </c>
      <c r="L1585" s="513">
        <v>1405</v>
      </c>
      <c r="M1585" s="152" t="s">
        <v>7808</v>
      </c>
      <c r="N1585" s="513" t="s">
        <v>1540</v>
      </c>
      <c r="O1585" s="513" t="s">
        <v>1407</v>
      </c>
      <c r="P1585" s="513" t="s">
        <v>8090</v>
      </c>
      <c r="Q1585" s="518" t="s">
        <v>8091</v>
      </c>
      <c r="R1585" s="152" t="s">
        <v>8092</v>
      </c>
      <c r="T1585" s="152" t="s">
        <v>8093</v>
      </c>
      <c r="U1585" s="152" t="s">
        <v>786</v>
      </c>
    </row>
    <row r="1586" spans="4:21">
      <c r="D1586" s="210"/>
      <c r="G1586" s="152" t="s">
        <v>372</v>
      </c>
      <c r="H1586" s="474" t="s">
        <v>309</v>
      </c>
      <c r="I1586" s="474"/>
      <c r="J1586" s="847">
        <v>843000</v>
      </c>
      <c r="K1586" s="513">
        <v>600</v>
      </c>
      <c r="L1586" s="513">
        <v>1405</v>
      </c>
      <c r="M1586" s="152" t="s">
        <v>7808</v>
      </c>
      <c r="N1586" s="513" t="s">
        <v>1540</v>
      </c>
      <c r="O1586" s="513" t="s">
        <v>1407</v>
      </c>
      <c r="P1586" s="513" t="s">
        <v>8094</v>
      </c>
      <c r="Q1586" s="518" t="s">
        <v>8091</v>
      </c>
      <c r="R1586" s="152" t="s">
        <v>8095</v>
      </c>
      <c r="T1586" s="152" t="s">
        <v>8096</v>
      </c>
      <c r="U1586" s="152" t="s">
        <v>786</v>
      </c>
    </row>
    <row r="1587" spans="4:21">
      <c r="D1587" s="210"/>
      <c r="G1587" s="152" t="s">
        <v>372</v>
      </c>
      <c r="H1587" s="474" t="s">
        <v>309</v>
      </c>
      <c r="I1587" s="474"/>
      <c r="J1587" s="847">
        <v>843000</v>
      </c>
      <c r="K1587" s="513">
        <v>600</v>
      </c>
      <c r="L1587" s="513">
        <v>1405</v>
      </c>
      <c r="M1587" s="152" t="s">
        <v>7808</v>
      </c>
      <c r="N1587" s="513" t="s">
        <v>1540</v>
      </c>
      <c r="O1587" s="513" t="s">
        <v>1407</v>
      </c>
      <c r="P1587" s="513" t="s">
        <v>8097</v>
      </c>
      <c r="Q1587" s="518" t="s">
        <v>8091</v>
      </c>
      <c r="R1587" s="152" t="s">
        <v>8098</v>
      </c>
      <c r="T1587" s="152" t="s">
        <v>8099</v>
      </c>
      <c r="U1587" s="152" t="s">
        <v>786</v>
      </c>
    </row>
    <row r="1588" spans="4:21">
      <c r="D1588" s="210"/>
      <c r="G1588" s="152" t="s">
        <v>372</v>
      </c>
      <c r="H1588" s="474" t="s">
        <v>309</v>
      </c>
      <c r="I1588" s="474"/>
      <c r="J1588" s="847">
        <v>1264500</v>
      </c>
      <c r="K1588" s="513">
        <v>900</v>
      </c>
      <c r="L1588" s="513">
        <v>1405</v>
      </c>
      <c r="M1588" s="152" t="s">
        <v>7808</v>
      </c>
      <c r="N1588" s="513" t="s">
        <v>1540</v>
      </c>
      <c r="O1588" s="513" t="s">
        <v>1407</v>
      </c>
      <c r="P1588" s="513" t="s">
        <v>8100</v>
      </c>
      <c r="Q1588" s="518" t="s">
        <v>8091</v>
      </c>
      <c r="R1588" s="152" t="s">
        <v>8101</v>
      </c>
      <c r="T1588" s="152" t="s">
        <v>8102</v>
      </c>
      <c r="U1588" s="152" t="s">
        <v>786</v>
      </c>
    </row>
    <row r="1589" spans="4:21">
      <c r="D1589" s="210"/>
      <c r="G1589" s="152" t="s">
        <v>372</v>
      </c>
      <c r="H1589" s="474" t="s">
        <v>309</v>
      </c>
      <c r="I1589" s="474"/>
      <c r="J1589" s="847">
        <v>702500</v>
      </c>
      <c r="K1589" s="513">
        <v>500</v>
      </c>
      <c r="L1589" s="513">
        <v>1405</v>
      </c>
      <c r="M1589" s="152" t="s">
        <v>7808</v>
      </c>
      <c r="N1589" s="513" t="s">
        <v>1540</v>
      </c>
      <c r="O1589" s="513" t="s">
        <v>1407</v>
      </c>
      <c r="P1589" s="513" t="s">
        <v>8103</v>
      </c>
      <c r="Q1589" s="518" t="s">
        <v>8091</v>
      </c>
      <c r="R1589" s="152" t="s">
        <v>8104</v>
      </c>
      <c r="T1589" s="152" t="s">
        <v>8105</v>
      </c>
      <c r="U1589" s="152" t="s">
        <v>786</v>
      </c>
    </row>
    <row r="1590" spans="4:21">
      <c r="D1590" s="210"/>
      <c r="G1590" s="152" t="s">
        <v>372</v>
      </c>
      <c r="H1590" s="474" t="s">
        <v>309</v>
      </c>
      <c r="I1590" s="474"/>
      <c r="J1590" s="847">
        <v>562000</v>
      </c>
      <c r="K1590" s="513">
        <v>400</v>
      </c>
      <c r="L1590" s="513">
        <v>1405</v>
      </c>
      <c r="M1590" s="152" t="s">
        <v>7808</v>
      </c>
      <c r="N1590" s="513" t="s">
        <v>1540</v>
      </c>
      <c r="O1590" s="513" t="s">
        <v>1407</v>
      </c>
      <c r="P1590" s="513" t="s">
        <v>8106</v>
      </c>
      <c r="Q1590" s="518" t="s">
        <v>8091</v>
      </c>
      <c r="R1590" s="152" t="s">
        <v>8107</v>
      </c>
      <c r="T1590" s="152" t="s">
        <v>8108</v>
      </c>
      <c r="U1590" s="152" t="s">
        <v>786</v>
      </c>
    </row>
    <row r="1591" spans="4:21">
      <c r="D1591" s="210"/>
      <c r="G1591" s="152" t="s">
        <v>372</v>
      </c>
      <c r="H1591" s="474" t="s">
        <v>309</v>
      </c>
      <c r="I1591" s="474"/>
      <c r="J1591" s="847">
        <v>843000</v>
      </c>
      <c r="K1591" s="513">
        <v>600</v>
      </c>
      <c r="L1591" s="513">
        <v>1405</v>
      </c>
      <c r="M1591" s="152" t="s">
        <v>7808</v>
      </c>
      <c r="N1591" s="513" t="s">
        <v>1540</v>
      </c>
      <c r="O1591" s="513" t="s">
        <v>1407</v>
      </c>
      <c r="P1591" s="513" t="s">
        <v>8109</v>
      </c>
      <c r="Q1591" s="518" t="s">
        <v>8091</v>
      </c>
      <c r="R1591" s="152" t="s">
        <v>8110</v>
      </c>
      <c r="T1591" s="152" t="s">
        <v>8111</v>
      </c>
      <c r="U1591" s="152" t="s">
        <v>786</v>
      </c>
    </row>
    <row r="1592" spans="4:21">
      <c r="D1592" s="210"/>
      <c r="G1592" s="152" t="s">
        <v>372</v>
      </c>
      <c r="H1592" s="474" t="s">
        <v>309</v>
      </c>
      <c r="I1592" s="474"/>
      <c r="J1592" s="847">
        <v>843000</v>
      </c>
      <c r="K1592" s="513">
        <v>600</v>
      </c>
      <c r="L1592" s="513">
        <v>1405</v>
      </c>
      <c r="M1592" s="152" t="s">
        <v>7808</v>
      </c>
      <c r="N1592" s="513" t="s">
        <v>1540</v>
      </c>
      <c r="O1592" s="513" t="s">
        <v>1407</v>
      </c>
      <c r="P1592" s="513" t="s">
        <v>8112</v>
      </c>
      <c r="Q1592" s="518" t="s">
        <v>8091</v>
      </c>
      <c r="R1592" s="152" t="s">
        <v>8113</v>
      </c>
      <c r="T1592" s="152" t="s">
        <v>8114</v>
      </c>
      <c r="U1592" s="152" t="s">
        <v>786</v>
      </c>
    </row>
    <row r="1593" spans="4:21">
      <c r="D1593" s="210"/>
      <c r="G1593" s="152" t="s">
        <v>372</v>
      </c>
      <c r="H1593" s="474" t="s">
        <v>309</v>
      </c>
      <c r="I1593" s="474"/>
      <c r="J1593" s="847">
        <v>1264500</v>
      </c>
      <c r="K1593" s="513">
        <v>900</v>
      </c>
      <c r="L1593" s="513">
        <v>1405</v>
      </c>
      <c r="M1593" s="152" t="s">
        <v>7116</v>
      </c>
      <c r="N1593" s="513" t="s">
        <v>1540</v>
      </c>
      <c r="O1593" s="513" t="s">
        <v>1407</v>
      </c>
      <c r="P1593" s="513" t="s">
        <v>8130</v>
      </c>
      <c r="Q1593" s="518" t="s">
        <v>8091</v>
      </c>
      <c r="R1593" s="152" t="s">
        <v>8131</v>
      </c>
      <c r="T1593" s="152" t="s">
        <v>8132</v>
      </c>
      <c r="U1593" s="152" t="s">
        <v>786</v>
      </c>
    </row>
    <row r="1594" spans="4:21">
      <c r="D1594" s="210"/>
      <c r="G1594" s="152" t="s">
        <v>372</v>
      </c>
      <c r="H1594" s="474" t="s">
        <v>309</v>
      </c>
      <c r="I1594" s="474"/>
      <c r="J1594" s="847">
        <v>2743262.5</v>
      </c>
      <c r="K1594" s="513">
        <v>1952.5</v>
      </c>
      <c r="L1594" s="513">
        <v>1405</v>
      </c>
      <c r="M1594" s="152" t="s">
        <v>7116</v>
      </c>
      <c r="N1594" s="513" t="s">
        <v>1540</v>
      </c>
      <c r="O1594" s="513" t="s">
        <v>1407</v>
      </c>
      <c r="P1594" s="513" t="s">
        <v>8133</v>
      </c>
      <c r="Q1594" s="518" t="s">
        <v>8091</v>
      </c>
      <c r="R1594" s="152" t="s">
        <v>8134</v>
      </c>
      <c r="T1594" s="152" t="s">
        <v>8135</v>
      </c>
      <c r="U1594" s="152" t="s">
        <v>786</v>
      </c>
    </row>
    <row r="1595" spans="4:21">
      <c r="D1595" s="210"/>
      <c r="G1595" s="152" t="s">
        <v>372</v>
      </c>
      <c r="H1595" s="474" t="s">
        <v>309</v>
      </c>
      <c r="I1595" s="474"/>
      <c r="J1595" s="847">
        <v>2743262.5</v>
      </c>
      <c r="K1595" s="513">
        <v>1952.5</v>
      </c>
      <c r="L1595" s="513">
        <v>1405</v>
      </c>
      <c r="M1595" s="152" t="s">
        <v>7116</v>
      </c>
      <c r="N1595" s="513" t="s">
        <v>1540</v>
      </c>
      <c r="O1595" s="513" t="s">
        <v>1407</v>
      </c>
      <c r="P1595" s="513" t="s">
        <v>8136</v>
      </c>
      <c r="Q1595" s="518" t="s">
        <v>8091</v>
      </c>
      <c r="R1595" s="152" t="s">
        <v>8137</v>
      </c>
      <c r="T1595" s="152" t="s">
        <v>8138</v>
      </c>
      <c r="U1595" s="152" t="s">
        <v>786</v>
      </c>
    </row>
    <row r="1596" spans="4:21">
      <c r="D1596" s="210"/>
      <c r="G1596" s="152" t="s">
        <v>372</v>
      </c>
      <c r="H1596" s="474" t="s">
        <v>309</v>
      </c>
      <c r="I1596" s="474"/>
      <c r="J1596" s="847">
        <v>913250</v>
      </c>
      <c r="K1596" s="513">
        <v>650</v>
      </c>
      <c r="L1596" s="513">
        <v>1405</v>
      </c>
      <c r="M1596" s="152" t="s">
        <v>7116</v>
      </c>
      <c r="N1596" s="513" t="s">
        <v>1540</v>
      </c>
      <c r="O1596" s="513" t="s">
        <v>1407</v>
      </c>
      <c r="P1596" s="513" t="s">
        <v>8139</v>
      </c>
      <c r="Q1596" s="518" t="s">
        <v>8091</v>
      </c>
      <c r="R1596" s="152" t="s">
        <v>8140</v>
      </c>
      <c r="T1596" s="152" t="s">
        <v>8141</v>
      </c>
      <c r="U1596" s="152" t="s">
        <v>786</v>
      </c>
    </row>
    <row r="1597" spans="4:21">
      <c r="D1597" s="210"/>
      <c r="G1597" s="152" t="s">
        <v>372</v>
      </c>
      <c r="H1597" s="474" t="s">
        <v>309</v>
      </c>
      <c r="I1597" s="474"/>
      <c r="J1597" s="847">
        <v>913250</v>
      </c>
      <c r="K1597" s="513">
        <v>650</v>
      </c>
      <c r="L1597" s="513">
        <v>1405</v>
      </c>
      <c r="M1597" s="152" t="s">
        <v>7116</v>
      </c>
      <c r="N1597" s="513" t="s">
        <v>1540</v>
      </c>
      <c r="O1597" s="513" t="s">
        <v>1407</v>
      </c>
      <c r="P1597" s="513" t="s">
        <v>8142</v>
      </c>
      <c r="Q1597" s="518" t="s">
        <v>8091</v>
      </c>
      <c r="R1597" s="152" t="s">
        <v>8143</v>
      </c>
      <c r="T1597" s="152" t="s">
        <v>8144</v>
      </c>
      <c r="U1597" s="152" t="s">
        <v>786</v>
      </c>
    </row>
    <row r="1598" spans="4:21">
      <c r="D1598" s="210"/>
      <c r="G1598" s="152" t="s">
        <v>372</v>
      </c>
      <c r="H1598" s="474" t="s">
        <v>309</v>
      </c>
      <c r="I1598" s="474"/>
      <c r="J1598" s="847">
        <v>8514300</v>
      </c>
      <c r="K1598" s="513">
        <v>6060</v>
      </c>
      <c r="L1598" s="513">
        <v>1405</v>
      </c>
      <c r="M1598" s="152" t="s">
        <v>7975</v>
      </c>
      <c r="N1598" s="513" t="s">
        <v>1540</v>
      </c>
      <c r="O1598" s="513" t="s">
        <v>1407</v>
      </c>
      <c r="P1598" s="513" t="s">
        <v>8145</v>
      </c>
      <c r="Q1598" s="518" t="s">
        <v>8091</v>
      </c>
      <c r="R1598" s="152" t="s">
        <v>8146</v>
      </c>
      <c r="T1598" s="152" t="s">
        <v>8147</v>
      </c>
      <c r="U1598" s="152" t="s">
        <v>786</v>
      </c>
    </row>
    <row r="1599" spans="4:21">
      <c r="D1599" s="210"/>
      <c r="G1599" s="152" t="s">
        <v>372</v>
      </c>
      <c r="H1599" s="474" t="s">
        <v>309</v>
      </c>
      <c r="I1599" s="474"/>
      <c r="J1599" s="847">
        <v>3512500</v>
      </c>
      <c r="K1599" s="513">
        <v>2500</v>
      </c>
      <c r="L1599" s="513">
        <v>1405</v>
      </c>
      <c r="M1599" s="152" t="s">
        <v>7975</v>
      </c>
      <c r="N1599" s="513" t="s">
        <v>1540</v>
      </c>
      <c r="O1599" s="513" t="s">
        <v>1407</v>
      </c>
      <c r="P1599" s="513" t="s">
        <v>8148</v>
      </c>
      <c r="Q1599" s="518" t="s">
        <v>8091</v>
      </c>
      <c r="R1599" s="152" t="s">
        <v>8149</v>
      </c>
      <c r="T1599" s="152" t="s">
        <v>8150</v>
      </c>
      <c r="U1599" s="152" t="s">
        <v>786</v>
      </c>
    </row>
    <row r="1600" spans="4:21">
      <c r="D1600" s="210"/>
      <c r="G1600" s="152" t="s">
        <v>372</v>
      </c>
      <c r="H1600" s="474" t="s">
        <v>309</v>
      </c>
      <c r="I1600" s="474"/>
      <c r="J1600" s="847">
        <v>6019722.5</v>
      </c>
      <c r="K1600" s="513">
        <v>4284.5</v>
      </c>
      <c r="L1600" s="513">
        <v>1405</v>
      </c>
      <c r="M1600" s="152" t="s">
        <v>7975</v>
      </c>
      <c r="N1600" s="513" t="s">
        <v>1540</v>
      </c>
      <c r="O1600" s="513" t="s">
        <v>1407</v>
      </c>
      <c r="P1600" s="513" t="s">
        <v>8163</v>
      </c>
      <c r="Q1600" s="518" t="s">
        <v>8091</v>
      </c>
      <c r="R1600" s="152" t="s">
        <v>8164</v>
      </c>
      <c r="T1600" s="152" t="s">
        <v>8165</v>
      </c>
      <c r="U1600" s="152" t="s">
        <v>786</v>
      </c>
    </row>
    <row r="1601" spans="4:21">
      <c r="D1601" s="210"/>
      <c r="G1601" s="152" t="s">
        <v>372</v>
      </c>
      <c r="H1601" s="474" t="s">
        <v>309</v>
      </c>
      <c r="I1601" s="474"/>
      <c r="J1601" s="847">
        <v>5760500</v>
      </c>
      <c r="K1601" s="513">
        <v>4100</v>
      </c>
      <c r="L1601" s="513">
        <v>1405</v>
      </c>
      <c r="M1601" s="152" t="s">
        <v>7975</v>
      </c>
      <c r="N1601" s="513" t="s">
        <v>1540</v>
      </c>
      <c r="O1601" s="513" t="s">
        <v>1407</v>
      </c>
      <c r="P1601" s="513" t="s">
        <v>8166</v>
      </c>
      <c r="Q1601" s="518" t="s">
        <v>8091</v>
      </c>
      <c r="R1601" s="152" t="s">
        <v>8167</v>
      </c>
      <c r="T1601" s="152" t="s">
        <v>8168</v>
      </c>
      <c r="U1601" s="152" t="s">
        <v>786</v>
      </c>
    </row>
    <row r="1602" spans="4:21">
      <c r="D1602" s="210"/>
      <c r="G1602" s="152" t="s">
        <v>372</v>
      </c>
      <c r="H1602" s="474" t="s">
        <v>309</v>
      </c>
      <c r="I1602" s="474"/>
      <c r="J1602" s="847">
        <v>2414000</v>
      </c>
      <c r="K1602" s="513">
        <v>1700</v>
      </c>
      <c r="L1602" s="513">
        <v>1420</v>
      </c>
      <c r="M1602" s="152" t="s">
        <v>7143</v>
      </c>
      <c r="N1602" s="513" t="s">
        <v>1540</v>
      </c>
      <c r="O1602" s="513" t="s">
        <v>1407</v>
      </c>
      <c r="P1602" s="513" t="s">
        <v>8184</v>
      </c>
      <c r="Q1602" s="518" t="s">
        <v>8091</v>
      </c>
      <c r="R1602" s="152" t="s">
        <v>8185</v>
      </c>
      <c r="T1602" s="152" t="s">
        <v>8186</v>
      </c>
      <c r="U1602" s="152" t="s">
        <v>786</v>
      </c>
    </row>
    <row r="1603" spans="4:21">
      <c r="D1603" s="210"/>
      <c r="G1603" s="152" t="s">
        <v>372</v>
      </c>
      <c r="H1603" s="474" t="s">
        <v>309</v>
      </c>
      <c r="I1603" s="474"/>
      <c r="J1603" s="847">
        <v>1704000</v>
      </c>
      <c r="K1603" s="513">
        <v>1200</v>
      </c>
      <c r="L1603" s="513">
        <v>1420</v>
      </c>
      <c r="M1603" s="152" t="s">
        <v>7143</v>
      </c>
      <c r="N1603" s="513" t="s">
        <v>1540</v>
      </c>
      <c r="O1603" s="513" t="s">
        <v>1407</v>
      </c>
      <c r="P1603" s="513" t="s">
        <v>8187</v>
      </c>
      <c r="Q1603" s="518" t="s">
        <v>8091</v>
      </c>
      <c r="R1603" s="152" t="s">
        <v>8188</v>
      </c>
      <c r="T1603" s="152" t="s">
        <v>8189</v>
      </c>
      <c r="U1603" s="152" t="s">
        <v>786</v>
      </c>
    </row>
    <row r="1604" spans="4:21">
      <c r="D1604" s="210"/>
      <c r="G1604" s="152" t="s">
        <v>372</v>
      </c>
      <c r="H1604" s="474" t="s">
        <v>309</v>
      </c>
      <c r="I1604" s="474"/>
      <c r="J1604" s="847">
        <v>1704000</v>
      </c>
      <c r="K1604" s="513">
        <v>1200</v>
      </c>
      <c r="L1604" s="513">
        <v>1420</v>
      </c>
      <c r="M1604" s="152" t="s">
        <v>7143</v>
      </c>
      <c r="N1604" s="513" t="s">
        <v>1540</v>
      </c>
      <c r="O1604" s="513" t="s">
        <v>1407</v>
      </c>
      <c r="P1604" s="513" t="s">
        <v>8190</v>
      </c>
      <c r="Q1604" s="518" t="s">
        <v>8091</v>
      </c>
      <c r="R1604" s="152" t="s">
        <v>8191</v>
      </c>
      <c r="T1604" s="152" t="s">
        <v>8192</v>
      </c>
      <c r="U1604" s="152" t="s">
        <v>786</v>
      </c>
    </row>
    <row r="1605" spans="4:21">
      <c r="D1605" s="210"/>
      <c r="G1605" s="152" t="s">
        <v>372</v>
      </c>
      <c r="H1605" s="474" t="s">
        <v>309</v>
      </c>
      <c r="I1605" s="474"/>
      <c r="J1605" s="847">
        <v>1704000</v>
      </c>
      <c r="K1605" s="513">
        <v>1200</v>
      </c>
      <c r="L1605" s="513">
        <v>1420</v>
      </c>
      <c r="M1605" s="152" t="s">
        <v>7143</v>
      </c>
      <c r="N1605" s="513" t="s">
        <v>1540</v>
      </c>
      <c r="O1605" s="513" t="s">
        <v>1407</v>
      </c>
      <c r="P1605" s="513" t="s">
        <v>8193</v>
      </c>
      <c r="Q1605" s="518" t="s">
        <v>8091</v>
      </c>
      <c r="R1605" s="152" t="s">
        <v>8194</v>
      </c>
      <c r="T1605" s="152" t="s">
        <v>8195</v>
      </c>
      <c r="U1605" s="152" t="s">
        <v>786</v>
      </c>
    </row>
    <row r="1606" spans="4:21">
      <c r="D1606" s="210"/>
      <c r="G1606" s="152" t="s">
        <v>671</v>
      </c>
      <c r="H1606" s="474" t="s">
        <v>672</v>
      </c>
      <c r="I1606" s="474"/>
      <c r="J1606" s="847">
        <v>1041273.6</v>
      </c>
      <c r="K1606" s="513">
        <v>741.12</v>
      </c>
      <c r="L1606" s="513">
        <v>1405</v>
      </c>
      <c r="M1606" s="152" t="s">
        <v>7116</v>
      </c>
      <c r="N1606" s="513" t="s">
        <v>780</v>
      </c>
      <c r="O1606" s="513" t="s">
        <v>781</v>
      </c>
      <c r="P1606" s="513" t="s">
        <v>7129</v>
      </c>
      <c r="Q1606" s="518" t="s">
        <v>7101</v>
      </c>
      <c r="R1606" s="152" t="s">
        <v>7130</v>
      </c>
      <c r="S1606" s="152" t="s">
        <v>1107</v>
      </c>
      <c r="T1606" s="152" t="s">
        <v>7131</v>
      </c>
      <c r="U1606" s="152" t="s">
        <v>786</v>
      </c>
    </row>
    <row r="1607" spans="4:21">
      <c r="D1607" s="210"/>
      <c r="G1607" s="152" t="s">
        <v>671</v>
      </c>
      <c r="H1607" s="474" t="s">
        <v>672</v>
      </c>
      <c r="I1607" s="474"/>
      <c r="J1607" s="847">
        <v>5072.05</v>
      </c>
      <c r="K1607" s="513">
        <v>3.61</v>
      </c>
      <c r="L1607" s="513">
        <v>1405</v>
      </c>
      <c r="M1607" s="152" t="s">
        <v>7116</v>
      </c>
      <c r="N1607" s="513" t="s">
        <v>780</v>
      </c>
      <c r="O1607" s="513" t="s">
        <v>781</v>
      </c>
      <c r="P1607" s="513" t="s">
        <v>7129</v>
      </c>
      <c r="Q1607" s="518" t="s">
        <v>7101</v>
      </c>
      <c r="R1607" s="152" t="s">
        <v>7130</v>
      </c>
      <c r="S1607" s="152" t="s">
        <v>7133</v>
      </c>
      <c r="T1607" s="152" t="s">
        <v>7131</v>
      </c>
      <c r="U1607" s="152" t="s">
        <v>786</v>
      </c>
    </row>
    <row r="1608" spans="4:21">
      <c r="D1608" s="210"/>
      <c r="G1608" s="152" t="s">
        <v>671</v>
      </c>
      <c r="H1608" s="474" t="s">
        <v>672</v>
      </c>
      <c r="I1608" s="474"/>
      <c r="J1608" s="847">
        <v>1288947</v>
      </c>
      <c r="K1608" s="513">
        <v>917.4</v>
      </c>
      <c r="L1608" s="513">
        <v>1405</v>
      </c>
      <c r="M1608" s="152" t="s">
        <v>7116</v>
      </c>
      <c r="N1608" s="513" t="s">
        <v>780</v>
      </c>
      <c r="O1608" s="513" t="s">
        <v>781</v>
      </c>
      <c r="P1608" s="513" t="s">
        <v>7129</v>
      </c>
      <c r="Q1608" s="518" t="s">
        <v>7101</v>
      </c>
      <c r="R1608" s="152" t="s">
        <v>7130</v>
      </c>
      <c r="S1608" s="152" t="s">
        <v>1107</v>
      </c>
      <c r="T1608" s="152" t="s">
        <v>7131</v>
      </c>
      <c r="U1608" s="152" t="s">
        <v>786</v>
      </c>
    </row>
    <row r="1609" spans="4:21">
      <c r="D1609" s="210"/>
      <c r="G1609" s="152" t="s">
        <v>671</v>
      </c>
      <c r="H1609" s="474" t="s">
        <v>672</v>
      </c>
      <c r="I1609" s="474"/>
      <c r="J1609" s="847">
        <v>14050000</v>
      </c>
      <c r="K1609" s="513">
        <v>10000</v>
      </c>
      <c r="L1609" s="513">
        <v>1405</v>
      </c>
      <c r="M1609" s="152" t="s">
        <v>7116</v>
      </c>
      <c r="N1609" s="513" t="s">
        <v>780</v>
      </c>
      <c r="O1609" s="513" t="s">
        <v>781</v>
      </c>
      <c r="P1609" s="513" t="s">
        <v>7129</v>
      </c>
      <c r="Q1609" s="518" t="s">
        <v>7101</v>
      </c>
      <c r="R1609" s="152" t="s">
        <v>7130</v>
      </c>
      <c r="S1609" s="152" t="s">
        <v>1107</v>
      </c>
      <c r="T1609" s="152" t="s">
        <v>7131</v>
      </c>
      <c r="U1609" s="152" t="s">
        <v>786</v>
      </c>
    </row>
    <row r="1610" spans="4:21">
      <c r="D1610" s="210"/>
      <c r="G1610" s="152" t="s">
        <v>671</v>
      </c>
      <c r="H1610" s="474" t="s">
        <v>672</v>
      </c>
      <c r="I1610" s="474"/>
      <c r="J1610" s="847">
        <v>5620000</v>
      </c>
      <c r="K1610" s="513">
        <v>4000</v>
      </c>
      <c r="L1610" s="513">
        <v>1405</v>
      </c>
      <c r="M1610" s="152" t="s">
        <v>7116</v>
      </c>
      <c r="N1610" s="513" t="s">
        <v>780</v>
      </c>
      <c r="O1610" s="513" t="s">
        <v>781</v>
      </c>
      <c r="P1610" s="513" t="s">
        <v>7129</v>
      </c>
      <c r="Q1610" s="518" t="s">
        <v>7101</v>
      </c>
      <c r="R1610" s="152" t="s">
        <v>7130</v>
      </c>
      <c r="S1610" s="152" t="s">
        <v>1107</v>
      </c>
      <c r="T1610" s="152" t="s">
        <v>7131</v>
      </c>
      <c r="U1610" s="152" t="s">
        <v>786</v>
      </c>
    </row>
    <row r="1611" spans="4:21">
      <c r="D1611" s="210"/>
      <c r="G1611" s="152" t="s">
        <v>671</v>
      </c>
      <c r="H1611" s="474" t="s">
        <v>672</v>
      </c>
      <c r="I1611" s="474"/>
      <c r="J1611" s="847">
        <v>14050000</v>
      </c>
      <c r="K1611" s="513">
        <v>10000</v>
      </c>
      <c r="L1611" s="513">
        <v>1405</v>
      </c>
      <c r="M1611" s="152" t="s">
        <v>7116</v>
      </c>
      <c r="N1611" s="513" t="s">
        <v>780</v>
      </c>
      <c r="O1611" s="513" t="s">
        <v>781</v>
      </c>
      <c r="P1611" s="513" t="s">
        <v>7129</v>
      </c>
      <c r="Q1611" s="518" t="s">
        <v>7101</v>
      </c>
      <c r="R1611" s="152" t="s">
        <v>7130</v>
      </c>
      <c r="S1611" s="152" t="s">
        <v>1107</v>
      </c>
      <c r="T1611" s="152" t="s">
        <v>7131</v>
      </c>
      <c r="U1611" s="152" t="s">
        <v>786</v>
      </c>
    </row>
    <row r="1612" spans="4:21">
      <c r="D1612" s="210"/>
      <c r="G1612" s="152" t="s">
        <v>671</v>
      </c>
      <c r="H1612" s="474" t="s">
        <v>672</v>
      </c>
      <c r="I1612" s="474"/>
      <c r="J1612" s="847">
        <v>536260.4</v>
      </c>
      <c r="K1612" s="513">
        <v>381.68</v>
      </c>
      <c r="L1612" s="513">
        <v>1405</v>
      </c>
      <c r="M1612" s="152" t="s">
        <v>7116</v>
      </c>
      <c r="N1612" s="513" t="s">
        <v>780</v>
      </c>
      <c r="O1612" s="513" t="s">
        <v>781</v>
      </c>
      <c r="P1612" s="513" t="s">
        <v>7129</v>
      </c>
      <c r="Q1612" s="518" t="s">
        <v>7101</v>
      </c>
      <c r="R1612" s="152" t="s">
        <v>7130</v>
      </c>
      <c r="S1612" s="152" t="s">
        <v>7132</v>
      </c>
      <c r="T1612" s="152" t="s">
        <v>7131</v>
      </c>
      <c r="U1612" s="152" t="s">
        <v>786</v>
      </c>
    </row>
    <row r="1613" spans="4:21">
      <c r="D1613" s="210"/>
      <c r="G1613" s="152" t="s">
        <v>671</v>
      </c>
      <c r="H1613" s="474" t="s">
        <v>672</v>
      </c>
      <c r="I1613" s="474"/>
      <c r="J1613" s="847">
        <v>901490.15</v>
      </c>
      <c r="K1613" s="513">
        <v>641.63</v>
      </c>
      <c r="L1613" s="513">
        <v>1405</v>
      </c>
      <c r="M1613" s="152" t="s">
        <v>7116</v>
      </c>
      <c r="N1613" s="513" t="s">
        <v>780</v>
      </c>
      <c r="O1613" s="513" t="s">
        <v>781</v>
      </c>
      <c r="P1613" s="513" t="s">
        <v>7129</v>
      </c>
      <c r="Q1613" s="518" t="s">
        <v>7101</v>
      </c>
      <c r="R1613" s="152" t="s">
        <v>7130</v>
      </c>
      <c r="S1613" s="152" t="s">
        <v>1107</v>
      </c>
      <c r="T1613" s="152" t="s">
        <v>7131</v>
      </c>
      <c r="U1613" s="152" t="s">
        <v>786</v>
      </c>
    </row>
    <row r="1614" spans="4:21">
      <c r="D1614" s="210"/>
      <c r="G1614" s="152" t="s">
        <v>671</v>
      </c>
      <c r="H1614" s="474" t="s">
        <v>672</v>
      </c>
      <c r="I1614" s="474"/>
      <c r="J1614" s="847">
        <v>411988.15</v>
      </c>
      <c r="K1614" s="513">
        <v>293.23</v>
      </c>
      <c r="L1614" s="513">
        <v>1405</v>
      </c>
      <c r="M1614" s="152" t="s">
        <v>7116</v>
      </c>
      <c r="N1614" s="513" t="s">
        <v>780</v>
      </c>
      <c r="O1614" s="513" t="s">
        <v>781</v>
      </c>
      <c r="P1614" s="513" t="s">
        <v>7129</v>
      </c>
      <c r="Q1614" s="518" t="s">
        <v>7101</v>
      </c>
      <c r="R1614" s="152" t="s">
        <v>7130</v>
      </c>
      <c r="S1614" s="152" t="s">
        <v>7137</v>
      </c>
      <c r="T1614" s="152" t="s">
        <v>7131</v>
      </c>
      <c r="U1614" s="152" t="s">
        <v>786</v>
      </c>
    </row>
    <row r="1615" spans="4:21">
      <c r="D1615" s="210"/>
      <c r="G1615" s="152" t="s">
        <v>671</v>
      </c>
      <c r="H1615" s="474" t="s">
        <v>672</v>
      </c>
      <c r="I1615" s="474"/>
      <c r="J1615" s="847">
        <v>1053.75</v>
      </c>
      <c r="K1615" s="513">
        <v>0.75</v>
      </c>
      <c r="L1615" s="513">
        <v>1405</v>
      </c>
      <c r="M1615" s="152" t="s">
        <v>7116</v>
      </c>
      <c r="N1615" s="513" t="s">
        <v>780</v>
      </c>
      <c r="O1615" s="513" t="s">
        <v>781</v>
      </c>
      <c r="P1615" s="513" t="s">
        <v>7129</v>
      </c>
      <c r="Q1615" s="518" t="s">
        <v>7101</v>
      </c>
      <c r="R1615" s="152" t="s">
        <v>7130</v>
      </c>
      <c r="S1615" s="152" t="s">
        <v>7139</v>
      </c>
      <c r="T1615" s="152" t="s">
        <v>7131</v>
      </c>
      <c r="U1615" s="152" t="s">
        <v>786</v>
      </c>
    </row>
    <row r="1616" spans="4:21">
      <c r="D1616" s="210"/>
      <c r="G1616" s="152" t="s">
        <v>671</v>
      </c>
      <c r="H1616" s="474" t="s">
        <v>672</v>
      </c>
      <c r="I1616" s="474"/>
      <c r="J1616" s="847">
        <v>91760.55</v>
      </c>
      <c r="K1616" s="513">
        <v>65.31</v>
      </c>
      <c r="L1616" s="513">
        <v>1405</v>
      </c>
      <c r="M1616" s="152" t="s">
        <v>7116</v>
      </c>
      <c r="N1616" s="513" t="s">
        <v>780</v>
      </c>
      <c r="O1616" s="513" t="s">
        <v>781</v>
      </c>
      <c r="P1616" s="513" t="s">
        <v>7129</v>
      </c>
      <c r="Q1616" s="518" t="s">
        <v>7101</v>
      </c>
      <c r="R1616" s="152" t="s">
        <v>7130</v>
      </c>
      <c r="S1616" s="152" t="s">
        <v>7136</v>
      </c>
      <c r="T1616" s="152" t="s">
        <v>7131</v>
      </c>
      <c r="U1616" s="152" t="s">
        <v>786</v>
      </c>
    </row>
    <row r="1617" spans="4:21">
      <c r="D1617" s="210"/>
      <c r="G1617" s="152" t="s">
        <v>671</v>
      </c>
      <c r="H1617" s="474" t="s">
        <v>672</v>
      </c>
      <c r="I1617" s="474"/>
      <c r="J1617" s="847">
        <v>1292.5999999999999</v>
      </c>
      <c r="K1617" s="513">
        <v>0.92</v>
      </c>
      <c r="L1617" s="513">
        <v>1405</v>
      </c>
      <c r="M1617" s="152" t="s">
        <v>7116</v>
      </c>
      <c r="N1617" s="513" t="s">
        <v>780</v>
      </c>
      <c r="O1617" s="513" t="s">
        <v>781</v>
      </c>
      <c r="P1617" s="513" t="s">
        <v>7129</v>
      </c>
      <c r="Q1617" s="518" t="s">
        <v>7101</v>
      </c>
      <c r="R1617" s="152" t="s">
        <v>7130</v>
      </c>
      <c r="S1617" s="152" t="s">
        <v>7138</v>
      </c>
      <c r="T1617" s="152" t="s">
        <v>7131</v>
      </c>
      <c r="U1617" s="152" t="s">
        <v>786</v>
      </c>
    </row>
    <row r="1618" spans="4:21">
      <c r="D1618" s="210"/>
      <c r="G1618" s="152" t="s">
        <v>671</v>
      </c>
      <c r="H1618" s="474" t="s">
        <v>672</v>
      </c>
      <c r="I1618" s="474"/>
      <c r="J1618" s="847">
        <v>14050000</v>
      </c>
      <c r="K1618" s="513">
        <v>10000</v>
      </c>
      <c r="L1618" s="513">
        <v>1405</v>
      </c>
      <c r="M1618" s="152" t="s">
        <v>7116</v>
      </c>
      <c r="N1618" s="513" t="s">
        <v>780</v>
      </c>
      <c r="O1618" s="513" t="s">
        <v>781</v>
      </c>
      <c r="P1618" s="513" t="s">
        <v>7129</v>
      </c>
      <c r="Q1618" s="518" t="s">
        <v>7101</v>
      </c>
      <c r="R1618" s="152" t="s">
        <v>7130</v>
      </c>
      <c r="S1618" s="152" t="s">
        <v>1107</v>
      </c>
      <c r="T1618" s="152" t="s">
        <v>7131</v>
      </c>
      <c r="U1618" s="152" t="s">
        <v>786</v>
      </c>
    </row>
    <row r="1619" spans="4:21">
      <c r="D1619" s="210"/>
      <c r="G1619" s="152" t="s">
        <v>671</v>
      </c>
      <c r="H1619" s="474" t="s">
        <v>672</v>
      </c>
      <c r="I1619" s="474"/>
      <c r="J1619" s="847">
        <v>3723.25</v>
      </c>
      <c r="K1619" s="513">
        <v>2.65</v>
      </c>
      <c r="L1619" s="513">
        <v>1405</v>
      </c>
      <c r="M1619" s="152" t="s">
        <v>7116</v>
      </c>
      <c r="N1619" s="513" t="s">
        <v>780</v>
      </c>
      <c r="O1619" s="513" t="s">
        <v>781</v>
      </c>
      <c r="P1619" s="513" t="s">
        <v>7129</v>
      </c>
      <c r="Q1619" s="518" t="s">
        <v>7101</v>
      </c>
      <c r="R1619" s="152" t="s">
        <v>7130</v>
      </c>
      <c r="S1619" s="152" t="s">
        <v>7135</v>
      </c>
      <c r="T1619" s="152" t="s">
        <v>7131</v>
      </c>
      <c r="U1619" s="152" t="s">
        <v>786</v>
      </c>
    </row>
    <row r="1620" spans="4:21">
      <c r="D1620" s="210"/>
      <c r="G1620" s="152" t="s">
        <v>671</v>
      </c>
      <c r="H1620" s="474" t="s">
        <v>672</v>
      </c>
      <c r="I1620" s="474"/>
      <c r="J1620" s="847">
        <v>2156927.9</v>
      </c>
      <c r="K1620" s="513">
        <v>1535.18</v>
      </c>
      <c r="L1620" s="513">
        <v>1405</v>
      </c>
      <c r="M1620" s="152" t="s">
        <v>7116</v>
      </c>
      <c r="N1620" s="513" t="s">
        <v>780</v>
      </c>
      <c r="O1620" s="513" t="s">
        <v>781</v>
      </c>
      <c r="P1620" s="513" t="s">
        <v>7129</v>
      </c>
      <c r="Q1620" s="518" t="s">
        <v>7101</v>
      </c>
      <c r="R1620" s="152" t="s">
        <v>7130</v>
      </c>
      <c r="S1620" s="152" t="s">
        <v>7134</v>
      </c>
      <c r="T1620" s="152" t="s">
        <v>7131</v>
      </c>
      <c r="U1620" s="152" t="s">
        <v>786</v>
      </c>
    </row>
    <row r="1621" spans="4:21">
      <c r="D1621" s="210"/>
      <c r="G1621" s="152" t="s">
        <v>671</v>
      </c>
      <c r="H1621" s="474" t="s">
        <v>672</v>
      </c>
      <c r="I1621" s="474"/>
      <c r="J1621" s="847">
        <v>227.2</v>
      </c>
      <c r="K1621" s="513">
        <v>0.16</v>
      </c>
      <c r="L1621" s="513">
        <v>1420</v>
      </c>
      <c r="M1621" s="152" t="s">
        <v>7143</v>
      </c>
      <c r="N1621" s="513" t="s">
        <v>780</v>
      </c>
      <c r="O1621" s="513" t="s">
        <v>781</v>
      </c>
      <c r="P1621" s="513" t="s">
        <v>7154</v>
      </c>
      <c r="Q1621" s="518" t="s">
        <v>7101</v>
      </c>
      <c r="R1621" s="152" t="s">
        <v>7155</v>
      </c>
      <c r="S1621" s="152" t="s">
        <v>6352</v>
      </c>
      <c r="T1621" s="152" t="s">
        <v>7156</v>
      </c>
      <c r="U1621" s="152" t="s">
        <v>786</v>
      </c>
    </row>
    <row r="1622" spans="4:21">
      <c r="D1622" s="210"/>
      <c r="G1622" s="152" t="s">
        <v>671</v>
      </c>
      <c r="H1622" s="474" t="s">
        <v>672</v>
      </c>
      <c r="I1622" s="474"/>
      <c r="J1622" s="847">
        <v>3852204.4</v>
      </c>
      <c r="K1622" s="513">
        <v>2712.82</v>
      </c>
      <c r="L1622" s="513">
        <v>1420</v>
      </c>
      <c r="M1622" s="152" t="s">
        <v>7143</v>
      </c>
      <c r="N1622" s="513" t="s">
        <v>780</v>
      </c>
      <c r="O1622" s="513" t="s">
        <v>781</v>
      </c>
      <c r="P1622" s="513" t="s">
        <v>7154</v>
      </c>
      <c r="Q1622" s="518" t="s">
        <v>7101</v>
      </c>
      <c r="R1622" s="152" t="s">
        <v>7155</v>
      </c>
      <c r="S1622" s="152" t="s">
        <v>7157</v>
      </c>
      <c r="T1622" s="152" t="s">
        <v>7156</v>
      </c>
      <c r="U1622" s="152" t="s">
        <v>786</v>
      </c>
    </row>
    <row r="1623" spans="4:21">
      <c r="D1623" s="210"/>
      <c r="G1623" s="152" t="s">
        <v>671</v>
      </c>
      <c r="H1623" s="474" t="s">
        <v>672</v>
      </c>
      <c r="I1623" s="474"/>
      <c r="J1623" s="847">
        <v>653.20000000000005</v>
      </c>
      <c r="K1623" s="513">
        <v>0.46</v>
      </c>
      <c r="L1623" s="513">
        <v>1420</v>
      </c>
      <c r="M1623" s="152" t="s">
        <v>7143</v>
      </c>
      <c r="N1623" s="513" t="s">
        <v>780</v>
      </c>
      <c r="O1623" s="513" t="s">
        <v>781</v>
      </c>
      <c r="P1623" s="513" t="s">
        <v>7154</v>
      </c>
      <c r="Q1623" s="518" t="s">
        <v>7101</v>
      </c>
      <c r="R1623" s="152" t="s">
        <v>7155</v>
      </c>
      <c r="S1623" s="152" t="s">
        <v>7160</v>
      </c>
      <c r="T1623" s="152" t="s">
        <v>7156</v>
      </c>
      <c r="U1623" s="152" t="s">
        <v>786</v>
      </c>
    </row>
    <row r="1624" spans="4:21">
      <c r="D1624" s="210"/>
      <c r="G1624" s="152" t="s">
        <v>671</v>
      </c>
      <c r="H1624" s="474" t="s">
        <v>672</v>
      </c>
      <c r="I1624" s="474"/>
      <c r="J1624" s="847">
        <v>18034</v>
      </c>
      <c r="K1624" s="513">
        <v>12.7</v>
      </c>
      <c r="L1624" s="513">
        <v>1420</v>
      </c>
      <c r="M1624" s="152" t="s">
        <v>7143</v>
      </c>
      <c r="N1624" s="513" t="s">
        <v>780</v>
      </c>
      <c r="O1624" s="513" t="s">
        <v>781</v>
      </c>
      <c r="P1624" s="513" t="s">
        <v>7154</v>
      </c>
      <c r="Q1624" s="518" t="s">
        <v>7101</v>
      </c>
      <c r="R1624" s="152" t="s">
        <v>7155</v>
      </c>
      <c r="S1624" s="152" t="s">
        <v>7159</v>
      </c>
      <c r="T1624" s="152" t="s">
        <v>7156</v>
      </c>
      <c r="U1624" s="152" t="s">
        <v>786</v>
      </c>
    </row>
    <row r="1625" spans="4:21">
      <c r="D1625" s="210"/>
      <c r="G1625" s="152" t="s">
        <v>671</v>
      </c>
      <c r="H1625" s="474" t="s">
        <v>672</v>
      </c>
      <c r="I1625" s="474"/>
      <c r="J1625" s="847">
        <v>2840000</v>
      </c>
      <c r="K1625" s="513">
        <v>2000</v>
      </c>
      <c r="L1625" s="513">
        <v>1420</v>
      </c>
      <c r="M1625" s="152" t="s">
        <v>7143</v>
      </c>
      <c r="N1625" s="513" t="s">
        <v>780</v>
      </c>
      <c r="O1625" s="513" t="s">
        <v>781</v>
      </c>
      <c r="P1625" s="513" t="s">
        <v>7154</v>
      </c>
      <c r="Q1625" s="518" t="s">
        <v>7101</v>
      </c>
      <c r="R1625" s="152" t="s">
        <v>7155</v>
      </c>
      <c r="S1625" s="152" t="s">
        <v>1107</v>
      </c>
      <c r="T1625" s="152" t="s">
        <v>7156</v>
      </c>
      <c r="U1625" s="152" t="s">
        <v>786</v>
      </c>
    </row>
    <row r="1626" spans="4:21">
      <c r="D1626" s="210"/>
      <c r="G1626" s="152" t="s">
        <v>671</v>
      </c>
      <c r="H1626" s="474" t="s">
        <v>672</v>
      </c>
      <c r="I1626" s="474"/>
      <c r="J1626" s="847">
        <v>1405.8</v>
      </c>
      <c r="K1626" s="513">
        <v>0.99</v>
      </c>
      <c r="L1626" s="513">
        <v>1420</v>
      </c>
      <c r="M1626" s="152" t="s">
        <v>7143</v>
      </c>
      <c r="N1626" s="513" t="s">
        <v>780</v>
      </c>
      <c r="O1626" s="513" t="s">
        <v>781</v>
      </c>
      <c r="P1626" s="513" t="s">
        <v>7154</v>
      </c>
      <c r="Q1626" s="518" t="s">
        <v>7101</v>
      </c>
      <c r="R1626" s="152" t="s">
        <v>7155</v>
      </c>
      <c r="S1626" s="152" t="s">
        <v>7158</v>
      </c>
      <c r="T1626" s="152" t="s">
        <v>7156</v>
      </c>
      <c r="U1626" s="152" t="s">
        <v>786</v>
      </c>
    </row>
    <row r="1627" spans="4:21">
      <c r="D1627" s="210"/>
      <c r="G1627" s="152" t="s">
        <v>671</v>
      </c>
      <c r="H1627" s="474" t="s">
        <v>672</v>
      </c>
      <c r="I1627" s="474"/>
      <c r="J1627" s="847">
        <v>75160.600000000006</v>
      </c>
      <c r="K1627" s="513">
        <v>52.93</v>
      </c>
      <c r="L1627" s="513">
        <v>1420</v>
      </c>
      <c r="M1627" s="152" t="s">
        <v>7143</v>
      </c>
      <c r="N1627" s="513" t="s">
        <v>780</v>
      </c>
      <c r="O1627" s="513" t="s">
        <v>781</v>
      </c>
      <c r="P1627" s="513" t="s">
        <v>7154</v>
      </c>
      <c r="Q1627" s="518" t="s">
        <v>7101</v>
      </c>
      <c r="R1627" s="152" t="s">
        <v>7155</v>
      </c>
      <c r="S1627" s="152" t="s">
        <v>7161</v>
      </c>
      <c r="T1627" s="152" t="s">
        <v>7156</v>
      </c>
      <c r="U1627" s="152" t="s">
        <v>786</v>
      </c>
    </row>
    <row r="1628" spans="4:21">
      <c r="D1628" s="210"/>
      <c r="G1628" s="152" t="s">
        <v>671</v>
      </c>
      <c r="H1628" s="474" t="s">
        <v>672</v>
      </c>
      <c r="I1628" s="474"/>
      <c r="J1628" s="847">
        <v>-2739.75</v>
      </c>
      <c r="K1628" s="513">
        <v>-1.95</v>
      </c>
      <c r="L1628" s="513">
        <v>1405</v>
      </c>
      <c r="M1628" s="152" t="s">
        <v>7116</v>
      </c>
      <c r="N1628" s="513" t="s">
        <v>780</v>
      </c>
      <c r="O1628" s="513" t="s">
        <v>781</v>
      </c>
      <c r="P1628" s="513" t="s">
        <v>7517</v>
      </c>
      <c r="Q1628" s="518" t="s">
        <v>7101</v>
      </c>
      <c r="R1628" s="152" t="s">
        <v>7518</v>
      </c>
      <c r="S1628" s="152" t="s">
        <v>953</v>
      </c>
      <c r="T1628" s="152" t="s">
        <v>7520</v>
      </c>
      <c r="U1628" s="152" t="s">
        <v>786</v>
      </c>
    </row>
    <row r="1629" spans="4:21">
      <c r="D1629" s="210"/>
      <c r="G1629" s="152" t="s">
        <v>671</v>
      </c>
      <c r="H1629" s="474" t="s">
        <v>672</v>
      </c>
      <c r="I1629" s="474"/>
      <c r="J1629" s="847">
        <v>-34563</v>
      </c>
      <c r="K1629" s="513">
        <v>-24.6</v>
      </c>
      <c r="L1629" s="513">
        <v>1405</v>
      </c>
      <c r="M1629" s="152" t="s">
        <v>7116</v>
      </c>
      <c r="N1629" s="513" t="s">
        <v>780</v>
      </c>
      <c r="O1629" s="513" t="s">
        <v>781</v>
      </c>
      <c r="P1629" s="513" t="s">
        <v>7517</v>
      </c>
      <c r="Q1629" s="518" t="s">
        <v>7101</v>
      </c>
      <c r="R1629" s="152" t="s">
        <v>7518</v>
      </c>
      <c r="S1629" s="152" t="s">
        <v>7522</v>
      </c>
      <c r="T1629" s="152" t="s">
        <v>7520</v>
      </c>
      <c r="U1629" s="152" t="s">
        <v>786</v>
      </c>
    </row>
    <row r="1630" spans="4:21">
      <c r="D1630" s="210"/>
      <c r="G1630" s="152" t="s">
        <v>671</v>
      </c>
      <c r="H1630" s="474" t="s">
        <v>672</v>
      </c>
      <c r="I1630" s="474"/>
      <c r="J1630" s="847">
        <v>-856923.55</v>
      </c>
      <c r="K1630" s="513">
        <v>-609.91</v>
      </c>
      <c r="L1630" s="513">
        <v>1405</v>
      </c>
      <c r="M1630" s="152" t="s">
        <v>7116</v>
      </c>
      <c r="N1630" s="513" t="s">
        <v>780</v>
      </c>
      <c r="O1630" s="513" t="s">
        <v>781</v>
      </c>
      <c r="P1630" s="513" t="s">
        <v>7517</v>
      </c>
      <c r="Q1630" s="518" t="s">
        <v>7101</v>
      </c>
      <c r="R1630" s="152" t="s">
        <v>7518</v>
      </c>
      <c r="S1630" s="152" t="s">
        <v>7523</v>
      </c>
      <c r="T1630" s="152" t="s">
        <v>7520</v>
      </c>
      <c r="U1630" s="152" t="s">
        <v>786</v>
      </c>
    </row>
    <row r="1631" spans="4:21">
      <c r="D1631" s="210"/>
      <c r="G1631" s="152" t="s">
        <v>671</v>
      </c>
      <c r="H1631" s="474" t="s">
        <v>672</v>
      </c>
      <c r="I1631" s="474"/>
      <c r="J1631" s="847">
        <v>-2711.65</v>
      </c>
      <c r="K1631" s="513">
        <v>-1.93</v>
      </c>
      <c r="L1631" s="513">
        <v>1405</v>
      </c>
      <c r="M1631" s="152" t="s">
        <v>7116</v>
      </c>
      <c r="N1631" s="513" t="s">
        <v>780</v>
      </c>
      <c r="O1631" s="513" t="s">
        <v>781</v>
      </c>
      <c r="P1631" s="513" t="s">
        <v>7517</v>
      </c>
      <c r="Q1631" s="518" t="s">
        <v>7101</v>
      </c>
      <c r="R1631" s="152" t="s">
        <v>7518</v>
      </c>
      <c r="S1631" s="152" t="s">
        <v>953</v>
      </c>
      <c r="T1631" s="152" t="s">
        <v>7520</v>
      </c>
      <c r="U1631" s="152" t="s">
        <v>786</v>
      </c>
    </row>
    <row r="1632" spans="4:21">
      <c r="D1632" s="210"/>
      <c r="G1632" s="152" t="s">
        <v>671</v>
      </c>
      <c r="H1632" s="474" t="s">
        <v>672</v>
      </c>
      <c r="I1632" s="474"/>
      <c r="J1632" s="847">
        <v>-158329.45000000001</v>
      </c>
      <c r="K1632" s="513">
        <v>-112.69</v>
      </c>
      <c r="L1632" s="513">
        <v>1405</v>
      </c>
      <c r="M1632" s="152" t="s">
        <v>7116</v>
      </c>
      <c r="N1632" s="513" t="s">
        <v>780</v>
      </c>
      <c r="O1632" s="513" t="s">
        <v>781</v>
      </c>
      <c r="P1632" s="513" t="s">
        <v>7517</v>
      </c>
      <c r="Q1632" s="518" t="s">
        <v>7101</v>
      </c>
      <c r="R1632" s="152" t="s">
        <v>7518</v>
      </c>
      <c r="S1632" s="152" t="s">
        <v>7525</v>
      </c>
      <c r="T1632" s="152" t="s">
        <v>7520</v>
      </c>
      <c r="U1632" s="152" t="s">
        <v>786</v>
      </c>
    </row>
    <row r="1633" spans="4:21">
      <c r="D1633" s="210"/>
      <c r="G1633" s="152" t="s">
        <v>671</v>
      </c>
      <c r="H1633" s="474" t="s">
        <v>672</v>
      </c>
      <c r="I1633" s="474"/>
      <c r="J1633" s="847">
        <v>-958828.2</v>
      </c>
      <c r="K1633" s="513">
        <v>-682.44</v>
      </c>
      <c r="L1633" s="513">
        <v>1405</v>
      </c>
      <c r="M1633" s="152" t="s">
        <v>7116</v>
      </c>
      <c r="N1633" s="513" t="s">
        <v>780</v>
      </c>
      <c r="O1633" s="513" t="s">
        <v>781</v>
      </c>
      <c r="P1633" s="513" t="s">
        <v>7517</v>
      </c>
      <c r="Q1633" s="518" t="s">
        <v>7101</v>
      </c>
      <c r="R1633" s="152" t="s">
        <v>7518</v>
      </c>
      <c r="S1633" s="152" t="s">
        <v>7524</v>
      </c>
      <c r="T1633" s="152" t="s">
        <v>7520</v>
      </c>
      <c r="U1633" s="152" t="s">
        <v>786</v>
      </c>
    </row>
    <row r="1634" spans="4:21">
      <c r="D1634" s="210"/>
      <c r="G1634" s="152" t="s">
        <v>671</v>
      </c>
      <c r="H1634" s="474" t="s">
        <v>672</v>
      </c>
      <c r="I1634" s="474"/>
      <c r="J1634" s="847">
        <v>-127461.6</v>
      </c>
      <c r="K1634" s="513">
        <v>-90.72</v>
      </c>
      <c r="L1634" s="513">
        <v>1405</v>
      </c>
      <c r="M1634" s="152" t="s">
        <v>7116</v>
      </c>
      <c r="N1634" s="513" t="s">
        <v>780</v>
      </c>
      <c r="O1634" s="513" t="s">
        <v>781</v>
      </c>
      <c r="P1634" s="513" t="s">
        <v>7517</v>
      </c>
      <c r="Q1634" s="518" t="s">
        <v>7101</v>
      </c>
      <c r="R1634" s="152" t="s">
        <v>7518</v>
      </c>
      <c r="S1634" s="152" t="s">
        <v>7526</v>
      </c>
      <c r="T1634" s="152" t="s">
        <v>7520</v>
      </c>
      <c r="U1634" s="152" t="s">
        <v>786</v>
      </c>
    </row>
    <row r="1635" spans="4:21">
      <c r="D1635" s="210"/>
      <c r="G1635" s="152" t="s">
        <v>671</v>
      </c>
      <c r="H1635" s="474" t="s">
        <v>672</v>
      </c>
      <c r="I1635" s="474"/>
      <c r="J1635" s="847">
        <v>-107117.2</v>
      </c>
      <c r="K1635" s="513">
        <v>-76.239999999999995</v>
      </c>
      <c r="L1635" s="513">
        <v>1405</v>
      </c>
      <c r="M1635" s="152" t="s">
        <v>7116</v>
      </c>
      <c r="N1635" s="513" t="s">
        <v>780</v>
      </c>
      <c r="O1635" s="513" t="s">
        <v>781</v>
      </c>
      <c r="P1635" s="513" t="s">
        <v>7517</v>
      </c>
      <c r="Q1635" s="518" t="s">
        <v>7101</v>
      </c>
      <c r="R1635" s="152" t="s">
        <v>7518</v>
      </c>
      <c r="S1635" s="152" t="s">
        <v>7527</v>
      </c>
      <c r="T1635" s="152" t="s">
        <v>7520</v>
      </c>
      <c r="U1635" s="152" t="s">
        <v>786</v>
      </c>
    </row>
    <row r="1636" spans="4:21">
      <c r="D1636" s="210"/>
      <c r="G1636" s="152" t="s">
        <v>671</v>
      </c>
      <c r="H1636" s="474" t="s">
        <v>672</v>
      </c>
      <c r="I1636" s="474"/>
      <c r="J1636" s="847">
        <v>-66133.350000000006</v>
      </c>
      <c r="K1636" s="513">
        <v>-47.07</v>
      </c>
      <c r="L1636" s="513">
        <v>1405</v>
      </c>
      <c r="M1636" s="152" t="s">
        <v>7116</v>
      </c>
      <c r="N1636" s="513" t="s">
        <v>780</v>
      </c>
      <c r="O1636" s="513" t="s">
        <v>781</v>
      </c>
      <c r="P1636" s="513" t="s">
        <v>7517</v>
      </c>
      <c r="Q1636" s="518" t="s">
        <v>7101</v>
      </c>
      <c r="R1636" s="152" t="s">
        <v>7518</v>
      </c>
      <c r="S1636" s="152" t="s">
        <v>7528</v>
      </c>
      <c r="T1636" s="152" t="s">
        <v>7520</v>
      </c>
      <c r="U1636" s="152" t="s">
        <v>786</v>
      </c>
    </row>
    <row r="1637" spans="4:21">
      <c r="D1637" s="210"/>
      <c r="G1637" s="152" t="s">
        <v>671</v>
      </c>
      <c r="H1637" s="474" t="s">
        <v>672</v>
      </c>
      <c r="I1637" s="474"/>
      <c r="J1637" s="847">
        <v>-189450.2</v>
      </c>
      <c r="K1637" s="513">
        <v>-134.84</v>
      </c>
      <c r="L1637" s="513">
        <v>1405</v>
      </c>
      <c r="M1637" s="152" t="s">
        <v>7116</v>
      </c>
      <c r="N1637" s="513" t="s">
        <v>780</v>
      </c>
      <c r="O1637" s="513" t="s">
        <v>781</v>
      </c>
      <c r="P1637" s="513" t="s">
        <v>7517</v>
      </c>
      <c r="Q1637" s="518" t="s">
        <v>7101</v>
      </c>
      <c r="R1637" s="152" t="s">
        <v>7518</v>
      </c>
      <c r="S1637" s="152" t="s">
        <v>7525</v>
      </c>
      <c r="T1637" s="152" t="s">
        <v>7520</v>
      </c>
      <c r="U1637" s="152" t="s">
        <v>786</v>
      </c>
    </row>
    <row r="1638" spans="4:21">
      <c r="D1638" s="210"/>
      <c r="G1638" s="152" t="s">
        <v>671</v>
      </c>
      <c r="H1638" s="474" t="s">
        <v>672</v>
      </c>
      <c r="I1638" s="474"/>
      <c r="J1638" s="847">
        <v>-2725.7</v>
      </c>
      <c r="K1638" s="513">
        <v>-1.94</v>
      </c>
      <c r="L1638" s="513">
        <v>1405</v>
      </c>
      <c r="M1638" s="152" t="s">
        <v>7116</v>
      </c>
      <c r="N1638" s="513" t="s">
        <v>780</v>
      </c>
      <c r="O1638" s="513" t="s">
        <v>781</v>
      </c>
      <c r="P1638" s="513" t="s">
        <v>7517</v>
      </c>
      <c r="Q1638" s="518" t="s">
        <v>7101</v>
      </c>
      <c r="R1638" s="152" t="s">
        <v>7518</v>
      </c>
      <c r="S1638" s="152" t="s">
        <v>953</v>
      </c>
      <c r="T1638" s="152" t="s">
        <v>7520</v>
      </c>
      <c r="U1638" s="152" t="s">
        <v>786</v>
      </c>
    </row>
    <row r="1639" spans="4:21">
      <c r="D1639" s="210"/>
      <c r="G1639" s="152" t="s">
        <v>671</v>
      </c>
      <c r="H1639" s="474" t="s">
        <v>672</v>
      </c>
      <c r="I1639" s="474"/>
      <c r="J1639" s="847">
        <v>-303732.90000000002</v>
      </c>
      <c r="K1639" s="513">
        <v>-216.18</v>
      </c>
      <c r="L1639" s="513">
        <v>1405</v>
      </c>
      <c r="M1639" s="152" t="s">
        <v>7116</v>
      </c>
      <c r="N1639" s="513" t="s">
        <v>780</v>
      </c>
      <c r="O1639" s="513" t="s">
        <v>781</v>
      </c>
      <c r="P1639" s="513" t="s">
        <v>7517</v>
      </c>
      <c r="Q1639" s="518" t="s">
        <v>7101</v>
      </c>
      <c r="R1639" s="152" t="s">
        <v>7518</v>
      </c>
      <c r="S1639" s="152" t="s">
        <v>7536</v>
      </c>
      <c r="T1639" s="152" t="s">
        <v>7520</v>
      </c>
      <c r="U1639" s="152" t="s">
        <v>786</v>
      </c>
    </row>
    <row r="1640" spans="4:21">
      <c r="D1640" s="210"/>
      <c r="G1640" s="152" t="s">
        <v>671</v>
      </c>
      <c r="H1640" s="474" t="s">
        <v>672</v>
      </c>
      <c r="I1640" s="474"/>
      <c r="J1640" s="847">
        <v>-7846264.6500000004</v>
      </c>
      <c r="K1640" s="513">
        <v>-5584.53</v>
      </c>
      <c r="L1640" s="513">
        <v>1405</v>
      </c>
      <c r="M1640" s="152" t="s">
        <v>7116</v>
      </c>
      <c r="N1640" s="513" t="s">
        <v>780</v>
      </c>
      <c r="O1640" s="513" t="s">
        <v>781</v>
      </c>
      <c r="P1640" s="513" t="s">
        <v>7517</v>
      </c>
      <c r="Q1640" s="518" t="s">
        <v>7101</v>
      </c>
      <c r="R1640" s="152" t="s">
        <v>7518</v>
      </c>
      <c r="S1640" s="152" t="s">
        <v>7537</v>
      </c>
      <c r="T1640" s="152" t="s">
        <v>7520</v>
      </c>
      <c r="U1640" s="152" t="s">
        <v>786</v>
      </c>
    </row>
    <row r="1641" spans="4:21">
      <c r="D1641" s="210"/>
      <c r="G1641" s="152" t="s">
        <v>671</v>
      </c>
      <c r="H1641" s="474" t="s">
        <v>672</v>
      </c>
      <c r="I1641" s="474"/>
      <c r="J1641" s="847">
        <v>-786519</v>
      </c>
      <c r="K1641" s="513">
        <v>-559.79999999999995</v>
      </c>
      <c r="L1641" s="513">
        <v>1405</v>
      </c>
      <c r="M1641" s="152" t="s">
        <v>7116</v>
      </c>
      <c r="N1641" s="513" t="s">
        <v>780</v>
      </c>
      <c r="O1641" s="513" t="s">
        <v>781</v>
      </c>
      <c r="P1641" s="513" t="s">
        <v>7517</v>
      </c>
      <c r="Q1641" s="518" t="s">
        <v>7101</v>
      </c>
      <c r="R1641" s="152" t="s">
        <v>7518</v>
      </c>
      <c r="S1641" s="152" t="s">
        <v>7541</v>
      </c>
      <c r="T1641" s="152" t="s">
        <v>7520</v>
      </c>
      <c r="U1641" s="152" t="s">
        <v>786</v>
      </c>
    </row>
    <row r="1642" spans="4:21">
      <c r="D1642" s="210"/>
      <c r="G1642" s="152" t="s">
        <v>671</v>
      </c>
      <c r="H1642" s="474" t="s">
        <v>672</v>
      </c>
      <c r="I1642" s="474"/>
      <c r="J1642" s="847">
        <v>-457383.7</v>
      </c>
      <c r="K1642" s="513">
        <v>-325.54000000000002</v>
      </c>
      <c r="L1642" s="513">
        <v>1405</v>
      </c>
      <c r="M1642" s="152" t="s">
        <v>7116</v>
      </c>
      <c r="N1642" s="513" t="s">
        <v>780</v>
      </c>
      <c r="O1642" s="513" t="s">
        <v>781</v>
      </c>
      <c r="P1642" s="513" t="s">
        <v>7517</v>
      </c>
      <c r="Q1642" s="518" t="s">
        <v>7101</v>
      </c>
      <c r="R1642" s="152" t="s">
        <v>7518</v>
      </c>
      <c r="S1642" s="152" t="s">
        <v>7543</v>
      </c>
      <c r="T1642" s="152" t="s">
        <v>7520</v>
      </c>
      <c r="U1642" s="152" t="s">
        <v>786</v>
      </c>
    </row>
    <row r="1643" spans="4:21">
      <c r="D1643" s="210"/>
      <c r="G1643" s="152" t="s">
        <v>671</v>
      </c>
      <c r="H1643" s="474" t="s">
        <v>672</v>
      </c>
      <c r="I1643" s="474"/>
      <c r="J1643" s="847">
        <v>-361113.1</v>
      </c>
      <c r="K1643" s="513">
        <v>-257.02</v>
      </c>
      <c r="L1643" s="513">
        <v>1405</v>
      </c>
      <c r="M1643" s="152" t="s">
        <v>7116</v>
      </c>
      <c r="N1643" s="513" t="s">
        <v>780</v>
      </c>
      <c r="O1643" s="513" t="s">
        <v>781</v>
      </c>
      <c r="P1643" s="513" t="s">
        <v>7517</v>
      </c>
      <c r="Q1643" s="518" t="s">
        <v>7101</v>
      </c>
      <c r="R1643" s="152" t="s">
        <v>7518</v>
      </c>
      <c r="S1643" s="152" t="s">
        <v>7535</v>
      </c>
      <c r="T1643" s="152" t="s">
        <v>7520</v>
      </c>
      <c r="U1643" s="152" t="s">
        <v>786</v>
      </c>
    </row>
    <row r="1644" spans="4:21">
      <c r="D1644" s="210"/>
      <c r="G1644" s="152" t="s">
        <v>671</v>
      </c>
      <c r="H1644" s="474" t="s">
        <v>672</v>
      </c>
      <c r="I1644" s="474"/>
      <c r="J1644" s="847">
        <v>-2697.6</v>
      </c>
      <c r="K1644" s="513">
        <v>-1.92</v>
      </c>
      <c r="L1644" s="513">
        <v>1405</v>
      </c>
      <c r="M1644" s="152" t="s">
        <v>7116</v>
      </c>
      <c r="N1644" s="513" t="s">
        <v>780</v>
      </c>
      <c r="O1644" s="513" t="s">
        <v>781</v>
      </c>
      <c r="P1644" s="513" t="s">
        <v>7517</v>
      </c>
      <c r="Q1644" s="518" t="s">
        <v>7101</v>
      </c>
      <c r="R1644" s="152" t="s">
        <v>7518</v>
      </c>
      <c r="S1644" s="152" t="s">
        <v>953</v>
      </c>
      <c r="T1644" s="152" t="s">
        <v>7520</v>
      </c>
      <c r="U1644" s="152" t="s">
        <v>786</v>
      </c>
    </row>
    <row r="1645" spans="4:21">
      <c r="D1645" s="210"/>
      <c r="G1645" s="152" t="s">
        <v>671</v>
      </c>
      <c r="H1645" s="474" t="s">
        <v>672</v>
      </c>
      <c r="I1645" s="474"/>
      <c r="J1645" s="847">
        <v>-437587.25</v>
      </c>
      <c r="K1645" s="513">
        <v>-311.45</v>
      </c>
      <c r="L1645" s="513">
        <v>1405</v>
      </c>
      <c r="M1645" s="152" t="s">
        <v>7116</v>
      </c>
      <c r="N1645" s="513" t="s">
        <v>780</v>
      </c>
      <c r="O1645" s="513" t="s">
        <v>781</v>
      </c>
      <c r="P1645" s="513" t="s">
        <v>7517</v>
      </c>
      <c r="Q1645" s="518" t="s">
        <v>7101</v>
      </c>
      <c r="R1645" s="152" t="s">
        <v>7518</v>
      </c>
      <c r="S1645" s="152" t="s">
        <v>7532</v>
      </c>
      <c r="T1645" s="152" t="s">
        <v>7520</v>
      </c>
      <c r="U1645" s="152" t="s">
        <v>786</v>
      </c>
    </row>
    <row r="1646" spans="4:21">
      <c r="D1646" s="210"/>
      <c r="G1646" s="152" t="s">
        <v>671</v>
      </c>
      <c r="H1646" s="474" t="s">
        <v>672</v>
      </c>
      <c r="I1646" s="474"/>
      <c r="J1646" s="847">
        <v>-203415.9</v>
      </c>
      <c r="K1646" s="513">
        <v>-144.78</v>
      </c>
      <c r="L1646" s="513">
        <v>1405</v>
      </c>
      <c r="M1646" s="152" t="s">
        <v>7116</v>
      </c>
      <c r="N1646" s="513" t="s">
        <v>780</v>
      </c>
      <c r="O1646" s="513" t="s">
        <v>781</v>
      </c>
      <c r="P1646" s="513" t="s">
        <v>7517</v>
      </c>
      <c r="Q1646" s="518" t="s">
        <v>7101</v>
      </c>
      <c r="R1646" s="152" t="s">
        <v>7518</v>
      </c>
      <c r="S1646" s="152" t="s">
        <v>7546</v>
      </c>
      <c r="T1646" s="152" t="s">
        <v>7520</v>
      </c>
      <c r="U1646" s="152" t="s">
        <v>786</v>
      </c>
    </row>
    <row r="1647" spans="4:21">
      <c r="D1647" s="210"/>
      <c r="G1647" s="152" t="s">
        <v>671</v>
      </c>
      <c r="H1647" s="474" t="s">
        <v>672</v>
      </c>
      <c r="I1647" s="474"/>
      <c r="J1647" s="847">
        <v>-231670.45</v>
      </c>
      <c r="K1647" s="513">
        <v>-164.89</v>
      </c>
      <c r="L1647" s="513">
        <v>1405</v>
      </c>
      <c r="M1647" s="152" t="s">
        <v>7116</v>
      </c>
      <c r="N1647" s="513" t="s">
        <v>780</v>
      </c>
      <c r="O1647" s="513" t="s">
        <v>781</v>
      </c>
      <c r="P1647" s="513" t="s">
        <v>7517</v>
      </c>
      <c r="Q1647" s="518" t="s">
        <v>7101</v>
      </c>
      <c r="R1647" s="152" t="s">
        <v>7518</v>
      </c>
      <c r="S1647" s="152" t="s">
        <v>7548</v>
      </c>
      <c r="T1647" s="152" t="s">
        <v>7520</v>
      </c>
      <c r="U1647" s="152" t="s">
        <v>786</v>
      </c>
    </row>
    <row r="1648" spans="4:21">
      <c r="D1648" s="210"/>
      <c r="G1648" s="152" t="s">
        <v>671</v>
      </c>
      <c r="H1648" s="474" t="s">
        <v>672</v>
      </c>
      <c r="I1648" s="474"/>
      <c r="J1648" s="847">
        <v>-295555.8</v>
      </c>
      <c r="K1648" s="513">
        <v>-210.36</v>
      </c>
      <c r="L1648" s="513">
        <v>1405</v>
      </c>
      <c r="M1648" s="152" t="s">
        <v>7116</v>
      </c>
      <c r="N1648" s="513" t="s">
        <v>780</v>
      </c>
      <c r="O1648" s="513" t="s">
        <v>781</v>
      </c>
      <c r="P1648" s="513" t="s">
        <v>7517</v>
      </c>
      <c r="Q1648" s="518" t="s">
        <v>7101</v>
      </c>
      <c r="R1648" s="152" t="s">
        <v>7518</v>
      </c>
      <c r="S1648" s="152" t="s">
        <v>7549</v>
      </c>
      <c r="T1648" s="152" t="s">
        <v>7520</v>
      </c>
      <c r="U1648" s="152" t="s">
        <v>786</v>
      </c>
    </row>
    <row r="1649" spans="4:21">
      <c r="D1649" s="210"/>
      <c r="G1649" s="152" t="s">
        <v>671</v>
      </c>
      <c r="H1649" s="474" t="s">
        <v>672</v>
      </c>
      <c r="I1649" s="474"/>
      <c r="J1649" s="847">
        <v>-209752.45</v>
      </c>
      <c r="K1649" s="513">
        <v>-149.29</v>
      </c>
      <c r="L1649" s="513">
        <v>1405</v>
      </c>
      <c r="M1649" s="152" t="s">
        <v>7116</v>
      </c>
      <c r="N1649" s="513" t="s">
        <v>780</v>
      </c>
      <c r="O1649" s="513" t="s">
        <v>781</v>
      </c>
      <c r="P1649" s="513" t="s">
        <v>7517</v>
      </c>
      <c r="Q1649" s="518" t="s">
        <v>7101</v>
      </c>
      <c r="R1649" s="152" t="s">
        <v>7518</v>
      </c>
      <c r="S1649" s="152" t="s">
        <v>7550</v>
      </c>
      <c r="T1649" s="152" t="s">
        <v>7520</v>
      </c>
      <c r="U1649" s="152" t="s">
        <v>786</v>
      </c>
    </row>
    <row r="1650" spans="4:21">
      <c r="D1650" s="210"/>
      <c r="G1650" s="152" t="s">
        <v>671</v>
      </c>
      <c r="H1650" s="474" t="s">
        <v>672</v>
      </c>
      <c r="I1650" s="474"/>
      <c r="J1650" s="847">
        <v>-126253.3</v>
      </c>
      <c r="K1650" s="513">
        <v>-89.86</v>
      </c>
      <c r="L1650" s="513">
        <v>1405</v>
      </c>
      <c r="M1650" s="152" t="s">
        <v>7116</v>
      </c>
      <c r="N1650" s="513" t="s">
        <v>780</v>
      </c>
      <c r="O1650" s="513" t="s">
        <v>781</v>
      </c>
      <c r="P1650" s="513" t="s">
        <v>7517</v>
      </c>
      <c r="Q1650" s="518" t="s">
        <v>7101</v>
      </c>
      <c r="R1650" s="152" t="s">
        <v>7518</v>
      </c>
      <c r="S1650" s="152" t="s">
        <v>7551</v>
      </c>
      <c r="T1650" s="152" t="s">
        <v>7520</v>
      </c>
      <c r="U1650" s="152" t="s">
        <v>786</v>
      </c>
    </row>
    <row r="1651" spans="4:21">
      <c r="D1651" s="210"/>
      <c r="G1651" s="152" t="s">
        <v>671</v>
      </c>
      <c r="H1651" s="474" t="s">
        <v>672</v>
      </c>
      <c r="I1651" s="474"/>
      <c r="J1651" s="847">
        <v>-238344.2</v>
      </c>
      <c r="K1651" s="513">
        <v>-169.64</v>
      </c>
      <c r="L1651" s="513">
        <v>1405</v>
      </c>
      <c r="M1651" s="152" t="s">
        <v>7116</v>
      </c>
      <c r="N1651" s="513" t="s">
        <v>780</v>
      </c>
      <c r="O1651" s="513" t="s">
        <v>781</v>
      </c>
      <c r="P1651" s="513" t="s">
        <v>7517</v>
      </c>
      <c r="Q1651" s="518" t="s">
        <v>7101</v>
      </c>
      <c r="R1651" s="152" t="s">
        <v>7518</v>
      </c>
      <c r="S1651" s="152" t="s">
        <v>7552</v>
      </c>
      <c r="T1651" s="152" t="s">
        <v>7520</v>
      </c>
      <c r="U1651" s="152" t="s">
        <v>786</v>
      </c>
    </row>
    <row r="1652" spans="4:21">
      <c r="D1652" s="210"/>
      <c r="G1652" s="152" t="s">
        <v>671</v>
      </c>
      <c r="H1652" s="474" t="s">
        <v>672</v>
      </c>
      <c r="I1652" s="474"/>
      <c r="J1652" s="847">
        <v>-2697.6</v>
      </c>
      <c r="K1652" s="513">
        <v>-1.92</v>
      </c>
      <c r="L1652" s="513">
        <v>1405</v>
      </c>
      <c r="M1652" s="152" t="s">
        <v>7116</v>
      </c>
      <c r="N1652" s="513" t="s">
        <v>780</v>
      </c>
      <c r="O1652" s="513" t="s">
        <v>781</v>
      </c>
      <c r="P1652" s="513" t="s">
        <v>7517</v>
      </c>
      <c r="Q1652" s="518" t="s">
        <v>7101</v>
      </c>
      <c r="R1652" s="152" t="s">
        <v>7518</v>
      </c>
      <c r="S1652" s="152" t="s">
        <v>953</v>
      </c>
      <c r="T1652" s="152" t="s">
        <v>7520</v>
      </c>
      <c r="U1652" s="152" t="s">
        <v>786</v>
      </c>
    </row>
    <row r="1653" spans="4:21">
      <c r="D1653" s="210"/>
      <c r="G1653" s="152" t="s">
        <v>671</v>
      </c>
      <c r="H1653" s="474" t="s">
        <v>672</v>
      </c>
      <c r="I1653" s="474"/>
      <c r="J1653" s="847">
        <v>-786519</v>
      </c>
      <c r="K1653" s="513">
        <v>-559.79999999999995</v>
      </c>
      <c r="L1653" s="513">
        <v>1405</v>
      </c>
      <c r="M1653" s="152" t="s">
        <v>7116</v>
      </c>
      <c r="N1653" s="513" t="s">
        <v>780</v>
      </c>
      <c r="O1653" s="513" t="s">
        <v>781</v>
      </c>
      <c r="P1653" s="513" t="s">
        <v>7517</v>
      </c>
      <c r="Q1653" s="518" t="s">
        <v>7101</v>
      </c>
      <c r="R1653" s="152" t="s">
        <v>7518</v>
      </c>
      <c r="S1653" s="152" t="s">
        <v>7553</v>
      </c>
      <c r="T1653" s="152" t="s">
        <v>7520</v>
      </c>
      <c r="U1653" s="152" t="s">
        <v>786</v>
      </c>
    </row>
    <row r="1654" spans="4:21">
      <c r="D1654" s="210"/>
      <c r="G1654" s="152" t="s">
        <v>671</v>
      </c>
      <c r="H1654" s="474" t="s">
        <v>672</v>
      </c>
      <c r="I1654" s="474"/>
      <c r="J1654" s="847">
        <v>-19248.5</v>
      </c>
      <c r="K1654" s="513">
        <v>-13.7</v>
      </c>
      <c r="L1654" s="513">
        <v>1405</v>
      </c>
      <c r="M1654" s="152" t="s">
        <v>7116</v>
      </c>
      <c r="N1654" s="513" t="s">
        <v>780</v>
      </c>
      <c r="O1654" s="513" t="s">
        <v>781</v>
      </c>
      <c r="P1654" s="513" t="s">
        <v>7517</v>
      </c>
      <c r="Q1654" s="518" t="s">
        <v>7101</v>
      </c>
      <c r="R1654" s="152" t="s">
        <v>7518</v>
      </c>
      <c r="S1654" s="152" t="s">
        <v>7554</v>
      </c>
      <c r="T1654" s="152" t="s">
        <v>7520</v>
      </c>
      <c r="U1654" s="152" t="s">
        <v>786</v>
      </c>
    </row>
    <row r="1655" spans="4:21">
      <c r="D1655" s="210"/>
      <c r="G1655" s="152" t="s">
        <v>671</v>
      </c>
      <c r="H1655" s="474" t="s">
        <v>672</v>
      </c>
      <c r="I1655" s="474"/>
      <c r="J1655" s="847">
        <v>-2711.65</v>
      </c>
      <c r="K1655" s="513">
        <v>-1.93</v>
      </c>
      <c r="L1655" s="513">
        <v>1405</v>
      </c>
      <c r="M1655" s="152" t="s">
        <v>7116</v>
      </c>
      <c r="N1655" s="513" t="s">
        <v>780</v>
      </c>
      <c r="O1655" s="513" t="s">
        <v>781</v>
      </c>
      <c r="P1655" s="513" t="s">
        <v>7517</v>
      </c>
      <c r="Q1655" s="518" t="s">
        <v>7101</v>
      </c>
      <c r="R1655" s="152" t="s">
        <v>7518</v>
      </c>
      <c r="S1655" s="152" t="s">
        <v>953</v>
      </c>
      <c r="T1655" s="152" t="s">
        <v>7520</v>
      </c>
      <c r="U1655" s="152" t="s">
        <v>786</v>
      </c>
    </row>
    <row r="1656" spans="4:21">
      <c r="D1656" s="210"/>
      <c r="G1656" s="152" t="s">
        <v>671</v>
      </c>
      <c r="H1656" s="474" t="s">
        <v>672</v>
      </c>
      <c r="I1656" s="474"/>
      <c r="J1656" s="847">
        <v>-1339906.3500000001</v>
      </c>
      <c r="K1656" s="513">
        <v>-953.67</v>
      </c>
      <c r="L1656" s="513">
        <v>1405</v>
      </c>
      <c r="M1656" s="152" t="s">
        <v>7116</v>
      </c>
      <c r="N1656" s="513" t="s">
        <v>780</v>
      </c>
      <c r="O1656" s="513" t="s">
        <v>781</v>
      </c>
      <c r="P1656" s="513" t="s">
        <v>7517</v>
      </c>
      <c r="Q1656" s="518" t="s">
        <v>7101</v>
      </c>
      <c r="R1656" s="152" t="s">
        <v>7518</v>
      </c>
      <c r="S1656" s="152" t="s">
        <v>7519</v>
      </c>
      <c r="T1656" s="152" t="s">
        <v>7520</v>
      </c>
      <c r="U1656" s="152" t="s">
        <v>786</v>
      </c>
    </row>
    <row r="1657" spans="4:21">
      <c r="D1657" s="210"/>
      <c r="G1657" s="152" t="s">
        <v>671</v>
      </c>
      <c r="H1657" s="474" t="s">
        <v>672</v>
      </c>
      <c r="I1657" s="474"/>
      <c r="J1657" s="847">
        <v>-2725.7</v>
      </c>
      <c r="K1657" s="513">
        <v>-1.94</v>
      </c>
      <c r="L1657" s="513">
        <v>1405</v>
      </c>
      <c r="M1657" s="152" t="s">
        <v>7116</v>
      </c>
      <c r="N1657" s="513" t="s">
        <v>780</v>
      </c>
      <c r="O1657" s="513" t="s">
        <v>781</v>
      </c>
      <c r="P1657" s="513" t="s">
        <v>7517</v>
      </c>
      <c r="Q1657" s="518" t="s">
        <v>7101</v>
      </c>
      <c r="R1657" s="152" t="s">
        <v>7518</v>
      </c>
      <c r="S1657" s="152" t="s">
        <v>953</v>
      </c>
      <c r="T1657" s="152" t="s">
        <v>7520</v>
      </c>
      <c r="U1657" s="152" t="s">
        <v>786</v>
      </c>
    </row>
    <row r="1658" spans="4:21">
      <c r="D1658" s="210"/>
      <c r="G1658" s="152" t="s">
        <v>671</v>
      </c>
      <c r="H1658" s="474" t="s">
        <v>672</v>
      </c>
      <c r="I1658" s="474"/>
      <c r="J1658" s="847">
        <v>-2739.75</v>
      </c>
      <c r="K1658" s="513">
        <v>-1.95</v>
      </c>
      <c r="L1658" s="513">
        <v>1405</v>
      </c>
      <c r="M1658" s="152" t="s">
        <v>7116</v>
      </c>
      <c r="N1658" s="513" t="s">
        <v>780</v>
      </c>
      <c r="O1658" s="513" t="s">
        <v>781</v>
      </c>
      <c r="P1658" s="513" t="s">
        <v>7517</v>
      </c>
      <c r="Q1658" s="518" t="s">
        <v>7101</v>
      </c>
      <c r="R1658" s="152" t="s">
        <v>7518</v>
      </c>
      <c r="S1658" s="152" t="s">
        <v>953</v>
      </c>
      <c r="T1658" s="152" t="s">
        <v>7520</v>
      </c>
      <c r="U1658" s="152" t="s">
        <v>786</v>
      </c>
    </row>
    <row r="1659" spans="4:21">
      <c r="D1659" s="210"/>
      <c r="G1659" s="152" t="s">
        <v>671</v>
      </c>
      <c r="H1659" s="474" t="s">
        <v>672</v>
      </c>
      <c r="I1659" s="474"/>
      <c r="J1659" s="847">
        <v>-2050190.05</v>
      </c>
      <c r="K1659" s="513">
        <v>-1459.21</v>
      </c>
      <c r="L1659" s="513">
        <v>1405</v>
      </c>
      <c r="M1659" s="152" t="s">
        <v>7116</v>
      </c>
      <c r="N1659" s="513" t="s">
        <v>780</v>
      </c>
      <c r="O1659" s="513" t="s">
        <v>781</v>
      </c>
      <c r="P1659" s="513" t="s">
        <v>7517</v>
      </c>
      <c r="Q1659" s="518" t="s">
        <v>7101</v>
      </c>
      <c r="R1659" s="152" t="s">
        <v>7518</v>
      </c>
      <c r="S1659" s="152" t="s">
        <v>7555</v>
      </c>
      <c r="T1659" s="152" t="s">
        <v>7520</v>
      </c>
      <c r="U1659" s="152" t="s">
        <v>786</v>
      </c>
    </row>
    <row r="1660" spans="4:21">
      <c r="D1660" s="210"/>
      <c r="G1660" s="152" t="s">
        <v>671</v>
      </c>
      <c r="H1660" s="474" t="s">
        <v>672</v>
      </c>
      <c r="I1660" s="474"/>
      <c r="J1660" s="847">
        <v>-29856.25</v>
      </c>
      <c r="K1660" s="513">
        <v>-21.25</v>
      </c>
      <c r="L1660" s="513">
        <v>1405</v>
      </c>
      <c r="M1660" s="152" t="s">
        <v>7116</v>
      </c>
      <c r="N1660" s="513" t="s">
        <v>780</v>
      </c>
      <c r="O1660" s="513" t="s">
        <v>781</v>
      </c>
      <c r="P1660" s="513" t="s">
        <v>7517</v>
      </c>
      <c r="Q1660" s="518" t="s">
        <v>7101</v>
      </c>
      <c r="R1660" s="152" t="s">
        <v>7518</v>
      </c>
      <c r="S1660" s="152" t="s">
        <v>7556</v>
      </c>
      <c r="T1660" s="152" t="s">
        <v>7520</v>
      </c>
      <c r="U1660" s="152" t="s">
        <v>786</v>
      </c>
    </row>
    <row r="1661" spans="4:21">
      <c r="D1661" s="210"/>
      <c r="G1661" s="152" t="s">
        <v>671</v>
      </c>
      <c r="H1661" s="474" t="s">
        <v>672</v>
      </c>
      <c r="I1661" s="474"/>
      <c r="J1661" s="847">
        <v>-166675.15</v>
      </c>
      <c r="K1661" s="513">
        <v>-118.63</v>
      </c>
      <c r="L1661" s="513">
        <v>1405</v>
      </c>
      <c r="M1661" s="152" t="s">
        <v>7116</v>
      </c>
      <c r="N1661" s="513" t="s">
        <v>780</v>
      </c>
      <c r="O1661" s="513" t="s">
        <v>781</v>
      </c>
      <c r="P1661" s="513" t="s">
        <v>7517</v>
      </c>
      <c r="Q1661" s="518" t="s">
        <v>7101</v>
      </c>
      <c r="R1661" s="152" t="s">
        <v>7518</v>
      </c>
      <c r="S1661" s="152" t="s">
        <v>7557</v>
      </c>
      <c r="T1661" s="152" t="s">
        <v>7520</v>
      </c>
      <c r="U1661" s="152" t="s">
        <v>786</v>
      </c>
    </row>
    <row r="1662" spans="4:21">
      <c r="D1662" s="210"/>
      <c r="G1662" s="152" t="s">
        <v>671</v>
      </c>
      <c r="H1662" s="474" t="s">
        <v>672</v>
      </c>
      <c r="I1662" s="474"/>
      <c r="J1662" s="847">
        <v>-841960.3</v>
      </c>
      <c r="K1662" s="513">
        <v>-599.26</v>
      </c>
      <c r="L1662" s="513">
        <v>1405</v>
      </c>
      <c r="M1662" s="152" t="s">
        <v>7116</v>
      </c>
      <c r="N1662" s="513" t="s">
        <v>780</v>
      </c>
      <c r="O1662" s="513" t="s">
        <v>781</v>
      </c>
      <c r="P1662" s="513" t="s">
        <v>7517</v>
      </c>
      <c r="Q1662" s="518" t="s">
        <v>7101</v>
      </c>
      <c r="R1662" s="152" t="s">
        <v>7518</v>
      </c>
      <c r="S1662" s="152" t="s">
        <v>7558</v>
      </c>
      <c r="T1662" s="152" t="s">
        <v>7520</v>
      </c>
      <c r="U1662" s="152" t="s">
        <v>786</v>
      </c>
    </row>
    <row r="1663" spans="4:21">
      <c r="D1663" s="210"/>
      <c r="G1663" s="152" t="s">
        <v>671</v>
      </c>
      <c r="H1663" s="474" t="s">
        <v>672</v>
      </c>
      <c r="I1663" s="474"/>
      <c r="J1663" s="847">
        <v>-57127.3</v>
      </c>
      <c r="K1663" s="513">
        <v>-40.659999999999997</v>
      </c>
      <c r="L1663" s="513">
        <v>1405</v>
      </c>
      <c r="M1663" s="152" t="s">
        <v>7116</v>
      </c>
      <c r="N1663" s="513" t="s">
        <v>780</v>
      </c>
      <c r="O1663" s="513" t="s">
        <v>781</v>
      </c>
      <c r="P1663" s="513" t="s">
        <v>7517</v>
      </c>
      <c r="Q1663" s="518" t="s">
        <v>7101</v>
      </c>
      <c r="R1663" s="152" t="s">
        <v>7518</v>
      </c>
      <c r="S1663" s="152" t="s">
        <v>7559</v>
      </c>
      <c r="T1663" s="152" t="s">
        <v>7520</v>
      </c>
      <c r="U1663" s="152" t="s">
        <v>786</v>
      </c>
    </row>
    <row r="1664" spans="4:21">
      <c r="D1664" s="210"/>
      <c r="G1664" s="152" t="s">
        <v>671</v>
      </c>
      <c r="H1664" s="474" t="s">
        <v>672</v>
      </c>
      <c r="I1664" s="474"/>
      <c r="J1664" s="847">
        <v>-2739.75</v>
      </c>
      <c r="K1664" s="513">
        <v>-1.95</v>
      </c>
      <c r="L1664" s="513">
        <v>1405</v>
      </c>
      <c r="M1664" s="152" t="s">
        <v>7116</v>
      </c>
      <c r="N1664" s="513" t="s">
        <v>780</v>
      </c>
      <c r="O1664" s="513" t="s">
        <v>781</v>
      </c>
      <c r="P1664" s="513" t="s">
        <v>7517</v>
      </c>
      <c r="Q1664" s="518" t="s">
        <v>7101</v>
      </c>
      <c r="R1664" s="152" t="s">
        <v>7518</v>
      </c>
      <c r="S1664" s="152" t="s">
        <v>953</v>
      </c>
      <c r="T1664" s="152" t="s">
        <v>7520</v>
      </c>
      <c r="U1664" s="152" t="s">
        <v>786</v>
      </c>
    </row>
    <row r="1665" spans="4:21">
      <c r="D1665" s="210"/>
      <c r="G1665" s="152" t="s">
        <v>671</v>
      </c>
      <c r="H1665" s="474" t="s">
        <v>672</v>
      </c>
      <c r="I1665" s="474"/>
      <c r="J1665" s="847">
        <v>-2711.65</v>
      </c>
      <c r="K1665" s="513">
        <v>-1.93</v>
      </c>
      <c r="L1665" s="513">
        <v>1405</v>
      </c>
      <c r="M1665" s="152" t="s">
        <v>7116</v>
      </c>
      <c r="N1665" s="513" t="s">
        <v>780</v>
      </c>
      <c r="O1665" s="513" t="s">
        <v>781</v>
      </c>
      <c r="P1665" s="513" t="s">
        <v>7517</v>
      </c>
      <c r="Q1665" s="518" t="s">
        <v>7101</v>
      </c>
      <c r="R1665" s="152" t="s">
        <v>7518</v>
      </c>
      <c r="S1665" s="152" t="s">
        <v>7560</v>
      </c>
      <c r="T1665" s="152" t="s">
        <v>7520</v>
      </c>
      <c r="U1665" s="152" t="s">
        <v>786</v>
      </c>
    </row>
    <row r="1666" spans="4:21">
      <c r="D1666" s="210"/>
      <c r="G1666" s="152" t="s">
        <v>671</v>
      </c>
      <c r="H1666" s="474" t="s">
        <v>672</v>
      </c>
      <c r="I1666" s="474"/>
      <c r="J1666" s="847">
        <v>-574715.25</v>
      </c>
      <c r="K1666" s="513">
        <v>-409.05</v>
      </c>
      <c r="L1666" s="513">
        <v>1405</v>
      </c>
      <c r="M1666" s="152" t="s">
        <v>7116</v>
      </c>
      <c r="N1666" s="513" t="s">
        <v>780</v>
      </c>
      <c r="O1666" s="513" t="s">
        <v>781</v>
      </c>
      <c r="P1666" s="513" t="s">
        <v>7517</v>
      </c>
      <c r="Q1666" s="518" t="s">
        <v>7101</v>
      </c>
      <c r="R1666" s="152" t="s">
        <v>7518</v>
      </c>
      <c r="S1666" s="152" t="s">
        <v>7561</v>
      </c>
      <c r="T1666" s="152" t="s">
        <v>7520</v>
      </c>
      <c r="U1666" s="152" t="s">
        <v>786</v>
      </c>
    </row>
    <row r="1667" spans="4:21">
      <c r="D1667" s="210"/>
      <c r="G1667" s="152" t="s">
        <v>671</v>
      </c>
      <c r="H1667" s="474" t="s">
        <v>672</v>
      </c>
      <c r="I1667" s="474"/>
      <c r="J1667" s="847">
        <v>-132182.39999999999</v>
      </c>
      <c r="K1667" s="513">
        <v>-94.08</v>
      </c>
      <c r="L1667" s="513">
        <v>1405</v>
      </c>
      <c r="M1667" s="152" t="s">
        <v>7116</v>
      </c>
      <c r="N1667" s="513" t="s">
        <v>780</v>
      </c>
      <c r="O1667" s="513" t="s">
        <v>781</v>
      </c>
      <c r="P1667" s="513" t="s">
        <v>7517</v>
      </c>
      <c r="Q1667" s="518" t="s">
        <v>7101</v>
      </c>
      <c r="R1667" s="152" t="s">
        <v>7518</v>
      </c>
      <c r="S1667" s="152" t="s">
        <v>7534</v>
      </c>
      <c r="T1667" s="152" t="s">
        <v>7520</v>
      </c>
      <c r="U1667" s="152" t="s">
        <v>786</v>
      </c>
    </row>
    <row r="1668" spans="4:21">
      <c r="D1668" s="210"/>
      <c r="G1668" s="152" t="s">
        <v>671</v>
      </c>
      <c r="H1668" s="474" t="s">
        <v>672</v>
      </c>
      <c r="I1668" s="474"/>
      <c r="J1668" s="847">
        <v>-1274672.2</v>
      </c>
      <c r="K1668" s="513">
        <v>-907.24</v>
      </c>
      <c r="L1668" s="513">
        <v>1405</v>
      </c>
      <c r="M1668" s="152" t="s">
        <v>7116</v>
      </c>
      <c r="N1668" s="513" t="s">
        <v>780</v>
      </c>
      <c r="O1668" s="513" t="s">
        <v>781</v>
      </c>
      <c r="P1668" s="513" t="s">
        <v>7517</v>
      </c>
      <c r="Q1668" s="518" t="s">
        <v>7101</v>
      </c>
      <c r="R1668" s="152" t="s">
        <v>7518</v>
      </c>
      <c r="S1668" s="152" t="s">
        <v>7571</v>
      </c>
      <c r="T1668" s="152" t="s">
        <v>7520</v>
      </c>
      <c r="U1668" s="152" t="s">
        <v>786</v>
      </c>
    </row>
    <row r="1669" spans="4:21">
      <c r="D1669" s="210"/>
      <c r="G1669" s="152" t="s">
        <v>671</v>
      </c>
      <c r="H1669" s="474" t="s">
        <v>672</v>
      </c>
      <c r="I1669" s="474"/>
      <c r="J1669" s="847">
        <v>-794232.45</v>
      </c>
      <c r="K1669" s="513">
        <v>-565.29</v>
      </c>
      <c r="L1669" s="513">
        <v>1405</v>
      </c>
      <c r="M1669" s="152" t="s">
        <v>7116</v>
      </c>
      <c r="N1669" s="513" t="s">
        <v>780</v>
      </c>
      <c r="O1669" s="513" t="s">
        <v>781</v>
      </c>
      <c r="P1669" s="513" t="s">
        <v>7517</v>
      </c>
      <c r="Q1669" s="518" t="s">
        <v>7101</v>
      </c>
      <c r="R1669" s="152" t="s">
        <v>7518</v>
      </c>
      <c r="S1669" s="152" t="s">
        <v>7521</v>
      </c>
      <c r="T1669" s="152" t="s">
        <v>7520</v>
      </c>
      <c r="U1669" s="152" t="s">
        <v>786</v>
      </c>
    </row>
    <row r="1670" spans="4:21">
      <c r="D1670" s="210"/>
      <c r="G1670" s="152" t="s">
        <v>671</v>
      </c>
      <c r="H1670" s="474" t="s">
        <v>672</v>
      </c>
      <c r="I1670" s="474"/>
      <c r="J1670" s="847">
        <v>-768956.5</v>
      </c>
      <c r="K1670" s="513">
        <v>-547.29999999999995</v>
      </c>
      <c r="L1670" s="513">
        <v>1405</v>
      </c>
      <c r="M1670" s="152" t="s">
        <v>7116</v>
      </c>
      <c r="N1670" s="513" t="s">
        <v>780</v>
      </c>
      <c r="O1670" s="513" t="s">
        <v>781</v>
      </c>
      <c r="P1670" s="513" t="s">
        <v>7517</v>
      </c>
      <c r="Q1670" s="518" t="s">
        <v>7101</v>
      </c>
      <c r="R1670" s="152" t="s">
        <v>7518</v>
      </c>
      <c r="S1670" s="152" t="s">
        <v>7574</v>
      </c>
      <c r="T1670" s="152" t="s">
        <v>7520</v>
      </c>
      <c r="U1670" s="152" t="s">
        <v>786</v>
      </c>
    </row>
    <row r="1671" spans="4:21">
      <c r="D1671" s="210"/>
      <c r="G1671" s="152" t="s">
        <v>671</v>
      </c>
      <c r="H1671" s="474" t="s">
        <v>672</v>
      </c>
      <c r="I1671" s="474"/>
      <c r="J1671" s="847">
        <v>-633683.1</v>
      </c>
      <c r="K1671" s="513">
        <v>-451.02</v>
      </c>
      <c r="L1671" s="513">
        <v>1405</v>
      </c>
      <c r="M1671" s="152" t="s">
        <v>7116</v>
      </c>
      <c r="N1671" s="513" t="s">
        <v>780</v>
      </c>
      <c r="O1671" s="513" t="s">
        <v>781</v>
      </c>
      <c r="P1671" s="513" t="s">
        <v>7517</v>
      </c>
      <c r="Q1671" s="518" t="s">
        <v>7101</v>
      </c>
      <c r="R1671" s="152" t="s">
        <v>7518</v>
      </c>
      <c r="S1671" s="152" t="s">
        <v>7572</v>
      </c>
      <c r="T1671" s="152" t="s">
        <v>7520</v>
      </c>
      <c r="U1671" s="152" t="s">
        <v>786</v>
      </c>
    </row>
    <row r="1672" spans="4:21">
      <c r="D1672" s="210"/>
      <c r="G1672" s="152" t="s">
        <v>671</v>
      </c>
      <c r="H1672" s="474" t="s">
        <v>672</v>
      </c>
      <c r="I1672" s="474"/>
      <c r="J1672" s="847">
        <v>-2697.6</v>
      </c>
      <c r="K1672" s="513">
        <v>-1.92</v>
      </c>
      <c r="L1672" s="513">
        <v>1405</v>
      </c>
      <c r="M1672" s="152" t="s">
        <v>7116</v>
      </c>
      <c r="N1672" s="513" t="s">
        <v>780</v>
      </c>
      <c r="O1672" s="513" t="s">
        <v>781</v>
      </c>
      <c r="P1672" s="513" t="s">
        <v>7517</v>
      </c>
      <c r="Q1672" s="518" t="s">
        <v>7101</v>
      </c>
      <c r="R1672" s="152" t="s">
        <v>7518</v>
      </c>
      <c r="S1672" s="152" t="s">
        <v>953</v>
      </c>
      <c r="T1672" s="152" t="s">
        <v>7520</v>
      </c>
      <c r="U1672" s="152" t="s">
        <v>786</v>
      </c>
    </row>
    <row r="1673" spans="4:21">
      <c r="D1673" s="210"/>
      <c r="G1673" s="152" t="s">
        <v>671</v>
      </c>
      <c r="H1673" s="474" t="s">
        <v>672</v>
      </c>
      <c r="I1673" s="474"/>
      <c r="J1673" s="847">
        <v>-2974455.25</v>
      </c>
      <c r="K1673" s="513">
        <v>-2117.0500000000002</v>
      </c>
      <c r="L1673" s="513">
        <v>1405</v>
      </c>
      <c r="M1673" s="152" t="s">
        <v>7116</v>
      </c>
      <c r="N1673" s="513" t="s">
        <v>780</v>
      </c>
      <c r="O1673" s="513" t="s">
        <v>781</v>
      </c>
      <c r="P1673" s="513" t="s">
        <v>7517</v>
      </c>
      <c r="Q1673" s="518" t="s">
        <v>7101</v>
      </c>
      <c r="R1673" s="152" t="s">
        <v>7518</v>
      </c>
      <c r="S1673" s="152" t="s">
        <v>7573</v>
      </c>
      <c r="T1673" s="152" t="s">
        <v>7520</v>
      </c>
      <c r="U1673" s="152" t="s">
        <v>786</v>
      </c>
    </row>
    <row r="1674" spans="4:21">
      <c r="D1674" s="210"/>
      <c r="G1674" s="152" t="s">
        <v>671</v>
      </c>
      <c r="H1674" s="474" t="s">
        <v>672</v>
      </c>
      <c r="I1674" s="474"/>
      <c r="J1674" s="847">
        <v>-125129.3</v>
      </c>
      <c r="K1674" s="513">
        <v>-89.06</v>
      </c>
      <c r="L1674" s="513">
        <v>1405</v>
      </c>
      <c r="M1674" s="152" t="s">
        <v>7116</v>
      </c>
      <c r="N1674" s="513" t="s">
        <v>780</v>
      </c>
      <c r="O1674" s="513" t="s">
        <v>781</v>
      </c>
      <c r="P1674" s="513" t="s">
        <v>7517</v>
      </c>
      <c r="Q1674" s="518" t="s">
        <v>7101</v>
      </c>
      <c r="R1674" s="152" t="s">
        <v>7518</v>
      </c>
      <c r="S1674" s="152" t="s">
        <v>7575</v>
      </c>
      <c r="T1674" s="152" t="s">
        <v>7520</v>
      </c>
      <c r="U1674" s="152" t="s">
        <v>786</v>
      </c>
    </row>
    <row r="1675" spans="4:21">
      <c r="D1675" s="210"/>
      <c r="G1675" s="152" t="s">
        <v>671</v>
      </c>
      <c r="H1675" s="474" t="s">
        <v>672</v>
      </c>
      <c r="I1675" s="474"/>
      <c r="J1675" s="847">
        <v>-1430023.05</v>
      </c>
      <c r="K1675" s="513">
        <v>-1017.81</v>
      </c>
      <c r="L1675" s="513">
        <v>1405</v>
      </c>
      <c r="M1675" s="152" t="s">
        <v>7116</v>
      </c>
      <c r="N1675" s="513" t="s">
        <v>780</v>
      </c>
      <c r="O1675" s="513" t="s">
        <v>781</v>
      </c>
      <c r="P1675" s="513" t="s">
        <v>7517</v>
      </c>
      <c r="Q1675" s="518" t="s">
        <v>7101</v>
      </c>
      <c r="R1675" s="152" t="s">
        <v>7518</v>
      </c>
      <c r="S1675" s="152" t="s">
        <v>7570</v>
      </c>
      <c r="T1675" s="152" t="s">
        <v>7520</v>
      </c>
      <c r="U1675" s="152" t="s">
        <v>786</v>
      </c>
    </row>
    <row r="1676" spans="4:21">
      <c r="D1676" s="210"/>
      <c r="G1676" s="152" t="s">
        <v>671</v>
      </c>
      <c r="H1676" s="474" t="s">
        <v>672</v>
      </c>
      <c r="I1676" s="474"/>
      <c r="J1676" s="847">
        <v>-314607.59999999998</v>
      </c>
      <c r="K1676" s="513">
        <v>-223.92</v>
      </c>
      <c r="L1676" s="513">
        <v>1405</v>
      </c>
      <c r="M1676" s="152" t="s">
        <v>7116</v>
      </c>
      <c r="N1676" s="513" t="s">
        <v>780</v>
      </c>
      <c r="O1676" s="513" t="s">
        <v>781</v>
      </c>
      <c r="P1676" s="513" t="s">
        <v>7517</v>
      </c>
      <c r="Q1676" s="518" t="s">
        <v>7101</v>
      </c>
      <c r="R1676" s="152" t="s">
        <v>7518</v>
      </c>
      <c r="S1676" s="152" t="s">
        <v>7576</v>
      </c>
      <c r="T1676" s="152" t="s">
        <v>7520</v>
      </c>
      <c r="U1676" s="152" t="s">
        <v>786</v>
      </c>
    </row>
    <row r="1677" spans="4:21">
      <c r="D1677" s="210"/>
      <c r="G1677" s="152" t="s">
        <v>671</v>
      </c>
      <c r="H1677" s="474" t="s">
        <v>672</v>
      </c>
      <c r="I1677" s="474"/>
      <c r="J1677" s="847">
        <v>-151725.95000000001</v>
      </c>
      <c r="K1677" s="513">
        <v>-107.99</v>
      </c>
      <c r="L1677" s="513">
        <v>1405</v>
      </c>
      <c r="M1677" s="152" t="s">
        <v>7116</v>
      </c>
      <c r="N1677" s="513" t="s">
        <v>780</v>
      </c>
      <c r="O1677" s="513" t="s">
        <v>781</v>
      </c>
      <c r="P1677" s="513" t="s">
        <v>7517</v>
      </c>
      <c r="Q1677" s="518" t="s">
        <v>7101</v>
      </c>
      <c r="R1677" s="152" t="s">
        <v>7518</v>
      </c>
      <c r="S1677" s="152" t="s">
        <v>7577</v>
      </c>
      <c r="T1677" s="152" t="s">
        <v>7520</v>
      </c>
      <c r="U1677" s="152" t="s">
        <v>786</v>
      </c>
    </row>
    <row r="1678" spans="4:21">
      <c r="D1678" s="210"/>
      <c r="G1678" s="152" t="s">
        <v>671</v>
      </c>
      <c r="H1678" s="474" t="s">
        <v>672</v>
      </c>
      <c r="I1678" s="474"/>
      <c r="J1678" s="847">
        <v>-135399.85</v>
      </c>
      <c r="K1678" s="513">
        <v>-96.37</v>
      </c>
      <c r="L1678" s="513">
        <v>1405</v>
      </c>
      <c r="M1678" s="152" t="s">
        <v>7116</v>
      </c>
      <c r="N1678" s="513" t="s">
        <v>780</v>
      </c>
      <c r="O1678" s="513" t="s">
        <v>781</v>
      </c>
      <c r="P1678" s="513" t="s">
        <v>7517</v>
      </c>
      <c r="Q1678" s="518" t="s">
        <v>7101</v>
      </c>
      <c r="R1678" s="152" t="s">
        <v>7518</v>
      </c>
      <c r="S1678" s="152" t="s">
        <v>7533</v>
      </c>
      <c r="T1678" s="152" t="s">
        <v>7520</v>
      </c>
      <c r="U1678" s="152" t="s">
        <v>786</v>
      </c>
    </row>
    <row r="1679" spans="4:21">
      <c r="D1679" s="210"/>
      <c r="G1679" s="152" t="s">
        <v>671</v>
      </c>
      <c r="H1679" s="474" t="s">
        <v>672</v>
      </c>
      <c r="I1679" s="474"/>
      <c r="J1679" s="847">
        <v>-2697.6</v>
      </c>
      <c r="K1679" s="513">
        <v>-1.92</v>
      </c>
      <c r="L1679" s="513">
        <v>1405</v>
      </c>
      <c r="M1679" s="152" t="s">
        <v>7116</v>
      </c>
      <c r="N1679" s="513" t="s">
        <v>780</v>
      </c>
      <c r="O1679" s="513" t="s">
        <v>781</v>
      </c>
      <c r="P1679" s="513" t="s">
        <v>7517</v>
      </c>
      <c r="Q1679" s="518" t="s">
        <v>7101</v>
      </c>
      <c r="R1679" s="152" t="s">
        <v>7518</v>
      </c>
      <c r="S1679" s="152" t="s">
        <v>953</v>
      </c>
      <c r="T1679" s="152" t="s">
        <v>7520</v>
      </c>
      <c r="U1679" s="152" t="s">
        <v>786</v>
      </c>
    </row>
    <row r="1680" spans="4:21">
      <c r="D1680" s="210"/>
      <c r="G1680" s="152" t="s">
        <v>671</v>
      </c>
      <c r="H1680" s="474" t="s">
        <v>672</v>
      </c>
      <c r="I1680" s="474"/>
      <c r="J1680" s="847">
        <v>-981898.3</v>
      </c>
      <c r="K1680" s="513">
        <v>-698.86</v>
      </c>
      <c r="L1680" s="513">
        <v>1405</v>
      </c>
      <c r="M1680" s="152" t="s">
        <v>7116</v>
      </c>
      <c r="N1680" s="513" t="s">
        <v>780</v>
      </c>
      <c r="O1680" s="513" t="s">
        <v>781</v>
      </c>
      <c r="P1680" s="513" t="s">
        <v>7517</v>
      </c>
      <c r="Q1680" s="518" t="s">
        <v>7101</v>
      </c>
      <c r="R1680" s="152" t="s">
        <v>7518</v>
      </c>
      <c r="S1680" s="152" t="s">
        <v>7531</v>
      </c>
      <c r="T1680" s="152" t="s">
        <v>7520</v>
      </c>
      <c r="U1680" s="152" t="s">
        <v>786</v>
      </c>
    </row>
    <row r="1681" spans="4:21">
      <c r="D1681" s="210"/>
      <c r="G1681" s="152" t="s">
        <v>671</v>
      </c>
      <c r="H1681" s="474" t="s">
        <v>672</v>
      </c>
      <c r="I1681" s="474"/>
      <c r="J1681" s="847">
        <v>-39621</v>
      </c>
      <c r="K1681" s="513">
        <v>-28.2</v>
      </c>
      <c r="L1681" s="513">
        <v>1405</v>
      </c>
      <c r="M1681" s="152" t="s">
        <v>7116</v>
      </c>
      <c r="N1681" s="513" t="s">
        <v>780</v>
      </c>
      <c r="O1681" s="513" t="s">
        <v>781</v>
      </c>
      <c r="P1681" s="513" t="s">
        <v>7517</v>
      </c>
      <c r="Q1681" s="518" t="s">
        <v>7101</v>
      </c>
      <c r="R1681" s="152" t="s">
        <v>7518</v>
      </c>
      <c r="S1681" s="152" t="s">
        <v>7530</v>
      </c>
      <c r="T1681" s="152" t="s">
        <v>7520</v>
      </c>
      <c r="U1681" s="152" t="s">
        <v>786</v>
      </c>
    </row>
    <row r="1682" spans="4:21">
      <c r="D1682" s="210"/>
      <c r="G1682" s="152" t="s">
        <v>671</v>
      </c>
      <c r="H1682" s="474" t="s">
        <v>672</v>
      </c>
      <c r="I1682" s="474"/>
      <c r="J1682" s="847">
        <v>-325594.7</v>
      </c>
      <c r="K1682" s="513">
        <v>-231.74</v>
      </c>
      <c r="L1682" s="513">
        <v>1405</v>
      </c>
      <c r="M1682" s="152" t="s">
        <v>7116</v>
      </c>
      <c r="N1682" s="513" t="s">
        <v>780</v>
      </c>
      <c r="O1682" s="513" t="s">
        <v>781</v>
      </c>
      <c r="P1682" s="513" t="s">
        <v>7517</v>
      </c>
      <c r="Q1682" s="518" t="s">
        <v>7101</v>
      </c>
      <c r="R1682" s="152" t="s">
        <v>7518</v>
      </c>
      <c r="S1682" s="152" t="s">
        <v>7582</v>
      </c>
      <c r="T1682" s="152" t="s">
        <v>7520</v>
      </c>
      <c r="U1682" s="152" t="s">
        <v>786</v>
      </c>
    </row>
    <row r="1683" spans="4:21">
      <c r="D1683" s="210"/>
      <c r="G1683" s="152" t="s">
        <v>671</v>
      </c>
      <c r="H1683" s="474" t="s">
        <v>672</v>
      </c>
      <c r="I1683" s="474"/>
      <c r="J1683" s="847">
        <v>-49189.05</v>
      </c>
      <c r="K1683" s="513">
        <v>-35.01</v>
      </c>
      <c r="L1683" s="513">
        <v>1405</v>
      </c>
      <c r="M1683" s="152" t="s">
        <v>7116</v>
      </c>
      <c r="N1683" s="513" t="s">
        <v>780</v>
      </c>
      <c r="O1683" s="513" t="s">
        <v>781</v>
      </c>
      <c r="P1683" s="513" t="s">
        <v>7517</v>
      </c>
      <c r="Q1683" s="518" t="s">
        <v>7101</v>
      </c>
      <c r="R1683" s="152" t="s">
        <v>7518</v>
      </c>
      <c r="S1683" s="152" t="s">
        <v>7583</v>
      </c>
      <c r="T1683" s="152" t="s">
        <v>7520</v>
      </c>
      <c r="U1683" s="152" t="s">
        <v>786</v>
      </c>
    </row>
    <row r="1684" spans="4:21">
      <c r="D1684" s="210"/>
      <c r="G1684" s="152" t="s">
        <v>671</v>
      </c>
      <c r="H1684" s="474" t="s">
        <v>672</v>
      </c>
      <c r="I1684" s="474"/>
      <c r="J1684" s="847">
        <v>-411988.15</v>
      </c>
      <c r="K1684" s="513">
        <v>-293.23</v>
      </c>
      <c r="L1684" s="513">
        <v>1405</v>
      </c>
      <c r="M1684" s="152" t="s">
        <v>7116</v>
      </c>
      <c r="N1684" s="513" t="s">
        <v>780</v>
      </c>
      <c r="O1684" s="513" t="s">
        <v>781</v>
      </c>
      <c r="P1684" s="513" t="s">
        <v>7517</v>
      </c>
      <c r="Q1684" s="518" t="s">
        <v>7101</v>
      </c>
      <c r="R1684" s="152" t="s">
        <v>7518</v>
      </c>
      <c r="S1684" s="152" t="s">
        <v>7584</v>
      </c>
      <c r="T1684" s="152" t="s">
        <v>7520</v>
      </c>
      <c r="U1684" s="152" t="s">
        <v>786</v>
      </c>
    </row>
    <row r="1685" spans="4:21">
      <c r="D1685" s="210"/>
      <c r="G1685" s="152" t="s">
        <v>671</v>
      </c>
      <c r="H1685" s="474" t="s">
        <v>672</v>
      </c>
      <c r="I1685" s="474"/>
      <c r="J1685" s="847">
        <v>-536260.4</v>
      </c>
      <c r="K1685" s="513">
        <v>-381.68</v>
      </c>
      <c r="L1685" s="513">
        <v>1405</v>
      </c>
      <c r="M1685" s="152" t="s">
        <v>7116</v>
      </c>
      <c r="N1685" s="513" t="s">
        <v>780</v>
      </c>
      <c r="O1685" s="513" t="s">
        <v>781</v>
      </c>
      <c r="P1685" s="513" t="s">
        <v>7517</v>
      </c>
      <c r="Q1685" s="518" t="s">
        <v>7101</v>
      </c>
      <c r="R1685" s="152" t="s">
        <v>7518</v>
      </c>
      <c r="S1685" s="152" t="s">
        <v>7569</v>
      </c>
      <c r="T1685" s="152" t="s">
        <v>7520</v>
      </c>
      <c r="U1685" s="152" t="s">
        <v>786</v>
      </c>
    </row>
    <row r="1686" spans="4:21">
      <c r="D1686" s="210"/>
      <c r="G1686" s="152" t="s">
        <v>671</v>
      </c>
      <c r="H1686" s="474" t="s">
        <v>672</v>
      </c>
      <c r="I1686" s="474"/>
      <c r="J1686" s="847">
        <v>-59206.7</v>
      </c>
      <c r="K1686" s="513">
        <v>-42.14</v>
      </c>
      <c r="L1686" s="513">
        <v>1405</v>
      </c>
      <c r="M1686" s="152" t="s">
        <v>7116</v>
      </c>
      <c r="N1686" s="513" t="s">
        <v>780</v>
      </c>
      <c r="O1686" s="513" t="s">
        <v>781</v>
      </c>
      <c r="P1686" s="513" t="s">
        <v>7517</v>
      </c>
      <c r="Q1686" s="518" t="s">
        <v>7101</v>
      </c>
      <c r="R1686" s="152" t="s">
        <v>7518</v>
      </c>
      <c r="S1686" s="152" t="s">
        <v>6344</v>
      </c>
      <c r="T1686" s="152" t="s">
        <v>7520</v>
      </c>
      <c r="U1686" s="152" t="s">
        <v>786</v>
      </c>
    </row>
    <row r="1687" spans="4:21">
      <c r="D1687" s="210"/>
      <c r="G1687" s="152" t="s">
        <v>671</v>
      </c>
      <c r="H1687" s="474" t="s">
        <v>672</v>
      </c>
      <c r="I1687" s="474"/>
      <c r="J1687" s="847">
        <v>-507767</v>
      </c>
      <c r="K1687" s="513">
        <v>-361.4</v>
      </c>
      <c r="L1687" s="513">
        <v>1405</v>
      </c>
      <c r="M1687" s="152" t="s">
        <v>7116</v>
      </c>
      <c r="N1687" s="513" t="s">
        <v>780</v>
      </c>
      <c r="O1687" s="513" t="s">
        <v>781</v>
      </c>
      <c r="P1687" s="513" t="s">
        <v>7517</v>
      </c>
      <c r="Q1687" s="518" t="s">
        <v>7101</v>
      </c>
      <c r="R1687" s="152" t="s">
        <v>7518</v>
      </c>
      <c r="S1687" s="152" t="s">
        <v>7587</v>
      </c>
      <c r="T1687" s="152" t="s">
        <v>7520</v>
      </c>
      <c r="U1687" s="152" t="s">
        <v>786</v>
      </c>
    </row>
    <row r="1688" spans="4:21">
      <c r="D1688" s="210"/>
      <c r="G1688" s="152" t="s">
        <v>671</v>
      </c>
      <c r="H1688" s="474" t="s">
        <v>672</v>
      </c>
      <c r="I1688" s="474"/>
      <c r="J1688" s="847">
        <v>-1787525.3</v>
      </c>
      <c r="K1688" s="513">
        <v>-1272.26</v>
      </c>
      <c r="L1688" s="513">
        <v>1405</v>
      </c>
      <c r="M1688" s="152" t="s">
        <v>7116</v>
      </c>
      <c r="N1688" s="513" t="s">
        <v>780</v>
      </c>
      <c r="O1688" s="513" t="s">
        <v>781</v>
      </c>
      <c r="P1688" s="513" t="s">
        <v>7517</v>
      </c>
      <c r="Q1688" s="518" t="s">
        <v>7101</v>
      </c>
      <c r="R1688" s="152" t="s">
        <v>7518</v>
      </c>
      <c r="S1688" s="152" t="s">
        <v>7568</v>
      </c>
      <c r="T1688" s="152" t="s">
        <v>7520</v>
      </c>
      <c r="U1688" s="152" t="s">
        <v>786</v>
      </c>
    </row>
    <row r="1689" spans="4:21">
      <c r="D1689" s="210"/>
      <c r="G1689" s="152" t="s">
        <v>671</v>
      </c>
      <c r="H1689" s="474" t="s">
        <v>672</v>
      </c>
      <c r="I1689" s="474"/>
      <c r="J1689" s="847">
        <v>-2711.65</v>
      </c>
      <c r="K1689" s="513">
        <v>-1.93</v>
      </c>
      <c r="L1689" s="513">
        <v>1405</v>
      </c>
      <c r="M1689" s="152" t="s">
        <v>7116</v>
      </c>
      <c r="N1689" s="513" t="s">
        <v>780</v>
      </c>
      <c r="O1689" s="513" t="s">
        <v>781</v>
      </c>
      <c r="P1689" s="513" t="s">
        <v>7517</v>
      </c>
      <c r="Q1689" s="518" t="s">
        <v>7101</v>
      </c>
      <c r="R1689" s="152" t="s">
        <v>7518</v>
      </c>
      <c r="S1689" s="152" t="s">
        <v>953</v>
      </c>
      <c r="T1689" s="152" t="s">
        <v>7520</v>
      </c>
      <c r="U1689" s="152" t="s">
        <v>786</v>
      </c>
    </row>
    <row r="1690" spans="4:21">
      <c r="D1690" s="210"/>
      <c r="G1690" s="152" t="s">
        <v>671</v>
      </c>
      <c r="H1690" s="474" t="s">
        <v>672</v>
      </c>
      <c r="I1690" s="474"/>
      <c r="J1690" s="847">
        <v>-103351.8</v>
      </c>
      <c r="K1690" s="513">
        <v>-73.56</v>
      </c>
      <c r="L1690" s="513">
        <v>1405</v>
      </c>
      <c r="M1690" s="152" t="s">
        <v>7116</v>
      </c>
      <c r="N1690" s="513" t="s">
        <v>780</v>
      </c>
      <c r="O1690" s="513" t="s">
        <v>781</v>
      </c>
      <c r="P1690" s="513" t="s">
        <v>7517</v>
      </c>
      <c r="Q1690" s="518" t="s">
        <v>7101</v>
      </c>
      <c r="R1690" s="152" t="s">
        <v>7518</v>
      </c>
      <c r="S1690" s="152" t="s">
        <v>7590</v>
      </c>
      <c r="T1690" s="152" t="s">
        <v>7520</v>
      </c>
      <c r="U1690" s="152" t="s">
        <v>786</v>
      </c>
    </row>
    <row r="1691" spans="4:21">
      <c r="D1691" s="210"/>
      <c r="G1691" s="152" t="s">
        <v>671</v>
      </c>
      <c r="H1691" s="474" t="s">
        <v>672</v>
      </c>
      <c r="I1691" s="474"/>
      <c r="J1691" s="847">
        <v>-283613.3</v>
      </c>
      <c r="K1691" s="513">
        <v>-201.86</v>
      </c>
      <c r="L1691" s="513">
        <v>1405</v>
      </c>
      <c r="M1691" s="152" t="s">
        <v>7116</v>
      </c>
      <c r="N1691" s="513" t="s">
        <v>780</v>
      </c>
      <c r="O1691" s="513" t="s">
        <v>781</v>
      </c>
      <c r="P1691" s="513" t="s">
        <v>7517</v>
      </c>
      <c r="Q1691" s="518" t="s">
        <v>7101</v>
      </c>
      <c r="R1691" s="152" t="s">
        <v>7518</v>
      </c>
      <c r="S1691" s="152" t="s">
        <v>7567</v>
      </c>
      <c r="T1691" s="152" t="s">
        <v>7520</v>
      </c>
      <c r="U1691" s="152" t="s">
        <v>786</v>
      </c>
    </row>
    <row r="1692" spans="4:21">
      <c r="D1692" s="210"/>
      <c r="G1692" s="152" t="s">
        <v>671</v>
      </c>
      <c r="H1692" s="474" t="s">
        <v>672</v>
      </c>
      <c r="I1692" s="474"/>
      <c r="J1692" s="847">
        <v>-239496.3</v>
      </c>
      <c r="K1692" s="513">
        <v>-170.46</v>
      </c>
      <c r="L1692" s="513">
        <v>1405</v>
      </c>
      <c r="M1692" s="152" t="s">
        <v>7116</v>
      </c>
      <c r="N1692" s="513" t="s">
        <v>780</v>
      </c>
      <c r="O1692" s="513" t="s">
        <v>781</v>
      </c>
      <c r="P1692" s="513" t="s">
        <v>7517</v>
      </c>
      <c r="Q1692" s="518" t="s">
        <v>7101</v>
      </c>
      <c r="R1692" s="152" t="s">
        <v>7518</v>
      </c>
      <c r="S1692" s="152" t="s">
        <v>7592</v>
      </c>
      <c r="T1692" s="152" t="s">
        <v>7520</v>
      </c>
      <c r="U1692" s="152" t="s">
        <v>786</v>
      </c>
    </row>
    <row r="1693" spans="4:21">
      <c r="D1693" s="210"/>
      <c r="G1693" s="152" t="s">
        <v>671</v>
      </c>
      <c r="H1693" s="474" t="s">
        <v>672</v>
      </c>
      <c r="I1693" s="474"/>
      <c r="J1693" s="847">
        <v>-1072520.8</v>
      </c>
      <c r="K1693" s="513">
        <v>-763.36</v>
      </c>
      <c r="L1693" s="513">
        <v>1405</v>
      </c>
      <c r="M1693" s="152" t="s">
        <v>7116</v>
      </c>
      <c r="N1693" s="513" t="s">
        <v>780</v>
      </c>
      <c r="O1693" s="513" t="s">
        <v>781</v>
      </c>
      <c r="P1693" s="513" t="s">
        <v>7517</v>
      </c>
      <c r="Q1693" s="518" t="s">
        <v>7101</v>
      </c>
      <c r="R1693" s="152" t="s">
        <v>7518</v>
      </c>
      <c r="S1693" s="152" t="s">
        <v>7566</v>
      </c>
      <c r="T1693" s="152" t="s">
        <v>7520</v>
      </c>
      <c r="U1693" s="152" t="s">
        <v>786</v>
      </c>
    </row>
    <row r="1694" spans="4:21">
      <c r="D1694" s="210"/>
      <c r="G1694" s="152" t="s">
        <v>671</v>
      </c>
      <c r="H1694" s="474" t="s">
        <v>672</v>
      </c>
      <c r="I1694" s="474"/>
      <c r="J1694" s="847">
        <v>-79017.2</v>
      </c>
      <c r="K1694" s="513">
        <v>-56.24</v>
      </c>
      <c r="L1694" s="513">
        <v>1405</v>
      </c>
      <c r="M1694" s="152" t="s">
        <v>7116</v>
      </c>
      <c r="N1694" s="513" t="s">
        <v>780</v>
      </c>
      <c r="O1694" s="513" t="s">
        <v>781</v>
      </c>
      <c r="P1694" s="513" t="s">
        <v>7517</v>
      </c>
      <c r="Q1694" s="518" t="s">
        <v>7101</v>
      </c>
      <c r="R1694" s="152" t="s">
        <v>7518</v>
      </c>
      <c r="S1694" s="152" t="s">
        <v>7593</v>
      </c>
      <c r="T1694" s="152" t="s">
        <v>7520</v>
      </c>
      <c r="U1694" s="152" t="s">
        <v>786</v>
      </c>
    </row>
    <row r="1695" spans="4:21">
      <c r="D1695" s="210"/>
      <c r="G1695" s="152" t="s">
        <v>671</v>
      </c>
      <c r="H1695" s="474" t="s">
        <v>672</v>
      </c>
      <c r="I1695" s="474"/>
      <c r="J1695" s="847">
        <v>-2725.7</v>
      </c>
      <c r="K1695" s="513">
        <v>-1.94</v>
      </c>
      <c r="L1695" s="513">
        <v>1405</v>
      </c>
      <c r="M1695" s="152" t="s">
        <v>7116</v>
      </c>
      <c r="N1695" s="513" t="s">
        <v>780</v>
      </c>
      <c r="O1695" s="513" t="s">
        <v>781</v>
      </c>
      <c r="P1695" s="513" t="s">
        <v>7517</v>
      </c>
      <c r="Q1695" s="518" t="s">
        <v>7101</v>
      </c>
      <c r="R1695" s="152" t="s">
        <v>7518</v>
      </c>
      <c r="S1695" s="152" t="s">
        <v>953</v>
      </c>
      <c r="T1695" s="152" t="s">
        <v>7520</v>
      </c>
      <c r="U1695" s="152" t="s">
        <v>786</v>
      </c>
    </row>
    <row r="1696" spans="4:21">
      <c r="D1696" s="210"/>
      <c r="G1696" s="152" t="s">
        <v>671</v>
      </c>
      <c r="H1696" s="474" t="s">
        <v>672</v>
      </c>
      <c r="I1696" s="474"/>
      <c r="J1696" s="847">
        <v>-26807.4</v>
      </c>
      <c r="K1696" s="513">
        <v>-19.079999999999998</v>
      </c>
      <c r="L1696" s="513">
        <v>1405</v>
      </c>
      <c r="M1696" s="152" t="s">
        <v>7116</v>
      </c>
      <c r="N1696" s="513" t="s">
        <v>780</v>
      </c>
      <c r="O1696" s="513" t="s">
        <v>781</v>
      </c>
      <c r="P1696" s="513" t="s">
        <v>7517</v>
      </c>
      <c r="Q1696" s="518" t="s">
        <v>7101</v>
      </c>
      <c r="R1696" s="152" t="s">
        <v>7518</v>
      </c>
      <c r="S1696" s="152" t="s">
        <v>7602</v>
      </c>
      <c r="T1696" s="152" t="s">
        <v>7520</v>
      </c>
      <c r="U1696" s="152" t="s">
        <v>786</v>
      </c>
    </row>
    <row r="1697" spans="4:21">
      <c r="D1697" s="210"/>
      <c r="G1697" s="152" t="s">
        <v>671</v>
      </c>
      <c r="H1697" s="474" t="s">
        <v>672</v>
      </c>
      <c r="I1697" s="474"/>
      <c r="J1697" s="847">
        <v>-21384.1</v>
      </c>
      <c r="K1697" s="513">
        <v>-15.22</v>
      </c>
      <c r="L1697" s="513">
        <v>1405</v>
      </c>
      <c r="M1697" s="152" t="s">
        <v>7116</v>
      </c>
      <c r="N1697" s="513" t="s">
        <v>780</v>
      </c>
      <c r="O1697" s="513" t="s">
        <v>781</v>
      </c>
      <c r="P1697" s="513" t="s">
        <v>7517</v>
      </c>
      <c r="Q1697" s="518" t="s">
        <v>7101</v>
      </c>
      <c r="R1697" s="152" t="s">
        <v>7518</v>
      </c>
      <c r="S1697" s="152" t="s">
        <v>7603</v>
      </c>
      <c r="T1697" s="152" t="s">
        <v>7520</v>
      </c>
      <c r="U1697" s="152" t="s">
        <v>786</v>
      </c>
    </row>
    <row r="1698" spans="4:21">
      <c r="D1698" s="210"/>
      <c r="G1698" s="152" t="s">
        <v>671</v>
      </c>
      <c r="H1698" s="474" t="s">
        <v>672</v>
      </c>
      <c r="I1698" s="474"/>
      <c r="J1698" s="847">
        <v>-11998.7</v>
      </c>
      <c r="K1698" s="513">
        <v>-8.5399999999999991</v>
      </c>
      <c r="L1698" s="513">
        <v>1405</v>
      </c>
      <c r="M1698" s="152" t="s">
        <v>7116</v>
      </c>
      <c r="N1698" s="513" t="s">
        <v>780</v>
      </c>
      <c r="O1698" s="513" t="s">
        <v>781</v>
      </c>
      <c r="P1698" s="513" t="s">
        <v>7517</v>
      </c>
      <c r="Q1698" s="518" t="s">
        <v>7101</v>
      </c>
      <c r="R1698" s="152" t="s">
        <v>7518</v>
      </c>
      <c r="S1698" s="152" t="s">
        <v>7604</v>
      </c>
      <c r="T1698" s="152" t="s">
        <v>7520</v>
      </c>
      <c r="U1698" s="152" t="s">
        <v>786</v>
      </c>
    </row>
    <row r="1699" spans="4:21">
      <c r="D1699" s="210"/>
      <c r="G1699" s="152" t="s">
        <v>671</v>
      </c>
      <c r="H1699" s="474" t="s">
        <v>672</v>
      </c>
      <c r="I1699" s="474"/>
      <c r="J1699" s="847">
        <v>-375387.9</v>
      </c>
      <c r="K1699" s="513">
        <v>-267.18</v>
      </c>
      <c r="L1699" s="513">
        <v>1405</v>
      </c>
      <c r="M1699" s="152" t="s">
        <v>7116</v>
      </c>
      <c r="N1699" s="513" t="s">
        <v>780</v>
      </c>
      <c r="O1699" s="513" t="s">
        <v>781</v>
      </c>
      <c r="P1699" s="513" t="s">
        <v>7517</v>
      </c>
      <c r="Q1699" s="518" t="s">
        <v>7101</v>
      </c>
      <c r="R1699" s="152" t="s">
        <v>7518</v>
      </c>
      <c r="S1699" s="152" t="s">
        <v>7565</v>
      </c>
      <c r="T1699" s="152" t="s">
        <v>7520</v>
      </c>
      <c r="U1699" s="152" t="s">
        <v>786</v>
      </c>
    </row>
    <row r="1700" spans="4:21">
      <c r="D1700" s="210"/>
      <c r="G1700" s="152" t="s">
        <v>671</v>
      </c>
      <c r="H1700" s="474" t="s">
        <v>672</v>
      </c>
      <c r="I1700" s="474"/>
      <c r="J1700" s="847">
        <v>-16269.9</v>
      </c>
      <c r="K1700" s="513">
        <v>-11.58</v>
      </c>
      <c r="L1700" s="513">
        <v>1405</v>
      </c>
      <c r="M1700" s="152" t="s">
        <v>7116</v>
      </c>
      <c r="N1700" s="513" t="s">
        <v>780</v>
      </c>
      <c r="O1700" s="513" t="s">
        <v>781</v>
      </c>
      <c r="P1700" s="513" t="s">
        <v>7517</v>
      </c>
      <c r="Q1700" s="518" t="s">
        <v>7101</v>
      </c>
      <c r="R1700" s="152" t="s">
        <v>7518</v>
      </c>
      <c r="S1700" s="152" t="s">
        <v>7594</v>
      </c>
      <c r="T1700" s="152" t="s">
        <v>7520</v>
      </c>
      <c r="U1700" s="152" t="s">
        <v>786</v>
      </c>
    </row>
    <row r="1701" spans="4:21">
      <c r="D1701" s="210"/>
      <c r="G1701" s="152" t="s">
        <v>671</v>
      </c>
      <c r="H1701" s="474" t="s">
        <v>672</v>
      </c>
      <c r="I1701" s="474"/>
      <c r="J1701" s="847">
        <v>-536260.4</v>
      </c>
      <c r="K1701" s="513">
        <v>-381.68</v>
      </c>
      <c r="L1701" s="513">
        <v>1405</v>
      </c>
      <c r="M1701" s="152" t="s">
        <v>7116</v>
      </c>
      <c r="N1701" s="513" t="s">
        <v>780</v>
      </c>
      <c r="O1701" s="513" t="s">
        <v>781</v>
      </c>
      <c r="P1701" s="513" t="s">
        <v>7517</v>
      </c>
      <c r="Q1701" s="518" t="s">
        <v>7101</v>
      </c>
      <c r="R1701" s="152" t="s">
        <v>7518</v>
      </c>
      <c r="S1701" s="152" t="s">
        <v>7564</v>
      </c>
      <c r="T1701" s="152" t="s">
        <v>7520</v>
      </c>
      <c r="U1701" s="152" t="s">
        <v>786</v>
      </c>
    </row>
    <row r="1702" spans="4:21">
      <c r="D1702" s="210"/>
      <c r="G1702" s="152" t="s">
        <v>671</v>
      </c>
      <c r="H1702" s="474" t="s">
        <v>672</v>
      </c>
      <c r="I1702" s="474"/>
      <c r="J1702" s="847">
        <v>-541262.19999999995</v>
      </c>
      <c r="K1702" s="513">
        <v>-385.24</v>
      </c>
      <c r="L1702" s="513">
        <v>1405</v>
      </c>
      <c r="M1702" s="152" t="s">
        <v>7116</v>
      </c>
      <c r="N1702" s="513" t="s">
        <v>780</v>
      </c>
      <c r="O1702" s="513" t="s">
        <v>781</v>
      </c>
      <c r="P1702" s="513" t="s">
        <v>7517</v>
      </c>
      <c r="Q1702" s="518" t="s">
        <v>7101</v>
      </c>
      <c r="R1702" s="152" t="s">
        <v>7518</v>
      </c>
      <c r="S1702" s="152" t="s">
        <v>7609</v>
      </c>
      <c r="T1702" s="152" t="s">
        <v>7520</v>
      </c>
      <c r="U1702" s="152" t="s">
        <v>786</v>
      </c>
    </row>
    <row r="1703" spans="4:21">
      <c r="D1703" s="210"/>
      <c r="G1703" s="152" t="s">
        <v>671</v>
      </c>
      <c r="H1703" s="474" t="s">
        <v>672</v>
      </c>
      <c r="I1703" s="474"/>
      <c r="J1703" s="847">
        <v>-2697.6</v>
      </c>
      <c r="K1703" s="513">
        <v>-1.92</v>
      </c>
      <c r="L1703" s="513">
        <v>1405</v>
      </c>
      <c r="M1703" s="152" t="s">
        <v>7116</v>
      </c>
      <c r="N1703" s="513" t="s">
        <v>780</v>
      </c>
      <c r="O1703" s="513" t="s">
        <v>781</v>
      </c>
      <c r="P1703" s="513" t="s">
        <v>7517</v>
      </c>
      <c r="Q1703" s="518" t="s">
        <v>7101</v>
      </c>
      <c r="R1703" s="152" t="s">
        <v>7518</v>
      </c>
      <c r="S1703" s="152" t="s">
        <v>953</v>
      </c>
      <c r="T1703" s="152" t="s">
        <v>7520</v>
      </c>
      <c r="U1703" s="152" t="s">
        <v>786</v>
      </c>
    </row>
    <row r="1704" spans="4:21">
      <c r="D1704" s="210"/>
      <c r="G1704" s="152" t="s">
        <v>671</v>
      </c>
      <c r="H1704" s="474" t="s">
        <v>672</v>
      </c>
      <c r="I1704" s="474"/>
      <c r="J1704" s="847">
        <v>-1475.25</v>
      </c>
      <c r="K1704" s="513">
        <v>-1.05</v>
      </c>
      <c r="L1704" s="513">
        <v>1405</v>
      </c>
      <c r="M1704" s="152" t="s">
        <v>7116</v>
      </c>
      <c r="N1704" s="513" t="s">
        <v>780</v>
      </c>
      <c r="O1704" s="513" t="s">
        <v>781</v>
      </c>
      <c r="P1704" s="513" t="s">
        <v>7517</v>
      </c>
      <c r="Q1704" s="518" t="s">
        <v>7101</v>
      </c>
      <c r="R1704" s="152" t="s">
        <v>7518</v>
      </c>
      <c r="S1704" s="152" t="s">
        <v>953</v>
      </c>
      <c r="T1704" s="152" t="s">
        <v>7520</v>
      </c>
      <c r="U1704" s="152" t="s">
        <v>786</v>
      </c>
    </row>
    <row r="1705" spans="4:21">
      <c r="D1705" s="210"/>
      <c r="G1705" s="152" t="s">
        <v>671</v>
      </c>
      <c r="H1705" s="474" t="s">
        <v>672</v>
      </c>
      <c r="I1705" s="474"/>
      <c r="J1705" s="847">
        <v>-95525.95</v>
      </c>
      <c r="K1705" s="513">
        <v>-67.989999999999995</v>
      </c>
      <c r="L1705" s="513">
        <v>1405</v>
      </c>
      <c r="M1705" s="152" t="s">
        <v>7116</v>
      </c>
      <c r="N1705" s="513" t="s">
        <v>780</v>
      </c>
      <c r="O1705" s="513" t="s">
        <v>781</v>
      </c>
      <c r="P1705" s="513" t="s">
        <v>7517</v>
      </c>
      <c r="Q1705" s="518" t="s">
        <v>7101</v>
      </c>
      <c r="R1705" s="152" t="s">
        <v>7518</v>
      </c>
      <c r="S1705" s="152" t="s">
        <v>7610</v>
      </c>
      <c r="T1705" s="152" t="s">
        <v>7520</v>
      </c>
      <c r="U1705" s="152" t="s">
        <v>786</v>
      </c>
    </row>
    <row r="1706" spans="4:21">
      <c r="D1706" s="210"/>
      <c r="G1706" s="152" t="s">
        <v>671</v>
      </c>
      <c r="H1706" s="474" t="s">
        <v>672</v>
      </c>
      <c r="I1706" s="474"/>
      <c r="J1706" s="847">
        <v>-63913.45</v>
      </c>
      <c r="K1706" s="513">
        <v>-45.49</v>
      </c>
      <c r="L1706" s="513">
        <v>1405</v>
      </c>
      <c r="M1706" s="152" t="s">
        <v>7116</v>
      </c>
      <c r="N1706" s="513" t="s">
        <v>780</v>
      </c>
      <c r="O1706" s="513" t="s">
        <v>781</v>
      </c>
      <c r="P1706" s="513" t="s">
        <v>7517</v>
      </c>
      <c r="Q1706" s="518" t="s">
        <v>7101</v>
      </c>
      <c r="R1706" s="152" t="s">
        <v>7518</v>
      </c>
      <c r="S1706" s="152" t="s">
        <v>7529</v>
      </c>
      <c r="T1706" s="152" t="s">
        <v>7520</v>
      </c>
      <c r="U1706" s="152" t="s">
        <v>786</v>
      </c>
    </row>
    <row r="1707" spans="4:21">
      <c r="D1707" s="210"/>
      <c r="G1707" s="152" t="s">
        <v>671</v>
      </c>
      <c r="H1707" s="474" t="s">
        <v>672</v>
      </c>
      <c r="I1707" s="474"/>
      <c r="J1707" s="847">
        <v>-257213.35</v>
      </c>
      <c r="K1707" s="513">
        <v>-183.07</v>
      </c>
      <c r="L1707" s="513">
        <v>1405</v>
      </c>
      <c r="M1707" s="152" t="s">
        <v>7116</v>
      </c>
      <c r="N1707" s="513" t="s">
        <v>780</v>
      </c>
      <c r="O1707" s="513" t="s">
        <v>781</v>
      </c>
      <c r="P1707" s="513" t="s">
        <v>7517</v>
      </c>
      <c r="Q1707" s="518" t="s">
        <v>7101</v>
      </c>
      <c r="R1707" s="152" t="s">
        <v>7518</v>
      </c>
      <c r="S1707" s="152" t="s">
        <v>7540</v>
      </c>
      <c r="T1707" s="152" t="s">
        <v>7520</v>
      </c>
      <c r="U1707" s="152" t="s">
        <v>786</v>
      </c>
    </row>
    <row r="1708" spans="4:21">
      <c r="D1708" s="210"/>
      <c r="G1708" s="152" t="s">
        <v>671</v>
      </c>
      <c r="H1708" s="474" t="s">
        <v>672</v>
      </c>
      <c r="I1708" s="474"/>
      <c r="J1708" s="847">
        <v>-475592.5</v>
      </c>
      <c r="K1708" s="513">
        <v>-338.5</v>
      </c>
      <c r="L1708" s="513">
        <v>1405</v>
      </c>
      <c r="M1708" s="152" t="s">
        <v>7116</v>
      </c>
      <c r="N1708" s="513" t="s">
        <v>780</v>
      </c>
      <c r="O1708" s="513" t="s">
        <v>781</v>
      </c>
      <c r="P1708" s="513" t="s">
        <v>7517</v>
      </c>
      <c r="Q1708" s="518" t="s">
        <v>7101</v>
      </c>
      <c r="R1708" s="152" t="s">
        <v>7518</v>
      </c>
      <c r="S1708" s="152" t="s">
        <v>7539</v>
      </c>
      <c r="T1708" s="152" t="s">
        <v>7520</v>
      </c>
      <c r="U1708" s="152" t="s">
        <v>786</v>
      </c>
    </row>
    <row r="1709" spans="4:21">
      <c r="D1709" s="210"/>
      <c r="G1709" s="152" t="s">
        <v>671</v>
      </c>
      <c r="H1709" s="474" t="s">
        <v>672</v>
      </c>
      <c r="I1709" s="474"/>
      <c r="J1709" s="847">
        <v>-9287.0499999999993</v>
      </c>
      <c r="K1709" s="513">
        <v>-6.61</v>
      </c>
      <c r="L1709" s="513">
        <v>1405</v>
      </c>
      <c r="M1709" s="152" t="s">
        <v>7116</v>
      </c>
      <c r="N1709" s="513" t="s">
        <v>780</v>
      </c>
      <c r="O1709" s="513" t="s">
        <v>781</v>
      </c>
      <c r="P1709" s="513" t="s">
        <v>7517</v>
      </c>
      <c r="Q1709" s="518" t="s">
        <v>7101</v>
      </c>
      <c r="R1709" s="152" t="s">
        <v>7518</v>
      </c>
      <c r="S1709" s="152" t="s">
        <v>7601</v>
      </c>
      <c r="T1709" s="152" t="s">
        <v>7520</v>
      </c>
      <c r="U1709" s="152" t="s">
        <v>786</v>
      </c>
    </row>
    <row r="1710" spans="4:21">
      <c r="D1710" s="210"/>
      <c r="G1710" s="152" t="s">
        <v>671</v>
      </c>
      <c r="H1710" s="474" t="s">
        <v>672</v>
      </c>
      <c r="I1710" s="474"/>
      <c r="J1710" s="847">
        <v>-321759.05</v>
      </c>
      <c r="K1710" s="513">
        <v>-229.01</v>
      </c>
      <c r="L1710" s="513">
        <v>1405</v>
      </c>
      <c r="M1710" s="152" t="s">
        <v>7116</v>
      </c>
      <c r="N1710" s="513" t="s">
        <v>780</v>
      </c>
      <c r="O1710" s="513" t="s">
        <v>781</v>
      </c>
      <c r="P1710" s="513" t="s">
        <v>7517</v>
      </c>
      <c r="Q1710" s="518" t="s">
        <v>7101</v>
      </c>
      <c r="R1710" s="152" t="s">
        <v>7518</v>
      </c>
      <c r="S1710" s="152" t="s">
        <v>7563</v>
      </c>
      <c r="T1710" s="152" t="s">
        <v>7520</v>
      </c>
      <c r="U1710" s="152" t="s">
        <v>786</v>
      </c>
    </row>
    <row r="1711" spans="4:21">
      <c r="D1711" s="210"/>
      <c r="G1711" s="152" t="s">
        <v>671</v>
      </c>
      <c r="H1711" s="474" t="s">
        <v>672</v>
      </c>
      <c r="I1711" s="474"/>
      <c r="J1711" s="847">
        <v>-2739.75</v>
      </c>
      <c r="K1711" s="513">
        <v>-1.95</v>
      </c>
      <c r="L1711" s="513">
        <v>1405</v>
      </c>
      <c r="M1711" s="152" t="s">
        <v>7116</v>
      </c>
      <c r="N1711" s="513" t="s">
        <v>780</v>
      </c>
      <c r="O1711" s="513" t="s">
        <v>781</v>
      </c>
      <c r="P1711" s="513" t="s">
        <v>7517</v>
      </c>
      <c r="Q1711" s="518" t="s">
        <v>7101</v>
      </c>
      <c r="R1711" s="152" t="s">
        <v>7518</v>
      </c>
      <c r="S1711" s="152" t="s">
        <v>953</v>
      </c>
      <c r="T1711" s="152" t="s">
        <v>7520</v>
      </c>
      <c r="U1711" s="152" t="s">
        <v>786</v>
      </c>
    </row>
    <row r="1712" spans="4:21">
      <c r="D1712" s="210"/>
      <c r="G1712" s="152" t="s">
        <v>671</v>
      </c>
      <c r="H1712" s="474" t="s">
        <v>672</v>
      </c>
      <c r="I1712" s="474"/>
      <c r="J1712" s="847">
        <v>-91760.55</v>
      </c>
      <c r="K1712" s="513">
        <v>-65.31</v>
      </c>
      <c r="L1712" s="513">
        <v>1405</v>
      </c>
      <c r="M1712" s="152" t="s">
        <v>7116</v>
      </c>
      <c r="N1712" s="513" t="s">
        <v>780</v>
      </c>
      <c r="O1712" s="513" t="s">
        <v>781</v>
      </c>
      <c r="P1712" s="513" t="s">
        <v>7517</v>
      </c>
      <c r="Q1712" s="518" t="s">
        <v>7101</v>
      </c>
      <c r="R1712" s="152" t="s">
        <v>7518</v>
      </c>
      <c r="S1712" s="152" t="s">
        <v>7538</v>
      </c>
      <c r="T1712" s="152" t="s">
        <v>7520</v>
      </c>
      <c r="U1712" s="152" t="s">
        <v>786</v>
      </c>
    </row>
    <row r="1713" spans="4:21">
      <c r="D1713" s="210"/>
      <c r="G1713" s="152" t="s">
        <v>671</v>
      </c>
      <c r="H1713" s="474" t="s">
        <v>672</v>
      </c>
      <c r="I1713" s="474"/>
      <c r="J1713" s="847">
        <v>-151725.95000000001</v>
      </c>
      <c r="K1713" s="513">
        <v>-107.99</v>
      </c>
      <c r="L1713" s="513">
        <v>1405</v>
      </c>
      <c r="M1713" s="152" t="s">
        <v>7116</v>
      </c>
      <c r="N1713" s="513" t="s">
        <v>780</v>
      </c>
      <c r="O1713" s="513" t="s">
        <v>781</v>
      </c>
      <c r="P1713" s="513" t="s">
        <v>7517</v>
      </c>
      <c r="Q1713" s="518" t="s">
        <v>7101</v>
      </c>
      <c r="R1713" s="152" t="s">
        <v>7518</v>
      </c>
      <c r="S1713" s="152" t="s">
        <v>7596</v>
      </c>
      <c r="T1713" s="152" t="s">
        <v>7520</v>
      </c>
      <c r="U1713" s="152" t="s">
        <v>786</v>
      </c>
    </row>
    <row r="1714" spans="4:21">
      <c r="D1714" s="210"/>
      <c r="G1714" s="152" t="s">
        <v>671</v>
      </c>
      <c r="H1714" s="474" t="s">
        <v>672</v>
      </c>
      <c r="I1714" s="474"/>
      <c r="J1714" s="847">
        <v>-466347.6</v>
      </c>
      <c r="K1714" s="513">
        <v>-331.92</v>
      </c>
      <c r="L1714" s="513">
        <v>1405</v>
      </c>
      <c r="M1714" s="152" t="s">
        <v>7116</v>
      </c>
      <c r="N1714" s="513" t="s">
        <v>780</v>
      </c>
      <c r="O1714" s="513" t="s">
        <v>781</v>
      </c>
      <c r="P1714" s="513" t="s">
        <v>7517</v>
      </c>
      <c r="Q1714" s="518" t="s">
        <v>7101</v>
      </c>
      <c r="R1714" s="152" t="s">
        <v>7518</v>
      </c>
      <c r="S1714" s="152" t="s">
        <v>7597</v>
      </c>
      <c r="T1714" s="152" t="s">
        <v>7520</v>
      </c>
      <c r="U1714" s="152" t="s">
        <v>786</v>
      </c>
    </row>
    <row r="1715" spans="4:21">
      <c r="D1715" s="210"/>
      <c r="G1715" s="152" t="s">
        <v>671</v>
      </c>
      <c r="H1715" s="474" t="s">
        <v>672</v>
      </c>
      <c r="I1715" s="474"/>
      <c r="J1715" s="847">
        <v>-2697.6</v>
      </c>
      <c r="K1715" s="513">
        <v>-1.92</v>
      </c>
      <c r="L1715" s="513">
        <v>1405</v>
      </c>
      <c r="M1715" s="152" t="s">
        <v>7116</v>
      </c>
      <c r="N1715" s="513" t="s">
        <v>780</v>
      </c>
      <c r="O1715" s="513" t="s">
        <v>781</v>
      </c>
      <c r="P1715" s="513" t="s">
        <v>7517</v>
      </c>
      <c r="Q1715" s="518" t="s">
        <v>7101</v>
      </c>
      <c r="R1715" s="152" t="s">
        <v>7518</v>
      </c>
      <c r="S1715" s="152" t="s">
        <v>953</v>
      </c>
      <c r="T1715" s="152" t="s">
        <v>7520</v>
      </c>
      <c r="U1715" s="152" t="s">
        <v>786</v>
      </c>
    </row>
    <row r="1716" spans="4:21">
      <c r="D1716" s="210"/>
      <c r="G1716" s="152" t="s">
        <v>671</v>
      </c>
      <c r="H1716" s="474" t="s">
        <v>672</v>
      </c>
      <c r="I1716" s="474"/>
      <c r="J1716" s="847">
        <v>-906056.4</v>
      </c>
      <c r="K1716" s="513">
        <v>-644.88</v>
      </c>
      <c r="L1716" s="513">
        <v>1405</v>
      </c>
      <c r="M1716" s="152" t="s">
        <v>7116</v>
      </c>
      <c r="N1716" s="513" t="s">
        <v>780</v>
      </c>
      <c r="O1716" s="513" t="s">
        <v>781</v>
      </c>
      <c r="P1716" s="513" t="s">
        <v>7517</v>
      </c>
      <c r="Q1716" s="518" t="s">
        <v>7101</v>
      </c>
      <c r="R1716" s="152" t="s">
        <v>7518</v>
      </c>
      <c r="S1716" s="152" t="s">
        <v>7613</v>
      </c>
      <c r="T1716" s="152" t="s">
        <v>7520</v>
      </c>
      <c r="U1716" s="152" t="s">
        <v>786</v>
      </c>
    </row>
    <row r="1717" spans="4:21">
      <c r="D1717" s="210"/>
      <c r="G1717" s="152" t="s">
        <v>671</v>
      </c>
      <c r="H1717" s="474" t="s">
        <v>672</v>
      </c>
      <c r="I1717" s="474"/>
      <c r="J1717" s="847">
        <v>-227947.2</v>
      </c>
      <c r="K1717" s="513">
        <v>-162.24</v>
      </c>
      <c r="L1717" s="513">
        <v>1405</v>
      </c>
      <c r="M1717" s="152" t="s">
        <v>7116</v>
      </c>
      <c r="N1717" s="513" t="s">
        <v>780</v>
      </c>
      <c r="O1717" s="513" t="s">
        <v>781</v>
      </c>
      <c r="P1717" s="513" t="s">
        <v>7517</v>
      </c>
      <c r="Q1717" s="518" t="s">
        <v>7101</v>
      </c>
      <c r="R1717" s="152" t="s">
        <v>7518</v>
      </c>
      <c r="S1717" s="152" t="s">
        <v>7608</v>
      </c>
      <c r="T1717" s="152" t="s">
        <v>7520</v>
      </c>
      <c r="U1717" s="152" t="s">
        <v>786</v>
      </c>
    </row>
    <row r="1718" spans="4:21">
      <c r="D1718" s="210"/>
      <c r="G1718" s="152" t="s">
        <v>671</v>
      </c>
      <c r="H1718" s="474" t="s">
        <v>672</v>
      </c>
      <c r="I1718" s="474"/>
      <c r="J1718" s="847">
        <v>-682577.1</v>
      </c>
      <c r="K1718" s="513">
        <v>-485.82</v>
      </c>
      <c r="L1718" s="513">
        <v>1405</v>
      </c>
      <c r="M1718" s="152" t="s">
        <v>7116</v>
      </c>
      <c r="N1718" s="513" t="s">
        <v>780</v>
      </c>
      <c r="O1718" s="513" t="s">
        <v>781</v>
      </c>
      <c r="P1718" s="513" t="s">
        <v>7517</v>
      </c>
      <c r="Q1718" s="518" t="s">
        <v>7101</v>
      </c>
      <c r="R1718" s="152" t="s">
        <v>7518</v>
      </c>
      <c r="S1718" s="152" t="s">
        <v>7600</v>
      </c>
      <c r="T1718" s="152" t="s">
        <v>7520</v>
      </c>
      <c r="U1718" s="152" t="s">
        <v>786</v>
      </c>
    </row>
    <row r="1719" spans="4:21">
      <c r="D1719" s="210"/>
      <c r="G1719" s="152" t="s">
        <v>671</v>
      </c>
      <c r="H1719" s="474" t="s">
        <v>672</v>
      </c>
      <c r="I1719" s="474"/>
      <c r="J1719" s="847">
        <v>-2142315.9</v>
      </c>
      <c r="K1719" s="513">
        <v>-1524.78</v>
      </c>
      <c r="L1719" s="513">
        <v>1405</v>
      </c>
      <c r="M1719" s="152" t="s">
        <v>7116</v>
      </c>
      <c r="N1719" s="513" t="s">
        <v>780</v>
      </c>
      <c r="O1719" s="513" t="s">
        <v>781</v>
      </c>
      <c r="P1719" s="513" t="s">
        <v>7517</v>
      </c>
      <c r="Q1719" s="518" t="s">
        <v>7101</v>
      </c>
      <c r="R1719" s="152" t="s">
        <v>7518</v>
      </c>
      <c r="S1719" s="152" t="s">
        <v>7544</v>
      </c>
      <c r="T1719" s="152" t="s">
        <v>7520</v>
      </c>
      <c r="U1719" s="152" t="s">
        <v>786</v>
      </c>
    </row>
    <row r="1720" spans="4:21">
      <c r="D1720" s="210"/>
      <c r="G1720" s="152" t="s">
        <v>671</v>
      </c>
      <c r="H1720" s="474" t="s">
        <v>672</v>
      </c>
      <c r="I1720" s="474"/>
      <c r="J1720" s="847">
        <v>-655418.44999999995</v>
      </c>
      <c r="K1720" s="513">
        <v>-466.49</v>
      </c>
      <c r="L1720" s="513">
        <v>1405</v>
      </c>
      <c r="M1720" s="152" t="s">
        <v>7116</v>
      </c>
      <c r="N1720" s="513" t="s">
        <v>780</v>
      </c>
      <c r="O1720" s="513" t="s">
        <v>781</v>
      </c>
      <c r="P1720" s="513" t="s">
        <v>7517</v>
      </c>
      <c r="Q1720" s="518" t="s">
        <v>7101</v>
      </c>
      <c r="R1720" s="152" t="s">
        <v>7518</v>
      </c>
      <c r="S1720" s="152" t="s">
        <v>7562</v>
      </c>
      <c r="T1720" s="152" t="s">
        <v>7520</v>
      </c>
      <c r="U1720" s="152" t="s">
        <v>786</v>
      </c>
    </row>
    <row r="1721" spans="4:21">
      <c r="D1721" s="210"/>
      <c r="G1721" s="152" t="s">
        <v>671</v>
      </c>
      <c r="H1721" s="474" t="s">
        <v>672</v>
      </c>
      <c r="I1721" s="474"/>
      <c r="J1721" s="847">
        <v>-80436.25</v>
      </c>
      <c r="K1721" s="513">
        <v>-57.25</v>
      </c>
      <c r="L1721" s="513">
        <v>1405</v>
      </c>
      <c r="M1721" s="152" t="s">
        <v>7116</v>
      </c>
      <c r="N1721" s="513" t="s">
        <v>780</v>
      </c>
      <c r="O1721" s="513" t="s">
        <v>781</v>
      </c>
      <c r="P1721" s="513" t="s">
        <v>7517</v>
      </c>
      <c r="Q1721" s="518" t="s">
        <v>7101</v>
      </c>
      <c r="R1721" s="152" t="s">
        <v>7518</v>
      </c>
      <c r="S1721" s="152" t="s">
        <v>7607</v>
      </c>
      <c r="T1721" s="152" t="s">
        <v>7520</v>
      </c>
      <c r="U1721" s="152" t="s">
        <v>786</v>
      </c>
    </row>
    <row r="1722" spans="4:21">
      <c r="D1722" s="210"/>
      <c r="G1722" s="152" t="s">
        <v>671</v>
      </c>
      <c r="H1722" s="474" t="s">
        <v>672</v>
      </c>
      <c r="I1722" s="474"/>
      <c r="J1722" s="847">
        <v>-2697.6</v>
      </c>
      <c r="K1722" s="513">
        <v>-1.92</v>
      </c>
      <c r="L1722" s="513">
        <v>1405</v>
      </c>
      <c r="M1722" s="152" t="s">
        <v>7116</v>
      </c>
      <c r="N1722" s="513" t="s">
        <v>780</v>
      </c>
      <c r="O1722" s="513" t="s">
        <v>781</v>
      </c>
      <c r="P1722" s="513" t="s">
        <v>7517</v>
      </c>
      <c r="Q1722" s="518" t="s">
        <v>7101</v>
      </c>
      <c r="R1722" s="152" t="s">
        <v>7518</v>
      </c>
      <c r="S1722" s="152" t="s">
        <v>953</v>
      </c>
      <c r="T1722" s="152" t="s">
        <v>7520</v>
      </c>
      <c r="U1722" s="152" t="s">
        <v>786</v>
      </c>
    </row>
    <row r="1723" spans="4:21">
      <c r="D1723" s="210"/>
      <c r="G1723" s="152" t="s">
        <v>671</v>
      </c>
      <c r="H1723" s="474" t="s">
        <v>672</v>
      </c>
      <c r="I1723" s="474"/>
      <c r="J1723" s="847">
        <v>-2697.6</v>
      </c>
      <c r="K1723" s="513">
        <v>-1.92</v>
      </c>
      <c r="L1723" s="513">
        <v>1405</v>
      </c>
      <c r="M1723" s="152" t="s">
        <v>7116</v>
      </c>
      <c r="N1723" s="513" t="s">
        <v>780</v>
      </c>
      <c r="O1723" s="513" t="s">
        <v>781</v>
      </c>
      <c r="P1723" s="513" t="s">
        <v>7517</v>
      </c>
      <c r="Q1723" s="518" t="s">
        <v>7101</v>
      </c>
      <c r="R1723" s="152" t="s">
        <v>7518</v>
      </c>
      <c r="S1723" s="152" t="s">
        <v>953</v>
      </c>
      <c r="T1723" s="152" t="s">
        <v>7520</v>
      </c>
      <c r="U1723" s="152" t="s">
        <v>786</v>
      </c>
    </row>
    <row r="1724" spans="4:21">
      <c r="D1724" s="210"/>
      <c r="G1724" s="152" t="s">
        <v>671</v>
      </c>
      <c r="H1724" s="474" t="s">
        <v>672</v>
      </c>
      <c r="I1724" s="474"/>
      <c r="J1724" s="847">
        <v>-715018.55</v>
      </c>
      <c r="K1724" s="513">
        <v>-508.91</v>
      </c>
      <c r="L1724" s="513">
        <v>1405</v>
      </c>
      <c r="M1724" s="152" t="s">
        <v>7116</v>
      </c>
      <c r="N1724" s="513" t="s">
        <v>780</v>
      </c>
      <c r="O1724" s="513" t="s">
        <v>781</v>
      </c>
      <c r="P1724" s="513" t="s">
        <v>7517</v>
      </c>
      <c r="Q1724" s="518" t="s">
        <v>7101</v>
      </c>
      <c r="R1724" s="152" t="s">
        <v>7518</v>
      </c>
      <c r="S1724" s="152" t="s">
        <v>7545</v>
      </c>
      <c r="T1724" s="152" t="s">
        <v>7520</v>
      </c>
      <c r="U1724" s="152" t="s">
        <v>786</v>
      </c>
    </row>
    <row r="1725" spans="4:21">
      <c r="D1725" s="210"/>
      <c r="G1725" s="152" t="s">
        <v>671</v>
      </c>
      <c r="H1725" s="474" t="s">
        <v>672</v>
      </c>
      <c r="I1725" s="474"/>
      <c r="J1725" s="847">
        <v>-307456.15000000002</v>
      </c>
      <c r="K1725" s="513">
        <v>-218.83</v>
      </c>
      <c r="L1725" s="513">
        <v>1405</v>
      </c>
      <c r="M1725" s="152" t="s">
        <v>7116</v>
      </c>
      <c r="N1725" s="513" t="s">
        <v>780</v>
      </c>
      <c r="O1725" s="513" t="s">
        <v>781</v>
      </c>
      <c r="P1725" s="513" t="s">
        <v>7517</v>
      </c>
      <c r="Q1725" s="518" t="s">
        <v>7101</v>
      </c>
      <c r="R1725" s="152" t="s">
        <v>7518</v>
      </c>
      <c r="S1725" s="152" t="s">
        <v>7606</v>
      </c>
      <c r="T1725" s="152" t="s">
        <v>7520</v>
      </c>
      <c r="U1725" s="152" t="s">
        <v>786</v>
      </c>
    </row>
    <row r="1726" spans="4:21">
      <c r="D1726" s="210"/>
      <c r="G1726" s="152" t="s">
        <v>671</v>
      </c>
      <c r="H1726" s="474" t="s">
        <v>672</v>
      </c>
      <c r="I1726" s="474"/>
      <c r="J1726" s="847">
        <v>-2697.6</v>
      </c>
      <c r="K1726" s="513">
        <v>-1.92</v>
      </c>
      <c r="L1726" s="513">
        <v>1405</v>
      </c>
      <c r="M1726" s="152" t="s">
        <v>7116</v>
      </c>
      <c r="N1726" s="513" t="s">
        <v>780</v>
      </c>
      <c r="O1726" s="513" t="s">
        <v>781</v>
      </c>
      <c r="P1726" s="513" t="s">
        <v>7517</v>
      </c>
      <c r="Q1726" s="518" t="s">
        <v>7101</v>
      </c>
      <c r="R1726" s="152" t="s">
        <v>7518</v>
      </c>
      <c r="S1726" s="152" t="s">
        <v>953</v>
      </c>
      <c r="T1726" s="152" t="s">
        <v>7520</v>
      </c>
      <c r="U1726" s="152" t="s">
        <v>786</v>
      </c>
    </row>
    <row r="1727" spans="4:21">
      <c r="D1727" s="210"/>
      <c r="G1727" s="152" t="s">
        <v>671</v>
      </c>
      <c r="H1727" s="474" t="s">
        <v>672</v>
      </c>
      <c r="I1727" s="474"/>
      <c r="J1727" s="847">
        <v>-1601.7</v>
      </c>
      <c r="K1727" s="513">
        <v>-1.1399999999999999</v>
      </c>
      <c r="L1727" s="513">
        <v>1405</v>
      </c>
      <c r="M1727" s="152" t="s">
        <v>7116</v>
      </c>
      <c r="N1727" s="513" t="s">
        <v>780</v>
      </c>
      <c r="O1727" s="513" t="s">
        <v>781</v>
      </c>
      <c r="P1727" s="513" t="s">
        <v>7517</v>
      </c>
      <c r="Q1727" s="518" t="s">
        <v>7101</v>
      </c>
      <c r="R1727" s="152" t="s">
        <v>7518</v>
      </c>
      <c r="S1727" s="152" t="s">
        <v>953</v>
      </c>
      <c r="T1727" s="152" t="s">
        <v>7520</v>
      </c>
      <c r="U1727" s="152" t="s">
        <v>786</v>
      </c>
    </row>
    <row r="1728" spans="4:21">
      <c r="D1728" s="210"/>
      <c r="G1728" s="152" t="s">
        <v>671</v>
      </c>
      <c r="H1728" s="474" t="s">
        <v>672</v>
      </c>
      <c r="I1728" s="474"/>
      <c r="J1728" s="847">
        <v>-343705.15</v>
      </c>
      <c r="K1728" s="513">
        <v>-244.63</v>
      </c>
      <c r="L1728" s="513">
        <v>1405</v>
      </c>
      <c r="M1728" s="152" t="s">
        <v>7116</v>
      </c>
      <c r="N1728" s="513" t="s">
        <v>780</v>
      </c>
      <c r="O1728" s="513" t="s">
        <v>781</v>
      </c>
      <c r="P1728" s="513" t="s">
        <v>7517</v>
      </c>
      <c r="Q1728" s="518" t="s">
        <v>7101</v>
      </c>
      <c r="R1728" s="152" t="s">
        <v>7518</v>
      </c>
      <c r="S1728" s="152" t="s">
        <v>7578</v>
      </c>
      <c r="T1728" s="152" t="s">
        <v>7520</v>
      </c>
      <c r="U1728" s="152" t="s">
        <v>786</v>
      </c>
    </row>
    <row r="1729" spans="4:21">
      <c r="D1729" s="210"/>
      <c r="G1729" s="152" t="s">
        <v>671</v>
      </c>
      <c r="H1729" s="474" t="s">
        <v>672</v>
      </c>
      <c r="I1729" s="474"/>
      <c r="J1729" s="847">
        <v>-275717.2</v>
      </c>
      <c r="K1729" s="513">
        <v>-196.24</v>
      </c>
      <c r="L1729" s="513">
        <v>1405</v>
      </c>
      <c r="M1729" s="152" t="s">
        <v>7116</v>
      </c>
      <c r="N1729" s="513" t="s">
        <v>780</v>
      </c>
      <c r="O1729" s="513" t="s">
        <v>781</v>
      </c>
      <c r="P1729" s="513" t="s">
        <v>7517</v>
      </c>
      <c r="Q1729" s="518" t="s">
        <v>7101</v>
      </c>
      <c r="R1729" s="152" t="s">
        <v>7518</v>
      </c>
      <c r="S1729" s="152" t="s">
        <v>7586</v>
      </c>
      <c r="T1729" s="152" t="s">
        <v>7520</v>
      </c>
      <c r="U1729" s="152" t="s">
        <v>786</v>
      </c>
    </row>
    <row r="1730" spans="4:21">
      <c r="D1730" s="210"/>
      <c r="G1730" s="152" t="s">
        <v>671</v>
      </c>
      <c r="H1730" s="474" t="s">
        <v>672</v>
      </c>
      <c r="I1730" s="474"/>
      <c r="J1730" s="847">
        <v>-573830.1</v>
      </c>
      <c r="K1730" s="513">
        <v>-408.42</v>
      </c>
      <c r="L1730" s="513">
        <v>1405</v>
      </c>
      <c r="M1730" s="152" t="s">
        <v>7116</v>
      </c>
      <c r="N1730" s="513" t="s">
        <v>780</v>
      </c>
      <c r="O1730" s="513" t="s">
        <v>781</v>
      </c>
      <c r="P1730" s="513" t="s">
        <v>7517</v>
      </c>
      <c r="Q1730" s="518" t="s">
        <v>7101</v>
      </c>
      <c r="R1730" s="152" t="s">
        <v>7518</v>
      </c>
      <c r="S1730" s="152" t="s">
        <v>7579</v>
      </c>
      <c r="T1730" s="152" t="s">
        <v>7520</v>
      </c>
      <c r="U1730" s="152" t="s">
        <v>786</v>
      </c>
    </row>
    <row r="1731" spans="4:21">
      <c r="D1731" s="210"/>
      <c r="G1731" s="152" t="s">
        <v>671</v>
      </c>
      <c r="H1731" s="474" t="s">
        <v>672</v>
      </c>
      <c r="I1731" s="474"/>
      <c r="J1731" s="847">
        <v>-580841.05000000005</v>
      </c>
      <c r="K1731" s="513">
        <v>-413.41</v>
      </c>
      <c r="L1731" s="513">
        <v>1405</v>
      </c>
      <c r="M1731" s="152" t="s">
        <v>7116</v>
      </c>
      <c r="N1731" s="513" t="s">
        <v>780</v>
      </c>
      <c r="O1731" s="513" t="s">
        <v>781</v>
      </c>
      <c r="P1731" s="513" t="s">
        <v>7517</v>
      </c>
      <c r="Q1731" s="518" t="s">
        <v>7101</v>
      </c>
      <c r="R1731" s="152" t="s">
        <v>7518</v>
      </c>
      <c r="S1731" s="152" t="s">
        <v>7580</v>
      </c>
      <c r="T1731" s="152" t="s">
        <v>7520</v>
      </c>
      <c r="U1731" s="152" t="s">
        <v>786</v>
      </c>
    </row>
    <row r="1732" spans="4:21">
      <c r="D1732" s="210"/>
      <c r="G1732" s="152" t="s">
        <v>671</v>
      </c>
      <c r="H1732" s="474" t="s">
        <v>672</v>
      </c>
      <c r="I1732" s="474"/>
      <c r="J1732" s="847">
        <v>-24418.9</v>
      </c>
      <c r="K1732" s="513">
        <v>-17.38</v>
      </c>
      <c r="L1732" s="513">
        <v>1405</v>
      </c>
      <c r="M1732" s="152" t="s">
        <v>7116</v>
      </c>
      <c r="N1732" s="513" t="s">
        <v>780</v>
      </c>
      <c r="O1732" s="513" t="s">
        <v>781</v>
      </c>
      <c r="P1732" s="513" t="s">
        <v>7517</v>
      </c>
      <c r="Q1732" s="518" t="s">
        <v>7101</v>
      </c>
      <c r="R1732" s="152" t="s">
        <v>7518</v>
      </c>
      <c r="S1732" s="152" t="s">
        <v>7585</v>
      </c>
      <c r="T1732" s="152" t="s">
        <v>7520</v>
      </c>
      <c r="U1732" s="152" t="s">
        <v>786</v>
      </c>
    </row>
    <row r="1733" spans="4:21">
      <c r="D1733" s="210"/>
      <c r="G1733" s="152" t="s">
        <v>671</v>
      </c>
      <c r="H1733" s="474" t="s">
        <v>672</v>
      </c>
      <c r="I1733" s="474"/>
      <c r="J1733" s="847">
        <v>-988895.2</v>
      </c>
      <c r="K1733" s="513">
        <v>-703.84</v>
      </c>
      <c r="L1733" s="513">
        <v>1405</v>
      </c>
      <c r="M1733" s="152" t="s">
        <v>7116</v>
      </c>
      <c r="N1733" s="513" t="s">
        <v>780</v>
      </c>
      <c r="O1733" s="513" t="s">
        <v>781</v>
      </c>
      <c r="P1733" s="513" t="s">
        <v>7517</v>
      </c>
      <c r="Q1733" s="518" t="s">
        <v>7101</v>
      </c>
      <c r="R1733" s="152" t="s">
        <v>7518</v>
      </c>
      <c r="S1733" s="152" t="s">
        <v>7611</v>
      </c>
      <c r="T1733" s="152" t="s">
        <v>7520</v>
      </c>
      <c r="U1733" s="152" t="s">
        <v>786</v>
      </c>
    </row>
    <row r="1734" spans="4:21">
      <c r="D1734" s="210"/>
      <c r="G1734" s="152" t="s">
        <v>671</v>
      </c>
      <c r="H1734" s="474" t="s">
        <v>672</v>
      </c>
      <c r="I1734" s="474"/>
      <c r="J1734" s="847">
        <v>-2697.6</v>
      </c>
      <c r="K1734" s="513">
        <v>-1.92</v>
      </c>
      <c r="L1734" s="513">
        <v>1405</v>
      </c>
      <c r="M1734" s="152" t="s">
        <v>7116</v>
      </c>
      <c r="N1734" s="513" t="s">
        <v>780</v>
      </c>
      <c r="O1734" s="513" t="s">
        <v>781</v>
      </c>
      <c r="P1734" s="513" t="s">
        <v>7517</v>
      </c>
      <c r="Q1734" s="518" t="s">
        <v>7101</v>
      </c>
      <c r="R1734" s="152" t="s">
        <v>7518</v>
      </c>
      <c r="S1734" s="152" t="s">
        <v>953</v>
      </c>
      <c r="T1734" s="152" t="s">
        <v>7520</v>
      </c>
      <c r="U1734" s="152" t="s">
        <v>786</v>
      </c>
    </row>
    <row r="1735" spans="4:21">
      <c r="D1735" s="210"/>
      <c r="G1735" s="152" t="s">
        <v>671</v>
      </c>
      <c r="H1735" s="474" t="s">
        <v>672</v>
      </c>
      <c r="I1735" s="474"/>
      <c r="J1735" s="847">
        <v>-2697.6</v>
      </c>
      <c r="K1735" s="513">
        <v>-1.92</v>
      </c>
      <c r="L1735" s="513">
        <v>1405</v>
      </c>
      <c r="M1735" s="152" t="s">
        <v>7116</v>
      </c>
      <c r="N1735" s="513" t="s">
        <v>780</v>
      </c>
      <c r="O1735" s="513" t="s">
        <v>781</v>
      </c>
      <c r="P1735" s="513" t="s">
        <v>7517</v>
      </c>
      <c r="Q1735" s="518" t="s">
        <v>7101</v>
      </c>
      <c r="R1735" s="152" t="s">
        <v>7518</v>
      </c>
      <c r="S1735" s="152" t="s">
        <v>953</v>
      </c>
      <c r="T1735" s="152" t="s">
        <v>7520</v>
      </c>
      <c r="U1735" s="152" t="s">
        <v>786</v>
      </c>
    </row>
    <row r="1736" spans="4:21">
      <c r="D1736" s="210"/>
      <c r="G1736" s="152" t="s">
        <v>671</v>
      </c>
      <c r="H1736" s="474" t="s">
        <v>672</v>
      </c>
      <c r="I1736" s="474"/>
      <c r="J1736" s="847">
        <v>-214234.4</v>
      </c>
      <c r="K1736" s="513">
        <v>-152.47999999999999</v>
      </c>
      <c r="L1736" s="513">
        <v>1405</v>
      </c>
      <c r="M1736" s="152" t="s">
        <v>7116</v>
      </c>
      <c r="N1736" s="513" t="s">
        <v>780</v>
      </c>
      <c r="O1736" s="513" t="s">
        <v>781</v>
      </c>
      <c r="P1736" s="513" t="s">
        <v>7517</v>
      </c>
      <c r="Q1736" s="518" t="s">
        <v>7101</v>
      </c>
      <c r="R1736" s="152" t="s">
        <v>7518</v>
      </c>
      <c r="S1736" s="152" t="s">
        <v>7612</v>
      </c>
      <c r="T1736" s="152" t="s">
        <v>7520</v>
      </c>
      <c r="U1736" s="152" t="s">
        <v>786</v>
      </c>
    </row>
    <row r="1737" spans="4:21">
      <c r="D1737" s="210"/>
      <c r="G1737" s="152" t="s">
        <v>671</v>
      </c>
      <c r="H1737" s="474" t="s">
        <v>672</v>
      </c>
      <c r="I1737" s="474"/>
      <c r="J1737" s="847">
        <v>-35757.25</v>
      </c>
      <c r="K1737" s="513">
        <v>-25.45</v>
      </c>
      <c r="L1737" s="513">
        <v>1405</v>
      </c>
      <c r="M1737" s="152" t="s">
        <v>7116</v>
      </c>
      <c r="N1737" s="513" t="s">
        <v>780</v>
      </c>
      <c r="O1737" s="513" t="s">
        <v>781</v>
      </c>
      <c r="P1737" s="513" t="s">
        <v>7517</v>
      </c>
      <c r="Q1737" s="518" t="s">
        <v>7101</v>
      </c>
      <c r="R1737" s="152" t="s">
        <v>7518</v>
      </c>
      <c r="S1737" s="152" t="s">
        <v>7547</v>
      </c>
      <c r="T1737" s="152" t="s">
        <v>7520</v>
      </c>
      <c r="U1737" s="152" t="s">
        <v>786</v>
      </c>
    </row>
    <row r="1738" spans="4:21">
      <c r="D1738" s="210"/>
      <c r="G1738" s="152" t="s">
        <v>671</v>
      </c>
      <c r="H1738" s="474" t="s">
        <v>672</v>
      </c>
      <c r="I1738" s="474"/>
      <c r="J1738" s="847">
        <v>-2387432.2000000002</v>
      </c>
      <c r="K1738" s="513">
        <v>-1699.24</v>
      </c>
      <c r="L1738" s="513">
        <v>1405</v>
      </c>
      <c r="M1738" s="152" t="s">
        <v>7116</v>
      </c>
      <c r="N1738" s="513" t="s">
        <v>780</v>
      </c>
      <c r="O1738" s="513" t="s">
        <v>781</v>
      </c>
      <c r="P1738" s="513" t="s">
        <v>7517</v>
      </c>
      <c r="Q1738" s="518" t="s">
        <v>7101</v>
      </c>
      <c r="R1738" s="152" t="s">
        <v>7518</v>
      </c>
      <c r="S1738" s="152" t="s">
        <v>7591</v>
      </c>
      <c r="T1738" s="152" t="s">
        <v>7520</v>
      </c>
      <c r="U1738" s="152" t="s">
        <v>786</v>
      </c>
    </row>
    <row r="1739" spans="4:21">
      <c r="D1739" s="210"/>
      <c r="G1739" s="152" t="s">
        <v>671</v>
      </c>
      <c r="H1739" s="474" t="s">
        <v>672</v>
      </c>
      <c r="I1739" s="474"/>
      <c r="J1739" s="847">
        <v>-2697.6</v>
      </c>
      <c r="K1739" s="513">
        <v>-1.92</v>
      </c>
      <c r="L1739" s="513">
        <v>1405</v>
      </c>
      <c r="M1739" s="152" t="s">
        <v>7116</v>
      </c>
      <c r="N1739" s="513" t="s">
        <v>780</v>
      </c>
      <c r="O1739" s="513" t="s">
        <v>781</v>
      </c>
      <c r="P1739" s="513" t="s">
        <v>7517</v>
      </c>
      <c r="Q1739" s="518" t="s">
        <v>7101</v>
      </c>
      <c r="R1739" s="152" t="s">
        <v>7518</v>
      </c>
      <c r="S1739" s="152" t="s">
        <v>953</v>
      </c>
      <c r="T1739" s="152" t="s">
        <v>7520</v>
      </c>
      <c r="U1739" s="152" t="s">
        <v>786</v>
      </c>
    </row>
    <row r="1740" spans="4:21">
      <c r="D1740" s="210"/>
      <c r="G1740" s="152" t="s">
        <v>671</v>
      </c>
      <c r="H1740" s="474" t="s">
        <v>672</v>
      </c>
      <c r="I1740" s="474"/>
      <c r="J1740" s="847">
        <v>-2697.6</v>
      </c>
      <c r="K1740" s="513">
        <v>-1.92</v>
      </c>
      <c r="L1740" s="513">
        <v>1405</v>
      </c>
      <c r="M1740" s="152" t="s">
        <v>7116</v>
      </c>
      <c r="N1740" s="513" t="s">
        <v>780</v>
      </c>
      <c r="O1740" s="513" t="s">
        <v>781</v>
      </c>
      <c r="P1740" s="513" t="s">
        <v>7517</v>
      </c>
      <c r="Q1740" s="518" t="s">
        <v>7101</v>
      </c>
      <c r="R1740" s="152" t="s">
        <v>7518</v>
      </c>
      <c r="S1740" s="152" t="s">
        <v>953</v>
      </c>
      <c r="T1740" s="152" t="s">
        <v>7520</v>
      </c>
      <c r="U1740" s="152" t="s">
        <v>786</v>
      </c>
    </row>
    <row r="1741" spans="4:21">
      <c r="D1741" s="210"/>
      <c r="G1741" s="152" t="s">
        <v>671</v>
      </c>
      <c r="H1741" s="474" t="s">
        <v>672</v>
      </c>
      <c r="I1741" s="474"/>
      <c r="J1741" s="847">
        <v>-105824.6</v>
      </c>
      <c r="K1741" s="513">
        <v>-75.319999999999993</v>
      </c>
      <c r="L1741" s="513">
        <v>1405</v>
      </c>
      <c r="M1741" s="152" t="s">
        <v>7116</v>
      </c>
      <c r="N1741" s="513" t="s">
        <v>780</v>
      </c>
      <c r="O1741" s="513" t="s">
        <v>781</v>
      </c>
      <c r="P1741" s="513" t="s">
        <v>7517</v>
      </c>
      <c r="Q1741" s="518" t="s">
        <v>7101</v>
      </c>
      <c r="R1741" s="152" t="s">
        <v>7518</v>
      </c>
      <c r="S1741" s="152" t="s">
        <v>7614</v>
      </c>
      <c r="T1741" s="152" t="s">
        <v>7520</v>
      </c>
      <c r="U1741" s="152" t="s">
        <v>786</v>
      </c>
    </row>
    <row r="1742" spans="4:21">
      <c r="D1742" s="210"/>
      <c r="G1742" s="152" t="s">
        <v>671</v>
      </c>
      <c r="H1742" s="474" t="s">
        <v>672</v>
      </c>
      <c r="I1742" s="474"/>
      <c r="J1742" s="847">
        <v>-107257.7</v>
      </c>
      <c r="K1742" s="513">
        <v>-76.34</v>
      </c>
      <c r="L1742" s="513">
        <v>1405</v>
      </c>
      <c r="M1742" s="152" t="s">
        <v>7116</v>
      </c>
      <c r="N1742" s="513" t="s">
        <v>780</v>
      </c>
      <c r="O1742" s="513" t="s">
        <v>781</v>
      </c>
      <c r="P1742" s="513" t="s">
        <v>7517</v>
      </c>
      <c r="Q1742" s="518" t="s">
        <v>7101</v>
      </c>
      <c r="R1742" s="152" t="s">
        <v>7518</v>
      </c>
      <c r="S1742" s="152" t="s">
        <v>7542</v>
      </c>
      <c r="T1742" s="152" t="s">
        <v>7520</v>
      </c>
      <c r="U1742" s="152" t="s">
        <v>786</v>
      </c>
    </row>
    <row r="1743" spans="4:21">
      <c r="D1743" s="210"/>
      <c r="G1743" s="152" t="s">
        <v>671</v>
      </c>
      <c r="H1743" s="474" t="s">
        <v>672</v>
      </c>
      <c r="I1743" s="474"/>
      <c r="J1743" s="847">
        <v>-173742.3</v>
      </c>
      <c r="K1743" s="513">
        <v>-123.66</v>
      </c>
      <c r="L1743" s="513">
        <v>1405</v>
      </c>
      <c r="M1743" s="152" t="s">
        <v>7116</v>
      </c>
      <c r="N1743" s="513" t="s">
        <v>780</v>
      </c>
      <c r="O1743" s="513" t="s">
        <v>781</v>
      </c>
      <c r="P1743" s="513" t="s">
        <v>7517</v>
      </c>
      <c r="Q1743" s="518" t="s">
        <v>7101</v>
      </c>
      <c r="R1743" s="152" t="s">
        <v>7518</v>
      </c>
      <c r="S1743" s="152" t="s">
        <v>7589</v>
      </c>
      <c r="T1743" s="152" t="s">
        <v>7520</v>
      </c>
      <c r="U1743" s="152" t="s">
        <v>786</v>
      </c>
    </row>
    <row r="1744" spans="4:21">
      <c r="D1744" s="210"/>
      <c r="G1744" s="152" t="s">
        <v>671</v>
      </c>
      <c r="H1744" s="474" t="s">
        <v>672</v>
      </c>
      <c r="I1744" s="474"/>
      <c r="J1744" s="847">
        <v>-2739.75</v>
      </c>
      <c r="K1744" s="513">
        <v>-1.95</v>
      </c>
      <c r="L1744" s="513">
        <v>1405</v>
      </c>
      <c r="M1744" s="152" t="s">
        <v>7116</v>
      </c>
      <c r="N1744" s="513" t="s">
        <v>780</v>
      </c>
      <c r="O1744" s="513" t="s">
        <v>781</v>
      </c>
      <c r="P1744" s="513" t="s">
        <v>7517</v>
      </c>
      <c r="Q1744" s="518" t="s">
        <v>7101</v>
      </c>
      <c r="R1744" s="152" t="s">
        <v>7518</v>
      </c>
      <c r="S1744" s="152" t="s">
        <v>953</v>
      </c>
      <c r="T1744" s="152" t="s">
        <v>7520</v>
      </c>
      <c r="U1744" s="152" t="s">
        <v>786</v>
      </c>
    </row>
    <row r="1745" spans="4:21">
      <c r="D1745" s="210"/>
      <c r="G1745" s="152" t="s">
        <v>671</v>
      </c>
      <c r="H1745" s="474" t="s">
        <v>672</v>
      </c>
      <c r="I1745" s="474"/>
      <c r="J1745" s="847">
        <v>-5999.35</v>
      </c>
      <c r="K1745" s="513">
        <v>-4.2699999999999996</v>
      </c>
      <c r="L1745" s="513">
        <v>1405</v>
      </c>
      <c r="M1745" s="152" t="s">
        <v>7116</v>
      </c>
      <c r="N1745" s="513" t="s">
        <v>780</v>
      </c>
      <c r="O1745" s="513" t="s">
        <v>781</v>
      </c>
      <c r="P1745" s="513" t="s">
        <v>7517</v>
      </c>
      <c r="Q1745" s="518" t="s">
        <v>7101</v>
      </c>
      <c r="R1745" s="152" t="s">
        <v>7518</v>
      </c>
      <c r="S1745" s="152" t="s">
        <v>7588</v>
      </c>
      <c r="T1745" s="152" t="s">
        <v>7520</v>
      </c>
      <c r="U1745" s="152" t="s">
        <v>786</v>
      </c>
    </row>
    <row r="1746" spans="4:21">
      <c r="D1746" s="210"/>
      <c r="G1746" s="152" t="s">
        <v>671</v>
      </c>
      <c r="H1746" s="474" t="s">
        <v>672</v>
      </c>
      <c r="I1746" s="474"/>
      <c r="J1746" s="847">
        <v>-859550.9</v>
      </c>
      <c r="K1746" s="513">
        <v>-611.78</v>
      </c>
      <c r="L1746" s="513">
        <v>1405</v>
      </c>
      <c r="M1746" s="152" t="s">
        <v>7116</v>
      </c>
      <c r="N1746" s="513" t="s">
        <v>780</v>
      </c>
      <c r="O1746" s="513" t="s">
        <v>781</v>
      </c>
      <c r="P1746" s="513" t="s">
        <v>7517</v>
      </c>
      <c r="Q1746" s="518" t="s">
        <v>7101</v>
      </c>
      <c r="R1746" s="152" t="s">
        <v>7518</v>
      </c>
      <c r="S1746" s="152" t="s">
        <v>7595</v>
      </c>
      <c r="T1746" s="152" t="s">
        <v>7520</v>
      </c>
      <c r="U1746" s="152" t="s">
        <v>786</v>
      </c>
    </row>
    <row r="1747" spans="4:21">
      <c r="D1747" s="210"/>
      <c r="G1747" s="152" t="s">
        <v>671</v>
      </c>
      <c r="H1747" s="474" t="s">
        <v>672</v>
      </c>
      <c r="I1747" s="474"/>
      <c r="J1747" s="847">
        <v>-143000.9</v>
      </c>
      <c r="K1747" s="513">
        <v>-101.78</v>
      </c>
      <c r="L1747" s="513">
        <v>1405</v>
      </c>
      <c r="M1747" s="152" t="s">
        <v>7116</v>
      </c>
      <c r="N1747" s="513" t="s">
        <v>780</v>
      </c>
      <c r="O1747" s="513" t="s">
        <v>781</v>
      </c>
      <c r="P1747" s="513" t="s">
        <v>7517</v>
      </c>
      <c r="Q1747" s="518" t="s">
        <v>7101</v>
      </c>
      <c r="R1747" s="152" t="s">
        <v>7518</v>
      </c>
      <c r="S1747" s="152" t="s">
        <v>7581</v>
      </c>
      <c r="T1747" s="152" t="s">
        <v>7520</v>
      </c>
      <c r="U1747" s="152" t="s">
        <v>786</v>
      </c>
    </row>
    <row r="1748" spans="4:21">
      <c r="D1748" s="210"/>
      <c r="G1748" s="152" t="s">
        <v>671</v>
      </c>
      <c r="H1748" s="474" t="s">
        <v>672</v>
      </c>
      <c r="I1748" s="474"/>
      <c r="J1748" s="847">
        <v>-158891.45000000001</v>
      </c>
      <c r="K1748" s="513">
        <v>-113.09</v>
      </c>
      <c r="L1748" s="513">
        <v>1405</v>
      </c>
      <c r="M1748" s="152" t="s">
        <v>7116</v>
      </c>
      <c r="N1748" s="513" t="s">
        <v>780</v>
      </c>
      <c r="O1748" s="513" t="s">
        <v>781</v>
      </c>
      <c r="P1748" s="513" t="s">
        <v>7517</v>
      </c>
      <c r="Q1748" s="518" t="s">
        <v>7101</v>
      </c>
      <c r="R1748" s="152" t="s">
        <v>7518</v>
      </c>
      <c r="S1748" s="152" t="s">
        <v>7599</v>
      </c>
      <c r="T1748" s="152" t="s">
        <v>7520</v>
      </c>
      <c r="U1748" s="152" t="s">
        <v>786</v>
      </c>
    </row>
    <row r="1749" spans="4:21">
      <c r="D1749" s="210"/>
      <c r="G1749" s="152" t="s">
        <v>671</v>
      </c>
      <c r="H1749" s="474" t="s">
        <v>672</v>
      </c>
      <c r="I1749" s="474"/>
      <c r="J1749" s="847">
        <v>-276180.84999999998</v>
      </c>
      <c r="K1749" s="513">
        <v>-196.57</v>
      </c>
      <c r="L1749" s="513">
        <v>1405</v>
      </c>
      <c r="M1749" s="152" t="s">
        <v>7116</v>
      </c>
      <c r="N1749" s="513" t="s">
        <v>780</v>
      </c>
      <c r="O1749" s="513" t="s">
        <v>781</v>
      </c>
      <c r="P1749" s="513" t="s">
        <v>7517</v>
      </c>
      <c r="Q1749" s="518" t="s">
        <v>7101</v>
      </c>
      <c r="R1749" s="152" t="s">
        <v>7518</v>
      </c>
      <c r="S1749" s="152" t="s">
        <v>7598</v>
      </c>
      <c r="T1749" s="152" t="s">
        <v>7520</v>
      </c>
      <c r="U1749" s="152" t="s">
        <v>786</v>
      </c>
    </row>
    <row r="1750" spans="4:21">
      <c r="D1750" s="210"/>
      <c r="G1750" s="152" t="s">
        <v>671</v>
      </c>
      <c r="H1750" s="474" t="s">
        <v>672</v>
      </c>
      <c r="I1750" s="474"/>
      <c r="J1750" s="847">
        <v>-91872.95</v>
      </c>
      <c r="K1750" s="513">
        <v>-65.39</v>
      </c>
      <c r="L1750" s="513">
        <v>1405</v>
      </c>
      <c r="M1750" s="152" t="s">
        <v>7116</v>
      </c>
      <c r="N1750" s="513" t="s">
        <v>780</v>
      </c>
      <c r="O1750" s="513" t="s">
        <v>781</v>
      </c>
      <c r="P1750" s="513" t="s">
        <v>7517</v>
      </c>
      <c r="Q1750" s="518" t="s">
        <v>7101</v>
      </c>
      <c r="R1750" s="152" t="s">
        <v>7518</v>
      </c>
      <c r="S1750" s="152" t="s">
        <v>7605</v>
      </c>
      <c r="T1750" s="152" t="s">
        <v>7520</v>
      </c>
      <c r="U1750" s="152" t="s">
        <v>786</v>
      </c>
    </row>
    <row r="1751" spans="4:21">
      <c r="D1751" s="210"/>
      <c r="G1751" s="152" t="s">
        <v>671</v>
      </c>
      <c r="H1751" s="474" t="s">
        <v>672</v>
      </c>
      <c r="I1751" s="474"/>
      <c r="J1751" s="847">
        <v>-338338.05</v>
      </c>
      <c r="K1751" s="513">
        <v>-240.81</v>
      </c>
      <c r="L1751" s="513">
        <v>1405</v>
      </c>
      <c r="M1751" s="152" t="s">
        <v>7116</v>
      </c>
      <c r="N1751" s="513" t="s">
        <v>780</v>
      </c>
      <c r="O1751" s="513" t="s">
        <v>781</v>
      </c>
      <c r="P1751" s="513" t="s">
        <v>7517</v>
      </c>
      <c r="Q1751" s="518" t="s">
        <v>7101</v>
      </c>
      <c r="R1751" s="152" t="s">
        <v>7518</v>
      </c>
      <c r="S1751" s="152" t="s">
        <v>7615</v>
      </c>
      <c r="T1751" s="152" t="s">
        <v>7520</v>
      </c>
      <c r="U1751" s="152" t="s">
        <v>786</v>
      </c>
    </row>
    <row r="1752" spans="4:21">
      <c r="D1752" s="210"/>
      <c r="G1752" s="152" t="s">
        <v>671</v>
      </c>
      <c r="H1752" s="474" t="s">
        <v>672</v>
      </c>
      <c r="I1752" s="474"/>
      <c r="J1752" s="847">
        <v>-1604.6</v>
      </c>
      <c r="K1752" s="513">
        <v>-1.1299999999999999</v>
      </c>
      <c r="L1752" s="513">
        <v>1420</v>
      </c>
      <c r="M1752" s="152" t="s">
        <v>7143</v>
      </c>
      <c r="N1752" s="513" t="s">
        <v>780</v>
      </c>
      <c r="O1752" s="513" t="s">
        <v>781</v>
      </c>
      <c r="P1752" s="513" t="s">
        <v>7664</v>
      </c>
      <c r="Q1752" s="518" t="s">
        <v>7101</v>
      </c>
      <c r="R1752" s="152" t="s">
        <v>7665</v>
      </c>
      <c r="S1752" s="152" t="s">
        <v>7666</v>
      </c>
      <c r="T1752" s="152" t="s">
        <v>7667</v>
      </c>
      <c r="U1752" s="152" t="s">
        <v>786</v>
      </c>
    </row>
    <row r="1753" spans="4:21">
      <c r="D1753" s="210"/>
      <c r="G1753" s="152" t="s">
        <v>671</v>
      </c>
      <c r="H1753" s="474" t="s">
        <v>672</v>
      </c>
      <c r="I1753" s="474"/>
      <c r="J1753" s="847">
        <v>-726585.6</v>
      </c>
      <c r="K1753" s="513">
        <v>-511.68</v>
      </c>
      <c r="L1753" s="513">
        <v>1420</v>
      </c>
      <c r="M1753" s="152" t="s">
        <v>7143</v>
      </c>
      <c r="N1753" s="513" t="s">
        <v>780</v>
      </c>
      <c r="O1753" s="513" t="s">
        <v>781</v>
      </c>
      <c r="P1753" s="513" t="s">
        <v>7664</v>
      </c>
      <c r="Q1753" s="518" t="s">
        <v>7101</v>
      </c>
      <c r="R1753" s="152" t="s">
        <v>7665</v>
      </c>
      <c r="S1753" s="152" t="s">
        <v>7668</v>
      </c>
      <c r="T1753" s="152" t="s">
        <v>7667</v>
      </c>
      <c r="U1753" s="152" t="s">
        <v>786</v>
      </c>
    </row>
    <row r="1754" spans="4:21">
      <c r="D1754" s="210"/>
      <c r="G1754" s="152" t="s">
        <v>671</v>
      </c>
      <c r="H1754" s="474" t="s">
        <v>672</v>
      </c>
      <c r="I1754" s="474"/>
      <c r="J1754" s="847">
        <v>-2740.6</v>
      </c>
      <c r="K1754" s="513">
        <v>-1.93</v>
      </c>
      <c r="L1754" s="513">
        <v>1420</v>
      </c>
      <c r="M1754" s="152" t="s">
        <v>7143</v>
      </c>
      <c r="N1754" s="513" t="s">
        <v>780</v>
      </c>
      <c r="O1754" s="513" t="s">
        <v>781</v>
      </c>
      <c r="P1754" s="513" t="s">
        <v>7664</v>
      </c>
      <c r="Q1754" s="518" t="s">
        <v>7101</v>
      </c>
      <c r="R1754" s="152" t="s">
        <v>7665</v>
      </c>
      <c r="S1754" s="152" t="s">
        <v>953</v>
      </c>
      <c r="T1754" s="152" t="s">
        <v>7667</v>
      </c>
      <c r="U1754" s="152" t="s">
        <v>786</v>
      </c>
    </row>
    <row r="1755" spans="4:21">
      <c r="D1755" s="210"/>
      <c r="G1755" s="152" t="s">
        <v>671</v>
      </c>
      <c r="H1755" s="474" t="s">
        <v>672</v>
      </c>
      <c r="I1755" s="474"/>
      <c r="J1755" s="847">
        <v>-214874.4</v>
      </c>
      <c r="K1755" s="513">
        <v>-151.32</v>
      </c>
      <c r="L1755" s="513">
        <v>1420</v>
      </c>
      <c r="M1755" s="152" t="s">
        <v>7143</v>
      </c>
      <c r="N1755" s="513" t="s">
        <v>780</v>
      </c>
      <c r="O1755" s="513" t="s">
        <v>781</v>
      </c>
      <c r="P1755" s="513" t="s">
        <v>7664</v>
      </c>
      <c r="Q1755" s="518" t="s">
        <v>7101</v>
      </c>
      <c r="R1755" s="152" t="s">
        <v>7665</v>
      </c>
      <c r="S1755" s="152" t="s">
        <v>7672</v>
      </c>
      <c r="T1755" s="152" t="s">
        <v>7667</v>
      </c>
      <c r="U1755" s="152" t="s">
        <v>786</v>
      </c>
    </row>
    <row r="1756" spans="4:21">
      <c r="D1756" s="210"/>
      <c r="G1756" s="152" t="s">
        <v>671</v>
      </c>
      <c r="H1756" s="474" t="s">
        <v>672</v>
      </c>
      <c r="I1756" s="474"/>
      <c r="J1756" s="847">
        <v>-70659.199999999997</v>
      </c>
      <c r="K1756" s="513">
        <v>-49.76</v>
      </c>
      <c r="L1756" s="513">
        <v>1420</v>
      </c>
      <c r="M1756" s="152" t="s">
        <v>7143</v>
      </c>
      <c r="N1756" s="513" t="s">
        <v>780</v>
      </c>
      <c r="O1756" s="513" t="s">
        <v>781</v>
      </c>
      <c r="P1756" s="513" t="s">
        <v>7664</v>
      </c>
      <c r="Q1756" s="518" t="s">
        <v>7101</v>
      </c>
      <c r="R1756" s="152" t="s">
        <v>7665</v>
      </c>
      <c r="S1756" s="152" t="s">
        <v>7673</v>
      </c>
      <c r="T1756" s="152" t="s">
        <v>7667</v>
      </c>
      <c r="U1756" s="152" t="s">
        <v>786</v>
      </c>
    </row>
    <row r="1757" spans="4:21">
      <c r="D1757" s="210"/>
      <c r="G1757" s="152" t="s">
        <v>671</v>
      </c>
      <c r="H1757" s="474" t="s">
        <v>672</v>
      </c>
      <c r="I1757" s="474"/>
      <c r="J1757" s="847">
        <v>-2712.2</v>
      </c>
      <c r="K1757" s="513">
        <v>-1.91</v>
      </c>
      <c r="L1757" s="513">
        <v>1420</v>
      </c>
      <c r="M1757" s="152" t="s">
        <v>7143</v>
      </c>
      <c r="N1757" s="513" t="s">
        <v>780</v>
      </c>
      <c r="O1757" s="513" t="s">
        <v>781</v>
      </c>
      <c r="P1757" s="513" t="s">
        <v>7664</v>
      </c>
      <c r="Q1757" s="518" t="s">
        <v>7101</v>
      </c>
      <c r="R1757" s="152" t="s">
        <v>7665</v>
      </c>
      <c r="S1757" s="152" t="s">
        <v>953</v>
      </c>
      <c r="T1757" s="152" t="s">
        <v>7667</v>
      </c>
      <c r="U1757" s="152" t="s">
        <v>786</v>
      </c>
    </row>
    <row r="1758" spans="4:21">
      <c r="D1758" s="210"/>
      <c r="G1758" s="152" t="s">
        <v>671</v>
      </c>
      <c r="H1758" s="474" t="s">
        <v>672</v>
      </c>
      <c r="I1758" s="474"/>
      <c r="J1758" s="847">
        <v>-716262.2</v>
      </c>
      <c r="K1758" s="513">
        <v>-504.41</v>
      </c>
      <c r="L1758" s="513">
        <v>1420</v>
      </c>
      <c r="M1758" s="152" t="s">
        <v>7143</v>
      </c>
      <c r="N1758" s="513" t="s">
        <v>780</v>
      </c>
      <c r="O1758" s="513" t="s">
        <v>781</v>
      </c>
      <c r="P1758" s="513" t="s">
        <v>7664</v>
      </c>
      <c r="Q1758" s="518" t="s">
        <v>7101</v>
      </c>
      <c r="R1758" s="152" t="s">
        <v>7665</v>
      </c>
      <c r="S1758" s="152" t="s">
        <v>7674</v>
      </c>
      <c r="T1758" s="152" t="s">
        <v>7667</v>
      </c>
      <c r="U1758" s="152" t="s">
        <v>786</v>
      </c>
    </row>
    <row r="1759" spans="4:21">
      <c r="D1759" s="210"/>
      <c r="G1759" s="152" t="s">
        <v>671</v>
      </c>
      <c r="H1759" s="474" t="s">
        <v>672</v>
      </c>
      <c r="I1759" s="474"/>
      <c r="J1759" s="847">
        <v>-2707485.6</v>
      </c>
      <c r="K1759" s="513">
        <v>-1906.68</v>
      </c>
      <c r="L1759" s="513">
        <v>1420</v>
      </c>
      <c r="M1759" s="152" t="s">
        <v>7143</v>
      </c>
      <c r="N1759" s="513" t="s">
        <v>780</v>
      </c>
      <c r="O1759" s="513" t="s">
        <v>781</v>
      </c>
      <c r="P1759" s="513" t="s">
        <v>7664</v>
      </c>
      <c r="Q1759" s="518" t="s">
        <v>7101</v>
      </c>
      <c r="R1759" s="152" t="s">
        <v>7665</v>
      </c>
      <c r="S1759" s="152" t="s">
        <v>7669</v>
      </c>
      <c r="T1759" s="152" t="s">
        <v>7667</v>
      </c>
      <c r="U1759" s="152" t="s">
        <v>786</v>
      </c>
    </row>
    <row r="1760" spans="4:21">
      <c r="D1760" s="210"/>
      <c r="G1760" s="152" t="s">
        <v>671</v>
      </c>
      <c r="H1760" s="474" t="s">
        <v>672</v>
      </c>
      <c r="I1760" s="474"/>
      <c r="J1760" s="847">
        <v>-1099648</v>
      </c>
      <c r="K1760" s="513">
        <v>-774.4</v>
      </c>
      <c r="L1760" s="513">
        <v>1420</v>
      </c>
      <c r="M1760" s="152" t="s">
        <v>7143</v>
      </c>
      <c r="N1760" s="513" t="s">
        <v>780</v>
      </c>
      <c r="O1760" s="513" t="s">
        <v>781</v>
      </c>
      <c r="P1760" s="513" t="s">
        <v>7664</v>
      </c>
      <c r="Q1760" s="518" t="s">
        <v>7101</v>
      </c>
      <c r="R1760" s="152" t="s">
        <v>7665</v>
      </c>
      <c r="S1760" s="152" t="s">
        <v>7678</v>
      </c>
      <c r="T1760" s="152" t="s">
        <v>7667</v>
      </c>
      <c r="U1760" s="152" t="s">
        <v>786</v>
      </c>
    </row>
    <row r="1761" spans="4:21">
      <c r="D1761" s="210"/>
      <c r="G1761" s="152" t="s">
        <v>671</v>
      </c>
      <c r="H1761" s="474" t="s">
        <v>672</v>
      </c>
      <c r="I1761" s="474"/>
      <c r="J1761" s="847">
        <v>-2740.6</v>
      </c>
      <c r="K1761" s="513">
        <v>-1.93</v>
      </c>
      <c r="L1761" s="513">
        <v>1420</v>
      </c>
      <c r="M1761" s="152" t="s">
        <v>7143</v>
      </c>
      <c r="N1761" s="513" t="s">
        <v>780</v>
      </c>
      <c r="O1761" s="513" t="s">
        <v>781</v>
      </c>
      <c r="P1761" s="513" t="s">
        <v>7664</v>
      </c>
      <c r="Q1761" s="518" t="s">
        <v>7101</v>
      </c>
      <c r="R1761" s="152" t="s">
        <v>7665</v>
      </c>
      <c r="S1761" s="152" t="s">
        <v>953</v>
      </c>
      <c r="T1761" s="152" t="s">
        <v>7667</v>
      </c>
      <c r="U1761" s="152" t="s">
        <v>786</v>
      </c>
    </row>
    <row r="1762" spans="4:21">
      <c r="D1762" s="210"/>
      <c r="G1762" s="152" t="s">
        <v>671</v>
      </c>
      <c r="H1762" s="474" t="s">
        <v>672</v>
      </c>
      <c r="I1762" s="474"/>
      <c r="J1762" s="847">
        <v>-207717.6</v>
      </c>
      <c r="K1762" s="513">
        <v>-146.28</v>
      </c>
      <c r="L1762" s="513">
        <v>1420</v>
      </c>
      <c r="M1762" s="152" t="s">
        <v>7143</v>
      </c>
      <c r="N1762" s="513" t="s">
        <v>780</v>
      </c>
      <c r="O1762" s="513" t="s">
        <v>781</v>
      </c>
      <c r="P1762" s="513" t="s">
        <v>7664</v>
      </c>
      <c r="Q1762" s="518" t="s">
        <v>7101</v>
      </c>
      <c r="R1762" s="152" t="s">
        <v>7665</v>
      </c>
      <c r="S1762" s="152" t="s">
        <v>7682</v>
      </c>
      <c r="T1762" s="152" t="s">
        <v>7667</v>
      </c>
      <c r="U1762" s="152" t="s">
        <v>786</v>
      </c>
    </row>
    <row r="1763" spans="4:21">
      <c r="D1763" s="210"/>
      <c r="G1763" s="152" t="s">
        <v>671</v>
      </c>
      <c r="H1763" s="474" t="s">
        <v>672</v>
      </c>
      <c r="I1763" s="474"/>
      <c r="J1763" s="847">
        <v>-40072.400000000001</v>
      </c>
      <c r="K1763" s="513">
        <v>-28.22</v>
      </c>
      <c r="L1763" s="513">
        <v>1420</v>
      </c>
      <c r="M1763" s="152" t="s">
        <v>7143</v>
      </c>
      <c r="N1763" s="513" t="s">
        <v>780</v>
      </c>
      <c r="O1763" s="513" t="s">
        <v>781</v>
      </c>
      <c r="P1763" s="513" t="s">
        <v>7664</v>
      </c>
      <c r="Q1763" s="518" t="s">
        <v>7101</v>
      </c>
      <c r="R1763" s="152" t="s">
        <v>7665</v>
      </c>
      <c r="S1763" s="152" t="s">
        <v>7683</v>
      </c>
      <c r="T1763" s="152" t="s">
        <v>7667</v>
      </c>
      <c r="U1763" s="152" t="s">
        <v>786</v>
      </c>
    </row>
    <row r="1764" spans="4:21">
      <c r="D1764" s="210"/>
      <c r="G1764" s="152" t="s">
        <v>671</v>
      </c>
      <c r="H1764" s="474" t="s">
        <v>672</v>
      </c>
      <c r="I1764" s="474"/>
      <c r="J1764" s="847">
        <v>-1074400.3999999999</v>
      </c>
      <c r="K1764" s="513">
        <v>-756.62</v>
      </c>
      <c r="L1764" s="513">
        <v>1420</v>
      </c>
      <c r="M1764" s="152" t="s">
        <v>7143</v>
      </c>
      <c r="N1764" s="513" t="s">
        <v>780</v>
      </c>
      <c r="O1764" s="513" t="s">
        <v>781</v>
      </c>
      <c r="P1764" s="513" t="s">
        <v>7664</v>
      </c>
      <c r="Q1764" s="518" t="s">
        <v>7101</v>
      </c>
      <c r="R1764" s="152" t="s">
        <v>7665</v>
      </c>
      <c r="S1764" s="152" t="s">
        <v>7685</v>
      </c>
      <c r="T1764" s="152" t="s">
        <v>7667</v>
      </c>
      <c r="U1764" s="152" t="s">
        <v>786</v>
      </c>
    </row>
    <row r="1765" spans="4:21">
      <c r="D1765" s="210"/>
      <c r="G1765" s="152" t="s">
        <v>671</v>
      </c>
      <c r="H1765" s="474" t="s">
        <v>672</v>
      </c>
      <c r="I1765" s="474"/>
      <c r="J1765" s="847">
        <v>-143249.60000000001</v>
      </c>
      <c r="K1765" s="513">
        <v>-100.88</v>
      </c>
      <c r="L1765" s="513">
        <v>1420</v>
      </c>
      <c r="M1765" s="152" t="s">
        <v>7143</v>
      </c>
      <c r="N1765" s="513" t="s">
        <v>780</v>
      </c>
      <c r="O1765" s="513" t="s">
        <v>781</v>
      </c>
      <c r="P1765" s="513" t="s">
        <v>7664</v>
      </c>
      <c r="Q1765" s="518" t="s">
        <v>7101</v>
      </c>
      <c r="R1765" s="152" t="s">
        <v>7665</v>
      </c>
      <c r="S1765" s="152" t="s">
        <v>7686</v>
      </c>
      <c r="T1765" s="152" t="s">
        <v>7667</v>
      </c>
      <c r="U1765" s="152" t="s">
        <v>786</v>
      </c>
    </row>
    <row r="1766" spans="4:21">
      <c r="D1766" s="210"/>
      <c r="G1766" s="152" t="s">
        <v>671</v>
      </c>
      <c r="H1766" s="474" t="s">
        <v>672</v>
      </c>
      <c r="I1766" s="474"/>
      <c r="J1766" s="847">
        <v>-107053.8</v>
      </c>
      <c r="K1766" s="513">
        <v>-75.39</v>
      </c>
      <c r="L1766" s="513">
        <v>1420</v>
      </c>
      <c r="M1766" s="152" t="s">
        <v>7143</v>
      </c>
      <c r="N1766" s="513" t="s">
        <v>780</v>
      </c>
      <c r="O1766" s="513" t="s">
        <v>781</v>
      </c>
      <c r="P1766" s="513" t="s">
        <v>7664</v>
      </c>
      <c r="Q1766" s="518" t="s">
        <v>7101</v>
      </c>
      <c r="R1766" s="152" t="s">
        <v>7665</v>
      </c>
      <c r="S1766" s="152" t="s">
        <v>7679</v>
      </c>
      <c r="T1766" s="152" t="s">
        <v>7667</v>
      </c>
      <c r="U1766" s="152" t="s">
        <v>786</v>
      </c>
    </row>
    <row r="1767" spans="4:21">
      <c r="D1767" s="210"/>
      <c r="G1767" s="152" t="s">
        <v>671</v>
      </c>
      <c r="H1767" s="474" t="s">
        <v>672</v>
      </c>
      <c r="I1767" s="474"/>
      <c r="J1767" s="847">
        <v>-13674.6</v>
      </c>
      <c r="K1767" s="513">
        <v>-9.6300000000000008</v>
      </c>
      <c r="L1767" s="513">
        <v>1420</v>
      </c>
      <c r="M1767" s="152" t="s">
        <v>7143</v>
      </c>
      <c r="N1767" s="513" t="s">
        <v>780</v>
      </c>
      <c r="O1767" s="513" t="s">
        <v>781</v>
      </c>
      <c r="P1767" s="513" t="s">
        <v>7664</v>
      </c>
      <c r="Q1767" s="518" t="s">
        <v>7101</v>
      </c>
      <c r="R1767" s="152" t="s">
        <v>7665</v>
      </c>
      <c r="S1767" s="152" t="s">
        <v>7677</v>
      </c>
      <c r="T1767" s="152" t="s">
        <v>7667</v>
      </c>
      <c r="U1767" s="152" t="s">
        <v>786</v>
      </c>
    </row>
    <row r="1768" spans="4:21">
      <c r="D1768" s="210"/>
      <c r="G1768" s="152" t="s">
        <v>671</v>
      </c>
      <c r="H1768" s="474" t="s">
        <v>672</v>
      </c>
      <c r="I1768" s="474"/>
      <c r="J1768" s="847">
        <v>-71624.800000000003</v>
      </c>
      <c r="K1768" s="513">
        <v>-50.44</v>
      </c>
      <c r="L1768" s="513">
        <v>1420</v>
      </c>
      <c r="M1768" s="152" t="s">
        <v>7143</v>
      </c>
      <c r="N1768" s="513" t="s">
        <v>780</v>
      </c>
      <c r="O1768" s="513" t="s">
        <v>781</v>
      </c>
      <c r="P1768" s="513" t="s">
        <v>7664</v>
      </c>
      <c r="Q1768" s="518" t="s">
        <v>7101</v>
      </c>
      <c r="R1768" s="152" t="s">
        <v>7665</v>
      </c>
      <c r="S1768" s="152" t="s">
        <v>7676</v>
      </c>
      <c r="T1768" s="152" t="s">
        <v>7667</v>
      </c>
      <c r="U1768" s="152" t="s">
        <v>786</v>
      </c>
    </row>
    <row r="1769" spans="4:21">
      <c r="D1769" s="210"/>
      <c r="G1769" s="152" t="s">
        <v>671</v>
      </c>
      <c r="H1769" s="474" t="s">
        <v>672</v>
      </c>
      <c r="I1769" s="474"/>
      <c r="J1769" s="847">
        <v>-449572</v>
      </c>
      <c r="K1769" s="513">
        <v>-316.60000000000002</v>
      </c>
      <c r="L1769" s="513">
        <v>1420</v>
      </c>
      <c r="M1769" s="152" t="s">
        <v>7143</v>
      </c>
      <c r="N1769" s="513" t="s">
        <v>780</v>
      </c>
      <c r="O1769" s="513" t="s">
        <v>781</v>
      </c>
      <c r="P1769" s="513" t="s">
        <v>7664</v>
      </c>
      <c r="Q1769" s="518" t="s">
        <v>7101</v>
      </c>
      <c r="R1769" s="152" t="s">
        <v>7665</v>
      </c>
      <c r="S1769" s="152" t="s">
        <v>7675</v>
      </c>
      <c r="T1769" s="152" t="s">
        <v>7667</v>
      </c>
      <c r="U1769" s="152" t="s">
        <v>786</v>
      </c>
    </row>
    <row r="1770" spans="4:21">
      <c r="D1770" s="210"/>
      <c r="G1770" s="152" t="s">
        <v>671</v>
      </c>
      <c r="H1770" s="474" t="s">
        <v>672</v>
      </c>
      <c r="I1770" s="474"/>
      <c r="J1770" s="847">
        <v>-23458.400000000001</v>
      </c>
      <c r="K1770" s="513">
        <v>-16.52</v>
      </c>
      <c r="L1770" s="513">
        <v>1420</v>
      </c>
      <c r="M1770" s="152" t="s">
        <v>7143</v>
      </c>
      <c r="N1770" s="513" t="s">
        <v>780</v>
      </c>
      <c r="O1770" s="513" t="s">
        <v>781</v>
      </c>
      <c r="P1770" s="513" t="s">
        <v>7664</v>
      </c>
      <c r="Q1770" s="518" t="s">
        <v>7101</v>
      </c>
      <c r="R1770" s="152" t="s">
        <v>7665</v>
      </c>
      <c r="S1770" s="152" t="s">
        <v>7688</v>
      </c>
      <c r="T1770" s="152" t="s">
        <v>7667</v>
      </c>
      <c r="U1770" s="152" t="s">
        <v>786</v>
      </c>
    </row>
    <row r="1771" spans="4:21">
      <c r="D1771" s="210"/>
      <c r="G1771" s="152" t="s">
        <v>671</v>
      </c>
      <c r="H1771" s="474" t="s">
        <v>672</v>
      </c>
      <c r="I1771" s="474"/>
      <c r="J1771" s="847">
        <v>-2712.2</v>
      </c>
      <c r="K1771" s="513">
        <v>-1.91</v>
      </c>
      <c r="L1771" s="513">
        <v>1420</v>
      </c>
      <c r="M1771" s="152" t="s">
        <v>7143</v>
      </c>
      <c r="N1771" s="513" t="s">
        <v>780</v>
      </c>
      <c r="O1771" s="513" t="s">
        <v>781</v>
      </c>
      <c r="P1771" s="513" t="s">
        <v>7664</v>
      </c>
      <c r="Q1771" s="518" t="s">
        <v>7101</v>
      </c>
      <c r="R1771" s="152" t="s">
        <v>7665</v>
      </c>
      <c r="S1771" s="152" t="s">
        <v>953</v>
      </c>
      <c r="T1771" s="152" t="s">
        <v>7667</v>
      </c>
      <c r="U1771" s="152" t="s">
        <v>786</v>
      </c>
    </row>
    <row r="1772" spans="4:21">
      <c r="D1772" s="210"/>
      <c r="G1772" s="152" t="s">
        <v>671</v>
      </c>
      <c r="H1772" s="474" t="s">
        <v>672</v>
      </c>
      <c r="I1772" s="474"/>
      <c r="J1772" s="847">
        <v>-325904.2</v>
      </c>
      <c r="K1772" s="513">
        <v>-229.51</v>
      </c>
      <c r="L1772" s="513">
        <v>1420</v>
      </c>
      <c r="M1772" s="152" t="s">
        <v>7143</v>
      </c>
      <c r="N1772" s="513" t="s">
        <v>780</v>
      </c>
      <c r="O1772" s="513" t="s">
        <v>781</v>
      </c>
      <c r="P1772" s="513" t="s">
        <v>7664</v>
      </c>
      <c r="Q1772" s="518" t="s">
        <v>7101</v>
      </c>
      <c r="R1772" s="152" t="s">
        <v>7665</v>
      </c>
      <c r="S1772" s="152" t="s">
        <v>7689</v>
      </c>
      <c r="T1772" s="152" t="s">
        <v>7667</v>
      </c>
      <c r="U1772" s="152" t="s">
        <v>786</v>
      </c>
    </row>
    <row r="1773" spans="4:21">
      <c r="D1773" s="210"/>
      <c r="G1773" s="152" t="s">
        <v>671</v>
      </c>
      <c r="H1773" s="474" t="s">
        <v>672</v>
      </c>
      <c r="I1773" s="474"/>
      <c r="J1773" s="847">
        <v>-2712.2</v>
      </c>
      <c r="K1773" s="513">
        <v>-1.91</v>
      </c>
      <c r="L1773" s="513">
        <v>1420</v>
      </c>
      <c r="M1773" s="152" t="s">
        <v>7143</v>
      </c>
      <c r="N1773" s="513" t="s">
        <v>780</v>
      </c>
      <c r="O1773" s="513" t="s">
        <v>781</v>
      </c>
      <c r="P1773" s="513" t="s">
        <v>7664</v>
      </c>
      <c r="Q1773" s="518" t="s">
        <v>7101</v>
      </c>
      <c r="R1773" s="152" t="s">
        <v>7665</v>
      </c>
      <c r="S1773" s="152" t="s">
        <v>953</v>
      </c>
      <c r="T1773" s="152" t="s">
        <v>7667</v>
      </c>
      <c r="U1773" s="152" t="s">
        <v>786</v>
      </c>
    </row>
    <row r="1774" spans="4:21">
      <c r="D1774" s="210"/>
      <c r="G1774" s="152" t="s">
        <v>671</v>
      </c>
      <c r="H1774" s="474" t="s">
        <v>672</v>
      </c>
      <c r="I1774" s="474"/>
      <c r="J1774" s="847">
        <v>-515715.6</v>
      </c>
      <c r="K1774" s="513">
        <v>-363.18</v>
      </c>
      <c r="L1774" s="513">
        <v>1420</v>
      </c>
      <c r="M1774" s="152" t="s">
        <v>7143</v>
      </c>
      <c r="N1774" s="513" t="s">
        <v>780</v>
      </c>
      <c r="O1774" s="513" t="s">
        <v>781</v>
      </c>
      <c r="P1774" s="513" t="s">
        <v>7664</v>
      </c>
      <c r="Q1774" s="518" t="s">
        <v>7101</v>
      </c>
      <c r="R1774" s="152" t="s">
        <v>7665</v>
      </c>
      <c r="S1774" s="152" t="s">
        <v>7690</v>
      </c>
      <c r="T1774" s="152" t="s">
        <v>7667</v>
      </c>
      <c r="U1774" s="152" t="s">
        <v>786</v>
      </c>
    </row>
    <row r="1775" spans="4:21">
      <c r="D1775" s="210"/>
      <c r="G1775" s="152" t="s">
        <v>671</v>
      </c>
      <c r="H1775" s="474" t="s">
        <v>672</v>
      </c>
      <c r="I1775" s="474"/>
      <c r="J1775" s="847">
        <v>-38964.800000000003</v>
      </c>
      <c r="K1775" s="513">
        <v>-27.44</v>
      </c>
      <c r="L1775" s="513">
        <v>1420</v>
      </c>
      <c r="M1775" s="152" t="s">
        <v>7143</v>
      </c>
      <c r="N1775" s="513" t="s">
        <v>780</v>
      </c>
      <c r="O1775" s="513" t="s">
        <v>781</v>
      </c>
      <c r="P1775" s="513" t="s">
        <v>7664</v>
      </c>
      <c r="Q1775" s="518" t="s">
        <v>7101</v>
      </c>
      <c r="R1775" s="152" t="s">
        <v>7665</v>
      </c>
      <c r="S1775" s="152" t="s">
        <v>7671</v>
      </c>
      <c r="T1775" s="152" t="s">
        <v>7667</v>
      </c>
      <c r="U1775" s="152" t="s">
        <v>786</v>
      </c>
    </row>
    <row r="1776" spans="4:21">
      <c r="D1776" s="210"/>
      <c r="G1776" s="152" t="s">
        <v>671</v>
      </c>
      <c r="H1776" s="474" t="s">
        <v>672</v>
      </c>
      <c r="I1776" s="474"/>
      <c r="J1776" s="847">
        <v>-13717.2</v>
      </c>
      <c r="K1776" s="513">
        <v>-9.66</v>
      </c>
      <c r="L1776" s="513">
        <v>1420</v>
      </c>
      <c r="M1776" s="152" t="s">
        <v>7143</v>
      </c>
      <c r="N1776" s="513" t="s">
        <v>780</v>
      </c>
      <c r="O1776" s="513" t="s">
        <v>781</v>
      </c>
      <c r="P1776" s="513" t="s">
        <v>7664</v>
      </c>
      <c r="Q1776" s="518" t="s">
        <v>7101</v>
      </c>
      <c r="R1776" s="152" t="s">
        <v>7665</v>
      </c>
      <c r="S1776" s="152" t="s">
        <v>7687</v>
      </c>
      <c r="T1776" s="152" t="s">
        <v>7667</v>
      </c>
      <c r="U1776" s="152" t="s">
        <v>786</v>
      </c>
    </row>
    <row r="1777" spans="4:21">
      <c r="D1777" s="210"/>
      <c r="G1777" s="152" t="s">
        <v>671</v>
      </c>
      <c r="H1777" s="474" t="s">
        <v>672</v>
      </c>
      <c r="I1777" s="474"/>
      <c r="J1777" s="847">
        <v>-80286.8</v>
      </c>
      <c r="K1777" s="513">
        <v>-56.54</v>
      </c>
      <c r="L1777" s="513">
        <v>1420</v>
      </c>
      <c r="M1777" s="152" t="s">
        <v>7143</v>
      </c>
      <c r="N1777" s="513" t="s">
        <v>780</v>
      </c>
      <c r="O1777" s="513" t="s">
        <v>781</v>
      </c>
      <c r="P1777" s="513" t="s">
        <v>7664</v>
      </c>
      <c r="Q1777" s="518" t="s">
        <v>7101</v>
      </c>
      <c r="R1777" s="152" t="s">
        <v>7665</v>
      </c>
      <c r="S1777" s="152" t="s">
        <v>7693</v>
      </c>
      <c r="T1777" s="152" t="s">
        <v>7667</v>
      </c>
      <c r="U1777" s="152" t="s">
        <v>786</v>
      </c>
    </row>
    <row r="1778" spans="4:21">
      <c r="D1778" s="210"/>
      <c r="G1778" s="152" t="s">
        <v>671</v>
      </c>
      <c r="H1778" s="474" t="s">
        <v>672</v>
      </c>
      <c r="I1778" s="474"/>
      <c r="J1778" s="847">
        <v>-236373.2</v>
      </c>
      <c r="K1778" s="513">
        <v>-166.46</v>
      </c>
      <c r="L1778" s="513">
        <v>1420</v>
      </c>
      <c r="M1778" s="152" t="s">
        <v>7143</v>
      </c>
      <c r="N1778" s="513" t="s">
        <v>780</v>
      </c>
      <c r="O1778" s="513" t="s">
        <v>781</v>
      </c>
      <c r="P1778" s="513" t="s">
        <v>7664</v>
      </c>
      <c r="Q1778" s="518" t="s">
        <v>7101</v>
      </c>
      <c r="R1778" s="152" t="s">
        <v>7665</v>
      </c>
      <c r="S1778" s="152" t="s">
        <v>6361</v>
      </c>
      <c r="T1778" s="152" t="s">
        <v>7667</v>
      </c>
      <c r="U1778" s="152" t="s">
        <v>786</v>
      </c>
    </row>
    <row r="1779" spans="4:21">
      <c r="D1779" s="210"/>
      <c r="G1779" s="152" t="s">
        <v>671</v>
      </c>
      <c r="H1779" s="474" t="s">
        <v>672</v>
      </c>
      <c r="I1779" s="474"/>
      <c r="J1779" s="847">
        <v>-2712.2</v>
      </c>
      <c r="K1779" s="513">
        <v>-1.91</v>
      </c>
      <c r="L1779" s="513">
        <v>1420</v>
      </c>
      <c r="M1779" s="152" t="s">
        <v>7143</v>
      </c>
      <c r="N1779" s="513" t="s">
        <v>780</v>
      </c>
      <c r="O1779" s="513" t="s">
        <v>781</v>
      </c>
      <c r="P1779" s="513" t="s">
        <v>7664</v>
      </c>
      <c r="Q1779" s="518" t="s">
        <v>7101</v>
      </c>
      <c r="R1779" s="152" t="s">
        <v>7665</v>
      </c>
      <c r="S1779" s="152" t="s">
        <v>953</v>
      </c>
      <c r="T1779" s="152" t="s">
        <v>7667</v>
      </c>
      <c r="U1779" s="152" t="s">
        <v>786</v>
      </c>
    </row>
    <row r="1780" spans="4:21">
      <c r="D1780" s="210"/>
      <c r="G1780" s="152" t="s">
        <v>671</v>
      </c>
      <c r="H1780" s="474" t="s">
        <v>672</v>
      </c>
      <c r="I1780" s="474"/>
      <c r="J1780" s="847">
        <v>-17011.599999999999</v>
      </c>
      <c r="K1780" s="513">
        <v>-11.98</v>
      </c>
      <c r="L1780" s="513">
        <v>1420</v>
      </c>
      <c r="M1780" s="152" t="s">
        <v>7143</v>
      </c>
      <c r="N1780" s="513" t="s">
        <v>780</v>
      </c>
      <c r="O1780" s="513" t="s">
        <v>781</v>
      </c>
      <c r="P1780" s="513" t="s">
        <v>7664</v>
      </c>
      <c r="Q1780" s="518" t="s">
        <v>7101</v>
      </c>
      <c r="R1780" s="152" t="s">
        <v>7665</v>
      </c>
      <c r="S1780" s="152" t="s">
        <v>7691</v>
      </c>
      <c r="T1780" s="152" t="s">
        <v>7667</v>
      </c>
      <c r="U1780" s="152" t="s">
        <v>786</v>
      </c>
    </row>
    <row r="1781" spans="4:21">
      <c r="D1781" s="210"/>
      <c r="G1781" s="152" t="s">
        <v>671</v>
      </c>
      <c r="H1781" s="474" t="s">
        <v>672</v>
      </c>
      <c r="I1781" s="474"/>
      <c r="J1781" s="847">
        <v>-457694.4</v>
      </c>
      <c r="K1781" s="513">
        <v>-322.32</v>
      </c>
      <c r="L1781" s="513">
        <v>1420</v>
      </c>
      <c r="M1781" s="152" t="s">
        <v>7143</v>
      </c>
      <c r="N1781" s="513" t="s">
        <v>780</v>
      </c>
      <c r="O1781" s="513" t="s">
        <v>781</v>
      </c>
      <c r="P1781" s="513" t="s">
        <v>7664</v>
      </c>
      <c r="Q1781" s="518" t="s">
        <v>7101</v>
      </c>
      <c r="R1781" s="152" t="s">
        <v>7665</v>
      </c>
      <c r="S1781" s="152" t="s">
        <v>7692</v>
      </c>
      <c r="T1781" s="152" t="s">
        <v>7667</v>
      </c>
      <c r="U1781" s="152" t="s">
        <v>786</v>
      </c>
    </row>
    <row r="1782" spans="4:21">
      <c r="D1782" s="210"/>
      <c r="G1782" s="152" t="s">
        <v>671</v>
      </c>
      <c r="H1782" s="474" t="s">
        <v>672</v>
      </c>
      <c r="I1782" s="474"/>
      <c r="J1782" s="847">
        <v>-20916.599999999999</v>
      </c>
      <c r="K1782" s="513">
        <v>-14.73</v>
      </c>
      <c r="L1782" s="513">
        <v>1420</v>
      </c>
      <c r="M1782" s="152" t="s">
        <v>7143</v>
      </c>
      <c r="N1782" s="513" t="s">
        <v>780</v>
      </c>
      <c r="O1782" s="513" t="s">
        <v>781</v>
      </c>
      <c r="P1782" s="513" t="s">
        <v>7664</v>
      </c>
      <c r="Q1782" s="518" t="s">
        <v>7101</v>
      </c>
      <c r="R1782" s="152" t="s">
        <v>7665</v>
      </c>
      <c r="S1782" s="152" t="s">
        <v>7681</v>
      </c>
      <c r="T1782" s="152" t="s">
        <v>7667</v>
      </c>
      <c r="U1782" s="152" t="s">
        <v>786</v>
      </c>
    </row>
    <row r="1783" spans="4:21">
      <c r="D1783" s="210"/>
      <c r="G1783" s="152" t="s">
        <v>671</v>
      </c>
      <c r="H1783" s="474" t="s">
        <v>672</v>
      </c>
      <c r="I1783" s="474"/>
      <c r="J1783" s="847">
        <v>-2712.2</v>
      </c>
      <c r="K1783" s="513">
        <v>-1.91</v>
      </c>
      <c r="L1783" s="513">
        <v>1420</v>
      </c>
      <c r="M1783" s="152" t="s">
        <v>7143</v>
      </c>
      <c r="N1783" s="513" t="s">
        <v>780</v>
      </c>
      <c r="O1783" s="513" t="s">
        <v>781</v>
      </c>
      <c r="P1783" s="513" t="s">
        <v>7664</v>
      </c>
      <c r="Q1783" s="518" t="s">
        <v>7101</v>
      </c>
      <c r="R1783" s="152" t="s">
        <v>7665</v>
      </c>
      <c r="S1783" s="152" t="s">
        <v>7684</v>
      </c>
      <c r="T1783" s="152" t="s">
        <v>7667</v>
      </c>
      <c r="U1783" s="152" t="s">
        <v>786</v>
      </c>
    </row>
    <row r="1784" spans="4:21">
      <c r="D1784" s="210"/>
      <c r="G1784" s="152" t="s">
        <v>671</v>
      </c>
      <c r="H1784" s="474" t="s">
        <v>672</v>
      </c>
      <c r="I1784" s="474"/>
      <c r="J1784" s="847">
        <v>-1604.6</v>
      </c>
      <c r="K1784" s="513">
        <v>-1.1299999999999999</v>
      </c>
      <c r="L1784" s="513">
        <v>1420</v>
      </c>
      <c r="M1784" s="152" t="s">
        <v>7143</v>
      </c>
      <c r="N1784" s="513" t="s">
        <v>780</v>
      </c>
      <c r="O1784" s="513" t="s">
        <v>781</v>
      </c>
      <c r="P1784" s="513" t="s">
        <v>7664</v>
      </c>
      <c r="Q1784" s="518" t="s">
        <v>7101</v>
      </c>
      <c r="R1784" s="152" t="s">
        <v>7665</v>
      </c>
      <c r="S1784" s="152" t="s">
        <v>953</v>
      </c>
      <c r="T1784" s="152" t="s">
        <v>7667</v>
      </c>
      <c r="U1784" s="152" t="s">
        <v>786</v>
      </c>
    </row>
    <row r="1785" spans="4:21">
      <c r="D1785" s="210"/>
      <c r="G1785" s="152" t="s">
        <v>671</v>
      </c>
      <c r="H1785" s="474" t="s">
        <v>672</v>
      </c>
      <c r="I1785" s="474"/>
      <c r="J1785" s="847">
        <v>-261081.2</v>
      </c>
      <c r="K1785" s="513">
        <v>-183.86</v>
      </c>
      <c r="L1785" s="513">
        <v>1420</v>
      </c>
      <c r="M1785" s="152" t="s">
        <v>7143</v>
      </c>
      <c r="N1785" s="513" t="s">
        <v>780</v>
      </c>
      <c r="O1785" s="513" t="s">
        <v>781</v>
      </c>
      <c r="P1785" s="513" t="s">
        <v>7664</v>
      </c>
      <c r="Q1785" s="518" t="s">
        <v>7101</v>
      </c>
      <c r="R1785" s="152" t="s">
        <v>7665</v>
      </c>
      <c r="S1785" s="152" t="s">
        <v>7680</v>
      </c>
      <c r="T1785" s="152" t="s">
        <v>7667</v>
      </c>
      <c r="U1785" s="152" t="s">
        <v>786</v>
      </c>
    </row>
    <row r="1786" spans="4:21">
      <c r="D1786" s="210"/>
      <c r="G1786" s="152" t="s">
        <v>671</v>
      </c>
      <c r="H1786" s="474" t="s">
        <v>672</v>
      </c>
      <c r="I1786" s="474"/>
      <c r="J1786" s="847">
        <v>-2740.6</v>
      </c>
      <c r="K1786" s="513">
        <v>-1.93</v>
      </c>
      <c r="L1786" s="513">
        <v>1420</v>
      </c>
      <c r="M1786" s="152" t="s">
        <v>7143</v>
      </c>
      <c r="N1786" s="513" t="s">
        <v>780</v>
      </c>
      <c r="O1786" s="513" t="s">
        <v>781</v>
      </c>
      <c r="P1786" s="513" t="s">
        <v>7664</v>
      </c>
      <c r="Q1786" s="518" t="s">
        <v>7101</v>
      </c>
      <c r="R1786" s="152" t="s">
        <v>7665</v>
      </c>
      <c r="S1786" s="152" t="s">
        <v>953</v>
      </c>
      <c r="T1786" s="152" t="s">
        <v>7667</v>
      </c>
      <c r="U1786" s="152" t="s">
        <v>786</v>
      </c>
    </row>
    <row r="1787" spans="4:21">
      <c r="D1787" s="210"/>
      <c r="G1787" s="152" t="s">
        <v>671</v>
      </c>
      <c r="H1787" s="474" t="s">
        <v>672</v>
      </c>
      <c r="I1787" s="474"/>
      <c r="J1787" s="847">
        <v>-859526</v>
      </c>
      <c r="K1787" s="513">
        <v>-605.29999999999995</v>
      </c>
      <c r="L1787" s="513">
        <v>1420</v>
      </c>
      <c r="M1787" s="152" t="s">
        <v>7143</v>
      </c>
      <c r="N1787" s="513" t="s">
        <v>780</v>
      </c>
      <c r="O1787" s="513" t="s">
        <v>781</v>
      </c>
      <c r="P1787" s="513" t="s">
        <v>7664</v>
      </c>
      <c r="Q1787" s="518" t="s">
        <v>7101</v>
      </c>
      <c r="R1787" s="152" t="s">
        <v>7665</v>
      </c>
      <c r="S1787" s="152" t="s">
        <v>4858</v>
      </c>
      <c r="T1787" s="152" t="s">
        <v>7667</v>
      </c>
      <c r="U1787" s="152" t="s">
        <v>786</v>
      </c>
    </row>
    <row r="1788" spans="4:21">
      <c r="D1788" s="210"/>
      <c r="G1788" s="152" t="s">
        <v>671</v>
      </c>
      <c r="H1788" s="474" t="s">
        <v>672</v>
      </c>
      <c r="I1788" s="474"/>
      <c r="J1788" s="847">
        <v>-68898.399999999994</v>
      </c>
      <c r="K1788" s="513">
        <v>-48.52</v>
      </c>
      <c r="L1788" s="513">
        <v>1420</v>
      </c>
      <c r="M1788" s="152" t="s">
        <v>7143</v>
      </c>
      <c r="N1788" s="513" t="s">
        <v>780</v>
      </c>
      <c r="O1788" s="513" t="s">
        <v>781</v>
      </c>
      <c r="P1788" s="513" t="s">
        <v>7664</v>
      </c>
      <c r="Q1788" s="518" t="s">
        <v>7101</v>
      </c>
      <c r="R1788" s="152" t="s">
        <v>7665</v>
      </c>
      <c r="S1788" s="152" t="s">
        <v>937</v>
      </c>
      <c r="T1788" s="152" t="s">
        <v>7667</v>
      </c>
      <c r="U1788" s="152" t="s">
        <v>786</v>
      </c>
    </row>
    <row r="1789" spans="4:21">
      <c r="D1789" s="210"/>
      <c r="G1789" s="152" t="s">
        <v>671</v>
      </c>
      <c r="H1789" s="474" t="s">
        <v>672</v>
      </c>
      <c r="I1789" s="474"/>
      <c r="J1789" s="847">
        <v>-268607.2</v>
      </c>
      <c r="K1789" s="513">
        <v>-189.16</v>
      </c>
      <c r="L1789" s="513">
        <v>1420</v>
      </c>
      <c r="M1789" s="152" t="s">
        <v>7143</v>
      </c>
      <c r="N1789" s="513" t="s">
        <v>780</v>
      </c>
      <c r="O1789" s="513" t="s">
        <v>781</v>
      </c>
      <c r="P1789" s="513" t="s">
        <v>7664</v>
      </c>
      <c r="Q1789" s="518" t="s">
        <v>7101</v>
      </c>
      <c r="R1789" s="152" t="s">
        <v>7665</v>
      </c>
      <c r="S1789" s="152" t="s">
        <v>7670</v>
      </c>
      <c r="T1789" s="152" t="s">
        <v>7667</v>
      </c>
      <c r="U1789" s="152" t="s">
        <v>786</v>
      </c>
    </row>
    <row r="1790" spans="4:21">
      <c r="D1790" s="210"/>
      <c r="G1790" s="152" t="s">
        <v>673</v>
      </c>
      <c r="H1790" s="474" t="s">
        <v>674</v>
      </c>
      <c r="I1790" s="474"/>
      <c r="J1790" s="847">
        <v>50530825</v>
      </c>
      <c r="K1790" s="513">
        <v>35965</v>
      </c>
      <c r="L1790" s="513">
        <v>1405</v>
      </c>
      <c r="M1790" s="152" t="s">
        <v>7116</v>
      </c>
      <c r="N1790" s="513" t="s">
        <v>780</v>
      </c>
      <c r="O1790" s="513" t="s">
        <v>781</v>
      </c>
      <c r="P1790" s="513" t="s">
        <v>7125</v>
      </c>
      <c r="Q1790" s="518" t="s">
        <v>7101</v>
      </c>
      <c r="R1790" s="152" t="s">
        <v>7126</v>
      </c>
      <c r="S1790" s="152" t="s">
        <v>806</v>
      </c>
      <c r="T1790" s="152" t="s">
        <v>7127</v>
      </c>
      <c r="U1790" s="152" t="s">
        <v>786</v>
      </c>
    </row>
    <row r="1791" spans="4:21">
      <c r="D1791" s="210"/>
      <c r="G1791" s="152" t="s">
        <v>673</v>
      </c>
      <c r="H1791" s="474" t="s">
        <v>674</v>
      </c>
      <c r="I1791" s="474"/>
      <c r="J1791" s="847">
        <v>7025000</v>
      </c>
      <c r="K1791" s="513">
        <v>5000</v>
      </c>
      <c r="L1791" s="513">
        <v>1405</v>
      </c>
      <c r="M1791" s="152" t="s">
        <v>7116</v>
      </c>
      <c r="N1791" s="513" t="s">
        <v>780</v>
      </c>
      <c r="O1791" s="513" t="s">
        <v>781</v>
      </c>
      <c r="P1791" s="513" t="s">
        <v>7125</v>
      </c>
      <c r="Q1791" s="518" t="s">
        <v>7101</v>
      </c>
      <c r="R1791" s="152" t="s">
        <v>7126</v>
      </c>
      <c r="S1791" s="152" t="s">
        <v>7128</v>
      </c>
      <c r="T1791" s="152" t="s">
        <v>7127</v>
      </c>
      <c r="U1791" s="152" t="s">
        <v>786</v>
      </c>
    </row>
    <row r="1792" spans="4:21">
      <c r="D1792" s="210"/>
      <c r="G1792" s="152" t="s">
        <v>673</v>
      </c>
      <c r="H1792" s="474" t="s">
        <v>674</v>
      </c>
      <c r="I1792" s="474"/>
      <c r="J1792" s="847">
        <v>33670825</v>
      </c>
      <c r="K1792" s="513">
        <v>23965</v>
      </c>
      <c r="L1792" s="513">
        <v>1405</v>
      </c>
      <c r="M1792" s="152" t="s">
        <v>7116</v>
      </c>
      <c r="N1792" s="513" t="s">
        <v>780</v>
      </c>
      <c r="O1792" s="513" t="s">
        <v>781</v>
      </c>
      <c r="P1792" s="513" t="s">
        <v>7125</v>
      </c>
      <c r="Q1792" s="518" t="s">
        <v>7101</v>
      </c>
      <c r="R1792" s="152" t="s">
        <v>7126</v>
      </c>
      <c r="S1792" s="152" t="s">
        <v>806</v>
      </c>
      <c r="T1792" s="152" t="s">
        <v>7127</v>
      </c>
      <c r="U1792" s="152" t="s">
        <v>786</v>
      </c>
    </row>
    <row r="1793" spans="4:21">
      <c r="D1793" s="210"/>
      <c r="G1793" s="152" t="s">
        <v>673</v>
      </c>
      <c r="H1793" s="474" t="s">
        <v>674</v>
      </c>
      <c r="I1793" s="474"/>
      <c r="J1793" s="847">
        <v>5680000</v>
      </c>
      <c r="K1793" s="513">
        <v>4000</v>
      </c>
      <c r="L1793" s="513">
        <v>1420</v>
      </c>
      <c r="M1793" s="152" t="s">
        <v>7143</v>
      </c>
      <c r="N1793" s="513" t="s">
        <v>780</v>
      </c>
      <c r="O1793" s="513" t="s">
        <v>781</v>
      </c>
      <c r="P1793" s="513" t="s">
        <v>7150</v>
      </c>
      <c r="Q1793" s="518" t="s">
        <v>7101</v>
      </c>
      <c r="R1793" s="152" t="s">
        <v>7151</v>
      </c>
      <c r="S1793" s="152" t="s">
        <v>7153</v>
      </c>
      <c r="T1793" s="152" t="s">
        <v>7152</v>
      </c>
      <c r="U1793" s="152" t="s">
        <v>786</v>
      </c>
    </row>
    <row r="1794" spans="4:21">
      <c r="D1794" s="210"/>
      <c r="G1794" s="152" t="s">
        <v>673</v>
      </c>
      <c r="H1794" s="474" t="s">
        <v>674</v>
      </c>
      <c r="I1794" s="474"/>
      <c r="J1794" s="847">
        <v>68110300</v>
      </c>
      <c r="K1794" s="513">
        <v>47965</v>
      </c>
      <c r="L1794" s="513">
        <v>1420</v>
      </c>
      <c r="M1794" s="152" t="s">
        <v>7143</v>
      </c>
      <c r="N1794" s="513" t="s">
        <v>780</v>
      </c>
      <c r="O1794" s="513" t="s">
        <v>781</v>
      </c>
      <c r="P1794" s="513" t="s">
        <v>7150</v>
      </c>
      <c r="Q1794" s="518" t="s">
        <v>7101</v>
      </c>
      <c r="R1794" s="152" t="s">
        <v>7151</v>
      </c>
      <c r="S1794" s="152" t="s">
        <v>806</v>
      </c>
      <c r="T1794" s="152" t="s">
        <v>7152</v>
      </c>
      <c r="U1794" s="152" t="s">
        <v>786</v>
      </c>
    </row>
    <row r="1795" spans="4:21">
      <c r="D1795" s="210"/>
      <c r="G1795" s="152" t="s">
        <v>673</v>
      </c>
      <c r="H1795" s="474" t="s">
        <v>674</v>
      </c>
      <c r="I1795" s="474"/>
      <c r="J1795" s="847">
        <v>150321.20000000001</v>
      </c>
      <c r="K1795" s="513">
        <v>105.86</v>
      </c>
      <c r="L1795" s="513">
        <v>1420</v>
      </c>
      <c r="M1795" s="152" t="s">
        <v>7143</v>
      </c>
      <c r="N1795" s="513" t="s">
        <v>780</v>
      </c>
      <c r="O1795" s="513" t="s">
        <v>781</v>
      </c>
      <c r="P1795" s="513" t="s">
        <v>7165</v>
      </c>
      <c r="Q1795" s="518" t="s">
        <v>7101</v>
      </c>
      <c r="R1795" s="152" t="s">
        <v>7166</v>
      </c>
      <c r="S1795" s="152" t="s">
        <v>7161</v>
      </c>
      <c r="T1795" s="152" t="s">
        <v>7167</v>
      </c>
      <c r="U1795" s="152" t="s">
        <v>786</v>
      </c>
    </row>
    <row r="1796" spans="4:21">
      <c r="D1796" s="210"/>
      <c r="G1796" s="152" t="s">
        <v>673</v>
      </c>
      <c r="H1796" s="474" t="s">
        <v>674</v>
      </c>
      <c r="I1796" s="474"/>
      <c r="J1796" s="847">
        <v>7704408.7999999998</v>
      </c>
      <c r="K1796" s="513">
        <v>5425.64</v>
      </c>
      <c r="L1796" s="513">
        <v>1420</v>
      </c>
      <c r="M1796" s="152" t="s">
        <v>7143</v>
      </c>
      <c r="N1796" s="513" t="s">
        <v>780</v>
      </c>
      <c r="O1796" s="513" t="s">
        <v>781</v>
      </c>
      <c r="P1796" s="513" t="s">
        <v>7165</v>
      </c>
      <c r="Q1796" s="518" t="s">
        <v>7101</v>
      </c>
      <c r="R1796" s="152" t="s">
        <v>7166</v>
      </c>
      <c r="S1796" s="152" t="s">
        <v>7157</v>
      </c>
      <c r="T1796" s="152" t="s">
        <v>7167</v>
      </c>
      <c r="U1796" s="152" t="s">
        <v>786</v>
      </c>
    </row>
    <row r="1797" spans="4:21">
      <c r="D1797" s="210"/>
      <c r="G1797" s="152" t="s">
        <v>673</v>
      </c>
      <c r="H1797" s="474" t="s">
        <v>674</v>
      </c>
      <c r="I1797" s="474"/>
      <c r="J1797" s="847">
        <v>2840000</v>
      </c>
      <c r="K1797" s="513">
        <v>2000</v>
      </c>
      <c r="L1797" s="513">
        <v>1420</v>
      </c>
      <c r="M1797" s="152" t="s">
        <v>7143</v>
      </c>
      <c r="N1797" s="513" t="s">
        <v>780</v>
      </c>
      <c r="O1797" s="513" t="s">
        <v>781</v>
      </c>
      <c r="P1797" s="513" t="s">
        <v>7165</v>
      </c>
      <c r="Q1797" s="518" t="s">
        <v>7101</v>
      </c>
      <c r="R1797" s="152" t="s">
        <v>7166</v>
      </c>
      <c r="S1797" s="152" t="s">
        <v>1107</v>
      </c>
      <c r="T1797" s="152" t="s">
        <v>7167</v>
      </c>
      <c r="U1797" s="152" t="s">
        <v>786</v>
      </c>
    </row>
    <row r="1798" spans="4:21">
      <c r="D1798" s="210"/>
      <c r="G1798" s="152" t="s">
        <v>673</v>
      </c>
      <c r="H1798" s="474" t="s">
        <v>674</v>
      </c>
      <c r="I1798" s="474"/>
      <c r="J1798" s="847">
        <v>-598066.35</v>
      </c>
      <c r="K1798" s="513">
        <v>-425.67</v>
      </c>
      <c r="L1798" s="513">
        <v>1405</v>
      </c>
      <c r="M1798" s="152" t="s">
        <v>7116</v>
      </c>
      <c r="N1798" s="513" t="s">
        <v>780</v>
      </c>
      <c r="O1798" s="513" t="s">
        <v>781</v>
      </c>
      <c r="P1798" s="513" t="s">
        <v>7418</v>
      </c>
      <c r="Q1798" s="518" t="s">
        <v>7101</v>
      </c>
      <c r="R1798" s="152" t="s">
        <v>7419</v>
      </c>
      <c r="S1798" s="152" t="s">
        <v>7420</v>
      </c>
      <c r="T1798" s="152" t="s">
        <v>7421</v>
      </c>
      <c r="U1798" s="152" t="s">
        <v>786</v>
      </c>
    </row>
    <row r="1799" spans="4:21">
      <c r="D1799" s="210"/>
      <c r="G1799" s="152" t="s">
        <v>673</v>
      </c>
      <c r="H1799" s="474" t="s">
        <v>674</v>
      </c>
      <c r="I1799" s="474"/>
      <c r="J1799" s="847">
        <v>-141511.6</v>
      </c>
      <c r="K1799" s="513">
        <v>-100.72</v>
      </c>
      <c r="L1799" s="513">
        <v>1405</v>
      </c>
      <c r="M1799" s="152" t="s">
        <v>7116</v>
      </c>
      <c r="N1799" s="513" t="s">
        <v>780</v>
      </c>
      <c r="O1799" s="513" t="s">
        <v>781</v>
      </c>
      <c r="P1799" s="513" t="s">
        <v>7418</v>
      </c>
      <c r="Q1799" s="518" t="s">
        <v>7101</v>
      </c>
      <c r="R1799" s="152" t="s">
        <v>7419</v>
      </c>
      <c r="S1799" s="152" t="s">
        <v>7422</v>
      </c>
      <c r="T1799" s="152" t="s">
        <v>7421</v>
      </c>
      <c r="U1799" s="152" t="s">
        <v>786</v>
      </c>
    </row>
    <row r="1800" spans="4:21">
      <c r="D1800" s="210"/>
      <c r="G1800" s="152" t="s">
        <v>673</v>
      </c>
      <c r="H1800" s="474" t="s">
        <v>674</v>
      </c>
      <c r="I1800" s="474"/>
      <c r="J1800" s="847">
        <v>-72596.350000000006</v>
      </c>
      <c r="K1800" s="513">
        <v>-51.67</v>
      </c>
      <c r="L1800" s="513">
        <v>1405</v>
      </c>
      <c r="M1800" s="152" t="s">
        <v>7116</v>
      </c>
      <c r="N1800" s="513" t="s">
        <v>780</v>
      </c>
      <c r="O1800" s="513" t="s">
        <v>781</v>
      </c>
      <c r="P1800" s="513" t="s">
        <v>7418</v>
      </c>
      <c r="Q1800" s="518" t="s">
        <v>7101</v>
      </c>
      <c r="R1800" s="152" t="s">
        <v>7419</v>
      </c>
      <c r="S1800" s="152" t="s">
        <v>7423</v>
      </c>
      <c r="T1800" s="152" t="s">
        <v>7421</v>
      </c>
      <c r="U1800" s="152" t="s">
        <v>786</v>
      </c>
    </row>
    <row r="1801" spans="4:21">
      <c r="D1801" s="210"/>
      <c r="G1801" s="152" t="s">
        <v>673</v>
      </c>
      <c r="H1801" s="474" t="s">
        <v>674</v>
      </c>
      <c r="I1801" s="474"/>
      <c r="J1801" s="847">
        <v>-2322900.5499999998</v>
      </c>
      <c r="K1801" s="513">
        <v>-1653.31</v>
      </c>
      <c r="L1801" s="513">
        <v>1405</v>
      </c>
      <c r="M1801" s="152" t="s">
        <v>7116</v>
      </c>
      <c r="N1801" s="513" t="s">
        <v>780</v>
      </c>
      <c r="O1801" s="513" t="s">
        <v>781</v>
      </c>
      <c r="P1801" s="513" t="s">
        <v>7418</v>
      </c>
      <c r="Q1801" s="518" t="s">
        <v>7101</v>
      </c>
      <c r="R1801" s="152" t="s">
        <v>7419</v>
      </c>
      <c r="S1801" s="152" t="s">
        <v>941</v>
      </c>
      <c r="T1801" s="152" t="s">
        <v>7421</v>
      </c>
      <c r="U1801" s="152" t="s">
        <v>786</v>
      </c>
    </row>
    <row r="1802" spans="4:21">
      <c r="D1802" s="210"/>
      <c r="G1802" s="152" t="s">
        <v>673</v>
      </c>
      <c r="H1802" s="474" t="s">
        <v>674</v>
      </c>
      <c r="I1802" s="474"/>
      <c r="J1802" s="847">
        <v>-28100</v>
      </c>
      <c r="K1802" s="513">
        <v>-20</v>
      </c>
      <c r="L1802" s="513">
        <v>1405</v>
      </c>
      <c r="M1802" s="152" t="s">
        <v>7116</v>
      </c>
      <c r="N1802" s="513" t="s">
        <v>780</v>
      </c>
      <c r="O1802" s="513" t="s">
        <v>781</v>
      </c>
      <c r="P1802" s="513" t="s">
        <v>7418</v>
      </c>
      <c r="Q1802" s="518" t="s">
        <v>7101</v>
      </c>
      <c r="R1802" s="152" t="s">
        <v>7419</v>
      </c>
      <c r="S1802" s="152" t="s">
        <v>4816</v>
      </c>
      <c r="T1802" s="152" t="s">
        <v>7421</v>
      </c>
      <c r="U1802" s="152" t="s">
        <v>786</v>
      </c>
    </row>
    <row r="1803" spans="4:21">
      <c r="D1803" s="210"/>
      <c r="G1803" s="152" t="s">
        <v>673</v>
      </c>
      <c r="H1803" s="474" t="s">
        <v>674</v>
      </c>
      <c r="I1803" s="474"/>
      <c r="J1803" s="847">
        <v>-54584.25</v>
      </c>
      <c r="K1803" s="513">
        <v>-38.85</v>
      </c>
      <c r="L1803" s="513">
        <v>1405</v>
      </c>
      <c r="M1803" s="152" t="s">
        <v>7116</v>
      </c>
      <c r="N1803" s="513" t="s">
        <v>780</v>
      </c>
      <c r="O1803" s="513" t="s">
        <v>781</v>
      </c>
      <c r="P1803" s="513" t="s">
        <v>7418</v>
      </c>
      <c r="Q1803" s="518" t="s">
        <v>7101</v>
      </c>
      <c r="R1803" s="152" t="s">
        <v>7419</v>
      </c>
      <c r="S1803" s="152" t="s">
        <v>7424</v>
      </c>
      <c r="T1803" s="152" t="s">
        <v>7421</v>
      </c>
      <c r="U1803" s="152" t="s">
        <v>786</v>
      </c>
    </row>
    <row r="1804" spans="4:21">
      <c r="D1804" s="210"/>
      <c r="G1804" s="152" t="s">
        <v>673</v>
      </c>
      <c r="H1804" s="474" t="s">
        <v>674</v>
      </c>
      <c r="I1804" s="474"/>
      <c r="J1804" s="847">
        <v>-215541.05</v>
      </c>
      <c r="K1804" s="513">
        <v>-153.41</v>
      </c>
      <c r="L1804" s="513">
        <v>1405</v>
      </c>
      <c r="M1804" s="152" t="s">
        <v>7116</v>
      </c>
      <c r="N1804" s="513" t="s">
        <v>780</v>
      </c>
      <c r="O1804" s="513" t="s">
        <v>781</v>
      </c>
      <c r="P1804" s="513" t="s">
        <v>7418</v>
      </c>
      <c r="Q1804" s="518" t="s">
        <v>7101</v>
      </c>
      <c r="R1804" s="152" t="s">
        <v>7419</v>
      </c>
      <c r="S1804" s="152" t="s">
        <v>7425</v>
      </c>
      <c r="T1804" s="152" t="s">
        <v>7421</v>
      </c>
      <c r="U1804" s="152" t="s">
        <v>786</v>
      </c>
    </row>
    <row r="1805" spans="4:21">
      <c r="D1805" s="210"/>
      <c r="G1805" s="152" t="s">
        <v>673</v>
      </c>
      <c r="H1805" s="474" t="s">
        <v>674</v>
      </c>
      <c r="I1805" s="474"/>
      <c r="J1805" s="847">
        <v>-901490.15</v>
      </c>
      <c r="K1805" s="513">
        <v>-641.63</v>
      </c>
      <c r="L1805" s="513">
        <v>1405</v>
      </c>
      <c r="M1805" s="152" t="s">
        <v>7116</v>
      </c>
      <c r="N1805" s="513" t="s">
        <v>780</v>
      </c>
      <c r="O1805" s="513" t="s">
        <v>781</v>
      </c>
      <c r="P1805" s="513" t="s">
        <v>7418</v>
      </c>
      <c r="Q1805" s="518" t="s">
        <v>7101</v>
      </c>
      <c r="R1805" s="152" t="s">
        <v>7419</v>
      </c>
      <c r="S1805" s="152" t="s">
        <v>1107</v>
      </c>
      <c r="T1805" s="152" t="s">
        <v>7421</v>
      </c>
      <c r="U1805" s="152" t="s">
        <v>786</v>
      </c>
    </row>
    <row r="1806" spans="4:21">
      <c r="D1806" s="210"/>
      <c r="G1806" s="152" t="s">
        <v>673</v>
      </c>
      <c r="H1806" s="474" t="s">
        <v>674</v>
      </c>
      <c r="I1806" s="474"/>
      <c r="J1806" s="847">
        <v>-14050000</v>
      </c>
      <c r="K1806" s="513">
        <v>-10000</v>
      </c>
      <c r="L1806" s="513">
        <v>1405</v>
      </c>
      <c r="M1806" s="152" t="s">
        <v>7116</v>
      </c>
      <c r="N1806" s="513" t="s">
        <v>780</v>
      </c>
      <c r="O1806" s="513" t="s">
        <v>781</v>
      </c>
      <c r="P1806" s="513" t="s">
        <v>7418</v>
      </c>
      <c r="Q1806" s="518" t="s">
        <v>7101</v>
      </c>
      <c r="R1806" s="152" t="s">
        <v>7419</v>
      </c>
      <c r="S1806" s="152" t="s">
        <v>1107</v>
      </c>
      <c r="T1806" s="152" t="s">
        <v>7421</v>
      </c>
      <c r="U1806" s="152" t="s">
        <v>786</v>
      </c>
    </row>
    <row r="1807" spans="4:21">
      <c r="D1807" s="210"/>
      <c r="G1807" s="152" t="s">
        <v>673</v>
      </c>
      <c r="H1807" s="474" t="s">
        <v>674</v>
      </c>
      <c r="I1807" s="474"/>
      <c r="J1807" s="847">
        <v>-5620000</v>
      </c>
      <c r="K1807" s="513">
        <v>-4000</v>
      </c>
      <c r="L1807" s="513">
        <v>1405</v>
      </c>
      <c r="M1807" s="152" t="s">
        <v>7116</v>
      </c>
      <c r="N1807" s="513" t="s">
        <v>780</v>
      </c>
      <c r="O1807" s="513" t="s">
        <v>781</v>
      </c>
      <c r="P1807" s="513" t="s">
        <v>7418</v>
      </c>
      <c r="Q1807" s="518" t="s">
        <v>7101</v>
      </c>
      <c r="R1807" s="152" t="s">
        <v>7419</v>
      </c>
      <c r="S1807" s="152" t="s">
        <v>1107</v>
      </c>
      <c r="T1807" s="152" t="s">
        <v>7421</v>
      </c>
      <c r="U1807" s="152" t="s">
        <v>786</v>
      </c>
    </row>
    <row r="1808" spans="4:21">
      <c r="D1808" s="210"/>
      <c r="G1808" s="152" t="s">
        <v>673</v>
      </c>
      <c r="H1808" s="474" t="s">
        <v>674</v>
      </c>
      <c r="I1808" s="474"/>
      <c r="J1808" s="847">
        <v>-14050000</v>
      </c>
      <c r="K1808" s="513">
        <v>-10000</v>
      </c>
      <c r="L1808" s="513">
        <v>1405</v>
      </c>
      <c r="M1808" s="152" t="s">
        <v>7116</v>
      </c>
      <c r="N1808" s="513" t="s">
        <v>780</v>
      </c>
      <c r="O1808" s="513" t="s">
        <v>781</v>
      </c>
      <c r="P1808" s="513" t="s">
        <v>7418</v>
      </c>
      <c r="Q1808" s="518" t="s">
        <v>7101</v>
      </c>
      <c r="R1808" s="152" t="s">
        <v>7419</v>
      </c>
      <c r="S1808" s="152" t="s">
        <v>1107</v>
      </c>
      <c r="T1808" s="152" t="s">
        <v>7421</v>
      </c>
      <c r="U1808" s="152" t="s">
        <v>786</v>
      </c>
    </row>
    <row r="1809" spans="4:21">
      <c r="D1809" s="210"/>
      <c r="G1809" s="152" t="s">
        <v>673</v>
      </c>
      <c r="H1809" s="474" t="s">
        <v>674</v>
      </c>
      <c r="I1809" s="474"/>
      <c r="J1809" s="847">
        <v>-1288947</v>
      </c>
      <c r="K1809" s="513">
        <v>-917.4</v>
      </c>
      <c r="L1809" s="513">
        <v>1405</v>
      </c>
      <c r="M1809" s="152" t="s">
        <v>7116</v>
      </c>
      <c r="N1809" s="513" t="s">
        <v>780</v>
      </c>
      <c r="O1809" s="513" t="s">
        <v>781</v>
      </c>
      <c r="P1809" s="513" t="s">
        <v>7418</v>
      </c>
      <c r="Q1809" s="518" t="s">
        <v>7101</v>
      </c>
      <c r="R1809" s="152" t="s">
        <v>7419</v>
      </c>
      <c r="S1809" s="152" t="s">
        <v>1107</v>
      </c>
      <c r="T1809" s="152" t="s">
        <v>7421</v>
      </c>
      <c r="U1809" s="152" t="s">
        <v>786</v>
      </c>
    </row>
    <row r="1810" spans="4:21">
      <c r="D1810" s="210"/>
      <c r="G1810" s="152" t="s">
        <v>673</v>
      </c>
      <c r="H1810" s="474" t="s">
        <v>674</v>
      </c>
      <c r="I1810" s="474"/>
      <c r="J1810" s="847">
        <v>-1041273.6</v>
      </c>
      <c r="K1810" s="513">
        <v>-741.12</v>
      </c>
      <c r="L1810" s="513">
        <v>1405</v>
      </c>
      <c r="M1810" s="152" t="s">
        <v>7116</v>
      </c>
      <c r="N1810" s="513" t="s">
        <v>780</v>
      </c>
      <c r="O1810" s="513" t="s">
        <v>781</v>
      </c>
      <c r="P1810" s="513" t="s">
        <v>7418</v>
      </c>
      <c r="Q1810" s="518" t="s">
        <v>7101</v>
      </c>
      <c r="R1810" s="152" t="s">
        <v>7419</v>
      </c>
      <c r="S1810" s="152" t="s">
        <v>1107</v>
      </c>
      <c r="T1810" s="152" t="s">
        <v>7421</v>
      </c>
      <c r="U1810" s="152" t="s">
        <v>786</v>
      </c>
    </row>
    <row r="1811" spans="4:21">
      <c r="D1811" s="210"/>
      <c r="G1811" s="152" t="s">
        <v>673</v>
      </c>
      <c r="H1811" s="474" t="s">
        <v>674</v>
      </c>
      <c r="I1811" s="474"/>
      <c r="J1811" s="847">
        <v>-2156927.9</v>
      </c>
      <c r="K1811" s="513">
        <v>-1535.18</v>
      </c>
      <c r="L1811" s="513">
        <v>1405</v>
      </c>
      <c r="M1811" s="152" t="s">
        <v>7116</v>
      </c>
      <c r="N1811" s="513" t="s">
        <v>780</v>
      </c>
      <c r="O1811" s="513" t="s">
        <v>781</v>
      </c>
      <c r="P1811" s="513" t="s">
        <v>7418</v>
      </c>
      <c r="Q1811" s="518" t="s">
        <v>7101</v>
      </c>
      <c r="R1811" s="152" t="s">
        <v>7419</v>
      </c>
      <c r="S1811" s="152" t="s">
        <v>7134</v>
      </c>
      <c r="T1811" s="152" t="s">
        <v>7421</v>
      </c>
      <c r="U1811" s="152" t="s">
        <v>786</v>
      </c>
    </row>
    <row r="1812" spans="4:21">
      <c r="D1812" s="210"/>
      <c r="G1812" s="152" t="s">
        <v>673</v>
      </c>
      <c r="H1812" s="474" t="s">
        <v>674</v>
      </c>
      <c r="I1812" s="474"/>
      <c r="J1812" s="847">
        <v>-14050000</v>
      </c>
      <c r="K1812" s="513">
        <v>-10000</v>
      </c>
      <c r="L1812" s="513">
        <v>1405</v>
      </c>
      <c r="M1812" s="152" t="s">
        <v>7116</v>
      </c>
      <c r="N1812" s="513" t="s">
        <v>780</v>
      </c>
      <c r="O1812" s="513" t="s">
        <v>781</v>
      </c>
      <c r="P1812" s="513" t="s">
        <v>7418</v>
      </c>
      <c r="Q1812" s="518" t="s">
        <v>7101</v>
      </c>
      <c r="R1812" s="152" t="s">
        <v>7419</v>
      </c>
      <c r="S1812" s="152" t="s">
        <v>1107</v>
      </c>
      <c r="T1812" s="152" t="s">
        <v>7421</v>
      </c>
      <c r="U1812" s="152" t="s">
        <v>786</v>
      </c>
    </row>
    <row r="1813" spans="4:21">
      <c r="D1813" s="210"/>
      <c r="G1813" s="152" t="s">
        <v>673</v>
      </c>
      <c r="H1813" s="474" t="s">
        <v>674</v>
      </c>
      <c r="I1813" s="474"/>
      <c r="J1813" s="847">
        <v>-7025000</v>
      </c>
      <c r="K1813" s="513">
        <v>-5000</v>
      </c>
      <c r="L1813" s="513">
        <v>1405</v>
      </c>
      <c r="M1813" s="152" t="s">
        <v>7116</v>
      </c>
      <c r="N1813" s="513" t="s">
        <v>780</v>
      </c>
      <c r="O1813" s="513" t="s">
        <v>781</v>
      </c>
      <c r="P1813" s="513" t="s">
        <v>7418</v>
      </c>
      <c r="Q1813" s="518" t="s">
        <v>7101</v>
      </c>
      <c r="R1813" s="152" t="s">
        <v>7419</v>
      </c>
      <c r="S1813" s="152" t="s">
        <v>7427</v>
      </c>
      <c r="T1813" s="152" t="s">
        <v>7421</v>
      </c>
      <c r="U1813" s="152" t="s">
        <v>786</v>
      </c>
    </row>
    <row r="1814" spans="4:21">
      <c r="D1814" s="210"/>
      <c r="G1814" s="152" t="s">
        <v>673</v>
      </c>
      <c r="H1814" s="474" t="s">
        <v>674</v>
      </c>
      <c r="I1814" s="474"/>
      <c r="J1814" s="847">
        <v>-49175</v>
      </c>
      <c r="K1814" s="513">
        <v>-35</v>
      </c>
      <c r="L1814" s="513">
        <v>1405</v>
      </c>
      <c r="M1814" s="152" t="s">
        <v>7116</v>
      </c>
      <c r="N1814" s="513" t="s">
        <v>780</v>
      </c>
      <c r="O1814" s="513" t="s">
        <v>781</v>
      </c>
      <c r="P1814" s="513" t="s">
        <v>7418</v>
      </c>
      <c r="Q1814" s="518" t="s">
        <v>7101</v>
      </c>
      <c r="R1814" s="152" t="s">
        <v>7419</v>
      </c>
      <c r="S1814" s="152" t="s">
        <v>4800</v>
      </c>
      <c r="T1814" s="152" t="s">
        <v>7421</v>
      </c>
      <c r="U1814" s="152" t="s">
        <v>786</v>
      </c>
    </row>
    <row r="1815" spans="4:21">
      <c r="D1815" s="210"/>
      <c r="G1815" s="152" t="s">
        <v>673</v>
      </c>
      <c r="H1815" s="474" t="s">
        <v>674</v>
      </c>
      <c r="I1815" s="474"/>
      <c r="J1815" s="847">
        <v>-1826500</v>
      </c>
      <c r="K1815" s="513">
        <v>-1300</v>
      </c>
      <c r="L1815" s="513">
        <v>1405</v>
      </c>
      <c r="M1815" s="152" t="s">
        <v>7116</v>
      </c>
      <c r="N1815" s="513" t="s">
        <v>780</v>
      </c>
      <c r="O1815" s="513" t="s">
        <v>781</v>
      </c>
      <c r="P1815" s="513" t="s">
        <v>7418</v>
      </c>
      <c r="Q1815" s="518" t="s">
        <v>7101</v>
      </c>
      <c r="R1815" s="152" t="s">
        <v>7419</v>
      </c>
      <c r="S1815" s="152" t="s">
        <v>7437</v>
      </c>
      <c r="T1815" s="152" t="s">
        <v>7421</v>
      </c>
      <c r="U1815" s="152" t="s">
        <v>786</v>
      </c>
    </row>
    <row r="1816" spans="4:21">
      <c r="D1816" s="210"/>
      <c r="G1816" s="152" t="s">
        <v>673</v>
      </c>
      <c r="H1816" s="474" t="s">
        <v>674</v>
      </c>
      <c r="I1816" s="474"/>
      <c r="J1816" s="847">
        <v>-393400</v>
      </c>
      <c r="K1816" s="513">
        <v>-280</v>
      </c>
      <c r="L1816" s="513">
        <v>1405</v>
      </c>
      <c r="M1816" s="152" t="s">
        <v>7116</v>
      </c>
      <c r="N1816" s="513" t="s">
        <v>780</v>
      </c>
      <c r="O1816" s="513" t="s">
        <v>781</v>
      </c>
      <c r="P1816" s="513" t="s">
        <v>7418</v>
      </c>
      <c r="Q1816" s="518" t="s">
        <v>7101</v>
      </c>
      <c r="R1816" s="152" t="s">
        <v>7419</v>
      </c>
      <c r="S1816" s="152" t="s">
        <v>7436</v>
      </c>
      <c r="T1816" s="152" t="s">
        <v>7421</v>
      </c>
      <c r="U1816" s="152" t="s">
        <v>786</v>
      </c>
    </row>
    <row r="1817" spans="4:21">
      <c r="D1817" s="210"/>
      <c r="G1817" s="152" t="s">
        <v>673</v>
      </c>
      <c r="H1817" s="474" t="s">
        <v>674</v>
      </c>
      <c r="I1817" s="474"/>
      <c r="J1817" s="847">
        <v>-2669.5</v>
      </c>
      <c r="K1817" s="513">
        <v>-1.9</v>
      </c>
      <c r="L1817" s="513">
        <v>1405</v>
      </c>
      <c r="M1817" s="152" t="s">
        <v>7116</v>
      </c>
      <c r="N1817" s="513" t="s">
        <v>780</v>
      </c>
      <c r="O1817" s="513" t="s">
        <v>781</v>
      </c>
      <c r="P1817" s="513" t="s">
        <v>7418</v>
      </c>
      <c r="Q1817" s="518" t="s">
        <v>7101</v>
      </c>
      <c r="R1817" s="152" t="s">
        <v>7419</v>
      </c>
      <c r="S1817" s="152" t="s">
        <v>953</v>
      </c>
      <c r="T1817" s="152" t="s">
        <v>7421</v>
      </c>
      <c r="U1817" s="152" t="s">
        <v>786</v>
      </c>
    </row>
    <row r="1818" spans="4:21">
      <c r="D1818" s="210"/>
      <c r="G1818" s="152" t="s">
        <v>673</v>
      </c>
      <c r="H1818" s="474" t="s">
        <v>674</v>
      </c>
      <c r="I1818" s="474"/>
      <c r="J1818" s="847">
        <v>-7025000</v>
      </c>
      <c r="K1818" s="513">
        <v>-5000</v>
      </c>
      <c r="L1818" s="513">
        <v>1405</v>
      </c>
      <c r="M1818" s="152" t="s">
        <v>7116</v>
      </c>
      <c r="N1818" s="513" t="s">
        <v>780</v>
      </c>
      <c r="O1818" s="513" t="s">
        <v>781</v>
      </c>
      <c r="P1818" s="513" t="s">
        <v>7418</v>
      </c>
      <c r="Q1818" s="518" t="s">
        <v>7101</v>
      </c>
      <c r="R1818" s="152" t="s">
        <v>7419</v>
      </c>
      <c r="S1818" s="152" t="s">
        <v>7426</v>
      </c>
      <c r="T1818" s="152" t="s">
        <v>7421</v>
      </c>
      <c r="U1818" s="152" t="s">
        <v>786</v>
      </c>
    </row>
    <row r="1819" spans="4:21">
      <c r="D1819" s="210"/>
      <c r="G1819" s="152" t="s">
        <v>673</v>
      </c>
      <c r="H1819" s="474" t="s">
        <v>674</v>
      </c>
      <c r="I1819" s="474"/>
      <c r="J1819" s="847">
        <v>-223395</v>
      </c>
      <c r="K1819" s="513">
        <v>-159</v>
      </c>
      <c r="L1819" s="513">
        <v>1405</v>
      </c>
      <c r="M1819" s="152" t="s">
        <v>7116</v>
      </c>
      <c r="N1819" s="513" t="s">
        <v>780</v>
      </c>
      <c r="O1819" s="513" t="s">
        <v>781</v>
      </c>
      <c r="P1819" s="513" t="s">
        <v>7418</v>
      </c>
      <c r="Q1819" s="518" t="s">
        <v>7101</v>
      </c>
      <c r="R1819" s="152" t="s">
        <v>7419</v>
      </c>
      <c r="S1819" s="152" t="s">
        <v>7439</v>
      </c>
      <c r="T1819" s="152" t="s">
        <v>7421</v>
      </c>
      <c r="U1819" s="152" t="s">
        <v>786</v>
      </c>
    </row>
    <row r="1820" spans="4:21">
      <c r="D1820" s="210"/>
      <c r="G1820" s="152" t="s">
        <v>673</v>
      </c>
      <c r="H1820" s="474" t="s">
        <v>674</v>
      </c>
      <c r="I1820" s="474"/>
      <c r="J1820" s="847">
        <v>-15455</v>
      </c>
      <c r="K1820" s="513">
        <v>-11</v>
      </c>
      <c r="L1820" s="513">
        <v>1405</v>
      </c>
      <c r="M1820" s="152" t="s">
        <v>7116</v>
      </c>
      <c r="N1820" s="513" t="s">
        <v>780</v>
      </c>
      <c r="O1820" s="513" t="s">
        <v>781</v>
      </c>
      <c r="P1820" s="513" t="s">
        <v>7418</v>
      </c>
      <c r="Q1820" s="518" t="s">
        <v>7101</v>
      </c>
      <c r="R1820" s="152" t="s">
        <v>7419</v>
      </c>
      <c r="S1820" s="152" t="s">
        <v>7432</v>
      </c>
      <c r="T1820" s="152" t="s">
        <v>7421</v>
      </c>
      <c r="U1820" s="152" t="s">
        <v>786</v>
      </c>
    </row>
    <row r="1821" spans="4:21">
      <c r="D1821" s="210"/>
      <c r="G1821" s="152" t="s">
        <v>673</v>
      </c>
      <c r="H1821" s="474" t="s">
        <v>674</v>
      </c>
      <c r="I1821" s="474"/>
      <c r="J1821" s="847">
        <v>-2669.5</v>
      </c>
      <c r="K1821" s="513">
        <v>-1.9</v>
      </c>
      <c r="L1821" s="513">
        <v>1405</v>
      </c>
      <c r="M1821" s="152" t="s">
        <v>7116</v>
      </c>
      <c r="N1821" s="513" t="s">
        <v>780</v>
      </c>
      <c r="O1821" s="513" t="s">
        <v>781</v>
      </c>
      <c r="P1821" s="513" t="s">
        <v>7418</v>
      </c>
      <c r="Q1821" s="518" t="s">
        <v>7101</v>
      </c>
      <c r="R1821" s="152" t="s">
        <v>7419</v>
      </c>
      <c r="S1821" s="152" t="s">
        <v>953</v>
      </c>
      <c r="T1821" s="152" t="s">
        <v>7421</v>
      </c>
      <c r="U1821" s="152" t="s">
        <v>786</v>
      </c>
    </row>
    <row r="1822" spans="4:21">
      <c r="D1822" s="210"/>
      <c r="G1822" s="152" t="s">
        <v>673</v>
      </c>
      <c r="H1822" s="474" t="s">
        <v>674</v>
      </c>
      <c r="I1822" s="474"/>
      <c r="J1822" s="847">
        <v>-268355</v>
      </c>
      <c r="K1822" s="513">
        <v>-191</v>
      </c>
      <c r="L1822" s="513">
        <v>1405</v>
      </c>
      <c r="M1822" s="152" t="s">
        <v>7116</v>
      </c>
      <c r="N1822" s="513" t="s">
        <v>780</v>
      </c>
      <c r="O1822" s="513" t="s">
        <v>781</v>
      </c>
      <c r="P1822" s="513" t="s">
        <v>7418</v>
      </c>
      <c r="Q1822" s="518" t="s">
        <v>7101</v>
      </c>
      <c r="R1822" s="152" t="s">
        <v>7419</v>
      </c>
      <c r="S1822" s="152" t="s">
        <v>7433</v>
      </c>
      <c r="T1822" s="152" t="s">
        <v>7421</v>
      </c>
      <c r="U1822" s="152" t="s">
        <v>786</v>
      </c>
    </row>
    <row r="1823" spans="4:21">
      <c r="D1823" s="210"/>
      <c r="G1823" s="152" t="s">
        <v>673</v>
      </c>
      <c r="H1823" s="474" t="s">
        <v>674</v>
      </c>
      <c r="I1823" s="474"/>
      <c r="J1823" s="847">
        <v>-2669.5</v>
      </c>
      <c r="K1823" s="513">
        <v>-1.9</v>
      </c>
      <c r="L1823" s="513">
        <v>1405</v>
      </c>
      <c r="M1823" s="152" t="s">
        <v>7116</v>
      </c>
      <c r="N1823" s="513" t="s">
        <v>780</v>
      </c>
      <c r="O1823" s="513" t="s">
        <v>781</v>
      </c>
      <c r="P1823" s="513" t="s">
        <v>7418</v>
      </c>
      <c r="Q1823" s="518" t="s">
        <v>7101</v>
      </c>
      <c r="R1823" s="152" t="s">
        <v>7419</v>
      </c>
      <c r="S1823" s="152" t="s">
        <v>953</v>
      </c>
      <c r="T1823" s="152" t="s">
        <v>7421</v>
      </c>
      <c r="U1823" s="152" t="s">
        <v>786</v>
      </c>
    </row>
    <row r="1824" spans="4:21">
      <c r="D1824" s="210"/>
      <c r="G1824" s="152" t="s">
        <v>673</v>
      </c>
      <c r="H1824" s="474" t="s">
        <v>674</v>
      </c>
      <c r="I1824" s="474"/>
      <c r="J1824" s="847">
        <v>-421500</v>
      </c>
      <c r="K1824" s="513">
        <v>-300</v>
      </c>
      <c r="L1824" s="513">
        <v>1405</v>
      </c>
      <c r="M1824" s="152" t="s">
        <v>7116</v>
      </c>
      <c r="N1824" s="513" t="s">
        <v>780</v>
      </c>
      <c r="O1824" s="513" t="s">
        <v>781</v>
      </c>
      <c r="P1824" s="513" t="s">
        <v>7418</v>
      </c>
      <c r="Q1824" s="518" t="s">
        <v>7101</v>
      </c>
      <c r="R1824" s="152" t="s">
        <v>7419</v>
      </c>
      <c r="S1824" s="152" t="s">
        <v>7431</v>
      </c>
      <c r="T1824" s="152" t="s">
        <v>7421</v>
      </c>
      <c r="U1824" s="152" t="s">
        <v>786</v>
      </c>
    </row>
    <row r="1825" spans="4:21">
      <c r="D1825" s="210"/>
      <c r="G1825" s="152" t="s">
        <v>673</v>
      </c>
      <c r="H1825" s="474" t="s">
        <v>674</v>
      </c>
      <c r="I1825" s="474"/>
      <c r="J1825" s="847">
        <v>-205130</v>
      </c>
      <c r="K1825" s="513">
        <v>-146</v>
      </c>
      <c r="L1825" s="513">
        <v>1405</v>
      </c>
      <c r="M1825" s="152" t="s">
        <v>7116</v>
      </c>
      <c r="N1825" s="513" t="s">
        <v>780</v>
      </c>
      <c r="O1825" s="513" t="s">
        <v>781</v>
      </c>
      <c r="P1825" s="513" t="s">
        <v>7418</v>
      </c>
      <c r="Q1825" s="518" t="s">
        <v>7101</v>
      </c>
      <c r="R1825" s="152" t="s">
        <v>7419</v>
      </c>
      <c r="S1825" s="152" t="s">
        <v>7434</v>
      </c>
      <c r="T1825" s="152" t="s">
        <v>7421</v>
      </c>
      <c r="U1825" s="152" t="s">
        <v>786</v>
      </c>
    </row>
    <row r="1826" spans="4:21">
      <c r="D1826" s="210"/>
      <c r="G1826" s="152" t="s">
        <v>673</v>
      </c>
      <c r="H1826" s="474" t="s">
        <v>674</v>
      </c>
      <c r="I1826" s="474"/>
      <c r="J1826" s="847">
        <v>-562000</v>
      </c>
      <c r="K1826" s="513">
        <v>-400</v>
      </c>
      <c r="L1826" s="513">
        <v>1405</v>
      </c>
      <c r="M1826" s="152" t="s">
        <v>7116</v>
      </c>
      <c r="N1826" s="513" t="s">
        <v>780</v>
      </c>
      <c r="O1826" s="513" t="s">
        <v>781</v>
      </c>
      <c r="P1826" s="513" t="s">
        <v>7418</v>
      </c>
      <c r="Q1826" s="518" t="s">
        <v>7101</v>
      </c>
      <c r="R1826" s="152" t="s">
        <v>7419</v>
      </c>
      <c r="S1826" s="152" t="s">
        <v>7438</v>
      </c>
      <c r="T1826" s="152" t="s">
        <v>7421</v>
      </c>
      <c r="U1826" s="152" t="s">
        <v>786</v>
      </c>
    </row>
    <row r="1827" spans="4:21">
      <c r="D1827" s="210"/>
      <c r="G1827" s="152" t="s">
        <v>673</v>
      </c>
      <c r="H1827" s="474" t="s">
        <v>674</v>
      </c>
      <c r="I1827" s="474"/>
      <c r="J1827" s="847">
        <v>-147960.54999999999</v>
      </c>
      <c r="K1827" s="513">
        <v>-105.31</v>
      </c>
      <c r="L1827" s="513">
        <v>1405</v>
      </c>
      <c r="M1827" s="152" t="s">
        <v>7116</v>
      </c>
      <c r="N1827" s="513" t="s">
        <v>780</v>
      </c>
      <c r="O1827" s="513" t="s">
        <v>781</v>
      </c>
      <c r="P1827" s="513" t="s">
        <v>7418</v>
      </c>
      <c r="Q1827" s="518" t="s">
        <v>7101</v>
      </c>
      <c r="R1827" s="152" t="s">
        <v>7419</v>
      </c>
      <c r="S1827" s="152" t="s">
        <v>7435</v>
      </c>
      <c r="T1827" s="152" t="s">
        <v>7421</v>
      </c>
      <c r="U1827" s="152" t="s">
        <v>786</v>
      </c>
    </row>
    <row r="1828" spans="4:21">
      <c r="D1828" s="210"/>
      <c r="G1828" s="152" t="s">
        <v>673</v>
      </c>
      <c r="H1828" s="474" t="s">
        <v>674</v>
      </c>
      <c r="I1828" s="474"/>
      <c r="J1828" s="847">
        <v>-618200</v>
      </c>
      <c r="K1828" s="513">
        <v>-440</v>
      </c>
      <c r="L1828" s="513">
        <v>1405</v>
      </c>
      <c r="M1828" s="152" t="s">
        <v>7116</v>
      </c>
      <c r="N1828" s="513" t="s">
        <v>780</v>
      </c>
      <c r="O1828" s="513" t="s">
        <v>781</v>
      </c>
      <c r="P1828" s="513" t="s">
        <v>7418</v>
      </c>
      <c r="Q1828" s="518" t="s">
        <v>7101</v>
      </c>
      <c r="R1828" s="152" t="s">
        <v>7419</v>
      </c>
      <c r="S1828" s="152" t="s">
        <v>7441</v>
      </c>
      <c r="T1828" s="152" t="s">
        <v>7421</v>
      </c>
      <c r="U1828" s="152" t="s">
        <v>786</v>
      </c>
    </row>
    <row r="1829" spans="4:21">
      <c r="D1829" s="210"/>
      <c r="G1829" s="152" t="s">
        <v>673</v>
      </c>
      <c r="H1829" s="474" t="s">
        <v>674</v>
      </c>
      <c r="I1829" s="474"/>
      <c r="J1829" s="847">
        <v>-2669.5</v>
      </c>
      <c r="K1829" s="513">
        <v>-1.9</v>
      </c>
      <c r="L1829" s="513">
        <v>1405</v>
      </c>
      <c r="M1829" s="152" t="s">
        <v>7116</v>
      </c>
      <c r="N1829" s="513" t="s">
        <v>780</v>
      </c>
      <c r="O1829" s="513" t="s">
        <v>781</v>
      </c>
      <c r="P1829" s="513" t="s">
        <v>7418</v>
      </c>
      <c r="Q1829" s="518" t="s">
        <v>7101</v>
      </c>
      <c r="R1829" s="152" t="s">
        <v>7419</v>
      </c>
      <c r="S1829" s="152" t="s">
        <v>953</v>
      </c>
      <c r="T1829" s="152" t="s">
        <v>7421</v>
      </c>
      <c r="U1829" s="152" t="s">
        <v>786</v>
      </c>
    </row>
    <row r="1830" spans="4:21">
      <c r="D1830" s="210"/>
      <c r="G1830" s="152" t="s">
        <v>673</v>
      </c>
      <c r="H1830" s="474" t="s">
        <v>674</v>
      </c>
      <c r="I1830" s="474"/>
      <c r="J1830" s="847">
        <v>-5199905</v>
      </c>
      <c r="K1830" s="513">
        <v>-3701</v>
      </c>
      <c r="L1830" s="513">
        <v>1405</v>
      </c>
      <c r="M1830" s="152" t="s">
        <v>7116</v>
      </c>
      <c r="N1830" s="513" t="s">
        <v>780</v>
      </c>
      <c r="O1830" s="513" t="s">
        <v>781</v>
      </c>
      <c r="P1830" s="513" t="s">
        <v>7418</v>
      </c>
      <c r="Q1830" s="518" t="s">
        <v>7101</v>
      </c>
      <c r="R1830" s="152" t="s">
        <v>7419</v>
      </c>
      <c r="S1830" s="152" t="s">
        <v>7440</v>
      </c>
      <c r="T1830" s="152" t="s">
        <v>7421</v>
      </c>
      <c r="U1830" s="152" t="s">
        <v>786</v>
      </c>
    </row>
    <row r="1831" spans="4:21">
      <c r="D1831" s="210"/>
      <c r="G1831" s="152" t="s">
        <v>673</v>
      </c>
      <c r="H1831" s="474" t="s">
        <v>674</v>
      </c>
      <c r="I1831" s="474"/>
      <c r="J1831" s="847">
        <v>-702500</v>
      </c>
      <c r="K1831" s="513">
        <v>-500</v>
      </c>
      <c r="L1831" s="513">
        <v>1405</v>
      </c>
      <c r="M1831" s="152" t="s">
        <v>7116</v>
      </c>
      <c r="N1831" s="513" t="s">
        <v>780</v>
      </c>
      <c r="O1831" s="513" t="s">
        <v>781</v>
      </c>
      <c r="P1831" s="513" t="s">
        <v>7418</v>
      </c>
      <c r="Q1831" s="518" t="s">
        <v>7101</v>
      </c>
      <c r="R1831" s="152" t="s">
        <v>7419</v>
      </c>
      <c r="S1831" s="152" t="s">
        <v>4856</v>
      </c>
      <c r="T1831" s="152" t="s">
        <v>7421</v>
      </c>
      <c r="U1831" s="152" t="s">
        <v>786</v>
      </c>
    </row>
    <row r="1832" spans="4:21">
      <c r="D1832" s="210"/>
      <c r="G1832" s="152" t="s">
        <v>673</v>
      </c>
      <c r="H1832" s="474" t="s">
        <v>674</v>
      </c>
      <c r="I1832" s="474"/>
      <c r="J1832" s="847">
        <v>-140500</v>
      </c>
      <c r="K1832" s="513">
        <v>-100</v>
      </c>
      <c r="L1832" s="513">
        <v>1405</v>
      </c>
      <c r="M1832" s="152" t="s">
        <v>7116</v>
      </c>
      <c r="N1832" s="513" t="s">
        <v>780</v>
      </c>
      <c r="O1832" s="513" t="s">
        <v>781</v>
      </c>
      <c r="P1832" s="513" t="s">
        <v>7418</v>
      </c>
      <c r="Q1832" s="518" t="s">
        <v>7101</v>
      </c>
      <c r="R1832" s="152" t="s">
        <v>7419</v>
      </c>
      <c r="S1832" s="152" t="s">
        <v>4856</v>
      </c>
      <c r="T1832" s="152" t="s">
        <v>7421</v>
      </c>
      <c r="U1832" s="152" t="s">
        <v>786</v>
      </c>
    </row>
    <row r="1833" spans="4:21">
      <c r="D1833" s="210"/>
      <c r="G1833" s="152" t="s">
        <v>673</v>
      </c>
      <c r="H1833" s="474" t="s">
        <v>674</v>
      </c>
      <c r="I1833" s="474"/>
      <c r="J1833" s="847">
        <v>-75785.7</v>
      </c>
      <c r="K1833" s="513">
        <v>-53.94</v>
      </c>
      <c r="L1833" s="513">
        <v>1405</v>
      </c>
      <c r="M1833" s="152" t="s">
        <v>7116</v>
      </c>
      <c r="N1833" s="513" t="s">
        <v>780</v>
      </c>
      <c r="O1833" s="513" t="s">
        <v>781</v>
      </c>
      <c r="P1833" s="513" t="s">
        <v>7418</v>
      </c>
      <c r="Q1833" s="518" t="s">
        <v>7101</v>
      </c>
      <c r="R1833" s="152" t="s">
        <v>7419</v>
      </c>
      <c r="S1833" s="152" t="s">
        <v>7430</v>
      </c>
      <c r="T1833" s="152" t="s">
        <v>7421</v>
      </c>
      <c r="U1833" s="152" t="s">
        <v>786</v>
      </c>
    </row>
    <row r="1834" spans="4:21">
      <c r="D1834" s="210"/>
      <c r="G1834" s="152" t="s">
        <v>673</v>
      </c>
      <c r="H1834" s="474" t="s">
        <v>674</v>
      </c>
      <c r="I1834" s="474"/>
      <c r="J1834" s="847">
        <v>-49638.65</v>
      </c>
      <c r="K1834" s="513">
        <v>-35.33</v>
      </c>
      <c r="L1834" s="513">
        <v>1405</v>
      </c>
      <c r="M1834" s="152" t="s">
        <v>7116</v>
      </c>
      <c r="N1834" s="513" t="s">
        <v>780</v>
      </c>
      <c r="O1834" s="513" t="s">
        <v>781</v>
      </c>
      <c r="P1834" s="513" t="s">
        <v>7418</v>
      </c>
      <c r="Q1834" s="518" t="s">
        <v>7101</v>
      </c>
      <c r="R1834" s="152" t="s">
        <v>7419</v>
      </c>
      <c r="S1834" s="152" t="s">
        <v>7428</v>
      </c>
      <c r="T1834" s="152" t="s">
        <v>7421</v>
      </c>
      <c r="U1834" s="152" t="s">
        <v>786</v>
      </c>
    </row>
    <row r="1835" spans="4:21">
      <c r="D1835" s="210"/>
      <c r="G1835" s="152" t="s">
        <v>673</v>
      </c>
      <c r="H1835" s="474" t="s">
        <v>674</v>
      </c>
      <c r="I1835" s="474"/>
      <c r="J1835" s="847">
        <v>-279412.34999999998</v>
      </c>
      <c r="K1835" s="513">
        <v>-198.87</v>
      </c>
      <c r="L1835" s="513">
        <v>1405</v>
      </c>
      <c r="M1835" s="152" t="s">
        <v>7116</v>
      </c>
      <c r="N1835" s="513" t="s">
        <v>780</v>
      </c>
      <c r="O1835" s="513" t="s">
        <v>781</v>
      </c>
      <c r="P1835" s="513" t="s">
        <v>7418</v>
      </c>
      <c r="Q1835" s="518" t="s">
        <v>7101</v>
      </c>
      <c r="R1835" s="152" t="s">
        <v>7419</v>
      </c>
      <c r="S1835" s="152" t="s">
        <v>7429</v>
      </c>
      <c r="T1835" s="152" t="s">
        <v>7421</v>
      </c>
      <c r="U1835" s="152" t="s">
        <v>786</v>
      </c>
    </row>
    <row r="1836" spans="4:21">
      <c r="D1836" s="210"/>
      <c r="G1836" s="152" t="s">
        <v>673</v>
      </c>
      <c r="H1836" s="474" t="s">
        <v>674</v>
      </c>
      <c r="I1836" s="474"/>
      <c r="J1836" s="847">
        <v>-3852204.4</v>
      </c>
      <c r="K1836" s="513">
        <v>-2712.82</v>
      </c>
      <c r="L1836" s="513">
        <v>1420</v>
      </c>
      <c r="M1836" s="152" t="s">
        <v>7143</v>
      </c>
      <c r="N1836" s="513" t="s">
        <v>780</v>
      </c>
      <c r="O1836" s="513" t="s">
        <v>781</v>
      </c>
      <c r="P1836" s="513" t="s">
        <v>7653</v>
      </c>
      <c r="Q1836" s="518" t="s">
        <v>7101</v>
      </c>
      <c r="R1836" s="152" t="s">
        <v>7654</v>
      </c>
      <c r="S1836" s="152" t="s">
        <v>7157</v>
      </c>
      <c r="T1836" s="152" t="s">
        <v>7655</v>
      </c>
      <c r="U1836" s="152" t="s">
        <v>786</v>
      </c>
    </row>
    <row r="1837" spans="4:21">
      <c r="D1837" s="210"/>
      <c r="G1837" s="152" t="s">
        <v>673</v>
      </c>
      <c r="H1837" s="474" t="s">
        <v>674</v>
      </c>
      <c r="I1837" s="474"/>
      <c r="J1837" s="847">
        <v>-110206.2</v>
      </c>
      <c r="K1837" s="513">
        <v>-77.61</v>
      </c>
      <c r="L1837" s="513">
        <v>1420</v>
      </c>
      <c r="M1837" s="152" t="s">
        <v>7143</v>
      </c>
      <c r="N1837" s="513" t="s">
        <v>780</v>
      </c>
      <c r="O1837" s="513" t="s">
        <v>781</v>
      </c>
      <c r="P1837" s="513" t="s">
        <v>7653</v>
      </c>
      <c r="Q1837" s="518" t="s">
        <v>7101</v>
      </c>
      <c r="R1837" s="152" t="s">
        <v>7654</v>
      </c>
      <c r="S1837" s="152" t="s">
        <v>7656</v>
      </c>
      <c r="T1837" s="152" t="s">
        <v>7655</v>
      </c>
      <c r="U1837" s="152" t="s">
        <v>786</v>
      </c>
    </row>
    <row r="1838" spans="4:21">
      <c r="D1838" s="210"/>
      <c r="G1838" s="152" t="s">
        <v>673</v>
      </c>
      <c r="H1838" s="474" t="s">
        <v>674</v>
      </c>
      <c r="I1838" s="474"/>
      <c r="J1838" s="847">
        <v>-75160.600000000006</v>
      </c>
      <c r="K1838" s="513">
        <v>-52.93</v>
      </c>
      <c r="L1838" s="513">
        <v>1420</v>
      </c>
      <c r="M1838" s="152" t="s">
        <v>7143</v>
      </c>
      <c r="N1838" s="513" t="s">
        <v>780</v>
      </c>
      <c r="O1838" s="513" t="s">
        <v>781</v>
      </c>
      <c r="P1838" s="513" t="s">
        <v>7653</v>
      </c>
      <c r="Q1838" s="518" t="s">
        <v>7101</v>
      </c>
      <c r="R1838" s="152" t="s">
        <v>7654</v>
      </c>
      <c r="S1838" s="152" t="s">
        <v>7161</v>
      </c>
      <c r="T1838" s="152" t="s">
        <v>7655</v>
      </c>
      <c r="U1838" s="152" t="s">
        <v>786</v>
      </c>
    </row>
    <row r="1839" spans="4:21">
      <c r="D1839" s="210"/>
      <c r="G1839" s="152" t="s">
        <v>673</v>
      </c>
      <c r="H1839" s="474" t="s">
        <v>674</v>
      </c>
      <c r="I1839" s="474"/>
      <c r="J1839" s="847">
        <v>-853420</v>
      </c>
      <c r="K1839" s="513">
        <v>-601</v>
      </c>
      <c r="L1839" s="513">
        <v>1420</v>
      </c>
      <c r="M1839" s="152" t="s">
        <v>7143</v>
      </c>
      <c r="N1839" s="513" t="s">
        <v>780</v>
      </c>
      <c r="O1839" s="513" t="s">
        <v>781</v>
      </c>
      <c r="P1839" s="513" t="s">
        <v>7653</v>
      </c>
      <c r="Q1839" s="518" t="s">
        <v>7101</v>
      </c>
      <c r="R1839" s="152" t="s">
        <v>7654</v>
      </c>
      <c r="S1839" s="152" t="s">
        <v>7657</v>
      </c>
      <c r="T1839" s="152" t="s">
        <v>7655</v>
      </c>
      <c r="U1839" s="152" t="s">
        <v>786</v>
      </c>
    </row>
    <row r="1840" spans="4:21">
      <c r="D1840" s="210"/>
      <c r="G1840" s="152" t="s">
        <v>673</v>
      </c>
      <c r="H1840" s="474" t="s">
        <v>674</v>
      </c>
      <c r="I1840" s="474"/>
      <c r="J1840" s="847">
        <v>-69083</v>
      </c>
      <c r="K1840" s="513">
        <v>-48.65</v>
      </c>
      <c r="L1840" s="513">
        <v>1420</v>
      </c>
      <c r="M1840" s="152" t="s">
        <v>7143</v>
      </c>
      <c r="N1840" s="513" t="s">
        <v>780</v>
      </c>
      <c r="O1840" s="513" t="s">
        <v>781</v>
      </c>
      <c r="P1840" s="513" t="s">
        <v>7653</v>
      </c>
      <c r="Q1840" s="518" t="s">
        <v>7101</v>
      </c>
      <c r="R1840" s="152" t="s">
        <v>7654</v>
      </c>
      <c r="S1840" s="152" t="s">
        <v>7658</v>
      </c>
      <c r="T1840" s="152" t="s">
        <v>7655</v>
      </c>
      <c r="U1840" s="152" t="s">
        <v>786</v>
      </c>
    </row>
    <row r="1841" spans="4:21">
      <c r="D1841" s="210"/>
      <c r="G1841" s="152" t="s">
        <v>673</v>
      </c>
      <c r="H1841" s="474" t="s">
        <v>674</v>
      </c>
      <c r="I1841" s="474"/>
      <c r="J1841" s="847">
        <v>-525400</v>
      </c>
      <c r="K1841" s="513">
        <v>-370</v>
      </c>
      <c r="L1841" s="513">
        <v>1420</v>
      </c>
      <c r="M1841" s="152" t="s">
        <v>7143</v>
      </c>
      <c r="N1841" s="513" t="s">
        <v>780</v>
      </c>
      <c r="O1841" s="513" t="s">
        <v>781</v>
      </c>
      <c r="P1841" s="513" t="s">
        <v>7653</v>
      </c>
      <c r="Q1841" s="518" t="s">
        <v>7101</v>
      </c>
      <c r="R1841" s="152" t="s">
        <v>7654</v>
      </c>
      <c r="S1841" s="152" t="s">
        <v>7659</v>
      </c>
      <c r="T1841" s="152" t="s">
        <v>7655</v>
      </c>
      <c r="U1841" s="152" t="s">
        <v>786</v>
      </c>
    </row>
    <row r="1842" spans="4:21">
      <c r="D1842" s="210"/>
      <c r="G1842" s="152" t="s">
        <v>673</v>
      </c>
      <c r="H1842" s="474" t="s">
        <v>674</v>
      </c>
      <c r="I1842" s="474"/>
      <c r="J1842" s="847">
        <v>-98164.6</v>
      </c>
      <c r="K1842" s="513">
        <v>-69.13</v>
      </c>
      <c r="L1842" s="513">
        <v>1420</v>
      </c>
      <c r="M1842" s="152" t="s">
        <v>7143</v>
      </c>
      <c r="N1842" s="513" t="s">
        <v>780</v>
      </c>
      <c r="O1842" s="513" t="s">
        <v>781</v>
      </c>
      <c r="P1842" s="513" t="s">
        <v>7653</v>
      </c>
      <c r="Q1842" s="518" t="s">
        <v>7101</v>
      </c>
      <c r="R1842" s="152" t="s">
        <v>7654</v>
      </c>
      <c r="S1842" s="152" t="s">
        <v>7660</v>
      </c>
      <c r="T1842" s="152" t="s">
        <v>7655</v>
      </c>
      <c r="U1842" s="152" t="s">
        <v>786</v>
      </c>
    </row>
    <row r="1843" spans="4:21">
      <c r="D1843" s="210"/>
      <c r="G1843" s="152" t="s">
        <v>673</v>
      </c>
      <c r="H1843" s="474" t="s">
        <v>674</v>
      </c>
      <c r="I1843" s="474"/>
      <c r="J1843" s="847">
        <v>-1633</v>
      </c>
      <c r="K1843" s="513">
        <v>-1.1499999999999999</v>
      </c>
      <c r="L1843" s="513">
        <v>1420</v>
      </c>
      <c r="M1843" s="152" t="s">
        <v>7143</v>
      </c>
      <c r="N1843" s="513" t="s">
        <v>780</v>
      </c>
      <c r="O1843" s="513" t="s">
        <v>781</v>
      </c>
      <c r="P1843" s="513" t="s">
        <v>7653</v>
      </c>
      <c r="Q1843" s="518" t="s">
        <v>7101</v>
      </c>
      <c r="R1843" s="152" t="s">
        <v>7654</v>
      </c>
      <c r="S1843" s="152" t="s">
        <v>953</v>
      </c>
      <c r="T1843" s="152" t="s">
        <v>7655</v>
      </c>
      <c r="U1843" s="152" t="s">
        <v>786</v>
      </c>
    </row>
    <row r="1844" spans="4:21">
      <c r="D1844" s="210"/>
      <c r="G1844" s="152" t="s">
        <v>673</v>
      </c>
      <c r="H1844" s="474" t="s">
        <v>674</v>
      </c>
      <c r="I1844" s="474"/>
      <c r="J1844" s="847">
        <v>-45440</v>
      </c>
      <c r="K1844" s="513">
        <v>-32</v>
      </c>
      <c r="L1844" s="513">
        <v>1420</v>
      </c>
      <c r="M1844" s="152" t="s">
        <v>7143</v>
      </c>
      <c r="N1844" s="513" t="s">
        <v>780</v>
      </c>
      <c r="O1844" s="513" t="s">
        <v>781</v>
      </c>
      <c r="P1844" s="513" t="s">
        <v>7653</v>
      </c>
      <c r="Q1844" s="518" t="s">
        <v>7101</v>
      </c>
      <c r="R1844" s="152" t="s">
        <v>7654</v>
      </c>
      <c r="S1844" s="152" t="s">
        <v>851</v>
      </c>
      <c r="T1844" s="152" t="s">
        <v>7655</v>
      </c>
      <c r="U1844" s="152" t="s">
        <v>786</v>
      </c>
    </row>
    <row r="1845" spans="4:21">
      <c r="D1845" s="210"/>
      <c r="G1845" s="152" t="s">
        <v>673</v>
      </c>
      <c r="H1845" s="474" t="s">
        <v>674</v>
      </c>
      <c r="I1845" s="474"/>
      <c r="J1845" s="847">
        <v>-440086.4</v>
      </c>
      <c r="K1845" s="513">
        <v>-309.92</v>
      </c>
      <c r="L1845" s="513">
        <v>1420</v>
      </c>
      <c r="M1845" s="152" t="s">
        <v>7143</v>
      </c>
      <c r="N1845" s="513" t="s">
        <v>780</v>
      </c>
      <c r="O1845" s="513" t="s">
        <v>781</v>
      </c>
      <c r="P1845" s="513" t="s">
        <v>7653</v>
      </c>
      <c r="Q1845" s="518" t="s">
        <v>7101</v>
      </c>
      <c r="R1845" s="152" t="s">
        <v>7654</v>
      </c>
      <c r="S1845" s="152" t="s">
        <v>937</v>
      </c>
      <c r="T1845" s="152" t="s">
        <v>7655</v>
      </c>
      <c r="U1845" s="152" t="s">
        <v>786</v>
      </c>
    </row>
    <row r="1846" spans="4:21">
      <c r="D1846" s="210"/>
      <c r="G1846" s="152" t="s">
        <v>673</v>
      </c>
      <c r="H1846" s="474" t="s">
        <v>674</v>
      </c>
      <c r="I1846" s="474"/>
      <c r="J1846" s="847">
        <v>-28400</v>
      </c>
      <c r="K1846" s="513">
        <v>-20</v>
      </c>
      <c r="L1846" s="513">
        <v>1420</v>
      </c>
      <c r="M1846" s="152" t="s">
        <v>7143</v>
      </c>
      <c r="N1846" s="513" t="s">
        <v>780</v>
      </c>
      <c r="O1846" s="513" t="s">
        <v>781</v>
      </c>
      <c r="P1846" s="513" t="s">
        <v>7653</v>
      </c>
      <c r="Q1846" s="518" t="s">
        <v>7101</v>
      </c>
      <c r="R1846" s="152" t="s">
        <v>7654</v>
      </c>
      <c r="S1846" s="152" t="s">
        <v>4816</v>
      </c>
      <c r="T1846" s="152" t="s">
        <v>7655</v>
      </c>
      <c r="U1846" s="152" t="s">
        <v>786</v>
      </c>
    </row>
    <row r="1847" spans="4:21">
      <c r="D1847" s="210"/>
      <c r="G1847" s="152" t="s">
        <v>673</v>
      </c>
      <c r="H1847" s="474" t="s">
        <v>674</v>
      </c>
      <c r="I1847" s="474"/>
      <c r="J1847" s="847">
        <v>-2698</v>
      </c>
      <c r="K1847" s="513">
        <v>-1.9</v>
      </c>
      <c r="L1847" s="513">
        <v>1420</v>
      </c>
      <c r="M1847" s="152" t="s">
        <v>7143</v>
      </c>
      <c r="N1847" s="513" t="s">
        <v>780</v>
      </c>
      <c r="O1847" s="513" t="s">
        <v>781</v>
      </c>
      <c r="P1847" s="513" t="s">
        <v>7653</v>
      </c>
      <c r="Q1847" s="518" t="s">
        <v>7101</v>
      </c>
      <c r="R1847" s="152" t="s">
        <v>7654</v>
      </c>
      <c r="S1847" s="152" t="s">
        <v>953</v>
      </c>
      <c r="T1847" s="152" t="s">
        <v>7655</v>
      </c>
      <c r="U1847" s="152" t="s">
        <v>786</v>
      </c>
    </row>
    <row r="1848" spans="4:21">
      <c r="D1848" s="210"/>
      <c r="G1848" s="152" t="s">
        <v>673</v>
      </c>
      <c r="H1848" s="474" t="s">
        <v>674</v>
      </c>
      <c r="I1848" s="474"/>
      <c r="J1848" s="847">
        <v>-858063.4</v>
      </c>
      <c r="K1848" s="513">
        <v>-604.27</v>
      </c>
      <c r="L1848" s="513">
        <v>1420</v>
      </c>
      <c r="M1848" s="152" t="s">
        <v>7143</v>
      </c>
      <c r="N1848" s="513" t="s">
        <v>780</v>
      </c>
      <c r="O1848" s="513" t="s">
        <v>781</v>
      </c>
      <c r="P1848" s="513" t="s">
        <v>7653</v>
      </c>
      <c r="Q1848" s="518" t="s">
        <v>7101</v>
      </c>
      <c r="R1848" s="152" t="s">
        <v>7654</v>
      </c>
      <c r="S1848" s="152" t="s">
        <v>7661</v>
      </c>
      <c r="T1848" s="152" t="s">
        <v>7655</v>
      </c>
      <c r="U1848" s="152" t="s">
        <v>786</v>
      </c>
    </row>
    <row r="1849" spans="4:21">
      <c r="D1849" s="210"/>
      <c r="G1849" s="152" t="s">
        <v>673</v>
      </c>
      <c r="H1849" s="474" t="s">
        <v>674</v>
      </c>
      <c r="I1849" s="474"/>
      <c r="J1849" s="847">
        <v>-4332178.5999999996</v>
      </c>
      <c r="K1849" s="513">
        <v>-3050.83</v>
      </c>
      <c r="L1849" s="513">
        <v>1420</v>
      </c>
      <c r="M1849" s="152" t="s">
        <v>7143</v>
      </c>
      <c r="N1849" s="513" t="s">
        <v>780</v>
      </c>
      <c r="O1849" s="513" t="s">
        <v>781</v>
      </c>
      <c r="P1849" s="513" t="s">
        <v>7653</v>
      </c>
      <c r="Q1849" s="518" t="s">
        <v>7101</v>
      </c>
      <c r="R1849" s="152" t="s">
        <v>7654</v>
      </c>
      <c r="S1849" s="152" t="s">
        <v>1116</v>
      </c>
      <c r="T1849" s="152" t="s">
        <v>7655</v>
      </c>
      <c r="U1849" s="152" t="s">
        <v>786</v>
      </c>
    </row>
    <row r="1850" spans="4:21">
      <c r="D1850" s="210"/>
      <c r="G1850" s="152" t="s">
        <v>673</v>
      </c>
      <c r="H1850" s="474" t="s">
        <v>674</v>
      </c>
      <c r="I1850" s="474"/>
      <c r="J1850" s="847">
        <v>-105080</v>
      </c>
      <c r="K1850" s="513">
        <v>-74</v>
      </c>
      <c r="L1850" s="513">
        <v>1420</v>
      </c>
      <c r="M1850" s="152" t="s">
        <v>7143</v>
      </c>
      <c r="N1850" s="513" t="s">
        <v>780</v>
      </c>
      <c r="O1850" s="513" t="s">
        <v>781</v>
      </c>
      <c r="P1850" s="513" t="s">
        <v>7653</v>
      </c>
      <c r="Q1850" s="518" t="s">
        <v>7101</v>
      </c>
      <c r="R1850" s="152" t="s">
        <v>7654</v>
      </c>
      <c r="S1850" s="152" t="s">
        <v>7663</v>
      </c>
      <c r="T1850" s="152" t="s">
        <v>7655</v>
      </c>
      <c r="U1850" s="152" t="s">
        <v>786</v>
      </c>
    </row>
    <row r="1851" spans="4:21">
      <c r="D1851" s="210"/>
      <c r="G1851" s="152" t="s">
        <v>673</v>
      </c>
      <c r="H1851" s="474" t="s">
        <v>674</v>
      </c>
      <c r="I1851" s="474"/>
      <c r="J1851" s="847">
        <v>-102154.8</v>
      </c>
      <c r="K1851" s="513">
        <v>-71.94</v>
      </c>
      <c r="L1851" s="513">
        <v>1420</v>
      </c>
      <c r="M1851" s="152" t="s">
        <v>7143</v>
      </c>
      <c r="N1851" s="513" t="s">
        <v>780</v>
      </c>
      <c r="O1851" s="513" t="s">
        <v>781</v>
      </c>
      <c r="P1851" s="513" t="s">
        <v>7653</v>
      </c>
      <c r="Q1851" s="518" t="s">
        <v>7101</v>
      </c>
      <c r="R1851" s="152" t="s">
        <v>7654</v>
      </c>
      <c r="S1851" s="152" t="s">
        <v>852</v>
      </c>
      <c r="T1851" s="152" t="s">
        <v>7655</v>
      </c>
      <c r="U1851" s="152" t="s">
        <v>786</v>
      </c>
    </row>
    <row r="1852" spans="4:21">
      <c r="D1852" s="210"/>
      <c r="G1852" s="152" t="s">
        <v>673</v>
      </c>
      <c r="H1852" s="474" t="s">
        <v>674</v>
      </c>
      <c r="I1852" s="474"/>
      <c r="J1852" s="847">
        <v>-114466.2</v>
      </c>
      <c r="K1852" s="513">
        <v>-80.61</v>
      </c>
      <c r="L1852" s="513">
        <v>1420</v>
      </c>
      <c r="M1852" s="152" t="s">
        <v>7143</v>
      </c>
      <c r="N1852" s="513" t="s">
        <v>780</v>
      </c>
      <c r="O1852" s="513" t="s">
        <v>781</v>
      </c>
      <c r="P1852" s="513" t="s">
        <v>7653</v>
      </c>
      <c r="Q1852" s="518" t="s">
        <v>7101</v>
      </c>
      <c r="R1852" s="152" t="s">
        <v>7654</v>
      </c>
      <c r="S1852" s="152" t="s">
        <v>7662</v>
      </c>
      <c r="T1852" s="152" t="s">
        <v>7655</v>
      </c>
      <c r="U1852" s="152" t="s">
        <v>786</v>
      </c>
    </row>
    <row r="1853" spans="4:21">
      <c r="D1853" s="210"/>
      <c r="G1853" s="152" t="s">
        <v>673</v>
      </c>
      <c r="H1853" s="474" t="s">
        <v>674</v>
      </c>
      <c r="I1853" s="474"/>
      <c r="J1853" s="847">
        <v>-356420</v>
      </c>
      <c r="K1853" s="513">
        <v>-251</v>
      </c>
      <c r="L1853" s="513">
        <v>1420</v>
      </c>
      <c r="M1853" s="152" t="s">
        <v>7143</v>
      </c>
      <c r="N1853" s="513" t="s">
        <v>780</v>
      </c>
      <c r="O1853" s="513" t="s">
        <v>781</v>
      </c>
      <c r="P1853" s="513" t="s">
        <v>7653</v>
      </c>
      <c r="Q1853" s="518" t="s">
        <v>7101</v>
      </c>
      <c r="R1853" s="152" t="s">
        <v>7654</v>
      </c>
      <c r="S1853" s="152" t="s">
        <v>936</v>
      </c>
      <c r="T1853" s="152" t="s">
        <v>7655</v>
      </c>
      <c r="U1853" s="152" t="s">
        <v>786</v>
      </c>
    </row>
    <row r="1854" spans="4:21">
      <c r="D1854" s="210"/>
      <c r="G1854" s="152" t="s">
        <v>673</v>
      </c>
      <c r="H1854" s="474" t="s">
        <v>674</v>
      </c>
      <c r="I1854" s="474"/>
      <c r="J1854" s="847">
        <v>-28400</v>
      </c>
      <c r="K1854" s="513">
        <v>-20</v>
      </c>
      <c r="L1854" s="513">
        <v>1420</v>
      </c>
      <c r="M1854" s="152" t="s">
        <v>7143</v>
      </c>
      <c r="N1854" s="513" t="s">
        <v>780</v>
      </c>
      <c r="O1854" s="513" t="s">
        <v>781</v>
      </c>
      <c r="P1854" s="513" t="s">
        <v>7653</v>
      </c>
      <c r="Q1854" s="518" t="s">
        <v>7101</v>
      </c>
      <c r="R1854" s="152" t="s">
        <v>7654</v>
      </c>
      <c r="S1854" s="152" t="s">
        <v>1146</v>
      </c>
      <c r="T1854" s="152" t="s">
        <v>7655</v>
      </c>
      <c r="U1854" s="152" t="s">
        <v>786</v>
      </c>
    </row>
    <row r="1855" spans="4:21">
      <c r="D1855" s="210"/>
      <c r="G1855" s="152" t="s">
        <v>673</v>
      </c>
      <c r="H1855" s="474" t="s">
        <v>674</v>
      </c>
      <c r="I1855" s="474"/>
      <c r="J1855" s="847">
        <v>-1405842.6</v>
      </c>
      <c r="K1855" s="513">
        <v>-990.03</v>
      </c>
      <c r="L1855" s="513">
        <v>1420</v>
      </c>
      <c r="M1855" s="152" t="s">
        <v>7143</v>
      </c>
      <c r="N1855" s="513" t="s">
        <v>780</v>
      </c>
      <c r="O1855" s="513" t="s">
        <v>781</v>
      </c>
      <c r="P1855" s="513" t="s">
        <v>7653</v>
      </c>
      <c r="Q1855" s="518" t="s">
        <v>7101</v>
      </c>
      <c r="R1855" s="152" t="s">
        <v>7654</v>
      </c>
      <c r="S1855" s="152" t="s">
        <v>937</v>
      </c>
      <c r="T1855" s="152" t="s">
        <v>7655</v>
      </c>
      <c r="U1855" s="152" t="s">
        <v>786</v>
      </c>
    </row>
    <row r="1856" spans="4:21">
      <c r="D1856" s="210"/>
      <c r="G1856" s="152" t="s">
        <v>673</v>
      </c>
      <c r="H1856" s="474" t="s">
        <v>674</v>
      </c>
      <c r="I1856" s="474"/>
      <c r="J1856" s="847">
        <v>-2840000</v>
      </c>
      <c r="K1856" s="513">
        <v>-2000</v>
      </c>
      <c r="L1856" s="513">
        <v>1420</v>
      </c>
      <c r="M1856" s="152" t="s">
        <v>7143</v>
      </c>
      <c r="N1856" s="513" t="s">
        <v>780</v>
      </c>
      <c r="O1856" s="513" t="s">
        <v>781</v>
      </c>
      <c r="P1856" s="513" t="s">
        <v>7653</v>
      </c>
      <c r="Q1856" s="518" t="s">
        <v>7101</v>
      </c>
      <c r="R1856" s="152" t="s">
        <v>7654</v>
      </c>
      <c r="S1856" s="152" t="s">
        <v>1107</v>
      </c>
      <c r="T1856" s="152" t="s">
        <v>7655</v>
      </c>
      <c r="U1856" s="152" t="s">
        <v>786</v>
      </c>
    </row>
    <row r="1857" spans="4:21">
      <c r="D1857" s="210"/>
      <c r="G1857" s="152" t="s">
        <v>666</v>
      </c>
      <c r="H1857" s="474" t="s">
        <v>667</v>
      </c>
      <c r="I1857" s="474"/>
      <c r="J1857" s="847">
        <v>28400</v>
      </c>
      <c r="K1857" s="513">
        <v>20</v>
      </c>
      <c r="L1857" s="513">
        <v>1420</v>
      </c>
      <c r="M1857" s="152" t="s">
        <v>7143</v>
      </c>
      <c r="N1857" s="513" t="s">
        <v>780</v>
      </c>
      <c r="O1857" s="513" t="s">
        <v>1272</v>
      </c>
      <c r="P1857" s="513" t="s">
        <v>7144</v>
      </c>
      <c r="Q1857" s="518" t="s">
        <v>7101</v>
      </c>
      <c r="R1857" s="152" t="s">
        <v>7145</v>
      </c>
      <c r="S1857" s="152" t="s">
        <v>6414</v>
      </c>
      <c r="T1857" s="152" t="s">
        <v>7146</v>
      </c>
      <c r="U1857" s="152" t="s">
        <v>786</v>
      </c>
    </row>
    <row r="1858" spans="4:21">
      <c r="D1858" s="210"/>
      <c r="G1858" s="152" t="s">
        <v>662</v>
      </c>
      <c r="H1858" s="474" t="s">
        <v>663</v>
      </c>
      <c r="I1858" s="474"/>
      <c r="J1858" s="847">
        <v>13717.2</v>
      </c>
      <c r="K1858" s="513">
        <v>9.66</v>
      </c>
      <c r="L1858" s="513">
        <v>1420</v>
      </c>
      <c r="M1858" s="152" t="s">
        <v>7143</v>
      </c>
      <c r="N1858" s="513" t="s">
        <v>780</v>
      </c>
      <c r="O1858" s="513" t="s">
        <v>1272</v>
      </c>
      <c r="P1858" s="513" t="s">
        <v>7162</v>
      </c>
      <c r="Q1858" s="518" t="s">
        <v>7101</v>
      </c>
      <c r="R1858" s="152" t="s">
        <v>7163</v>
      </c>
      <c r="S1858" s="152" t="s">
        <v>6414</v>
      </c>
      <c r="T1858" s="152" t="s">
        <v>7164</v>
      </c>
      <c r="U1858" s="152" t="s">
        <v>786</v>
      </c>
    </row>
    <row r="1859" spans="4:21">
      <c r="D1859" s="210"/>
      <c r="G1859" s="152" t="s">
        <v>662</v>
      </c>
      <c r="H1859" s="474" t="s">
        <v>663</v>
      </c>
      <c r="I1859" s="474"/>
      <c r="J1859" s="847">
        <v>28650</v>
      </c>
      <c r="K1859" s="513">
        <v>20</v>
      </c>
      <c r="L1859" s="513">
        <v>1432.5</v>
      </c>
      <c r="M1859" s="152" t="s">
        <v>7143</v>
      </c>
      <c r="N1859" s="513" t="s">
        <v>780</v>
      </c>
      <c r="O1859" s="513" t="s">
        <v>1272</v>
      </c>
      <c r="P1859" s="513" t="s">
        <v>7171</v>
      </c>
      <c r="Q1859" s="518" t="s">
        <v>7101</v>
      </c>
      <c r="R1859" s="152" t="s">
        <v>7172</v>
      </c>
      <c r="S1859" s="152" t="s">
        <v>7173</v>
      </c>
      <c r="T1859" s="152" t="s">
        <v>7174</v>
      </c>
      <c r="U1859" s="152" t="s">
        <v>786</v>
      </c>
    </row>
    <row r="1860" spans="4:21">
      <c r="D1860" s="210"/>
      <c r="G1860" s="152" t="s">
        <v>662</v>
      </c>
      <c r="H1860" s="474" t="s">
        <v>663</v>
      </c>
      <c r="I1860" s="474"/>
      <c r="J1860" s="847">
        <v>-13717.2</v>
      </c>
      <c r="K1860" s="513">
        <v>-9.66</v>
      </c>
      <c r="L1860" s="513">
        <v>1420</v>
      </c>
      <c r="M1860" s="152" t="s">
        <v>7143</v>
      </c>
      <c r="N1860" s="513" t="s">
        <v>780</v>
      </c>
      <c r="O1860" s="513" t="s">
        <v>1272</v>
      </c>
      <c r="P1860" s="513" t="s">
        <v>7694</v>
      </c>
      <c r="Q1860" s="518" t="s">
        <v>7101</v>
      </c>
      <c r="R1860" s="152" t="s">
        <v>7695</v>
      </c>
      <c r="S1860" s="152" t="s">
        <v>6414</v>
      </c>
      <c r="T1860" s="152" t="s">
        <v>7696</v>
      </c>
      <c r="U1860" s="152" t="s">
        <v>786</v>
      </c>
    </row>
    <row r="1861" spans="4:21">
      <c r="D1861" s="210"/>
      <c r="G1861" s="152" t="s">
        <v>658</v>
      </c>
      <c r="H1861" s="474" t="s">
        <v>659</v>
      </c>
      <c r="I1861" s="474"/>
      <c r="J1861" s="847">
        <v>7025000</v>
      </c>
      <c r="K1861" s="513">
        <v>5000</v>
      </c>
      <c r="L1861" s="513">
        <v>1405</v>
      </c>
      <c r="M1861" s="152" t="s">
        <v>7116</v>
      </c>
      <c r="N1861" s="513" t="s">
        <v>780</v>
      </c>
      <c r="O1861" s="513" t="s">
        <v>1407</v>
      </c>
      <c r="P1861" s="513" t="s">
        <v>7117</v>
      </c>
      <c r="Q1861" s="518" t="s">
        <v>7101</v>
      </c>
      <c r="R1861" s="152" t="s">
        <v>7118</v>
      </c>
      <c r="S1861" s="152" t="s">
        <v>6533</v>
      </c>
      <c r="T1861" s="152" t="s">
        <v>7119</v>
      </c>
      <c r="U1861" s="152" t="s">
        <v>786</v>
      </c>
    </row>
    <row r="1862" spans="4:21">
      <c r="D1862" s="210"/>
      <c r="G1862" s="152" t="s">
        <v>658</v>
      </c>
      <c r="H1862" s="474" t="s">
        <v>659</v>
      </c>
      <c r="I1862" s="474"/>
      <c r="J1862" s="847">
        <v>2643423.2000000002</v>
      </c>
      <c r="K1862" s="513">
        <v>1881.44</v>
      </c>
      <c r="L1862" s="513">
        <v>1405</v>
      </c>
      <c r="M1862" s="152" t="s">
        <v>7116</v>
      </c>
      <c r="N1862" s="513" t="s">
        <v>780</v>
      </c>
      <c r="O1862" s="513" t="s">
        <v>1407</v>
      </c>
      <c r="P1862" s="513" t="s">
        <v>7117</v>
      </c>
      <c r="Q1862" s="518" t="s">
        <v>7101</v>
      </c>
      <c r="R1862" s="152" t="s">
        <v>7118</v>
      </c>
      <c r="S1862" s="152" t="s">
        <v>4093</v>
      </c>
      <c r="T1862" s="152" t="s">
        <v>7119</v>
      </c>
      <c r="U1862" s="152" t="s">
        <v>786</v>
      </c>
    </row>
    <row r="1863" spans="4:21">
      <c r="D1863" s="210"/>
      <c r="G1863" s="152" t="s">
        <v>658</v>
      </c>
      <c r="H1863" s="474" t="s">
        <v>659</v>
      </c>
      <c r="I1863" s="474"/>
      <c r="J1863" s="847">
        <v>42150000</v>
      </c>
      <c r="K1863" s="513">
        <v>30000</v>
      </c>
      <c r="L1863" s="513">
        <v>1405</v>
      </c>
      <c r="M1863" s="152" t="s">
        <v>7116</v>
      </c>
      <c r="N1863" s="513" t="s">
        <v>780</v>
      </c>
      <c r="O1863" s="513" t="s">
        <v>1407</v>
      </c>
      <c r="P1863" s="513" t="s">
        <v>7140</v>
      </c>
      <c r="Q1863" s="518" t="s">
        <v>7101</v>
      </c>
      <c r="R1863" s="152" t="s">
        <v>7141</v>
      </c>
      <c r="S1863" s="152" t="s">
        <v>4093</v>
      </c>
      <c r="T1863" s="152" t="s">
        <v>7142</v>
      </c>
      <c r="U1863" s="152" t="s">
        <v>786</v>
      </c>
    </row>
    <row r="1864" spans="4:21">
      <c r="D1864" s="210"/>
      <c r="G1864" s="152" t="s">
        <v>658</v>
      </c>
      <c r="H1864" s="474" t="s">
        <v>659</v>
      </c>
      <c r="I1864" s="474"/>
      <c r="J1864" s="847">
        <v>843000</v>
      </c>
      <c r="K1864" s="513">
        <v>600</v>
      </c>
      <c r="L1864" s="513">
        <v>1405</v>
      </c>
      <c r="M1864" s="152" t="s">
        <v>7116</v>
      </c>
      <c r="N1864" s="513" t="s">
        <v>780</v>
      </c>
      <c r="O1864" s="513" t="s">
        <v>1407</v>
      </c>
      <c r="P1864" s="513" t="s">
        <v>7140</v>
      </c>
      <c r="Q1864" s="518" t="s">
        <v>7101</v>
      </c>
      <c r="R1864" s="152" t="s">
        <v>7141</v>
      </c>
      <c r="S1864" s="152" t="s">
        <v>4093</v>
      </c>
      <c r="T1864" s="152" t="s">
        <v>7142</v>
      </c>
      <c r="U1864" s="152" t="s">
        <v>786</v>
      </c>
    </row>
    <row r="1865" spans="4:21">
      <c r="D1865" s="210"/>
      <c r="G1865" s="152" t="s">
        <v>658</v>
      </c>
      <c r="H1865" s="474" t="s">
        <v>659</v>
      </c>
      <c r="I1865" s="474"/>
      <c r="J1865" s="847">
        <v>14050000</v>
      </c>
      <c r="K1865" s="513">
        <v>10000</v>
      </c>
      <c r="L1865" s="513">
        <v>1405</v>
      </c>
      <c r="M1865" s="152" t="s">
        <v>7116</v>
      </c>
      <c r="N1865" s="513" t="s">
        <v>780</v>
      </c>
      <c r="O1865" s="513" t="s">
        <v>1407</v>
      </c>
      <c r="P1865" s="513" t="s">
        <v>7140</v>
      </c>
      <c r="Q1865" s="518" t="s">
        <v>7101</v>
      </c>
      <c r="R1865" s="152" t="s">
        <v>7141</v>
      </c>
      <c r="S1865" s="152" t="s">
        <v>4093</v>
      </c>
      <c r="T1865" s="152" t="s">
        <v>7142</v>
      </c>
      <c r="U1865" s="152" t="s">
        <v>786</v>
      </c>
    </row>
    <row r="1866" spans="4:21">
      <c r="D1866" s="210"/>
      <c r="G1866" s="152" t="s">
        <v>658</v>
      </c>
      <c r="H1866" s="474" t="s">
        <v>659</v>
      </c>
      <c r="I1866" s="474"/>
      <c r="J1866" s="847">
        <v>8893.65</v>
      </c>
      <c r="K1866" s="513">
        <v>6.33</v>
      </c>
      <c r="L1866" s="513">
        <v>1405</v>
      </c>
      <c r="M1866" s="152" t="s">
        <v>7116</v>
      </c>
      <c r="N1866" s="513" t="s">
        <v>780</v>
      </c>
      <c r="O1866" s="513" t="s">
        <v>1407</v>
      </c>
      <c r="P1866" s="513" t="s">
        <v>7140</v>
      </c>
      <c r="Q1866" s="518" t="s">
        <v>7101</v>
      </c>
      <c r="R1866" s="152" t="s">
        <v>7141</v>
      </c>
      <c r="S1866" s="152" t="s">
        <v>4093</v>
      </c>
      <c r="T1866" s="152" t="s">
        <v>7142</v>
      </c>
      <c r="U1866" s="152" t="s">
        <v>786</v>
      </c>
    </row>
    <row r="1867" spans="4:21">
      <c r="D1867" s="210"/>
      <c r="G1867" s="152" t="s">
        <v>658</v>
      </c>
      <c r="H1867" s="474" t="s">
        <v>659</v>
      </c>
      <c r="I1867" s="474"/>
      <c r="J1867" s="847">
        <v>14050000</v>
      </c>
      <c r="K1867" s="513">
        <v>10000</v>
      </c>
      <c r="L1867" s="513">
        <v>1405</v>
      </c>
      <c r="M1867" s="152" t="s">
        <v>7116</v>
      </c>
      <c r="N1867" s="513" t="s">
        <v>780</v>
      </c>
      <c r="O1867" s="513" t="s">
        <v>1407</v>
      </c>
      <c r="P1867" s="513" t="s">
        <v>7140</v>
      </c>
      <c r="Q1867" s="518" t="s">
        <v>7101</v>
      </c>
      <c r="R1867" s="152" t="s">
        <v>7141</v>
      </c>
      <c r="S1867" s="152" t="s">
        <v>6533</v>
      </c>
      <c r="T1867" s="152" t="s">
        <v>7142</v>
      </c>
      <c r="U1867" s="152" t="s">
        <v>786</v>
      </c>
    </row>
    <row r="1868" spans="4:21">
      <c r="D1868" s="210"/>
      <c r="G1868" s="152" t="s">
        <v>658</v>
      </c>
      <c r="H1868" s="474" t="s">
        <v>659</v>
      </c>
      <c r="I1868" s="474"/>
      <c r="J1868" s="847">
        <v>-6698871.4000000004</v>
      </c>
      <c r="K1868" s="513">
        <v>-4767.88</v>
      </c>
      <c r="L1868" s="513">
        <v>1405</v>
      </c>
      <c r="M1868" s="152" t="s">
        <v>7116</v>
      </c>
      <c r="N1868" s="513" t="s">
        <v>780</v>
      </c>
      <c r="O1868" s="513" t="s">
        <v>1407</v>
      </c>
      <c r="P1868" s="513" t="s">
        <v>7456</v>
      </c>
      <c r="Q1868" s="518" t="s">
        <v>7101</v>
      </c>
      <c r="R1868" s="152" t="s">
        <v>7457</v>
      </c>
      <c r="S1868" s="152" t="s">
        <v>7458</v>
      </c>
      <c r="T1868" s="152" t="s">
        <v>7459</v>
      </c>
      <c r="U1868" s="152" t="s">
        <v>786</v>
      </c>
    </row>
    <row r="1869" spans="4:21">
      <c r="D1869" s="210"/>
      <c r="G1869" s="152" t="s">
        <v>658</v>
      </c>
      <c r="H1869" s="474" t="s">
        <v>659</v>
      </c>
      <c r="I1869" s="474"/>
      <c r="J1869" s="847">
        <v>-1273801.1000000001</v>
      </c>
      <c r="K1869" s="513">
        <v>-906.62</v>
      </c>
      <c r="L1869" s="513">
        <v>1405</v>
      </c>
      <c r="M1869" s="152" t="s">
        <v>7116</v>
      </c>
      <c r="N1869" s="513" t="s">
        <v>780</v>
      </c>
      <c r="O1869" s="513" t="s">
        <v>1407</v>
      </c>
      <c r="P1869" s="513" t="s">
        <v>7456</v>
      </c>
      <c r="Q1869" s="518" t="s">
        <v>7101</v>
      </c>
      <c r="R1869" s="152" t="s">
        <v>7457</v>
      </c>
      <c r="S1869" s="152" t="s">
        <v>7462</v>
      </c>
      <c r="T1869" s="152" t="s">
        <v>7459</v>
      </c>
      <c r="U1869" s="152" t="s">
        <v>786</v>
      </c>
    </row>
    <row r="1870" spans="4:21">
      <c r="D1870" s="210"/>
      <c r="G1870" s="152" t="s">
        <v>658</v>
      </c>
      <c r="H1870" s="474" t="s">
        <v>659</v>
      </c>
      <c r="I1870" s="474"/>
      <c r="J1870" s="847">
        <v>-382230.25</v>
      </c>
      <c r="K1870" s="513">
        <v>-272.05</v>
      </c>
      <c r="L1870" s="513">
        <v>1405</v>
      </c>
      <c r="M1870" s="152" t="s">
        <v>7116</v>
      </c>
      <c r="N1870" s="513" t="s">
        <v>780</v>
      </c>
      <c r="O1870" s="513" t="s">
        <v>1407</v>
      </c>
      <c r="P1870" s="513" t="s">
        <v>7456</v>
      </c>
      <c r="Q1870" s="518" t="s">
        <v>7101</v>
      </c>
      <c r="R1870" s="152" t="s">
        <v>7457</v>
      </c>
      <c r="S1870" s="152" t="s">
        <v>7469</v>
      </c>
      <c r="T1870" s="152" t="s">
        <v>7459</v>
      </c>
      <c r="U1870" s="152" t="s">
        <v>786</v>
      </c>
    </row>
    <row r="1871" spans="4:21">
      <c r="D1871" s="210"/>
      <c r="G1871" s="152" t="s">
        <v>658</v>
      </c>
      <c r="H1871" s="474" t="s">
        <v>659</v>
      </c>
      <c r="I1871" s="474"/>
      <c r="J1871" s="847">
        <v>-2739.75</v>
      </c>
      <c r="K1871" s="513">
        <v>-1.95</v>
      </c>
      <c r="L1871" s="513">
        <v>1405</v>
      </c>
      <c r="M1871" s="152" t="s">
        <v>7116</v>
      </c>
      <c r="N1871" s="513" t="s">
        <v>780</v>
      </c>
      <c r="O1871" s="513" t="s">
        <v>1407</v>
      </c>
      <c r="P1871" s="513" t="s">
        <v>7456</v>
      </c>
      <c r="Q1871" s="518" t="s">
        <v>7101</v>
      </c>
      <c r="R1871" s="152" t="s">
        <v>7457</v>
      </c>
      <c r="S1871" s="152" t="s">
        <v>1515</v>
      </c>
      <c r="T1871" s="152" t="s">
        <v>7459</v>
      </c>
      <c r="U1871" s="152" t="s">
        <v>786</v>
      </c>
    </row>
    <row r="1872" spans="4:21">
      <c r="D1872" s="210"/>
      <c r="G1872" s="152" t="s">
        <v>658</v>
      </c>
      <c r="H1872" s="474" t="s">
        <v>659</v>
      </c>
      <c r="I1872" s="474"/>
      <c r="J1872" s="847">
        <v>-2641.4</v>
      </c>
      <c r="K1872" s="513">
        <v>-1.88</v>
      </c>
      <c r="L1872" s="513">
        <v>1405</v>
      </c>
      <c r="M1872" s="152" t="s">
        <v>7116</v>
      </c>
      <c r="N1872" s="513" t="s">
        <v>780</v>
      </c>
      <c r="O1872" s="513" t="s">
        <v>1407</v>
      </c>
      <c r="P1872" s="513" t="s">
        <v>7456</v>
      </c>
      <c r="Q1872" s="518" t="s">
        <v>7101</v>
      </c>
      <c r="R1872" s="152" t="s">
        <v>7457</v>
      </c>
      <c r="S1872" s="152" t="s">
        <v>1515</v>
      </c>
      <c r="T1872" s="152" t="s">
        <v>7459</v>
      </c>
      <c r="U1872" s="152" t="s">
        <v>786</v>
      </c>
    </row>
    <row r="1873" spans="4:21">
      <c r="D1873" s="210"/>
      <c r="G1873" s="152" t="s">
        <v>658</v>
      </c>
      <c r="H1873" s="474" t="s">
        <v>659</v>
      </c>
      <c r="I1873" s="474"/>
      <c r="J1873" s="847">
        <v>-17857.55</v>
      </c>
      <c r="K1873" s="513">
        <v>-12.71</v>
      </c>
      <c r="L1873" s="513">
        <v>1405</v>
      </c>
      <c r="M1873" s="152" t="s">
        <v>7116</v>
      </c>
      <c r="N1873" s="513" t="s">
        <v>780</v>
      </c>
      <c r="O1873" s="513" t="s">
        <v>1407</v>
      </c>
      <c r="P1873" s="513" t="s">
        <v>7456</v>
      </c>
      <c r="Q1873" s="518" t="s">
        <v>7101</v>
      </c>
      <c r="R1873" s="152" t="s">
        <v>7457</v>
      </c>
      <c r="S1873" s="152" t="s">
        <v>7484</v>
      </c>
      <c r="T1873" s="152" t="s">
        <v>7459</v>
      </c>
      <c r="U1873" s="152" t="s">
        <v>786</v>
      </c>
    </row>
    <row r="1874" spans="4:21">
      <c r="D1874" s="210"/>
      <c r="G1874" s="152" t="s">
        <v>658</v>
      </c>
      <c r="H1874" s="474" t="s">
        <v>659</v>
      </c>
      <c r="I1874" s="474"/>
      <c r="J1874" s="847">
        <v>-785521.45</v>
      </c>
      <c r="K1874" s="513">
        <v>-559.09</v>
      </c>
      <c r="L1874" s="513">
        <v>1405</v>
      </c>
      <c r="M1874" s="152" t="s">
        <v>7116</v>
      </c>
      <c r="N1874" s="513" t="s">
        <v>780</v>
      </c>
      <c r="O1874" s="513" t="s">
        <v>1407</v>
      </c>
      <c r="P1874" s="513" t="s">
        <v>7456</v>
      </c>
      <c r="Q1874" s="518" t="s">
        <v>7101</v>
      </c>
      <c r="R1874" s="152" t="s">
        <v>7457</v>
      </c>
      <c r="S1874" s="152" t="s">
        <v>7487</v>
      </c>
      <c r="T1874" s="152" t="s">
        <v>7459</v>
      </c>
      <c r="U1874" s="152" t="s">
        <v>786</v>
      </c>
    </row>
    <row r="1875" spans="4:21">
      <c r="D1875" s="210"/>
      <c r="G1875" s="152" t="s">
        <v>658</v>
      </c>
      <c r="H1875" s="474" t="s">
        <v>659</v>
      </c>
      <c r="I1875" s="474"/>
      <c r="J1875" s="847">
        <v>-542568.85</v>
      </c>
      <c r="K1875" s="513">
        <v>-386.17</v>
      </c>
      <c r="L1875" s="513">
        <v>1405</v>
      </c>
      <c r="M1875" s="152" t="s">
        <v>7116</v>
      </c>
      <c r="N1875" s="513" t="s">
        <v>780</v>
      </c>
      <c r="O1875" s="513" t="s">
        <v>1407</v>
      </c>
      <c r="P1875" s="513" t="s">
        <v>7456</v>
      </c>
      <c r="Q1875" s="518" t="s">
        <v>7101</v>
      </c>
      <c r="R1875" s="152" t="s">
        <v>7457</v>
      </c>
      <c r="S1875" s="152" t="s">
        <v>7479</v>
      </c>
      <c r="T1875" s="152" t="s">
        <v>7459</v>
      </c>
      <c r="U1875" s="152" t="s">
        <v>786</v>
      </c>
    </row>
    <row r="1876" spans="4:21">
      <c r="D1876" s="210"/>
      <c r="G1876" s="152" t="s">
        <v>658</v>
      </c>
      <c r="H1876" s="474" t="s">
        <v>659</v>
      </c>
      <c r="I1876" s="474"/>
      <c r="J1876" s="847">
        <v>-177128.35</v>
      </c>
      <c r="K1876" s="513">
        <v>-126.07</v>
      </c>
      <c r="L1876" s="513">
        <v>1405</v>
      </c>
      <c r="M1876" s="152" t="s">
        <v>7116</v>
      </c>
      <c r="N1876" s="513" t="s">
        <v>780</v>
      </c>
      <c r="O1876" s="513" t="s">
        <v>1407</v>
      </c>
      <c r="P1876" s="513" t="s">
        <v>7456</v>
      </c>
      <c r="Q1876" s="518" t="s">
        <v>7101</v>
      </c>
      <c r="R1876" s="152" t="s">
        <v>7457</v>
      </c>
      <c r="S1876" s="152" t="s">
        <v>7489</v>
      </c>
      <c r="T1876" s="152" t="s">
        <v>7459</v>
      </c>
      <c r="U1876" s="152" t="s">
        <v>786</v>
      </c>
    </row>
    <row r="1877" spans="4:21">
      <c r="D1877" s="210"/>
      <c r="G1877" s="152" t="s">
        <v>658</v>
      </c>
      <c r="H1877" s="474" t="s">
        <v>659</v>
      </c>
      <c r="I1877" s="474"/>
      <c r="J1877" s="847">
        <v>-479498.4</v>
      </c>
      <c r="K1877" s="513">
        <v>-341.28</v>
      </c>
      <c r="L1877" s="513">
        <v>1405</v>
      </c>
      <c r="M1877" s="152" t="s">
        <v>7116</v>
      </c>
      <c r="N1877" s="513" t="s">
        <v>780</v>
      </c>
      <c r="O1877" s="513" t="s">
        <v>1407</v>
      </c>
      <c r="P1877" s="513" t="s">
        <v>7456</v>
      </c>
      <c r="Q1877" s="518" t="s">
        <v>7101</v>
      </c>
      <c r="R1877" s="152" t="s">
        <v>7457</v>
      </c>
      <c r="S1877" s="152" t="s">
        <v>7490</v>
      </c>
      <c r="T1877" s="152" t="s">
        <v>7459</v>
      </c>
      <c r="U1877" s="152" t="s">
        <v>786</v>
      </c>
    </row>
    <row r="1878" spans="4:21">
      <c r="D1878" s="210"/>
      <c r="G1878" s="152" t="s">
        <v>658</v>
      </c>
      <c r="H1878" s="474" t="s">
        <v>659</v>
      </c>
      <c r="I1878" s="474"/>
      <c r="J1878" s="847">
        <v>-2669.5</v>
      </c>
      <c r="K1878" s="513">
        <v>-1.9</v>
      </c>
      <c r="L1878" s="513">
        <v>1405</v>
      </c>
      <c r="M1878" s="152" t="s">
        <v>7116</v>
      </c>
      <c r="N1878" s="513" t="s">
        <v>780</v>
      </c>
      <c r="O1878" s="513" t="s">
        <v>1407</v>
      </c>
      <c r="P1878" s="513" t="s">
        <v>7456</v>
      </c>
      <c r="Q1878" s="518" t="s">
        <v>7101</v>
      </c>
      <c r="R1878" s="152" t="s">
        <v>7457</v>
      </c>
      <c r="S1878" s="152" t="s">
        <v>1515</v>
      </c>
      <c r="T1878" s="152" t="s">
        <v>7459</v>
      </c>
      <c r="U1878" s="152" t="s">
        <v>786</v>
      </c>
    </row>
    <row r="1879" spans="4:21">
      <c r="D1879" s="210"/>
      <c r="G1879" s="152" t="s">
        <v>658</v>
      </c>
      <c r="H1879" s="474" t="s">
        <v>659</v>
      </c>
      <c r="I1879" s="474"/>
      <c r="J1879" s="847">
        <v>-629341.65</v>
      </c>
      <c r="K1879" s="513">
        <v>-447.93</v>
      </c>
      <c r="L1879" s="513">
        <v>1405</v>
      </c>
      <c r="M1879" s="152" t="s">
        <v>7116</v>
      </c>
      <c r="N1879" s="513" t="s">
        <v>780</v>
      </c>
      <c r="O1879" s="513" t="s">
        <v>1407</v>
      </c>
      <c r="P1879" s="513" t="s">
        <v>7456</v>
      </c>
      <c r="Q1879" s="518" t="s">
        <v>7101</v>
      </c>
      <c r="R1879" s="152" t="s">
        <v>7457</v>
      </c>
      <c r="S1879" s="152" t="s">
        <v>7492</v>
      </c>
      <c r="T1879" s="152" t="s">
        <v>7459</v>
      </c>
      <c r="U1879" s="152" t="s">
        <v>786</v>
      </c>
    </row>
    <row r="1880" spans="4:21">
      <c r="D1880" s="210"/>
      <c r="G1880" s="152" t="s">
        <v>658</v>
      </c>
      <c r="H1880" s="474" t="s">
        <v>659</v>
      </c>
      <c r="I1880" s="474"/>
      <c r="J1880" s="847">
        <v>-925501.6</v>
      </c>
      <c r="K1880" s="513">
        <v>-658.72</v>
      </c>
      <c r="L1880" s="513">
        <v>1405</v>
      </c>
      <c r="M1880" s="152" t="s">
        <v>7116</v>
      </c>
      <c r="N1880" s="513" t="s">
        <v>780</v>
      </c>
      <c r="O1880" s="513" t="s">
        <v>1407</v>
      </c>
      <c r="P1880" s="513" t="s">
        <v>7456</v>
      </c>
      <c r="Q1880" s="518" t="s">
        <v>7101</v>
      </c>
      <c r="R1880" s="152" t="s">
        <v>7457</v>
      </c>
      <c r="S1880" s="152" t="s">
        <v>7493</v>
      </c>
      <c r="T1880" s="152" t="s">
        <v>7459</v>
      </c>
      <c r="U1880" s="152" t="s">
        <v>786</v>
      </c>
    </row>
    <row r="1881" spans="4:21">
      <c r="D1881" s="210"/>
      <c r="G1881" s="152" t="s">
        <v>658</v>
      </c>
      <c r="H1881" s="474" t="s">
        <v>659</v>
      </c>
      <c r="I1881" s="474"/>
      <c r="J1881" s="847">
        <v>-2697.6</v>
      </c>
      <c r="K1881" s="513">
        <v>-1.92</v>
      </c>
      <c r="L1881" s="513">
        <v>1405</v>
      </c>
      <c r="M1881" s="152" t="s">
        <v>7116</v>
      </c>
      <c r="N1881" s="513" t="s">
        <v>780</v>
      </c>
      <c r="O1881" s="513" t="s">
        <v>1407</v>
      </c>
      <c r="P1881" s="513" t="s">
        <v>7456</v>
      </c>
      <c r="Q1881" s="518" t="s">
        <v>7101</v>
      </c>
      <c r="R1881" s="152" t="s">
        <v>7457</v>
      </c>
      <c r="S1881" s="152" t="s">
        <v>1515</v>
      </c>
      <c r="T1881" s="152" t="s">
        <v>7459</v>
      </c>
      <c r="U1881" s="152" t="s">
        <v>786</v>
      </c>
    </row>
    <row r="1882" spans="4:21">
      <c r="D1882" s="210"/>
      <c r="G1882" s="152" t="s">
        <v>658</v>
      </c>
      <c r="H1882" s="474" t="s">
        <v>659</v>
      </c>
      <c r="I1882" s="474"/>
      <c r="J1882" s="847">
        <v>-705141.4</v>
      </c>
      <c r="K1882" s="513">
        <v>-501.88</v>
      </c>
      <c r="L1882" s="513">
        <v>1405</v>
      </c>
      <c r="M1882" s="152" t="s">
        <v>7116</v>
      </c>
      <c r="N1882" s="513" t="s">
        <v>780</v>
      </c>
      <c r="O1882" s="513" t="s">
        <v>1407</v>
      </c>
      <c r="P1882" s="513" t="s">
        <v>7456</v>
      </c>
      <c r="Q1882" s="518" t="s">
        <v>7101</v>
      </c>
      <c r="R1882" s="152" t="s">
        <v>7457</v>
      </c>
      <c r="S1882" s="152" t="s">
        <v>7494</v>
      </c>
      <c r="T1882" s="152" t="s">
        <v>7459</v>
      </c>
      <c r="U1882" s="152" t="s">
        <v>786</v>
      </c>
    </row>
    <row r="1883" spans="4:21">
      <c r="D1883" s="210"/>
      <c r="G1883" s="152" t="s">
        <v>658</v>
      </c>
      <c r="H1883" s="474" t="s">
        <v>659</v>
      </c>
      <c r="I1883" s="474"/>
      <c r="J1883" s="847">
        <v>-979650.3</v>
      </c>
      <c r="K1883" s="513">
        <v>-697.26</v>
      </c>
      <c r="L1883" s="513">
        <v>1405</v>
      </c>
      <c r="M1883" s="152" t="s">
        <v>7116</v>
      </c>
      <c r="N1883" s="513" t="s">
        <v>780</v>
      </c>
      <c r="O1883" s="513" t="s">
        <v>1407</v>
      </c>
      <c r="P1883" s="513" t="s">
        <v>7456</v>
      </c>
      <c r="Q1883" s="518" t="s">
        <v>7101</v>
      </c>
      <c r="R1883" s="152" t="s">
        <v>7457</v>
      </c>
      <c r="S1883" s="152" t="s">
        <v>7477</v>
      </c>
      <c r="T1883" s="152" t="s">
        <v>7459</v>
      </c>
      <c r="U1883" s="152" t="s">
        <v>786</v>
      </c>
    </row>
    <row r="1884" spans="4:21">
      <c r="D1884" s="210"/>
      <c r="G1884" s="152" t="s">
        <v>658</v>
      </c>
      <c r="H1884" s="474" t="s">
        <v>659</v>
      </c>
      <c r="I1884" s="474"/>
      <c r="J1884" s="847">
        <v>-920710.55</v>
      </c>
      <c r="K1884" s="513">
        <v>-655.30999999999995</v>
      </c>
      <c r="L1884" s="513">
        <v>1405</v>
      </c>
      <c r="M1884" s="152" t="s">
        <v>7116</v>
      </c>
      <c r="N1884" s="513" t="s">
        <v>780</v>
      </c>
      <c r="O1884" s="513" t="s">
        <v>1407</v>
      </c>
      <c r="P1884" s="513" t="s">
        <v>7456</v>
      </c>
      <c r="Q1884" s="518" t="s">
        <v>7101</v>
      </c>
      <c r="R1884" s="152" t="s">
        <v>7457</v>
      </c>
      <c r="S1884" s="152" t="s">
        <v>7478</v>
      </c>
      <c r="T1884" s="152" t="s">
        <v>7459</v>
      </c>
      <c r="U1884" s="152" t="s">
        <v>786</v>
      </c>
    </row>
    <row r="1885" spans="4:21">
      <c r="D1885" s="210"/>
      <c r="G1885" s="152" t="s">
        <v>658</v>
      </c>
      <c r="H1885" s="474" t="s">
        <v>659</v>
      </c>
      <c r="I1885" s="474"/>
      <c r="J1885" s="847">
        <v>-559316.44999999995</v>
      </c>
      <c r="K1885" s="513">
        <v>-398.09</v>
      </c>
      <c r="L1885" s="513">
        <v>1405</v>
      </c>
      <c r="M1885" s="152" t="s">
        <v>7116</v>
      </c>
      <c r="N1885" s="513" t="s">
        <v>780</v>
      </c>
      <c r="O1885" s="513" t="s">
        <v>1407</v>
      </c>
      <c r="P1885" s="513" t="s">
        <v>7456</v>
      </c>
      <c r="Q1885" s="518" t="s">
        <v>7101</v>
      </c>
      <c r="R1885" s="152" t="s">
        <v>7457</v>
      </c>
      <c r="S1885" s="152" t="s">
        <v>7480</v>
      </c>
      <c r="T1885" s="152" t="s">
        <v>7459</v>
      </c>
      <c r="U1885" s="152" t="s">
        <v>786</v>
      </c>
    </row>
    <row r="1886" spans="4:21">
      <c r="D1886" s="210"/>
      <c r="G1886" s="152" t="s">
        <v>658</v>
      </c>
      <c r="H1886" s="474" t="s">
        <v>659</v>
      </c>
      <c r="I1886" s="474"/>
      <c r="J1886" s="847">
        <v>-1250042.55</v>
      </c>
      <c r="K1886" s="513">
        <v>-889.71</v>
      </c>
      <c r="L1886" s="513">
        <v>1405</v>
      </c>
      <c r="M1886" s="152" t="s">
        <v>7116</v>
      </c>
      <c r="N1886" s="513" t="s">
        <v>780</v>
      </c>
      <c r="O1886" s="513" t="s">
        <v>1407</v>
      </c>
      <c r="P1886" s="513" t="s">
        <v>7456</v>
      </c>
      <c r="Q1886" s="518" t="s">
        <v>7101</v>
      </c>
      <c r="R1886" s="152" t="s">
        <v>7457</v>
      </c>
      <c r="S1886" s="152" t="s">
        <v>7497</v>
      </c>
      <c r="T1886" s="152" t="s">
        <v>7459</v>
      </c>
      <c r="U1886" s="152" t="s">
        <v>786</v>
      </c>
    </row>
    <row r="1887" spans="4:21">
      <c r="D1887" s="210"/>
      <c r="G1887" s="152" t="s">
        <v>658</v>
      </c>
      <c r="H1887" s="474" t="s">
        <v>659</v>
      </c>
      <c r="I1887" s="474"/>
      <c r="J1887" s="847">
        <v>-2266616.25</v>
      </c>
      <c r="K1887" s="513">
        <v>-1613.25</v>
      </c>
      <c r="L1887" s="513">
        <v>1405</v>
      </c>
      <c r="M1887" s="152" t="s">
        <v>7116</v>
      </c>
      <c r="N1887" s="513" t="s">
        <v>780</v>
      </c>
      <c r="O1887" s="513" t="s">
        <v>1407</v>
      </c>
      <c r="P1887" s="513" t="s">
        <v>7456</v>
      </c>
      <c r="Q1887" s="518" t="s">
        <v>7101</v>
      </c>
      <c r="R1887" s="152" t="s">
        <v>7457</v>
      </c>
      <c r="S1887" s="152" t="s">
        <v>7482</v>
      </c>
      <c r="T1887" s="152" t="s">
        <v>7459</v>
      </c>
      <c r="U1887" s="152" t="s">
        <v>786</v>
      </c>
    </row>
    <row r="1888" spans="4:21">
      <c r="D1888" s="210"/>
      <c r="G1888" s="152" t="s">
        <v>658</v>
      </c>
      <c r="H1888" s="474" t="s">
        <v>659</v>
      </c>
      <c r="I1888" s="474"/>
      <c r="J1888" s="847">
        <v>-2669.5</v>
      </c>
      <c r="K1888" s="513">
        <v>-1.9</v>
      </c>
      <c r="L1888" s="513">
        <v>1405</v>
      </c>
      <c r="M1888" s="152" t="s">
        <v>7116</v>
      </c>
      <c r="N1888" s="513" t="s">
        <v>780</v>
      </c>
      <c r="O1888" s="513" t="s">
        <v>1407</v>
      </c>
      <c r="P1888" s="513" t="s">
        <v>7456</v>
      </c>
      <c r="Q1888" s="518" t="s">
        <v>7101</v>
      </c>
      <c r="R1888" s="152" t="s">
        <v>7457</v>
      </c>
      <c r="S1888" s="152" t="s">
        <v>1515</v>
      </c>
      <c r="T1888" s="152" t="s">
        <v>7459</v>
      </c>
      <c r="U1888" s="152" t="s">
        <v>786</v>
      </c>
    </row>
    <row r="1889" spans="4:21">
      <c r="D1889" s="210"/>
      <c r="G1889" s="152" t="s">
        <v>658</v>
      </c>
      <c r="H1889" s="474" t="s">
        <v>659</v>
      </c>
      <c r="I1889" s="474"/>
      <c r="J1889" s="847">
        <v>-134851.9</v>
      </c>
      <c r="K1889" s="513">
        <v>-95.98</v>
      </c>
      <c r="L1889" s="513">
        <v>1405</v>
      </c>
      <c r="M1889" s="152" t="s">
        <v>7116</v>
      </c>
      <c r="N1889" s="513" t="s">
        <v>780</v>
      </c>
      <c r="O1889" s="513" t="s">
        <v>1407</v>
      </c>
      <c r="P1889" s="513" t="s">
        <v>7456</v>
      </c>
      <c r="Q1889" s="518" t="s">
        <v>7101</v>
      </c>
      <c r="R1889" s="152" t="s">
        <v>7457</v>
      </c>
      <c r="S1889" s="152" t="s">
        <v>7481</v>
      </c>
      <c r="T1889" s="152" t="s">
        <v>7459</v>
      </c>
      <c r="U1889" s="152" t="s">
        <v>786</v>
      </c>
    </row>
    <row r="1890" spans="4:21">
      <c r="D1890" s="210"/>
      <c r="G1890" s="152" t="s">
        <v>658</v>
      </c>
      <c r="H1890" s="474" t="s">
        <v>659</v>
      </c>
      <c r="I1890" s="474"/>
      <c r="J1890" s="847">
        <v>-810909.8</v>
      </c>
      <c r="K1890" s="513">
        <v>-577.16</v>
      </c>
      <c r="L1890" s="513">
        <v>1405</v>
      </c>
      <c r="M1890" s="152" t="s">
        <v>7116</v>
      </c>
      <c r="N1890" s="513" t="s">
        <v>780</v>
      </c>
      <c r="O1890" s="513" t="s">
        <v>1407</v>
      </c>
      <c r="P1890" s="513" t="s">
        <v>7456</v>
      </c>
      <c r="Q1890" s="518" t="s">
        <v>7101</v>
      </c>
      <c r="R1890" s="152" t="s">
        <v>7457</v>
      </c>
      <c r="S1890" s="152" t="s">
        <v>7475</v>
      </c>
      <c r="T1890" s="152" t="s">
        <v>7459</v>
      </c>
      <c r="U1890" s="152" t="s">
        <v>786</v>
      </c>
    </row>
    <row r="1891" spans="4:21">
      <c r="D1891" s="210"/>
      <c r="G1891" s="152" t="s">
        <v>658</v>
      </c>
      <c r="H1891" s="474" t="s">
        <v>659</v>
      </c>
      <c r="I1891" s="474"/>
      <c r="J1891" s="847">
        <v>-2669.5</v>
      </c>
      <c r="K1891" s="513">
        <v>-1.9</v>
      </c>
      <c r="L1891" s="513">
        <v>1405</v>
      </c>
      <c r="M1891" s="152" t="s">
        <v>7116</v>
      </c>
      <c r="N1891" s="513" t="s">
        <v>780</v>
      </c>
      <c r="O1891" s="513" t="s">
        <v>1407</v>
      </c>
      <c r="P1891" s="513" t="s">
        <v>7456</v>
      </c>
      <c r="Q1891" s="518" t="s">
        <v>7101</v>
      </c>
      <c r="R1891" s="152" t="s">
        <v>7457</v>
      </c>
      <c r="S1891" s="152" t="s">
        <v>1515</v>
      </c>
      <c r="T1891" s="152" t="s">
        <v>7459</v>
      </c>
      <c r="U1891" s="152" t="s">
        <v>786</v>
      </c>
    </row>
    <row r="1892" spans="4:21">
      <c r="D1892" s="210"/>
      <c r="G1892" s="152" t="s">
        <v>658</v>
      </c>
      <c r="H1892" s="474" t="s">
        <v>659</v>
      </c>
      <c r="I1892" s="474"/>
      <c r="J1892" s="847">
        <v>-7413398.2000000002</v>
      </c>
      <c r="K1892" s="513">
        <v>-5276.44</v>
      </c>
      <c r="L1892" s="513">
        <v>1405</v>
      </c>
      <c r="M1892" s="152" t="s">
        <v>7116</v>
      </c>
      <c r="N1892" s="513" t="s">
        <v>780</v>
      </c>
      <c r="O1892" s="513" t="s">
        <v>1407</v>
      </c>
      <c r="P1892" s="513" t="s">
        <v>7456</v>
      </c>
      <c r="Q1892" s="518" t="s">
        <v>7101</v>
      </c>
      <c r="R1892" s="152" t="s">
        <v>7457</v>
      </c>
      <c r="S1892" s="152" t="s">
        <v>7483</v>
      </c>
      <c r="T1892" s="152" t="s">
        <v>7459</v>
      </c>
      <c r="U1892" s="152" t="s">
        <v>786</v>
      </c>
    </row>
    <row r="1893" spans="4:21">
      <c r="D1893" s="210"/>
      <c r="G1893" s="152" t="s">
        <v>658</v>
      </c>
      <c r="H1893" s="474" t="s">
        <v>659</v>
      </c>
      <c r="I1893" s="474"/>
      <c r="J1893" s="847">
        <v>-739240.75</v>
      </c>
      <c r="K1893" s="513">
        <v>-526.15</v>
      </c>
      <c r="L1893" s="513">
        <v>1405</v>
      </c>
      <c r="M1893" s="152" t="s">
        <v>7116</v>
      </c>
      <c r="N1893" s="513" t="s">
        <v>780</v>
      </c>
      <c r="O1893" s="513" t="s">
        <v>1407</v>
      </c>
      <c r="P1893" s="513" t="s">
        <v>7456</v>
      </c>
      <c r="Q1893" s="518" t="s">
        <v>7101</v>
      </c>
      <c r="R1893" s="152" t="s">
        <v>7457</v>
      </c>
      <c r="S1893" s="152" t="s">
        <v>7485</v>
      </c>
      <c r="T1893" s="152" t="s">
        <v>7459</v>
      </c>
      <c r="U1893" s="152" t="s">
        <v>786</v>
      </c>
    </row>
    <row r="1894" spans="4:21">
      <c r="D1894" s="210"/>
      <c r="G1894" s="152" t="s">
        <v>658</v>
      </c>
      <c r="H1894" s="474" t="s">
        <v>659</v>
      </c>
      <c r="I1894" s="474"/>
      <c r="J1894" s="847">
        <v>-2669.5</v>
      </c>
      <c r="K1894" s="513">
        <v>-1.9</v>
      </c>
      <c r="L1894" s="513">
        <v>1405</v>
      </c>
      <c r="M1894" s="152" t="s">
        <v>7116</v>
      </c>
      <c r="N1894" s="513" t="s">
        <v>780</v>
      </c>
      <c r="O1894" s="513" t="s">
        <v>1407</v>
      </c>
      <c r="P1894" s="513" t="s">
        <v>7456</v>
      </c>
      <c r="Q1894" s="518" t="s">
        <v>7101</v>
      </c>
      <c r="R1894" s="152" t="s">
        <v>7457</v>
      </c>
      <c r="S1894" s="152" t="s">
        <v>1515</v>
      </c>
      <c r="T1894" s="152" t="s">
        <v>7459</v>
      </c>
      <c r="U1894" s="152" t="s">
        <v>786</v>
      </c>
    </row>
    <row r="1895" spans="4:21">
      <c r="D1895" s="210"/>
      <c r="G1895" s="152" t="s">
        <v>658</v>
      </c>
      <c r="H1895" s="474" t="s">
        <v>659</v>
      </c>
      <c r="I1895" s="474"/>
      <c r="J1895" s="847">
        <v>-775658.35</v>
      </c>
      <c r="K1895" s="513">
        <v>-552.07000000000005</v>
      </c>
      <c r="L1895" s="513">
        <v>1405</v>
      </c>
      <c r="M1895" s="152" t="s">
        <v>7116</v>
      </c>
      <c r="N1895" s="513" t="s">
        <v>780</v>
      </c>
      <c r="O1895" s="513" t="s">
        <v>1407</v>
      </c>
      <c r="P1895" s="513" t="s">
        <v>7456</v>
      </c>
      <c r="Q1895" s="518" t="s">
        <v>7101</v>
      </c>
      <c r="R1895" s="152" t="s">
        <v>7457</v>
      </c>
      <c r="S1895" s="152" t="s">
        <v>7501</v>
      </c>
      <c r="T1895" s="152" t="s">
        <v>7459</v>
      </c>
      <c r="U1895" s="152" t="s">
        <v>786</v>
      </c>
    </row>
    <row r="1896" spans="4:21">
      <c r="D1896" s="210"/>
      <c r="G1896" s="152" t="s">
        <v>658</v>
      </c>
      <c r="H1896" s="474" t="s">
        <v>659</v>
      </c>
      <c r="I1896" s="474"/>
      <c r="J1896" s="847">
        <v>-292492.90000000002</v>
      </c>
      <c r="K1896" s="513">
        <v>-208.18</v>
      </c>
      <c r="L1896" s="513">
        <v>1405</v>
      </c>
      <c r="M1896" s="152" t="s">
        <v>7116</v>
      </c>
      <c r="N1896" s="513" t="s">
        <v>780</v>
      </c>
      <c r="O1896" s="513" t="s">
        <v>1407</v>
      </c>
      <c r="P1896" s="513" t="s">
        <v>7456</v>
      </c>
      <c r="Q1896" s="518" t="s">
        <v>7101</v>
      </c>
      <c r="R1896" s="152" t="s">
        <v>7457</v>
      </c>
      <c r="S1896" s="152" t="s">
        <v>7503</v>
      </c>
      <c r="T1896" s="152" t="s">
        <v>7459</v>
      </c>
      <c r="U1896" s="152" t="s">
        <v>786</v>
      </c>
    </row>
    <row r="1897" spans="4:21">
      <c r="D1897" s="210"/>
      <c r="G1897" s="152" t="s">
        <v>658</v>
      </c>
      <c r="H1897" s="474" t="s">
        <v>659</v>
      </c>
      <c r="I1897" s="474"/>
      <c r="J1897" s="847">
        <v>-2669.5</v>
      </c>
      <c r="K1897" s="513">
        <v>-1.9</v>
      </c>
      <c r="L1897" s="513">
        <v>1405</v>
      </c>
      <c r="M1897" s="152" t="s">
        <v>7116</v>
      </c>
      <c r="N1897" s="513" t="s">
        <v>780</v>
      </c>
      <c r="O1897" s="513" t="s">
        <v>1407</v>
      </c>
      <c r="P1897" s="513" t="s">
        <v>7456</v>
      </c>
      <c r="Q1897" s="518" t="s">
        <v>7101</v>
      </c>
      <c r="R1897" s="152" t="s">
        <v>7457</v>
      </c>
      <c r="S1897" s="152" t="s">
        <v>1515</v>
      </c>
      <c r="T1897" s="152" t="s">
        <v>7459</v>
      </c>
      <c r="U1897" s="152" t="s">
        <v>786</v>
      </c>
    </row>
    <row r="1898" spans="4:21">
      <c r="D1898" s="210"/>
      <c r="G1898" s="152" t="s">
        <v>658</v>
      </c>
      <c r="H1898" s="474" t="s">
        <v>659</v>
      </c>
      <c r="I1898" s="474"/>
      <c r="J1898" s="847">
        <v>-755384.2</v>
      </c>
      <c r="K1898" s="513">
        <v>-537.64</v>
      </c>
      <c r="L1898" s="513">
        <v>1405</v>
      </c>
      <c r="M1898" s="152" t="s">
        <v>7116</v>
      </c>
      <c r="N1898" s="513" t="s">
        <v>780</v>
      </c>
      <c r="O1898" s="513" t="s">
        <v>1407</v>
      </c>
      <c r="P1898" s="513" t="s">
        <v>7456</v>
      </c>
      <c r="Q1898" s="518" t="s">
        <v>7101</v>
      </c>
      <c r="R1898" s="152" t="s">
        <v>7457</v>
      </c>
      <c r="S1898" s="152" t="s">
        <v>7505</v>
      </c>
      <c r="T1898" s="152" t="s">
        <v>7459</v>
      </c>
      <c r="U1898" s="152" t="s">
        <v>786</v>
      </c>
    </row>
    <row r="1899" spans="4:21">
      <c r="D1899" s="210"/>
      <c r="G1899" s="152" t="s">
        <v>658</v>
      </c>
      <c r="H1899" s="474" t="s">
        <v>659</v>
      </c>
      <c r="I1899" s="474"/>
      <c r="J1899" s="847">
        <v>-12335.9</v>
      </c>
      <c r="K1899" s="513">
        <v>-8.7799999999999994</v>
      </c>
      <c r="L1899" s="513">
        <v>1405</v>
      </c>
      <c r="M1899" s="152" t="s">
        <v>7116</v>
      </c>
      <c r="N1899" s="513" t="s">
        <v>780</v>
      </c>
      <c r="O1899" s="513" t="s">
        <v>1407</v>
      </c>
      <c r="P1899" s="513" t="s">
        <v>7456</v>
      </c>
      <c r="Q1899" s="518" t="s">
        <v>7101</v>
      </c>
      <c r="R1899" s="152" t="s">
        <v>7457</v>
      </c>
      <c r="S1899" s="152" t="s">
        <v>7507</v>
      </c>
      <c r="T1899" s="152" t="s">
        <v>7459</v>
      </c>
      <c r="U1899" s="152" t="s">
        <v>786</v>
      </c>
    </row>
    <row r="1900" spans="4:21">
      <c r="D1900" s="210"/>
      <c r="G1900" s="152" t="s">
        <v>658</v>
      </c>
      <c r="H1900" s="474" t="s">
        <v>659</v>
      </c>
      <c r="I1900" s="474"/>
      <c r="J1900" s="847">
        <v>-484429.95</v>
      </c>
      <c r="K1900" s="513">
        <v>-344.79</v>
      </c>
      <c r="L1900" s="513">
        <v>1405</v>
      </c>
      <c r="M1900" s="152" t="s">
        <v>7116</v>
      </c>
      <c r="N1900" s="513" t="s">
        <v>780</v>
      </c>
      <c r="O1900" s="513" t="s">
        <v>1407</v>
      </c>
      <c r="P1900" s="513" t="s">
        <v>7456</v>
      </c>
      <c r="Q1900" s="518" t="s">
        <v>7101</v>
      </c>
      <c r="R1900" s="152" t="s">
        <v>7457</v>
      </c>
      <c r="S1900" s="152" t="s">
        <v>7508</v>
      </c>
      <c r="T1900" s="152" t="s">
        <v>7459</v>
      </c>
      <c r="U1900" s="152" t="s">
        <v>786</v>
      </c>
    </row>
    <row r="1901" spans="4:21">
      <c r="D1901" s="210"/>
      <c r="G1901" s="152" t="s">
        <v>658</v>
      </c>
      <c r="H1901" s="474" t="s">
        <v>659</v>
      </c>
      <c r="I1901" s="474"/>
      <c r="J1901" s="847">
        <v>-2669.5</v>
      </c>
      <c r="K1901" s="513">
        <v>-1.9</v>
      </c>
      <c r="L1901" s="513">
        <v>1405</v>
      </c>
      <c r="M1901" s="152" t="s">
        <v>7116</v>
      </c>
      <c r="N1901" s="513" t="s">
        <v>780</v>
      </c>
      <c r="O1901" s="513" t="s">
        <v>1407</v>
      </c>
      <c r="P1901" s="513" t="s">
        <v>7456</v>
      </c>
      <c r="Q1901" s="518" t="s">
        <v>7101</v>
      </c>
      <c r="R1901" s="152" t="s">
        <v>7457</v>
      </c>
      <c r="S1901" s="152" t="s">
        <v>1515</v>
      </c>
      <c r="T1901" s="152" t="s">
        <v>7459</v>
      </c>
      <c r="U1901" s="152" t="s">
        <v>786</v>
      </c>
    </row>
    <row r="1902" spans="4:21">
      <c r="D1902" s="210"/>
      <c r="G1902" s="152" t="s">
        <v>658</v>
      </c>
      <c r="H1902" s="474" t="s">
        <v>659</v>
      </c>
      <c r="I1902" s="474"/>
      <c r="J1902" s="847">
        <v>-775658.35</v>
      </c>
      <c r="K1902" s="513">
        <v>-552.07000000000005</v>
      </c>
      <c r="L1902" s="513">
        <v>1405</v>
      </c>
      <c r="M1902" s="152" t="s">
        <v>7116</v>
      </c>
      <c r="N1902" s="513" t="s">
        <v>780</v>
      </c>
      <c r="O1902" s="513" t="s">
        <v>1407</v>
      </c>
      <c r="P1902" s="513" t="s">
        <v>7456</v>
      </c>
      <c r="Q1902" s="518" t="s">
        <v>7101</v>
      </c>
      <c r="R1902" s="152" t="s">
        <v>7457</v>
      </c>
      <c r="S1902" s="152" t="s">
        <v>7509</v>
      </c>
      <c r="T1902" s="152" t="s">
        <v>7459</v>
      </c>
      <c r="U1902" s="152" t="s">
        <v>786</v>
      </c>
    </row>
    <row r="1903" spans="4:21">
      <c r="D1903" s="210"/>
      <c r="G1903" s="152" t="s">
        <v>658</v>
      </c>
      <c r="H1903" s="474" t="s">
        <v>659</v>
      </c>
      <c r="I1903" s="474"/>
      <c r="J1903" s="847">
        <v>-285580.3</v>
      </c>
      <c r="K1903" s="513">
        <v>-203.26</v>
      </c>
      <c r="L1903" s="513">
        <v>1405</v>
      </c>
      <c r="M1903" s="152" t="s">
        <v>7116</v>
      </c>
      <c r="N1903" s="513" t="s">
        <v>780</v>
      </c>
      <c r="O1903" s="513" t="s">
        <v>1407</v>
      </c>
      <c r="P1903" s="513" t="s">
        <v>7456</v>
      </c>
      <c r="Q1903" s="518" t="s">
        <v>7101</v>
      </c>
      <c r="R1903" s="152" t="s">
        <v>7457</v>
      </c>
      <c r="S1903" s="152" t="s">
        <v>7495</v>
      </c>
      <c r="T1903" s="152" t="s">
        <v>7459</v>
      </c>
      <c r="U1903" s="152" t="s">
        <v>786</v>
      </c>
    </row>
    <row r="1904" spans="4:21">
      <c r="D1904" s="210"/>
      <c r="G1904" s="152" t="s">
        <v>658</v>
      </c>
      <c r="H1904" s="474" t="s">
        <v>659</v>
      </c>
      <c r="I1904" s="474"/>
      <c r="J1904" s="847">
        <v>-2669.5</v>
      </c>
      <c r="K1904" s="513">
        <v>-1.9</v>
      </c>
      <c r="L1904" s="513">
        <v>1405</v>
      </c>
      <c r="M1904" s="152" t="s">
        <v>7116</v>
      </c>
      <c r="N1904" s="513" t="s">
        <v>780</v>
      </c>
      <c r="O1904" s="513" t="s">
        <v>1407</v>
      </c>
      <c r="P1904" s="513" t="s">
        <v>7456</v>
      </c>
      <c r="Q1904" s="518" t="s">
        <v>7101</v>
      </c>
      <c r="R1904" s="152" t="s">
        <v>7457</v>
      </c>
      <c r="S1904" s="152" t="s">
        <v>1515</v>
      </c>
      <c r="T1904" s="152" t="s">
        <v>7459</v>
      </c>
      <c r="U1904" s="152" t="s">
        <v>786</v>
      </c>
    </row>
    <row r="1905" spans="4:21">
      <c r="D1905" s="210"/>
      <c r="G1905" s="152" t="s">
        <v>658</v>
      </c>
      <c r="H1905" s="474" t="s">
        <v>659</v>
      </c>
      <c r="I1905" s="474"/>
      <c r="J1905" s="847">
        <v>-103014.6</v>
      </c>
      <c r="K1905" s="513">
        <v>-73.319999999999993</v>
      </c>
      <c r="L1905" s="513">
        <v>1405</v>
      </c>
      <c r="M1905" s="152" t="s">
        <v>7116</v>
      </c>
      <c r="N1905" s="513" t="s">
        <v>780</v>
      </c>
      <c r="O1905" s="513" t="s">
        <v>1407</v>
      </c>
      <c r="P1905" s="513" t="s">
        <v>7456</v>
      </c>
      <c r="Q1905" s="518" t="s">
        <v>7101</v>
      </c>
      <c r="R1905" s="152" t="s">
        <v>7457</v>
      </c>
      <c r="S1905" s="152" t="s">
        <v>7510</v>
      </c>
      <c r="T1905" s="152" t="s">
        <v>7459</v>
      </c>
      <c r="U1905" s="152" t="s">
        <v>786</v>
      </c>
    </row>
    <row r="1906" spans="4:21">
      <c r="D1906" s="210"/>
      <c r="G1906" s="152" t="s">
        <v>658</v>
      </c>
      <c r="H1906" s="474" t="s">
        <v>659</v>
      </c>
      <c r="I1906" s="474"/>
      <c r="J1906" s="847">
        <v>-103267.5</v>
      </c>
      <c r="K1906" s="513">
        <v>-73.5</v>
      </c>
      <c r="L1906" s="513">
        <v>1405</v>
      </c>
      <c r="M1906" s="152" t="s">
        <v>7116</v>
      </c>
      <c r="N1906" s="513" t="s">
        <v>780</v>
      </c>
      <c r="O1906" s="513" t="s">
        <v>1407</v>
      </c>
      <c r="P1906" s="513" t="s">
        <v>7456</v>
      </c>
      <c r="Q1906" s="518" t="s">
        <v>7101</v>
      </c>
      <c r="R1906" s="152" t="s">
        <v>7457</v>
      </c>
      <c r="S1906" s="152" t="s">
        <v>7511</v>
      </c>
      <c r="T1906" s="152" t="s">
        <v>7459</v>
      </c>
      <c r="U1906" s="152" t="s">
        <v>786</v>
      </c>
    </row>
    <row r="1907" spans="4:21">
      <c r="D1907" s="210"/>
      <c r="G1907" s="152" t="s">
        <v>658</v>
      </c>
      <c r="H1907" s="474" t="s">
        <v>659</v>
      </c>
      <c r="I1907" s="474"/>
      <c r="J1907" s="847">
        <v>-285973.7</v>
      </c>
      <c r="K1907" s="513">
        <v>-203.54</v>
      </c>
      <c r="L1907" s="513">
        <v>1405</v>
      </c>
      <c r="M1907" s="152" t="s">
        <v>7116</v>
      </c>
      <c r="N1907" s="513" t="s">
        <v>780</v>
      </c>
      <c r="O1907" s="513" t="s">
        <v>1407</v>
      </c>
      <c r="P1907" s="513" t="s">
        <v>7456</v>
      </c>
      <c r="Q1907" s="518" t="s">
        <v>7101</v>
      </c>
      <c r="R1907" s="152" t="s">
        <v>7457</v>
      </c>
      <c r="S1907" s="152" t="s">
        <v>7512</v>
      </c>
      <c r="T1907" s="152" t="s">
        <v>7459</v>
      </c>
      <c r="U1907" s="152" t="s">
        <v>786</v>
      </c>
    </row>
    <row r="1908" spans="4:21">
      <c r="D1908" s="210"/>
      <c r="G1908" s="152" t="s">
        <v>658</v>
      </c>
      <c r="H1908" s="474" t="s">
        <v>659</v>
      </c>
      <c r="I1908" s="474"/>
      <c r="J1908" s="847">
        <v>-243978.25</v>
      </c>
      <c r="K1908" s="513">
        <v>-173.65</v>
      </c>
      <c r="L1908" s="513">
        <v>1405</v>
      </c>
      <c r="M1908" s="152" t="s">
        <v>7116</v>
      </c>
      <c r="N1908" s="513" t="s">
        <v>780</v>
      </c>
      <c r="O1908" s="513" t="s">
        <v>1407</v>
      </c>
      <c r="P1908" s="513" t="s">
        <v>7456</v>
      </c>
      <c r="Q1908" s="518" t="s">
        <v>7101</v>
      </c>
      <c r="R1908" s="152" t="s">
        <v>7457</v>
      </c>
      <c r="S1908" s="152" t="s">
        <v>7498</v>
      </c>
      <c r="T1908" s="152" t="s">
        <v>7459</v>
      </c>
      <c r="U1908" s="152" t="s">
        <v>786</v>
      </c>
    </row>
    <row r="1909" spans="4:21">
      <c r="D1909" s="210"/>
      <c r="G1909" s="152" t="s">
        <v>658</v>
      </c>
      <c r="H1909" s="474" t="s">
        <v>659</v>
      </c>
      <c r="I1909" s="474"/>
      <c r="J1909" s="847">
        <v>-167476</v>
      </c>
      <c r="K1909" s="513">
        <v>-119.2</v>
      </c>
      <c r="L1909" s="513">
        <v>1405</v>
      </c>
      <c r="M1909" s="152" t="s">
        <v>7116</v>
      </c>
      <c r="N1909" s="513" t="s">
        <v>780</v>
      </c>
      <c r="O1909" s="513" t="s">
        <v>1407</v>
      </c>
      <c r="P1909" s="513" t="s">
        <v>7456</v>
      </c>
      <c r="Q1909" s="518" t="s">
        <v>7101</v>
      </c>
      <c r="R1909" s="152" t="s">
        <v>7457</v>
      </c>
      <c r="S1909" s="152" t="s">
        <v>7500</v>
      </c>
      <c r="T1909" s="152" t="s">
        <v>7459</v>
      </c>
      <c r="U1909" s="152" t="s">
        <v>786</v>
      </c>
    </row>
    <row r="1910" spans="4:21">
      <c r="D1910" s="210"/>
      <c r="G1910" s="152" t="s">
        <v>658</v>
      </c>
      <c r="H1910" s="474" t="s">
        <v>659</v>
      </c>
      <c r="I1910" s="474"/>
      <c r="J1910" s="847">
        <v>-2669.5</v>
      </c>
      <c r="K1910" s="513">
        <v>-1.9</v>
      </c>
      <c r="L1910" s="513">
        <v>1405</v>
      </c>
      <c r="M1910" s="152" t="s">
        <v>7116</v>
      </c>
      <c r="N1910" s="513" t="s">
        <v>780</v>
      </c>
      <c r="O1910" s="513" t="s">
        <v>1407</v>
      </c>
      <c r="P1910" s="513" t="s">
        <v>7456</v>
      </c>
      <c r="Q1910" s="518" t="s">
        <v>7101</v>
      </c>
      <c r="R1910" s="152" t="s">
        <v>7457</v>
      </c>
      <c r="S1910" s="152" t="s">
        <v>1515</v>
      </c>
      <c r="T1910" s="152" t="s">
        <v>7459</v>
      </c>
      <c r="U1910" s="152" t="s">
        <v>786</v>
      </c>
    </row>
    <row r="1911" spans="4:21">
      <c r="D1911" s="210"/>
      <c r="G1911" s="152" t="s">
        <v>658</v>
      </c>
      <c r="H1911" s="474" t="s">
        <v>659</v>
      </c>
      <c r="I1911" s="474"/>
      <c r="J1911" s="847">
        <v>-599373</v>
      </c>
      <c r="K1911" s="513">
        <v>-426.6</v>
      </c>
      <c r="L1911" s="513">
        <v>1405</v>
      </c>
      <c r="M1911" s="152" t="s">
        <v>7116</v>
      </c>
      <c r="N1911" s="513" t="s">
        <v>780</v>
      </c>
      <c r="O1911" s="513" t="s">
        <v>1407</v>
      </c>
      <c r="P1911" s="513" t="s">
        <v>7456</v>
      </c>
      <c r="Q1911" s="518" t="s">
        <v>7101</v>
      </c>
      <c r="R1911" s="152" t="s">
        <v>7457</v>
      </c>
      <c r="S1911" s="152" t="s">
        <v>7468</v>
      </c>
      <c r="T1911" s="152" t="s">
        <v>7459</v>
      </c>
      <c r="U1911" s="152" t="s">
        <v>786</v>
      </c>
    </row>
    <row r="1912" spans="4:21">
      <c r="D1912" s="210"/>
      <c r="G1912" s="152" t="s">
        <v>658</v>
      </c>
      <c r="H1912" s="474" t="s">
        <v>659</v>
      </c>
      <c r="I1912" s="474"/>
      <c r="J1912" s="847">
        <v>-2669.5</v>
      </c>
      <c r="K1912" s="513">
        <v>-1.9</v>
      </c>
      <c r="L1912" s="513">
        <v>1405</v>
      </c>
      <c r="M1912" s="152" t="s">
        <v>7116</v>
      </c>
      <c r="N1912" s="513" t="s">
        <v>780</v>
      </c>
      <c r="O1912" s="513" t="s">
        <v>1407</v>
      </c>
      <c r="P1912" s="513" t="s">
        <v>7456</v>
      </c>
      <c r="Q1912" s="518" t="s">
        <v>7101</v>
      </c>
      <c r="R1912" s="152" t="s">
        <v>7457</v>
      </c>
      <c r="S1912" s="152" t="s">
        <v>1515</v>
      </c>
      <c r="T1912" s="152" t="s">
        <v>7459</v>
      </c>
      <c r="U1912" s="152" t="s">
        <v>786</v>
      </c>
    </row>
    <row r="1913" spans="4:21">
      <c r="D1913" s="210"/>
      <c r="G1913" s="152" t="s">
        <v>658</v>
      </c>
      <c r="H1913" s="474" t="s">
        <v>659</v>
      </c>
      <c r="I1913" s="474"/>
      <c r="J1913" s="847">
        <v>-29968.65</v>
      </c>
      <c r="K1913" s="513">
        <v>-21.33</v>
      </c>
      <c r="L1913" s="513">
        <v>1405</v>
      </c>
      <c r="M1913" s="152" t="s">
        <v>7116</v>
      </c>
      <c r="N1913" s="513" t="s">
        <v>780</v>
      </c>
      <c r="O1913" s="513" t="s">
        <v>1407</v>
      </c>
      <c r="P1913" s="513" t="s">
        <v>7456</v>
      </c>
      <c r="Q1913" s="518" t="s">
        <v>7101</v>
      </c>
      <c r="R1913" s="152" t="s">
        <v>7457</v>
      </c>
      <c r="S1913" s="152" t="s">
        <v>7467</v>
      </c>
      <c r="T1913" s="152" t="s">
        <v>7459</v>
      </c>
      <c r="U1913" s="152" t="s">
        <v>786</v>
      </c>
    </row>
    <row r="1914" spans="4:21">
      <c r="D1914" s="210"/>
      <c r="G1914" s="152" t="s">
        <v>658</v>
      </c>
      <c r="H1914" s="474" t="s">
        <v>659</v>
      </c>
      <c r="I1914" s="474"/>
      <c r="J1914" s="847">
        <v>-2669.5</v>
      </c>
      <c r="K1914" s="513">
        <v>-1.9</v>
      </c>
      <c r="L1914" s="513">
        <v>1405</v>
      </c>
      <c r="M1914" s="152" t="s">
        <v>7116</v>
      </c>
      <c r="N1914" s="513" t="s">
        <v>780</v>
      </c>
      <c r="O1914" s="513" t="s">
        <v>1407</v>
      </c>
      <c r="P1914" s="513" t="s">
        <v>7456</v>
      </c>
      <c r="Q1914" s="518" t="s">
        <v>7101</v>
      </c>
      <c r="R1914" s="152" t="s">
        <v>7457</v>
      </c>
      <c r="S1914" s="152" t="s">
        <v>1515</v>
      </c>
      <c r="T1914" s="152" t="s">
        <v>7459</v>
      </c>
      <c r="U1914" s="152" t="s">
        <v>786</v>
      </c>
    </row>
    <row r="1915" spans="4:21">
      <c r="D1915" s="210"/>
      <c r="G1915" s="152" t="s">
        <v>658</v>
      </c>
      <c r="H1915" s="474" t="s">
        <v>659</v>
      </c>
      <c r="I1915" s="474"/>
      <c r="J1915" s="847">
        <v>-919502.25</v>
      </c>
      <c r="K1915" s="513">
        <v>-654.45000000000005</v>
      </c>
      <c r="L1915" s="513">
        <v>1405</v>
      </c>
      <c r="M1915" s="152" t="s">
        <v>7116</v>
      </c>
      <c r="N1915" s="513" t="s">
        <v>780</v>
      </c>
      <c r="O1915" s="513" t="s">
        <v>1407</v>
      </c>
      <c r="P1915" s="513" t="s">
        <v>7456</v>
      </c>
      <c r="Q1915" s="518" t="s">
        <v>7101</v>
      </c>
      <c r="R1915" s="152" t="s">
        <v>7457</v>
      </c>
      <c r="S1915" s="152" t="s">
        <v>7466</v>
      </c>
      <c r="T1915" s="152" t="s">
        <v>7459</v>
      </c>
      <c r="U1915" s="152" t="s">
        <v>786</v>
      </c>
    </row>
    <row r="1916" spans="4:21">
      <c r="D1916" s="210"/>
      <c r="G1916" s="152" t="s">
        <v>658</v>
      </c>
      <c r="H1916" s="474" t="s">
        <v>659</v>
      </c>
      <c r="I1916" s="474"/>
      <c r="J1916" s="847">
        <v>-2669.5</v>
      </c>
      <c r="K1916" s="513">
        <v>-1.9</v>
      </c>
      <c r="L1916" s="513">
        <v>1405</v>
      </c>
      <c r="M1916" s="152" t="s">
        <v>7116</v>
      </c>
      <c r="N1916" s="513" t="s">
        <v>780</v>
      </c>
      <c r="O1916" s="513" t="s">
        <v>1407</v>
      </c>
      <c r="P1916" s="513" t="s">
        <v>7456</v>
      </c>
      <c r="Q1916" s="518" t="s">
        <v>7101</v>
      </c>
      <c r="R1916" s="152" t="s">
        <v>7457</v>
      </c>
      <c r="S1916" s="152" t="s">
        <v>1515</v>
      </c>
      <c r="T1916" s="152" t="s">
        <v>7459</v>
      </c>
      <c r="U1916" s="152" t="s">
        <v>786</v>
      </c>
    </row>
    <row r="1917" spans="4:21">
      <c r="D1917" s="210"/>
      <c r="G1917" s="152" t="s">
        <v>658</v>
      </c>
      <c r="H1917" s="474" t="s">
        <v>659</v>
      </c>
      <c r="I1917" s="474"/>
      <c r="J1917" s="847">
        <v>-479498.4</v>
      </c>
      <c r="K1917" s="513">
        <v>-341.28</v>
      </c>
      <c r="L1917" s="513">
        <v>1405</v>
      </c>
      <c r="M1917" s="152" t="s">
        <v>7116</v>
      </c>
      <c r="N1917" s="513" t="s">
        <v>780</v>
      </c>
      <c r="O1917" s="513" t="s">
        <v>1407</v>
      </c>
      <c r="P1917" s="513" t="s">
        <v>7456</v>
      </c>
      <c r="Q1917" s="518" t="s">
        <v>7101</v>
      </c>
      <c r="R1917" s="152" t="s">
        <v>7457</v>
      </c>
      <c r="S1917" s="152" t="s">
        <v>7465</v>
      </c>
      <c r="T1917" s="152" t="s">
        <v>7459</v>
      </c>
      <c r="U1917" s="152" t="s">
        <v>786</v>
      </c>
    </row>
    <row r="1918" spans="4:21">
      <c r="D1918" s="210"/>
      <c r="G1918" s="152" t="s">
        <v>658</v>
      </c>
      <c r="H1918" s="474" t="s">
        <v>659</v>
      </c>
      <c r="I1918" s="474"/>
      <c r="J1918" s="847">
        <v>-2669.5</v>
      </c>
      <c r="K1918" s="513">
        <v>-1.9</v>
      </c>
      <c r="L1918" s="513">
        <v>1405</v>
      </c>
      <c r="M1918" s="152" t="s">
        <v>7116</v>
      </c>
      <c r="N1918" s="513" t="s">
        <v>780</v>
      </c>
      <c r="O1918" s="513" t="s">
        <v>1407</v>
      </c>
      <c r="P1918" s="513" t="s">
        <v>7456</v>
      </c>
      <c r="Q1918" s="518" t="s">
        <v>7101</v>
      </c>
      <c r="R1918" s="152" t="s">
        <v>7457</v>
      </c>
      <c r="S1918" s="152" t="s">
        <v>1515</v>
      </c>
      <c r="T1918" s="152" t="s">
        <v>7459</v>
      </c>
      <c r="U1918" s="152" t="s">
        <v>786</v>
      </c>
    </row>
    <row r="1919" spans="4:21">
      <c r="D1919" s="210"/>
      <c r="G1919" s="152" t="s">
        <v>658</v>
      </c>
      <c r="H1919" s="474" t="s">
        <v>659</v>
      </c>
      <c r="I1919" s="474"/>
      <c r="J1919" s="847">
        <v>-209780.55</v>
      </c>
      <c r="K1919" s="513">
        <v>-149.31</v>
      </c>
      <c r="L1919" s="513">
        <v>1405</v>
      </c>
      <c r="M1919" s="152" t="s">
        <v>7116</v>
      </c>
      <c r="N1919" s="513" t="s">
        <v>780</v>
      </c>
      <c r="O1919" s="513" t="s">
        <v>1407</v>
      </c>
      <c r="P1919" s="513" t="s">
        <v>7456</v>
      </c>
      <c r="Q1919" s="518" t="s">
        <v>7101</v>
      </c>
      <c r="R1919" s="152" t="s">
        <v>7457</v>
      </c>
      <c r="S1919" s="152" t="s">
        <v>7464</v>
      </c>
      <c r="T1919" s="152" t="s">
        <v>7459</v>
      </c>
      <c r="U1919" s="152" t="s">
        <v>786</v>
      </c>
    </row>
    <row r="1920" spans="4:21">
      <c r="D1920" s="210"/>
      <c r="G1920" s="152" t="s">
        <v>658</v>
      </c>
      <c r="H1920" s="474" t="s">
        <v>659</v>
      </c>
      <c r="I1920" s="474"/>
      <c r="J1920" s="847">
        <v>-179811.9</v>
      </c>
      <c r="K1920" s="513">
        <v>-127.98</v>
      </c>
      <c r="L1920" s="513">
        <v>1405</v>
      </c>
      <c r="M1920" s="152" t="s">
        <v>7116</v>
      </c>
      <c r="N1920" s="513" t="s">
        <v>780</v>
      </c>
      <c r="O1920" s="513" t="s">
        <v>1407</v>
      </c>
      <c r="P1920" s="513" t="s">
        <v>7456</v>
      </c>
      <c r="Q1920" s="518" t="s">
        <v>7101</v>
      </c>
      <c r="R1920" s="152" t="s">
        <v>7457</v>
      </c>
      <c r="S1920" s="152" t="s">
        <v>7463</v>
      </c>
      <c r="T1920" s="152" t="s">
        <v>7459</v>
      </c>
      <c r="U1920" s="152" t="s">
        <v>786</v>
      </c>
    </row>
    <row r="1921" spans="4:21">
      <c r="D1921" s="210"/>
      <c r="G1921" s="152" t="s">
        <v>658</v>
      </c>
      <c r="H1921" s="474" t="s">
        <v>659</v>
      </c>
      <c r="I1921" s="474"/>
      <c r="J1921" s="847">
        <v>-2669.5</v>
      </c>
      <c r="K1921" s="513">
        <v>-1.9</v>
      </c>
      <c r="L1921" s="513">
        <v>1405</v>
      </c>
      <c r="M1921" s="152" t="s">
        <v>7116</v>
      </c>
      <c r="N1921" s="513" t="s">
        <v>780</v>
      </c>
      <c r="O1921" s="513" t="s">
        <v>1407</v>
      </c>
      <c r="P1921" s="513" t="s">
        <v>7456</v>
      </c>
      <c r="Q1921" s="518" t="s">
        <v>7101</v>
      </c>
      <c r="R1921" s="152" t="s">
        <v>7457</v>
      </c>
      <c r="S1921" s="152" t="s">
        <v>1515</v>
      </c>
      <c r="T1921" s="152" t="s">
        <v>7459</v>
      </c>
      <c r="U1921" s="152" t="s">
        <v>786</v>
      </c>
    </row>
    <row r="1922" spans="4:21">
      <c r="D1922" s="210"/>
      <c r="G1922" s="152" t="s">
        <v>658</v>
      </c>
      <c r="H1922" s="474" t="s">
        <v>659</v>
      </c>
      <c r="I1922" s="474"/>
      <c r="J1922" s="847">
        <v>-786238</v>
      </c>
      <c r="K1922" s="513">
        <v>-559.6</v>
      </c>
      <c r="L1922" s="513">
        <v>1405</v>
      </c>
      <c r="M1922" s="152" t="s">
        <v>7116</v>
      </c>
      <c r="N1922" s="513" t="s">
        <v>780</v>
      </c>
      <c r="O1922" s="513" t="s">
        <v>1407</v>
      </c>
      <c r="P1922" s="513" t="s">
        <v>7456</v>
      </c>
      <c r="Q1922" s="518" t="s">
        <v>7101</v>
      </c>
      <c r="R1922" s="152" t="s">
        <v>7457</v>
      </c>
      <c r="S1922" s="152" t="s">
        <v>7461</v>
      </c>
      <c r="T1922" s="152" t="s">
        <v>7459</v>
      </c>
      <c r="U1922" s="152" t="s">
        <v>786</v>
      </c>
    </row>
    <row r="1923" spans="4:21">
      <c r="D1923" s="210"/>
      <c r="G1923" s="152" t="s">
        <v>658</v>
      </c>
      <c r="H1923" s="474" t="s">
        <v>659</v>
      </c>
      <c r="I1923" s="474"/>
      <c r="J1923" s="847">
        <v>-2669.5</v>
      </c>
      <c r="K1923" s="513">
        <v>-1.9</v>
      </c>
      <c r="L1923" s="513">
        <v>1405</v>
      </c>
      <c r="M1923" s="152" t="s">
        <v>7116</v>
      </c>
      <c r="N1923" s="513" t="s">
        <v>780</v>
      </c>
      <c r="O1923" s="513" t="s">
        <v>1407</v>
      </c>
      <c r="P1923" s="513" t="s">
        <v>7456</v>
      </c>
      <c r="Q1923" s="518" t="s">
        <v>7101</v>
      </c>
      <c r="R1923" s="152" t="s">
        <v>7457</v>
      </c>
      <c r="S1923" s="152" t="s">
        <v>1515</v>
      </c>
      <c r="T1923" s="152" t="s">
        <v>7459</v>
      </c>
      <c r="U1923" s="152" t="s">
        <v>786</v>
      </c>
    </row>
    <row r="1924" spans="4:21">
      <c r="D1924" s="210"/>
      <c r="G1924" s="152" t="s">
        <v>658</v>
      </c>
      <c r="H1924" s="474" t="s">
        <v>659</v>
      </c>
      <c r="I1924" s="474"/>
      <c r="J1924" s="847">
        <v>-509467.05</v>
      </c>
      <c r="K1924" s="513">
        <v>-362.61</v>
      </c>
      <c r="L1924" s="513">
        <v>1405</v>
      </c>
      <c r="M1924" s="152" t="s">
        <v>7116</v>
      </c>
      <c r="N1924" s="513" t="s">
        <v>780</v>
      </c>
      <c r="O1924" s="513" t="s">
        <v>1407</v>
      </c>
      <c r="P1924" s="513" t="s">
        <v>7456</v>
      </c>
      <c r="Q1924" s="518" t="s">
        <v>7101</v>
      </c>
      <c r="R1924" s="152" t="s">
        <v>7457</v>
      </c>
      <c r="S1924" s="152" t="s">
        <v>7460</v>
      </c>
      <c r="T1924" s="152" t="s">
        <v>7459</v>
      </c>
      <c r="U1924" s="152" t="s">
        <v>786</v>
      </c>
    </row>
    <row r="1925" spans="4:21">
      <c r="D1925" s="210"/>
      <c r="G1925" s="152" t="s">
        <v>658</v>
      </c>
      <c r="H1925" s="474" t="s">
        <v>659</v>
      </c>
      <c r="I1925" s="474"/>
      <c r="J1925" s="847">
        <v>-2669.5</v>
      </c>
      <c r="K1925" s="513">
        <v>-1.9</v>
      </c>
      <c r="L1925" s="513">
        <v>1405</v>
      </c>
      <c r="M1925" s="152" t="s">
        <v>7116</v>
      </c>
      <c r="N1925" s="513" t="s">
        <v>780</v>
      </c>
      <c r="O1925" s="513" t="s">
        <v>1407</v>
      </c>
      <c r="P1925" s="513" t="s">
        <v>7456</v>
      </c>
      <c r="Q1925" s="518" t="s">
        <v>7101</v>
      </c>
      <c r="R1925" s="152" t="s">
        <v>7457</v>
      </c>
      <c r="S1925" s="152" t="s">
        <v>1515</v>
      </c>
      <c r="T1925" s="152" t="s">
        <v>7459</v>
      </c>
      <c r="U1925" s="152" t="s">
        <v>786</v>
      </c>
    </row>
    <row r="1926" spans="4:21">
      <c r="D1926" s="210"/>
      <c r="G1926" s="152" t="s">
        <v>658</v>
      </c>
      <c r="H1926" s="474" t="s">
        <v>659</v>
      </c>
      <c r="I1926" s="474"/>
      <c r="J1926" s="847">
        <v>-659310.30000000005</v>
      </c>
      <c r="K1926" s="513">
        <v>-469.26</v>
      </c>
      <c r="L1926" s="513">
        <v>1405</v>
      </c>
      <c r="M1926" s="152" t="s">
        <v>7116</v>
      </c>
      <c r="N1926" s="513" t="s">
        <v>780</v>
      </c>
      <c r="O1926" s="513" t="s">
        <v>1407</v>
      </c>
      <c r="P1926" s="513" t="s">
        <v>7456</v>
      </c>
      <c r="Q1926" s="518" t="s">
        <v>7101</v>
      </c>
      <c r="R1926" s="152" t="s">
        <v>7457</v>
      </c>
      <c r="S1926" s="152" t="s">
        <v>7513</v>
      </c>
      <c r="T1926" s="152" t="s">
        <v>7459</v>
      </c>
      <c r="U1926" s="152" t="s">
        <v>786</v>
      </c>
    </row>
    <row r="1927" spans="4:21">
      <c r="D1927" s="210"/>
      <c r="G1927" s="152" t="s">
        <v>658</v>
      </c>
      <c r="H1927" s="474" t="s">
        <v>659</v>
      </c>
      <c r="I1927" s="474"/>
      <c r="J1927" s="847">
        <v>-2669.5</v>
      </c>
      <c r="K1927" s="513">
        <v>-1.9</v>
      </c>
      <c r="L1927" s="513">
        <v>1405</v>
      </c>
      <c r="M1927" s="152" t="s">
        <v>7116</v>
      </c>
      <c r="N1927" s="513" t="s">
        <v>780</v>
      </c>
      <c r="O1927" s="513" t="s">
        <v>1407</v>
      </c>
      <c r="P1927" s="513" t="s">
        <v>7456</v>
      </c>
      <c r="Q1927" s="518" t="s">
        <v>7101</v>
      </c>
      <c r="R1927" s="152" t="s">
        <v>7457</v>
      </c>
      <c r="S1927" s="152" t="s">
        <v>1515</v>
      </c>
      <c r="T1927" s="152" t="s">
        <v>7459</v>
      </c>
      <c r="U1927" s="152" t="s">
        <v>786</v>
      </c>
    </row>
    <row r="1928" spans="4:21">
      <c r="D1928" s="210"/>
      <c r="G1928" s="152" t="s">
        <v>658</v>
      </c>
      <c r="H1928" s="474" t="s">
        <v>659</v>
      </c>
      <c r="I1928" s="474"/>
      <c r="J1928" s="847">
        <v>-1250042.55</v>
      </c>
      <c r="K1928" s="513">
        <v>-889.71</v>
      </c>
      <c r="L1928" s="513">
        <v>1405</v>
      </c>
      <c r="M1928" s="152" t="s">
        <v>7116</v>
      </c>
      <c r="N1928" s="513" t="s">
        <v>780</v>
      </c>
      <c r="O1928" s="513" t="s">
        <v>1407</v>
      </c>
      <c r="P1928" s="513" t="s">
        <v>7456</v>
      </c>
      <c r="Q1928" s="518" t="s">
        <v>7101</v>
      </c>
      <c r="R1928" s="152" t="s">
        <v>7457</v>
      </c>
      <c r="S1928" s="152" t="s">
        <v>7515</v>
      </c>
      <c r="T1928" s="152" t="s">
        <v>7459</v>
      </c>
      <c r="U1928" s="152" t="s">
        <v>786</v>
      </c>
    </row>
    <row r="1929" spans="4:21">
      <c r="D1929" s="210"/>
      <c r="G1929" s="152" t="s">
        <v>658</v>
      </c>
      <c r="H1929" s="474" t="s">
        <v>659</v>
      </c>
      <c r="I1929" s="474"/>
      <c r="J1929" s="847">
        <v>-1273801.1000000001</v>
      </c>
      <c r="K1929" s="513">
        <v>-906.62</v>
      </c>
      <c r="L1929" s="513">
        <v>1405</v>
      </c>
      <c r="M1929" s="152" t="s">
        <v>7116</v>
      </c>
      <c r="N1929" s="513" t="s">
        <v>780</v>
      </c>
      <c r="O1929" s="513" t="s">
        <v>1407</v>
      </c>
      <c r="P1929" s="513" t="s">
        <v>7456</v>
      </c>
      <c r="Q1929" s="518" t="s">
        <v>7101</v>
      </c>
      <c r="R1929" s="152" t="s">
        <v>7457</v>
      </c>
      <c r="S1929" s="152" t="s">
        <v>7516</v>
      </c>
      <c r="T1929" s="152" t="s">
        <v>7459</v>
      </c>
      <c r="U1929" s="152" t="s">
        <v>786</v>
      </c>
    </row>
    <row r="1930" spans="4:21">
      <c r="D1930" s="210"/>
      <c r="G1930" s="152" t="s">
        <v>658</v>
      </c>
      <c r="H1930" s="474" t="s">
        <v>659</v>
      </c>
      <c r="I1930" s="474"/>
      <c r="J1930" s="847">
        <v>-1730074.85</v>
      </c>
      <c r="K1930" s="513">
        <v>-1231.3699999999999</v>
      </c>
      <c r="L1930" s="513">
        <v>1405</v>
      </c>
      <c r="M1930" s="152" t="s">
        <v>7116</v>
      </c>
      <c r="N1930" s="513" t="s">
        <v>780</v>
      </c>
      <c r="O1930" s="513" t="s">
        <v>1407</v>
      </c>
      <c r="P1930" s="513" t="s">
        <v>7456</v>
      </c>
      <c r="Q1930" s="518" t="s">
        <v>7101</v>
      </c>
      <c r="R1930" s="152" t="s">
        <v>7457</v>
      </c>
      <c r="S1930" s="152" t="s">
        <v>7506</v>
      </c>
      <c r="T1930" s="152" t="s">
        <v>7459</v>
      </c>
      <c r="U1930" s="152" t="s">
        <v>786</v>
      </c>
    </row>
    <row r="1931" spans="4:21">
      <c r="D1931" s="210"/>
      <c r="G1931" s="152" t="s">
        <v>658</v>
      </c>
      <c r="H1931" s="474" t="s">
        <v>659</v>
      </c>
      <c r="I1931" s="474"/>
      <c r="J1931" s="847">
        <v>-2669.5</v>
      </c>
      <c r="K1931" s="513">
        <v>-1.9</v>
      </c>
      <c r="L1931" s="513">
        <v>1405</v>
      </c>
      <c r="M1931" s="152" t="s">
        <v>7116</v>
      </c>
      <c r="N1931" s="513" t="s">
        <v>780</v>
      </c>
      <c r="O1931" s="513" t="s">
        <v>1407</v>
      </c>
      <c r="P1931" s="513" t="s">
        <v>7456</v>
      </c>
      <c r="Q1931" s="518" t="s">
        <v>7101</v>
      </c>
      <c r="R1931" s="152" t="s">
        <v>7457</v>
      </c>
      <c r="S1931" s="152" t="s">
        <v>1515</v>
      </c>
      <c r="T1931" s="152" t="s">
        <v>7459</v>
      </c>
      <c r="U1931" s="152" t="s">
        <v>786</v>
      </c>
    </row>
    <row r="1932" spans="4:21">
      <c r="D1932" s="210"/>
      <c r="G1932" s="152" t="s">
        <v>658</v>
      </c>
      <c r="H1932" s="474" t="s">
        <v>659</v>
      </c>
      <c r="I1932" s="474"/>
      <c r="J1932" s="847">
        <v>-170075.25</v>
      </c>
      <c r="K1932" s="513">
        <v>-121.05</v>
      </c>
      <c r="L1932" s="513">
        <v>1405</v>
      </c>
      <c r="M1932" s="152" t="s">
        <v>7116</v>
      </c>
      <c r="N1932" s="513" t="s">
        <v>780</v>
      </c>
      <c r="O1932" s="513" t="s">
        <v>1407</v>
      </c>
      <c r="P1932" s="513" t="s">
        <v>7456</v>
      </c>
      <c r="Q1932" s="518" t="s">
        <v>7101</v>
      </c>
      <c r="R1932" s="152" t="s">
        <v>7457</v>
      </c>
      <c r="S1932" s="152" t="s">
        <v>7514</v>
      </c>
      <c r="T1932" s="152" t="s">
        <v>7459</v>
      </c>
      <c r="U1932" s="152" t="s">
        <v>786</v>
      </c>
    </row>
    <row r="1933" spans="4:21">
      <c r="D1933" s="210"/>
      <c r="G1933" s="152" t="s">
        <v>658</v>
      </c>
      <c r="H1933" s="474" t="s">
        <v>659</v>
      </c>
      <c r="I1933" s="474"/>
      <c r="J1933" s="847">
        <v>-2683.55</v>
      </c>
      <c r="K1933" s="513">
        <v>-1.91</v>
      </c>
      <c r="L1933" s="513">
        <v>1405</v>
      </c>
      <c r="M1933" s="152" t="s">
        <v>7116</v>
      </c>
      <c r="N1933" s="513" t="s">
        <v>780</v>
      </c>
      <c r="O1933" s="513" t="s">
        <v>1407</v>
      </c>
      <c r="P1933" s="513" t="s">
        <v>7456</v>
      </c>
      <c r="Q1933" s="518" t="s">
        <v>7101</v>
      </c>
      <c r="R1933" s="152" t="s">
        <v>7457</v>
      </c>
      <c r="S1933" s="152" t="s">
        <v>1515</v>
      </c>
      <c r="T1933" s="152" t="s">
        <v>7459</v>
      </c>
      <c r="U1933" s="152" t="s">
        <v>786</v>
      </c>
    </row>
    <row r="1934" spans="4:21">
      <c r="D1934" s="210"/>
      <c r="G1934" s="152" t="s">
        <v>658</v>
      </c>
      <c r="H1934" s="474" t="s">
        <v>659</v>
      </c>
      <c r="I1934" s="474"/>
      <c r="J1934" s="847">
        <v>-19150.150000000001</v>
      </c>
      <c r="K1934" s="513">
        <v>-13.63</v>
      </c>
      <c r="L1934" s="513">
        <v>1405</v>
      </c>
      <c r="M1934" s="152" t="s">
        <v>7116</v>
      </c>
      <c r="N1934" s="513" t="s">
        <v>780</v>
      </c>
      <c r="O1934" s="513" t="s">
        <v>1407</v>
      </c>
      <c r="P1934" s="513" t="s">
        <v>7456</v>
      </c>
      <c r="Q1934" s="518" t="s">
        <v>7101</v>
      </c>
      <c r="R1934" s="152" t="s">
        <v>7457</v>
      </c>
      <c r="S1934" s="152" t="s">
        <v>7499</v>
      </c>
      <c r="T1934" s="152" t="s">
        <v>7459</v>
      </c>
      <c r="U1934" s="152" t="s">
        <v>786</v>
      </c>
    </row>
    <row r="1935" spans="4:21">
      <c r="D1935" s="210"/>
      <c r="G1935" s="152" t="s">
        <v>658</v>
      </c>
      <c r="H1935" s="474" t="s">
        <v>659</v>
      </c>
      <c r="I1935" s="474"/>
      <c r="J1935" s="847">
        <v>-23969.3</v>
      </c>
      <c r="K1935" s="513">
        <v>-17.059999999999999</v>
      </c>
      <c r="L1935" s="513">
        <v>1405</v>
      </c>
      <c r="M1935" s="152" t="s">
        <v>7116</v>
      </c>
      <c r="N1935" s="513" t="s">
        <v>780</v>
      </c>
      <c r="O1935" s="513" t="s">
        <v>1407</v>
      </c>
      <c r="P1935" s="513" t="s">
        <v>7456</v>
      </c>
      <c r="Q1935" s="518" t="s">
        <v>7101</v>
      </c>
      <c r="R1935" s="152" t="s">
        <v>7457</v>
      </c>
      <c r="S1935" s="152" t="s">
        <v>7491</v>
      </c>
      <c r="T1935" s="152" t="s">
        <v>7459</v>
      </c>
      <c r="U1935" s="152" t="s">
        <v>786</v>
      </c>
    </row>
    <row r="1936" spans="4:21">
      <c r="D1936" s="210"/>
      <c r="G1936" s="152" t="s">
        <v>658</v>
      </c>
      <c r="H1936" s="474" t="s">
        <v>659</v>
      </c>
      <c r="I1936" s="474"/>
      <c r="J1936" s="847">
        <v>-705141.4</v>
      </c>
      <c r="K1936" s="513">
        <v>-501.88</v>
      </c>
      <c r="L1936" s="513">
        <v>1405</v>
      </c>
      <c r="M1936" s="152" t="s">
        <v>7116</v>
      </c>
      <c r="N1936" s="513" t="s">
        <v>780</v>
      </c>
      <c r="O1936" s="513" t="s">
        <v>1407</v>
      </c>
      <c r="P1936" s="513" t="s">
        <v>7456</v>
      </c>
      <c r="Q1936" s="518" t="s">
        <v>7101</v>
      </c>
      <c r="R1936" s="152" t="s">
        <v>7457</v>
      </c>
      <c r="S1936" s="152" t="s">
        <v>7474</v>
      </c>
      <c r="T1936" s="152" t="s">
        <v>7459</v>
      </c>
      <c r="U1936" s="152" t="s">
        <v>786</v>
      </c>
    </row>
    <row r="1937" spans="4:21">
      <c r="D1937" s="210"/>
      <c r="G1937" s="152" t="s">
        <v>658</v>
      </c>
      <c r="H1937" s="474" t="s">
        <v>659</v>
      </c>
      <c r="I1937" s="474"/>
      <c r="J1937" s="847">
        <v>-2669.5</v>
      </c>
      <c r="K1937" s="513">
        <v>-1.9</v>
      </c>
      <c r="L1937" s="513">
        <v>1405</v>
      </c>
      <c r="M1937" s="152" t="s">
        <v>7116</v>
      </c>
      <c r="N1937" s="513" t="s">
        <v>780</v>
      </c>
      <c r="O1937" s="513" t="s">
        <v>1407</v>
      </c>
      <c r="P1937" s="513" t="s">
        <v>7456</v>
      </c>
      <c r="Q1937" s="518" t="s">
        <v>7101</v>
      </c>
      <c r="R1937" s="152" t="s">
        <v>7457</v>
      </c>
      <c r="S1937" s="152" t="s">
        <v>1515</v>
      </c>
      <c r="T1937" s="152" t="s">
        <v>7459</v>
      </c>
      <c r="U1937" s="152" t="s">
        <v>786</v>
      </c>
    </row>
    <row r="1938" spans="4:21">
      <c r="D1938" s="210"/>
      <c r="G1938" s="152" t="s">
        <v>658</v>
      </c>
      <c r="H1938" s="474" t="s">
        <v>659</v>
      </c>
      <c r="I1938" s="474"/>
      <c r="J1938" s="847">
        <v>-1233997.45</v>
      </c>
      <c r="K1938" s="513">
        <v>-878.29</v>
      </c>
      <c r="L1938" s="513">
        <v>1405</v>
      </c>
      <c r="M1938" s="152" t="s">
        <v>7116</v>
      </c>
      <c r="N1938" s="513" t="s">
        <v>780</v>
      </c>
      <c r="O1938" s="513" t="s">
        <v>1407</v>
      </c>
      <c r="P1938" s="513" t="s">
        <v>7456</v>
      </c>
      <c r="Q1938" s="518" t="s">
        <v>7101</v>
      </c>
      <c r="R1938" s="152" t="s">
        <v>7457</v>
      </c>
      <c r="S1938" s="152" t="s">
        <v>7473</v>
      </c>
      <c r="T1938" s="152" t="s">
        <v>7459</v>
      </c>
      <c r="U1938" s="152" t="s">
        <v>786</v>
      </c>
    </row>
    <row r="1939" spans="4:21">
      <c r="D1939" s="210"/>
      <c r="G1939" s="152" t="s">
        <v>658</v>
      </c>
      <c r="H1939" s="474" t="s">
        <v>659</v>
      </c>
      <c r="I1939" s="474"/>
      <c r="J1939" s="847">
        <v>-1233997.45</v>
      </c>
      <c r="K1939" s="513">
        <v>-878.29</v>
      </c>
      <c r="L1939" s="513">
        <v>1405</v>
      </c>
      <c r="M1939" s="152" t="s">
        <v>7116</v>
      </c>
      <c r="N1939" s="513" t="s">
        <v>780</v>
      </c>
      <c r="O1939" s="513" t="s">
        <v>1407</v>
      </c>
      <c r="P1939" s="513" t="s">
        <v>7456</v>
      </c>
      <c r="Q1939" s="518" t="s">
        <v>7101</v>
      </c>
      <c r="R1939" s="152" t="s">
        <v>7457</v>
      </c>
      <c r="S1939" s="152" t="s">
        <v>7472</v>
      </c>
      <c r="T1939" s="152" t="s">
        <v>7459</v>
      </c>
      <c r="U1939" s="152" t="s">
        <v>786</v>
      </c>
    </row>
    <row r="1940" spans="4:21">
      <c r="D1940" s="210"/>
      <c r="G1940" s="152" t="s">
        <v>658</v>
      </c>
      <c r="H1940" s="474" t="s">
        <v>659</v>
      </c>
      <c r="I1940" s="474"/>
      <c r="J1940" s="847">
        <v>-188031.15</v>
      </c>
      <c r="K1940" s="513">
        <v>-133.83000000000001</v>
      </c>
      <c r="L1940" s="513">
        <v>1405</v>
      </c>
      <c r="M1940" s="152" t="s">
        <v>7116</v>
      </c>
      <c r="N1940" s="513" t="s">
        <v>780</v>
      </c>
      <c r="O1940" s="513" t="s">
        <v>1407</v>
      </c>
      <c r="P1940" s="513" t="s">
        <v>7456</v>
      </c>
      <c r="Q1940" s="518" t="s">
        <v>7101</v>
      </c>
      <c r="R1940" s="152" t="s">
        <v>7457</v>
      </c>
      <c r="S1940" s="152" t="s">
        <v>7471</v>
      </c>
      <c r="T1940" s="152" t="s">
        <v>7459</v>
      </c>
      <c r="U1940" s="152" t="s">
        <v>786</v>
      </c>
    </row>
    <row r="1941" spans="4:21">
      <c r="D1941" s="210"/>
      <c r="G1941" s="152" t="s">
        <v>658</v>
      </c>
      <c r="H1941" s="474" t="s">
        <v>659</v>
      </c>
      <c r="I1941" s="474"/>
      <c r="J1941" s="847">
        <v>-3666754.95</v>
      </c>
      <c r="K1941" s="513">
        <v>-2609.79</v>
      </c>
      <c r="L1941" s="513">
        <v>1405</v>
      </c>
      <c r="M1941" s="152" t="s">
        <v>7116</v>
      </c>
      <c r="N1941" s="513" t="s">
        <v>780</v>
      </c>
      <c r="O1941" s="513" t="s">
        <v>1407</v>
      </c>
      <c r="P1941" s="513" t="s">
        <v>7456</v>
      </c>
      <c r="Q1941" s="518" t="s">
        <v>7101</v>
      </c>
      <c r="R1941" s="152" t="s">
        <v>7457</v>
      </c>
      <c r="S1941" s="152" t="s">
        <v>7470</v>
      </c>
      <c r="T1941" s="152" t="s">
        <v>7459</v>
      </c>
      <c r="U1941" s="152" t="s">
        <v>786</v>
      </c>
    </row>
    <row r="1942" spans="4:21">
      <c r="D1942" s="210"/>
      <c r="G1942" s="152" t="s">
        <v>658</v>
      </c>
      <c r="H1942" s="474" t="s">
        <v>659</v>
      </c>
      <c r="I1942" s="474"/>
      <c r="J1942" s="847">
        <v>-2683.55</v>
      </c>
      <c r="K1942" s="513">
        <v>-1.91</v>
      </c>
      <c r="L1942" s="513">
        <v>1405</v>
      </c>
      <c r="M1942" s="152" t="s">
        <v>7116</v>
      </c>
      <c r="N1942" s="513" t="s">
        <v>780</v>
      </c>
      <c r="O1942" s="513" t="s">
        <v>1407</v>
      </c>
      <c r="P1942" s="513" t="s">
        <v>7456</v>
      </c>
      <c r="Q1942" s="518" t="s">
        <v>7101</v>
      </c>
      <c r="R1942" s="152" t="s">
        <v>7457</v>
      </c>
      <c r="S1942" s="152" t="s">
        <v>1515</v>
      </c>
      <c r="T1942" s="152" t="s">
        <v>7459</v>
      </c>
      <c r="U1942" s="152" t="s">
        <v>786</v>
      </c>
    </row>
    <row r="1943" spans="4:21">
      <c r="D1943" s="210"/>
      <c r="G1943" s="152" t="s">
        <v>658</v>
      </c>
      <c r="H1943" s="474" t="s">
        <v>659</v>
      </c>
      <c r="I1943" s="474"/>
      <c r="J1943" s="847">
        <v>-110952.85</v>
      </c>
      <c r="K1943" s="513">
        <v>-78.97</v>
      </c>
      <c r="L1943" s="513">
        <v>1405</v>
      </c>
      <c r="M1943" s="152" t="s">
        <v>7116</v>
      </c>
      <c r="N1943" s="513" t="s">
        <v>780</v>
      </c>
      <c r="O1943" s="513" t="s">
        <v>1407</v>
      </c>
      <c r="P1943" s="513" t="s">
        <v>7456</v>
      </c>
      <c r="Q1943" s="518" t="s">
        <v>7101</v>
      </c>
      <c r="R1943" s="152" t="s">
        <v>7457</v>
      </c>
      <c r="S1943" s="152" t="s">
        <v>7496</v>
      </c>
      <c r="T1943" s="152" t="s">
        <v>7459</v>
      </c>
      <c r="U1943" s="152" t="s">
        <v>786</v>
      </c>
    </row>
    <row r="1944" spans="4:21">
      <c r="D1944" s="210"/>
      <c r="G1944" s="152" t="s">
        <v>658</v>
      </c>
      <c r="H1944" s="474" t="s">
        <v>659</v>
      </c>
      <c r="I1944" s="474"/>
      <c r="J1944" s="847">
        <v>-2669.5</v>
      </c>
      <c r="K1944" s="513">
        <v>-1.9</v>
      </c>
      <c r="L1944" s="513">
        <v>1405</v>
      </c>
      <c r="M1944" s="152" t="s">
        <v>7116</v>
      </c>
      <c r="N1944" s="513" t="s">
        <v>780</v>
      </c>
      <c r="O1944" s="513" t="s">
        <v>1407</v>
      </c>
      <c r="P1944" s="513" t="s">
        <v>7456</v>
      </c>
      <c r="Q1944" s="518" t="s">
        <v>7101</v>
      </c>
      <c r="R1944" s="152" t="s">
        <v>7457</v>
      </c>
      <c r="S1944" s="152" t="s">
        <v>1515</v>
      </c>
      <c r="T1944" s="152" t="s">
        <v>7459</v>
      </c>
      <c r="U1944" s="152" t="s">
        <v>786</v>
      </c>
    </row>
    <row r="1945" spans="4:21">
      <c r="D1945" s="210"/>
      <c r="G1945" s="152" t="s">
        <v>658</v>
      </c>
      <c r="H1945" s="474" t="s">
        <v>659</v>
      </c>
      <c r="I1945" s="474"/>
      <c r="J1945" s="847">
        <v>-3525721.05</v>
      </c>
      <c r="K1945" s="513">
        <v>-2509.41</v>
      </c>
      <c r="L1945" s="513">
        <v>1405</v>
      </c>
      <c r="M1945" s="152" t="s">
        <v>7116</v>
      </c>
      <c r="N1945" s="513" t="s">
        <v>780</v>
      </c>
      <c r="O1945" s="513" t="s">
        <v>1407</v>
      </c>
      <c r="P1945" s="513" t="s">
        <v>7456</v>
      </c>
      <c r="Q1945" s="518" t="s">
        <v>7101</v>
      </c>
      <c r="R1945" s="152" t="s">
        <v>7457</v>
      </c>
      <c r="S1945" s="152" t="s">
        <v>7502</v>
      </c>
      <c r="T1945" s="152" t="s">
        <v>7459</v>
      </c>
      <c r="U1945" s="152" t="s">
        <v>786</v>
      </c>
    </row>
    <row r="1946" spans="4:21">
      <c r="D1946" s="210"/>
      <c r="G1946" s="152" t="s">
        <v>658</v>
      </c>
      <c r="H1946" s="474" t="s">
        <v>659</v>
      </c>
      <c r="I1946" s="474"/>
      <c r="J1946" s="847">
        <v>-2669.5</v>
      </c>
      <c r="K1946" s="513">
        <v>-1.9</v>
      </c>
      <c r="L1946" s="513">
        <v>1405</v>
      </c>
      <c r="M1946" s="152" t="s">
        <v>7116</v>
      </c>
      <c r="N1946" s="513" t="s">
        <v>780</v>
      </c>
      <c r="O1946" s="513" t="s">
        <v>1407</v>
      </c>
      <c r="P1946" s="513" t="s">
        <v>7456</v>
      </c>
      <c r="Q1946" s="518" t="s">
        <v>7101</v>
      </c>
      <c r="R1946" s="152" t="s">
        <v>7457</v>
      </c>
      <c r="S1946" s="152" t="s">
        <v>1515</v>
      </c>
      <c r="T1946" s="152" t="s">
        <v>7459</v>
      </c>
      <c r="U1946" s="152" t="s">
        <v>786</v>
      </c>
    </row>
    <row r="1947" spans="4:21">
      <c r="D1947" s="210"/>
      <c r="G1947" s="152" t="s">
        <v>658</v>
      </c>
      <c r="H1947" s="474" t="s">
        <v>659</v>
      </c>
      <c r="I1947" s="474"/>
      <c r="J1947" s="847">
        <v>-2820579.65</v>
      </c>
      <c r="K1947" s="513">
        <v>-2007.53</v>
      </c>
      <c r="L1947" s="513">
        <v>1405</v>
      </c>
      <c r="M1947" s="152" t="s">
        <v>7116</v>
      </c>
      <c r="N1947" s="513" t="s">
        <v>780</v>
      </c>
      <c r="O1947" s="513" t="s">
        <v>1407</v>
      </c>
      <c r="P1947" s="513" t="s">
        <v>7456</v>
      </c>
      <c r="Q1947" s="518" t="s">
        <v>7101</v>
      </c>
      <c r="R1947" s="152" t="s">
        <v>7457</v>
      </c>
      <c r="S1947" s="152" t="s">
        <v>7486</v>
      </c>
      <c r="T1947" s="152" t="s">
        <v>7459</v>
      </c>
      <c r="U1947" s="152" t="s">
        <v>786</v>
      </c>
    </row>
    <row r="1948" spans="4:21">
      <c r="D1948" s="210"/>
      <c r="G1948" s="152" t="s">
        <v>658</v>
      </c>
      <c r="H1948" s="474" t="s">
        <v>659</v>
      </c>
      <c r="I1948" s="474"/>
      <c r="J1948" s="847">
        <v>-2669.5</v>
      </c>
      <c r="K1948" s="513">
        <v>-1.9</v>
      </c>
      <c r="L1948" s="513">
        <v>1405</v>
      </c>
      <c r="M1948" s="152" t="s">
        <v>7116</v>
      </c>
      <c r="N1948" s="513" t="s">
        <v>780</v>
      </c>
      <c r="O1948" s="513" t="s">
        <v>1407</v>
      </c>
      <c r="P1948" s="513" t="s">
        <v>7456</v>
      </c>
      <c r="Q1948" s="518" t="s">
        <v>7101</v>
      </c>
      <c r="R1948" s="152" t="s">
        <v>7457</v>
      </c>
      <c r="S1948" s="152" t="s">
        <v>1515</v>
      </c>
      <c r="T1948" s="152" t="s">
        <v>7459</v>
      </c>
      <c r="U1948" s="152" t="s">
        <v>786</v>
      </c>
    </row>
    <row r="1949" spans="4:21">
      <c r="D1949" s="210"/>
      <c r="G1949" s="152" t="s">
        <v>658</v>
      </c>
      <c r="H1949" s="474" t="s">
        <v>659</v>
      </c>
      <c r="I1949" s="474"/>
      <c r="J1949" s="847">
        <v>-4172091.3</v>
      </c>
      <c r="K1949" s="513">
        <v>-2969.46</v>
      </c>
      <c r="L1949" s="513">
        <v>1405</v>
      </c>
      <c r="M1949" s="152" t="s">
        <v>7116</v>
      </c>
      <c r="N1949" s="513" t="s">
        <v>780</v>
      </c>
      <c r="O1949" s="513" t="s">
        <v>1407</v>
      </c>
      <c r="P1949" s="513" t="s">
        <v>7456</v>
      </c>
      <c r="Q1949" s="518" t="s">
        <v>7101</v>
      </c>
      <c r="R1949" s="152" t="s">
        <v>7457</v>
      </c>
      <c r="S1949" s="152" t="s">
        <v>7488</v>
      </c>
      <c r="T1949" s="152" t="s">
        <v>7459</v>
      </c>
      <c r="U1949" s="152" t="s">
        <v>786</v>
      </c>
    </row>
    <row r="1950" spans="4:21">
      <c r="D1950" s="210"/>
      <c r="G1950" s="152" t="s">
        <v>658</v>
      </c>
      <c r="H1950" s="474" t="s">
        <v>659</v>
      </c>
      <c r="I1950" s="474"/>
      <c r="J1950" s="847">
        <v>-950426.3</v>
      </c>
      <c r="K1950" s="513">
        <v>-676.46</v>
      </c>
      <c r="L1950" s="513">
        <v>1405</v>
      </c>
      <c r="M1950" s="152" t="s">
        <v>7116</v>
      </c>
      <c r="N1950" s="513" t="s">
        <v>780</v>
      </c>
      <c r="O1950" s="513" t="s">
        <v>1407</v>
      </c>
      <c r="P1950" s="513" t="s">
        <v>7456</v>
      </c>
      <c r="Q1950" s="518" t="s">
        <v>7101</v>
      </c>
      <c r="R1950" s="152" t="s">
        <v>7457</v>
      </c>
      <c r="S1950" s="152" t="s">
        <v>7504</v>
      </c>
      <c r="T1950" s="152" t="s">
        <v>7459</v>
      </c>
      <c r="U1950" s="152" t="s">
        <v>786</v>
      </c>
    </row>
    <row r="1951" spans="4:21">
      <c r="D1951" s="210"/>
      <c r="G1951" s="152" t="s">
        <v>658</v>
      </c>
      <c r="H1951" s="474" t="s">
        <v>659</v>
      </c>
      <c r="I1951" s="474"/>
      <c r="J1951" s="847">
        <v>-629341.65</v>
      </c>
      <c r="K1951" s="513">
        <v>-447.93</v>
      </c>
      <c r="L1951" s="513">
        <v>1405</v>
      </c>
      <c r="M1951" s="152" t="s">
        <v>7116</v>
      </c>
      <c r="N1951" s="513" t="s">
        <v>780</v>
      </c>
      <c r="O1951" s="513" t="s">
        <v>1407</v>
      </c>
      <c r="P1951" s="513" t="s">
        <v>7456</v>
      </c>
      <c r="Q1951" s="518" t="s">
        <v>7101</v>
      </c>
      <c r="R1951" s="152" t="s">
        <v>7457</v>
      </c>
      <c r="S1951" s="152" t="s">
        <v>7476</v>
      </c>
      <c r="T1951" s="152" t="s">
        <v>7459</v>
      </c>
      <c r="U1951" s="152" t="s">
        <v>786</v>
      </c>
    </row>
    <row r="1952" spans="4:21">
      <c r="D1952" s="210"/>
      <c r="G1952" s="152" t="s">
        <v>658</v>
      </c>
      <c r="H1952" s="474" t="s">
        <v>659</v>
      </c>
      <c r="I1952" s="474"/>
      <c r="J1952" s="847">
        <v>-2669.5</v>
      </c>
      <c r="K1952" s="513">
        <v>-1.9</v>
      </c>
      <c r="L1952" s="513">
        <v>1405</v>
      </c>
      <c r="M1952" s="152" t="s">
        <v>7116</v>
      </c>
      <c r="N1952" s="513" t="s">
        <v>780</v>
      </c>
      <c r="O1952" s="513" t="s">
        <v>1407</v>
      </c>
      <c r="P1952" s="513" t="s">
        <v>7456</v>
      </c>
      <c r="Q1952" s="518" t="s">
        <v>7101</v>
      </c>
      <c r="R1952" s="152" t="s">
        <v>7457</v>
      </c>
      <c r="S1952" s="152" t="s">
        <v>1515</v>
      </c>
      <c r="T1952" s="152" t="s">
        <v>7459</v>
      </c>
      <c r="U1952" s="152" t="s">
        <v>786</v>
      </c>
    </row>
    <row r="1953" spans="4:21">
      <c r="D1953" s="210"/>
      <c r="G1953" s="152" t="s">
        <v>658</v>
      </c>
      <c r="H1953" s="474" t="s">
        <v>659</v>
      </c>
      <c r="I1953" s="474"/>
      <c r="J1953" s="847">
        <v>-2643423.2000000002</v>
      </c>
      <c r="K1953" s="513">
        <v>-1881.44</v>
      </c>
      <c r="L1953" s="513">
        <v>1405</v>
      </c>
      <c r="M1953" s="152" t="s">
        <v>7116</v>
      </c>
      <c r="N1953" s="513" t="s">
        <v>780</v>
      </c>
      <c r="O1953" s="513" t="s">
        <v>1407</v>
      </c>
      <c r="P1953" s="513" t="s">
        <v>7616</v>
      </c>
      <c r="Q1953" s="518" t="s">
        <v>7101</v>
      </c>
      <c r="R1953" s="152" t="s">
        <v>7617</v>
      </c>
      <c r="S1953" s="152" t="s">
        <v>4093</v>
      </c>
      <c r="T1953" s="152" t="s">
        <v>7618</v>
      </c>
      <c r="U1953" s="152" t="s">
        <v>786</v>
      </c>
    </row>
    <row r="1954" spans="4:21">
      <c r="D1954" s="210"/>
      <c r="G1954" s="152" t="s">
        <v>658</v>
      </c>
      <c r="H1954" s="474" t="s">
        <v>659</v>
      </c>
      <c r="I1954" s="474"/>
      <c r="J1954" s="847">
        <v>-7025000</v>
      </c>
      <c r="K1954" s="513">
        <v>-5000</v>
      </c>
      <c r="L1954" s="513">
        <v>1405</v>
      </c>
      <c r="M1954" s="152" t="s">
        <v>7116</v>
      </c>
      <c r="N1954" s="513" t="s">
        <v>780</v>
      </c>
      <c r="O1954" s="513" t="s">
        <v>1407</v>
      </c>
      <c r="P1954" s="513" t="s">
        <v>7616</v>
      </c>
      <c r="Q1954" s="518" t="s">
        <v>7101</v>
      </c>
      <c r="R1954" s="152" t="s">
        <v>7617</v>
      </c>
      <c r="S1954" s="152" t="s">
        <v>6533</v>
      </c>
      <c r="T1954" s="152" t="s">
        <v>7618</v>
      </c>
      <c r="U1954" s="152" t="s">
        <v>786</v>
      </c>
    </row>
    <row r="1955" spans="4:21">
      <c r="D1955" s="210"/>
      <c r="G1955" s="152" t="s">
        <v>658</v>
      </c>
      <c r="H1955" s="474" t="s">
        <v>659</v>
      </c>
      <c r="I1955" s="474"/>
      <c r="J1955" s="847">
        <v>-2697.6</v>
      </c>
      <c r="K1955" s="513">
        <v>-1.92</v>
      </c>
      <c r="L1955" s="513">
        <v>1405</v>
      </c>
      <c r="M1955" s="152" t="s">
        <v>7143</v>
      </c>
      <c r="N1955" s="513" t="s">
        <v>780</v>
      </c>
      <c r="O1955" s="513" t="s">
        <v>1407</v>
      </c>
      <c r="P1955" s="513" t="s">
        <v>7619</v>
      </c>
      <c r="Q1955" s="518" t="s">
        <v>7101</v>
      </c>
      <c r="R1955" s="152" t="s">
        <v>7620</v>
      </c>
      <c r="S1955" s="152" t="s">
        <v>1515</v>
      </c>
      <c r="T1955" s="152" t="s">
        <v>7621</v>
      </c>
      <c r="U1955" s="152" t="s">
        <v>786</v>
      </c>
    </row>
    <row r="1956" spans="4:21">
      <c r="D1956" s="210"/>
      <c r="G1956" s="152" t="s">
        <v>658</v>
      </c>
      <c r="H1956" s="474" t="s">
        <v>659</v>
      </c>
      <c r="I1956" s="474"/>
      <c r="J1956" s="847">
        <v>-2697.6</v>
      </c>
      <c r="K1956" s="513">
        <v>-1.92</v>
      </c>
      <c r="L1956" s="513">
        <v>1405</v>
      </c>
      <c r="M1956" s="152" t="s">
        <v>7143</v>
      </c>
      <c r="N1956" s="513" t="s">
        <v>780</v>
      </c>
      <c r="O1956" s="513" t="s">
        <v>1407</v>
      </c>
      <c r="P1956" s="513" t="s">
        <v>7619</v>
      </c>
      <c r="Q1956" s="518" t="s">
        <v>7101</v>
      </c>
      <c r="R1956" s="152" t="s">
        <v>7620</v>
      </c>
      <c r="S1956" s="152" t="s">
        <v>1515</v>
      </c>
      <c r="T1956" s="152" t="s">
        <v>7621</v>
      </c>
      <c r="U1956" s="152" t="s">
        <v>786</v>
      </c>
    </row>
    <row r="1957" spans="4:21">
      <c r="D1957" s="210"/>
      <c r="G1957" s="152" t="s">
        <v>658</v>
      </c>
      <c r="H1957" s="474" t="s">
        <v>659</v>
      </c>
      <c r="I1957" s="474"/>
      <c r="J1957" s="847">
        <v>-2697.6</v>
      </c>
      <c r="K1957" s="513">
        <v>-1.92</v>
      </c>
      <c r="L1957" s="513">
        <v>1405</v>
      </c>
      <c r="M1957" s="152" t="s">
        <v>7143</v>
      </c>
      <c r="N1957" s="513" t="s">
        <v>780</v>
      </c>
      <c r="O1957" s="513" t="s">
        <v>1407</v>
      </c>
      <c r="P1957" s="513" t="s">
        <v>7619</v>
      </c>
      <c r="Q1957" s="518" t="s">
        <v>7101</v>
      </c>
      <c r="R1957" s="152" t="s">
        <v>7620</v>
      </c>
      <c r="S1957" s="152" t="s">
        <v>1515</v>
      </c>
      <c r="T1957" s="152" t="s">
        <v>7621</v>
      </c>
      <c r="U1957" s="152" t="s">
        <v>786</v>
      </c>
    </row>
    <row r="1958" spans="4:21">
      <c r="D1958" s="210"/>
      <c r="G1958" s="152" t="s">
        <v>658</v>
      </c>
      <c r="H1958" s="474" t="s">
        <v>659</v>
      </c>
      <c r="I1958" s="474"/>
      <c r="J1958" s="847">
        <v>-187298</v>
      </c>
      <c r="K1958" s="513">
        <v>-131.9</v>
      </c>
      <c r="L1958" s="513">
        <v>1420</v>
      </c>
      <c r="M1958" s="152" t="s">
        <v>7143</v>
      </c>
      <c r="N1958" s="513" t="s">
        <v>780</v>
      </c>
      <c r="O1958" s="513" t="s">
        <v>1407</v>
      </c>
      <c r="P1958" s="513" t="s">
        <v>7619</v>
      </c>
      <c r="Q1958" s="518" t="s">
        <v>7101</v>
      </c>
      <c r="R1958" s="152" t="s">
        <v>7620</v>
      </c>
      <c r="S1958" s="152" t="s">
        <v>7624</v>
      </c>
      <c r="T1958" s="152" t="s">
        <v>7621</v>
      </c>
      <c r="U1958" s="152" t="s">
        <v>786</v>
      </c>
    </row>
    <row r="1959" spans="4:21">
      <c r="D1959" s="210"/>
      <c r="G1959" s="152" t="s">
        <v>658</v>
      </c>
      <c r="H1959" s="474" t="s">
        <v>659</v>
      </c>
      <c r="I1959" s="474"/>
      <c r="J1959" s="847">
        <v>-68302</v>
      </c>
      <c r="K1959" s="513">
        <v>-48.1</v>
      </c>
      <c r="L1959" s="513">
        <v>1420</v>
      </c>
      <c r="M1959" s="152" t="s">
        <v>7143</v>
      </c>
      <c r="N1959" s="513" t="s">
        <v>780</v>
      </c>
      <c r="O1959" s="513" t="s">
        <v>1407</v>
      </c>
      <c r="P1959" s="513" t="s">
        <v>7619</v>
      </c>
      <c r="Q1959" s="518" t="s">
        <v>7101</v>
      </c>
      <c r="R1959" s="152" t="s">
        <v>7620</v>
      </c>
      <c r="S1959" s="152" t="s">
        <v>7630</v>
      </c>
      <c r="T1959" s="152" t="s">
        <v>7621</v>
      </c>
      <c r="U1959" s="152" t="s">
        <v>786</v>
      </c>
    </row>
    <row r="1960" spans="4:21">
      <c r="D1960" s="210"/>
      <c r="G1960" s="152" t="s">
        <v>658</v>
      </c>
      <c r="H1960" s="474" t="s">
        <v>659</v>
      </c>
      <c r="I1960" s="474"/>
      <c r="J1960" s="847">
        <v>-286513.40000000002</v>
      </c>
      <c r="K1960" s="513">
        <v>-201.77</v>
      </c>
      <c r="L1960" s="513">
        <v>1420</v>
      </c>
      <c r="M1960" s="152" t="s">
        <v>7143</v>
      </c>
      <c r="N1960" s="513" t="s">
        <v>780</v>
      </c>
      <c r="O1960" s="513" t="s">
        <v>1407</v>
      </c>
      <c r="P1960" s="513" t="s">
        <v>7619</v>
      </c>
      <c r="Q1960" s="518" t="s">
        <v>7101</v>
      </c>
      <c r="R1960" s="152" t="s">
        <v>7620</v>
      </c>
      <c r="S1960" s="152" t="s">
        <v>7632</v>
      </c>
      <c r="T1960" s="152" t="s">
        <v>7621</v>
      </c>
      <c r="U1960" s="152" t="s">
        <v>786</v>
      </c>
    </row>
    <row r="1961" spans="4:21">
      <c r="D1961" s="210"/>
      <c r="G1961" s="152" t="s">
        <v>658</v>
      </c>
      <c r="H1961" s="474" t="s">
        <v>659</v>
      </c>
      <c r="I1961" s="474"/>
      <c r="J1961" s="847">
        <v>-2726.4</v>
      </c>
      <c r="K1961" s="513">
        <v>-1.92</v>
      </c>
      <c r="L1961" s="513">
        <v>1420</v>
      </c>
      <c r="M1961" s="152" t="s">
        <v>7143</v>
      </c>
      <c r="N1961" s="513" t="s">
        <v>780</v>
      </c>
      <c r="O1961" s="513" t="s">
        <v>1407</v>
      </c>
      <c r="P1961" s="513" t="s">
        <v>7619</v>
      </c>
      <c r="Q1961" s="518" t="s">
        <v>7101</v>
      </c>
      <c r="R1961" s="152" t="s">
        <v>7620</v>
      </c>
      <c r="S1961" s="152" t="s">
        <v>1515</v>
      </c>
      <c r="T1961" s="152" t="s">
        <v>7621</v>
      </c>
      <c r="U1961" s="152" t="s">
        <v>786</v>
      </c>
    </row>
    <row r="1962" spans="4:21">
      <c r="D1962" s="210"/>
      <c r="G1962" s="152" t="s">
        <v>658</v>
      </c>
      <c r="H1962" s="474" t="s">
        <v>659</v>
      </c>
      <c r="I1962" s="474"/>
      <c r="J1962" s="847">
        <v>-1471460.8</v>
      </c>
      <c r="K1962" s="513">
        <v>-1036.24</v>
      </c>
      <c r="L1962" s="513">
        <v>1420</v>
      </c>
      <c r="M1962" s="152" t="s">
        <v>7143</v>
      </c>
      <c r="N1962" s="513" t="s">
        <v>780</v>
      </c>
      <c r="O1962" s="513" t="s">
        <v>1407</v>
      </c>
      <c r="P1962" s="513" t="s">
        <v>7619</v>
      </c>
      <c r="Q1962" s="518" t="s">
        <v>7101</v>
      </c>
      <c r="R1962" s="152" t="s">
        <v>7620</v>
      </c>
      <c r="S1962" s="152" t="s">
        <v>7636</v>
      </c>
      <c r="T1962" s="152" t="s">
        <v>7621</v>
      </c>
      <c r="U1962" s="152" t="s">
        <v>786</v>
      </c>
    </row>
    <row r="1963" spans="4:21">
      <c r="D1963" s="210"/>
      <c r="G1963" s="152" t="s">
        <v>658</v>
      </c>
      <c r="H1963" s="474" t="s">
        <v>659</v>
      </c>
      <c r="I1963" s="474"/>
      <c r="J1963" s="847">
        <v>-359174.2</v>
      </c>
      <c r="K1963" s="513">
        <v>-255.64</v>
      </c>
      <c r="L1963" s="513">
        <v>1405</v>
      </c>
      <c r="M1963" s="152" t="s">
        <v>7143</v>
      </c>
      <c r="N1963" s="513" t="s">
        <v>780</v>
      </c>
      <c r="O1963" s="513" t="s">
        <v>1407</v>
      </c>
      <c r="P1963" s="513" t="s">
        <v>7619</v>
      </c>
      <c r="Q1963" s="518" t="s">
        <v>7101</v>
      </c>
      <c r="R1963" s="152" t="s">
        <v>7620</v>
      </c>
      <c r="S1963" s="152" t="s">
        <v>7640</v>
      </c>
      <c r="T1963" s="152" t="s">
        <v>7621</v>
      </c>
      <c r="U1963" s="152" t="s">
        <v>786</v>
      </c>
    </row>
    <row r="1964" spans="4:21">
      <c r="D1964" s="210"/>
      <c r="G1964" s="152" t="s">
        <v>658</v>
      </c>
      <c r="H1964" s="474" t="s">
        <v>659</v>
      </c>
      <c r="I1964" s="474"/>
      <c r="J1964" s="847">
        <v>-298214.2</v>
      </c>
      <c r="K1964" s="513">
        <v>-210.01</v>
      </c>
      <c r="L1964" s="513">
        <v>1420</v>
      </c>
      <c r="M1964" s="152" t="s">
        <v>7143</v>
      </c>
      <c r="N1964" s="513" t="s">
        <v>780</v>
      </c>
      <c r="O1964" s="513" t="s">
        <v>1407</v>
      </c>
      <c r="P1964" s="513" t="s">
        <v>7619</v>
      </c>
      <c r="Q1964" s="518" t="s">
        <v>7101</v>
      </c>
      <c r="R1964" s="152" t="s">
        <v>7620</v>
      </c>
      <c r="S1964" s="152" t="s">
        <v>3000</v>
      </c>
      <c r="T1964" s="152" t="s">
        <v>7621</v>
      </c>
      <c r="U1964" s="152" t="s">
        <v>786</v>
      </c>
    </row>
    <row r="1965" spans="4:21">
      <c r="D1965" s="210"/>
      <c r="G1965" s="152" t="s">
        <v>658</v>
      </c>
      <c r="H1965" s="474" t="s">
        <v>659</v>
      </c>
      <c r="I1965" s="474"/>
      <c r="J1965" s="847">
        <v>-2712.2</v>
      </c>
      <c r="K1965" s="513">
        <v>-1.91</v>
      </c>
      <c r="L1965" s="513">
        <v>1420</v>
      </c>
      <c r="M1965" s="152" t="s">
        <v>7143</v>
      </c>
      <c r="N1965" s="513" t="s">
        <v>780</v>
      </c>
      <c r="O1965" s="513" t="s">
        <v>1407</v>
      </c>
      <c r="P1965" s="513" t="s">
        <v>7619</v>
      </c>
      <c r="Q1965" s="518" t="s">
        <v>7101</v>
      </c>
      <c r="R1965" s="152" t="s">
        <v>7620</v>
      </c>
      <c r="S1965" s="152" t="s">
        <v>1515</v>
      </c>
      <c r="T1965" s="152" t="s">
        <v>7621</v>
      </c>
      <c r="U1965" s="152" t="s">
        <v>786</v>
      </c>
    </row>
    <row r="1966" spans="4:21">
      <c r="D1966" s="210"/>
      <c r="G1966" s="152" t="s">
        <v>658</v>
      </c>
      <c r="H1966" s="474" t="s">
        <v>659</v>
      </c>
      <c r="I1966" s="474"/>
      <c r="J1966" s="847">
        <v>-175128.6</v>
      </c>
      <c r="K1966" s="513">
        <v>-123.33</v>
      </c>
      <c r="L1966" s="513">
        <v>1420</v>
      </c>
      <c r="M1966" s="152" t="s">
        <v>7143</v>
      </c>
      <c r="N1966" s="513" t="s">
        <v>780</v>
      </c>
      <c r="O1966" s="513" t="s">
        <v>1407</v>
      </c>
      <c r="P1966" s="513" t="s">
        <v>7619</v>
      </c>
      <c r="Q1966" s="518" t="s">
        <v>7101</v>
      </c>
      <c r="R1966" s="152" t="s">
        <v>7620</v>
      </c>
      <c r="S1966" s="152" t="s">
        <v>7638</v>
      </c>
      <c r="T1966" s="152" t="s">
        <v>7621</v>
      </c>
      <c r="U1966" s="152" t="s">
        <v>786</v>
      </c>
    </row>
    <row r="1967" spans="4:21">
      <c r="D1967" s="210"/>
      <c r="G1967" s="152" t="s">
        <v>658</v>
      </c>
      <c r="H1967" s="474" t="s">
        <v>659</v>
      </c>
      <c r="I1967" s="474"/>
      <c r="J1967" s="847">
        <v>-915540.15</v>
      </c>
      <c r="K1967" s="513">
        <v>-651.63</v>
      </c>
      <c r="L1967" s="513">
        <v>1405</v>
      </c>
      <c r="M1967" s="152" t="s">
        <v>7143</v>
      </c>
      <c r="N1967" s="513" t="s">
        <v>780</v>
      </c>
      <c r="O1967" s="513" t="s">
        <v>1407</v>
      </c>
      <c r="P1967" s="513" t="s">
        <v>7619</v>
      </c>
      <c r="Q1967" s="518" t="s">
        <v>7101</v>
      </c>
      <c r="R1967" s="152" t="s">
        <v>7620</v>
      </c>
      <c r="S1967" s="152" t="s">
        <v>7639</v>
      </c>
      <c r="T1967" s="152" t="s">
        <v>7621</v>
      </c>
      <c r="U1967" s="152" t="s">
        <v>786</v>
      </c>
    </row>
    <row r="1968" spans="4:21">
      <c r="D1968" s="210"/>
      <c r="G1968" s="152" t="s">
        <v>658</v>
      </c>
      <c r="H1968" s="474" t="s">
        <v>659</v>
      </c>
      <c r="I1968" s="474"/>
      <c r="J1968" s="847">
        <v>-2669.5</v>
      </c>
      <c r="K1968" s="513">
        <v>-1.9</v>
      </c>
      <c r="L1968" s="513">
        <v>1405</v>
      </c>
      <c r="M1968" s="152" t="s">
        <v>7143</v>
      </c>
      <c r="N1968" s="513" t="s">
        <v>780</v>
      </c>
      <c r="O1968" s="513" t="s">
        <v>1407</v>
      </c>
      <c r="P1968" s="513" t="s">
        <v>7619</v>
      </c>
      <c r="Q1968" s="518" t="s">
        <v>7101</v>
      </c>
      <c r="R1968" s="152" t="s">
        <v>7620</v>
      </c>
      <c r="S1968" s="152" t="s">
        <v>1515</v>
      </c>
      <c r="T1968" s="152" t="s">
        <v>7621</v>
      </c>
      <c r="U1968" s="152" t="s">
        <v>786</v>
      </c>
    </row>
    <row r="1969" spans="4:21">
      <c r="D1969" s="210"/>
      <c r="G1969" s="152" t="s">
        <v>658</v>
      </c>
      <c r="H1969" s="474" t="s">
        <v>659</v>
      </c>
      <c r="I1969" s="474"/>
      <c r="J1969" s="847">
        <v>-2697.6</v>
      </c>
      <c r="K1969" s="513">
        <v>-1.92</v>
      </c>
      <c r="L1969" s="513">
        <v>1405</v>
      </c>
      <c r="M1969" s="152" t="s">
        <v>7143</v>
      </c>
      <c r="N1969" s="513" t="s">
        <v>780</v>
      </c>
      <c r="O1969" s="513" t="s">
        <v>1407</v>
      </c>
      <c r="P1969" s="513" t="s">
        <v>7619</v>
      </c>
      <c r="Q1969" s="518" t="s">
        <v>7101</v>
      </c>
      <c r="R1969" s="152" t="s">
        <v>7620</v>
      </c>
      <c r="S1969" s="152" t="s">
        <v>1515</v>
      </c>
      <c r="T1969" s="152" t="s">
        <v>7621</v>
      </c>
      <c r="U1969" s="152" t="s">
        <v>786</v>
      </c>
    </row>
    <row r="1970" spans="4:21">
      <c r="D1970" s="210"/>
      <c r="G1970" s="152" t="s">
        <v>658</v>
      </c>
      <c r="H1970" s="474" t="s">
        <v>659</v>
      </c>
      <c r="I1970" s="474"/>
      <c r="J1970" s="847">
        <v>-167265.25</v>
      </c>
      <c r="K1970" s="513">
        <v>-119.05</v>
      </c>
      <c r="L1970" s="513">
        <v>1405</v>
      </c>
      <c r="M1970" s="152" t="s">
        <v>7143</v>
      </c>
      <c r="N1970" s="513" t="s">
        <v>780</v>
      </c>
      <c r="O1970" s="513" t="s">
        <v>1407</v>
      </c>
      <c r="P1970" s="513" t="s">
        <v>7619</v>
      </c>
      <c r="Q1970" s="518" t="s">
        <v>7101</v>
      </c>
      <c r="R1970" s="152" t="s">
        <v>7620</v>
      </c>
      <c r="S1970" s="152" t="s">
        <v>7623</v>
      </c>
      <c r="T1970" s="152" t="s">
        <v>7621</v>
      </c>
      <c r="U1970" s="152" t="s">
        <v>786</v>
      </c>
    </row>
    <row r="1971" spans="4:21">
      <c r="D1971" s="210"/>
      <c r="G1971" s="152" t="s">
        <v>658</v>
      </c>
      <c r="H1971" s="474" t="s">
        <v>659</v>
      </c>
      <c r="I1971" s="474"/>
      <c r="J1971" s="847">
        <v>-448967.75</v>
      </c>
      <c r="K1971" s="513">
        <v>-319.55</v>
      </c>
      <c r="L1971" s="513">
        <v>1405</v>
      </c>
      <c r="M1971" s="152" t="s">
        <v>7143</v>
      </c>
      <c r="N1971" s="513" t="s">
        <v>780</v>
      </c>
      <c r="O1971" s="513" t="s">
        <v>1407</v>
      </c>
      <c r="P1971" s="513" t="s">
        <v>7619</v>
      </c>
      <c r="Q1971" s="518" t="s">
        <v>7101</v>
      </c>
      <c r="R1971" s="152" t="s">
        <v>7620</v>
      </c>
      <c r="S1971" s="152" t="s">
        <v>7642</v>
      </c>
      <c r="T1971" s="152" t="s">
        <v>7621</v>
      </c>
      <c r="U1971" s="152" t="s">
        <v>786</v>
      </c>
    </row>
    <row r="1972" spans="4:21">
      <c r="D1972" s="210"/>
      <c r="G1972" s="152" t="s">
        <v>658</v>
      </c>
      <c r="H1972" s="474" t="s">
        <v>659</v>
      </c>
      <c r="I1972" s="474"/>
      <c r="J1972" s="847">
        <v>-359174.2</v>
      </c>
      <c r="K1972" s="513">
        <v>-255.64</v>
      </c>
      <c r="L1972" s="513">
        <v>1405</v>
      </c>
      <c r="M1972" s="152" t="s">
        <v>7143</v>
      </c>
      <c r="N1972" s="513" t="s">
        <v>780</v>
      </c>
      <c r="O1972" s="513" t="s">
        <v>1407</v>
      </c>
      <c r="P1972" s="513" t="s">
        <v>7619</v>
      </c>
      <c r="Q1972" s="518" t="s">
        <v>7101</v>
      </c>
      <c r="R1972" s="152" t="s">
        <v>7620</v>
      </c>
      <c r="S1972" s="152" t="s">
        <v>7631</v>
      </c>
      <c r="T1972" s="152" t="s">
        <v>7621</v>
      </c>
      <c r="U1972" s="152" t="s">
        <v>786</v>
      </c>
    </row>
    <row r="1973" spans="4:21">
      <c r="D1973" s="210"/>
      <c r="G1973" s="152" t="s">
        <v>658</v>
      </c>
      <c r="H1973" s="474" t="s">
        <v>659</v>
      </c>
      <c r="I1973" s="474"/>
      <c r="J1973" s="847">
        <v>-448967.75</v>
      </c>
      <c r="K1973" s="513">
        <v>-319.55</v>
      </c>
      <c r="L1973" s="513">
        <v>1405</v>
      </c>
      <c r="M1973" s="152" t="s">
        <v>7143</v>
      </c>
      <c r="N1973" s="513" t="s">
        <v>780</v>
      </c>
      <c r="O1973" s="513" t="s">
        <v>1407</v>
      </c>
      <c r="P1973" s="513" t="s">
        <v>7619</v>
      </c>
      <c r="Q1973" s="518" t="s">
        <v>7101</v>
      </c>
      <c r="R1973" s="152" t="s">
        <v>7620</v>
      </c>
      <c r="S1973" s="152" t="s">
        <v>7643</v>
      </c>
      <c r="T1973" s="152" t="s">
        <v>7621</v>
      </c>
      <c r="U1973" s="152" t="s">
        <v>786</v>
      </c>
    </row>
    <row r="1974" spans="4:21">
      <c r="D1974" s="210"/>
      <c r="G1974" s="152" t="s">
        <v>658</v>
      </c>
      <c r="H1974" s="474" t="s">
        <v>659</v>
      </c>
      <c r="I1974" s="474"/>
      <c r="J1974" s="847">
        <v>-2697.6</v>
      </c>
      <c r="K1974" s="513">
        <v>-1.92</v>
      </c>
      <c r="L1974" s="513">
        <v>1405</v>
      </c>
      <c r="M1974" s="152" t="s">
        <v>7143</v>
      </c>
      <c r="N1974" s="513" t="s">
        <v>780</v>
      </c>
      <c r="O1974" s="513" t="s">
        <v>1407</v>
      </c>
      <c r="P1974" s="513" t="s">
        <v>7619</v>
      </c>
      <c r="Q1974" s="518" t="s">
        <v>7101</v>
      </c>
      <c r="R1974" s="152" t="s">
        <v>7620</v>
      </c>
      <c r="S1974" s="152" t="s">
        <v>1515</v>
      </c>
      <c r="T1974" s="152" t="s">
        <v>7621</v>
      </c>
      <c r="U1974" s="152" t="s">
        <v>786</v>
      </c>
    </row>
    <row r="1975" spans="4:21">
      <c r="D1975" s="210"/>
      <c r="G1975" s="152" t="s">
        <v>658</v>
      </c>
      <c r="H1975" s="474" t="s">
        <v>659</v>
      </c>
      <c r="I1975" s="474"/>
      <c r="J1975" s="847">
        <v>-598628.35</v>
      </c>
      <c r="K1975" s="513">
        <v>-426.07</v>
      </c>
      <c r="L1975" s="513">
        <v>1405</v>
      </c>
      <c r="M1975" s="152" t="s">
        <v>7143</v>
      </c>
      <c r="N1975" s="513" t="s">
        <v>780</v>
      </c>
      <c r="O1975" s="513" t="s">
        <v>1407</v>
      </c>
      <c r="P1975" s="513" t="s">
        <v>7619</v>
      </c>
      <c r="Q1975" s="518" t="s">
        <v>7101</v>
      </c>
      <c r="R1975" s="152" t="s">
        <v>7620</v>
      </c>
      <c r="S1975" s="152" t="s">
        <v>7626</v>
      </c>
      <c r="T1975" s="152" t="s">
        <v>7621</v>
      </c>
      <c r="U1975" s="152" t="s">
        <v>786</v>
      </c>
    </row>
    <row r="1976" spans="4:21">
      <c r="D1976" s="210"/>
      <c r="G1976" s="152" t="s">
        <v>658</v>
      </c>
      <c r="H1976" s="474" t="s">
        <v>659</v>
      </c>
      <c r="I1976" s="474"/>
      <c r="J1976" s="847">
        <v>-269380.65000000002</v>
      </c>
      <c r="K1976" s="513">
        <v>-191.73</v>
      </c>
      <c r="L1976" s="513">
        <v>1405</v>
      </c>
      <c r="M1976" s="152" t="s">
        <v>7143</v>
      </c>
      <c r="N1976" s="513" t="s">
        <v>780</v>
      </c>
      <c r="O1976" s="513" t="s">
        <v>1407</v>
      </c>
      <c r="P1976" s="513" t="s">
        <v>7619</v>
      </c>
      <c r="Q1976" s="518" t="s">
        <v>7101</v>
      </c>
      <c r="R1976" s="152" t="s">
        <v>7620</v>
      </c>
      <c r="S1976" s="152" t="s">
        <v>7635</v>
      </c>
      <c r="T1976" s="152" t="s">
        <v>7621</v>
      </c>
      <c r="U1976" s="152" t="s">
        <v>786</v>
      </c>
    </row>
    <row r="1977" spans="4:21">
      <c r="D1977" s="210"/>
      <c r="G1977" s="152" t="s">
        <v>658</v>
      </c>
      <c r="H1977" s="474" t="s">
        <v>659</v>
      </c>
      <c r="I1977" s="474"/>
      <c r="J1977" s="847">
        <v>-2697.6</v>
      </c>
      <c r="K1977" s="513">
        <v>-1.92</v>
      </c>
      <c r="L1977" s="513">
        <v>1405</v>
      </c>
      <c r="M1977" s="152" t="s">
        <v>7143</v>
      </c>
      <c r="N1977" s="513" t="s">
        <v>780</v>
      </c>
      <c r="O1977" s="513" t="s">
        <v>1407</v>
      </c>
      <c r="P1977" s="513" t="s">
        <v>7619</v>
      </c>
      <c r="Q1977" s="518" t="s">
        <v>7101</v>
      </c>
      <c r="R1977" s="152" t="s">
        <v>7620</v>
      </c>
      <c r="S1977" s="152" t="s">
        <v>1515</v>
      </c>
      <c r="T1977" s="152" t="s">
        <v>7621</v>
      </c>
      <c r="U1977" s="152" t="s">
        <v>786</v>
      </c>
    </row>
    <row r="1978" spans="4:21">
      <c r="D1978" s="210"/>
      <c r="G1978" s="152" t="s">
        <v>658</v>
      </c>
      <c r="H1978" s="474" t="s">
        <v>659</v>
      </c>
      <c r="I1978" s="474"/>
      <c r="J1978" s="847">
        <v>-2697.6</v>
      </c>
      <c r="K1978" s="513">
        <v>-1.92</v>
      </c>
      <c r="L1978" s="513">
        <v>1405</v>
      </c>
      <c r="M1978" s="152" t="s">
        <v>7143</v>
      </c>
      <c r="N1978" s="513" t="s">
        <v>780</v>
      </c>
      <c r="O1978" s="513" t="s">
        <v>1407</v>
      </c>
      <c r="P1978" s="513" t="s">
        <v>7619</v>
      </c>
      <c r="Q1978" s="518" t="s">
        <v>7101</v>
      </c>
      <c r="R1978" s="152" t="s">
        <v>7620</v>
      </c>
      <c r="S1978" s="152" t="s">
        <v>1515</v>
      </c>
      <c r="T1978" s="152" t="s">
        <v>7621</v>
      </c>
      <c r="U1978" s="152" t="s">
        <v>786</v>
      </c>
    </row>
    <row r="1979" spans="4:21">
      <c r="D1979" s="210"/>
      <c r="G1979" s="152" t="s">
        <v>658</v>
      </c>
      <c r="H1979" s="474" t="s">
        <v>659</v>
      </c>
      <c r="I1979" s="474"/>
      <c r="J1979" s="847">
        <v>-640876.69999999995</v>
      </c>
      <c r="K1979" s="513">
        <v>-456.14</v>
      </c>
      <c r="L1979" s="513">
        <v>1405</v>
      </c>
      <c r="M1979" s="152" t="s">
        <v>7143</v>
      </c>
      <c r="N1979" s="513" t="s">
        <v>780</v>
      </c>
      <c r="O1979" s="513" t="s">
        <v>1407</v>
      </c>
      <c r="P1979" s="513" t="s">
        <v>7619</v>
      </c>
      <c r="Q1979" s="518" t="s">
        <v>7101</v>
      </c>
      <c r="R1979" s="152" t="s">
        <v>7620</v>
      </c>
      <c r="S1979" s="152" t="s">
        <v>7633</v>
      </c>
      <c r="T1979" s="152" t="s">
        <v>7621</v>
      </c>
      <c r="U1979" s="152" t="s">
        <v>786</v>
      </c>
    </row>
    <row r="1980" spans="4:21">
      <c r="D1980" s="210"/>
      <c r="G1980" s="152" t="s">
        <v>658</v>
      </c>
      <c r="H1980" s="474" t="s">
        <v>659</v>
      </c>
      <c r="I1980" s="474"/>
      <c r="J1980" s="847">
        <v>-2697.6</v>
      </c>
      <c r="K1980" s="513">
        <v>-1.92</v>
      </c>
      <c r="L1980" s="513">
        <v>1405</v>
      </c>
      <c r="M1980" s="152" t="s">
        <v>7143</v>
      </c>
      <c r="N1980" s="513" t="s">
        <v>780</v>
      </c>
      <c r="O1980" s="513" t="s">
        <v>1407</v>
      </c>
      <c r="P1980" s="513" t="s">
        <v>7619</v>
      </c>
      <c r="Q1980" s="518" t="s">
        <v>7101</v>
      </c>
      <c r="R1980" s="152" t="s">
        <v>7620</v>
      </c>
      <c r="S1980" s="152" t="s">
        <v>1515</v>
      </c>
      <c r="T1980" s="152" t="s">
        <v>7621</v>
      </c>
      <c r="U1980" s="152" t="s">
        <v>786</v>
      </c>
    </row>
    <row r="1981" spans="4:21">
      <c r="D1981" s="210"/>
      <c r="G1981" s="152" t="s">
        <v>658</v>
      </c>
      <c r="H1981" s="474" t="s">
        <v>659</v>
      </c>
      <c r="I1981" s="474"/>
      <c r="J1981" s="847">
        <v>-2669.5</v>
      </c>
      <c r="K1981" s="513">
        <v>-1.9</v>
      </c>
      <c r="L1981" s="513">
        <v>1405</v>
      </c>
      <c r="M1981" s="152" t="s">
        <v>7143</v>
      </c>
      <c r="N1981" s="513" t="s">
        <v>780</v>
      </c>
      <c r="O1981" s="513" t="s">
        <v>1407</v>
      </c>
      <c r="P1981" s="513" t="s">
        <v>7619</v>
      </c>
      <c r="Q1981" s="518" t="s">
        <v>7101</v>
      </c>
      <c r="R1981" s="152" t="s">
        <v>7620</v>
      </c>
      <c r="S1981" s="152" t="s">
        <v>1515</v>
      </c>
      <c r="T1981" s="152" t="s">
        <v>7621</v>
      </c>
      <c r="U1981" s="152" t="s">
        <v>786</v>
      </c>
    </row>
    <row r="1982" spans="4:21">
      <c r="D1982" s="210"/>
      <c r="G1982" s="152" t="s">
        <v>658</v>
      </c>
      <c r="H1982" s="474" t="s">
        <v>659</v>
      </c>
      <c r="I1982" s="474"/>
      <c r="J1982" s="847">
        <v>-600033.35</v>
      </c>
      <c r="K1982" s="513">
        <v>-427.07</v>
      </c>
      <c r="L1982" s="513">
        <v>1405</v>
      </c>
      <c r="M1982" s="152" t="s">
        <v>7143</v>
      </c>
      <c r="N1982" s="513" t="s">
        <v>780</v>
      </c>
      <c r="O1982" s="513" t="s">
        <v>1407</v>
      </c>
      <c r="P1982" s="513" t="s">
        <v>7619</v>
      </c>
      <c r="Q1982" s="518" t="s">
        <v>7101</v>
      </c>
      <c r="R1982" s="152" t="s">
        <v>7620</v>
      </c>
      <c r="S1982" s="152" t="s">
        <v>7644</v>
      </c>
      <c r="T1982" s="152" t="s">
        <v>7621</v>
      </c>
      <c r="U1982" s="152" t="s">
        <v>786</v>
      </c>
    </row>
    <row r="1983" spans="4:21">
      <c r="D1983" s="210"/>
      <c r="G1983" s="152" t="s">
        <v>658</v>
      </c>
      <c r="H1983" s="474" t="s">
        <v>659</v>
      </c>
      <c r="I1983" s="474"/>
      <c r="J1983" s="847">
        <v>-2697.6</v>
      </c>
      <c r="K1983" s="513">
        <v>-1.92</v>
      </c>
      <c r="L1983" s="513">
        <v>1405</v>
      </c>
      <c r="M1983" s="152" t="s">
        <v>7143</v>
      </c>
      <c r="N1983" s="513" t="s">
        <v>780</v>
      </c>
      <c r="O1983" s="513" t="s">
        <v>1407</v>
      </c>
      <c r="P1983" s="513" t="s">
        <v>7619</v>
      </c>
      <c r="Q1983" s="518" t="s">
        <v>7101</v>
      </c>
      <c r="R1983" s="152" t="s">
        <v>7620</v>
      </c>
      <c r="S1983" s="152" t="s">
        <v>1515</v>
      </c>
      <c r="T1983" s="152" t="s">
        <v>7621</v>
      </c>
      <c r="U1983" s="152" t="s">
        <v>786</v>
      </c>
    </row>
    <row r="1984" spans="4:21">
      <c r="D1984" s="210"/>
      <c r="G1984" s="152" t="s">
        <v>658</v>
      </c>
      <c r="H1984" s="474" t="s">
        <v>659</v>
      </c>
      <c r="I1984" s="474"/>
      <c r="J1984" s="847">
        <v>-129433</v>
      </c>
      <c r="K1984" s="513">
        <v>-91.15</v>
      </c>
      <c r="L1984" s="513">
        <v>1420</v>
      </c>
      <c r="M1984" s="152" t="s">
        <v>7143</v>
      </c>
      <c r="N1984" s="513" t="s">
        <v>780</v>
      </c>
      <c r="O1984" s="513" t="s">
        <v>1407</v>
      </c>
      <c r="P1984" s="513" t="s">
        <v>7619</v>
      </c>
      <c r="Q1984" s="518" t="s">
        <v>7101</v>
      </c>
      <c r="R1984" s="152" t="s">
        <v>7620</v>
      </c>
      <c r="S1984" s="152" t="s">
        <v>7629</v>
      </c>
      <c r="T1984" s="152" t="s">
        <v>7621</v>
      </c>
      <c r="U1984" s="152" t="s">
        <v>786</v>
      </c>
    </row>
    <row r="1985" spans="4:21">
      <c r="D1985" s="210"/>
      <c r="G1985" s="152" t="s">
        <v>658</v>
      </c>
      <c r="H1985" s="474" t="s">
        <v>659</v>
      </c>
      <c r="I1985" s="474"/>
      <c r="J1985" s="847">
        <v>-209513.60000000001</v>
      </c>
      <c r="K1985" s="513">
        <v>-149.12</v>
      </c>
      <c r="L1985" s="513">
        <v>1405</v>
      </c>
      <c r="M1985" s="152" t="s">
        <v>7143</v>
      </c>
      <c r="N1985" s="513" t="s">
        <v>780</v>
      </c>
      <c r="O1985" s="513" t="s">
        <v>1407</v>
      </c>
      <c r="P1985" s="513" t="s">
        <v>7619</v>
      </c>
      <c r="Q1985" s="518" t="s">
        <v>7101</v>
      </c>
      <c r="R1985" s="152" t="s">
        <v>7620</v>
      </c>
      <c r="S1985" s="152" t="s">
        <v>7645</v>
      </c>
      <c r="T1985" s="152" t="s">
        <v>7621</v>
      </c>
      <c r="U1985" s="152" t="s">
        <v>786</v>
      </c>
    </row>
    <row r="1986" spans="4:21">
      <c r="D1986" s="210"/>
      <c r="G1986" s="152" t="s">
        <v>658</v>
      </c>
      <c r="H1986" s="474" t="s">
        <v>659</v>
      </c>
      <c r="I1986" s="474"/>
      <c r="J1986" s="847">
        <v>-179587.1</v>
      </c>
      <c r="K1986" s="513">
        <v>-127.82</v>
      </c>
      <c r="L1986" s="513">
        <v>1405</v>
      </c>
      <c r="M1986" s="152" t="s">
        <v>7143</v>
      </c>
      <c r="N1986" s="513" t="s">
        <v>780</v>
      </c>
      <c r="O1986" s="513" t="s">
        <v>1407</v>
      </c>
      <c r="P1986" s="513" t="s">
        <v>7619</v>
      </c>
      <c r="Q1986" s="518" t="s">
        <v>7101</v>
      </c>
      <c r="R1986" s="152" t="s">
        <v>7620</v>
      </c>
      <c r="S1986" s="152" t="s">
        <v>7622</v>
      </c>
      <c r="T1986" s="152" t="s">
        <v>7621</v>
      </c>
      <c r="U1986" s="152" t="s">
        <v>786</v>
      </c>
    </row>
    <row r="1987" spans="4:21">
      <c r="D1987" s="210"/>
      <c r="G1987" s="152" t="s">
        <v>658</v>
      </c>
      <c r="H1987" s="474" t="s">
        <v>659</v>
      </c>
      <c r="I1987" s="474"/>
      <c r="J1987" s="847">
        <v>-29926.5</v>
      </c>
      <c r="K1987" s="513">
        <v>-21.3</v>
      </c>
      <c r="L1987" s="513">
        <v>1405</v>
      </c>
      <c r="M1987" s="152" t="s">
        <v>7143</v>
      </c>
      <c r="N1987" s="513" t="s">
        <v>780</v>
      </c>
      <c r="O1987" s="513" t="s">
        <v>1407</v>
      </c>
      <c r="P1987" s="513" t="s">
        <v>7619</v>
      </c>
      <c r="Q1987" s="518" t="s">
        <v>7101</v>
      </c>
      <c r="R1987" s="152" t="s">
        <v>7620</v>
      </c>
      <c r="S1987" s="152" t="s">
        <v>7628</v>
      </c>
      <c r="T1987" s="152" t="s">
        <v>7621</v>
      </c>
      <c r="U1987" s="152" t="s">
        <v>786</v>
      </c>
    </row>
    <row r="1988" spans="4:21">
      <c r="D1988" s="210"/>
      <c r="G1988" s="152" t="s">
        <v>658</v>
      </c>
      <c r="H1988" s="474" t="s">
        <v>659</v>
      </c>
      <c r="I1988" s="474"/>
      <c r="J1988" s="847">
        <v>-2697.6</v>
      </c>
      <c r="K1988" s="513">
        <v>-1.92</v>
      </c>
      <c r="L1988" s="513">
        <v>1405</v>
      </c>
      <c r="M1988" s="152" t="s">
        <v>7143</v>
      </c>
      <c r="N1988" s="513" t="s">
        <v>780</v>
      </c>
      <c r="O1988" s="513" t="s">
        <v>1407</v>
      </c>
      <c r="P1988" s="513" t="s">
        <v>7619</v>
      </c>
      <c r="Q1988" s="518" t="s">
        <v>7101</v>
      </c>
      <c r="R1988" s="152" t="s">
        <v>7620</v>
      </c>
      <c r="S1988" s="152" t="s">
        <v>1515</v>
      </c>
      <c r="T1988" s="152" t="s">
        <v>7621</v>
      </c>
      <c r="U1988" s="152" t="s">
        <v>786</v>
      </c>
    </row>
    <row r="1989" spans="4:21">
      <c r="D1989" s="210"/>
      <c r="G1989" s="152" t="s">
        <v>658</v>
      </c>
      <c r="H1989" s="474" t="s">
        <v>659</v>
      </c>
      <c r="I1989" s="474"/>
      <c r="J1989" s="847">
        <v>-2697.6</v>
      </c>
      <c r="K1989" s="513">
        <v>-1.92</v>
      </c>
      <c r="L1989" s="513">
        <v>1405</v>
      </c>
      <c r="M1989" s="152" t="s">
        <v>7143</v>
      </c>
      <c r="N1989" s="513" t="s">
        <v>780</v>
      </c>
      <c r="O1989" s="513" t="s">
        <v>1407</v>
      </c>
      <c r="P1989" s="513" t="s">
        <v>7619</v>
      </c>
      <c r="Q1989" s="518" t="s">
        <v>7101</v>
      </c>
      <c r="R1989" s="152" t="s">
        <v>7620</v>
      </c>
      <c r="S1989" s="152" t="s">
        <v>1515</v>
      </c>
      <c r="T1989" s="152" t="s">
        <v>7621</v>
      </c>
      <c r="U1989" s="152" t="s">
        <v>786</v>
      </c>
    </row>
    <row r="1990" spans="4:21">
      <c r="D1990" s="210"/>
      <c r="G1990" s="152" t="s">
        <v>658</v>
      </c>
      <c r="H1990" s="474" t="s">
        <v>659</v>
      </c>
      <c r="I1990" s="474"/>
      <c r="J1990" s="847">
        <v>-209513.60000000001</v>
      </c>
      <c r="K1990" s="513">
        <v>-149.12</v>
      </c>
      <c r="L1990" s="513">
        <v>1405</v>
      </c>
      <c r="M1990" s="152" t="s">
        <v>7143</v>
      </c>
      <c r="N1990" s="513" t="s">
        <v>780</v>
      </c>
      <c r="O1990" s="513" t="s">
        <v>1407</v>
      </c>
      <c r="P1990" s="513" t="s">
        <v>7619</v>
      </c>
      <c r="Q1990" s="518" t="s">
        <v>7101</v>
      </c>
      <c r="R1990" s="152" t="s">
        <v>7620</v>
      </c>
      <c r="S1990" s="152" t="s">
        <v>7627</v>
      </c>
      <c r="T1990" s="152" t="s">
        <v>7621</v>
      </c>
      <c r="U1990" s="152" t="s">
        <v>786</v>
      </c>
    </row>
    <row r="1991" spans="4:21">
      <c r="D1991" s="210"/>
      <c r="G1991" s="152" t="s">
        <v>658</v>
      </c>
      <c r="H1991" s="474" t="s">
        <v>659</v>
      </c>
      <c r="I1991" s="474"/>
      <c r="J1991" s="847">
        <v>-478894.25</v>
      </c>
      <c r="K1991" s="513">
        <v>-340.85</v>
      </c>
      <c r="L1991" s="513">
        <v>1405</v>
      </c>
      <c r="M1991" s="152" t="s">
        <v>7143</v>
      </c>
      <c r="N1991" s="513" t="s">
        <v>780</v>
      </c>
      <c r="O1991" s="513" t="s">
        <v>1407</v>
      </c>
      <c r="P1991" s="513" t="s">
        <v>7619</v>
      </c>
      <c r="Q1991" s="518" t="s">
        <v>7101</v>
      </c>
      <c r="R1991" s="152" t="s">
        <v>7620</v>
      </c>
      <c r="S1991" s="152" t="s">
        <v>7625</v>
      </c>
      <c r="T1991" s="152" t="s">
        <v>7621</v>
      </c>
      <c r="U1991" s="152" t="s">
        <v>786</v>
      </c>
    </row>
    <row r="1992" spans="4:21">
      <c r="D1992" s="210"/>
      <c r="G1992" s="152" t="s">
        <v>658</v>
      </c>
      <c r="H1992" s="474" t="s">
        <v>659</v>
      </c>
      <c r="I1992" s="474"/>
      <c r="J1992" s="847">
        <v>-2697.6</v>
      </c>
      <c r="K1992" s="513">
        <v>-1.92</v>
      </c>
      <c r="L1992" s="513">
        <v>1405</v>
      </c>
      <c r="M1992" s="152" t="s">
        <v>7143</v>
      </c>
      <c r="N1992" s="513" t="s">
        <v>780</v>
      </c>
      <c r="O1992" s="513" t="s">
        <v>1407</v>
      </c>
      <c r="P1992" s="513" t="s">
        <v>7619</v>
      </c>
      <c r="Q1992" s="518" t="s">
        <v>7101</v>
      </c>
      <c r="R1992" s="152" t="s">
        <v>7620</v>
      </c>
      <c r="S1992" s="152" t="s">
        <v>1515</v>
      </c>
      <c r="T1992" s="152" t="s">
        <v>7621</v>
      </c>
      <c r="U1992" s="152" t="s">
        <v>786</v>
      </c>
    </row>
    <row r="1993" spans="4:21">
      <c r="D1993" s="210"/>
      <c r="G1993" s="152" t="s">
        <v>658</v>
      </c>
      <c r="H1993" s="474" t="s">
        <v>659</v>
      </c>
      <c r="I1993" s="474"/>
      <c r="J1993" s="847">
        <v>-299307.15000000002</v>
      </c>
      <c r="K1993" s="513">
        <v>-213.03</v>
      </c>
      <c r="L1993" s="513">
        <v>1405</v>
      </c>
      <c r="M1993" s="152" t="s">
        <v>7143</v>
      </c>
      <c r="N1993" s="513" t="s">
        <v>780</v>
      </c>
      <c r="O1993" s="513" t="s">
        <v>1407</v>
      </c>
      <c r="P1993" s="513" t="s">
        <v>7619</v>
      </c>
      <c r="Q1993" s="518" t="s">
        <v>7101</v>
      </c>
      <c r="R1993" s="152" t="s">
        <v>7620</v>
      </c>
      <c r="S1993" s="152" t="s">
        <v>7626</v>
      </c>
      <c r="T1993" s="152" t="s">
        <v>7621</v>
      </c>
      <c r="U1993" s="152" t="s">
        <v>786</v>
      </c>
    </row>
    <row r="1994" spans="4:21">
      <c r="D1994" s="210"/>
      <c r="G1994" s="152" t="s">
        <v>658</v>
      </c>
      <c r="H1994" s="474" t="s">
        <v>659</v>
      </c>
      <c r="I1994" s="474"/>
      <c r="J1994" s="847">
        <v>-2697.6</v>
      </c>
      <c r="K1994" s="513">
        <v>-1.92</v>
      </c>
      <c r="L1994" s="513">
        <v>1405</v>
      </c>
      <c r="M1994" s="152" t="s">
        <v>7143</v>
      </c>
      <c r="N1994" s="513" t="s">
        <v>780</v>
      </c>
      <c r="O1994" s="513" t="s">
        <v>1407</v>
      </c>
      <c r="P1994" s="513" t="s">
        <v>7619</v>
      </c>
      <c r="Q1994" s="518" t="s">
        <v>7101</v>
      </c>
      <c r="R1994" s="152" t="s">
        <v>7620</v>
      </c>
      <c r="S1994" s="152" t="s">
        <v>1515</v>
      </c>
      <c r="T1994" s="152" t="s">
        <v>7621</v>
      </c>
      <c r="U1994" s="152" t="s">
        <v>786</v>
      </c>
    </row>
    <row r="1995" spans="4:21">
      <c r="D1995" s="210"/>
      <c r="G1995" s="152" t="s">
        <v>658</v>
      </c>
      <c r="H1995" s="474" t="s">
        <v>659</v>
      </c>
      <c r="I1995" s="474"/>
      <c r="J1995" s="847">
        <v>-199055.6</v>
      </c>
      <c r="K1995" s="513">
        <v>-140.18</v>
      </c>
      <c r="L1995" s="513">
        <v>1420</v>
      </c>
      <c r="M1995" s="152" t="s">
        <v>7143</v>
      </c>
      <c r="N1995" s="513" t="s">
        <v>780</v>
      </c>
      <c r="O1995" s="513" t="s">
        <v>1407</v>
      </c>
      <c r="P1995" s="513" t="s">
        <v>7619</v>
      </c>
      <c r="Q1995" s="518" t="s">
        <v>7101</v>
      </c>
      <c r="R1995" s="152" t="s">
        <v>7620</v>
      </c>
      <c r="S1995" s="152" t="s">
        <v>7634</v>
      </c>
      <c r="T1995" s="152" t="s">
        <v>7621</v>
      </c>
      <c r="U1995" s="152" t="s">
        <v>786</v>
      </c>
    </row>
    <row r="1996" spans="4:21">
      <c r="D1996" s="210"/>
      <c r="G1996" s="152" t="s">
        <v>658</v>
      </c>
      <c r="H1996" s="474" t="s">
        <v>659</v>
      </c>
      <c r="I1996" s="474"/>
      <c r="J1996" s="847">
        <v>-539926.6</v>
      </c>
      <c r="K1996" s="513">
        <v>-380.23</v>
      </c>
      <c r="L1996" s="513">
        <v>1420</v>
      </c>
      <c r="M1996" s="152" t="s">
        <v>7143</v>
      </c>
      <c r="N1996" s="513" t="s">
        <v>780</v>
      </c>
      <c r="O1996" s="513" t="s">
        <v>1407</v>
      </c>
      <c r="P1996" s="513" t="s">
        <v>7619</v>
      </c>
      <c r="Q1996" s="518" t="s">
        <v>7101</v>
      </c>
      <c r="R1996" s="152" t="s">
        <v>7620</v>
      </c>
      <c r="S1996" s="152" t="s">
        <v>7641</v>
      </c>
      <c r="T1996" s="152" t="s">
        <v>7621</v>
      </c>
      <c r="U1996" s="152" t="s">
        <v>786</v>
      </c>
    </row>
    <row r="1997" spans="4:21">
      <c r="D1997" s="210"/>
      <c r="G1997" s="152" t="s">
        <v>658</v>
      </c>
      <c r="H1997" s="474" t="s">
        <v>659</v>
      </c>
      <c r="I1997" s="474"/>
      <c r="J1997" s="847">
        <v>-704256.25</v>
      </c>
      <c r="K1997" s="513">
        <v>-501.25</v>
      </c>
      <c r="L1997" s="513">
        <v>1405</v>
      </c>
      <c r="M1997" s="152" t="s">
        <v>7143</v>
      </c>
      <c r="N1997" s="513" t="s">
        <v>780</v>
      </c>
      <c r="O1997" s="513" t="s">
        <v>1407</v>
      </c>
      <c r="P1997" s="513" t="s">
        <v>7619</v>
      </c>
      <c r="Q1997" s="518" t="s">
        <v>7101</v>
      </c>
      <c r="R1997" s="152" t="s">
        <v>7620</v>
      </c>
      <c r="S1997" s="152" t="s">
        <v>7637</v>
      </c>
      <c r="T1997" s="152" t="s">
        <v>7621</v>
      </c>
      <c r="U1997" s="152" t="s">
        <v>786</v>
      </c>
    </row>
    <row r="1998" spans="4:21">
      <c r="D1998" s="210"/>
      <c r="G1998" s="152" t="s">
        <v>660</v>
      </c>
      <c r="H1998" s="474" t="s">
        <v>661</v>
      </c>
      <c r="I1998" s="474"/>
      <c r="J1998" s="847">
        <v>140500</v>
      </c>
      <c r="K1998" s="513">
        <v>100</v>
      </c>
      <c r="L1998" s="513">
        <v>1405</v>
      </c>
      <c r="M1998" s="152" t="s">
        <v>7116</v>
      </c>
      <c r="N1998" s="513" t="s">
        <v>780</v>
      </c>
      <c r="O1998" s="513" t="s">
        <v>1407</v>
      </c>
      <c r="P1998" s="513" t="s">
        <v>7120</v>
      </c>
      <c r="Q1998" s="518" t="s">
        <v>7101</v>
      </c>
      <c r="R1998" s="152" t="s">
        <v>7121</v>
      </c>
      <c r="S1998" s="152" t="s">
        <v>7123</v>
      </c>
      <c r="T1998" s="152" t="s">
        <v>7122</v>
      </c>
      <c r="U1998" s="152" t="s">
        <v>786</v>
      </c>
    </row>
    <row r="1999" spans="4:21">
      <c r="D1999" s="210"/>
      <c r="G1999" s="152" t="s">
        <v>660</v>
      </c>
      <c r="H1999" s="474" t="s">
        <v>661</v>
      </c>
      <c r="I1999" s="474"/>
      <c r="J1999" s="847">
        <v>7025000</v>
      </c>
      <c r="K1999" s="513">
        <v>5000</v>
      </c>
      <c r="L1999" s="513">
        <v>1405</v>
      </c>
      <c r="M1999" s="152" t="s">
        <v>7116</v>
      </c>
      <c r="N1999" s="513" t="s">
        <v>780</v>
      </c>
      <c r="O1999" s="513" t="s">
        <v>1407</v>
      </c>
      <c r="P1999" s="513" t="s">
        <v>7120</v>
      </c>
      <c r="Q1999" s="518" t="s">
        <v>7101</v>
      </c>
      <c r="R1999" s="152" t="s">
        <v>7121</v>
      </c>
      <c r="S1999" s="152" t="s">
        <v>7124</v>
      </c>
      <c r="T1999" s="152" t="s">
        <v>7122</v>
      </c>
      <c r="U1999" s="152" t="s">
        <v>786</v>
      </c>
    </row>
    <row r="2000" spans="4:21">
      <c r="D2000" s="210"/>
      <c r="G2000" s="152" t="s">
        <v>660</v>
      </c>
      <c r="H2000" s="474" t="s">
        <v>661</v>
      </c>
      <c r="I2000" s="474"/>
      <c r="J2000" s="847">
        <v>36480825</v>
      </c>
      <c r="K2000" s="513">
        <v>25965</v>
      </c>
      <c r="L2000" s="513">
        <v>1405</v>
      </c>
      <c r="M2000" s="152" t="s">
        <v>7116</v>
      </c>
      <c r="N2000" s="513" t="s">
        <v>780</v>
      </c>
      <c r="O2000" s="513" t="s">
        <v>1407</v>
      </c>
      <c r="P2000" s="513" t="s">
        <v>7120</v>
      </c>
      <c r="Q2000" s="518" t="s">
        <v>7101</v>
      </c>
      <c r="R2000" s="152" t="s">
        <v>7121</v>
      </c>
      <c r="S2000" s="152" t="s">
        <v>1432</v>
      </c>
      <c r="T2000" s="152" t="s">
        <v>7122</v>
      </c>
      <c r="U2000" s="152" t="s">
        <v>786</v>
      </c>
    </row>
    <row r="2001" spans="4:21">
      <c r="D2001" s="210"/>
      <c r="G2001" s="152" t="s">
        <v>660</v>
      </c>
      <c r="H2001" s="474" t="s">
        <v>661</v>
      </c>
      <c r="I2001" s="474"/>
      <c r="J2001" s="847">
        <v>702500</v>
      </c>
      <c r="K2001" s="513">
        <v>500</v>
      </c>
      <c r="L2001" s="513">
        <v>1405</v>
      </c>
      <c r="M2001" s="152" t="s">
        <v>7116</v>
      </c>
      <c r="N2001" s="513" t="s">
        <v>780</v>
      </c>
      <c r="O2001" s="513" t="s">
        <v>1407</v>
      </c>
      <c r="P2001" s="513" t="s">
        <v>7120</v>
      </c>
      <c r="Q2001" s="518" t="s">
        <v>7101</v>
      </c>
      <c r="R2001" s="152" t="s">
        <v>7121</v>
      </c>
      <c r="S2001" s="152" t="s">
        <v>7123</v>
      </c>
      <c r="T2001" s="152" t="s">
        <v>7122</v>
      </c>
      <c r="U2001" s="152" t="s">
        <v>786</v>
      </c>
    </row>
    <row r="2002" spans="4:21">
      <c r="D2002" s="210"/>
      <c r="G2002" s="152" t="s">
        <v>660</v>
      </c>
      <c r="H2002" s="474" t="s">
        <v>661</v>
      </c>
      <c r="I2002" s="474"/>
      <c r="J2002" s="847">
        <v>84250825</v>
      </c>
      <c r="K2002" s="513">
        <v>59965</v>
      </c>
      <c r="L2002" s="513">
        <v>1405</v>
      </c>
      <c r="M2002" s="152" t="s">
        <v>7116</v>
      </c>
      <c r="N2002" s="513" t="s">
        <v>780</v>
      </c>
      <c r="O2002" s="513" t="s">
        <v>1407</v>
      </c>
      <c r="P2002" s="513" t="s">
        <v>7120</v>
      </c>
      <c r="Q2002" s="518" t="s">
        <v>7101</v>
      </c>
      <c r="R2002" s="152" t="s">
        <v>7121</v>
      </c>
      <c r="S2002" s="152" t="s">
        <v>1432</v>
      </c>
      <c r="T2002" s="152" t="s">
        <v>7122</v>
      </c>
      <c r="U2002" s="152" t="s">
        <v>786</v>
      </c>
    </row>
    <row r="2003" spans="4:21">
      <c r="D2003" s="210"/>
      <c r="G2003" s="152" t="s">
        <v>660</v>
      </c>
      <c r="H2003" s="474" t="s">
        <v>661</v>
      </c>
      <c r="I2003" s="474"/>
      <c r="J2003" s="847">
        <v>55330300</v>
      </c>
      <c r="K2003" s="513">
        <v>38965</v>
      </c>
      <c r="L2003" s="513">
        <v>1420</v>
      </c>
      <c r="M2003" s="152" t="s">
        <v>7143</v>
      </c>
      <c r="N2003" s="513" t="s">
        <v>780</v>
      </c>
      <c r="O2003" s="513" t="s">
        <v>1407</v>
      </c>
      <c r="P2003" s="513" t="s">
        <v>7147</v>
      </c>
      <c r="Q2003" s="518" t="s">
        <v>7101</v>
      </c>
      <c r="R2003" s="152" t="s">
        <v>7148</v>
      </c>
      <c r="S2003" s="152" t="s">
        <v>1432</v>
      </c>
      <c r="T2003" s="152" t="s">
        <v>7149</v>
      </c>
      <c r="U2003" s="152" t="s">
        <v>786</v>
      </c>
    </row>
    <row r="2004" spans="4:21">
      <c r="D2004" s="210"/>
      <c r="G2004" s="152" t="s">
        <v>660</v>
      </c>
      <c r="H2004" s="474" t="s">
        <v>661</v>
      </c>
      <c r="I2004" s="474"/>
      <c r="J2004" s="847">
        <v>2840000</v>
      </c>
      <c r="K2004" s="513">
        <v>2000</v>
      </c>
      <c r="L2004" s="513">
        <v>1420</v>
      </c>
      <c r="M2004" s="152" t="s">
        <v>7143</v>
      </c>
      <c r="N2004" s="513" t="s">
        <v>780</v>
      </c>
      <c r="O2004" s="513" t="s">
        <v>1407</v>
      </c>
      <c r="P2004" s="513" t="s">
        <v>7168</v>
      </c>
      <c r="Q2004" s="518" t="s">
        <v>7101</v>
      </c>
      <c r="R2004" s="152" t="s">
        <v>7169</v>
      </c>
      <c r="S2004" s="152" t="s">
        <v>4900</v>
      </c>
      <c r="T2004" s="152" t="s">
        <v>7170</v>
      </c>
      <c r="U2004" s="152" t="s">
        <v>786</v>
      </c>
    </row>
    <row r="2005" spans="4:21">
      <c r="D2005" s="210"/>
      <c r="G2005" s="152" t="s">
        <v>660</v>
      </c>
      <c r="H2005" s="474" t="s">
        <v>661</v>
      </c>
      <c r="I2005" s="474"/>
      <c r="J2005" s="847">
        <v>-7025000</v>
      </c>
      <c r="K2005" s="513">
        <v>-5000</v>
      </c>
      <c r="L2005" s="513">
        <v>1405</v>
      </c>
      <c r="M2005" s="152" t="s">
        <v>7116</v>
      </c>
      <c r="N2005" s="513" t="s">
        <v>780</v>
      </c>
      <c r="O2005" s="513" t="s">
        <v>1407</v>
      </c>
      <c r="P2005" s="513" t="s">
        <v>7442</v>
      </c>
      <c r="Q2005" s="518" t="s">
        <v>7101</v>
      </c>
      <c r="R2005" s="152" t="s">
        <v>7443</v>
      </c>
      <c r="S2005" s="152" t="s">
        <v>7444</v>
      </c>
      <c r="T2005" s="152" t="s">
        <v>7445</v>
      </c>
      <c r="U2005" s="152" t="s">
        <v>786</v>
      </c>
    </row>
    <row r="2006" spans="4:21">
      <c r="D2006" s="210"/>
      <c r="G2006" s="152" t="s">
        <v>660</v>
      </c>
      <c r="H2006" s="474" t="s">
        <v>661</v>
      </c>
      <c r="I2006" s="474"/>
      <c r="J2006" s="847">
        <v>-2669.5</v>
      </c>
      <c r="K2006" s="513">
        <v>-1.9</v>
      </c>
      <c r="L2006" s="513">
        <v>1405</v>
      </c>
      <c r="M2006" s="152" t="s">
        <v>7116</v>
      </c>
      <c r="N2006" s="513" t="s">
        <v>780</v>
      </c>
      <c r="O2006" s="513" t="s">
        <v>1407</v>
      </c>
      <c r="P2006" s="513" t="s">
        <v>7442</v>
      </c>
      <c r="Q2006" s="518" t="s">
        <v>7101</v>
      </c>
      <c r="R2006" s="152" t="s">
        <v>7443</v>
      </c>
      <c r="S2006" s="152" t="s">
        <v>1515</v>
      </c>
      <c r="T2006" s="152" t="s">
        <v>7445</v>
      </c>
      <c r="U2006" s="152" t="s">
        <v>786</v>
      </c>
    </row>
    <row r="2007" spans="4:21">
      <c r="D2007" s="210"/>
      <c r="G2007" s="152" t="s">
        <v>660</v>
      </c>
      <c r="H2007" s="474" t="s">
        <v>661</v>
      </c>
      <c r="I2007" s="474"/>
      <c r="J2007" s="847">
        <v>-54710.7</v>
      </c>
      <c r="K2007" s="513">
        <v>-38.94</v>
      </c>
      <c r="L2007" s="513">
        <v>1405</v>
      </c>
      <c r="M2007" s="152" t="s">
        <v>7116</v>
      </c>
      <c r="N2007" s="513" t="s">
        <v>780</v>
      </c>
      <c r="O2007" s="513" t="s">
        <v>1407</v>
      </c>
      <c r="P2007" s="513" t="s">
        <v>7442</v>
      </c>
      <c r="Q2007" s="518" t="s">
        <v>7101</v>
      </c>
      <c r="R2007" s="152" t="s">
        <v>7443</v>
      </c>
      <c r="S2007" s="152" t="s">
        <v>7448</v>
      </c>
      <c r="T2007" s="152" t="s">
        <v>7445</v>
      </c>
      <c r="U2007" s="152" t="s">
        <v>786</v>
      </c>
    </row>
    <row r="2008" spans="4:21">
      <c r="D2008" s="210"/>
      <c r="G2008" s="152" t="s">
        <v>660</v>
      </c>
      <c r="H2008" s="474" t="s">
        <v>661</v>
      </c>
      <c r="I2008" s="474"/>
      <c r="J2008" s="847">
        <v>-7025000</v>
      </c>
      <c r="K2008" s="513">
        <v>-5000</v>
      </c>
      <c r="L2008" s="513">
        <v>1405</v>
      </c>
      <c r="M2008" s="152" t="s">
        <v>7116</v>
      </c>
      <c r="N2008" s="513" t="s">
        <v>780</v>
      </c>
      <c r="O2008" s="513" t="s">
        <v>1407</v>
      </c>
      <c r="P2008" s="513" t="s">
        <v>7442</v>
      </c>
      <c r="Q2008" s="518" t="s">
        <v>7101</v>
      </c>
      <c r="R2008" s="152" t="s">
        <v>7443</v>
      </c>
      <c r="S2008" s="152" t="s">
        <v>7446</v>
      </c>
      <c r="T2008" s="152" t="s">
        <v>7445</v>
      </c>
      <c r="U2008" s="152" t="s">
        <v>786</v>
      </c>
    </row>
    <row r="2009" spans="4:21">
      <c r="D2009" s="210"/>
      <c r="G2009" s="152" t="s">
        <v>660</v>
      </c>
      <c r="H2009" s="474" t="s">
        <v>661</v>
      </c>
      <c r="I2009" s="474"/>
      <c r="J2009" s="847">
        <v>-14050000</v>
      </c>
      <c r="K2009" s="513">
        <v>-10000</v>
      </c>
      <c r="L2009" s="513">
        <v>1405</v>
      </c>
      <c r="M2009" s="152" t="s">
        <v>7116</v>
      </c>
      <c r="N2009" s="513" t="s">
        <v>780</v>
      </c>
      <c r="O2009" s="513" t="s">
        <v>1407</v>
      </c>
      <c r="P2009" s="513" t="s">
        <v>7442</v>
      </c>
      <c r="Q2009" s="518" t="s">
        <v>7101</v>
      </c>
      <c r="R2009" s="152" t="s">
        <v>7443</v>
      </c>
      <c r="S2009" s="152" t="s">
        <v>4093</v>
      </c>
      <c r="T2009" s="152" t="s">
        <v>7445</v>
      </c>
      <c r="U2009" s="152" t="s">
        <v>786</v>
      </c>
    </row>
    <row r="2010" spans="4:21">
      <c r="D2010" s="210"/>
      <c r="G2010" s="152" t="s">
        <v>660</v>
      </c>
      <c r="H2010" s="474" t="s">
        <v>661</v>
      </c>
      <c r="I2010" s="474"/>
      <c r="J2010" s="847">
        <v>-843000</v>
      </c>
      <c r="K2010" s="513">
        <v>-600</v>
      </c>
      <c r="L2010" s="513">
        <v>1405</v>
      </c>
      <c r="M2010" s="152" t="s">
        <v>7116</v>
      </c>
      <c r="N2010" s="513" t="s">
        <v>780</v>
      </c>
      <c r="O2010" s="513" t="s">
        <v>1407</v>
      </c>
      <c r="P2010" s="513" t="s">
        <v>7442</v>
      </c>
      <c r="Q2010" s="518" t="s">
        <v>7101</v>
      </c>
      <c r="R2010" s="152" t="s">
        <v>7443</v>
      </c>
      <c r="S2010" s="152" t="s">
        <v>4093</v>
      </c>
      <c r="T2010" s="152" t="s">
        <v>7445</v>
      </c>
      <c r="U2010" s="152" t="s">
        <v>786</v>
      </c>
    </row>
    <row r="2011" spans="4:21">
      <c r="D2011" s="210"/>
      <c r="G2011" s="152" t="s">
        <v>660</v>
      </c>
      <c r="H2011" s="474" t="s">
        <v>661</v>
      </c>
      <c r="I2011" s="474"/>
      <c r="J2011" s="847">
        <v>-2810000</v>
      </c>
      <c r="K2011" s="513">
        <v>-2000</v>
      </c>
      <c r="L2011" s="513">
        <v>1405</v>
      </c>
      <c r="M2011" s="152" t="s">
        <v>7116</v>
      </c>
      <c r="N2011" s="513" t="s">
        <v>780</v>
      </c>
      <c r="O2011" s="513" t="s">
        <v>1407</v>
      </c>
      <c r="P2011" s="513" t="s">
        <v>7442</v>
      </c>
      <c r="Q2011" s="518" t="s">
        <v>7101</v>
      </c>
      <c r="R2011" s="152" t="s">
        <v>7443</v>
      </c>
      <c r="S2011" s="152" t="s">
        <v>7450</v>
      </c>
      <c r="T2011" s="152" t="s">
        <v>7445</v>
      </c>
      <c r="U2011" s="152" t="s">
        <v>786</v>
      </c>
    </row>
    <row r="2012" spans="4:21">
      <c r="D2012" s="210"/>
      <c r="G2012" s="152" t="s">
        <v>660</v>
      </c>
      <c r="H2012" s="474" t="s">
        <v>661</v>
      </c>
      <c r="I2012" s="474"/>
      <c r="J2012" s="847">
        <v>-5215360</v>
      </c>
      <c r="K2012" s="513">
        <v>-3712</v>
      </c>
      <c r="L2012" s="513">
        <v>1405</v>
      </c>
      <c r="M2012" s="152" t="s">
        <v>7116</v>
      </c>
      <c r="N2012" s="513" t="s">
        <v>780</v>
      </c>
      <c r="O2012" s="513" t="s">
        <v>1407</v>
      </c>
      <c r="P2012" s="513" t="s">
        <v>7442</v>
      </c>
      <c r="Q2012" s="518" t="s">
        <v>7101</v>
      </c>
      <c r="R2012" s="152" t="s">
        <v>7443</v>
      </c>
      <c r="S2012" s="152" t="s">
        <v>7451</v>
      </c>
      <c r="T2012" s="152" t="s">
        <v>7445</v>
      </c>
      <c r="U2012" s="152" t="s">
        <v>786</v>
      </c>
    </row>
    <row r="2013" spans="4:21">
      <c r="D2013" s="210"/>
      <c r="G2013" s="152" t="s">
        <v>660</v>
      </c>
      <c r="H2013" s="474" t="s">
        <v>661</v>
      </c>
      <c r="I2013" s="474"/>
      <c r="J2013" s="847">
        <v>-210750</v>
      </c>
      <c r="K2013" s="513">
        <v>-150</v>
      </c>
      <c r="L2013" s="513">
        <v>1405</v>
      </c>
      <c r="M2013" s="152" t="s">
        <v>7116</v>
      </c>
      <c r="N2013" s="513" t="s">
        <v>780</v>
      </c>
      <c r="O2013" s="513" t="s">
        <v>1407</v>
      </c>
      <c r="P2013" s="513" t="s">
        <v>7442</v>
      </c>
      <c r="Q2013" s="518" t="s">
        <v>7101</v>
      </c>
      <c r="R2013" s="152" t="s">
        <v>7443</v>
      </c>
      <c r="S2013" s="152" t="s">
        <v>7452</v>
      </c>
      <c r="T2013" s="152" t="s">
        <v>7445</v>
      </c>
      <c r="U2013" s="152" t="s">
        <v>786</v>
      </c>
    </row>
    <row r="2014" spans="4:21">
      <c r="D2014" s="210"/>
      <c r="G2014" s="152" t="s">
        <v>660</v>
      </c>
      <c r="H2014" s="474" t="s">
        <v>661</v>
      </c>
      <c r="I2014" s="474"/>
      <c r="J2014" s="847">
        <v>-126365.7</v>
      </c>
      <c r="K2014" s="513">
        <v>-89.94</v>
      </c>
      <c r="L2014" s="513">
        <v>1405</v>
      </c>
      <c r="M2014" s="152" t="s">
        <v>7116</v>
      </c>
      <c r="N2014" s="513" t="s">
        <v>780</v>
      </c>
      <c r="O2014" s="513" t="s">
        <v>1407</v>
      </c>
      <c r="P2014" s="513" t="s">
        <v>7442</v>
      </c>
      <c r="Q2014" s="518" t="s">
        <v>7101</v>
      </c>
      <c r="R2014" s="152" t="s">
        <v>7443</v>
      </c>
      <c r="S2014" s="152" t="s">
        <v>7448</v>
      </c>
      <c r="T2014" s="152" t="s">
        <v>7445</v>
      </c>
      <c r="U2014" s="152" t="s">
        <v>786</v>
      </c>
    </row>
    <row r="2015" spans="4:21">
      <c r="D2015" s="210"/>
      <c r="G2015" s="152" t="s">
        <v>660</v>
      </c>
      <c r="H2015" s="474" t="s">
        <v>661</v>
      </c>
      <c r="I2015" s="474"/>
      <c r="J2015" s="847">
        <v>-14050000</v>
      </c>
      <c r="K2015" s="513">
        <v>-10000</v>
      </c>
      <c r="L2015" s="513">
        <v>1405</v>
      </c>
      <c r="M2015" s="152" t="s">
        <v>7116</v>
      </c>
      <c r="N2015" s="513" t="s">
        <v>780</v>
      </c>
      <c r="O2015" s="513" t="s">
        <v>1407</v>
      </c>
      <c r="P2015" s="513" t="s">
        <v>7442</v>
      </c>
      <c r="Q2015" s="518" t="s">
        <v>7101</v>
      </c>
      <c r="R2015" s="152" t="s">
        <v>7443</v>
      </c>
      <c r="S2015" s="152" t="s">
        <v>4093</v>
      </c>
      <c r="T2015" s="152" t="s">
        <v>7445</v>
      </c>
      <c r="U2015" s="152" t="s">
        <v>786</v>
      </c>
    </row>
    <row r="2016" spans="4:21">
      <c r="D2016" s="210"/>
      <c r="G2016" s="152" t="s">
        <v>660</v>
      </c>
      <c r="H2016" s="474" t="s">
        <v>661</v>
      </c>
      <c r="I2016" s="474"/>
      <c r="J2016" s="847">
        <v>-164385</v>
      </c>
      <c r="K2016" s="513">
        <v>-117</v>
      </c>
      <c r="L2016" s="513">
        <v>1405</v>
      </c>
      <c r="M2016" s="152" t="s">
        <v>7116</v>
      </c>
      <c r="N2016" s="513" t="s">
        <v>780</v>
      </c>
      <c r="O2016" s="513" t="s">
        <v>1407</v>
      </c>
      <c r="P2016" s="513" t="s">
        <v>7442</v>
      </c>
      <c r="Q2016" s="518" t="s">
        <v>7101</v>
      </c>
      <c r="R2016" s="152" t="s">
        <v>7443</v>
      </c>
      <c r="S2016" s="152" t="s">
        <v>7453</v>
      </c>
      <c r="T2016" s="152" t="s">
        <v>7445</v>
      </c>
      <c r="U2016" s="152" t="s">
        <v>786</v>
      </c>
    </row>
    <row r="2017" spans="4:21">
      <c r="D2017" s="210"/>
      <c r="G2017" s="152" t="s">
        <v>660</v>
      </c>
      <c r="H2017" s="474" t="s">
        <v>661</v>
      </c>
      <c r="I2017" s="474"/>
      <c r="J2017" s="847">
        <v>-2669.5</v>
      </c>
      <c r="K2017" s="513">
        <v>-1.9</v>
      </c>
      <c r="L2017" s="513">
        <v>1405</v>
      </c>
      <c r="M2017" s="152" t="s">
        <v>7116</v>
      </c>
      <c r="N2017" s="513" t="s">
        <v>780</v>
      </c>
      <c r="O2017" s="513" t="s">
        <v>1407</v>
      </c>
      <c r="P2017" s="513" t="s">
        <v>7442</v>
      </c>
      <c r="Q2017" s="518" t="s">
        <v>7101</v>
      </c>
      <c r="R2017" s="152" t="s">
        <v>7443</v>
      </c>
      <c r="S2017" s="152" t="s">
        <v>1515</v>
      </c>
      <c r="T2017" s="152" t="s">
        <v>7445</v>
      </c>
      <c r="U2017" s="152" t="s">
        <v>786</v>
      </c>
    </row>
    <row r="2018" spans="4:21">
      <c r="D2018" s="210"/>
      <c r="G2018" s="152" t="s">
        <v>660</v>
      </c>
      <c r="H2018" s="474" t="s">
        <v>661</v>
      </c>
      <c r="I2018" s="474"/>
      <c r="J2018" s="847">
        <v>-1236400</v>
      </c>
      <c r="K2018" s="513">
        <v>-880</v>
      </c>
      <c r="L2018" s="513">
        <v>1405</v>
      </c>
      <c r="M2018" s="152" t="s">
        <v>7116</v>
      </c>
      <c r="N2018" s="513" t="s">
        <v>780</v>
      </c>
      <c r="O2018" s="513" t="s">
        <v>1407</v>
      </c>
      <c r="P2018" s="513" t="s">
        <v>7442</v>
      </c>
      <c r="Q2018" s="518" t="s">
        <v>7101</v>
      </c>
      <c r="R2018" s="152" t="s">
        <v>7443</v>
      </c>
      <c r="S2018" s="152" t="s">
        <v>7447</v>
      </c>
      <c r="T2018" s="152" t="s">
        <v>7445</v>
      </c>
      <c r="U2018" s="152" t="s">
        <v>786</v>
      </c>
    </row>
    <row r="2019" spans="4:21">
      <c r="D2019" s="210"/>
      <c r="G2019" s="152" t="s">
        <v>660</v>
      </c>
      <c r="H2019" s="474" t="s">
        <v>661</v>
      </c>
      <c r="I2019" s="474"/>
      <c r="J2019" s="847">
        <v>-2669.5</v>
      </c>
      <c r="K2019" s="513">
        <v>-1.9</v>
      </c>
      <c r="L2019" s="513">
        <v>1405</v>
      </c>
      <c r="M2019" s="152" t="s">
        <v>7116</v>
      </c>
      <c r="N2019" s="513" t="s">
        <v>780</v>
      </c>
      <c r="O2019" s="513" t="s">
        <v>1407</v>
      </c>
      <c r="P2019" s="513" t="s">
        <v>7442</v>
      </c>
      <c r="Q2019" s="518" t="s">
        <v>7101</v>
      </c>
      <c r="R2019" s="152" t="s">
        <v>7443</v>
      </c>
      <c r="S2019" s="152" t="s">
        <v>1515</v>
      </c>
      <c r="T2019" s="152" t="s">
        <v>7445</v>
      </c>
      <c r="U2019" s="152" t="s">
        <v>786</v>
      </c>
    </row>
    <row r="2020" spans="4:21">
      <c r="D2020" s="210"/>
      <c r="G2020" s="152" t="s">
        <v>660</v>
      </c>
      <c r="H2020" s="474" t="s">
        <v>661</v>
      </c>
      <c r="I2020" s="474"/>
      <c r="J2020" s="847">
        <v>-2669.5</v>
      </c>
      <c r="K2020" s="513">
        <v>-1.9</v>
      </c>
      <c r="L2020" s="513">
        <v>1405</v>
      </c>
      <c r="M2020" s="152" t="s">
        <v>7116</v>
      </c>
      <c r="N2020" s="513" t="s">
        <v>780</v>
      </c>
      <c r="O2020" s="513" t="s">
        <v>1407</v>
      </c>
      <c r="P2020" s="513" t="s">
        <v>7442</v>
      </c>
      <c r="Q2020" s="518" t="s">
        <v>7101</v>
      </c>
      <c r="R2020" s="152" t="s">
        <v>7443</v>
      </c>
      <c r="S2020" s="152" t="s">
        <v>1515</v>
      </c>
      <c r="T2020" s="152" t="s">
        <v>7445</v>
      </c>
      <c r="U2020" s="152" t="s">
        <v>786</v>
      </c>
    </row>
    <row r="2021" spans="4:21">
      <c r="D2021" s="210"/>
      <c r="G2021" s="152" t="s">
        <v>660</v>
      </c>
      <c r="H2021" s="474" t="s">
        <v>661</v>
      </c>
      <c r="I2021" s="474"/>
      <c r="J2021" s="847">
        <v>-3656835.65</v>
      </c>
      <c r="K2021" s="513">
        <v>-2602.73</v>
      </c>
      <c r="L2021" s="513">
        <v>1405</v>
      </c>
      <c r="M2021" s="152" t="s">
        <v>7116</v>
      </c>
      <c r="N2021" s="513" t="s">
        <v>780</v>
      </c>
      <c r="O2021" s="513" t="s">
        <v>1407</v>
      </c>
      <c r="P2021" s="513" t="s">
        <v>7442</v>
      </c>
      <c r="Q2021" s="518" t="s">
        <v>7101</v>
      </c>
      <c r="R2021" s="152" t="s">
        <v>7443</v>
      </c>
      <c r="S2021" s="152" t="s">
        <v>3879</v>
      </c>
      <c r="T2021" s="152" t="s">
        <v>7445</v>
      </c>
      <c r="U2021" s="152" t="s">
        <v>786</v>
      </c>
    </row>
    <row r="2022" spans="4:21">
      <c r="D2022" s="210"/>
      <c r="G2022" s="152" t="s">
        <v>660</v>
      </c>
      <c r="H2022" s="474" t="s">
        <v>661</v>
      </c>
      <c r="I2022" s="474"/>
      <c r="J2022" s="847">
        <v>-3934000</v>
      </c>
      <c r="K2022" s="513">
        <v>-2800</v>
      </c>
      <c r="L2022" s="513">
        <v>1405</v>
      </c>
      <c r="M2022" s="152" t="s">
        <v>7116</v>
      </c>
      <c r="N2022" s="513" t="s">
        <v>780</v>
      </c>
      <c r="O2022" s="513" t="s">
        <v>1407</v>
      </c>
      <c r="P2022" s="513" t="s">
        <v>7442</v>
      </c>
      <c r="Q2022" s="518" t="s">
        <v>7101</v>
      </c>
      <c r="R2022" s="152" t="s">
        <v>7443</v>
      </c>
      <c r="S2022" s="152" t="s">
        <v>7454</v>
      </c>
      <c r="T2022" s="152" t="s">
        <v>7445</v>
      </c>
      <c r="U2022" s="152" t="s">
        <v>786</v>
      </c>
    </row>
    <row r="2023" spans="4:21">
      <c r="D2023" s="210"/>
      <c r="G2023" s="152" t="s">
        <v>660</v>
      </c>
      <c r="H2023" s="474" t="s">
        <v>661</v>
      </c>
      <c r="I2023" s="474"/>
      <c r="J2023" s="847">
        <v>-132969.20000000001</v>
      </c>
      <c r="K2023" s="513">
        <v>-94.64</v>
      </c>
      <c r="L2023" s="513">
        <v>1405</v>
      </c>
      <c r="M2023" s="152" t="s">
        <v>7116</v>
      </c>
      <c r="N2023" s="513" t="s">
        <v>780</v>
      </c>
      <c r="O2023" s="513" t="s">
        <v>1407</v>
      </c>
      <c r="P2023" s="513" t="s">
        <v>7442</v>
      </c>
      <c r="Q2023" s="518" t="s">
        <v>7101</v>
      </c>
      <c r="R2023" s="152" t="s">
        <v>7443</v>
      </c>
      <c r="S2023" s="152" t="s">
        <v>7455</v>
      </c>
      <c r="T2023" s="152" t="s">
        <v>7445</v>
      </c>
      <c r="U2023" s="152" t="s">
        <v>786</v>
      </c>
    </row>
    <row r="2024" spans="4:21">
      <c r="D2024" s="210"/>
      <c r="G2024" s="152" t="s">
        <v>660</v>
      </c>
      <c r="H2024" s="474" t="s">
        <v>661</v>
      </c>
      <c r="I2024" s="474"/>
      <c r="J2024" s="847">
        <v>-42150000</v>
      </c>
      <c r="K2024" s="513">
        <v>-30000</v>
      </c>
      <c r="L2024" s="513">
        <v>1405</v>
      </c>
      <c r="M2024" s="152" t="s">
        <v>7116</v>
      </c>
      <c r="N2024" s="513" t="s">
        <v>780</v>
      </c>
      <c r="O2024" s="513" t="s">
        <v>1407</v>
      </c>
      <c r="P2024" s="513" t="s">
        <v>7442</v>
      </c>
      <c r="Q2024" s="518" t="s">
        <v>7101</v>
      </c>
      <c r="R2024" s="152" t="s">
        <v>7443</v>
      </c>
      <c r="S2024" s="152" t="s">
        <v>4093</v>
      </c>
      <c r="T2024" s="152" t="s">
        <v>7445</v>
      </c>
      <c r="U2024" s="152" t="s">
        <v>786</v>
      </c>
    </row>
    <row r="2025" spans="4:21">
      <c r="D2025" s="210"/>
      <c r="G2025" s="152" t="s">
        <v>660</v>
      </c>
      <c r="H2025" s="474" t="s">
        <v>661</v>
      </c>
      <c r="I2025" s="474"/>
      <c r="J2025" s="847">
        <v>-2669.5</v>
      </c>
      <c r="K2025" s="513">
        <v>-1.9</v>
      </c>
      <c r="L2025" s="513">
        <v>1405</v>
      </c>
      <c r="M2025" s="152" t="s">
        <v>7116</v>
      </c>
      <c r="N2025" s="513" t="s">
        <v>780</v>
      </c>
      <c r="O2025" s="513" t="s">
        <v>1407</v>
      </c>
      <c r="P2025" s="513" t="s">
        <v>7442</v>
      </c>
      <c r="Q2025" s="518" t="s">
        <v>7101</v>
      </c>
      <c r="R2025" s="152" t="s">
        <v>7443</v>
      </c>
      <c r="S2025" s="152" t="s">
        <v>2998</v>
      </c>
      <c r="T2025" s="152" t="s">
        <v>7445</v>
      </c>
      <c r="U2025" s="152" t="s">
        <v>786</v>
      </c>
    </row>
    <row r="2026" spans="4:21">
      <c r="D2026" s="210"/>
      <c r="G2026" s="152" t="s">
        <v>660</v>
      </c>
      <c r="H2026" s="474" t="s">
        <v>661</v>
      </c>
      <c r="I2026" s="474"/>
      <c r="J2026" s="847">
        <v>-2669.5</v>
      </c>
      <c r="K2026" s="513">
        <v>-1.9</v>
      </c>
      <c r="L2026" s="513">
        <v>1405</v>
      </c>
      <c r="M2026" s="152" t="s">
        <v>7116</v>
      </c>
      <c r="N2026" s="513" t="s">
        <v>780</v>
      </c>
      <c r="O2026" s="513" t="s">
        <v>1407</v>
      </c>
      <c r="P2026" s="513" t="s">
        <v>7442</v>
      </c>
      <c r="Q2026" s="518" t="s">
        <v>7101</v>
      </c>
      <c r="R2026" s="152" t="s">
        <v>7443</v>
      </c>
      <c r="S2026" s="152" t="s">
        <v>1515</v>
      </c>
      <c r="T2026" s="152" t="s">
        <v>7445</v>
      </c>
      <c r="U2026" s="152" t="s">
        <v>786</v>
      </c>
    </row>
    <row r="2027" spans="4:21">
      <c r="D2027" s="210"/>
      <c r="G2027" s="152" t="s">
        <v>660</v>
      </c>
      <c r="H2027" s="474" t="s">
        <v>661</v>
      </c>
      <c r="I2027" s="474"/>
      <c r="J2027" s="847">
        <v>-5080480</v>
      </c>
      <c r="K2027" s="513">
        <v>-3616</v>
      </c>
      <c r="L2027" s="513">
        <v>1405</v>
      </c>
      <c r="M2027" s="152" t="s">
        <v>7116</v>
      </c>
      <c r="N2027" s="513" t="s">
        <v>780</v>
      </c>
      <c r="O2027" s="513" t="s">
        <v>1407</v>
      </c>
      <c r="P2027" s="513" t="s">
        <v>7442</v>
      </c>
      <c r="Q2027" s="518" t="s">
        <v>7101</v>
      </c>
      <c r="R2027" s="152" t="s">
        <v>7443</v>
      </c>
      <c r="S2027" s="152" t="s">
        <v>7449</v>
      </c>
      <c r="T2027" s="152" t="s">
        <v>7445</v>
      </c>
      <c r="U2027" s="152" t="s">
        <v>786</v>
      </c>
    </row>
    <row r="2028" spans="4:21">
      <c r="D2028" s="210"/>
      <c r="G2028" s="152" t="s">
        <v>660</v>
      </c>
      <c r="H2028" s="474" t="s">
        <v>661</v>
      </c>
      <c r="I2028" s="474"/>
      <c r="J2028" s="847">
        <v>-3266000</v>
      </c>
      <c r="K2028" s="513">
        <v>-2300</v>
      </c>
      <c r="L2028" s="513">
        <v>1420</v>
      </c>
      <c r="M2028" s="152" t="s">
        <v>7143</v>
      </c>
      <c r="N2028" s="513" t="s">
        <v>780</v>
      </c>
      <c r="O2028" s="513" t="s">
        <v>1407</v>
      </c>
      <c r="P2028" s="513" t="s">
        <v>7646</v>
      </c>
      <c r="Q2028" s="518" t="s">
        <v>7101</v>
      </c>
      <c r="R2028" s="152" t="s">
        <v>7647</v>
      </c>
      <c r="S2028" s="152" t="s">
        <v>7648</v>
      </c>
      <c r="T2028" s="152" t="s">
        <v>7649</v>
      </c>
      <c r="U2028" s="152" t="s">
        <v>786</v>
      </c>
    </row>
    <row r="2029" spans="4:21">
      <c r="D2029" s="210"/>
      <c r="G2029" s="152" t="s">
        <v>660</v>
      </c>
      <c r="H2029" s="474" t="s">
        <v>661</v>
      </c>
      <c r="I2029" s="474"/>
      <c r="J2029" s="847">
        <v>-82984.800000000003</v>
      </c>
      <c r="K2029" s="513">
        <v>-58.44</v>
      </c>
      <c r="L2029" s="513">
        <v>1420</v>
      </c>
      <c r="M2029" s="152" t="s">
        <v>7143</v>
      </c>
      <c r="N2029" s="513" t="s">
        <v>780</v>
      </c>
      <c r="O2029" s="513" t="s">
        <v>1407</v>
      </c>
      <c r="P2029" s="513" t="s">
        <v>7646</v>
      </c>
      <c r="Q2029" s="518" t="s">
        <v>7101</v>
      </c>
      <c r="R2029" s="152" t="s">
        <v>7647</v>
      </c>
      <c r="S2029" s="152" t="s">
        <v>3869</v>
      </c>
      <c r="T2029" s="152" t="s">
        <v>7649</v>
      </c>
      <c r="U2029" s="152" t="s">
        <v>786</v>
      </c>
    </row>
    <row r="2030" spans="4:21">
      <c r="D2030" s="210"/>
      <c r="G2030" s="152" t="s">
        <v>660</v>
      </c>
      <c r="H2030" s="474" t="s">
        <v>661</v>
      </c>
      <c r="I2030" s="474"/>
      <c r="J2030" s="847">
        <v>-2669.5</v>
      </c>
      <c r="K2030" s="513">
        <v>-1.9</v>
      </c>
      <c r="L2030" s="513">
        <v>1405</v>
      </c>
      <c r="M2030" s="152" t="s">
        <v>7143</v>
      </c>
      <c r="N2030" s="513" t="s">
        <v>780</v>
      </c>
      <c r="O2030" s="513" t="s">
        <v>1407</v>
      </c>
      <c r="P2030" s="513" t="s">
        <v>7646</v>
      </c>
      <c r="Q2030" s="518" t="s">
        <v>7101</v>
      </c>
      <c r="R2030" s="152" t="s">
        <v>7647</v>
      </c>
      <c r="S2030" s="152" t="s">
        <v>1515</v>
      </c>
      <c r="T2030" s="152" t="s">
        <v>7649</v>
      </c>
      <c r="U2030" s="152" t="s">
        <v>786</v>
      </c>
    </row>
    <row r="2031" spans="4:21">
      <c r="D2031" s="210"/>
      <c r="G2031" s="152" t="s">
        <v>660</v>
      </c>
      <c r="H2031" s="474" t="s">
        <v>661</v>
      </c>
      <c r="I2031" s="474"/>
      <c r="J2031" s="847">
        <v>-5931368.4000000004</v>
      </c>
      <c r="K2031" s="513">
        <v>-4177.0200000000004</v>
      </c>
      <c r="L2031" s="513">
        <v>1420</v>
      </c>
      <c r="M2031" s="152" t="s">
        <v>7143</v>
      </c>
      <c r="N2031" s="513" t="s">
        <v>780</v>
      </c>
      <c r="O2031" s="513" t="s">
        <v>1407</v>
      </c>
      <c r="P2031" s="513" t="s">
        <v>7646</v>
      </c>
      <c r="Q2031" s="518" t="s">
        <v>7101</v>
      </c>
      <c r="R2031" s="152" t="s">
        <v>7647</v>
      </c>
      <c r="S2031" s="152" t="s">
        <v>3000</v>
      </c>
      <c r="T2031" s="152" t="s">
        <v>7649</v>
      </c>
      <c r="U2031" s="152" t="s">
        <v>786</v>
      </c>
    </row>
    <row r="2032" spans="4:21">
      <c r="D2032" s="210"/>
      <c r="G2032" s="152" t="s">
        <v>660</v>
      </c>
      <c r="H2032" s="474" t="s">
        <v>661</v>
      </c>
      <c r="I2032" s="474"/>
      <c r="J2032" s="847">
        <v>-2883060</v>
      </c>
      <c r="K2032" s="513">
        <v>-2052</v>
      </c>
      <c r="L2032" s="513">
        <v>1405</v>
      </c>
      <c r="M2032" s="152" t="s">
        <v>7143</v>
      </c>
      <c r="N2032" s="513" t="s">
        <v>780</v>
      </c>
      <c r="O2032" s="513" t="s">
        <v>1407</v>
      </c>
      <c r="P2032" s="513" t="s">
        <v>7646</v>
      </c>
      <c r="Q2032" s="518" t="s">
        <v>7101</v>
      </c>
      <c r="R2032" s="152" t="s">
        <v>7647</v>
      </c>
      <c r="S2032" s="152" t="s">
        <v>7651</v>
      </c>
      <c r="T2032" s="152" t="s">
        <v>7649</v>
      </c>
      <c r="U2032" s="152" t="s">
        <v>786</v>
      </c>
    </row>
    <row r="2033" spans="4:21">
      <c r="D2033" s="210"/>
      <c r="G2033" s="152" t="s">
        <v>660</v>
      </c>
      <c r="H2033" s="474" t="s">
        <v>661</v>
      </c>
      <c r="I2033" s="474"/>
      <c r="J2033" s="847">
        <v>-5680000</v>
      </c>
      <c r="K2033" s="513">
        <v>-4000</v>
      </c>
      <c r="L2033" s="513">
        <v>1420</v>
      </c>
      <c r="M2033" s="152" t="s">
        <v>7143</v>
      </c>
      <c r="N2033" s="513" t="s">
        <v>780</v>
      </c>
      <c r="O2033" s="513" t="s">
        <v>1407</v>
      </c>
      <c r="P2033" s="513" t="s">
        <v>7646</v>
      </c>
      <c r="Q2033" s="518" t="s">
        <v>7101</v>
      </c>
      <c r="R2033" s="152" t="s">
        <v>7647</v>
      </c>
      <c r="S2033" s="152" t="s">
        <v>7650</v>
      </c>
      <c r="T2033" s="152" t="s">
        <v>7649</v>
      </c>
      <c r="U2033" s="152" t="s">
        <v>786</v>
      </c>
    </row>
    <row r="2034" spans="4:21">
      <c r="D2034" s="210"/>
      <c r="G2034" s="152" t="s">
        <v>660</v>
      </c>
      <c r="H2034" s="474" t="s">
        <v>661</v>
      </c>
      <c r="I2034" s="474"/>
      <c r="J2034" s="847">
        <v>-2669.5</v>
      </c>
      <c r="K2034" s="513">
        <v>-1.9</v>
      </c>
      <c r="L2034" s="513">
        <v>1405</v>
      </c>
      <c r="M2034" s="152" t="s">
        <v>7143</v>
      </c>
      <c r="N2034" s="513" t="s">
        <v>780</v>
      </c>
      <c r="O2034" s="513" t="s">
        <v>1407</v>
      </c>
      <c r="P2034" s="513" t="s">
        <v>7646</v>
      </c>
      <c r="Q2034" s="518" t="s">
        <v>7101</v>
      </c>
      <c r="R2034" s="152" t="s">
        <v>7647</v>
      </c>
      <c r="S2034" s="152" t="s">
        <v>1515</v>
      </c>
      <c r="T2034" s="152" t="s">
        <v>7649</v>
      </c>
      <c r="U2034" s="152" t="s">
        <v>786</v>
      </c>
    </row>
    <row r="2035" spans="4:21">
      <c r="D2035" s="210"/>
      <c r="G2035" s="152" t="s">
        <v>660</v>
      </c>
      <c r="H2035" s="474" t="s">
        <v>661</v>
      </c>
      <c r="I2035" s="474"/>
      <c r="J2035" s="847">
        <v>-3498450</v>
      </c>
      <c r="K2035" s="513">
        <v>-2490</v>
      </c>
      <c r="L2035" s="513">
        <v>1405</v>
      </c>
      <c r="M2035" s="152" t="s">
        <v>7143</v>
      </c>
      <c r="N2035" s="513" t="s">
        <v>780</v>
      </c>
      <c r="O2035" s="513" t="s">
        <v>1407</v>
      </c>
      <c r="P2035" s="513" t="s">
        <v>7646</v>
      </c>
      <c r="Q2035" s="518" t="s">
        <v>7101</v>
      </c>
      <c r="R2035" s="152" t="s">
        <v>7647</v>
      </c>
      <c r="S2035" s="152" t="s">
        <v>7652</v>
      </c>
      <c r="T2035" s="152" t="s">
        <v>7649</v>
      </c>
      <c r="U2035" s="152" t="s">
        <v>786</v>
      </c>
    </row>
    <row r="2036" spans="4:21">
      <c r="D2036" s="210"/>
      <c r="G2036" s="152" t="s">
        <v>660</v>
      </c>
      <c r="H2036" s="474" t="s">
        <v>661</v>
      </c>
      <c r="I2036" s="474"/>
      <c r="J2036" s="847">
        <v>-44960</v>
      </c>
      <c r="K2036" s="513">
        <v>-32</v>
      </c>
      <c r="L2036" s="513">
        <v>1405</v>
      </c>
      <c r="M2036" s="152" t="s">
        <v>7143</v>
      </c>
      <c r="N2036" s="513" t="s">
        <v>780</v>
      </c>
      <c r="O2036" s="513" t="s">
        <v>1407</v>
      </c>
      <c r="P2036" s="513" t="s">
        <v>7646</v>
      </c>
      <c r="Q2036" s="518" t="s">
        <v>7101</v>
      </c>
      <c r="R2036" s="152" t="s">
        <v>7647</v>
      </c>
      <c r="S2036" s="152" t="s">
        <v>1474</v>
      </c>
      <c r="T2036" s="152" t="s">
        <v>7649</v>
      </c>
      <c r="U2036" s="152" t="s">
        <v>786</v>
      </c>
    </row>
    <row r="2037" spans="4:21">
      <c r="D2037" s="210"/>
      <c r="G2037" s="152" t="s">
        <v>373</v>
      </c>
      <c r="H2037" s="474" t="s">
        <v>374</v>
      </c>
      <c r="I2037" s="474"/>
      <c r="J2037" s="847">
        <v>-738400</v>
      </c>
      <c r="K2037" s="513">
        <v>-520</v>
      </c>
      <c r="L2037" s="513">
        <v>1420</v>
      </c>
      <c r="M2037" s="152" t="s">
        <v>7143</v>
      </c>
      <c r="N2037" s="513" t="s">
        <v>1566</v>
      </c>
      <c r="O2037" s="513" t="s">
        <v>781</v>
      </c>
      <c r="P2037" s="513" t="s">
        <v>7795</v>
      </c>
      <c r="Q2037" s="518" t="s">
        <v>7796</v>
      </c>
      <c r="R2037" s="152" t="s">
        <v>7797</v>
      </c>
      <c r="T2037" s="152" t="s">
        <v>7798</v>
      </c>
      <c r="U2037" s="152" t="s">
        <v>786</v>
      </c>
    </row>
    <row r="2038" spans="4:21">
      <c r="D2038" s="210"/>
      <c r="G2038" s="152" t="s">
        <v>373</v>
      </c>
      <c r="H2038" s="474" t="s">
        <v>374</v>
      </c>
      <c r="I2038" s="474"/>
      <c r="J2038" s="847">
        <v>-738400</v>
      </c>
      <c r="K2038" s="513">
        <v>-520</v>
      </c>
      <c r="L2038" s="513">
        <v>1420</v>
      </c>
      <c r="M2038" s="152" t="s">
        <v>7143</v>
      </c>
      <c r="N2038" s="513" t="s">
        <v>1566</v>
      </c>
      <c r="O2038" s="513" t="s">
        <v>781</v>
      </c>
      <c r="P2038" s="513" t="s">
        <v>7799</v>
      </c>
      <c r="Q2038" s="518" t="s">
        <v>7796</v>
      </c>
      <c r="R2038" s="152" t="s">
        <v>7800</v>
      </c>
      <c r="T2038" s="152" t="s">
        <v>7801</v>
      </c>
      <c r="U2038" s="152" t="s">
        <v>786</v>
      </c>
    </row>
    <row r="2039" spans="4:21">
      <c r="D2039" s="210"/>
      <c r="G2039" s="152" t="s">
        <v>373</v>
      </c>
      <c r="H2039" s="474" t="s">
        <v>374</v>
      </c>
      <c r="I2039" s="474"/>
      <c r="J2039" s="847">
        <v>-738400</v>
      </c>
      <c r="K2039" s="513">
        <v>-520</v>
      </c>
      <c r="L2039" s="513">
        <v>1420</v>
      </c>
      <c r="M2039" s="152" t="s">
        <v>7143</v>
      </c>
      <c r="N2039" s="513" t="s">
        <v>1566</v>
      </c>
      <c r="O2039" s="513" t="s">
        <v>781</v>
      </c>
      <c r="P2039" s="513" t="s">
        <v>7802</v>
      </c>
      <c r="Q2039" s="518" t="s">
        <v>7796</v>
      </c>
      <c r="R2039" s="152" t="s">
        <v>7803</v>
      </c>
      <c r="T2039" s="152" t="s">
        <v>7804</v>
      </c>
      <c r="U2039" s="152" t="s">
        <v>786</v>
      </c>
    </row>
    <row r="2040" spans="4:21">
      <c r="D2040" s="210"/>
      <c r="G2040" s="152" t="s">
        <v>373</v>
      </c>
      <c r="H2040" s="474" t="s">
        <v>374</v>
      </c>
      <c r="I2040" s="474"/>
      <c r="J2040" s="847">
        <v>-738400</v>
      </c>
      <c r="K2040" s="513">
        <v>-520</v>
      </c>
      <c r="L2040" s="513">
        <v>1420</v>
      </c>
      <c r="M2040" s="152" t="s">
        <v>7143</v>
      </c>
      <c r="N2040" s="513" t="s">
        <v>1566</v>
      </c>
      <c r="O2040" s="513" t="s">
        <v>781</v>
      </c>
      <c r="P2040" s="513" t="s">
        <v>7805</v>
      </c>
      <c r="Q2040" s="518" t="s">
        <v>7796</v>
      </c>
      <c r="R2040" s="152" t="s">
        <v>7806</v>
      </c>
      <c r="T2040" s="152" t="s">
        <v>7807</v>
      </c>
      <c r="U2040" s="152" t="s">
        <v>786</v>
      </c>
    </row>
    <row r="2041" spans="4:21">
      <c r="D2041" s="210"/>
      <c r="G2041" s="152" t="s">
        <v>373</v>
      </c>
      <c r="H2041" s="474" t="s">
        <v>374</v>
      </c>
      <c r="I2041" s="474"/>
      <c r="J2041" s="847">
        <v>4060450</v>
      </c>
      <c r="K2041" s="513">
        <v>2890</v>
      </c>
      <c r="L2041" s="513">
        <v>1405</v>
      </c>
      <c r="M2041" s="152" t="s">
        <v>7808</v>
      </c>
      <c r="N2041" s="513" t="s">
        <v>1566</v>
      </c>
      <c r="O2041" s="513" t="s">
        <v>781</v>
      </c>
      <c r="P2041" s="513" t="s">
        <v>7842</v>
      </c>
      <c r="Q2041" s="518" t="s">
        <v>7796</v>
      </c>
      <c r="R2041" s="152" t="s">
        <v>7843</v>
      </c>
      <c r="S2041" s="152" t="s">
        <v>7844</v>
      </c>
      <c r="T2041" s="152" t="s">
        <v>7845</v>
      </c>
      <c r="U2041" s="152" t="s">
        <v>786</v>
      </c>
    </row>
    <row r="2042" spans="4:21">
      <c r="D2042" s="210"/>
      <c r="G2042" s="152" t="s">
        <v>373</v>
      </c>
      <c r="H2042" s="474" t="s">
        <v>374</v>
      </c>
      <c r="I2042" s="474"/>
      <c r="J2042" s="847">
        <v>2160187.5</v>
      </c>
      <c r="K2042" s="513">
        <v>1537.5</v>
      </c>
      <c r="L2042" s="513">
        <v>1405</v>
      </c>
      <c r="M2042" s="152" t="s">
        <v>7808</v>
      </c>
      <c r="N2042" s="513" t="s">
        <v>1566</v>
      </c>
      <c r="O2042" s="513" t="s">
        <v>781</v>
      </c>
      <c r="P2042" s="513" t="s">
        <v>7846</v>
      </c>
      <c r="Q2042" s="518" t="s">
        <v>7796</v>
      </c>
      <c r="R2042" s="152" t="s">
        <v>7847</v>
      </c>
      <c r="S2042" s="152" t="s">
        <v>7844</v>
      </c>
      <c r="T2042" s="152" t="s">
        <v>7848</v>
      </c>
      <c r="U2042" s="152" t="s">
        <v>786</v>
      </c>
    </row>
    <row r="2043" spans="4:21">
      <c r="D2043" s="210"/>
      <c r="G2043" s="152" t="s">
        <v>373</v>
      </c>
      <c r="H2043" s="474" t="s">
        <v>374</v>
      </c>
      <c r="I2043" s="474"/>
      <c r="J2043" s="847">
        <v>3336875</v>
      </c>
      <c r="K2043" s="513">
        <v>2375</v>
      </c>
      <c r="L2043" s="513">
        <v>1405</v>
      </c>
      <c r="M2043" s="152" t="s">
        <v>7808</v>
      </c>
      <c r="N2043" s="513" t="s">
        <v>1566</v>
      </c>
      <c r="O2043" s="513" t="s">
        <v>781</v>
      </c>
      <c r="P2043" s="513" t="s">
        <v>7849</v>
      </c>
      <c r="Q2043" s="518" t="s">
        <v>7796</v>
      </c>
      <c r="R2043" s="152" t="s">
        <v>7850</v>
      </c>
      <c r="S2043" s="152" t="s">
        <v>7851</v>
      </c>
      <c r="T2043" s="152" t="s">
        <v>7852</v>
      </c>
      <c r="U2043" s="152" t="s">
        <v>786</v>
      </c>
    </row>
    <row r="2044" spans="4:21">
      <c r="D2044" s="210"/>
      <c r="G2044" s="152" t="s">
        <v>373</v>
      </c>
      <c r="H2044" s="474" t="s">
        <v>374</v>
      </c>
      <c r="I2044" s="474"/>
      <c r="J2044" s="847">
        <v>3196375</v>
      </c>
      <c r="K2044" s="513">
        <v>2275</v>
      </c>
      <c r="L2044" s="513">
        <v>1405</v>
      </c>
      <c r="M2044" s="152" t="s">
        <v>7808</v>
      </c>
      <c r="N2044" s="513" t="s">
        <v>1566</v>
      </c>
      <c r="O2044" s="513" t="s">
        <v>781</v>
      </c>
      <c r="P2044" s="513" t="s">
        <v>7853</v>
      </c>
      <c r="Q2044" s="518" t="s">
        <v>7796</v>
      </c>
      <c r="R2044" s="152" t="s">
        <v>7854</v>
      </c>
      <c r="S2044" s="152" t="s">
        <v>7851</v>
      </c>
      <c r="T2044" s="152" t="s">
        <v>7855</v>
      </c>
      <c r="U2044" s="152" t="s">
        <v>786</v>
      </c>
    </row>
    <row r="2045" spans="4:21">
      <c r="D2045" s="210"/>
      <c r="G2045" s="152" t="s">
        <v>373</v>
      </c>
      <c r="H2045" s="474" t="s">
        <v>374</v>
      </c>
      <c r="I2045" s="474"/>
      <c r="J2045" s="847">
        <v>5735912.5</v>
      </c>
      <c r="K2045" s="513">
        <v>4082.5</v>
      </c>
      <c r="L2045" s="513">
        <v>1405</v>
      </c>
      <c r="M2045" s="152" t="s">
        <v>7808</v>
      </c>
      <c r="N2045" s="513" t="s">
        <v>1566</v>
      </c>
      <c r="O2045" s="513" t="s">
        <v>781</v>
      </c>
      <c r="P2045" s="513" t="s">
        <v>7856</v>
      </c>
      <c r="Q2045" s="518" t="s">
        <v>7796</v>
      </c>
      <c r="R2045" s="152" t="s">
        <v>7857</v>
      </c>
      <c r="S2045" s="152" t="s">
        <v>7858</v>
      </c>
      <c r="T2045" s="152" t="s">
        <v>7859</v>
      </c>
      <c r="U2045" s="152" t="s">
        <v>786</v>
      </c>
    </row>
    <row r="2046" spans="4:21">
      <c r="D2046" s="210"/>
      <c r="G2046" s="152" t="s">
        <v>373</v>
      </c>
      <c r="H2046" s="474" t="s">
        <v>374</v>
      </c>
      <c r="I2046" s="474"/>
      <c r="J2046" s="847">
        <v>4404675</v>
      </c>
      <c r="K2046" s="513">
        <v>3135</v>
      </c>
      <c r="L2046" s="513">
        <v>1405</v>
      </c>
      <c r="M2046" s="152" t="s">
        <v>7808</v>
      </c>
      <c r="N2046" s="513" t="s">
        <v>1566</v>
      </c>
      <c r="O2046" s="513" t="s">
        <v>781</v>
      </c>
      <c r="P2046" s="513" t="s">
        <v>7860</v>
      </c>
      <c r="Q2046" s="518" t="s">
        <v>7796</v>
      </c>
      <c r="R2046" s="152" t="s">
        <v>7861</v>
      </c>
      <c r="S2046" s="152" t="s">
        <v>7858</v>
      </c>
      <c r="T2046" s="152" t="s">
        <v>7862</v>
      </c>
      <c r="U2046" s="152" t="s">
        <v>786</v>
      </c>
    </row>
    <row r="2047" spans="4:21">
      <c r="D2047" s="210"/>
      <c r="G2047" s="152" t="s">
        <v>373</v>
      </c>
      <c r="H2047" s="474" t="s">
        <v>374</v>
      </c>
      <c r="I2047" s="474"/>
      <c r="J2047" s="847">
        <v>1503350</v>
      </c>
      <c r="K2047" s="513">
        <v>1070</v>
      </c>
      <c r="L2047" s="513">
        <v>1405</v>
      </c>
      <c r="M2047" s="152" t="s">
        <v>7808</v>
      </c>
      <c r="N2047" s="513" t="s">
        <v>1566</v>
      </c>
      <c r="O2047" s="513" t="s">
        <v>781</v>
      </c>
      <c r="P2047" s="513" t="s">
        <v>7863</v>
      </c>
      <c r="Q2047" s="518" t="s">
        <v>7796</v>
      </c>
      <c r="R2047" s="152" t="s">
        <v>7864</v>
      </c>
      <c r="S2047" s="152" t="s">
        <v>7865</v>
      </c>
      <c r="T2047" s="152" t="s">
        <v>7866</v>
      </c>
      <c r="U2047" s="152" t="s">
        <v>786</v>
      </c>
    </row>
    <row r="2048" spans="4:21">
      <c r="D2048" s="210"/>
      <c r="G2048" s="152" t="s">
        <v>373</v>
      </c>
      <c r="H2048" s="474" t="s">
        <v>374</v>
      </c>
      <c r="I2048" s="474"/>
      <c r="J2048" s="847">
        <v>2469287.5</v>
      </c>
      <c r="K2048" s="513">
        <v>1757.5</v>
      </c>
      <c r="L2048" s="513">
        <v>1405</v>
      </c>
      <c r="M2048" s="152" t="s">
        <v>7808</v>
      </c>
      <c r="N2048" s="513" t="s">
        <v>1566</v>
      </c>
      <c r="O2048" s="513" t="s">
        <v>781</v>
      </c>
      <c r="P2048" s="513" t="s">
        <v>7867</v>
      </c>
      <c r="Q2048" s="518" t="s">
        <v>7796</v>
      </c>
      <c r="R2048" s="152" t="s">
        <v>7868</v>
      </c>
      <c r="S2048" s="152" t="s">
        <v>7865</v>
      </c>
      <c r="T2048" s="152" t="s">
        <v>7869</v>
      </c>
      <c r="U2048" s="152" t="s">
        <v>786</v>
      </c>
    </row>
    <row r="2049" spans="4:21">
      <c r="D2049" s="210"/>
      <c r="G2049" s="152" t="s">
        <v>373</v>
      </c>
      <c r="H2049" s="474" t="s">
        <v>374</v>
      </c>
      <c r="I2049" s="474"/>
      <c r="J2049" s="847">
        <v>3934000</v>
      </c>
      <c r="K2049" s="513">
        <v>2800</v>
      </c>
      <c r="L2049" s="513">
        <v>1405</v>
      </c>
      <c r="M2049" s="152" t="s">
        <v>7808</v>
      </c>
      <c r="N2049" s="513" t="s">
        <v>1566</v>
      </c>
      <c r="O2049" s="513" t="s">
        <v>781</v>
      </c>
      <c r="P2049" s="513" t="s">
        <v>7870</v>
      </c>
      <c r="Q2049" s="518" t="s">
        <v>7796</v>
      </c>
      <c r="R2049" s="152" t="s">
        <v>7871</v>
      </c>
      <c r="S2049" s="152" t="s">
        <v>7865</v>
      </c>
      <c r="T2049" s="152" t="s">
        <v>7872</v>
      </c>
      <c r="U2049" s="152" t="s">
        <v>786</v>
      </c>
    </row>
    <row r="2050" spans="4:21">
      <c r="D2050" s="210"/>
      <c r="G2050" s="152" t="s">
        <v>373</v>
      </c>
      <c r="H2050" s="474" t="s">
        <v>374</v>
      </c>
      <c r="I2050" s="474"/>
      <c r="J2050" s="847">
        <v>2971575</v>
      </c>
      <c r="K2050" s="513">
        <v>2115</v>
      </c>
      <c r="L2050" s="513">
        <v>1405</v>
      </c>
      <c r="M2050" s="152" t="s">
        <v>7808</v>
      </c>
      <c r="N2050" s="513" t="s">
        <v>1566</v>
      </c>
      <c r="O2050" s="513" t="s">
        <v>781</v>
      </c>
      <c r="P2050" s="513" t="s">
        <v>7873</v>
      </c>
      <c r="Q2050" s="518" t="s">
        <v>7796</v>
      </c>
      <c r="R2050" s="152" t="s">
        <v>7874</v>
      </c>
      <c r="S2050" s="152" t="s">
        <v>7865</v>
      </c>
      <c r="T2050" s="152" t="s">
        <v>7875</v>
      </c>
      <c r="U2050" s="152" t="s">
        <v>786</v>
      </c>
    </row>
    <row r="2051" spans="4:21">
      <c r="D2051" s="210"/>
      <c r="G2051" s="152" t="s">
        <v>373</v>
      </c>
      <c r="H2051" s="474" t="s">
        <v>374</v>
      </c>
      <c r="I2051" s="474"/>
      <c r="J2051" s="847">
        <v>3680397.5</v>
      </c>
      <c r="K2051" s="513">
        <v>2619.5</v>
      </c>
      <c r="L2051" s="513">
        <v>1405</v>
      </c>
      <c r="M2051" s="152" t="s">
        <v>7808</v>
      </c>
      <c r="N2051" s="513" t="s">
        <v>1566</v>
      </c>
      <c r="O2051" s="513" t="s">
        <v>781</v>
      </c>
      <c r="P2051" s="513" t="s">
        <v>7876</v>
      </c>
      <c r="Q2051" s="518" t="s">
        <v>7796</v>
      </c>
      <c r="R2051" s="152" t="s">
        <v>7877</v>
      </c>
      <c r="S2051" s="152" t="s">
        <v>7878</v>
      </c>
      <c r="T2051" s="152" t="s">
        <v>7879</v>
      </c>
      <c r="U2051" s="152" t="s">
        <v>786</v>
      </c>
    </row>
    <row r="2052" spans="4:21">
      <c r="D2052" s="210"/>
      <c r="G2052" s="152" t="s">
        <v>373</v>
      </c>
      <c r="H2052" s="474" t="s">
        <v>374</v>
      </c>
      <c r="I2052" s="474"/>
      <c r="J2052" s="847">
        <v>3312287.5</v>
      </c>
      <c r="K2052" s="513">
        <v>2357.5</v>
      </c>
      <c r="L2052" s="513">
        <v>1405</v>
      </c>
      <c r="M2052" s="152" t="s">
        <v>7808</v>
      </c>
      <c r="N2052" s="513" t="s">
        <v>1566</v>
      </c>
      <c r="O2052" s="513" t="s">
        <v>781</v>
      </c>
      <c r="P2052" s="513" t="s">
        <v>7880</v>
      </c>
      <c r="Q2052" s="518" t="s">
        <v>7796</v>
      </c>
      <c r="R2052" s="152" t="s">
        <v>7881</v>
      </c>
      <c r="S2052" s="152" t="s">
        <v>7878</v>
      </c>
      <c r="T2052" s="152" t="s">
        <v>7882</v>
      </c>
      <c r="U2052" s="152" t="s">
        <v>786</v>
      </c>
    </row>
    <row r="2053" spans="4:21">
      <c r="D2053" s="210"/>
      <c r="G2053" s="152" t="s">
        <v>373</v>
      </c>
      <c r="H2053" s="474" t="s">
        <v>374</v>
      </c>
      <c r="I2053" s="474"/>
      <c r="J2053" s="847">
        <v>4186900</v>
      </c>
      <c r="K2053" s="513">
        <v>2980</v>
      </c>
      <c r="L2053" s="513">
        <v>1405</v>
      </c>
      <c r="M2053" s="152" t="s">
        <v>7808</v>
      </c>
      <c r="N2053" s="513" t="s">
        <v>1566</v>
      </c>
      <c r="O2053" s="513" t="s">
        <v>781</v>
      </c>
      <c r="P2053" s="513" t="s">
        <v>7883</v>
      </c>
      <c r="Q2053" s="518" t="s">
        <v>7796</v>
      </c>
      <c r="R2053" s="152" t="s">
        <v>7884</v>
      </c>
      <c r="S2053" s="152" t="s">
        <v>7878</v>
      </c>
      <c r="T2053" s="152" t="s">
        <v>7885</v>
      </c>
      <c r="U2053" s="152" t="s">
        <v>786</v>
      </c>
    </row>
    <row r="2054" spans="4:21">
      <c r="D2054" s="210"/>
      <c r="G2054" s="152" t="s">
        <v>373</v>
      </c>
      <c r="H2054" s="474" t="s">
        <v>374</v>
      </c>
      <c r="I2054" s="474"/>
      <c r="J2054" s="847">
        <v>3498450</v>
      </c>
      <c r="K2054" s="513">
        <v>2490</v>
      </c>
      <c r="L2054" s="513">
        <v>1405</v>
      </c>
      <c r="M2054" s="152" t="s">
        <v>7808</v>
      </c>
      <c r="N2054" s="513" t="s">
        <v>1566</v>
      </c>
      <c r="O2054" s="513" t="s">
        <v>781</v>
      </c>
      <c r="P2054" s="513" t="s">
        <v>7886</v>
      </c>
      <c r="Q2054" s="518" t="s">
        <v>7796</v>
      </c>
      <c r="R2054" s="152" t="s">
        <v>7887</v>
      </c>
      <c r="S2054" s="152" t="s">
        <v>7878</v>
      </c>
      <c r="T2054" s="152" t="s">
        <v>7888</v>
      </c>
      <c r="U2054" s="152" t="s">
        <v>786</v>
      </c>
    </row>
    <row r="2055" spans="4:21">
      <c r="D2055" s="210"/>
      <c r="G2055" s="152" t="s">
        <v>373</v>
      </c>
      <c r="H2055" s="474" t="s">
        <v>374</v>
      </c>
      <c r="I2055" s="474"/>
      <c r="J2055" s="847">
        <v>1654387.5</v>
      </c>
      <c r="K2055" s="513">
        <v>1177.5</v>
      </c>
      <c r="L2055" s="513">
        <v>1405</v>
      </c>
      <c r="M2055" s="152" t="s">
        <v>7808</v>
      </c>
      <c r="N2055" s="513" t="s">
        <v>1566</v>
      </c>
      <c r="O2055" s="513" t="s">
        <v>781</v>
      </c>
      <c r="P2055" s="513" t="s">
        <v>7889</v>
      </c>
      <c r="Q2055" s="518" t="s">
        <v>7796</v>
      </c>
      <c r="R2055" s="152" t="s">
        <v>7890</v>
      </c>
      <c r="S2055" s="152" t="s">
        <v>7891</v>
      </c>
      <c r="T2055" s="152" t="s">
        <v>7892</v>
      </c>
      <c r="U2055" s="152" t="s">
        <v>786</v>
      </c>
    </row>
    <row r="2056" spans="4:21">
      <c r="D2056" s="210"/>
      <c r="G2056" s="152" t="s">
        <v>373</v>
      </c>
      <c r="H2056" s="474" t="s">
        <v>374</v>
      </c>
      <c r="I2056" s="474"/>
      <c r="J2056" s="847">
        <v>1956462.5</v>
      </c>
      <c r="K2056" s="513">
        <v>1392.5</v>
      </c>
      <c r="L2056" s="513">
        <v>1405</v>
      </c>
      <c r="M2056" s="152" t="s">
        <v>7116</v>
      </c>
      <c r="N2056" s="513" t="s">
        <v>1566</v>
      </c>
      <c r="O2056" s="513" t="s">
        <v>781</v>
      </c>
      <c r="P2056" s="513" t="s">
        <v>7943</v>
      </c>
      <c r="Q2056" s="518" t="s">
        <v>7796</v>
      </c>
      <c r="R2056" s="152" t="s">
        <v>7944</v>
      </c>
      <c r="S2056" s="152" t="s">
        <v>7945</v>
      </c>
      <c r="T2056" s="152" t="s">
        <v>7946</v>
      </c>
      <c r="U2056" s="152" t="s">
        <v>786</v>
      </c>
    </row>
    <row r="2057" spans="4:21">
      <c r="D2057" s="210"/>
      <c r="G2057" s="152" t="s">
        <v>373</v>
      </c>
      <c r="H2057" s="474" t="s">
        <v>374</v>
      </c>
      <c r="I2057" s="474"/>
      <c r="J2057" s="847">
        <v>1686000</v>
      </c>
      <c r="K2057" s="513">
        <v>1200</v>
      </c>
      <c r="L2057" s="513">
        <v>1405</v>
      </c>
      <c r="M2057" s="152" t="s">
        <v>7116</v>
      </c>
      <c r="N2057" s="513" t="s">
        <v>1566</v>
      </c>
      <c r="O2057" s="513" t="s">
        <v>781</v>
      </c>
      <c r="P2057" s="513" t="s">
        <v>7947</v>
      </c>
      <c r="Q2057" s="518" t="s">
        <v>7796</v>
      </c>
      <c r="R2057" s="152" t="s">
        <v>7948</v>
      </c>
      <c r="S2057" s="152" t="s">
        <v>7945</v>
      </c>
      <c r="T2057" s="152" t="s">
        <v>7949</v>
      </c>
      <c r="U2057" s="152" t="s">
        <v>786</v>
      </c>
    </row>
    <row r="2058" spans="4:21">
      <c r="D2058" s="210"/>
      <c r="G2058" s="152" t="s">
        <v>373</v>
      </c>
      <c r="H2058" s="474" t="s">
        <v>374</v>
      </c>
      <c r="I2058" s="474"/>
      <c r="J2058" s="847">
        <v>1798400</v>
      </c>
      <c r="K2058" s="513">
        <v>1280</v>
      </c>
      <c r="L2058" s="513">
        <v>1405</v>
      </c>
      <c r="M2058" s="152" t="s">
        <v>7116</v>
      </c>
      <c r="N2058" s="513" t="s">
        <v>1566</v>
      </c>
      <c r="O2058" s="513" t="s">
        <v>781</v>
      </c>
      <c r="P2058" s="513" t="s">
        <v>7950</v>
      </c>
      <c r="Q2058" s="518" t="s">
        <v>7796</v>
      </c>
      <c r="R2058" s="152" t="s">
        <v>7951</v>
      </c>
      <c r="S2058" s="152" t="s">
        <v>7945</v>
      </c>
      <c r="T2058" s="152" t="s">
        <v>7952</v>
      </c>
      <c r="U2058" s="152" t="s">
        <v>786</v>
      </c>
    </row>
    <row r="2059" spans="4:21">
      <c r="D2059" s="210"/>
      <c r="G2059" s="152" t="s">
        <v>373</v>
      </c>
      <c r="H2059" s="474" t="s">
        <v>374</v>
      </c>
      <c r="I2059" s="474"/>
      <c r="J2059" s="847">
        <v>1808937.5</v>
      </c>
      <c r="K2059" s="513">
        <v>1287.5</v>
      </c>
      <c r="L2059" s="513">
        <v>1405</v>
      </c>
      <c r="M2059" s="152" t="s">
        <v>7116</v>
      </c>
      <c r="N2059" s="513" t="s">
        <v>1566</v>
      </c>
      <c r="O2059" s="513" t="s">
        <v>781</v>
      </c>
      <c r="P2059" s="513" t="s">
        <v>7953</v>
      </c>
      <c r="Q2059" s="518" t="s">
        <v>7796</v>
      </c>
      <c r="R2059" s="152" t="s">
        <v>7954</v>
      </c>
      <c r="S2059" s="152" t="s">
        <v>7945</v>
      </c>
      <c r="T2059" s="152" t="s">
        <v>7955</v>
      </c>
      <c r="U2059" s="152" t="s">
        <v>786</v>
      </c>
    </row>
    <row r="2060" spans="4:21">
      <c r="D2060" s="210"/>
      <c r="G2060" s="152" t="s">
        <v>373</v>
      </c>
      <c r="H2060" s="474" t="s">
        <v>374</v>
      </c>
      <c r="I2060" s="474"/>
      <c r="J2060" s="847">
        <v>10137075</v>
      </c>
      <c r="K2060" s="513">
        <v>7215</v>
      </c>
      <c r="L2060" s="513">
        <v>1405</v>
      </c>
      <c r="M2060" s="152" t="s">
        <v>7116</v>
      </c>
      <c r="N2060" s="513" t="s">
        <v>1566</v>
      </c>
      <c r="O2060" s="513" t="s">
        <v>781</v>
      </c>
      <c r="P2060" s="513" t="s">
        <v>7956</v>
      </c>
      <c r="Q2060" s="518" t="s">
        <v>7796</v>
      </c>
      <c r="R2060" s="152" t="s">
        <v>7957</v>
      </c>
      <c r="S2060" s="152" t="s">
        <v>7945</v>
      </c>
      <c r="T2060" s="152" t="s">
        <v>7958</v>
      </c>
      <c r="U2060" s="152" t="s">
        <v>786</v>
      </c>
    </row>
    <row r="2061" spans="4:21">
      <c r="D2061" s="210"/>
      <c r="G2061" s="152" t="s">
        <v>373</v>
      </c>
      <c r="H2061" s="474" t="s">
        <v>374</v>
      </c>
      <c r="I2061" s="474"/>
      <c r="J2061" s="847">
        <v>2420112.5</v>
      </c>
      <c r="K2061" s="513">
        <v>1722.5</v>
      </c>
      <c r="L2061" s="513">
        <v>1405</v>
      </c>
      <c r="M2061" s="152" t="s">
        <v>7116</v>
      </c>
      <c r="N2061" s="513" t="s">
        <v>1566</v>
      </c>
      <c r="O2061" s="513" t="s">
        <v>781</v>
      </c>
      <c r="P2061" s="513" t="s">
        <v>7959</v>
      </c>
      <c r="Q2061" s="518" t="s">
        <v>7796</v>
      </c>
      <c r="R2061" s="152" t="s">
        <v>7960</v>
      </c>
      <c r="S2061" s="152" t="s">
        <v>7945</v>
      </c>
      <c r="T2061" s="152" t="s">
        <v>7961</v>
      </c>
      <c r="U2061" s="152" t="s">
        <v>786</v>
      </c>
    </row>
    <row r="2062" spans="4:21">
      <c r="D2062" s="210"/>
      <c r="G2062" s="152" t="s">
        <v>373</v>
      </c>
      <c r="H2062" s="474" t="s">
        <v>374</v>
      </c>
      <c r="I2062" s="474"/>
      <c r="J2062" s="847">
        <v>1707075</v>
      </c>
      <c r="K2062" s="513">
        <v>1215</v>
      </c>
      <c r="L2062" s="513">
        <v>1405</v>
      </c>
      <c r="M2062" s="152" t="s">
        <v>7116</v>
      </c>
      <c r="N2062" s="513" t="s">
        <v>1566</v>
      </c>
      <c r="O2062" s="513" t="s">
        <v>781</v>
      </c>
      <c r="P2062" s="513" t="s">
        <v>7962</v>
      </c>
      <c r="Q2062" s="518" t="s">
        <v>7796</v>
      </c>
      <c r="R2062" s="152" t="s">
        <v>7963</v>
      </c>
      <c r="S2062" s="152" t="s">
        <v>7964</v>
      </c>
      <c r="T2062" s="152" t="s">
        <v>7965</v>
      </c>
      <c r="U2062" s="152" t="s">
        <v>786</v>
      </c>
    </row>
    <row r="2063" spans="4:21">
      <c r="D2063" s="210"/>
      <c r="G2063" s="152" t="s">
        <v>373</v>
      </c>
      <c r="H2063" s="474" t="s">
        <v>374</v>
      </c>
      <c r="I2063" s="474"/>
      <c r="J2063" s="847">
        <v>4243100</v>
      </c>
      <c r="K2063" s="513">
        <v>3020</v>
      </c>
      <c r="L2063" s="513">
        <v>1405</v>
      </c>
      <c r="M2063" s="152" t="s">
        <v>7116</v>
      </c>
      <c r="N2063" s="513" t="s">
        <v>1566</v>
      </c>
      <c r="O2063" s="513" t="s">
        <v>781</v>
      </c>
      <c r="P2063" s="513" t="s">
        <v>7966</v>
      </c>
      <c r="Q2063" s="518" t="s">
        <v>7796</v>
      </c>
      <c r="R2063" s="152" t="s">
        <v>7967</v>
      </c>
      <c r="S2063" s="152" t="s">
        <v>7964</v>
      </c>
      <c r="T2063" s="152" t="s">
        <v>7968</v>
      </c>
      <c r="U2063" s="152" t="s">
        <v>786</v>
      </c>
    </row>
    <row r="2064" spans="4:21">
      <c r="D2064" s="210"/>
      <c r="G2064" s="152" t="s">
        <v>373</v>
      </c>
      <c r="H2064" s="474" t="s">
        <v>374</v>
      </c>
      <c r="I2064" s="474"/>
      <c r="J2064" s="847">
        <v>2198825</v>
      </c>
      <c r="K2064" s="513">
        <v>1565</v>
      </c>
      <c r="L2064" s="513">
        <v>1405</v>
      </c>
      <c r="M2064" s="152" t="s">
        <v>7116</v>
      </c>
      <c r="N2064" s="513" t="s">
        <v>1566</v>
      </c>
      <c r="O2064" s="513" t="s">
        <v>781</v>
      </c>
      <c r="P2064" s="513" t="s">
        <v>7969</v>
      </c>
      <c r="Q2064" s="518" t="s">
        <v>7796</v>
      </c>
      <c r="R2064" s="152" t="s">
        <v>7970</v>
      </c>
      <c r="S2064" s="152" t="s">
        <v>7964</v>
      </c>
      <c r="T2064" s="152" t="s">
        <v>7971</v>
      </c>
      <c r="U2064" s="152" t="s">
        <v>786</v>
      </c>
    </row>
    <row r="2065" spans="4:21">
      <c r="D2065" s="210"/>
      <c r="G2065" s="152" t="s">
        <v>373</v>
      </c>
      <c r="H2065" s="474" t="s">
        <v>374</v>
      </c>
      <c r="I2065" s="474"/>
      <c r="J2065" s="847">
        <v>1875675</v>
      </c>
      <c r="K2065" s="513">
        <v>1335</v>
      </c>
      <c r="L2065" s="513">
        <v>1405</v>
      </c>
      <c r="M2065" s="152" t="s">
        <v>7116</v>
      </c>
      <c r="N2065" s="513" t="s">
        <v>1566</v>
      </c>
      <c r="O2065" s="513" t="s">
        <v>781</v>
      </c>
      <c r="P2065" s="513" t="s">
        <v>7972</v>
      </c>
      <c r="Q2065" s="518" t="s">
        <v>7796</v>
      </c>
      <c r="R2065" s="152" t="s">
        <v>7973</v>
      </c>
      <c r="S2065" s="152" t="s">
        <v>7964</v>
      </c>
      <c r="T2065" s="152" t="s">
        <v>7974</v>
      </c>
      <c r="U2065" s="152" t="s">
        <v>786</v>
      </c>
    </row>
    <row r="2066" spans="4:21">
      <c r="D2066" s="210"/>
      <c r="G2066" s="152" t="s">
        <v>373</v>
      </c>
      <c r="H2066" s="474" t="s">
        <v>374</v>
      </c>
      <c r="I2066" s="474"/>
      <c r="J2066" s="847">
        <v>2834587.5</v>
      </c>
      <c r="K2066" s="513">
        <v>2017.5</v>
      </c>
      <c r="L2066" s="513">
        <v>1405</v>
      </c>
      <c r="M2066" s="152" t="s">
        <v>7975</v>
      </c>
      <c r="N2066" s="513" t="s">
        <v>1566</v>
      </c>
      <c r="O2066" s="513" t="s">
        <v>781</v>
      </c>
      <c r="P2066" s="513" t="s">
        <v>7998</v>
      </c>
      <c r="Q2066" s="518" t="s">
        <v>7796</v>
      </c>
      <c r="R2066" s="152" t="s">
        <v>7999</v>
      </c>
      <c r="S2066" s="152" t="s">
        <v>8000</v>
      </c>
      <c r="T2066" s="152" t="s">
        <v>8001</v>
      </c>
      <c r="U2066" s="152" t="s">
        <v>786</v>
      </c>
    </row>
    <row r="2067" spans="4:21">
      <c r="D2067" s="210"/>
      <c r="G2067" s="152" t="s">
        <v>373</v>
      </c>
      <c r="H2067" s="474" t="s">
        <v>374</v>
      </c>
      <c r="I2067" s="474"/>
      <c r="J2067" s="847">
        <v>9638300</v>
      </c>
      <c r="K2067" s="513">
        <v>6860</v>
      </c>
      <c r="L2067" s="513">
        <v>1405</v>
      </c>
      <c r="M2067" s="152" t="s">
        <v>7975</v>
      </c>
      <c r="N2067" s="513" t="s">
        <v>1566</v>
      </c>
      <c r="O2067" s="513" t="s">
        <v>781</v>
      </c>
      <c r="P2067" s="513" t="s">
        <v>8002</v>
      </c>
      <c r="Q2067" s="518" t="s">
        <v>7796</v>
      </c>
      <c r="R2067" s="152" t="s">
        <v>8003</v>
      </c>
      <c r="S2067" s="152" t="s">
        <v>8000</v>
      </c>
      <c r="T2067" s="152" t="s">
        <v>8004</v>
      </c>
      <c r="U2067" s="152" t="s">
        <v>786</v>
      </c>
    </row>
    <row r="2068" spans="4:21">
      <c r="D2068" s="210"/>
      <c r="G2068" s="152" t="s">
        <v>373</v>
      </c>
      <c r="H2068" s="474" t="s">
        <v>374</v>
      </c>
      <c r="I2068" s="474"/>
      <c r="J2068" s="847">
        <v>2023200</v>
      </c>
      <c r="K2068" s="513">
        <v>1440</v>
      </c>
      <c r="L2068" s="513">
        <v>1405</v>
      </c>
      <c r="M2068" s="152" t="s">
        <v>7975</v>
      </c>
      <c r="N2068" s="513" t="s">
        <v>1566</v>
      </c>
      <c r="O2068" s="513" t="s">
        <v>781</v>
      </c>
      <c r="P2068" s="513" t="s">
        <v>8005</v>
      </c>
      <c r="Q2068" s="518" t="s">
        <v>7796</v>
      </c>
      <c r="R2068" s="152" t="s">
        <v>8006</v>
      </c>
      <c r="S2068" s="152" t="s">
        <v>8000</v>
      </c>
      <c r="T2068" s="152" t="s">
        <v>8007</v>
      </c>
      <c r="U2068" s="152" t="s">
        <v>786</v>
      </c>
    </row>
    <row r="2069" spans="4:21">
      <c r="D2069" s="210"/>
      <c r="G2069" s="152" t="s">
        <v>373</v>
      </c>
      <c r="H2069" s="474" t="s">
        <v>374</v>
      </c>
      <c r="I2069" s="474"/>
      <c r="J2069" s="847">
        <v>2525487.5</v>
      </c>
      <c r="K2069" s="513">
        <v>1797.5</v>
      </c>
      <c r="L2069" s="513">
        <v>1405</v>
      </c>
      <c r="M2069" s="152" t="s">
        <v>7975</v>
      </c>
      <c r="N2069" s="513" t="s">
        <v>1566</v>
      </c>
      <c r="O2069" s="513" t="s">
        <v>781</v>
      </c>
      <c r="P2069" s="513" t="s">
        <v>8008</v>
      </c>
      <c r="Q2069" s="518" t="s">
        <v>7796</v>
      </c>
      <c r="R2069" s="152" t="s">
        <v>8009</v>
      </c>
      <c r="S2069" s="152" t="s">
        <v>8000</v>
      </c>
      <c r="T2069" s="152" t="s">
        <v>8010</v>
      </c>
      <c r="U2069" s="152" t="s">
        <v>786</v>
      </c>
    </row>
    <row r="2070" spans="4:21">
      <c r="D2070" s="210"/>
      <c r="G2070" s="152" t="s">
        <v>373</v>
      </c>
      <c r="H2070" s="474" t="s">
        <v>374</v>
      </c>
      <c r="I2070" s="474"/>
      <c r="J2070" s="847">
        <v>1671950</v>
      </c>
      <c r="K2070" s="513">
        <v>1190</v>
      </c>
      <c r="L2070" s="513">
        <v>1405</v>
      </c>
      <c r="M2070" s="152" t="s">
        <v>7975</v>
      </c>
      <c r="N2070" s="513" t="s">
        <v>1566</v>
      </c>
      <c r="O2070" s="513" t="s">
        <v>781</v>
      </c>
      <c r="P2070" s="513" t="s">
        <v>8011</v>
      </c>
      <c r="Q2070" s="518" t="s">
        <v>7796</v>
      </c>
      <c r="R2070" s="152" t="s">
        <v>8012</v>
      </c>
      <c r="S2070" s="152" t="s">
        <v>8000</v>
      </c>
      <c r="T2070" s="152" t="s">
        <v>8013</v>
      </c>
      <c r="U2070" s="152" t="s">
        <v>786</v>
      </c>
    </row>
    <row r="2071" spans="4:21">
      <c r="D2071" s="210"/>
      <c r="G2071" s="152" t="s">
        <v>373</v>
      </c>
      <c r="H2071" s="474" t="s">
        <v>374</v>
      </c>
      <c r="I2071" s="474"/>
      <c r="J2071" s="847">
        <v>2177750</v>
      </c>
      <c r="K2071" s="513">
        <v>1550</v>
      </c>
      <c r="L2071" s="513">
        <v>1405</v>
      </c>
      <c r="M2071" s="152" t="s">
        <v>7975</v>
      </c>
      <c r="N2071" s="513" t="s">
        <v>1566</v>
      </c>
      <c r="O2071" s="513" t="s">
        <v>781</v>
      </c>
      <c r="P2071" s="513" t="s">
        <v>8014</v>
      </c>
      <c r="Q2071" s="518" t="s">
        <v>7796</v>
      </c>
      <c r="R2071" s="152" t="s">
        <v>8015</v>
      </c>
      <c r="S2071" s="152" t="s">
        <v>8000</v>
      </c>
      <c r="T2071" s="152" t="s">
        <v>8016</v>
      </c>
      <c r="U2071" s="152" t="s">
        <v>786</v>
      </c>
    </row>
    <row r="2072" spans="4:21">
      <c r="D2072" s="210"/>
      <c r="G2072" s="152" t="s">
        <v>373</v>
      </c>
      <c r="H2072" s="474" t="s">
        <v>374</v>
      </c>
      <c r="I2072" s="474"/>
      <c r="J2072" s="847">
        <v>4471412.5</v>
      </c>
      <c r="K2072" s="513">
        <v>3182.5</v>
      </c>
      <c r="L2072" s="513">
        <v>1405</v>
      </c>
      <c r="M2072" s="152" t="s">
        <v>7975</v>
      </c>
      <c r="N2072" s="513" t="s">
        <v>1566</v>
      </c>
      <c r="O2072" s="513" t="s">
        <v>781</v>
      </c>
      <c r="P2072" s="513" t="s">
        <v>8017</v>
      </c>
      <c r="Q2072" s="518" t="s">
        <v>7796</v>
      </c>
      <c r="R2072" s="152" t="s">
        <v>8018</v>
      </c>
      <c r="S2072" s="152" t="s">
        <v>8019</v>
      </c>
      <c r="T2072" s="152" t="s">
        <v>8020</v>
      </c>
      <c r="U2072" s="152" t="s">
        <v>786</v>
      </c>
    </row>
    <row r="2073" spans="4:21">
      <c r="D2073" s="210"/>
      <c r="G2073" s="152" t="s">
        <v>373</v>
      </c>
      <c r="H2073" s="474" t="s">
        <v>374</v>
      </c>
      <c r="I2073" s="474"/>
      <c r="J2073" s="847">
        <v>5258212.5</v>
      </c>
      <c r="K2073" s="513">
        <v>3742.5</v>
      </c>
      <c r="L2073" s="513">
        <v>1405</v>
      </c>
      <c r="M2073" s="152" t="s">
        <v>7975</v>
      </c>
      <c r="N2073" s="513" t="s">
        <v>1566</v>
      </c>
      <c r="O2073" s="513" t="s">
        <v>781</v>
      </c>
      <c r="P2073" s="513" t="s">
        <v>8021</v>
      </c>
      <c r="Q2073" s="518" t="s">
        <v>7796</v>
      </c>
      <c r="R2073" s="152" t="s">
        <v>8022</v>
      </c>
      <c r="S2073" s="152" t="s">
        <v>8019</v>
      </c>
      <c r="T2073" s="152" t="s">
        <v>8023</v>
      </c>
      <c r="U2073" s="152" t="s">
        <v>786</v>
      </c>
    </row>
    <row r="2074" spans="4:21">
      <c r="D2074" s="210"/>
      <c r="G2074" s="152" t="s">
        <v>373</v>
      </c>
      <c r="H2074" s="474" t="s">
        <v>374</v>
      </c>
      <c r="I2074" s="474"/>
      <c r="J2074" s="847">
        <v>5665662.5</v>
      </c>
      <c r="K2074" s="513">
        <v>4032.5</v>
      </c>
      <c r="L2074" s="513">
        <v>1405</v>
      </c>
      <c r="M2074" s="152" t="s">
        <v>7975</v>
      </c>
      <c r="N2074" s="513" t="s">
        <v>1566</v>
      </c>
      <c r="O2074" s="513" t="s">
        <v>781</v>
      </c>
      <c r="P2074" s="513" t="s">
        <v>8024</v>
      </c>
      <c r="Q2074" s="518" t="s">
        <v>7796</v>
      </c>
      <c r="R2074" s="152" t="s">
        <v>8025</v>
      </c>
      <c r="S2074" s="152" t="s">
        <v>8019</v>
      </c>
      <c r="T2074" s="152" t="s">
        <v>8026</v>
      </c>
      <c r="U2074" s="152" t="s">
        <v>786</v>
      </c>
    </row>
    <row r="2075" spans="4:21">
      <c r="D2075" s="210"/>
      <c r="G2075" s="152" t="s">
        <v>373</v>
      </c>
      <c r="H2075" s="474" t="s">
        <v>374</v>
      </c>
      <c r="I2075" s="474"/>
      <c r="J2075" s="847">
        <v>1928362.5</v>
      </c>
      <c r="K2075" s="513">
        <v>1372.5</v>
      </c>
      <c r="L2075" s="513">
        <v>1405</v>
      </c>
      <c r="M2075" s="152" t="s">
        <v>7975</v>
      </c>
      <c r="N2075" s="513" t="s">
        <v>1566</v>
      </c>
      <c r="O2075" s="513" t="s">
        <v>781</v>
      </c>
      <c r="P2075" s="513" t="s">
        <v>8027</v>
      </c>
      <c r="Q2075" s="518" t="s">
        <v>7796</v>
      </c>
      <c r="R2075" s="152" t="s">
        <v>8028</v>
      </c>
      <c r="S2075" s="152" t="s">
        <v>8019</v>
      </c>
      <c r="T2075" s="152" t="s">
        <v>8029</v>
      </c>
      <c r="U2075" s="152" t="s">
        <v>786</v>
      </c>
    </row>
    <row r="2076" spans="4:21">
      <c r="D2076" s="210"/>
      <c r="G2076" s="152" t="s">
        <v>373</v>
      </c>
      <c r="H2076" s="474" t="s">
        <v>374</v>
      </c>
      <c r="I2076" s="474"/>
      <c r="J2076" s="847">
        <v>6010150</v>
      </c>
      <c r="K2076" s="513">
        <v>4232.5</v>
      </c>
      <c r="L2076" s="513">
        <v>1420</v>
      </c>
      <c r="M2076" s="152" t="s">
        <v>7143</v>
      </c>
      <c r="N2076" s="513" t="s">
        <v>1566</v>
      </c>
      <c r="O2076" s="513" t="s">
        <v>781</v>
      </c>
      <c r="P2076" s="513" t="s">
        <v>8070</v>
      </c>
      <c r="Q2076" s="518" t="s">
        <v>7796</v>
      </c>
      <c r="R2076" s="152" t="s">
        <v>8071</v>
      </c>
      <c r="S2076" s="152" t="s">
        <v>8072</v>
      </c>
      <c r="T2076" s="152" t="s">
        <v>8073</v>
      </c>
      <c r="U2076" s="152" t="s">
        <v>786</v>
      </c>
    </row>
    <row r="2077" spans="4:21">
      <c r="D2077" s="210"/>
      <c r="G2077" s="152" t="s">
        <v>373</v>
      </c>
      <c r="H2077" s="474" t="s">
        <v>374</v>
      </c>
      <c r="I2077" s="474"/>
      <c r="J2077" s="847">
        <v>1065000</v>
      </c>
      <c r="K2077" s="513">
        <v>750</v>
      </c>
      <c r="L2077" s="513">
        <v>1420</v>
      </c>
      <c r="M2077" s="152" t="s">
        <v>7143</v>
      </c>
      <c r="N2077" s="513" t="s">
        <v>1566</v>
      </c>
      <c r="O2077" s="513" t="s">
        <v>781</v>
      </c>
      <c r="P2077" s="513" t="s">
        <v>8074</v>
      </c>
      <c r="Q2077" s="518" t="s">
        <v>7796</v>
      </c>
      <c r="R2077" s="152" t="s">
        <v>8075</v>
      </c>
      <c r="S2077" s="152" t="s">
        <v>8072</v>
      </c>
      <c r="T2077" s="152" t="s">
        <v>8076</v>
      </c>
      <c r="U2077" s="152" t="s">
        <v>786</v>
      </c>
    </row>
    <row r="2078" spans="4:21">
      <c r="D2078" s="210"/>
      <c r="G2078" s="152" t="s">
        <v>373</v>
      </c>
      <c r="H2078" s="474" t="s">
        <v>374</v>
      </c>
      <c r="I2078" s="474"/>
      <c r="J2078" s="847">
        <v>1065000</v>
      </c>
      <c r="K2078" s="513">
        <v>750</v>
      </c>
      <c r="L2078" s="513">
        <v>1420</v>
      </c>
      <c r="M2078" s="152" t="s">
        <v>7143</v>
      </c>
      <c r="N2078" s="513" t="s">
        <v>1566</v>
      </c>
      <c r="O2078" s="513" t="s">
        <v>781</v>
      </c>
      <c r="P2078" s="513" t="s">
        <v>8077</v>
      </c>
      <c r="Q2078" s="518" t="s">
        <v>7796</v>
      </c>
      <c r="R2078" s="152" t="s">
        <v>8078</v>
      </c>
      <c r="S2078" s="152" t="s">
        <v>8072</v>
      </c>
      <c r="T2078" s="152" t="s">
        <v>8079</v>
      </c>
      <c r="U2078" s="152" t="s">
        <v>786</v>
      </c>
    </row>
    <row r="2079" spans="4:21">
      <c r="D2079" s="210"/>
      <c r="G2079" s="152" t="s">
        <v>373</v>
      </c>
      <c r="H2079" s="474" t="s">
        <v>374</v>
      </c>
      <c r="I2079" s="474"/>
      <c r="J2079" s="847">
        <v>1065000</v>
      </c>
      <c r="K2079" s="513">
        <v>750</v>
      </c>
      <c r="L2079" s="513">
        <v>1420</v>
      </c>
      <c r="M2079" s="152" t="s">
        <v>7143</v>
      </c>
      <c r="N2079" s="513" t="s">
        <v>1566</v>
      </c>
      <c r="O2079" s="513" t="s">
        <v>781</v>
      </c>
      <c r="P2079" s="513" t="s">
        <v>8080</v>
      </c>
      <c r="Q2079" s="518" t="s">
        <v>7796</v>
      </c>
      <c r="R2079" s="152" t="s">
        <v>8081</v>
      </c>
      <c r="S2079" s="152" t="s">
        <v>8072</v>
      </c>
      <c r="T2079" s="152" t="s">
        <v>8082</v>
      </c>
      <c r="U2079" s="152" t="s">
        <v>786</v>
      </c>
    </row>
    <row r="2080" spans="4:21">
      <c r="D2080" s="210"/>
      <c r="G2080" s="152" t="s">
        <v>373</v>
      </c>
      <c r="H2080" s="474" t="s">
        <v>374</v>
      </c>
      <c r="I2080" s="474"/>
      <c r="J2080" s="847">
        <v>14569200</v>
      </c>
      <c r="K2080" s="513">
        <v>10260</v>
      </c>
      <c r="L2080" s="513">
        <v>1420</v>
      </c>
      <c r="M2080" s="152" t="s">
        <v>7143</v>
      </c>
      <c r="N2080" s="513" t="s">
        <v>1566</v>
      </c>
      <c r="O2080" s="513" t="s">
        <v>781</v>
      </c>
      <c r="P2080" s="513" t="s">
        <v>8083</v>
      </c>
      <c r="Q2080" s="518" t="s">
        <v>7796</v>
      </c>
      <c r="R2080" s="152" t="s">
        <v>8084</v>
      </c>
      <c r="S2080" s="152" t="s">
        <v>8072</v>
      </c>
      <c r="T2080" s="152" t="s">
        <v>8085</v>
      </c>
      <c r="U2080" s="152" t="s">
        <v>786</v>
      </c>
    </row>
    <row r="2081" spans="4:21">
      <c r="D2081" s="210"/>
      <c r="G2081" s="152" t="s">
        <v>373</v>
      </c>
      <c r="H2081" s="474" t="s">
        <v>374</v>
      </c>
      <c r="I2081" s="474"/>
      <c r="J2081" s="847">
        <v>71000</v>
      </c>
      <c r="K2081" s="513">
        <v>50</v>
      </c>
      <c r="L2081" s="513">
        <v>1420</v>
      </c>
      <c r="M2081" s="152" t="s">
        <v>7143</v>
      </c>
      <c r="N2081" s="513" t="s">
        <v>1566</v>
      </c>
      <c r="O2081" s="513" t="s">
        <v>781</v>
      </c>
      <c r="P2081" s="513" t="s">
        <v>8086</v>
      </c>
      <c r="Q2081" s="518" t="s">
        <v>7796</v>
      </c>
      <c r="R2081" s="152" t="s">
        <v>8087</v>
      </c>
      <c r="S2081" s="152" t="s">
        <v>8088</v>
      </c>
      <c r="T2081" s="152" t="s">
        <v>8089</v>
      </c>
      <c r="U2081" s="152" t="s">
        <v>786</v>
      </c>
    </row>
    <row r="2082" spans="4:21">
      <c r="D2082" s="210"/>
      <c r="G2082" s="152" t="s">
        <v>373</v>
      </c>
      <c r="H2082" s="474" t="s">
        <v>374</v>
      </c>
      <c r="I2082" s="474"/>
      <c r="J2082" s="847">
        <v>-1875675</v>
      </c>
      <c r="K2082" s="513">
        <v>-1335</v>
      </c>
      <c r="L2082" s="513">
        <v>1405</v>
      </c>
      <c r="M2082" s="152" t="s">
        <v>7116</v>
      </c>
      <c r="N2082" s="513" t="s">
        <v>1540</v>
      </c>
      <c r="O2082" s="513" t="s">
        <v>781</v>
      </c>
      <c r="P2082" s="513" t="s">
        <v>8115</v>
      </c>
      <c r="Q2082" s="518" t="s">
        <v>8091</v>
      </c>
      <c r="R2082" s="152" t="s">
        <v>8116</v>
      </c>
      <c r="T2082" s="152" t="s">
        <v>8117</v>
      </c>
      <c r="U2082" s="152" t="s">
        <v>786</v>
      </c>
    </row>
    <row r="2083" spans="4:21">
      <c r="D2083" s="210"/>
      <c r="G2083" s="152" t="s">
        <v>373</v>
      </c>
      <c r="H2083" s="474" t="s">
        <v>374</v>
      </c>
      <c r="I2083" s="474"/>
      <c r="J2083" s="847">
        <v>-2198825</v>
      </c>
      <c r="K2083" s="513">
        <v>-1565</v>
      </c>
      <c r="L2083" s="513">
        <v>1405</v>
      </c>
      <c r="M2083" s="152" t="s">
        <v>7116</v>
      </c>
      <c r="N2083" s="513" t="s">
        <v>1540</v>
      </c>
      <c r="O2083" s="513" t="s">
        <v>781</v>
      </c>
      <c r="P2083" s="513" t="s">
        <v>8118</v>
      </c>
      <c r="Q2083" s="518" t="s">
        <v>8091</v>
      </c>
      <c r="R2083" s="152" t="s">
        <v>8119</v>
      </c>
      <c r="T2083" s="152" t="s">
        <v>8120</v>
      </c>
      <c r="U2083" s="152" t="s">
        <v>786</v>
      </c>
    </row>
    <row r="2084" spans="4:21">
      <c r="D2084" s="210"/>
      <c r="G2084" s="152" t="s">
        <v>373</v>
      </c>
      <c r="H2084" s="474" t="s">
        <v>374</v>
      </c>
      <c r="I2084" s="474"/>
      <c r="J2084" s="847">
        <v>-4243100</v>
      </c>
      <c r="K2084" s="513">
        <v>-3020</v>
      </c>
      <c r="L2084" s="513">
        <v>1405</v>
      </c>
      <c r="M2084" s="152" t="s">
        <v>7116</v>
      </c>
      <c r="N2084" s="513" t="s">
        <v>1540</v>
      </c>
      <c r="O2084" s="513" t="s">
        <v>781</v>
      </c>
      <c r="P2084" s="513" t="s">
        <v>8121</v>
      </c>
      <c r="Q2084" s="518" t="s">
        <v>8091</v>
      </c>
      <c r="R2084" s="152" t="s">
        <v>8122</v>
      </c>
      <c r="T2084" s="152" t="s">
        <v>8123</v>
      </c>
      <c r="U2084" s="152" t="s">
        <v>786</v>
      </c>
    </row>
    <row r="2085" spans="4:21">
      <c r="D2085" s="210"/>
      <c r="G2085" s="152" t="s">
        <v>373</v>
      </c>
      <c r="H2085" s="474" t="s">
        <v>374</v>
      </c>
      <c r="I2085" s="474"/>
      <c r="J2085" s="847">
        <v>-1707075</v>
      </c>
      <c r="K2085" s="513">
        <v>-1215</v>
      </c>
      <c r="L2085" s="513">
        <v>1405</v>
      </c>
      <c r="M2085" s="152" t="s">
        <v>7116</v>
      </c>
      <c r="N2085" s="513" t="s">
        <v>1540</v>
      </c>
      <c r="O2085" s="513" t="s">
        <v>781</v>
      </c>
      <c r="P2085" s="513" t="s">
        <v>8124</v>
      </c>
      <c r="Q2085" s="518" t="s">
        <v>8091</v>
      </c>
      <c r="R2085" s="152" t="s">
        <v>8125</v>
      </c>
      <c r="T2085" s="152" t="s">
        <v>8126</v>
      </c>
      <c r="U2085" s="152" t="s">
        <v>786</v>
      </c>
    </row>
    <row r="2086" spans="4:21">
      <c r="D2086" s="210"/>
      <c r="G2086" s="152" t="s">
        <v>373</v>
      </c>
      <c r="H2086" s="474" t="s">
        <v>374</v>
      </c>
      <c r="I2086" s="474"/>
      <c r="J2086" s="847">
        <v>-8092800</v>
      </c>
      <c r="K2086" s="513">
        <v>-5760</v>
      </c>
      <c r="L2086" s="513">
        <v>1405</v>
      </c>
      <c r="M2086" s="152" t="s">
        <v>7116</v>
      </c>
      <c r="N2086" s="513" t="s">
        <v>1540</v>
      </c>
      <c r="O2086" s="513" t="s">
        <v>781</v>
      </c>
      <c r="P2086" s="513" t="s">
        <v>8127</v>
      </c>
      <c r="Q2086" s="518" t="s">
        <v>8091</v>
      </c>
      <c r="R2086" s="152" t="s">
        <v>8128</v>
      </c>
      <c r="T2086" s="152" t="s">
        <v>8129</v>
      </c>
      <c r="U2086" s="152" t="s">
        <v>786</v>
      </c>
    </row>
    <row r="2087" spans="4:21">
      <c r="D2087" s="210"/>
      <c r="G2087" s="152" t="s">
        <v>373</v>
      </c>
      <c r="H2087" s="474" t="s">
        <v>374</v>
      </c>
      <c r="I2087" s="474"/>
      <c r="J2087" s="847">
        <v>-1928362.5</v>
      </c>
      <c r="K2087" s="513">
        <v>-1372.5</v>
      </c>
      <c r="L2087" s="513">
        <v>1405</v>
      </c>
      <c r="M2087" s="152" t="s">
        <v>7975</v>
      </c>
      <c r="N2087" s="513" t="s">
        <v>1540</v>
      </c>
      <c r="O2087" s="513" t="s">
        <v>781</v>
      </c>
      <c r="P2087" s="513" t="s">
        <v>8151</v>
      </c>
      <c r="Q2087" s="518" t="s">
        <v>8091</v>
      </c>
      <c r="R2087" s="152" t="s">
        <v>8152</v>
      </c>
      <c r="T2087" s="152" t="s">
        <v>8153</v>
      </c>
      <c r="U2087" s="152" t="s">
        <v>786</v>
      </c>
    </row>
    <row r="2088" spans="4:21">
      <c r="D2088" s="210"/>
      <c r="G2088" s="152" t="s">
        <v>373</v>
      </c>
      <c r="H2088" s="474" t="s">
        <v>374</v>
      </c>
      <c r="I2088" s="474"/>
      <c r="J2088" s="847">
        <v>-2107500</v>
      </c>
      <c r="K2088" s="513">
        <v>-1500</v>
      </c>
      <c r="L2088" s="513">
        <v>1405</v>
      </c>
      <c r="M2088" s="152" t="s">
        <v>7975</v>
      </c>
      <c r="N2088" s="513" t="s">
        <v>1540</v>
      </c>
      <c r="O2088" s="513" t="s">
        <v>781</v>
      </c>
      <c r="P2088" s="513" t="s">
        <v>8154</v>
      </c>
      <c r="Q2088" s="518" t="s">
        <v>8091</v>
      </c>
      <c r="R2088" s="152" t="s">
        <v>8155</v>
      </c>
      <c r="T2088" s="152" t="s">
        <v>8156</v>
      </c>
      <c r="U2088" s="152" t="s">
        <v>786</v>
      </c>
    </row>
    <row r="2089" spans="4:21">
      <c r="D2089" s="210"/>
      <c r="G2089" s="152" t="s">
        <v>373</v>
      </c>
      <c r="H2089" s="474" t="s">
        <v>374</v>
      </c>
      <c r="I2089" s="474"/>
      <c r="J2089" s="847">
        <v>-3512500</v>
      </c>
      <c r="K2089" s="513">
        <v>-2500</v>
      </c>
      <c r="L2089" s="513">
        <v>1405</v>
      </c>
      <c r="M2089" s="152" t="s">
        <v>7975</v>
      </c>
      <c r="N2089" s="513" t="s">
        <v>1540</v>
      </c>
      <c r="O2089" s="513" t="s">
        <v>781</v>
      </c>
      <c r="P2089" s="513" t="s">
        <v>8157</v>
      </c>
      <c r="Q2089" s="518" t="s">
        <v>8091</v>
      </c>
      <c r="R2089" s="152" t="s">
        <v>8158</v>
      </c>
      <c r="T2089" s="152" t="s">
        <v>8159</v>
      </c>
      <c r="U2089" s="152" t="s">
        <v>786</v>
      </c>
    </row>
    <row r="2090" spans="4:21">
      <c r="D2090" s="210"/>
      <c r="G2090" s="152" t="s">
        <v>373</v>
      </c>
      <c r="H2090" s="474" t="s">
        <v>374</v>
      </c>
      <c r="I2090" s="474"/>
      <c r="J2090" s="847">
        <v>-2810000</v>
      </c>
      <c r="K2090" s="513">
        <v>-2000</v>
      </c>
      <c r="L2090" s="513">
        <v>1405</v>
      </c>
      <c r="M2090" s="152" t="s">
        <v>7975</v>
      </c>
      <c r="N2090" s="513" t="s">
        <v>1540</v>
      </c>
      <c r="O2090" s="513" t="s">
        <v>781</v>
      </c>
      <c r="P2090" s="513" t="s">
        <v>8160</v>
      </c>
      <c r="Q2090" s="518" t="s">
        <v>8091</v>
      </c>
      <c r="R2090" s="152" t="s">
        <v>8161</v>
      </c>
      <c r="T2090" s="152" t="s">
        <v>8162</v>
      </c>
      <c r="U2090" s="152" t="s">
        <v>786</v>
      </c>
    </row>
    <row r="2091" spans="4:21">
      <c r="D2091" s="210"/>
      <c r="G2091" s="152" t="s">
        <v>373</v>
      </c>
      <c r="H2091" s="474" t="s">
        <v>374</v>
      </c>
      <c r="I2091" s="474"/>
      <c r="J2091" s="847">
        <v>-2840000</v>
      </c>
      <c r="K2091" s="513">
        <v>-2000</v>
      </c>
      <c r="L2091" s="513">
        <v>1420</v>
      </c>
      <c r="M2091" s="152" t="s">
        <v>7143</v>
      </c>
      <c r="N2091" s="513" t="s">
        <v>1540</v>
      </c>
      <c r="O2091" s="513" t="s">
        <v>781</v>
      </c>
      <c r="P2091" s="513" t="s">
        <v>8169</v>
      </c>
      <c r="Q2091" s="518" t="s">
        <v>8091</v>
      </c>
      <c r="R2091" s="152" t="s">
        <v>8170</v>
      </c>
      <c r="T2091" s="152" t="s">
        <v>8171</v>
      </c>
      <c r="U2091" s="152" t="s">
        <v>786</v>
      </c>
    </row>
    <row r="2092" spans="4:21">
      <c r="D2092" s="210"/>
      <c r="G2092" s="152" t="s">
        <v>373</v>
      </c>
      <c r="H2092" s="474" t="s">
        <v>374</v>
      </c>
      <c r="I2092" s="474"/>
      <c r="J2092" s="847">
        <v>-1065000</v>
      </c>
      <c r="K2092" s="513">
        <v>-750</v>
      </c>
      <c r="L2092" s="513">
        <v>1420</v>
      </c>
      <c r="M2092" s="152" t="s">
        <v>7143</v>
      </c>
      <c r="N2092" s="513" t="s">
        <v>1540</v>
      </c>
      <c r="O2092" s="513" t="s">
        <v>781</v>
      </c>
      <c r="P2092" s="513" t="s">
        <v>8172</v>
      </c>
      <c r="Q2092" s="518" t="s">
        <v>8091</v>
      </c>
      <c r="R2092" s="152" t="s">
        <v>8173</v>
      </c>
      <c r="T2092" s="152" t="s">
        <v>8174</v>
      </c>
      <c r="U2092" s="152" t="s">
        <v>786</v>
      </c>
    </row>
    <row r="2093" spans="4:21">
      <c r="D2093" s="210"/>
      <c r="G2093" s="152" t="s">
        <v>373</v>
      </c>
      <c r="H2093" s="474" t="s">
        <v>374</v>
      </c>
      <c r="I2093" s="474"/>
      <c r="J2093" s="847">
        <v>-1065000</v>
      </c>
      <c r="K2093" s="513">
        <v>-750</v>
      </c>
      <c r="L2093" s="513">
        <v>1420</v>
      </c>
      <c r="M2093" s="152" t="s">
        <v>7143</v>
      </c>
      <c r="N2093" s="513" t="s">
        <v>1540</v>
      </c>
      <c r="O2093" s="513" t="s">
        <v>781</v>
      </c>
      <c r="P2093" s="513" t="s">
        <v>8175</v>
      </c>
      <c r="Q2093" s="518" t="s">
        <v>8091</v>
      </c>
      <c r="R2093" s="152" t="s">
        <v>8176</v>
      </c>
      <c r="T2093" s="152" t="s">
        <v>8177</v>
      </c>
      <c r="U2093" s="152" t="s">
        <v>786</v>
      </c>
    </row>
    <row r="2094" spans="4:21">
      <c r="D2094" s="210"/>
      <c r="G2094" s="152" t="s">
        <v>373</v>
      </c>
      <c r="H2094" s="474" t="s">
        <v>374</v>
      </c>
      <c r="I2094" s="474"/>
      <c r="J2094" s="847">
        <v>-1065000</v>
      </c>
      <c r="K2094" s="513">
        <v>-750</v>
      </c>
      <c r="L2094" s="513">
        <v>1420</v>
      </c>
      <c r="M2094" s="152" t="s">
        <v>7143</v>
      </c>
      <c r="N2094" s="513" t="s">
        <v>1540</v>
      </c>
      <c r="O2094" s="513" t="s">
        <v>781</v>
      </c>
      <c r="P2094" s="513" t="s">
        <v>8178</v>
      </c>
      <c r="Q2094" s="518" t="s">
        <v>8091</v>
      </c>
      <c r="R2094" s="152" t="s">
        <v>8179</v>
      </c>
      <c r="T2094" s="152" t="s">
        <v>8180</v>
      </c>
      <c r="U2094" s="152" t="s">
        <v>786</v>
      </c>
    </row>
    <row r="2095" spans="4:21">
      <c r="D2095" s="210"/>
      <c r="G2095" s="152" t="s">
        <v>373</v>
      </c>
      <c r="H2095" s="474" t="s">
        <v>374</v>
      </c>
      <c r="I2095" s="474"/>
      <c r="J2095" s="847">
        <v>-1065000</v>
      </c>
      <c r="K2095" s="513">
        <v>-750</v>
      </c>
      <c r="L2095" s="513">
        <v>1420</v>
      </c>
      <c r="M2095" s="152" t="s">
        <v>7143</v>
      </c>
      <c r="N2095" s="513" t="s">
        <v>1540</v>
      </c>
      <c r="O2095" s="513" t="s">
        <v>781</v>
      </c>
      <c r="P2095" s="513" t="s">
        <v>8181</v>
      </c>
      <c r="Q2095" s="518" t="s">
        <v>8091</v>
      </c>
      <c r="R2095" s="152" t="s">
        <v>8182</v>
      </c>
      <c r="T2095" s="152" t="s">
        <v>8183</v>
      </c>
      <c r="U2095" s="152" t="s">
        <v>786</v>
      </c>
    </row>
    <row r="2096" spans="4:21">
      <c r="D2096" s="210"/>
      <c r="G2096" s="152" t="s">
        <v>373</v>
      </c>
      <c r="H2096" s="474" t="s">
        <v>374</v>
      </c>
      <c r="I2096" s="474"/>
      <c r="J2096" s="847">
        <v>-2160187.5</v>
      </c>
      <c r="K2096" s="513">
        <v>-1537.5</v>
      </c>
      <c r="L2096" s="513">
        <v>1405</v>
      </c>
      <c r="M2096" s="152" t="s">
        <v>7143</v>
      </c>
      <c r="N2096" s="513" t="s">
        <v>1540</v>
      </c>
      <c r="O2096" s="513" t="s">
        <v>781</v>
      </c>
      <c r="P2096" s="513" t="s">
        <v>8292</v>
      </c>
      <c r="Q2096" s="518" t="s">
        <v>8091</v>
      </c>
      <c r="R2096" s="152" t="s">
        <v>8293</v>
      </c>
      <c r="T2096" s="152" t="s">
        <v>8294</v>
      </c>
      <c r="U2096" s="152" t="s">
        <v>786</v>
      </c>
    </row>
    <row r="2097" spans="4:21">
      <c r="D2097" s="210"/>
      <c r="G2097" s="152" t="s">
        <v>373</v>
      </c>
      <c r="H2097" s="474" t="s">
        <v>374</v>
      </c>
      <c r="I2097" s="474"/>
      <c r="J2097" s="847">
        <v>-4060450</v>
      </c>
      <c r="K2097" s="513">
        <v>-2890</v>
      </c>
      <c r="L2097" s="513">
        <v>1405</v>
      </c>
      <c r="M2097" s="152" t="s">
        <v>7143</v>
      </c>
      <c r="N2097" s="513" t="s">
        <v>1540</v>
      </c>
      <c r="O2097" s="513" t="s">
        <v>781</v>
      </c>
      <c r="P2097" s="513" t="s">
        <v>8295</v>
      </c>
      <c r="Q2097" s="518" t="s">
        <v>8091</v>
      </c>
      <c r="R2097" s="152" t="s">
        <v>8296</v>
      </c>
      <c r="T2097" s="152" t="s">
        <v>8297</v>
      </c>
      <c r="U2097" s="152" t="s">
        <v>786</v>
      </c>
    </row>
    <row r="2098" spans="4:21">
      <c r="D2098" s="210"/>
      <c r="G2098" s="152" t="s">
        <v>373</v>
      </c>
      <c r="H2098" s="474" t="s">
        <v>374</v>
      </c>
      <c r="I2098" s="474"/>
      <c r="J2098" s="847">
        <v>-3147200</v>
      </c>
      <c r="K2098" s="513">
        <v>-2240</v>
      </c>
      <c r="L2098" s="513">
        <v>1405</v>
      </c>
      <c r="M2098" s="152" t="s">
        <v>7143</v>
      </c>
      <c r="N2098" s="513" t="s">
        <v>1540</v>
      </c>
      <c r="O2098" s="513" t="s">
        <v>781</v>
      </c>
      <c r="P2098" s="513" t="s">
        <v>8298</v>
      </c>
      <c r="Q2098" s="518" t="s">
        <v>8091</v>
      </c>
      <c r="R2098" s="152" t="s">
        <v>8299</v>
      </c>
      <c r="T2098" s="152" t="s">
        <v>8300</v>
      </c>
      <c r="U2098" s="152" t="s">
        <v>786</v>
      </c>
    </row>
    <row r="2099" spans="4:21">
      <c r="D2099" s="210"/>
      <c r="G2099" s="152" t="s">
        <v>373</v>
      </c>
      <c r="H2099" s="474" t="s">
        <v>374</v>
      </c>
      <c r="I2099" s="474"/>
      <c r="J2099" s="847">
        <v>-3140175</v>
      </c>
      <c r="K2099" s="513">
        <v>-2235</v>
      </c>
      <c r="L2099" s="513">
        <v>1405</v>
      </c>
      <c r="M2099" s="152" t="s">
        <v>7143</v>
      </c>
      <c r="N2099" s="513" t="s">
        <v>1540</v>
      </c>
      <c r="O2099" s="513" t="s">
        <v>781</v>
      </c>
      <c r="P2099" s="513" t="s">
        <v>8301</v>
      </c>
      <c r="Q2099" s="518" t="s">
        <v>8091</v>
      </c>
      <c r="R2099" s="152" t="s">
        <v>8302</v>
      </c>
      <c r="T2099" s="152" t="s">
        <v>8303</v>
      </c>
      <c r="U2099" s="152" t="s">
        <v>786</v>
      </c>
    </row>
    <row r="2100" spans="4:21">
      <c r="D2100" s="210"/>
      <c r="G2100" s="152" t="s">
        <v>373</v>
      </c>
      <c r="H2100" s="474" t="s">
        <v>374</v>
      </c>
      <c r="I2100" s="474"/>
      <c r="J2100" s="847">
        <v>-5581362.5</v>
      </c>
      <c r="K2100" s="513">
        <v>-3972.5</v>
      </c>
      <c r="L2100" s="513">
        <v>1405</v>
      </c>
      <c r="M2100" s="152" t="s">
        <v>7143</v>
      </c>
      <c r="N2100" s="513" t="s">
        <v>1540</v>
      </c>
      <c r="O2100" s="513" t="s">
        <v>781</v>
      </c>
      <c r="P2100" s="513" t="s">
        <v>8304</v>
      </c>
      <c r="Q2100" s="518" t="s">
        <v>8091</v>
      </c>
      <c r="R2100" s="152" t="s">
        <v>8305</v>
      </c>
      <c r="T2100" s="152" t="s">
        <v>8306</v>
      </c>
      <c r="U2100" s="152" t="s">
        <v>786</v>
      </c>
    </row>
    <row r="2101" spans="4:21">
      <c r="D2101" s="210"/>
      <c r="G2101" s="152" t="s">
        <v>373</v>
      </c>
      <c r="H2101" s="474" t="s">
        <v>374</v>
      </c>
      <c r="I2101" s="474"/>
      <c r="J2101" s="847">
        <v>-4404675</v>
      </c>
      <c r="K2101" s="513">
        <v>-3135</v>
      </c>
      <c r="L2101" s="513">
        <v>1405</v>
      </c>
      <c r="M2101" s="152" t="s">
        <v>7143</v>
      </c>
      <c r="N2101" s="513" t="s">
        <v>1540</v>
      </c>
      <c r="O2101" s="513" t="s">
        <v>781</v>
      </c>
      <c r="P2101" s="513" t="s">
        <v>8307</v>
      </c>
      <c r="Q2101" s="518" t="s">
        <v>8091</v>
      </c>
      <c r="R2101" s="152" t="s">
        <v>8308</v>
      </c>
      <c r="T2101" s="152" t="s">
        <v>8309</v>
      </c>
      <c r="U2101" s="152" t="s">
        <v>786</v>
      </c>
    </row>
    <row r="2102" spans="4:21">
      <c r="D2102" s="210"/>
      <c r="G2102" s="152" t="s">
        <v>373</v>
      </c>
      <c r="H2102" s="474" t="s">
        <v>374</v>
      </c>
      <c r="I2102" s="474"/>
      <c r="J2102" s="847">
        <v>-1145075</v>
      </c>
      <c r="K2102" s="513">
        <v>-815</v>
      </c>
      <c r="L2102" s="513">
        <v>1405</v>
      </c>
      <c r="M2102" s="152" t="s">
        <v>7143</v>
      </c>
      <c r="N2102" s="513" t="s">
        <v>1540</v>
      </c>
      <c r="O2102" s="513" t="s">
        <v>781</v>
      </c>
      <c r="P2102" s="513" t="s">
        <v>8310</v>
      </c>
      <c r="Q2102" s="518" t="s">
        <v>8091</v>
      </c>
      <c r="R2102" s="152" t="s">
        <v>8311</v>
      </c>
      <c r="T2102" s="152" t="s">
        <v>8312</v>
      </c>
      <c r="U2102" s="152" t="s">
        <v>786</v>
      </c>
    </row>
    <row r="2103" spans="4:21">
      <c r="D2103" s="210"/>
      <c r="G2103" s="152" t="s">
        <v>373</v>
      </c>
      <c r="H2103" s="474" t="s">
        <v>374</v>
      </c>
      <c r="I2103" s="474"/>
      <c r="J2103" s="847">
        <v>-1503350</v>
      </c>
      <c r="K2103" s="513">
        <v>-1070</v>
      </c>
      <c r="L2103" s="513">
        <v>1405</v>
      </c>
      <c r="M2103" s="152" t="s">
        <v>7143</v>
      </c>
      <c r="N2103" s="513" t="s">
        <v>1540</v>
      </c>
      <c r="O2103" s="513" t="s">
        <v>781</v>
      </c>
      <c r="P2103" s="513" t="s">
        <v>8313</v>
      </c>
      <c r="Q2103" s="518" t="s">
        <v>8091</v>
      </c>
      <c r="R2103" s="152" t="s">
        <v>8314</v>
      </c>
      <c r="T2103" s="152" t="s">
        <v>8315</v>
      </c>
      <c r="U2103" s="152" t="s">
        <v>786</v>
      </c>
    </row>
    <row r="2104" spans="4:21">
      <c r="D2104" s="210"/>
      <c r="G2104" s="152" t="s">
        <v>373</v>
      </c>
      <c r="H2104" s="474" t="s">
        <v>374</v>
      </c>
      <c r="I2104" s="474"/>
      <c r="J2104" s="847">
        <v>-1967000</v>
      </c>
      <c r="K2104" s="513">
        <v>-1400</v>
      </c>
      <c r="L2104" s="513">
        <v>1405</v>
      </c>
      <c r="M2104" s="152" t="s">
        <v>7143</v>
      </c>
      <c r="N2104" s="513" t="s">
        <v>1540</v>
      </c>
      <c r="O2104" s="513" t="s">
        <v>781</v>
      </c>
      <c r="P2104" s="513" t="s">
        <v>8316</v>
      </c>
      <c r="Q2104" s="518" t="s">
        <v>8091</v>
      </c>
      <c r="R2104" s="152" t="s">
        <v>8317</v>
      </c>
      <c r="T2104" s="152" t="s">
        <v>8318</v>
      </c>
      <c r="U2104" s="152" t="s">
        <v>786</v>
      </c>
    </row>
    <row r="2105" spans="4:21">
      <c r="D2105" s="210"/>
      <c r="G2105" s="152" t="s">
        <v>373</v>
      </c>
      <c r="H2105" s="474" t="s">
        <v>374</v>
      </c>
      <c r="I2105" s="474"/>
      <c r="J2105" s="847">
        <v>-2469287.5</v>
      </c>
      <c r="K2105" s="513">
        <v>-1757.5</v>
      </c>
      <c r="L2105" s="513">
        <v>1405</v>
      </c>
      <c r="M2105" s="152" t="s">
        <v>7143</v>
      </c>
      <c r="N2105" s="513" t="s">
        <v>1540</v>
      </c>
      <c r="O2105" s="513" t="s">
        <v>781</v>
      </c>
      <c r="P2105" s="513" t="s">
        <v>8319</v>
      </c>
      <c r="Q2105" s="518" t="s">
        <v>8091</v>
      </c>
      <c r="R2105" s="152" t="s">
        <v>8320</v>
      </c>
      <c r="T2105" s="152" t="s">
        <v>8321</v>
      </c>
      <c r="U2105" s="152" t="s">
        <v>786</v>
      </c>
    </row>
    <row r="2106" spans="4:21">
      <c r="D2106" s="210"/>
      <c r="G2106" s="152" t="s">
        <v>373</v>
      </c>
      <c r="H2106" s="474" t="s">
        <v>374</v>
      </c>
      <c r="I2106" s="474"/>
      <c r="J2106" s="847">
        <v>-1671950</v>
      </c>
      <c r="K2106" s="513">
        <v>-1190</v>
      </c>
      <c r="L2106" s="513">
        <v>1405</v>
      </c>
      <c r="M2106" s="152" t="s">
        <v>7143</v>
      </c>
      <c r="N2106" s="513" t="s">
        <v>1540</v>
      </c>
      <c r="O2106" s="513" t="s">
        <v>781</v>
      </c>
      <c r="P2106" s="513" t="s">
        <v>8322</v>
      </c>
      <c r="Q2106" s="518" t="s">
        <v>8091</v>
      </c>
      <c r="R2106" s="152" t="s">
        <v>8323</v>
      </c>
      <c r="T2106" s="152" t="s">
        <v>8324</v>
      </c>
      <c r="U2106" s="152" t="s">
        <v>786</v>
      </c>
    </row>
    <row r="2107" spans="4:21">
      <c r="D2107" s="210"/>
      <c r="G2107" s="152" t="s">
        <v>373</v>
      </c>
      <c r="H2107" s="474" t="s">
        <v>374</v>
      </c>
      <c r="I2107" s="474"/>
      <c r="J2107" s="847">
        <v>-9638300</v>
      </c>
      <c r="K2107" s="513">
        <v>-6860</v>
      </c>
      <c r="L2107" s="513">
        <v>1405</v>
      </c>
      <c r="M2107" s="152" t="s">
        <v>7143</v>
      </c>
      <c r="N2107" s="513" t="s">
        <v>1540</v>
      </c>
      <c r="O2107" s="513" t="s">
        <v>781</v>
      </c>
      <c r="P2107" s="513" t="s">
        <v>8325</v>
      </c>
      <c r="Q2107" s="518" t="s">
        <v>8091</v>
      </c>
      <c r="R2107" s="152" t="s">
        <v>8326</v>
      </c>
      <c r="T2107" s="152" t="s">
        <v>8327</v>
      </c>
      <c r="U2107" s="152" t="s">
        <v>786</v>
      </c>
    </row>
    <row r="2108" spans="4:21">
      <c r="D2108" s="210"/>
      <c r="G2108" s="152" t="s">
        <v>373</v>
      </c>
      <c r="H2108" s="474" t="s">
        <v>374</v>
      </c>
      <c r="I2108" s="474"/>
      <c r="J2108" s="847">
        <v>-2023200</v>
      </c>
      <c r="K2108" s="513">
        <v>-1440</v>
      </c>
      <c r="L2108" s="513">
        <v>1405</v>
      </c>
      <c r="M2108" s="152" t="s">
        <v>7143</v>
      </c>
      <c r="N2108" s="513" t="s">
        <v>1540</v>
      </c>
      <c r="O2108" s="513" t="s">
        <v>781</v>
      </c>
      <c r="P2108" s="513" t="s">
        <v>8328</v>
      </c>
      <c r="Q2108" s="518" t="s">
        <v>8091</v>
      </c>
      <c r="R2108" s="152" t="s">
        <v>8329</v>
      </c>
      <c r="T2108" s="152" t="s">
        <v>8330</v>
      </c>
      <c r="U2108" s="152" t="s">
        <v>786</v>
      </c>
    </row>
    <row r="2109" spans="4:21">
      <c r="D2109" s="210"/>
      <c r="G2109" s="152" t="s">
        <v>373</v>
      </c>
      <c r="H2109" s="474" t="s">
        <v>374</v>
      </c>
      <c r="I2109" s="474"/>
      <c r="J2109" s="847">
        <v>-2525487.5</v>
      </c>
      <c r="K2109" s="513">
        <v>-1797.5</v>
      </c>
      <c r="L2109" s="513">
        <v>1405</v>
      </c>
      <c r="M2109" s="152" t="s">
        <v>7143</v>
      </c>
      <c r="N2109" s="513" t="s">
        <v>1540</v>
      </c>
      <c r="O2109" s="513" t="s">
        <v>781</v>
      </c>
      <c r="P2109" s="513" t="s">
        <v>8331</v>
      </c>
      <c r="Q2109" s="518" t="s">
        <v>8091</v>
      </c>
      <c r="R2109" s="152" t="s">
        <v>8332</v>
      </c>
      <c r="T2109" s="152" t="s">
        <v>8333</v>
      </c>
      <c r="U2109" s="152" t="s">
        <v>786</v>
      </c>
    </row>
    <row r="2110" spans="4:21">
      <c r="D2110" s="210"/>
      <c r="G2110" s="152" t="s">
        <v>373</v>
      </c>
      <c r="H2110" s="474" t="s">
        <v>374</v>
      </c>
      <c r="I2110" s="474"/>
      <c r="J2110" s="847">
        <v>-2834587.5</v>
      </c>
      <c r="K2110" s="513">
        <v>-2017.5</v>
      </c>
      <c r="L2110" s="513">
        <v>1405</v>
      </c>
      <c r="M2110" s="152" t="s">
        <v>7143</v>
      </c>
      <c r="N2110" s="513" t="s">
        <v>1540</v>
      </c>
      <c r="O2110" s="513" t="s">
        <v>781</v>
      </c>
      <c r="P2110" s="513" t="s">
        <v>8334</v>
      </c>
      <c r="Q2110" s="518" t="s">
        <v>8091</v>
      </c>
      <c r="R2110" s="152" t="s">
        <v>8335</v>
      </c>
      <c r="T2110" s="152" t="s">
        <v>8336</v>
      </c>
      <c r="U2110" s="152" t="s">
        <v>786</v>
      </c>
    </row>
    <row r="2111" spans="4:21">
      <c r="D2111" s="210"/>
      <c r="G2111" s="152" t="s">
        <v>373</v>
      </c>
      <c r="H2111" s="474" t="s">
        <v>374</v>
      </c>
      <c r="I2111" s="474"/>
      <c r="J2111" s="847">
        <v>-2177750</v>
      </c>
      <c r="K2111" s="513">
        <v>-1550</v>
      </c>
      <c r="L2111" s="513">
        <v>1405</v>
      </c>
      <c r="M2111" s="152" t="s">
        <v>7143</v>
      </c>
      <c r="N2111" s="513" t="s">
        <v>1540</v>
      </c>
      <c r="O2111" s="513" t="s">
        <v>781</v>
      </c>
      <c r="P2111" s="513" t="s">
        <v>8337</v>
      </c>
      <c r="Q2111" s="518" t="s">
        <v>8091</v>
      </c>
      <c r="R2111" s="152" t="s">
        <v>8338</v>
      </c>
      <c r="T2111" s="152" t="s">
        <v>8339</v>
      </c>
      <c r="U2111" s="152" t="s">
        <v>786</v>
      </c>
    </row>
    <row r="2112" spans="4:21">
      <c r="D2112" s="210"/>
      <c r="G2112" s="152" t="s">
        <v>373</v>
      </c>
      <c r="H2112" s="474" t="s">
        <v>374</v>
      </c>
      <c r="I2112" s="474"/>
      <c r="J2112" s="847">
        <v>-2082210</v>
      </c>
      <c r="K2112" s="513">
        <v>-1482</v>
      </c>
      <c r="L2112" s="513">
        <v>1405</v>
      </c>
      <c r="M2112" s="152" t="s">
        <v>7143</v>
      </c>
      <c r="N2112" s="513" t="s">
        <v>1540</v>
      </c>
      <c r="O2112" s="513" t="s">
        <v>781</v>
      </c>
      <c r="P2112" s="513" t="s">
        <v>8340</v>
      </c>
      <c r="Q2112" s="518" t="s">
        <v>8091</v>
      </c>
      <c r="R2112" s="152" t="s">
        <v>8341</v>
      </c>
      <c r="T2112" s="152" t="s">
        <v>8342</v>
      </c>
      <c r="U2112" s="152" t="s">
        <v>786</v>
      </c>
    </row>
    <row r="2113" spans="4:21">
      <c r="D2113" s="210"/>
      <c r="G2113" s="152" t="s">
        <v>373</v>
      </c>
      <c r="H2113" s="474" t="s">
        <v>374</v>
      </c>
      <c r="I2113" s="474"/>
      <c r="J2113" s="847">
        <v>-2363912.5</v>
      </c>
      <c r="K2113" s="513">
        <v>-1682.5</v>
      </c>
      <c r="L2113" s="513">
        <v>1405</v>
      </c>
      <c r="M2113" s="152" t="s">
        <v>7143</v>
      </c>
      <c r="N2113" s="513" t="s">
        <v>1540</v>
      </c>
      <c r="O2113" s="513" t="s">
        <v>781</v>
      </c>
      <c r="P2113" s="513" t="s">
        <v>8343</v>
      </c>
      <c r="Q2113" s="518" t="s">
        <v>8091</v>
      </c>
      <c r="R2113" s="152" t="s">
        <v>8344</v>
      </c>
      <c r="T2113" s="152" t="s">
        <v>8345</v>
      </c>
      <c r="U2113" s="152" t="s">
        <v>786</v>
      </c>
    </row>
    <row r="2114" spans="4:21">
      <c r="D2114" s="210"/>
      <c r="G2114" s="152" t="s">
        <v>373</v>
      </c>
      <c r="H2114" s="474" t="s">
        <v>374</v>
      </c>
      <c r="I2114" s="474"/>
      <c r="J2114" s="847">
        <v>-2314035</v>
      </c>
      <c r="K2114" s="513">
        <v>-1647</v>
      </c>
      <c r="L2114" s="513">
        <v>1405</v>
      </c>
      <c r="M2114" s="152" t="s">
        <v>7143</v>
      </c>
      <c r="N2114" s="513" t="s">
        <v>1540</v>
      </c>
      <c r="O2114" s="513" t="s">
        <v>781</v>
      </c>
      <c r="P2114" s="513" t="s">
        <v>8346</v>
      </c>
      <c r="Q2114" s="518" t="s">
        <v>8091</v>
      </c>
      <c r="R2114" s="152" t="s">
        <v>8347</v>
      </c>
      <c r="T2114" s="152" t="s">
        <v>8348</v>
      </c>
      <c r="U2114" s="152" t="s">
        <v>786</v>
      </c>
    </row>
    <row r="2115" spans="4:21">
      <c r="D2115" s="210"/>
      <c r="G2115" s="152" t="s">
        <v>373</v>
      </c>
      <c r="H2115" s="474" t="s">
        <v>374</v>
      </c>
      <c r="I2115" s="474"/>
      <c r="J2115" s="847">
        <v>-13504200</v>
      </c>
      <c r="K2115" s="513">
        <v>-9510</v>
      </c>
      <c r="L2115" s="513">
        <v>1420</v>
      </c>
      <c r="M2115" s="152" t="s">
        <v>7143</v>
      </c>
      <c r="N2115" s="513" t="s">
        <v>1540</v>
      </c>
      <c r="O2115" s="513" t="s">
        <v>781</v>
      </c>
      <c r="P2115" s="513" t="s">
        <v>8349</v>
      </c>
      <c r="Q2115" s="518" t="s">
        <v>8091</v>
      </c>
      <c r="R2115" s="152" t="s">
        <v>8350</v>
      </c>
      <c r="T2115" s="152" t="s">
        <v>8351</v>
      </c>
      <c r="U2115" s="152" t="s">
        <v>786</v>
      </c>
    </row>
    <row r="2116" spans="4:21">
      <c r="D2116" s="210"/>
      <c r="G2116" s="152" t="s">
        <v>373</v>
      </c>
      <c r="H2116" s="474" t="s">
        <v>374</v>
      </c>
      <c r="I2116" s="474"/>
      <c r="J2116" s="847">
        <v>-3170150</v>
      </c>
      <c r="K2116" s="513">
        <v>-2232.5</v>
      </c>
      <c r="L2116" s="513">
        <v>1420</v>
      </c>
      <c r="M2116" s="152" t="s">
        <v>7143</v>
      </c>
      <c r="N2116" s="513" t="s">
        <v>1540</v>
      </c>
      <c r="O2116" s="513" t="s">
        <v>781</v>
      </c>
      <c r="P2116" s="513" t="s">
        <v>8352</v>
      </c>
      <c r="Q2116" s="518" t="s">
        <v>8091</v>
      </c>
      <c r="R2116" s="152" t="s">
        <v>8353</v>
      </c>
      <c r="T2116" s="152" t="s">
        <v>8354</v>
      </c>
      <c r="U2116" s="152" t="s">
        <v>786</v>
      </c>
    </row>
    <row r="2117" spans="4:21">
      <c r="D2117" s="210"/>
      <c r="G2117" s="152" t="s">
        <v>373</v>
      </c>
      <c r="H2117" s="474" t="s">
        <v>374</v>
      </c>
      <c r="I2117" s="474"/>
      <c r="J2117" s="847">
        <v>-1798400</v>
      </c>
      <c r="K2117" s="513">
        <v>-1280</v>
      </c>
      <c r="L2117" s="513">
        <v>1405</v>
      </c>
      <c r="M2117" s="152" t="s">
        <v>7143</v>
      </c>
      <c r="N2117" s="513" t="s">
        <v>1540</v>
      </c>
      <c r="O2117" s="513" t="s">
        <v>781</v>
      </c>
      <c r="P2117" s="513" t="s">
        <v>8355</v>
      </c>
      <c r="Q2117" s="518" t="s">
        <v>8091</v>
      </c>
      <c r="R2117" s="152" t="s">
        <v>8356</v>
      </c>
      <c r="T2117" s="152" t="s">
        <v>8357</v>
      </c>
      <c r="U2117" s="152" t="s">
        <v>786</v>
      </c>
    </row>
    <row r="2118" spans="4:21">
      <c r="D2118" s="210"/>
      <c r="G2118" s="152" t="s">
        <v>373</v>
      </c>
      <c r="H2118" s="474" t="s">
        <v>374</v>
      </c>
      <c r="I2118" s="474"/>
      <c r="J2118" s="847">
        <v>-1956462.5</v>
      </c>
      <c r="K2118" s="513">
        <v>-1392.5</v>
      </c>
      <c r="L2118" s="513">
        <v>1405</v>
      </c>
      <c r="M2118" s="152" t="s">
        <v>7143</v>
      </c>
      <c r="N2118" s="513" t="s">
        <v>1540</v>
      </c>
      <c r="O2118" s="513" t="s">
        <v>781</v>
      </c>
      <c r="P2118" s="513" t="s">
        <v>8358</v>
      </c>
      <c r="Q2118" s="518" t="s">
        <v>8091</v>
      </c>
      <c r="R2118" s="152" t="s">
        <v>8359</v>
      </c>
      <c r="T2118" s="152" t="s">
        <v>8360</v>
      </c>
      <c r="U2118" s="152" t="s">
        <v>786</v>
      </c>
    </row>
    <row r="2119" spans="4:21">
      <c r="D2119" s="210"/>
      <c r="G2119" s="152" t="s">
        <v>373</v>
      </c>
      <c r="H2119" s="474" t="s">
        <v>374</v>
      </c>
      <c r="I2119" s="474"/>
      <c r="J2119" s="847">
        <v>-1808937.5</v>
      </c>
      <c r="K2119" s="513">
        <v>-1287.5</v>
      </c>
      <c r="L2119" s="513">
        <v>1405</v>
      </c>
      <c r="M2119" s="152" t="s">
        <v>7143</v>
      </c>
      <c r="N2119" s="513" t="s">
        <v>1540</v>
      </c>
      <c r="O2119" s="513" t="s">
        <v>781</v>
      </c>
      <c r="P2119" s="513" t="s">
        <v>8361</v>
      </c>
      <c r="Q2119" s="518" t="s">
        <v>8091</v>
      </c>
      <c r="R2119" s="152" t="s">
        <v>8362</v>
      </c>
      <c r="T2119" s="152" t="s">
        <v>8363</v>
      </c>
      <c r="U2119" s="152" t="s">
        <v>786</v>
      </c>
    </row>
    <row r="2120" spans="4:21">
      <c r="D2120" s="210"/>
      <c r="G2120" s="152" t="s">
        <v>373</v>
      </c>
      <c r="H2120" s="474" t="s">
        <v>374</v>
      </c>
      <c r="I2120" s="474"/>
      <c r="J2120" s="847">
        <v>-1686000</v>
      </c>
      <c r="K2120" s="513">
        <v>-1200</v>
      </c>
      <c r="L2120" s="513">
        <v>1405</v>
      </c>
      <c r="M2120" s="152" t="s">
        <v>7143</v>
      </c>
      <c r="N2120" s="513" t="s">
        <v>1540</v>
      </c>
      <c r="O2120" s="513" t="s">
        <v>781</v>
      </c>
      <c r="P2120" s="513" t="s">
        <v>8364</v>
      </c>
      <c r="Q2120" s="518" t="s">
        <v>8091</v>
      </c>
      <c r="R2120" s="152" t="s">
        <v>8365</v>
      </c>
      <c r="T2120" s="152" t="s">
        <v>8366</v>
      </c>
      <c r="U2120" s="152" t="s">
        <v>786</v>
      </c>
    </row>
    <row r="2121" spans="4:21">
      <c r="D2121" s="210"/>
      <c r="G2121" s="152" t="s">
        <v>373</v>
      </c>
      <c r="H2121" s="474" t="s">
        <v>374</v>
      </c>
      <c r="I2121" s="474"/>
      <c r="J2121" s="847">
        <v>-2420112.5</v>
      </c>
      <c r="K2121" s="513">
        <v>-1722.5</v>
      </c>
      <c r="L2121" s="513">
        <v>1405</v>
      </c>
      <c r="M2121" s="152" t="s">
        <v>7143</v>
      </c>
      <c r="N2121" s="513" t="s">
        <v>1540</v>
      </c>
      <c r="O2121" s="513" t="s">
        <v>781</v>
      </c>
      <c r="P2121" s="513" t="s">
        <v>8367</v>
      </c>
      <c r="Q2121" s="518" t="s">
        <v>8091</v>
      </c>
      <c r="R2121" s="152" t="s">
        <v>8368</v>
      </c>
      <c r="T2121" s="152" t="s">
        <v>8369</v>
      </c>
      <c r="U2121" s="152" t="s">
        <v>786</v>
      </c>
    </row>
    <row r="2122" spans="4:21">
      <c r="D2122" s="210"/>
      <c r="G2122" s="152" t="s">
        <v>373</v>
      </c>
      <c r="H2122" s="474" t="s">
        <v>374</v>
      </c>
      <c r="I2122" s="474"/>
      <c r="J2122" s="847">
        <v>-2044275</v>
      </c>
      <c r="K2122" s="513">
        <v>-1455</v>
      </c>
      <c r="L2122" s="513">
        <v>1405</v>
      </c>
      <c r="M2122" s="152" t="s">
        <v>7143</v>
      </c>
      <c r="N2122" s="513" t="s">
        <v>1540</v>
      </c>
      <c r="O2122" s="513" t="s">
        <v>781</v>
      </c>
      <c r="P2122" s="513" t="s">
        <v>8370</v>
      </c>
      <c r="Q2122" s="518" t="s">
        <v>8091</v>
      </c>
      <c r="R2122" s="152" t="s">
        <v>8371</v>
      </c>
      <c r="T2122" s="152" t="s">
        <v>8372</v>
      </c>
      <c r="U2122" s="152" t="s">
        <v>786</v>
      </c>
    </row>
    <row r="2123" spans="4:21">
      <c r="D2123" s="210"/>
      <c r="G2123" s="152" t="s">
        <v>373</v>
      </c>
      <c r="H2123" s="474" t="s">
        <v>374</v>
      </c>
      <c r="I2123" s="474"/>
      <c r="J2123" s="847">
        <v>-3456300</v>
      </c>
      <c r="K2123" s="513">
        <v>-2460</v>
      </c>
      <c r="L2123" s="513">
        <v>1405</v>
      </c>
      <c r="M2123" s="152" t="s">
        <v>7143</v>
      </c>
      <c r="N2123" s="513" t="s">
        <v>1540</v>
      </c>
      <c r="O2123" s="513" t="s">
        <v>781</v>
      </c>
      <c r="P2123" s="513" t="s">
        <v>8373</v>
      </c>
      <c r="Q2123" s="518" t="s">
        <v>8091</v>
      </c>
      <c r="R2123" s="152" t="s">
        <v>8374</v>
      </c>
      <c r="T2123" s="152" t="s">
        <v>8375</v>
      </c>
      <c r="U2123" s="152" t="s">
        <v>786</v>
      </c>
    </row>
    <row r="2124" spans="4:21">
      <c r="D2124" s="210"/>
      <c r="G2124" s="152" t="s">
        <v>373</v>
      </c>
      <c r="H2124" s="474" t="s">
        <v>374</v>
      </c>
      <c r="I2124" s="474"/>
      <c r="J2124" s="847">
        <v>-2949797.5</v>
      </c>
      <c r="K2124" s="513">
        <v>-2099.5</v>
      </c>
      <c r="L2124" s="513">
        <v>1405</v>
      </c>
      <c r="M2124" s="152" t="s">
        <v>7143</v>
      </c>
      <c r="N2124" s="513" t="s">
        <v>1540</v>
      </c>
      <c r="O2124" s="513" t="s">
        <v>781</v>
      </c>
      <c r="P2124" s="513" t="s">
        <v>8376</v>
      </c>
      <c r="Q2124" s="518" t="s">
        <v>8091</v>
      </c>
      <c r="R2124" s="152" t="s">
        <v>8377</v>
      </c>
      <c r="T2124" s="152" t="s">
        <v>8378</v>
      </c>
      <c r="U2124" s="152" t="s">
        <v>786</v>
      </c>
    </row>
    <row r="2125" spans="4:21">
      <c r="D2125" s="210"/>
      <c r="G2125" s="152" t="s">
        <v>373</v>
      </c>
      <c r="H2125" s="474" t="s">
        <v>374</v>
      </c>
      <c r="I2125" s="474"/>
      <c r="J2125" s="847">
        <v>-2767850</v>
      </c>
      <c r="K2125" s="513">
        <v>-1970</v>
      </c>
      <c r="L2125" s="513">
        <v>1405</v>
      </c>
      <c r="M2125" s="152" t="s">
        <v>7143</v>
      </c>
      <c r="N2125" s="513" t="s">
        <v>1540</v>
      </c>
      <c r="O2125" s="513" t="s">
        <v>781</v>
      </c>
      <c r="P2125" s="513" t="s">
        <v>8379</v>
      </c>
      <c r="Q2125" s="518" t="s">
        <v>8091</v>
      </c>
      <c r="R2125" s="152" t="s">
        <v>8380</v>
      </c>
      <c r="T2125" s="152" t="s">
        <v>8381</v>
      </c>
      <c r="U2125" s="152" t="s">
        <v>786</v>
      </c>
    </row>
    <row r="2126" spans="4:21">
      <c r="D2126" s="210"/>
      <c r="G2126" s="152" t="s">
        <v>373</v>
      </c>
      <c r="H2126" s="474" t="s">
        <v>374</v>
      </c>
      <c r="I2126" s="474"/>
      <c r="J2126" s="847">
        <v>4028837.5</v>
      </c>
      <c r="K2126" s="513">
        <v>2867.5</v>
      </c>
      <c r="L2126" s="513">
        <v>1405</v>
      </c>
      <c r="M2126" s="152" t="s">
        <v>7808</v>
      </c>
      <c r="N2126" s="513" t="s">
        <v>1566</v>
      </c>
      <c r="O2126" s="513" t="s">
        <v>1407</v>
      </c>
      <c r="P2126" s="513" t="s">
        <v>7809</v>
      </c>
      <c r="Q2126" s="518" t="s">
        <v>7796</v>
      </c>
      <c r="R2126" s="152" t="s">
        <v>7810</v>
      </c>
      <c r="S2126" s="152" t="s">
        <v>7811</v>
      </c>
      <c r="T2126" s="152" t="s">
        <v>7812</v>
      </c>
      <c r="U2126" s="152" t="s">
        <v>786</v>
      </c>
    </row>
    <row r="2127" spans="4:21">
      <c r="D2127" s="210"/>
      <c r="G2127" s="152" t="s">
        <v>373</v>
      </c>
      <c r="H2127" s="474" t="s">
        <v>374</v>
      </c>
      <c r="I2127" s="474"/>
      <c r="J2127" s="847">
        <v>4661087.5</v>
      </c>
      <c r="K2127" s="513">
        <v>3317.5</v>
      </c>
      <c r="L2127" s="513">
        <v>1405</v>
      </c>
      <c r="M2127" s="152" t="s">
        <v>7808</v>
      </c>
      <c r="N2127" s="513" t="s">
        <v>1566</v>
      </c>
      <c r="O2127" s="513" t="s">
        <v>1407</v>
      </c>
      <c r="P2127" s="513" t="s">
        <v>7813</v>
      </c>
      <c r="Q2127" s="518" t="s">
        <v>7796</v>
      </c>
      <c r="R2127" s="152" t="s">
        <v>7814</v>
      </c>
      <c r="S2127" s="152" t="s">
        <v>7811</v>
      </c>
      <c r="T2127" s="152" t="s">
        <v>7815</v>
      </c>
      <c r="U2127" s="152" t="s">
        <v>786</v>
      </c>
    </row>
    <row r="2128" spans="4:21">
      <c r="D2128" s="210"/>
      <c r="G2128" s="152" t="s">
        <v>373</v>
      </c>
      <c r="H2128" s="474" t="s">
        <v>374</v>
      </c>
      <c r="I2128" s="474"/>
      <c r="J2128" s="847">
        <v>3157737.5</v>
      </c>
      <c r="K2128" s="513">
        <v>2247.5</v>
      </c>
      <c r="L2128" s="513">
        <v>1405</v>
      </c>
      <c r="M2128" s="152" t="s">
        <v>7808</v>
      </c>
      <c r="N2128" s="513" t="s">
        <v>1566</v>
      </c>
      <c r="O2128" s="513" t="s">
        <v>1407</v>
      </c>
      <c r="P2128" s="513" t="s">
        <v>7816</v>
      </c>
      <c r="Q2128" s="518" t="s">
        <v>7796</v>
      </c>
      <c r="R2128" s="152" t="s">
        <v>7817</v>
      </c>
      <c r="S2128" s="152" t="s">
        <v>7818</v>
      </c>
      <c r="T2128" s="152" t="s">
        <v>7819</v>
      </c>
      <c r="U2128" s="152" t="s">
        <v>786</v>
      </c>
    </row>
    <row r="2129" spans="4:21">
      <c r="D2129" s="210"/>
      <c r="G2129" s="152" t="s">
        <v>373</v>
      </c>
      <c r="H2129" s="474" t="s">
        <v>374</v>
      </c>
      <c r="I2129" s="474"/>
      <c r="J2129" s="847">
        <v>2349862.5</v>
      </c>
      <c r="K2129" s="513">
        <v>1672.5</v>
      </c>
      <c r="L2129" s="513">
        <v>1405</v>
      </c>
      <c r="M2129" s="152" t="s">
        <v>7808</v>
      </c>
      <c r="N2129" s="513" t="s">
        <v>1566</v>
      </c>
      <c r="O2129" s="513" t="s">
        <v>1407</v>
      </c>
      <c r="P2129" s="513" t="s">
        <v>7820</v>
      </c>
      <c r="Q2129" s="518" t="s">
        <v>7796</v>
      </c>
      <c r="R2129" s="152" t="s">
        <v>7821</v>
      </c>
      <c r="S2129" s="152" t="s">
        <v>7818</v>
      </c>
      <c r="T2129" s="152" t="s">
        <v>7822</v>
      </c>
      <c r="U2129" s="152" t="s">
        <v>786</v>
      </c>
    </row>
    <row r="2130" spans="4:21">
      <c r="D2130" s="210"/>
      <c r="G2130" s="152" t="s">
        <v>373</v>
      </c>
      <c r="H2130" s="474" t="s">
        <v>374</v>
      </c>
      <c r="I2130" s="474"/>
      <c r="J2130" s="847">
        <v>3463325</v>
      </c>
      <c r="K2130" s="513">
        <v>2465</v>
      </c>
      <c r="L2130" s="513">
        <v>1405</v>
      </c>
      <c r="M2130" s="152" t="s">
        <v>7808</v>
      </c>
      <c r="N2130" s="513" t="s">
        <v>1566</v>
      </c>
      <c r="O2130" s="513" t="s">
        <v>1407</v>
      </c>
      <c r="P2130" s="513" t="s">
        <v>7823</v>
      </c>
      <c r="Q2130" s="518" t="s">
        <v>7796</v>
      </c>
      <c r="R2130" s="152" t="s">
        <v>7824</v>
      </c>
      <c r="S2130" s="152" t="s">
        <v>7818</v>
      </c>
      <c r="T2130" s="152" t="s">
        <v>7825</v>
      </c>
      <c r="U2130" s="152" t="s">
        <v>786</v>
      </c>
    </row>
    <row r="2131" spans="4:21">
      <c r="D2131" s="210"/>
      <c r="G2131" s="152" t="s">
        <v>373</v>
      </c>
      <c r="H2131" s="474" t="s">
        <v>374</v>
      </c>
      <c r="I2131" s="474"/>
      <c r="J2131" s="847">
        <v>1587650</v>
      </c>
      <c r="K2131" s="513">
        <v>1130</v>
      </c>
      <c r="L2131" s="513">
        <v>1405</v>
      </c>
      <c r="M2131" s="152" t="s">
        <v>7808</v>
      </c>
      <c r="N2131" s="513" t="s">
        <v>1566</v>
      </c>
      <c r="O2131" s="513" t="s">
        <v>1407</v>
      </c>
      <c r="P2131" s="513" t="s">
        <v>7826</v>
      </c>
      <c r="Q2131" s="518" t="s">
        <v>7796</v>
      </c>
      <c r="R2131" s="152" t="s">
        <v>7827</v>
      </c>
      <c r="S2131" s="152" t="s">
        <v>7818</v>
      </c>
      <c r="T2131" s="152" t="s">
        <v>7828</v>
      </c>
      <c r="U2131" s="152" t="s">
        <v>786</v>
      </c>
    </row>
    <row r="2132" spans="4:21">
      <c r="D2132" s="210"/>
      <c r="G2132" s="152" t="s">
        <v>373</v>
      </c>
      <c r="H2132" s="474" t="s">
        <v>374</v>
      </c>
      <c r="I2132" s="474"/>
      <c r="J2132" s="847">
        <v>1183010</v>
      </c>
      <c r="K2132" s="513">
        <v>842</v>
      </c>
      <c r="L2132" s="513">
        <v>1405</v>
      </c>
      <c r="M2132" s="152" t="s">
        <v>7808</v>
      </c>
      <c r="N2132" s="513" t="s">
        <v>1566</v>
      </c>
      <c r="O2132" s="513" t="s">
        <v>1407</v>
      </c>
      <c r="P2132" s="513" t="s">
        <v>7829</v>
      </c>
      <c r="Q2132" s="518" t="s">
        <v>7796</v>
      </c>
      <c r="R2132" s="152" t="s">
        <v>7830</v>
      </c>
      <c r="S2132" s="152" t="s">
        <v>7831</v>
      </c>
      <c r="T2132" s="152" t="s">
        <v>7832</v>
      </c>
      <c r="U2132" s="152" t="s">
        <v>786</v>
      </c>
    </row>
    <row r="2133" spans="4:21">
      <c r="D2133" s="210"/>
      <c r="G2133" s="152" t="s">
        <v>373</v>
      </c>
      <c r="H2133" s="474" t="s">
        <v>374</v>
      </c>
      <c r="I2133" s="474"/>
      <c r="J2133" s="847">
        <v>3073437.5</v>
      </c>
      <c r="K2133" s="513">
        <v>2187.5</v>
      </c>
      <c r="L2133" s="513">
        <v>1405</v>
      </c>
      <c r="M2133" s="152" t="s">
        <v>7808</v>
      </c>
      <c r="N2133" s="513" t="s">
        <v>1566</v>
      </c>
      <c r="O2133" s="513" t="s">
        <v>1407</v>
      </c>
      <c r="P2133" s="513" t="s">
        <v>7833</v>
      </c>
      <c r="Q2133" s="518" t="s">
        <v>7796</v>
      </c>
      <c r="R2133" s="152" t="s">
        <v>7834</v>
      </c>
      <c r="S2133" s="152" t="s">
        <v>7831</v>
      </c>
      <c r="T2133" s="152" t="s">
        <v>7835</v>
      </c>
      <c r="U2133" s="152" t="s">
        <v>786</v>
      </c>
    </row>
    <row r="2134" spans="4:21">
      <c r="D2134" s="210"/>
      <c r="G2134" s="152" t="s">
        <v>373</v>
      </c>
      <c r="H2134" s="474" t="s">
        <v>374</v>
      </c>
      <c r="I2134" s="474"/>
      <c r="J2134" s="847">
        <v>4488975</v>
      </c>
      <c r="K2134" s="513">
        <v>3195</v>
      </c>
      <c r="L2134" s="513">
        <v>1405</v>
      </c>
      <c r="M2134" s="152" t="s">
        <v>7808</v>
      </c>
      <c r="N2134" s="513" t="s">
        <v>1566</v>
      </c>
      <c r="O2134" s="513" t="s">
        <v>1407</v>
      </c>
      <c r="P2134" s="513" t="s">
        <v>7836</v>
      </c>
      <c r="Q2134" s="518" t="s">
        <v>7796</v>
      </c>
      <c r="R2134" s="152" t="s">
        <v>7837</v>
      </c>
      <c r="S2134" s="152" t="s">
        <v>7831</v>
      </c>
      <c r="T2134" s="152" t="s">
        <v>7838</v>
      </c>
      <c r="U2134" s="152" t="s">
        <v>786</v>
      </c>
    </row>
    <row r="2135" spans="4:21">
      <c r="D2135" s="210"/>
      <c r="G2135" s="152" t="s">
        <v>373</v>
      </c>
      <c r="H2135" s="474" t="s">
        <v>374</v>
      </c>
      <c r="I2135" s="474"/>
      <c r="J2135" s="847">
        <v>3013725</v>
      </c>
      <c r="K2135" s="513">
        <v>2145</v>
      </c>
      <c r="L2135" s="513">
        <v>1405</v>
      </c>
      <c r="M2135" s="152" t="s">
        <v>7808</v>
      </c>
      <c r="N2135" s="513" t="s">
        <v>1566</v>
      </c>
      <c r="O2135" s="513" t="s">
        <v>1407</v>
      </c>
      <c r="P2135" s="513" t="s">
        <v>7839</v>
      </c>
      <c r="Q2135" s="518" t="s">
        <v>7796</v>
      </c>
      <c r="R2135" s="152" t="s">
        <v>7840</v>
      </c>
      <c r="S2135" s="152" t="s">
        <v>7831</v>
      </c>
      <c r="T2135" s="152" t="s">
        <v>7841</v>
      </c>
      <c r="U2135" s="152" t="s">
        <v>786</v>
      </c>
    </row>
    <row r="2136" spans="4:21">
      <c r="D2136" s="210"/>
      <c r="G2136" s="152" t="s">
        <v>373</v>
      </c>
      <c r="H2136" s="474" t="s">
        <v>374</v>
      </c>
      <c r="I2136" s="474"/>
      <c r="J2136" s="847">
        <v>3537087.5</v>
      </c>
      <c r="K2136" s="513">
        <v>2517.5</v>
      </c>
      <c r="L2136" s="513">
        <v>1405</v>
      </c>
      <c r="M2136" s="152" t="s">
        <v>7116</v>
      </c>
      <c r="N2136" s="513" t="s">
        <v>1566</v>
      </c>
      <c r="O2136" s="513" t="s">
        <v>1407</v>
      </c>
      <c r="P2136" s="513" t="s">
        <v>7893</v>
      </c>
      <c r="Q2136" s="518" t="s">
        <v>7796</v>
      </c>
      <c r="R2136" s="152" t="s">
        <v>7894</v>
      </c>
      <c r="S2136" s="152" t="s">
        <v>7895</v>
      </c>
      <c r="T2136" s="152" t="s">
        <v>7896</v>
      </c>
      <c r="U2136" s="152" t="s">
        <v>786</v>
      </c>
    </row>
    <row r="2137" spans="4:21">
      <c r="D2137" s="210"/>
      <c r="G2137" s="152" t="s">
        <v>373</v>
      </c>
      <c r="H2137" s="474" t="s">
        <v>374</v>
      </c>
      <c r="I2137" s="474"/>
      <c r="J2137" s="847">
        <v>3765400</v>
      </c>
      <c r="K2137" s="513">
        <v>2680</v>
      </c>
      <c r="L2137" s="513">
        <v>1405</v>
      </c>
      <c r="M2137" s="152" t="s">
        <v>7116</v>
      </c>
      <c r="N2137" s="513" t="s">
        <v>1566</v>
      </c>
      <c r="O2137" s="513" t="s">
        <v>1407</v>
      </c>
      <c r="P2137" s="513" t="s">
        <v>7897</v>
      </c>
      <c r="Q2137" s="518" t="s">
        <v>7796</v>
      </c>
      <c r="R2137" s="152" t="s">
        <v>7898</v>
      </c>
      <c r="S2137" s="152" t="s">
        <v>7895</v>
      </c>
      <c r="T2137" s="152" t="s">
        <v>7899</v>
      </c>
      <c r="U2137" s="152" t="s">
        <v>786</v>
      </c>
    </row>
    <row r="2138" spans="4:21">
      <c r="D2138" s="210"/>
      <c r="G2138" s="152" t="s">
        <v>373</v>
      </c>
      <c r="H2138" s="474" t="s">
        <v>374</v>
      </c>
      <c r="I2138" s="474"/>
      <c r="J2138" s="847">
        <v>4460875</v>
      </c>
      <c r="K2138" s="513">
        <v>3175</v>
      </c>
      <c r="L2138" s="513">
        <v>1405</v>
      </c>
      <c r="M2138" s="152" t="s">
        <v>7116</v>
      </c>
      <c r="N2138" s="513" t="s">
        <v>1566</v>
      </c>
      <c r="O2138" s="513" t="s">
        <v>1407</v>
      </c>
      <c r="P2138" s="513" t="s">
        <v>7900</v>
      </c>
      <c r="Q2138" s="518" t="s">
        <v>7796</v>
      </c>
      <c r="R2138" s="152" t="s">
        <v>7901</v>
      </c>
      <c r="S2138" s="152" t="s">
        <v>7895</v>
      </c>
      <c r="T2138" s="152" t="s">
        <v>7902</v>
      </c>
      <c r="U2138" s="152" t="s">
        <v>786</v>
      </c>
    </row>
    <row r="2139" spans="4:21">
      <c r="D2139" s="210"/>
      <c r="G2139" s="152" t="s">
        <v>373</v>
      </c>
      <c r="H2139" s="474" t="s">
        <v>374</v>
      </c>
      <c r="I2139" s="474"/>
      <c r="J2139" s="847">
        <v>4594350</v>
      </c>
      <c r="K2139" s="513">
        <v>3270</v>
      </c>
      <c r="L2139" s="513">
        <v>1405</v>
      </c>
      <c r="M2139" s="152" t="s">
        <v>7116</v>
      </c>
      <c r="N2139" s="513" t="s">
        <v>1566</v>
      </c>
      <c r="O2139" s="513" t="s">
        <v>1407</v>
      </c>
      <c r="P2139" s="513" t="s">
        <v>7903</v>
      </c>
      <c r="Q2139" s="518" t="s">
        <v>7796</v>
      </c>
      <c r="R2139" s="152" t="s">
        <v>7904</v>
      </c>
      <c r="S2139" s="152" t="s">
        <v>7895</v>
      </c>
      <c r="T2139" s="152" t="s">
        <v>7905</v>
      </c>
      <c r="U2139" s="152" t="s">
        <v>786</v>
      </c>
    </row>
    <row r="2140" spans="4:21">
      <c r="D2140" s="210"/>
      <c r="G2140" s="152" t="s">
        <v>373</v>
      </c>
      <c r="H2140" s="474" t="s">
        <v>374</v>
      </c>
      <c r="I2140" s="474"/>
      <c r="J2140" s="847">
        <v>5374125</v>
      </c>
      <c r="K2140" s="513">
        <v>3825</v>
      </c>
      <c r="L2140" s="513">
        <v>1405</v>
      </c>
      <c r="M2140" s="152" t="s">
        <v>7116</v>
      </c>
      <c r="N2140" s="513" t="s">
        <v>1566</v>
      </c>
      <c r="O2140" s="513" t="s">
        <v>1407</v>
      </c>
      <c r="P2140" s="513" t="s">
        <v>7906</v>
      </c>
      <c r="Q2140" s="518" t="s">
        <v>7796</v>
      </c>
      <c r="R2140" s="152" t="s">
        <v>7907</v>
      </c>
      <c r="S2140" s="152" t="s">
        <v>7908</v>
      </c>
      <c r="T2140" s="152" t="s">
        <v>7909</v>
      </c>
      <c r="U2140" s="152" t="s">
        <v>786</v>
      </c>
    </row>
    <row r="2141" spans="4:21">
      <c r="D2141" s="210"/>
      <c r="G2141" s="152" t="s">
        <v>373</v>
      </c>
      <c r="H2141" s="474" t="s">
        <v>374</v>
      </c>
      <c r="I2141" s="474"/>
      <c r="J2141" s="847">
        <v>4253637.5</v>
      </c>
      <c r="K2141" s="513">
        <v>3027.5</v>
      </c>
      <c r="L2141" s="513">
        <v>1405</v>
      </c>
      <c r="M2141" s="152" t="s">
        <v>7116</v>
      </c>
      <c r="N2141" s="513" t="s">
        <v>1566</v>
      </c>
      <c r="O2141" s="513" t="s">
        <v>1407</v>
      </c>
      <c r="P2141" s="513" t="s">
        <v>7910</v>
      </c>
      <c r="Q2141" s="518" t="s">
        <v>7796</v>
      </c>
      <c r="R2141" s="152" t="s">
        <v>7911</v>
      </c>
      <c r="S2141" s="152" t="s">
        <v>7908</v>
      </c>
      <c r="T2141" s="152" t="s">
        <v>7912</v>
      </c>
      <c r="U2141" s="152" t="s">
        <v>786</v>
      </c>
    </row>
    <row r="2142" spans="4:21">
      <c r="D2142" s="210"/>
      <c r="G2142" s="152" t="s">
        <v>373</v>
      </c>
      <c r="H2142" s="474" t="s">
        <v>374</v>
      </c>
      <c r="I2142" s="474"/>
      <c r="J2142" s="847">
        <v>5307387.5</v>
      </c>
      <c r="K2142" s="513">
        <v>3777.5</v>
      </c>
      <c r="L2142" s="513">
        <v>1405</v>
      </c>
      <c r="M2142" s="152" t="s">
        <v>7116</v>
      </c>
      <c r="N2142" s="513" t="s">
        <v>1566</v>
      </c>
      <c r="O2142" s="513" t="s">
        <v>1407</v>
      </c>
      <c r="P2142" s="513" t="s">
        <v>7913</v>
      </c>
      <c r="Q2142" s="518" t="s">
        <v>7796</v>
      </c>
      <c r="R2142" s="152" t="s">
        <v>7914</v>
      </c>
      <c r="S2142" s="152" t="s">
        <v>7908</v>
      </c>
      <c r="T2142" s="152" t="s">
        <v>7915</v>
      </c>
      <c r="U2142" s="152" t="s">
        <v>786</v>
      </c>
    </row>
    <row r="2143" spans="4:21">
      <c r="D2143" s="210"/>
      <c r="G2143" s="152" t="s">
        <v>373</v>
      </c>
      <c r="H2143" s="474" t="s">
        <v>374</v>
      </c>
      <c r="I2143" s="474"/>
      <c r="J2143" s="847">
        <v>3375512.5</v>
      </c>
      <c r="K2143" s="513">
        <v>2402.5</v>
      </c>
      <c r="L2143" s="513">
        <v>1405</v>
      </c>
      <c r="M2143" s="152" t="s">
        <v>7116</v>
      </c>
      <c r="N2143" s="513" t="s">
        <v>1566</v>
      </c>
      <c r="O2143" s="513" t="s">
        <v>1407</v>
      </c>
      <c r="P2143" s="513" t="s">
        <v>7916</v>
      </c>
      <c r="Q2143" s="518" t="s">
        <v>7796</v>
      </c>
      <c r="R2143" s="152" t="s">
        <v>7917</v>
      </c>
      <c r="S2143" s="152" t="s">
        <v>7908</v>
      </c>
      <c r="T2143" s="152" t="s">
        <v>7918</v>
      </c>
      <c r="U2143" s="152" t="s">
        <v>786</v>
      </c>
    </row>
    <row r="2144" spans="4:21">
      <c r="D2144" s="210"/>
      <c r="G2144" s="152" t="s">
        <v>373</v>
      </c>
      <c r="H2144" s="474" t="s">
        <v>374</v>
      </c>
      <c r="I2144" s="474"/>
      <c r="J2144" s="847">
        <v>126450</v>
      </c>
      <c r="K2144" s="513">
        <v>90</v>
      </c>
      <c r="L2144" s="513">
        <v>1405</v>
      </c>
      <c r="M2144" s="152" t="s">
        <v>7116</v>
      </c>
      <c r="N2144" s="513" t="s">
        <v>1566</v>
      </c>
      <c r="O2144" s="513" t="s">
        <v>1407</v>
      </c>
      <c r="P2144" s="513" t="s">
        <v>7919</v>
      </c>
      <c r="Q2144" s="518" t="s">
        <v>7796</v>
      </c>
      <c r="R2144" s="152" t="s">
        <v>7920</v>
      </c>
      <c r="S2144" s="152" t="s">
        <v>7921</v>
      </c>
      <c r="T2144" s="152" t="s">
        <v>7922</v>
      </c>
      <c r="U2144" s="152" t="s">
        <v>786</v>
      </c>
    </row>
    <row r="2145" spans="4:21">
      <c r="D2145" s="210"/>
      <c r="G2145" s="152" t="s">
        <v>373</v>
      </c>
      <c r="H2145" s="474" t="s">
        <v>374</v>
      </c>
      <c r="I2145" s="474"/>
      <c r="J2145" s="847">
        <v>175625</v>
      </c>
      <c r="K2145" s="513">
        <v>125</v>
      </c>
      <c r="L2145" s="513">
        <v>1405</v>
      </c>
      <c r="M2145" s="152" t="s">
        <v>7116</v>
      </c>
      <c r="N2145" s="513" t="s">
        <v>1566</v>
      </c>
      <c r="O2145" s="513" t="s">
        <v>1407</v>
      </c>
      <c r="P2145" s="513" t="s">
        <v>7923</v>
      </c>
      <c r="Q2145" s="518" t="s">
        <v>7796</v>
      </c>
      <c r="R2145" s="152" t="s">
        <v>7924</v>
      </c>
      <c r="S2145" s="152" t="s">
        <v>7921</v>
      </c>
      <c r="T2145" s="152" t="s">
        <v>7925</v>
      </c>
      <c r="U2145" s="152" t="s">
        <v>786</v>
      </c>
    </row>
    <row r="2146" spans="4:21">
      <c r="D2146" s="210"/>
      <c r="G2146" s="152" t="s">
        <v>373</v>
      </c>
      <c r="H2146" s="474" t="s">
        <v>374</v>
      </c>
      <c r="I2146" s="474"/>
      <c r="J2146" s="847">
        <v>351250</v>
      </c>
      <c r="K2146" s="513">
        <v>250</v>
      </c>
      <c r="L2146" s="513">
        <v>1405</v>
      </c>
      <c r="M2146" s="152" t="s">
        <v>7116</v>
      </c>
      <c r="N2146" s="513" t="s">
        <v>1566</v>
      </c>
      <c r="O2146" s="513" t="s">
        <v>1407</v>
      </c>
      <c r="P2146" s="513" t="s">
        <v>7926</v>
      </c>
      <c r="Q2146" s="518" t="s">
        <v>7796</v>
      </c>
      <c r="R2146" s="152" t="s">
        <v>7927</v>
      </c>
      <c r="S2146" s="152" t="s">
        <v>7921</v>
      </c>
      <c r="T2146" s="152" t="s">
        <v>7928</v>
      </c>
      <c r="U2146" s="152" t="s">
        <v>786</v>
      </c>
    </row>
    <row r="2147" spans="4:21">
      <c r="D2147" s="210"/>
      <c r="G2147" s="152" t="s">
        <v>373</v>
      </c>
      <c r="H2147" s="474" t="s">
        <v>374</v>
      </c>
      <c r="I2147" s="474"/>
      <c r="J2147" s="847">
        <v>140500</v>
      </c>
      <c r="K2147" s="513">
        <v>100</v>
      </c>
      <c r="L2147" s="513">
        <v>1405</v>
      </c>
      <c r="M2147" s="152" t="s">
        <v>7116</v>
      </c>
      <c r="N2147" s="513" t="s">
        <v>1566</v>
      </c>
      <c r="O2147" s="513" t="s">
        <v>1407</v>
      </c>
      <c r="P2147" s="513" t="s">
        <v>7929</v>
      </c>
      <c r="Q2147" s="518" t="s">
        <v>7796</v>
      </c>
      <c r="R2147" s="152" t="s">
        <v>7930</v>
      </c>
      <c r="S2147" s="152" t="s">
        <v>7921</v>
      </c>
      <c r="T2147" s="152" t="s">
        <v>7931</v>
      </c>
      <c r="U2147" s="152" t="s">
        <v>786</v>
      </c>
    </row>
    <row r="2148" spans="4:21">
      <c r="D2148" s="210"/>
      <c r="G2148" s="152" t="s">
        <v>373</v>
      </c>
      <c r="H2148" s="474" t="s">
        <v>374</v>
      </c>
      <c r="I2148" s="474"/>
      <c r="J2148" s="847">
        <v>4432775</v>
      </c>
      <c r="K2148" s="513">
        <v>3155</v>
      </c>
      <c r="L2148" s="513">
        <v>1405</v>
      </c>
      <c r="M2148" s="152" t="s">
        <v>7116</v>
      </c>
      <c r="N2148" s="513" t="s">
        <v>1566</v>
      </c>
      <c r="O2148" s="513" t="s">
        <v>1407</v>
      </c>
      <c r="P2148" s="513" t="s">
        <v>7932</v>
      </c>
      <c r="Q2148" s="518" t="s">
        <v>7796</v>
      </c>
      <c r="R2148" s="152" t="s">
        <v>7933</v>
      </c>
      <c r="S2148" s="152" t="s">
        <v>7934</v>
      </c>
      <c r="T2148" s="152" t="s">
        <v>7935</v>
      </c>
      <c r="U2148" s="152" t="s">
        <v>786</v>
      </c>
    </row>
    <row r="2149" spans="4:21">
      <c r="D2149" s="210"/>
      <c r="G2149" s="152" t="s">
        <v>373</v>
      </c>
      <c r="H2149" s="474" t="s">
        <v>374</v>
      </c>
      <c r="I2149" s="474"/>
      <c r="J2149" s="847">
        <v>3941025</v>
      </c>
      <c r="K2149" s="513">
        <v>2805</v>
      </c>
      <c r="L2149" s="513">
        <v>1405</v>
      </c>
      <c r="M2149" s="152" t="s">
        <v>7116</v>
      </c>
      <c r="N2149" s="513" t="s">
        <v>1566</v>
      </c>
      <c r="O2149" s="513" t="s">
        <v>1407</v>
      </c>
      <c r="P2149" s="513" t="s">
        <v>7936</v>
      </c>
      <c r="Q2149" s="518" t="s">
        <v>7796</v>
      </c>
      <c r="R2149" s="152" t="s">
        <v>7937</v>
      </c>
      <c r="S2149" s="152" t="s">
        <v>7934</v>
      </c>
      <c r="T2149" s="152" t="s">
        <v>7938</v>
      </c>
      <c r="U2149" s="152" t="s">
        <v>786</v>
      </c>
    </row>
    <row r="2150" spans="4:21">
      <c r="D2150" s="210"/>
      <c r="G2150" s="152" t="s">
        <v>373</v>
      </c>
      <c r="H2150" s="474" t="s">
        <v>374</v>
      </c>
      <c r="I2150" s="474"/>
      <c r="J2150" s="847">
        <v>3818087.5</v>
      </c>
      <c r="K2150" s="513">
        <v>2717.5</v>
      </c>
      <c r="L2150" s="513">
        <v>1405</v>
      </c>
      <c r="M2150" s="152" t="s">
        <v>7116</v>
      </c>
      <c r="N2150" s="513" t="s">
        <v>1566</v>
      </c>
      <c r="O2150" s="513" t="s">
        <v>1407</v>
      </c>
      <c r="P2150" s="513" t="s">
        <v>7939</v>
      </c>
      <c r="Q2150" s="518" t="s">
        <v>7796</v>
      </c>
      <c r="R2150" s="152" t="s">
        <v>7940</v>
      </c>
      <c r="S2150" s="152" t="s">
        <v>7941</v>
      </c>
      <c r="T2150" s="152" t="s">
        <v>7942</v>
      </c>
      <c r="U2150" s="152" t="s">
        <v>786</v>
      </c>
    </row>
    <row r="2151" spans="4:21">
      <c r="D2151" s="210"/>
      <c r="G2151" s="152" t="s">
        <v>373</v>
      </c>
      <c r="H2151" s="474" t="s">
        <v>374</v>
      </c>
      <c r="I2151" s="474"/>
      <c r="J2151" s="847">
        <v>3744325</v>
      </c>
      <c r="K2151" s="513">
        <v>2665</v>
      </c>
      <c r="L2151" s="513">
        <v>1405</v>
      </c>
      <c r="M2151" s="152" t="s">
        <v>7975</v>
      </c>
      <c r="N2151" s="513" t="s">
        <v>1566</v>
      </c>
      <c r="O2151" s="513" t="s">
        <v>1407</v>
      </c>
      <c r="P2151" s="513" t="s">
        <v>7976</v>
      </c>
      <c r="Q2151" s="518" t="s">
        <v>7796</v>
      </c>
      <c r="R2151" s="152" t="s">
        <v>7977</v>
      </c>
      <c r="S2151" s="152" t="s">
        <v>7978</v>
      </c>
      <c r="T2151" s="152" t="s">
        <v>7979</v>
      </c>
      <c r="U2151" s="152" t="s">
        <v>786</v>
      </c>
    </row>
    <row r="2152" spans="4:21">
      <c r="D2152" s="210"/>
      <c r="G2152" s="152" t="s">
        <v>373</v>
      </c>
      <c r="H2152" s="474" t="s">
        <v>374</v>
      </c>
      <c r="I2152" s="474"/>
      <c r="J2152" s="847">
        <v>6073112.5</v>
      </c>
      <c r="K2152" s="513">
        <v>4322.5</v>
      </c>
      <c r="L2152" s="513">
        <v>1405</v>
      </c>
      <c r="M2152" s="152" t="s">
        <v>7975</v>
      </c>
      <c r="N2152" s="513" t="s">
        <v>1566</v>
      </c>
      <c r="O2152" s="513" t="s">
        <v>1407</v>
      </c>
      <c r="P2152" s="513" t="s">
        <v>7980</v>
      </c>
      <c r="Q2152" s="518" t="s">
        <v>7796</v>
      </c>
      <c r="R2152" s="152" t="s">
        <v>7981</v>
      </c>
      <c r="S2152" s="152" t="s">
        <v>7978</v>
      </c>
      <c r="T2152" s="152" t="s">
        <v>7982</v>
      </c>
      <c r="U2152" s="152" t="s">
        <v>786</v>
      </c>
    </row>
    <row r="2153" spans="4:21">
      <c r="D2153" s="210"/>
      <c r="G2153" s="152" t="s">
        <v>373</v>
      </c>
      <c r="H2153" s="474" t="s">
        <v>374</v>
      </c>
      <c r="I2153" s="474"/>
      <c r="J2153" s="847">
        <v>6498125</v>
      </c>
      <c r="K2153" s="513">
        <v>4625</v>
      </c>
      <c r="L2153" s="513">
        <v>1405</v>
      </c>
      <c r="M2153" s="152" t="s">
        <v>7975</v>
      </c>
      <c r="N2153" s="513" t="s">
        <v>1566</v>
      </c>
      <c r="O2153" s="513" t="s">
        <v>1407</v>
      </c>
      <c r="P2153" s="513" t="s">
        <v>7983</v>
      </c>
      <c r="Q2153" s="518" t="s">
        <v>7796</v>
      </c>
      <c r="R2153" s="152" t="s">
        <v>7984</v>
      </c>
      <c r="S2153" s="152" t="s">
        <v>7978</v>
      </c>
      <c r="T2153" s="152" t="s">
        <v>7985</v>
      </c>
      <c r="U2153" s="152" t="s">
        <v>786</v>
      </c>
    </row>
    <row r="2154" spans="4:21">
      <c r="D2154" s="210"/>
      <c r="G2154" s="152" t="s">
        <v>373</v>
      </c>
      <c r="H2154" s="474" t="s">
        <v>374</v>
      </c>
      <c r="I2154" s="474"/>
      <c r="J2154" s="847">
        <v>8514300</v>
      </c>
      <c r="K2154" s="513">
        <v>6060</v>
      </c>
      <c r="L2154" s="513">
        <v>1405</v>
      </c>
      <c r="M2154" s="152" t="s">
        <v>7975</v>
      </c>
      <c r="N2154" s="513" t="s">
        <v>1566</v>
      </c>
      <c r="O2154" s="513" t="s">
        <v>1407</v>
      </c>
      <c r="P2154" s="513" t="s">
        <v>7986</v>
      </c>
      <c r="Q2154" s="518" t="s">
        <v>7796</v>
      </c>
      <c r="R2154" s="152" t="s">
        <v>7987</v>
      </c>
      <c r="S2154" s="152" t="s">
        <v>7978</v>
      </c>
      <c r="T2154" s="152" t="s">
        <v>7988</v>
      </c>
      <c r="U2154" s="152" t="s">
        <v>786</v>
      </c>
    </row>
    <row r="2155" spans="4:21">
      <c r="D2155" s="210"/>
      <c r="G2155" s="152" t="s">
        <v>373</v>
      </c>
      <c r="H2155" s="474" t="s">
        <v>374</v>
      </c>
      <c r="I2155" s="474"/>
      <c r="J2155" s="847">
        <v>8022550</v>
      </c>
      <c r="K2155" s="513">
        <v>5710</v>
      </c>
      <c r="L2155" s="513">
        <v>1405</v>
      </c>
      <c r="M2155" s="152" t="s">
        <v>7975</v>
      </c>
      <c r="N2155" s="513" t="s">
        <v>1566</v>
      </c>
      <c r="O2155" s="513" t="s">
        <v>1407</v>
      </c>
      <c r="P2155" s="513" t="s">
        <v>7989</v>
      </c>
      <c r="Q2155" s="518" t="s">
        <v>7796</v>
      </c>
      <c r="R2155" s="152" t="s">
        <v>7990</v>
      </c>
      <c r="S2155" s="152" t="s">
        <v>7978</v>
      </c>
      <c r="T2155" s="152" t="s">
        <v>7991</v>
      </c>
      <c r="U2155" s="152" t="s">
        <v>786</v>
      </c>
    </row>
    <row r="2156" spans="4:21">
      <c r="D2156" s="210"/>
      <c r="G2156" s="152" t="s">
        <v>373</v>
      </c>
      <c r="H2156" s="474" t="s">
        <v>374</v>
      </c>
      <c r="I2156" s="474"/>
      <c r="J2156" s="847">
        <v>5391687.5</v>
      </c>
      <c r="K2156" s="513">
        <v>3837.5</v>
      </c>
      <c r="L2156" s="513">
        <v>1405</v>
      </c>
      <c r="M2156" s="152" t="s">
        <v>7975</v>
      </c>
      <c r="N2156" s="513" t="s">
        <v>1566</v>
      </c>
      <c r="O2156" s="513" t="s">
        <v>1407</v>
      </c>
      <c r="P2156" s="513" t="s">
        <v>7992</v>
      </c>
      <c r="Q2156" s="518" t="s">
        <v>7796</v>
      </c>
      <c r="R2156" s="152" t="s">
        <v>7993</v>
      </c>
      <c r="S2156" s="152" t="s">
        <v>7978</v>
      </c>
      <c r="T2156" s="152" t="s">
        <v>7994</v>
      </c>
      <c r="U2156" s="152" t="s">
        <v>786</v>
      </c>
    </row>
    <row r="2157" spans="4:21">
      <c r="D2157" s="210"/>
      <c r="G2157" s="152" t="s">
        <v>373</v>
      </c>
      <c r="H2157" s="474" t="s">
        <v>374</v>
      </c>
      <c r="I2157" s="474"/>
      <c r="J2157" s="847">
        <v>8373800</v>
      </c>
      <c r="K2157" s="513">
        <v>5960</v>
      </c>
      <c r="L2157" s="513">
        <v>1405</v>
      </c>
      <c r="M2157" s="152" t="s">
        <v>7975</v>
      </c>
      <c r="N2157" s="513" t="s">
        <v>1566</v>
      </c>
      <c r="O2157" s="513" t="s">
        <v>1407</v>
      </c>
      <c r="P2157" s="513" t="s">
        <v>7995</v>
      </c>
      <c r="Q2157" s="518" t="s">
        <v>7796</v>
      </c>
      <c r="R2157" s="152" t="s">
        <v>7996</v>
      </c>
      <c r="S2157" s="152" t="s">
        <v>7978</v>
      </c>
      <c r="T2157" s="152" t="s">
        <v>7997</v>
      </c>
      <c r="U2157" s="152" t="s">
        <v>786</v>
      </c>
    </row>
    <row r="2158" spans="4:21">
      <c r="D2158" s="210"/>
      <c r="G2158" s="152" t="s">
        <v>373</v>
      </c>
      <c r="H2158" s="474" t="s">
        <v>374</v>
      </c>
      <c r="I2158" s="474"/>
      <c r="J2158" s="847">
        <v>6750322.5</v>
      </c>
      <c r="K2158" s="513">
        <v>4804.5</v>
      </c>
      <c r="L2158" s="513">
        <v>1405</v>
      </c>
      <c r="M2158" s="152" t="s">
        <v>7975</v>
      </c>
      <c r="N2158" s="513" t="s">
        <v>1566</v>
      </c>
      <c r="O2158" s="513" t="s">
        <v>1407</v>
      </c>
      <c r="P2158" s="513" t="s">
        <v>8030</v>
      </c>
      <c r="Q2158" s="518" t="s">
        <v>7796</v>
      </c>
      <c r="R2158" s="152" t="s">
        <v>8031</v>
      </c>
      <c r="S2158" s="152" t="s">
        <v>8032</v>
      </c>
      <c r="T2158" s="152" t="s">
        <v>8033</v>
      </c>
      <c r="U2158" s="152" t="s">
        <v>786</v>
      </c>
    </row>
    <row r="2159" spans="4:21">
      <c r="D2159" s="210"/>
      <c r="G2159" s="152" t="s">
        <v>373</v>
      </c>
      <c r="H2159" s="474" t="s">
        <v>374</v>
      </c>
      <c r="I2159" s="474"/>
      <c r="J2159" s="847">
        <v>6491100</v>
      </c>
      <c r="K2159" s="513">
        <v>4620</v>
      </c>
      <c r="L2159" s="513">
        <v>1405</v>
      </c>
      <c r="M2159" s="152" t="s">
        <v>7975</v>
      </c>
      <c r="N2159" s="513" t="s">
        <v>1566</v>
      </c>
      <c r="O2159" s="513" t="s">
        <v>1407</v>
      </c>
      <c r="P2159" s="513" t="s">
        <v>8034</v>
      </c>
      <c r="Q2159" s="518" t="s">
        <v>7796</v>
      </c>
      <c r="R2159" s="152" t="s">
        <v>8035</v>
      </c>
      <c r="S2159" s="152" t="s">
        <v>8032</v>
      </c>
      <c r="T2159" s="152" t="s">
        <v>8036</v>
      </c>
      <c r="U2159" s="152" t="s">
        <v>786</v>
      </c>
    </row>
    <row r="2160" spans="4:21">
      <c r="D2160" s="210"/>
      <c r="G2160" s="152" t="s">
        <v>373</v>
      </c>
      <c r="H2160" s="474" t="s">
        <v>374</v>
      </c>
      <c r="I2160" s="474"/>
      <c r="J2160" s="847">
        <v>6560400</v>
      </c>
      <c r="K2160" s="513">
        <v>4620</v>
      </c>
      <c r="L2160" s="513">
        <v>1420</v>
      </c>
      <c r="M2160" s="152" t="s">
        <v>7143</v>
      </c>
      <c r="N2160" s="513" t="s">
        <v>1566</v>
      </c>
      <c r="O2160" s="513" t="s">
        <v>1407</v>
      </c>
      <c r="P2160" s="513" t="s">
        <v>8037</v>
      </c>
      <c r="Q2160" s="518" t="s">
        <v>7796</v>
      </c>
      <c r="R2160" s="152" t="s">
        <v>8038</v>
      </c>
      <c r="S2160" s="152" t="s">
        <v>8039</v>
      </c>
      <c r="T2160" s="152" t="s">
        <v>8040</v>
      </c>
      <c r="U2160" s="152" t="s">
        <v>786</v>
      </c>
    </row>
    <row r="2161" spans="4:21">
      <c r="D2161" s="210"/>
      <c r="G2161" s="152" t="s">
        <v>373</v>
      </c>
      <c r="H2161" s="474" t="s">
        <v>374</v>
      </c>
      <c r="I2161" s="474"/>
      <c r="J2161" s="847">
        <v>6822390</v>
      </c>
      <c r="K2161" s="513">
        <v>4804.5</v>
      </c>
      <c r="L2161" s="513">
        <v>1420</v>
      </c>
      <c r="M2161" s="152" t="s">
        <v>7143</v>
      </c>
      <c r="N2161" s="513" t="s">
        <v>1566</v>
      </c>
      <c r="O2161" s="513" t="s">
        <v>1407</v>
      </c>
      <c r="P2161" s="513" t="s">
        <v>8041</v>
      </c>
      <c r="Q2161" s="518" t="s">
        <v>7796</v>
      </c>
      <c r="R2161" s="152" t="s">
        <v>8042</v>
      </c>
      <c r="S2161" s="152" t="s">
        <v>8039</v>
      </c>
      <c r="T2161" s="152" t="s">
        <v>8043</v>
      </c>
      <c r="U2161" s="152" t="s">
        <v>786</v>
      </c>
    </row>
    <row r="2162" spans="4:21">
      <c r="D2162" s="210"/>
      <c r="G2162" s="152" t="s">
        <v>373</v>
      </c>
      <c r="H2162" s="474" t="s">
        <v>374</v>
      </c>
      <c r="I2162" s="474"/>
      <c r="J2162" s="847">
        <v>8921150</v>
      </c>
      <c r="K2162" s="513">
        <v>6282.5</v>
      </c>
      <c r="L2162" s="513">
        <v>1420</v>
      </c>
      <c r="M2162" s="152" t="s">
        <v>7143</v>
      </c>
      <c r="N2162" s="513" t="s">
        <v>1566</v>
      </c>
      <c r="O2162" s="513" t="s">
        <v>1407</v>
      </c>
      <c r="P2162" s="513" t="s">
        <v>8044</v>
      </c>
      <c r="Q2162" s="518" t="s">
        <v>7796</v>
      </c>
      <c r="R2162" s="152" t="s">
        <v>8045</v>
      </c>
      <c r="S2162" s="152" t="s">
        <v>8046</v>
      </c>
      <c r="T2162" s="152" t="s">
        <v>8047</v>
      </c>
      <c r="U2162" s="152" t="s">
        <v>786</v>
      </c>
    </row>
    <row r="2163" spans="4:21">
      <c r="D2163" s="210"/>
      <c r="G2163" s="152" t="s">
        <v>373</v>
      </c>
      <c r="H2163" s="474" t="s">
        <v>374</v>
      </c>
      <c r="I2163" s="474"/>
      <c r="J2163" s="847">
        <v>8413500</v>
      </c>
      <c r="K2163" s="513">
        <v>5925</v>
      </c>
      <c r="L2163" s="513">
        <v>1420</v>
      </c>
      <c r="M2163" s="152" t="s">
        <v>7143</v>
      </c>
      <c r="N2163" s="513" t="s">
        <v>1566</v>
      </c>
      <c r="O2163" s="513" t="s">
        <v>1407</v>
      </c>
      <c r="P2163" s="513" t="s">
        <v>8048</v>
      </c>
      <c r="Q2163" s="518" t="s">
        <v>7796</v>
      </c>
      <c r="R2163" s="152" t="s">
        <v>8049</v>
      </c>
      <c r="S2163" s="152" t="s">
        <v>8046</v>
      </c>
      <c r="T2163" s="152" t="s">
        <v>8050</v>
      </c>
      <c r="U2163" s="152" t="s">
        <v>786</v>
      </c>
    </row>
    <row r="2164" spans="4:21">
      <c r="D2164" s="210"/>
      <c r="G2164" s="152" t="s">
        <v>373</v>
      </c>
      <c r="H2164" s="474" t="s">
        <v>374</v>
      </c>
      <c r="I2164" s="474"/>
      <c r="J2164" s="847">
        <v>8548400</v>
      </c>
      <c r="K2164" s="513">
        <v>6020</v>
      </c>
      <c r="L2164" s="513">
        <v>1420</v>
      </c>
      <c r="M2164" s="152" t="s">
        <v>7143</v>
      </c>
      <c r="N2164" s="513" t="s">
        <v>1566</v>
      </c>
      <c r="O2164" s="513" t="s">
        <v>1407</v>
      </c>
      <c r="P2164" s="513" t="s">
        <v>8051</v>
      </c>
      <c r="Q2164" s="518" t="s">
        <v>7796</v>
      </c>
      <c r="R2164" s="152" t="s">
        <v>8052</v>
      </c>
      <c r="S2164" s="152" t="s">
        <v>8046</v>
      </c>
      <c r="T2164" s="152" t="s">
        <v>8053</v>
      </c>
      <c r="U2164" s="152" t="s">
        <v>786</v>
      </c>
    </row>
    <row r="2165" spans="4:21">
      <c r="D2165" s="210"/>
      <c r="G2165" s="152" t="s">
        <v>373</v>
      </c>
      <c r="H2165" s="474" t="s">
        <v>374</v>
      </c>
      <c r="I2165" s="474"/>
      <c r="J2165" s="847">
        <v>7153250</v>
      </c>
      <c r="K2165" s="513">
        <v>5037.5</v>
      </c>
      <c r="L2165" s="513">
        <v>1420</v>
      </c>
      <c r="M2165" s="152" t="s">
        <v>7143</v>
      </c>
      <c r="N2165" s="513" t="s">
        <v>1566</v>
      </c>
      <c r="O2165" s="513" t="s">
        <v>1407</v>
      </c>
      <c r="P2165" s="513" t="s">
        <v>8054</v>
      </c>
      <c r="Q2165" s="518" t="s">
        <v>7796</v>
      </c>
      <c r="R2165" s="152" t="s">
        <v>8055</v>
      </c>
      <c r="S2165" s="152" t="s">
        <v>8046</v>
      </c>
      <c r="T2165" s="152" t="s">
        <v>8056</v>
      </c>
      <c r="U2165" s="152" t="s">
        <v>786</v>
      </c>
    </row>
    <row r="2166" spans="4:21">
      <c r="D2166" s="210"/>
      <c r="G2166" s="152" t="s">
        <v>373</v>
      </c>
      <c r="H2166" s="474" t="s">
        <v>374</v>
      </c>
      <c r="I2166" s="474"/>
      <c r="J2166" s="847">
        <v>4462350</v>
      </c>
      <c r="K2166" s="513">
        <v>3142.5</v>
      </c>
      <c r="L2166" s="513">
        <v>1420</v>
      </c>
      <c r="M2166" s="152" t="s">
        <v>7143</v>
      </c>
      <c r="N2166" s="513" t="s">
        <v>1566</v>
      </c>
      <c r="O2166" s="513" t="s">
        <v>1407</v>
      </c>
      <c r="P2166" s="513" t="s">
        <v>8057</v>
      </c>
      <c r="Q2166" s="518" t="s">
        <v>7796</v>
      </c>
      <c r="R2166" s="152" t="s">
        <v>8058</v>
      </c>
      <c r="S2166" s="152" t="s">
        <v>8059</v>
      </c>
      <c r="T2166" s="152" t="s">
        <v>8060</v>
      </c>
      <c r="U2166" s="152" t="s">
        <v>786</v>
      </c>
    </row>
    <row r="2167" spans="4:21">
      <c r="D2167" s="210"/>
      <c r="G2167" s="152" t="s">
        <v>373</v>
      </c>
      <c r="H2167" s="474" t="s">
        <v>374</v>
      </c>
      <c r="I2167" s="474"/>
      <c r="J2167" s="847">
        <v>4604350</v>
      </c>
      <c r="K2167" s="513">
        <v>3242.5</v>
      </c>
      <c r="L2167" s="513">
        <v>1420</v>
      </c>
      <c r="M2167" s="152" t="s">
        <v>7143</v>
      </c>
      <c r="N2167" s="513" t="s">
        <v>1566</v>
      </c>
      <c r="O2167" s="513" t="s">
        <v>1407</v>
      </c>
      <c r="P2167" s="513" t="s">
        <v>8061</v>
      </c>
      <c r="Q2167" s="518" t="s">
        <v>7796</v>
      </c>
      <c r="R2167" s="152" t="s">
        <v>8062</v>
      </c>
      <c r="S2167" s="152" t="s">
        <v>8059</v>
      </c>
      <c r="T2167" s="152" t="s">
        <v>8063</v>
      </c>
      <c r="U2167" s="152" t="s">
        <v>786</v>
      </c>
    </row>
    <row r="2168" spans="4:21">
      <c r="D2168" s="210"/>
      <c r="G2168" s="152" t="s">
        <v>373</v>
      </c>
      <c r="H2168" s="474" t="s">
        <v>374</v>
      </c>
      <c r="I2168" s="474"/>
      <c r="J2168" s="847">
        <v>4643400</v>
      </c>
      <c r="K2168" s="513">
        <v>3270</v>
      </c>
      <c r="L2168" s="513">
        <v>1420</v>
      </c>
      <c r="M2168" s="152" t="s">
        <v>7143</v>
      </c>
      <c r="N2168" s="513" t="s">
        <v>1566</v>
      </c>
      <c r="O2168" s="513" t="s">
        <v>1407</v>
      </c>
      <c r="P2168" s="513" t="s">
        <v>8064</v>
      </c>
      <c r="Q2168" s="518" t="s">
        <v>7796</v>
      </c>
      <c r="R2168" s="152" t="s">
        <v>8065</v>
      </c>
      <c r="S2168" s="152" t="s">
        <v>8059</v>
      </c>
      <c r="T2168" s="152" t="s">
        <v>8066</v>
      </c>
      <c r="U2168" s="152" t="s">
        <v>786</v>
      </c>
    </row>
    <row r="2169" spans="4:21">
      <c r="D2169" s="210"/>
      <c r="G2169" s="152" t="s">
        <v>373</v>
      </c>
      <c r="H2169" s="474" t="s">
        <v>374</v>
      </c>
      <c r="I2169" s="474"/>
      <c r="J2169" s="847">
        <v>3081400</v>
      </c>
      <c r="K2169" s="513">
        <v>2170</v>
      </c>
      <c r="L2169" s="513">
        <v>1420</v>
      </c>
      <c r="M2169" s="152" t="s">
        <v>7143</v>
      </c>
      <c r="N2169" s="513" t="s">
        <v>1566</v>
      </c>
      <c r="O2169" s="513" t="s">
        <v>1407</v>
      </c>
      <c r="P2169" s="513" t="s">
        <v>8067</v>
      </c>
      <c r="Q2169" s="518" t="s">
        <v>7796</v>
      </c>
      <c r="R2169" s="152" t="s">
        <v>8068</v>
      </c>
      <c r="S2169" s="152" t="s">
        <v>8059</v>
      </c>
      <c r="T2169" s="152" t="s">
        <v>8069</v>
      </c>
      <c r="U2169" s="152" t="s">
        <v>786</v>
      </c>
    </row>
    <row r="2170" spans="4:21">
      <c r="D2170" s="210"/>
      <c r="G2170" s="152" t="s">
        <v>373</v>
      </c>
      <c r="H2170" s="474" t="s">
        <v>374</v>
      </c>
      <c r="I2170" s="474"/>
      <c r="J2170" s="847">
        <v>-843000</v>
      </c>
      <c r="K2170" s="513">
        <v>-600</v>
      </c>
      <c r="L2170" s="513">
        <v>1405</v>
      </c>
      <c r="M2170" s="152" t="s">
        <v>7808</v>
      </c>
      <c r="N2170" s="513" t="s">
        <v>1540</v>
      </c>
      <c r="O2170" s="513" t="s">
        <v>1407</v>
      </c>
      <c r="P2170" s="513" t="s">
        <v>8090</v>
      </c>
      <c r="Q2170" s="518" t="s">
        <v>8091</v>
      </c>
      <c r="R2170" s="152" t="s">
        <v>8092</v>
      </c>
      <c r="T2170" s="152" t="s">
        <v>8093</v>
      </c>
      <c r="U2170" s="152" t="s">
        <v>786</v>
      </c>
    </row>
    <row r="2171" spans="4:21">
      <c r="D2171" s="210"/>
      <c r="G2171" s="152" t="s">
        <v>373</v>
      </c>
      <c r="H2171" s="474" t="s">
        <v>374</v>
      </c>
      <c r="I2171" s="474"/>
      <c r="J2171" s="847">
        <v>-843000</v>
      </c>
      <c r="K2171" s="513">
        <v>-600</v>
      </c>
      <c r="L2171" s="513">
        <v>1405</v>
      </c>
      <c r="M2171" s="152" t="s">
        <v>7808</v>
      </c>
      <c r="N2171" s="513" t="s">
        <v>1540</v>
      </c>
      <c r="O2171" s="513" t="s">
        <v>1407</v>
      </c>
      <c r="P2171" s="513" t="s">
        <v>8094</v>
      </c>
      <c r="Q2171" s="518" t="s">
        <v>8091</v>
      </c>
      <c r="R2171" s="152" t="s">
        <v>8095</v>
      </c>
      <c r="T2171" s="152" t="s">
        <v>8096</v>
      </c>
      <c r="U2171" s="152" t="s">
        <v>786</v>
      </c>
    </row>
    <row r="2172" spans="4:21">
      <c r="D2172" s="210"/>
      <c r="G2172" s="152" t="s">
        <v>373</v>
      </c>
      <c r="H2172" s="474" t="s">
        <v>374</v>
      </c>
      <c r="I2172" s="474"/>
      <c r="J2172" s="847">
        <v>-843000</v>
      </c>
      <c r="K2172" s="513">
        <v>-600</v>
      </c>
      <c r="L2172" s="513">
        <v>1405</v>
      </c>
      <c r="M2172" s="152" t="s">
        <v>7808</v>
      </c>
      <c r="N2172" s="513" t="s">
        <v>1540</v>
      </c>
      <c r="O2172" s="513" t="s">
        <v>1407</v>
      </c>
      <c r="P2172" s="513" t="s">
        <v>8097</v>
      </c>
      <c r="Q2172" s="518" t="s">
        <v>8091</v>
      </c>
      <c r="R2172" s="152" t="s">
        <v>8098</v>
      </c>
      <c r="T2172" s="152" t="s">
        <v>8099</v>
      </c>
      <c r="U2172" s="152" t="s">
        <v>786</v>
      </c>
    </row>
    <row r="2173" spans="4:21">
      <c r="D2173" s="210"/>
      <c r="G2173" s="152" t="s">
        <v>373</v>
      </c>
      <c r="H2173" s="474" t="s">
        <v>374</v>
      </c>
      <c r="I2173" s="474"/>
      <c r="J2173" s="847">
        <v>-1264500</v>
      </c>
      <c r="K2173" s="513">
        <v>-900</v>
      </c>
      <c r="L2173" s="513">
        <v>1405</v>
      </c>
      <c r="M2173" s="152" t="s">
        <v>7808</v>
      </c>
      <c r="N2173" s="513" t="s">
        <v>1540</v>
      </c>
      <c r="O2173" s="513" t="s">
        <v>1407</v>
      </c>
      <c r="P2173" s="513" t="s">
        <v>8100</v>
      </c>
      <c r="Q2173" s="518" t="s">
        <v>8091</v>
      </c>
      <c r="R2173" s="152" t="s">
        <v>8101</v>
      </c>
      <c r="T2173" s="152" t="s">
        <v>8102</v>
      </c>
      <c r="U2173" s="152" t="s">
        <v>786</v>
      </c>
    </row>
    <row r="2174" spans="4:21">
      <c r="D2174" s="210"/>
      <c r="G2174" s="152" t="s">
        <v>373</v>
      </c>
      <c r="H2174" s="474" t="s">
        <v>374</v>
      </c>
      <c r="I2174" s="474"/>
      <c r="J2174" s="847">
        <v>-702500</v>
      </c>
      <c r="K2174" s="513">
        <v>-500</v>
      </c>
      <c r="L2174" s="513">
        <v>1405</v>
      </c>
      <c r="M2174" s="152" t="s">
        <v>7808</v>
      </c>
      <c r="N2174" s="513" t="s">
        <v>1540</v>
      </c>
      <c r="O2174" s="513" t="s">
        <v>1407</v>
      </c>
      <c r="P2174" s="513" t="s">
        <v>8103</v>
      </c>
      <c r="Q2174" s="518" t="s">
        <v>8091</v>
      </c>
      <c r="R2174" s="152" t="s">
        <v>8104</v>
      </c>
      <c r="T2174" s="152" t="s">
        <v>8105</v>
      </c>
      <c r="U2174" s="152" t="s">
        <v>786</v>
      </c>
    </row>
    <row r="2175" spans="4:21">
      <c r="D2175" s="210"/>
      <c r="G2175" s="152" t="s">
        <v>373</v>
      </c>
      <c r="H2175" s="474" t="s">
        <v>374</v>
      </c>
      <c r="I2175" s="474"/>
      <c r="J2175" s="847">
        <v>-562000</v>
      </c>
      <c r="K2175" s="513">
        <v>-400</v>
      </c>
      <c r="L2175" s="513">
        <v>1405</v>
      </c>
      <c r="M2175" s="152" t="s">
        <v>7808</v>
      </c>
      <c r="N2175" s="513" t="s">
        <v>1540</v>
      </c>
      <c r="O2175" s="513" t="s">
        <v>1407</v>
      </c>
      <c r="P2175" s="513" t="s">
        <v>8106</v>
      </c>
      <c r="Q2175" s="518" t="s">
        <v>8091</v>
      </c>
      <c r="R2175" s="152" t="s">
        <v>8107</v>
      </c>
      <c r="T2175" s="152" t="s">
        <v>8108</v>
      </c>
      <c r="U2175" s="152" t="s">
        <v>786</v>
      </c>
    </row>
    <row r="2176" spans="4:21">
      <c r="D2176" s="210"/>
      <c r="G2176" s="152" t="s">
        <v>373</v>
      </c>
      <c r="H2176" s="474" t="s">
        <v>374</v>
      </c>
      <c r="I2176" s="474"/>
      <c r="J2176" s="847">
        <v>-843000</v>
      </c>
      <c r="K2176" s="513">
        <v>-600</v>
      </c>
      <c r="L2176" s="513">
        <v>1405</v>
      </c>
      <c r="M2176" s="152" t="s">
        <v>7808</v>
      </c>
      <c r="N2176" s="513" t="s">
        <v>1540</v>
      </c>
      <c r="O2176" s="513" t="s">
        <v>1407</v>
      </c>
      <c r="P2176" s="513" t="s">
        <v>8109</v>
      </c>
      <c r="Q2176" s="518" t="s">
        <v>8091</v>
      </c>
      <c r="R2176" s="152" t="s">
        <v>8110</v>
      </c>
      <c r="T2176" s="152" t="s">
        <v>8111</v>
      </c>
      <c r="U2176" s="152" t="s">
        <v>786</v>
      </c>
    </row>
    <row r="2177" spans="4:21">
      <c r="D2177" s="210"/>
      <c r="G2177" s="152" t="s">
        <v>373</v>
      </c>
      <c r="H2177" s="474" t="s">
        <v>374</v>
      </c>
      <c r="I2177" s="474"/>
      <c r="J2177" s="847">
        <v>-843000</v>
      </c>
      <c r="K2177" s="513">
        <v>-600</v>
      </c>
      <c r="L2177" s="513">
        <v>1405</v>
      </c>
      <c r="M2177" s="152" t="s">
        <v>7808</v>
      </c>
      <c r="N2177" s="513" t="s">
        <v>1540</v>
      </c>
      <c r="O2177" s="513" t="s">
        <v>1407</v>
      </c>
      <c r="P2177" s="513" t="s">
        <v>8112</v>
      </c>
      <c r="Q2177" s="518" t="s">
        <v>8091</v>
      </c>
      <c r="R2177" s="152" t="s">
        <v>8113</v>
      </c>
      <c r="T2177" s="152" t="s">
        <v>8114</v>
      </c>
      <c r="U2177" s="152" t="s">
        <v>786</v>
      </c>
    </row>
    <row r="2178" spans="4:21">
      <c r="D2178" s="210"/>
      <c r="G2178" s="152" t="s">
        <v>373</v>
      </c>
      <c r="H2178" s="474" t="s">
        <v>374</v>
      </c>
      <c r="I2178" s="474"/>
      <c r="J2178" s="847">
        <v>-1264500</v>
      </c>
      <c r="K2178" s="513">
        <v>-900</v>
      </c>
      <c r="L2178" s="513">
        <v>1405</v>
      </c>
      <c r="M2178" s="152" t="s">
        <v>7116</v>
      </c>
      <c r="N2178" s="513" t="s">
        <v>1540</v>
      </c>
      <c r="O2178" s="513" t="s">
        <v>1407</v>
      </c>
      <c r="P2178" s="513" t="s">
        <v>8130</v>
      </c>
      <c r="Q2178" s="518" t="s">
        <v>8091</v>
      </c>
      <c r="R2178" s="152" t="s">
        <v>8131</v>
      </c>
      <c r="T2178" s="152" t="s">
        <v>8132</v>
      </c>
      <c r="U2178" s="152" t="s">
        <v>786</v>
      </c>
    </row>
    <row r="2179" spans="4:21">
      <c r="D2179" s="210"/>
      <c r="G2179" s="152" t="s">
        <v>373</v>
      </c>
      <c r="H2179" s="474" t="s">
        <v>374</v>
      </c>
      <c r="I2179" s="474"/>
      <c r="J2179" s="847">
        <v>-2743262.5</v>
      </c>
      <c r="K2179" s="513">
        <v>-1952.5</v>
      </c>
      <c r="L2179" s="513">
        <v>1405</v>
      </c>
      <c r="M2179" s="152" t="s">
        <v>7116</v>
      </c>
      <c r="N2179" s="513" t="s">
        <v>1540</v>
      </c>
      <c r="O2179" s="513" t="s">
        <v>1407</v>
      </c>
      <c r="P2179" s="513" t="s">
        <v>8133</v>
      </c>
      <c r="Q2179" s="518" t="s">
        <v>8091</v>
      </c>
      <c r="R2179" s="152" t="s">
        <v>8134</v>
      </c>
      <c r="T2179" s="152" t="s">
        <v>8135</v>
      </c>
      <c r="U2179" s="152" t="s">
        <v>786</v>
      </c>
    </row>
    <row r="2180" spans="4:21">
      <c r="D2180" s="210"/>
      <c r="G2180" s="152" t="s">
        <v>373</v>
      </c>
      <c r="H2180" s="474" t="s">
        <v>374</v>
      </c>
      <c r="I2180" s="474"/>
      <c r="J2180" s="847">
        <v>-2743262.5</v>
      </c>
      <c r="K2180" s="513">
        <v>-1952.5</v>
      </c>
      <c r="L2180" s="513">
        <v>1405</v>
      </c>
      <c r="M2180" s="152" t="s">
        <v>7116</v>
      </c>
      <c r="N2180" s="513" t="s">
        <v>1540</v>
      </c>
      <c r="O2180" s="513" t="s">
        <v>1407</v>
      </c>
      <c r="P2180" s="513" t="s">
        <v>8136</v>
      </c>
      <c r="Q2180" s="518" t="s">
        <v>8091</v>
      </c>
      <c r="R2180" s="152" t="s">
        <v>8137</v>
      </c>
      <c r="T2180" s="152" t="s">
        <v>8138</v>
      </c>
      <c r="U2180" s="152" t="s">
        <v>786</v>
      </c>
    </row>
    <row r="2181" spans="4:21">
      <c r="D2181" s="210"/>
      <c r="G2181" s="152" t="s">
        <v>373</v>
      </c>
      <c r="H2181" s="474" t="s">
        <v>374</v>
      </c>
      <c r="I2181" s="474"/>
      <c r="J2181" s="847">
        <v>-913250</v>
      </c>
      <c r="K2181" s="513">
        <v>-650</v>
      </c>
      <c r="L2181" s="513">
        <v>1405</v>
      </c>
      <c r="M2181" s="152" t="s">
        <v>7116</v>
      </c>
      <c r="N2181" s="513" t="s">
        <v>1540</v>
      </c>
      <c r="O2181" s="513" t="s">
        <v>1407</v>
      </c>
      <c r="P2181" s="513" t="s">
        <v>8139</v>
      </c>
      <c r="Q2181" s="518" t="s">
        <v>8091</v>
      </c>
      <c r="R2181" s="152" t="s">
        <v>8140</v>
      </c>
      <c r="T2181" s="152" t="s">
        <v>8141</v>
      </c>
      <c r="U2181" s="152" t="s">
        <v>786</v>
      </c>
    </row>
    <row r="2182" spans="4:21">
      <c r="D2182" s="210"/>
      <c r="G2182" s="152" t="s">
        <v>373</v>
      </c>
      <c r="H2182" s="474" t="s">
        <v>374</v>
      </c>
      <c r="I2182" s="474"/>
      <c r="J2182" s="847">
        <v>-913250</v>
      </c>
      <c r="K2182" s="513">
        <v>-650</v>
      </c>
      <c r="L2182" s="513">
        <v>1405</v>
      </c>
      <c r="M2182" s="152" t="s">
        <v>7116</v>
      </c>
      <c r="N2182" s="513" t="s">
        <v>1540</v>
      </c>
      <c r="O2182" s="513" t="s">
        <v>1407</v>
      </c>
      <c r="P2182" s="513" t="s">
        <v>8142</v>
      </c>
      <c r="Q2182" s="518" t="s">
        <v>8091</v>
      </c>
      <c r="R2182" s="152" t="s">
        <v>8143</v>
      </c>
      <c r="T2182" s="152" t="s">
        <v>8144</v>
      </c>
      <c r="U2182" s="152" t="s">
        <v>786</v>
      </c>
    </row>
    <row r="2183" spans="4:21">
      <c r="D2183" s="210"/>
      <c r="G2183" s="152" t="s">
        <v>373</v>
      </c>
      <c r="H2183" s="474" t="s">
        <v>374</v>
      </c>
      <c r="I2183" s="474"/>
      <c r="J2183" s="847">
        <v>-8514300</v>
      </c>
      <c r="K2183" s="513">
        <v>-6060</v>
      </c>
      <c r="L2183" s="513">
        <v>1405</v>
      </c>
      <c r="M2183" s="152" t="s">
        <v>7975</v>
      </c>
      <c r="N2183" s="513" t="s">
        <v>1540</v>
      </c>
      <c r="O2183" s="513" t="s">
        <v>1407</v>
      </c>
      <c r="P2183" s="513" t="s">
        <v>8145</v>
      </c>
      <c r="Q2183" s="518" t="s">
        <v>8091</v>
      </c>
      <c r="R2183" s="152" t="s">
        <v>8146</v>
      </c>
      <c r="T2183" s="152" t="s">
        <v>8147</v>
      </c>
      <c r="U2183" s="152" t="s">
        <v>786</v>
      </c>
    </row>
    <row r="2184" spans="4:21">
      <c r="D2184" s="210"/>
      <c r="G2184" s="152" t="s">
        <v>373</v>
      </c>
      <c r="H2184" s="474" t="s">
        <v>374</v>
      </c>
      <c r="I2184" s="474"/>
      <c r="J2184" s="847">
        <v>-3512500</v>
      </c>
      <c r="K2184" s="513">
        <v>-2500</v>
      </c>
      <c r="L2184" s="513">
        <v>1405</v>
      </c>
      <c r="M2184" s="152" t="s">
        <v>7975</v>
      </c>
      <c r="N2184" s="513" t="s">
        <v>1540</v>
      </c>
      <c r="O2184" s="513" t="s">
        <v>1407</v>
      </c>
      <c r="P2184" s="513" t="s">
        <v>8148</v>
      </c>
      <c r="Q2184" s="518" t="s">
        <v>8091</v>
      </c>
      <c r="R2184" s="152" t="s">
        <v>8149</v>
      </c>
      <c r="T2184" s="152" t="s">
        <v>8150</v>
      </c>
      <c r="U2184" s="152" t="s">
        <v>786</v>
      </c>
    </row>
    <row r="2185" spans="4:21">
      <c r="D2185" s="210"/>
      <c r="G2185" s="152" t="s">
        <v>373</v>
      </c>
      <c r="H2185" s="474" t="s">
        <v>374</v>
      </c>
      <c r="I2185" s="474"/>
      <c r="J2185" s="847">
        <v>-6019722.5</v>
      </c>
      <c r="K2185" s="513">
        <v>-4284.5</v>
      </c>
      <c r="L2185" s="513">
        <v>1405</v>
      </c>
      <c r="M2185" s="152" t="s">
        <v>7975</v>
      </c>
      <c r="N2185" s="513" t="s">
        <v>1540</v>
      </c>
      <c r="O2185" s="513" t="s">
        <v>1407</v>
      </c>
      <c r="P2185" s="513" t="s">
        <v>8163</v>
      </c>
      <c r="Q2185" s="518" t="s">
        <v>8091</v>
      </c>
      <c r="R2185" s="152" t="s">
        <v>8164</v>
      </c>
      <c r="T2185" s="152" t="s">
        <v>8165</v>
      </c>
      <c r="U2185" s="152" t="s">
        <v>786</v>
      </c>
    </row>
    <row r="2186" spans="4:21">
      <c r="D2186" s="210"/>
      <c r="G2186" s="152" t="s">
        <v>373</v>
      </c>
      <c r="H2186" s="474" t="s">
        <v>374</v>
      </c>
      <c r="I2186" s="474"/>
      <c r="J2186" s="847">
        <v>-5760500</v>
      </c>
      <c r="K2186" s="513">
        <v>-4100</v>
      </c>
      <c r="L2186" s="513">
        <v>1405</v>
      </c>
      <c r="M2186" s="152" t="s">
        <v>7975</v>
      </c>
      <c r="N2186" s="513" t="s">
        <v>1540</v>
      </c>
      <c r="O2186" s="513" t="s">
        <v>1407</v>
      </c>
      <c r="P2186" s="513" t="s">
        <v>8166</v>
      </c>
      <c r="Q2186" s="518" t="s">
        <v>8091</v>
      </c>
      <c r="R2186" s="152" t="s">
        <v>8167</v>
      </c>
      <c r="T2186" s="152" t="s">
        <v>8168</v>
      </c>
      <c r="U2186" s="152" t="s">
        <v>786</v>
      </c>
    </row>
    <row r="2187" spans="4:21">
      <c r="D2187" s="210"/>
      <c r="G2187" s="152" t="s">
        <v>373</v>
      </c>
      <c r="H2187" s="474" t="s">
        <v>374</v>
      </c>
      <c r="I2187" s="474"/>
      <c r="J2187" s="847">
        <v>-2414000</v>
      </c>
      <c r="K2187" s="513">
        <v>-1700</v>
      </c>
      <c r="L2187" s="513">
        <v>1420</v>
      </c>
      <c r="M2187" s="152" t="s">
        <v>7143</v>
      </c>
      <c r="N2187" s="513" t="s">
        <v>1540</v>
      </c>
      <c r="O2187" s="513" t="s">
        <v>1407</v>
      </c>
      <c r="P2187" s="513" t="s">
        <v>8184</v>
      </c>
      <c r="Q2187" s="518" t="s">
        <v>8091</v>
      </c>
      <c r="R2187" s="152" t="s">
        <v>8185</v>
      </c>
      <c r="T2187" s="152" t="s">
        <v>8186</v>
      </c>
      <c r="U2187" s="152" t="s">
        <v>786</v>
      </c>
    </row>
    <row r="2188" spans="4:21">
      <c r="D2188" s="210"/>
      <c r="G2188" s="152" t="s">
        <v>373</v>
      </c>
      <c r="H2188" s="474" t="s">
        <v>374</v>
      </c>
      <c r="I2188" s="474"/>
      <c r="J2188" s="847">
        <v>-1704000</v>
      </c>
      <c r="K2188" s="513">
        <v>-1200</v>
      </c>
      <c r="L2188" s="513">
        <v>1420</v>
      </c>
      <c r="M2188" s="152" t="s">
        <v>7143</v>
      </c>
      <c r="N2188" s="513" t="s">
        <v>1540</v>
      </c>
      <c r="O2188" s="513" t="s">
        <v>1407</v>
      </c>
      <c r="P2188" s="513" t="s">
        <v>8187</v>
      </c>
      <c r="Q2188" s="518" t="s">
        <v>8091</v>
      </c>
      <c r="R2188" s="152" t="s">
        <v>8188</v>
      </c>
      <c r="T2188" s="152" t="s">
        <v>8189</v>
      </c>
      <c r="U2188" s="152" t="s">
        <v>786</v>
      </c>
    </row>
    <row r="2189" spans="4:21">
      <c r="D2189" s="210"/>
      <c r="G2189" s="152" t="s">
        <v>373</v>
      </c>
      <c r="H2189" s="474" t="s">
        <v>374</v>
      </c>
      <c r="I2189" s="474"/>
      <c r="J2189" s="847">
        <v>-1704000</v>
      </c>
      <c r="K2189" s="513">
        <v>-1200</v>
      </c>
      <c r="L2189" s="513">
        <v>1420</v>
      </c>
      <c r="M2189" s="152" t="s">
        <v>7143</v>
      </c>
      <c r="N2189" s="513" t="s">
        <v>1540</v>
      </c>
      <c r="O2189" s="513" t="s">
        <v>1407</v>
      </c>
      <c r="P2189" s="513" t="s">
        <v>8190</v>
      </c>
      <c r="Q2189" s="518" t="s">
        <v>8091</v>
      </c>
      <c r="R2189" s="152" t="s">
        <v>8191</v>
      </c>
      <c r="T2189" s="152" t="s">
        <v>8192</v>
      </c>
      <c r="U2189" s="152" t="s">
        <v>786</v>
      </c>
    </row>
    <row r="2190" spans="4:21">
      <c r="D2190" s="210"/>
      <c r="G2190" s="152" t="s">
        <v>373</v>
      </c>
      <c r="H2190" s="474" t="s">
        <v>374</v>
      </c>
      <c r="I2190" s="474"/>
      <c r="J2190" s="847">
        <v>-1704000</v>
      </c>
      <c r="K2190" s="513">
        <v>-1200</v>
      </c>
      <c r="L2190" s="513">
        <v>1420</v>
      </c>
      <c r="M2190" s="152" t="s">
        <v>7143</v>
      </c>
      <c r="N2190" s="513" t="s">
        <v>1540</v>
      </c>
      <c r="O2190" s="513" t="s">
        <v>1407</v>
      </c>
      <c r="P2190" s="513" t="s">
        <v>8193</v>
      </c>
      <c r="Q2190" s="518" t="s">
        <v>8091</v>
      </c>
      <c r="R2190" s="152" t="s">
        <v>8194</v>
      </c>
      <c r="T2190" s="152" t="s">
        <v>8195</v>
      </c>
      <c r="U2190" s="152" t="s">
        <v>786</v>
      </c>
    </row>
    <row r="2191" spans="4:21">
      <c r="D2191" s="210"/>
      <c r="G2191" s="152" t="s">
        <v>373</v>
      </c>
      <c r="H2191" s="474" t="s">
        <v>374</v>
      </c>
      <c r="I2191" s="474"/>
      <c r="J2191" s="847">
        <v>-3480887.5</v>
      </c>
      <c r="K2191" s="513">
        <v>-2477.5</v>
      </c>
      <c r="L2191" s="513">
        <v>1405</v>
      </c>
      <c r="M2191" s="152" t="s">
        <v>7143</v>
      </c>
      <c r="N2191" s="513" t="s">
        <v>1540</v>
      </c>
      <c r="O2191" s="513" t="s">
        <v>1407</v>
      </c>
      <c r="P2191" s="513" t="s">
        <v>8196</v>
      </c>
      <c r="Q2191" s="518" t="s">
        <v>8091</v>
      </c>
      <c r="R2191" s="152" t="s">
        <v>8197</v>
      </c>
      <c r="T2191" s="152" t="s">
        <v>8198</v>
      </c>
      <c r="U2191" s="152" t="s">
        <v>786</v>
      </c>
    </row>
    <row r="2192" spans="4:21">
      <c r="D2192" s="210"/>
      <c r="G2192" s="152" t="s">
        <v>373</v>
      </c>
      <c r="H2192" s="474" t="s">
        <v>374</v>
      </c>
      <c r="I2192" s="474"/>
      <c r="J2192" s="847">
        <v>-4113137.5</v>
      </c>
      <c r="K2192" s="513">
        <v>-2927.5</v>
      </c>
      <c r="L2192" s="513">
        <v>1405</v>
      </c>
      <c r="M2192" s="152" t="s">
        <v>7143</v>
      </c>
      <c r="N2192" s="513" t="s">
        <v>1540</v>
      </c>
      <c r="O2192" s="513" t="s">
        <v>1407</v>
      </c>
      <c r="P2192" s="513" t="s">
        <v>8199</v>
      </c>
      <c r="Q2192" s="518" t="s">
        <v>8091</v>
      </c>
      <c r="R2192" s="152" t="s">
        <v>8200</v>
      </c>
      <c r="T2192" s="152" t="s">
        <v>8201</v>
      </c>
      <c r="U2192" s="152" t="s">
        <v>786</v>
      </c>
    </row>
    <row r="2193" spans="4:21">
      <c r="D2193" s="210"/>
      <c r="G2193" s="152" t="s">
        <v>373</v>
      </c>
      <c r="H2193" s="474" t="s">
        <v>374</v>
      </c>
      <c r="I2193" s="474"/>
      <c r="J2193" s="847">
        <v>-2620325</v>
      </c>
      <c r="K2193" s="513">
        <v>-1865</v>
      </c>
      <c r="L2193" s="513">
        <v>1405</v>
      </c>
      <c r="M2193" s="152" t="s">
        <v>7143</v>
      </c>
      <c r="N2193" s="513" t="s">
        <v>1540</v>
      </c>
      <c r="O2193" s="513" t="s">
        <v>1407</v>
      </c>
      <c r="P2193" s="513" t="s">
        <v>8202</v>
      </c>
      <c r="Q2193" s="518" t="s">
        <v>8091</v>
      </c>
      <c r="R2193" s="152" t="s">
        <v>8203</v>
      </c>
      <c r="T2193" s="152" t="s">
        <v>8204</v>
      </c>
      <c r="U2193" s="152" t="s">
        <v>786</v>
      </c>
    </row>
    <row r="2194" spans="4:21">
      <c r="D2194" s="210"/>
      <c r="G2194" s="152" t="s">
        <v>373</v>
      </c>
      <c r="H2194" s="474" t="s">
        <v>374</v>
      </c>
      <c r="I2194" s="474"/>
      <c r="J2194" s="847">
        <v>-744650</v>
      </c>
      <c r="K2194" s="513">
        <v>-530</v>
      </c>
      <c r="L2194" s="513">
        <v>1405</v>
      </c>
      <c r="M2194" s="152" t="s">
        <v>7143</v>
      </c>
      <c r="N2194" s="513" t="s">
        <v>1540</v>
      </c>
      <c r="O2194" s="513" t="s">
        <v>1407</v>
      </c>
      <c r="P2194" s="513" t="s">
        <v>8205</v>
      </c>
      <c r="Q2194" s="518" t="s">
        <v>8091</v>
      </c>
      <c r="R2194" s="152" t="s">
        <v>8206</v>
      </c>
      <c r="T2194" s="152" t="s">
        <v>8207</v>
      </c>
      <c r="U2194" s="152" t="s">
        <v>786</v>
      </c>
    </row>
    <row r="2195" spans="4:21">
      <c r="D2195" s="210"/>
      <c r="G2195" s="152" t="s">
        <v>373</v>
      </c>
      <c r="H2195" s="474" t="s">
        <v>374</v>
      </c>
      <c r="I2195" s="474"/>
      <c r="J2195" s="847">
        <v>-2314737.5</v>
      </c>
      <c r="K2195" s="513">
        <v>-1647.5</v>
      </c>
      <c r="L2195" s="513">
        <v>1405</v>
      </c>
      <c r="M2195" s="152" t="s">
        <v>7143</v>
      </c>
      <c r="N2195" s="513" t="s">
        <v>1540</v>
      </c>
      <c r="O2195" s="513" t="s">
        <v>1407</v>
      </c>
      <c r="P2195" s="513" t="s">
        <v>8208</v>
      </c>
      <c r="Q2195" s="518" t="s">
        <v>8091</v>
      </c>
      <c r="R2195" s="152" t="s">
        <v>8209</v>
      </c>
      <c r="T2195" s="152" t="s">
        <v>8210</v>
      </c>
      <c r="U2195" s="152" t="s">
        <v>786</v>
      </c>
    </row>
    <row r="2196" spans="4:21">
      <c r="D2196" s="210"/>
      <c r="G2196" s="152" t="s">
        <v>373</v>
      </c>
      <c r="H2196" s="474" t="s">
        <v>374</v>
      </c>
      <c r="I2196" s="474"/>
      <c r="J2196" s="847">
        <v>-1506862.5</v>
      </c>
      <c r="K2196" s="513">
        <v>-1072.5</v>
      </c>
      <c r="L2196" s="513">
        <v>1405</v>
      </c>
      <c r="M2196" s="152" t="s">
        <v>7143</v>
      </c>
      <c r="N2196" s="513" t="s">
        <v>1540</v>
      </c>
      <c r="O2196" s="513" t="s">
        <v>1407</v>
      </c>
      <c r="P2196" s="513" t="s">
        <v>8211</v>
      </c>
      <c r="Q2196" s="518" t="s">
        <v>8091</v>
      </c>
      <c r="R2196" s="152" t="s">
        <v>8212</v>
      </c>
      <c r="T2196" s="152" t="s">
        <v>8213</v>
      </c>
      <c r="U2196" s="152" t="s">
        <v>786</v>
      </c>
    </row>
    <row r="2197" spans="4:21">
      <c r="D2197" s="210"/>
      <c r="G2197" s="152" t="s">
        <v>373</v>
      </c>
      <c r="H2197" s="474" t="s">
        <v>374</v>
      </c>
      <c r="I2197" s="474"/>
      <c r="J2197" s="847">
        <v>-1893237.5</v>
      </c>
      <c r="K2197" s="513">
        <v>-1347.5</v>
      </c>
      <c r="L2197" s="513">
        <v>1405</v>
      </c>
      <c r="M2197" s="152" t="s">
        <v>7143</v>
      </c>
      <c r="N2197" s="513" t="s">
        <v>1540</v>
      </c>
      <c r="O2197" s="513" t="s">
        <v>1407</v>
      </c>
      <c r="P2197" s="513" t="s">
        <v>8214</v>
      </c>
      <c r="Q2197" s="518" t="s">
        <v>8091</v>
      </c>
      <c r="R2197" s="152" t="s">
        <v>8215</v>
      </c>
      <c r="T2197" s="152" t="s">
        <v>8216</v>
      </c>
      <c r="U2197" s="152" t="s">
        <v>786</v>
      </c>
    </row>
    <row r="2198" spans="4:21">
      <c r="D2198" s="210"/>
      <c r="G2198" s="152" t="s">
        <v>373</v>
      </c>
      <c r="H2198" s="474" t="s">
        <v>374</v>
      </c>
      <c r="I2198" s="474"/>
      <c r="J2198" s="847">
        <v>-2121550</v>
      </c>
      <c r="K2198" s="513">
        <v>-1510</v>
      </c>
      <c r="L2198" s="513">
        <v>1405</v>
      </c>
      <c r="M2198" s="152" t="s">
        <v>7143</v>
      </c>
      <c r="N2198" s="513" t="s">
        <v>1540</v>
      </c>
      <c r="O2198" s="513" t="s">
        <v>1407</v>
      </c>
      <c r="P2198" s="513" t="s">
        <v>8217</v>
      </c>
      <c r="Q2198" s="518" t="s">
        <v>8091</v>
      </c>
      <c r="R2198" s="152" t="s">
        <v>8218</v>
      </c>
      <c r="T2198" s="152" t="s">
        <v>8219</v>
      </c>
      <c r="U2198" s="152" t="s">
        <v>786</v>
      </c>
    </row>
    <row r="2199" spans="4:21">
      <c r="D2199" s="210"/>
      <c r="G2199" s="152" t="s">
        <v>373</v>
      </c>
      <c r="H2199" s="474" t="s">
        <v>374</v>
      </c>
      <c r="I2199" s="474"/>
      <c r="J2199" s="847">
        <v>-987012.5</v>
      </c>
      <c r="K2199" s="513">
        <v>-702.5</v>
      </c>
      <c r="L2199" s="513">
        <v>1405</v>
      </c>
      <c r="M2199" s="152" t="s">
        <v>7143</v>
      </c>
      <c r="N2199" s="513" t="s">
        <v>1540</v>
      </c>
      <c r="O2199" s="513" t="s">
        <v>1407</v>
      </c>
      <c r="P2199" s="513" t="s">
        <v>8220</v>
      </c>
      <c r="Q2199" s="518" t="s">
        <v>8091</v>
      </c>
      <c r="R2199" s="152" t="s">
        <v>8221</v>
      </c>
      <c r="T2199" s="152" t="s">
        <v>8222</v>
      </c>
      <c r="U2199" s="152" t="s">
        <v>786</v>
      </c>
    </row>
    <row r="2200" spans="4:21">
      <c r="D2200" s="210"/>
      <c r="G2200" s="152" t="s">
        <v>373</v>
      </c>
      <c r="H2200" s="474" t="s">
        <v>374</v>
      </c>
      <c r="I2200" s="474"/>
      <c r="J2200" s="847">
        <v>-1120487.5</v>
      </c>
      <c r="K2200" s="513">
        <v>-797.5</v>
      </c>
      <c r="L2200" s="513">
        <v>1405</v>
      </c>
      <c r="M2200" s="152" t="s">
        <v>7143</v>
      </c>
      <c r="N2200" s="513" t="s">
        <v>1540</v>
      </c>
      <c r="O2200" s="513" t="s">
        <v>1407</v>
      </c>
      <c r="P2200" s="513" t="s">
        <v>8223</v>
      </c>
      <c r="Q2200" s="518" t="s">
        <v>8091</v>
      </c>
      <c r="R2200" s="152" t="s">
        <v>8224</v>
      </c>
      <c r="T2200" s="152" t="s">
        <v>8225</v>
      </c>
      <c r="U2200" s="152" t="s">
        <v>786</v>
      </c>
    </row>
    <row r="2201" spans="4:21">
      <c r="D2201" s="210"/>
      <c r="G2201" s="152" t="s">
        <v>373</v>
      </c>
      <c r="H2201" s="474" t="s">
        <v>374</v>
      </c>
      <c r="I2201" s="474"/>
      <c r="J2201" s="847">
        <v>-4759437.5</v>
      </c>
      <c r="K2201" s="513">
        <v>-3387.5</v>
      </c>
      <c r="L2201" s="513">
        <v>1405</v>
      </c>
      <c r="M2201" s="152" t="s">
        <v>7143</v>
      </c>
      <c r="N2201" s="513" t="s">
        <v>1540</v>
      </c>
      <c r="O2201" s="513" t="s">
        <v>1407</v>
      </c>
      <c r="P2201" s="513" t="s">
        <v>8226</v>
      </c>
      <c r="Q2201" s="518" t="s">
        <v>8091</v>
      </c>
      <c r="R2201" s="152" t="s">
        <v>8227</v>
      </c>
      <c r="T2201" s="152" t="s">
        <v>8228</v>
      </c>
      <c r="U2201" s="152" t="s">
        <v>786</v>
      </c>
    </row>
    <row r="2202" spans="4:21">
      <c r="D2202" s="210"/>
      <c r="G2202" s="152" t="s">
        <v>373</v>
      </c>
      <c r="H2202" s="474" t="s">
        <v>374</v>
      </c>
      <c r="I2202" s="474"/>
      <c r="J2202" s="847">
        <v>-2827562.5</v>
      </c>
      <c r="K2202" s="513">
        <v>-2012.5</v>
      </c>
      <c r="L2202" s="513">
        <v>1405</v>
      </c>
      <c r="M2202" s="152" t="s">
        <v>7143</v>
      </c>
      <c r="N2202" s="513" t="s">
        <v>1540</v>
      </c>
      <c r="O2202" s="513" t="s">
        <v>1407</v>
      </c>
      <c r="P2202" s="513" t="s">
        <v>8229</v>
      </c>
      <c r="Q2202" s="518" t="s">
        <v>8091</v>
      </c>
      <c r="R2202" s="152" t="s">
        <v>8230</v>
      </c>
      <c r="T2202" s="152" t="s">
        <v>8231</v>
      </c>
      <c r="U2202" s="152" t="s">
        <v>786</v>
      </c>
    </row>
    <row r="2203" spans="4:21">
      <c r="D2203" s="210"/>
      <c r="G2203" s="152" t="s">
        <v>373</v>
      </c>
      <c r="H2203" s="474" t="s">
        <v>374</v>
      </c>
      <c r="I2203" s="474"/>
      <c r="J2203" s="847">
        <v>-4826175</v>
      </c>
      <c r="K2203" s="513">
        <v>-3435</v>
      </c>
      <c r="L2203" s="513">
        <v>1405</v>
      </c>
      <c r="M2203" s="152" t="s">
        <v>7143</v>
      </c>
      <c r="N2203" s="513" t="s">
        <v>1540</v>
      </c>
      <c r="O2203" s="513" t="s">
        <v>1407</v>
      </c>
      <c r="P2203" s="513" t="s">
        <v>8232</v>
      </c>
      <c r="Q2203" s="518" t="s">
        <v>8091</v>
      </c>
      <c r="R2203" s="152" t="s">
        <v>8233</v>
      </c>
      <c r="T2203" s="152" t="s">
        <v>8234</v>
      </c>
      <c r="U2203" s="152" t="s">
        <v>786</v>
      </c>
    </row>
    <row r="2204" spans="4:21">
      <c r="D2204" s="210"/>
      <c r="G2204" s="152" t="s">
        <v>373</v>
      </c>
      <c r="H2204" s="474" t="s">
        <v>374</v>
      </c>
      <c r="I2204" s="474"/>
      <c r="J2204" s="847">
        <v>-3705687.5</v>
      </c>
      <c r="K2204" s="513">
        <v>-2637.5</v>
      </c>
      <c r="L2204" s="513">
        <v>1405</v>
      </c>
      <c r="M2204" s="152" t="s">
        <v>7143</v>
      </c>
      <c r="N2204" s="513" t="s">
        <v>1540</v>
      </c>
      <c r="O2204" s="513" t="s">
        <v>1407</v>
      </c>
      <c r="P2204" s="513" t="s">
        <v>8235</v>
      </c>
      <c r="Q2204" s="518" t="s">
        <v>8091</v>
      </c>
      <c r="R2204" s="152" t="s">
        <v>8236</v>
      </c>
      <c r="T2204" s="152" t="s">
        <v>8237</v>
      </c>
      <c r="U2204" s="152" t="s">
        <v>786</v>
      </c>
    </row>
    <row r="2205" spans="4:21">
      <c r="D2205" s="210"/>
      <c r="G2205" s="152" t="s">
        <v>373</v>
      </c>
      <c r="H2205" s="474" t="s">
        <v>374</v>
      </c>
      <c r="I2205" s="474"/>
      <c r="J2205" s="847">
        <v>-5041000</v>
      </c>
      <c r="K2205" s="513">
        <v>-3550</v>
      </c>
      <c r="L2205" s="513">
        <v>1420</v>
      </c>
      <c r="M2205" s="152" t="s">
        <v>7143</v>
      </c>
      <c r="N2205" s="513" t="s">
        <v>1540</v>
      </c>
      <c r="O2205" s="513" t="s">
        <v>1407</v>
      </c>
      <c r="P2205" s="513" t="s">
        <v>8238</v>
      </c>
      <c r="Q2205" s="518" t="s">
        <v>8091</v>
      </c>
      <c r="R2205" s="152" t="s">
        <v>8239</v>
      </c>
      <c r="T2205" s="152" t="s">
        <v>8240</v>
      </c>
      <c r="U2205" s="152" t="s">
        <v>786</v>
      </c>
    </row>
    <row r="2206" spans="4:21">
      <c r="D2206" s="210"/>
      <c r="G2206" s="152" t="s">
        <v>373</v>
      </c>
      <c r="H2206" s="474" t="s">
        <v>374</v>
      </c>
      <c r="I2206" s="474"/>
      <c r="J2206" s="847">
        <v>-5971100</v>
      </c>
      <c r="K2206" s="513">
        <v>-4205</v>
      </c>
      <c r="L2206" s="513">
        <v>1420</v>
      </c>
      <c r="M2206" s="152" t="s">
        <v>7143</v>
      </c>
      <c r="N2206" s="513" t="s">
        <v>1540</v>
      </c>
      <c r="O2206" s="513" t="s">
        <v>1407</v>
      </c>
      <c r="P2206" s="513" t="s">
        <v>8241</v>
      </c>
      <c r="Q2206" s="518" t="s">
        <v>8091</v>
      </c>
      <c r="R2206" s="152" t="s">
        <v>8242</v>
      </c>
      <c r="T2206" s="152" t="s">
        <v>8243</v>
      </c>
      <c r="U2206" s="152" t="s">
        <v>786</v>
      </c>
    </row>
    <row r="2207" spans="4:21">
      <c r="D2207" s="210"/>
      <c r="G2207" s="152" t="s">
        <v>373</v>
      </c>
      <c r="H2207" s="474" t="s">
        <v>374</v>
      </c>
      <c r="I2207" s="474"/>
      <c r="J2207" s="847">
        <v>-6479460</v>
      </c>
      <c r="K2207" s="513">
        <v>-4563</v>
      </c>
      <c r="L2207" s="513">
        <v>1420</v>
      </c>
      <c r="M2207" s="152" t="s">
        <v>7143</v>
      </c>
      <c r="N2207" s="513" t="s">
        <v>1540</v>
      </c>
      <c r="O2207" s="513" t="s">
        <v>1407</v>
      </c>
      <c r="P2207" s="513" t="s">
        <v>8244</v>
      </c>
      <c r="Q2207" s="518" t="s">
        <v>8091</v>
      </c>
      <c r="R2207" s="152" t="s">
        <v>8245</v>
      </c>
      <c r="T2207" s="152" t="s">
        <v>8246</v>
      </c>
      <c r="U2207" s="152" t="s">
        <v>786</v>
      </c>
    </row>
    <row r="2208" spans="4:21">
      <c r="D2208" s="210"/>
      <c r="G2208" s="152" t="s">
        <v>373</v>
      </c>
      <c r="H2208" s="474" t="s">
        <v>374</v>
      </c>
      <c r="I2208" s="474"/>
      <c r="J2208" s="847">
        <v>-1065000</v>
      </c>
      <c r="K2208" s="513">
        <v>-750</v>
      </c>
      <c r="L2208" s="513">
        <v>1420</v>
      </c>
      <c r="M2208" s="152" t="s">
        <v>7143</v>
      </c>
      <c r="N2208" s="513" t="s">
        <v>1540</v>
      </c>
      <c r="O2208" s="513" t="s">
        <v>1407</v>
      </c>
      <c r="P2208" s="513" t="s">
        <v>8247</v>
      </c>
      <c r="Q2208" s="518" t="s">
        <v>8091</v>
      </c>
      <c r="R2208" s="152" t="s">
        <v>8248</v>
      </c>
      <c r="T2208" s="152" t="s">
        <v>8249</v>
      </c>
      <c r="U2208" s="152" t="s">
        <v>786</v>
      </c>
    </row>
    <row r="2209" spans="4:21">
      <c r="D2209" s="210"/>
      <c r="G2209" s="152" t="s">
        <v>373</v>
      </c>
      <c r="H2209" s="474" t="s">
        <v>374</v>
      </c>
      <c r="I2209" s="474"/>
      <c r="J2209" s="847">
        <v>-4000850</v>
      </c>
      <c r="K2209" s="513">
        <v>-2817.5</v>
      </c>
      <c r="L2209" s="513">
        <v>1420</v>
      </c>
      <c r="M2209" s="152" t="s">
        <v>7143</v>
      </c>
      <c r="N2209" s="513" t="s">
        <v>1540</v>
      </c>
      <c r="O2209" s="513" t="s">
        <v>1407</v>
      </c>
      <c r="P2209" s="513" t="s">
        <v>8250</v>
      </c>
      <c r="Q2209" s="518" t="s">
        <v>8091</v>
      </c>
      <c r="R2209" s="152" t="s">
        <v>8251</v>
      </c>
      <c r="T2209" s="152" t="s">
        <v>8252</v>
      </c>
      <c r="U2209" s="152" t="s">
        <v>786</v>
      </c>
    </row>
    <row r="2210" spans="4:21">
      <c r="D2210" s="210"/>
      <c r="G2210" s="152" t="s">
        <v>373</v>
      </c>
      <c r="H2210" s="474" t="s">
        <v>374</v>
      </c>
      <c r="I2210" s="474"/>
      <c r="J2210" s="847">
        <v>-7751258.5499999998</v>
      </c>
      <c r="K2210" s="513">
        <v>-5516.91</v>
      </c>
      <c r="L2210" s="513">
        <v>1405</v>
      </c>
      <c r="M2210" s="152" t="s">
        <v>7143</v>
      </c>
      <c r="N2210" s="513" t="s">
        <v>1540</v>
      </c>
      <c r="O2210" s="513" t="s">
        <v>1407</v>
      </c>
      <c r="P2210" s="513" t="s">
        <v>8253</v>
      </c>
      <c r="Q2210" s="518" t="s">
        <v>8091</v>
      </c>
      <c r="R2210" s="152" t="s">
        <v>8254</v>
      </c>
      <c r="T2210" s="152" t="s">
        <v>8255</v>
      </c>
      <c r="U2210" s="152" t="s">
        <v>786</v>
      </c>
    </row>
    <row r="2211" spans="4:21">
      <c r="D2211" s="210"/>
      <c r="G2211" s="152" t="s">
        <v>373</v>
      </c>
      <c r="H2211" s="474" t="s">
        <v>374</v>
      </c>
      <c r="I2211" s="474"/>
      <c r="J2211" s="847">
        <v>-8373800</v>
      </c>
      <c r="K2211" s="513">
        <v>-5960</v>
      </c>
      <c r="L2211" s="513">
        <v>1405</v>
      </c>
      <c r="M2211" s="152" t="s">
        <v>7143</v>
      </c>
      <c r="N2211" s="513" t="s">
        <v>1540</v>
      </c>
      <c r="O2211" s="513" t="s">
        <v>1407</v>
      </c>
      <c r="P2211" s="513" t="s">
        <v>8256</v>
      </c>
      <c r="Q2211" s="518" t="s">
        <v>8091</v>
      </c>
      <c r="R2211" s="152" t="s">
        <v>8257</v>
      </c>
      <c r="T2211" s="152" t="s">
        <v>8258</v>
      </c>
      <c r="U2211" s="152" t="s">
        <v>786</v>
      </c>
    </row>
    <row r="2212" spans="4:21">
      <c r="D2212" s="210"/>
      <c r="G2212" s="152" t="s">
        <v>373</v>
      </c>
      <c r="H2212" s="474" t="s">
        <v>374</v>
      </c>
      <c r="I2212" s="474"/>
      <c r="J2212" s="847">
        <v>-5714837.5</v>
      </c>
      <c r="K2212" s="513">
        <v>-4067.5</v>
      </c>
      <c r="L2212" s="513">
        <v>1405</v>
      </c>
      <c r="M2212" s="152" t="s">
        <v>7143</v>
      </c>
      <c r="N2212" s="513" t="s">
        <v>1540</v>
      </c>
      <c r="O2212" s="513" t="s">
        <v>1407</v>
      </c>
      <c r="P2212" s="513" t="s">
        <v>8259</v>
      </c>
      <c r="Q2212" s="518" t="s">
        <v>8091</v>
      </c>
      <c r="R2212" s="152" t="s">
        <v>8260</v>
      </c>
      <c r="T2212" s="152" t="s">
        <v>8261</v>
      </c>
      <c r="U2212" s="152" t="s">
        <v>786</v>
      </c>
    </row>
    <row r="2213" spans="4:21">
      <c r="D2213" s="210"/>
      <c r="G2213" s="152" t="s">
        <v>373</v>
      </c>
      <c r="H2213" s="474" t="s">
        <v>374</v>
      </c>
      <c r="I2213" s="474"/>
      <c r="J2213" s="847">
        <v>-6182000</v>
      </c>
      <c r="K2213" s="513">
        <v>-4400</v>
      </c>
      <c r="L2213" s="513">
        <v>1405</v>
      </c>
      <c r="M2213" s="152" t="s">
        <v>7143</v>
      </c>
      <c r="N2213" s="513" t="s">
        <v>1540</v>
      </c>
      <c r="O2213" s="513" t="s">
        <v>1407</v>
      </c>
      <c r="P2213" s="513" t="s">
        <v>8262</v>
      </c>
      <c r="Q2213" s="518" t="s">
        <v>8091</v>
      </c>
      <c r="R2213" s="152" t="s">
        <v>8263</v>
      </c>
      <c r="T2213" s="152" t="s">
        <v>8264</v>
      </c>
      <c r="U2213" s="152" t="s">
        <v>786</v>
      </c>
    </row>
    <row r="2214" spans="4:21">
      <c r="D2214" s="210"/>
      <c r="G2214" s="152" t="s">
        <v>373</v>
      </c>
      <c r="H2214" s="474" t="s">
        <v>374</v>
      </c>
      <c r="I2214" s="474"/>
      <c r="J2214" s="847">
        <v>-5532187.5</v>
      </c>
      <c r="K2214" s="513">
        <v>-3937.5</v>
      </c>
      <c r="L2214" s="513">
        <v>1405</v>
      </c>
      <c r="M2214" s="152" t="s">
        <v>7143</v>
      </c>
      <c r="N2214" s="513" t="s">
        <v>1540</v>
      </c>
      <c r="O2214" s="513" t="s">
        <v>1407</v>
      </c>
      <c r="P2214" s="513" t="s">
        <v>8265</v>
      </c>
      <c r="Q2214" s="518" t="s">
        <v>8091</v>
      </c>
      <c r="R2214" s="152" t="s">
        <v>8266</v>
      </c>
      <c r="T2214" s="152" t="s">
        <v>8267</v>
      </c>
      <c r="U2214" s="152" t="s">
        <v>786</v>
      </c>
    </row>
    <row r="2215" spans="4:21">
      <c r="D2215" s="210"/>
      <c r="G2215" s="152" t="s">
        <v>373</v>
      </c>
      <c r="H2215" s="474" t="s">
        <v>374</v>
      </c>
      <c r="I2215" s="474"/>
      <c r="J2215" s="847">
        <v>-4432775</v>
      </c>
      <c r="K2215" s="513">
        <v>-3155</v>
      </c>
      <c r="L2215" s="513">
        <v>1405</v>
      </c>
      <c r="M2215" s="152" t="s">
        <v>7143</v>
      </c>
      <c r="N2215" s="513" t="s">
        <v>1540</v>
      </c>
      <c r="O2215" s="513" t="s">
        <v>1407</v>
      </c>
      <c r="P2215" s="513" t="s">
        <v>8268</v>
      </c>
      <c r="Q2215" s="518" t="s">
        <v>8091</v>
      </c>
      <c r="R2215" s="152" t="s">
        <v>8269</v>
      </c>
      <c r="T2215" s="152" t="s">
        <v>8270</v>
      </c>
      <c r="U2215" s="152" t="s">
        <v>786</v>
      </c>
    </row>
    <row r="2216" spans="4:21">
      <c r="D2216" s="210"/>
      <c r="G2216" s="152" t="s">
        <v>373</v>
      </c>
      <c r="H2216" s="474" t="s">
        <v>374</v>
      </c>
      <c r="I2216" s="474"/>
      <c r="J2216" s="847">
        <v>-3941025</v>
      </c>
      <c r="K2216" s="513">
        <v>-2805</v>
      </c>
      <c r="L2216" s="513">
        <v>1405</v>
      </c>
      <c r="M2216" s="152" t="s">
        <v>7143</v>
      </c>
      <c r="N2216" s="513" t="s">
        <v>1540</v>
      </c>
      <c r="O2216" s="513" t="s">
        <v>1407</v>
      </c>
      <c r="P2216" s="513" t="s">
        <v>8271</v>
      </c>
      <c r="Q2216" s="518" t="s">
        <v>8091</v>
      </c>
      <c r="R2216" s="152" t="s">
        <v>8272</v>
      </c>
      <c r="T2216" s="152" t="s">
        <v>8273</v>
      </c>
      <c r="U2216" s="152" t="s">
        <v>786</v>
      </c>
    </row>
    <row r="2217" spans="4:21">
      <c r="D2217" s="210"/>
      <c r="G2217" s="152" t="s">
        <v>373</v>
      </c>
      <c r="H2217" s="474" t="s">
        <v>374</v>
      </c>
      <c r="I2217" s="474"/>
      <c r="J2217" s="847">
        <v>-2005637.5</v>
      </c>
      <c r="K2217" s="513">
        <v>-1427.5</v>
      </c>
      <c r="L2217" s="513">
        <v>1405</v>
      </c>
      <c r="M2217" s="152" t="s">
        <v>7143</v>
      </c>
      <c r="N2217" s="513" t="s">
        <v>1540</v>
      </c>
      <c r="O2217" s="513" t="s">
        <v>1407</v>
      </c>
      <c r="P2217" s="513" t="s">
        <v>8274</v>
      </c>
      <c r="Q2217" s="518" t="s">
        <v>8091</v>
      </c>
      <c r="R2217" s="152" t="s">
        <v>8275</v>
      </c>
      <c r="T2217" s="152" t="s">
        <v>8276</v>
      </c>
      <c r="U2217" s="152" t="s">
        <v>786</v>
      </c>
    </row>
    <row r="2218" spans="4:21">
      <c r="D2218" s="210"/>
      <c r="G2218" s="152" t="s">
        <v>373</v>
      </c>
      <c r="H2218" s="474" t="s">
        <v>374</v>
      </c>
      <c r="I2218" s="474"/>
      <c r="J2218" s="847">
        <v>-4994850</v>
      </c>
      <c r="K2218" s="513">
        <v>-3517.5</v>
      </c>
      <c r="L2218" s="513">
        <v>1420</v>
      </c>
      <c r="M2218" s="152" t="s">
        <v>7143</v>
      </c>
      <c r="N2218" s="513" t="s">
        <v>1540</v>
      </c>
      <c r="O2218" s="513" t="s">
        <v>1407</v>
      </c>
      <c r="P2218" s="513" t="s">
        <v>8277</v>
      </c>
      <c r="Q2218" s="518" t="s">
        <v>8091</v>
      </c>
      <c r="R2218" s="152" t="s">
        <v>8278</v>
      </c>
      <c r="T2218" s="152" t="s">
        <v>8279</v>
      </c>
      <c r="U2218" s="152" t="s">
        <v>786</v>
      </c>
    </row>
    <row r="2219" spans="4:21">
      <c r="D2219" s="210"/>
      <c r="G2219" s="152" t="s">
        <v>373</v>
      </c>
      <c r="H2219" s="474" t="s">
        <v>374</v>
      </c>
      <c r="I2219" s="474"/>
      <c r="J2219" s="847">
        <v>-621010</v>
      </c>
      <c r="K2219" s="513">
        <v>-442</v>
      </c>
      <c r="L2219" s="513">
        <v>1405</v>
      </c>
      <c r="M2219" s="152" t="s">
        <v>7143</v>
      </c>
      <c r="N2219" s="513" t="s">
        <v>1540</v>
      </c>
      <c r="O2219" s="513" t="s">
        <v>1407</v>
      </c>
      <c r="P2219" s="513" t="s">
        <v>8280</v>
      </c>
      <c r="Q2219" s="518" t="s">
        <v>8091</v>
      </c>
      <c r="R2219" s="152" t="s">
        <v>8281</v>
      </c>
      <c r="T2219" s="152" t="s">
        <v>8282</v>
      </c>
      <c r="U2219" s="152" t="s">
        <v>786</v>
      </c>
    </row>
    <row r="2220" spans="4:21">
      <c r="D2220" s="210"/>
      <c r="G2220" s="152" t="s">
        <v>373</v>
      </c>
      <c r="H2220" s="474" t="s">
        <v>374</v>
      </c>
      <c r="I2220" s="474"/>
      <c r="J2220" s="847">
        <v>-2370937.5</v>
      </c>
      <c r="K2220" s="513">
        <v>-1687.5</v>
      </c>
      <c r="L2220" s="513">
        <v>1405</v>
      </c>
      <c r="M2220" s="152" t="s">
        <v>7143</v>
      </c>
      <c r="N2220" s="513" t="s">
        <v>1540</v>
      </c>
      <c r="O2220" s="513" t="s">
        <v>1407</v>
      </c>
      <c r="P2220" s="513" t="s">
        <v>8283</v>
      </c>
      <c r="Q2220" s="518" t="s">
        <v>8091</v>
      </c>
      <c r="R2220" s="152" t="s">
        <v>8284</v>
      </c>
      <c r="T2220" s="152" t="s">
        <v>8285</v>
      </c>
      <c r="U2220" s="152" t="s">
        <v>786</v>
      </c>
    </row>
    <row r="2221" spans="4:21">
      <c r="D2221" s="210"/>
      <c r="G2221" s="152" t="s">
        <v>373</v>
      </c>
      <c r="H2221" s="474" t="s">
        <v>374</v>
      </c>
      <c r="I2221" s="474"/>
      <c r="J2221" s="847">
        <v>-3224475</v>
      </c>
      <c r="K2221" s="513">
        <v>-2295</v>
      </c>
      <c r="L2221" s="513">
        <v>1405</v>
      </c>
      <c r="M2221" s="152" t="s">
        <v>7143</v>
      </c>
      <c r="N2221" s="513" t="s">
        <v>1540</v>
      </c>
      <c r="O2221" s="513" t="s">
        <v>1407</v>
      </c>
      <c r="P2221" s="513" t="s">
        <v>8286</v>
      </c>
      <c r="Q2221" s="518" t="s">
        <v>8091</v>
      </c>
      <c r="R2221" s="152" t="s">
        <v>8287</v>
      </c>
      <c r="T2221" s="152" t="s">
        <v>8288</v>
      </c>
      <c r="U2221" s="152" t="s">
        <v>786</v>
      </c>
    </row>
    <row r="2222" spans="4:21">
      <c r="D2222" s="210"/>
      <c r="G2222" s="152" t="s">
        <v>373</v>
      </c>
      <c r="H2222" s="474" t="s">
        <v>374</v>
      </c>
      <c r="I2222" s="474"/>
      <c r="J2222" s="847">
        <v>-2170725</v>
      </c>
      <c r="K2222" s="513">
        <v>-1545</v>
      </c>
      <c r="L2222" s="513">
        <v>1405</v>
      </c>
      <c r="M2222" s="152" t="s">
        <v>7143</v>
      </c>
      <c r="N2222" s="513" t="s">
        <v>1540</v>
      </c>
      <c r="O2222" s="513" t="s">
        <v>1407</v>
      </c>
      <c r="P2222" s="513" t="s">
        <v>8289</v>
      </c>
      <c r="Q2222" s="518" t="s">
        <v>8091</v>
      </c>
      <c r="R2222" s="152" t="s">
        <v>8290</v>
      </c>
      <c r="T2222" s="152" t="s">
        <v>8291</v>
      </c>
      <c r="U2222" s="152" t="s">
        <v>786</v>
      </c>
    </row>
    <row r="2223" spans="4:21">
      <c r="D2223" s="210"/>
      <c r="G2223" s="152" t="s">
        <v>373</v>
      </c>
      <c r="H2223" s="474" t="s">
        <v>374</v>
      </c>
      <c r="I2223" s="474"/>
      <c r="J2223" s="847">
        <v>4994850</v>
      </c>
      <c r="K2223" s="513">
        <v>3517.5</v>
      </c>
      <c r="L2223" s="513">
        <v>1420</v>
      </c>
      <c r="M2223" s="152" t="s">
        <v>7143</v>
      </c>
      <c r="N2223" s="513" t="s">
        <v>1540</v>
      </c>
      <c r="O2223" s="513" t="s">
        <v>1407</v>
      </c>
      <c r="P2223" s="513" t="s">
        <v>8382</v>
      </c>
      <c r="Q2223" s="518" t="s">
        <v>8091</v>
      </c>
      <c r="R2223" s="152" t="s">
        <v>8383</v>
      </c>
      <c r="T2223" s="152" t="s">
        <v>8384</v>
      </c>
      <c r="U2223" s="152" t="s">
        <v>786</v>
      </c>
    </row>
    <row r="2224" spans="4:21">
      <c r="D2224" s="210"/>
      <c r="G2224" s="152" t="s">
        <v>373</v>
      </c>
      <c r="H2224" s="474" t="s">
        <v>374</v>
      </c>
      <c r="I2224" s="474"/>
      <c r="J2224" s="847">
        <v>-4604350</v>
      </c>
      <c r="K2224" s="513">
        <v>-3242.5</v>
      </c>
      <c r="L2224" s="513">
        <v>1420</v>
      </c>
      <c r="M2224" s="152" t="s">
        <v>7143</v>
      </c>
      <c r="N2224" s="513" t="s">
        <v>1540</v>
      </c>
      <c r="O2224" s="513" t="s">
        <v>1407</v>
      </c>
      <c r="P2224" s="513" t="s">
        <v>8385</v>
      </c>
      <c r="Q2224" s="518" t="s">
        <v>8091</v>
      </c>
      <c r="R2224" s="152" t="s">
        <v>8386</v>
      </c>
      <c r="T2224" s="152" t="s">
        <v>8387</v>
      </c>
      <c r="U2224" s="152" t="s">
        <v>786</v>
      </c>
    </row>
    <row r="2225" spans="4:21">
      <c r="D2225" s="210"/>
      <c r="G2225" s="152" t="s">
        <v>373</v>
      </c>
      <c r="H2225" s="474" t="s">
        <v>374</v>
      </c>
      <c r="I2225" s="474"/>
      <c r="J2225" s="847">
        <v>-3081400</v>
      </c>
      <c r="K2225" s="513">
        <v>-2170</v>
      </c>
      <c r="L2225" s="513">
        <v>1420</v>
      </c>
      <c r="M2225" s="152" t="s">
        <v>7143</v>
      </c>
      <c r="N2225" s="513" t="s">
        <v>1540</v>
      </c>
      <c r="O2225" s="513" t="s">
        <v>1407</v>
      </c>
      <c r="P2225" s="513" t="s">
        <v>8388</v>
      </c>
      <c r="Q2225" s="518" t="s">
        <v>8091</v>
      </c>
      <c r="R2225" s="152" t="s">
        <v>8389</v>
      </c>
      <c r="T2225" s="152" t="s">
        <v>8390</v>
      </c>
      <c r="U2225" s="152" t="s">
        <v>786</v>
      </c>
    </row>
    <row r="2226" spans="4:21">
      <c r="D2226" s="210"/>
      <c r="G2226" s="152" t="s">
        <v>373</v>
      </c>
      <c r="H2226" s="474" t="s">
        <v>374</v>
      </c>
      <c r="I2226" s="474"/>
      <c r="J2226" s="847">
        <v>-4643400</v>
      </c>
      <c r="K2226" s="513">
        <v>-3270</v>
      </c>
      <c r="L2226" s="513">
        <v>1420</v>
      </c>
      <c r="M2226" s="152" t="s">
        <v>7143</v>
      </c>
      <c r="N2226" s="513" t="s">
        <v>1540</v>
      </c>
      <c r="O2226" s="513" t="s">
        <v>1407</v>
      </c>
      <c r="P2226" s="513" t="s">
        <v>8391</v>
      </c>
      <c r="Q2226" s="518" t="s">
        <v>8091</v>
      </c>
      <c r="R2226" s="152" t="s">
        <v>8392</v>
      </c>
      <c r="T2226" s="152" t="s">
        <v>8393</v>
      </c>
      <c r="U2226" s="152" t="s">
        <v>786</v>
      </c>
    </row>
    <row r="2227" spans="4:21">
      <c r="D2227" s="210"/>
      <c r="G2227" s="152" t="s">
        <v>7257</v>
      </c>
      <c r="H2227" s="474" t="s">
        <v>7258</v>
      </c>
      <c r="I2227" s="474"/>
      <c r="J2227" s="847">
        <v>334390</v>
      </c>
      <c r="K2227" s="513">
        <v>238</v>
      </c>
      <c r="L2227" s="513">
        <v>1405</v>
      </c>
      <c r="M2227" s="152" t="s">
        <v>7108</v>
      </c>
      <c r="N2227" s="513" t="s">
        <v>780</v>
      </c>
      <c r="O2227" s="513" t="s">
        <v>1407</v>
      </c>
      <c r="P2227" s="513" t="s">
        <v>7245</v>
      </c>
      <c r="Q2227" s="518" t="s">
        <v>7101</v>
      </c>
      <c r="R2227" s="152" t="s">
        <v>7246</v>
      </c>
      <c r="S2227" s="152" t="s">
        <v>7247</v>
      </c>
      <c r="T2227" s="152" t="s">
        <v>7248</v>
      </c>
      <c r="U2227" s="152" t="s">
        <v>786</v>
      </c>
    </row>
    <row r="2228" spans="4:21">
      <c r="D2228" s="210"/>
      <c r="G2228" s="152" t="s">
        <v>7257</v>
      </c>
      <c r="H2228" s="474" t="s">
        <v>7258</v>
      </c>
      <c r="I2228" s="474"/>
      <c r="J2228" s="847">
        <v>4251530</v>
      </c>
      <c r="K2228" s="513">
        <v>3026</v>
      </c>
      <c r="L2228" s="513">
        <v>1405</v>
      </c>
      <c r="M2228" s="152" t="s">
        <v>7108</v>
      </c>
      <c r="N2228" s="513" t="s">
        <v>780</v>
      </c>
      <c r="O2228" s="513" t="s">
        <v>1407</v>
      </c>
      <c r="P2228" s="513" t="s">
        <v>7245</v>
      </c>
      <c r="Q2228" s="518" t="s">
        <v>7101</v>
      </c>
      <c r="R2228" s="152" t="s">
        <v>7246</v>
      </c>
      <c r="S2228" s="152" t="s">
        <v>7249</v>
      </c>
      <c r="T2228" s="152" t="s">
        <v>7248</v>
      </c>
      <c r="U2228" s="152" t="s">
        <v>786</v>
      </c>
    </row>
    <row r="2229" spans="4:21">
      <c r="D2229" s="210"/>
      <c r="G2229" s="152" t="s">
        <v>360</v>
      </c>
      <c r="H2229" s="474" t="s">
        <v>361</v>
      </c>
      <c r="I2229" s="474"/>
      <c r="J2229" s="847">
        <v>38089550</v>
      </c>
      <c r="K2229" s="513">
        <v>27110</v>
      </c>
      <c r="L2229" s="513">
        <v>1405</v>
      </c>
      <c r="M2229" s="152" t="s">
        <v>7112</v>
      </c>
      <c r="N2229" s="513" t="s">
        <v>780</v>
      </c>
      <c r="O2229" s="513" t="s">
        <v>781</v>
      </c>
      <c r="P2229" s="513" t="s">
        <v>7267</v>
      </c>
      <c r="Q2229" s="518" t="s">
        <v>7101</v>
      </c>
      <c r="R2229" s="152" t="s">
        <v>7268</v>
      </c>
      <c r="S2229" s="152" t="s">
        <v>7269</v>
      </c>
      <c r="T2229" s="152" t="s">
        <v>7270</v>
      </c>
      <c r="U2229" s="152" t="s">
        <v>786</v>
      </c>
    </row>
    <row r="2230" spans="4:21">
      <c r="D2230" s="210"/>
      <c r="G2230" s="152" t="s">
        <v>360</v>
      </c>
      <c r="H2230" s="474" t="s">
        <v>361</v>
      </c>
      <c r="I2230" s="474"/>
      <c r="J2230" s="847">
        <v>38496200</v>
      </c>
      <c r="K2230" s="513">
        <v>27110</v>
      </c>
      <c r="L2230" s="513">
        <v>1420</v>
      </c>
      <c r="M2230" s="152" t="s">
        <v>7276</v>
      </c>
      <c r="N2230" s="513" t="s">
        <v>780</v>
      </c>
      <c r="O2230" s="513" t="s">
        <v>781</v>
      </c>
      <c r="P2230" s="513" t="s">
        <v>7277</v>
      </c>
      <c r="Q2230" s="518" t="s">
        <v>7101</v>
      </c>
      <c r="R2230" s="152" t="s">
        <v>7278</v>
      </c>
      <c r="S2230" s="152" t="s">
        <v>7282</v>
      </c>
      <c r="T2230" s="152" t="s">
        <v>7280</v>
      </c>
      <c r="U2230" s="152" t="s">
        <v>786</v>
      </c>
    </row>
    <row r="2231" spans="4:21">
      <c r="D2231" s="210"/>
      <c r="G2231" s="152" t="s">
        <v>362</v>
      </c>
      <c r="H2231" s="474" t="s">
        <v>363</v>
      </c>
      <c r="I2231" s="474"/>
      <c r="J2231" s="847">
        <v>-5072.05</v>
      </c>
      <c r="K2231" s="513">
        <v>-3.61</v>
      </c>
      <c r="L2231" s="513">
        <v>1405</v>
      </c>
      <c r="M2231" s="152" t="s">
        <v>7116</v>
      </c>
      <c r="N2231" s="513" t="s">
        <v>780</v>
      </c>
      <c r="O2231" s="513" t="s">
        <v>781</v>
      </c>
      <c r="P2231" s="513" t="s">
        <v>7129</v>
      </c>
      <c r="Q2231" s="518" t="s">
        <v>7101</v>
      </c>
      <c r="R2231" s="152" t="s">
        <v>7130</v>
      </c>
      <c r="S2231" s="152" t="s">
        <v>7133</v>
      </c>
      <c r="T2231" s="152" t="s">
        <v>7131</v>
      </c>
      <c r="U2231" s="152" t="s">
        <v>786</v>
      </c>
    </row>
    <row r="2232" spans="4:21">
      <c r="D2232" s="210"/>
      <c r="G2232" s="152" t="s">
        <v>362</v>
      </c>
      <c r="H2232" s="474" t="s">
        <v>363</v>
      </c>
      <c r="I2232" s="474"/>
      <c r="J2232" s="847">
        <v>303732.90000000002</v>
      </c>
      <c r="K2232" s="513">
        <v>216.18</v>
      </c>
      <c r="L2232" s="513">
        <v>1405</v>
      </c>
      <c r="M2232" s="152" t="s">
        <v>7116</v>
      </c>
      <c r="N2232" s="513" t="s">
        <v>780</v>
      </c>
      <c r="O2232" s="513" t="s">
        <v>781</v>
      </c>
      <c r="P2232" s="513" t="s">
        <v>7517</v>
      </c>
      <c r="Q2232" s="518" t="s">
        <v>7101</v>
      </c>
      <c r="R2232" s="152" t="s">
        <v>7518</v>
      </c>
      <c r="S2232" s="152" t="s">
        <v>7536</v>
      </c>
      <c r="T2232" s="152" t="s">
        <v>7520</v>
      </c>
      <c r="U2232" s="152" t="s">
        <v>786</v>
      </c>
    </row>
    <row r="2233" spans="4:21">
      <c r="D2233" s="210"/>
      <c r="G2233" s="152" t="s">
        <v>362</v>
      </c>
      <c r="H2233" s="474" t="s">
        <v>363</v>
      </c>
      <c r="I2233" s="474"/>
      <c r="J2233" s="847">
        <v>19248.5</v>
      </c>
      <c r="K2233" s="513">
        <v>13.7</v>
      </c>
      <c r="L2233" s="513">
        <v>1405</v>
      </c>
      <c r="M2233" s="152" t="s">
        <v>7116</v>
      </c>
      <c r="N2233" s="513" t="s">
        <v>780</v>
      </c>
      <c r="O2233" s="513" t="s">
        <v>781</v>
      </c>
      <c r="P2233" s="513" t="s">
        <v>7517</v>
      </c>
      <c r="Q2233" s="518" t="s">
        <v>7101</v>
      </c>
      <c r="R2233" s="152" t="s">
        <v>7518</v>
      </c>
      <c r="S2233" s="152" t="s">
        <v>7554</v>
      </c>
      <c r="T2233" s="152" t="s">
        <v>7520</v>
      </c>
      <c r="U2233" s="152" t="s">
        <v>786</v>
      </c>
    </row>
    <row r="2234" spans="4:21">
      <c r="D2234" s="210"/>
      <c r="G2234" s="152" t="s">
        <v>362</v>
      </c>
      <c r="H2234" s="474" t="s">
        <v>363</v>
      </c>
      <c r="I2234" s="474"/>
      <c r="J2234" s="847">
        <v>10298.65</v>
      </c>
      <c r="K2234" s="513">
        <v>7.33</v>
      </c>
      <c r="L2234" s="513">
        <v>1405</v>
      </c>
      <c r="M2234" s="152" t="s">
        <v>7116</v>
      </c>
      <c r="N2234" s="513" t="s">
        <v>780</v>
      </c>
      <c r="O2234" s="513" t="s">
        <v>1407</v>
      </c>
      <c r="P2234" s="513" t="s">
        <v>7179</v>
      </c>
      <c r="Q2234" s="518" t="s">
        <v>7101</v>
      </c>
      <c r="R2234" s="152" t="s">
        <v>7180</v>
      </c>
      <c r="S2234" s="152" t="s">
        <v>7185</v>
      </c>
      <c r="T2234" s="152" t="s">
        <v>7182</v>
      </c>
      <c r="U2234" s="152" t="s">
        <v>786</v>
      </c>
    </row>
    <row r="2235" spans="4:21">
      <c r="D2235" s="210"/>
      <c r="G2235" s="152" t="s">
        <v>362</v>
      </c>
      <c r="H2235" s="474" t="s">
        <v>363</v>
      </c>
      <c r="I2235" s="474"/>
      <c r="J2235" s="847">
        <v>132750</v>
      </c>
      <c r="K2235" s="513">
        <v>94.483985765124601</v>
      </c>
      <c r="L2235" s="513">
        <v>1405</v>
      </c>
      <c r="M2235" s="152" t="s">
        <v>7108</v>
      </c>
      <c r="N2235" s="513" t="s">
        <v>780</v>
      </c>
      <c r="O2235" s="513" t="s">
        <v>1407</v>
      </c>
      <c r="P2235" s="513" t="s">
        <v>7259</v>
      </c>
      <c r="Q2235" s="518" t="s">
        <v>7101</v>
      </c>
      <c r="R2235" s="152" t="s">
        <v>7260</v>
      </c>
      <c r="S2235" s="152" t="s">
        <v>7263</v>
      </c>
      <c r="T2235" s="152" t="s">
        <v>7262</v>
      </c>
      <c r="U2235" s="152" t="s">
        <v>786</v>
      </c>
    </row>
    <row r="2236" spans="4:21">
      <c r="D2236" s="210"/>
      <c r="G2236" s="152" t="s">
        <v>362</v>
      </c>
      <c r="H2236" s="474" t="s">
        <v>363</v>
      </c>
      <c r="I2236" s="474"/>
      <c r="J2236" s="847">
        <v>686000</v>
      </c>
      <c r="K2236" s="513">
        <v>483.09859154929597</v>
      </c>
      <c r="L2236" s="513">
        <v>1420</v>
      </c>
      <c r="M2236" s="152" t="s">
        <v>7143</v>
      </c>
      <c r="N2236" s="513" t="s">
        <v>780</v>
      </c>
      <c r="O2236" s="513" t="s">
        <v>1407</v>
      </c>
      <c r="P2236" s="513" t="s">
        <v>7408</v>
      </c>
      <c r="Q2236" s="518" t="s">
        <v>7101</v>
      </c>
      <c r="R2236" s="152" t="s">
        <v>7409</v>
      </c>
      <c r="S2236" s="152" t="s">
        <v>7412</v>
      </c>
      <c r="T2236" s="152" t="s">
        <v>7411</v>
      </c>
      <c r="U2236" s="152" t="s">
        <v>786</v>
      </c>
    </row>
    <row r="2237" spans="4:21">
      <c r="D2237" s="210"/>
      <c r="G2237" s="152" t="s">
        <v>364</v>
      </c>
      <c r="H2237" s="474" t="s">
        <v>365</v>
      </c>
      <c r="I2237" s="474"/>
      <c r="J2237" s="847">
        <v>-5830750</v>
      </c>
      <c r="K2237" s="513">
        <v>-4150</v>
      </c>
      <c r="L2237" s="513">
        <v>1405</v>
      </c>
      <c r="M2237" s="152" t="s">
        <v>7104</v>
      </c>
      <c r="N2237" s="513" t="s">
        <v>780</v>
      </c>
      <c r="O2237" s="513" t="s">
        <v>781</v>
      </c>
      <c r="P2237" s="513" t="s">
        <v>7697</v>
      </c>
      <c r="Q2237" s="518" t="s">
        <v>7101</v>
      </c>
      <c r="R2237" s="152" t="s">
        <v>7698</v>
      </c>
      <c r="S2237" s="152" t="s">
        <v>7701</v>
      </c>
      <c r="T2237" s="152" t="s">
        <v>7700</v>
      </c>
      <c r="U2237" s="152" t="s">
        <v>786</v>
      </c>
    </row>
    <row r="2238" spans="4:21">
      <c r="D2238" s="210"/>
      <c r="G2238" s="152" t="s">
        <v>364</v>
      </c>
      <c r="H2238" s="474" t="s">
        <v>365</v>
      </c>
      <c r="I2238" s="474"/>
      <c r="J2238" s="847">
        <v>-5830750</v>
      </c>
      <c r="K2238" s="513">
        <v>-4150</v>
      </c>
      <c r="L2238" s="513">
        <v>1405</v>
      </c>
      <c r="M2238" s="152" t="s">
        <v>7104</v>
      </c>
      <c r="N2238" s="513" t="s">
        <v>780</v>
      </c>
      <c r="O2238" s="513" t="s">
        <v>781</v>
      </c>
      <c r="P2238" s="513" t="s">
        <v>7697</v>
      </c>
      <c r="Q2238" s="518" t="s">
        <v>7101</v>
      </c>
      <c r="R2238" s="152" t="s">
        <v>7698</v>
      </c>
      <c r="S2238" s="152" t="s">
        <v>7704</v>
      </c>
      <c r="T2238" s="152" t="s">
        <v>7700</v>
      </c>
      <c r="U2238" s="152" t="s">
        <v>786</v>
      </c>
    </row>
    <row r="2239" spans="4:21">
      <c r="D2239" s="210"/>
      <c r="G2239" s="152" t="s">
        <v>364</v>
      </c>
      <c r="H2239" s="474" t="s">
        <v>365</v>
      </c>
      <c r="I2239" s="474"/>
      <c r="J2239" s="847">
        <v>-5830750</v>
      </c>
      <c r="K2239" s="513">
        <v>-4150</v>
      </c>
      <c r="L2239" s="513">
        <v>1405</v>
      </c>
      <c r="M2239" s="152" t="s">
        <v>7104</v>
      </c>
      <c r="N2239" s="513" t="s">
        <v>780</v>
      </c>
      <c r="O2239" s="513" t="s">
        <v>781</v>
      </c>
      <c r="P2239" s="513" t="s">
        <v>7697</v>
      </c>
      <c r="Q2239" s="518" t="s">
        <v>7101</v>
      </c>
      <c r="R2239" s="152" t="s">
        <v>7698</v>
      </c>
      <c r="S2239" s="152" t="s">
        <v>7702</v>
      </c>
      <c r="T2239" s="152" t="s">
        <v>7700</v>
      </c>
      <c r="U2239" s="152" t="s">
        <v>786</v>
      </c>
    </row>
    <row r="2240" spans="4:21">
      <c r="D2240" s="210"/>
      <c r="G2240" s="152" t="s">
        <v>364</v>
      </c>
      <c r="H2240" s="474" t="s">
        <v>365</v>
      </c>
      <c r="I2240" s="474"/>
      <c r="J2240" s="847">
        <v>-5620000</v>
      </c>
      <c r="K2240" s="513">
        <v>-4000</v>
      </c>
      <c r="L2240" s="513">
        <v>1405</v>
      </c>
      <c r="M2240" s="152" t="s">
        <v>7108</v>
      </c>
      <c r="N2240" s="513" t="s">
        <v>780</v>
      </c>
      <c r="O2240" s="513" t="s">
        <v>781</v>
      </c>
      <c r="P2240" s="513" t="s">
        <v>7705</v>
      </c>
      <c r="Q2240" s="518" t="s">
        <v>7101</v>
      </c>
      <c r="R2240" s="152" t="s">
        <v>7706</v>
      </c>
      <c r="S2240" s="152" t="s">
        <v>7707</v>
      </c>
      <c r="T2240" s="152" t="s">
        <v>7708</v>
      </c>
      <c r="U2240" s="152" t="s">
        <v>786</v>
      </c>
    </row>
    <row r="2241" spans="4:21">
      <c r="D2241" s="210"/>
      <c r="G2241" s="152" t="s">
        <v>364</v>
      </c>
      <c r="H2241" s="474" t="s">
        <v>365</v>
      </c>
      <c r="I2241" s="474"/>
      <c r="J2241" s="847">
        <v>-5830750</v>
      </c>
      <c r="K2241" s="513">
        <v>-4150</v>
      </c>
      <c r="L2241" s="513">
        <v>1405</v>
      </c>
      <c r="M2241" s="152" t="s">
        <v>7108</v>
      </c>
      <c r="N2241" s="513" t="s">
        <v>780</v>
      </c>
      <c r="O2241" s="513" t="s">
        <v>781</v>
      </c>
      <c r="P2241" s="513" t="s">
        <v>7705</v>
      </c>
      <c r="Q2241" s="518" t="s">
        <v>7101</v>
      </c>
      <c r="R2241" s="152" t="s">
        <v>7706</v>
      </c>
      <c r="S2241" s="152" t="s">
        <v>7714</v>
      </c>
      <c r="T2241" s="152" t="s">
        <v>7708</v>
      </c>
      <c r="U2241" s="152" t="s">
        <v>786</v>
      </c>
    </row>
    <row r="2242" spans="4:21">
      <c r="D2242" s="210"/>
      <c r="G2242" s="152" t="s">
        <v>364</v>
      </c>
      <c r="H2242" s="474" t="s">
        <v>365</v>
      </c>
      <c r="I2242" s="474"/>
      <c r="J2242" s="847">
        <v>-5799137.5</v>
      </c>
      <c r="K2242" s="513">
        <v>-4127.5</v>
      </c>
      <c r="L2242" s="513">
        <v>1405</v>
      </c>
      <c r="M2242" s="152" t="s">
        <v>7112</v>
      </c>
      <c r="N2242" s="513" t="s">
        <v>780</v>
      </c>
      <c r="O2242" s="513" t="s">
        <v>781</v>
      </c>
      <c r="P2242" s="513" t="s">
        <v>7715</v>
      </c>
      <c r="Q2242" s="518" t="s">
        <v>7101</v>
      </c>
      <c r="R2242" s="152" t="s">
        <v>7716</v>
      </c>
      <c r="S2242" s="152" t="s">
        <v>7719</v>
      </c>
      <c r="T2242" s="152" t="s">
        <v>7718</v>
      </c>
      <c r="U2242" s="152" t="s">
        <v>786</v>
      </c>
    </row>
    <row r="2243" spans="4:21">
      <c r="D2243" s="210"/>
      <c r="G2243" s="152" t="s">
        <v>364</v>
      </c>
      <c r="H2243" s="474" t="s">
        <v>365</v>
      </c>
      <c r="I2243" s="474"/>
      <c r="J2243" s="847">
        <v>-5799137.5</v>
      </c>
      <c r="K2243" s="513">
        <v>-4127.5</v>
      </c>
      <c r="L2243" s="513">
        <v>1405</v>
      </c>
      <c r="M2243" s="152" t="s">
        <v>7112</v>
      </c>
      <c r="N2243" s="513" t="s">
        <v>780</v>
      </c>
      <c r="O2243" s="513" t="s">
        <v>781</v>
      </c>
      <c r="P2243" s="513" t="s">
        <v>7715</v>
      </c>
      <c r="Q2243" s="518" t="s">
        <v>7101</v>
      </c>
      <c r="R2243" s="152" t="s">
        <v>7716</v>
      </c>
      <c r="S2243" s="152" t="s">
        <v>7717</v>
      </c>
      <c r="T2243" s="152" t="s">
        <v>7718</v>
      </c>
      <c r="U2243" s="152" t="s">
        <v>786</v>
      </c>
    </row>
    <row r="2244" spans="4:21">
      <c r="D2244" s="210"/>
      <c r="G2244" s="152" t="s">
        <v>364</v>
      </c>
      <c r="H2244" s="474" t="s">
        <v>365</v>
      </c>
      <c r="I2244" s="474"/>
      <c r="J2244" s="847">
        <v>-11977625</v>
      </c>
      <c r="K2244" s="513">
        <v>-8525</v>
      </c>
      <c r="L2244" s="513">
        <v>1405</v>
      </c>
      <c r="M2244" s="152" t="s">
        <v>7276</v>
      </c>
      <c r="N2244" s="513" t="s">
        <v>780</v>
      </c>
      <c r="O2244" s="513" t="s">
        <v>781</v>
      </c>
      <c r="P2244" s="513" t="s">
        <v>7720</v>
      </c>
      <c r="Q2244" s="518" t="s">
        <v>7101</v>
      </c>
      <c r="R2244" s="152" t="s">
        <v>7721</v>
      </c>
      <c r="S2244" s="152" t="s">
        <v>7722</v>
      </c>
      <c r="T2244" s="152" t="s">
        <v>7723</v>
      </c>
      <c r="U2244" s="152" t="s">
        <v>786</v>
      </c>
    </row>
    <row r="2245" spans="4:21">
      <c r="D2245" s="210"/>
      <c r="G2245" s="152" t="s">
        <v>364</v>
      </c>
      <c r="H2245" s="474" t="s">
        <v>365</v>
      </c>
      <c r="I2245" s="474"/>
      <c r="J2245" s="847">
        <v>-6066183.2000000002</v>
      </c>
      <c r="K2245" s="513">
        <v>-4271.96</v>
      </c>
      <c r="L2245" s="513">
        <v>1420</v>
      </c>
      <c r="M2245" s="152" t="s">
        <v>7143</v>
      </c>
      <c r="N2245" s="513" t="s">
        <v>780</v>
      </c>
      <c r="O2245" s="513" t="s">
        <v>781</v>
      </c>
      <c r="P2245" s="513" t="s">
        <v>7734</v>
      </c>
      <c r="Q2245" s="518" t="s">
        <v>7101</v>
      </c>
      <c r="R2245" s="152" t="s">
        <v>7735</v>
      </c>
      <c r="S2245" s="152" t="s">
        <v>7745</v>
      </c>
      <c r="T2245" s="152" t="s">
        <v>7737</v>
      </c>
      <c r="U2245" s="152" t="s">
        <v>786</v>
      </c>
    </row>
    <row r="2246" spans="4:21">
      <c r="D2246" s="210"/>
      <c r="G2246" s="152" t="s">
        <v>364</v>
      </c>
      <c r="H2246" s="474" t="s">
        <v>365</v>
      </c>
      <c r="I2246" s="474"/>
      <c r="J2246" s="847">
        <v>-6066183.2000000002</v>
      </c>
      <c r="K2246" s="513">
        <v>-4271.96</v>
      </c>
      <c r="L2246" s="513">
        <v>1420</v>
      </c>
      <c r="M2246" s="152" t="s">
        <v>7143</v>
      </c>
      <c r="N2246" s="513" t="s">
        <v>780</v>
      </c>
      <c r="O2246" s="513" t="s">
        <v>781</v>
      </c>
      <c r="P2246" s="513" t="s">
        <v>7734</v>
      </c>
      <c r="Q2246" s="518" t="s">
        <v>7101</v>
      </c>
      <c r="R2246" s="152" t="s">
        <v>7735</v>
      </c>
      <c r="S2246" s="152" t="s">
        <v>7749</v>
      </c>
      <c r="T2246" s="152" t="s">
        <v>7737</v>
      </c>
      <c r="U2246" s="152" t="s">
        <v>786</v>
      </c>
    </row>
    <row r="2247" spans="4:21">
      <c r="D2247" s="210"/>
      <c r="G2247" s="152" t="s">
        <v>364</v>
      </c>
      <c r="H2247" s="474" t="s">
        <v>365</v>
      </c>
      <c r="I2247" s="474"/>
      <c r="J2247" s="847">
        <v>-5878800</v>
      </c>
      <c r="K2247" s="513">
        <v>-4140</v>
      </c>
      <c r="L2247" s="513">
        <v>1420</v>
      </c>
      <c r="M2247" s="152" t="s">
        <v>7143</v>
      </c>
      <c r="N2247" s="513" t="s">
        <v>780</v>
      </c>
      <c r="O2247" s="513" t="s">
        <v>781</v>
      </c>
      <c r="P2247" s="513" t="s">
        <v>7734</v>
      </c>
      <c r="Q2247" s="518" t="s">
        <v>7101</v>
      </c>
      <c r="R2247" s="152" t="s">
        <v>7735</v>
      </c>
      <c r="S2247" s="152" t="s">
        <v>7747</v>
      </c>
      <c r="T2247" s="152" t="s">
        <v>7737</v>
      </c>
      <c r="U2247" s="152" t="s">
        <v>786</v>
      </c>
    </row>
    <row r="2248" spans="4:21">
      <c r="D2248" s="210"/>
      <c r="G2248" s="152" t="s">
        <v>364</v>
      </c>
      <c r="H2248" s="474" t="s">
        <v>365</v>
      </c>
      <c r="I2248" s="474"/>
      <c r="J2248" s="847">
        <v>-4526676</v>
      </c>
      <c r="K2248" s="513">
        <v>-3187.8</v>
      </c>
      <c r="L2248" s="513">
        <v>1420</v>
      </c>
      <c r="M2248" s="152" t="s">
        <v>7143</v>
      </c>
      <c r="N2248" s="513" t="s">
        <v>780</v>
      </c>
      <c r="O2248" s="513" t="s">
        <v>781</v>
      </c>
      <c r="P2248" s="513" t="s">
        <v>7734</v>
      </c>
      <c r="Q2248" s="518" t="s">
        <v>7101</v>
      </c>
      <c r="R2248" s="152" t="s">
        <v>7735</v>
      </c>
      <c r="S2248" s="152" t="s">
        <v>7751</v>
      </c>
      <c r="T2248" s="152" t="s">
        <v>7737</v>
      </c>
      <c r="U2248" s="152" t="s">
        <v>786</v>
      </c>
    </row>
    <row r="2249" spans="4:21">
      <c r="D2249" s="210"/>
      <c r="G2249" s="152" t="s">
        <v>364</v>
      </c>
      <c r="H2249" s="474" t="s">
        <v>365</v>
      </c>
      <c r="I2249" s="474"/>
      <c r="J2249" s="847">
        <v>1124000</v>
      </c>
      <c r="K2249" s="513">
        <v>800</v>
      </c>
      <c r="L2249" s="513">
        <v>1405</v>
      </c>
      <c r="M2249" s="152" t="s">
        <v>7108</v>
      </c>
      <c r="N2249" s="513" t="s">
        <v>780</v>
      </c>
      <c r="O2249" s="513" t="s">
        <v>1407</v>
      </c>
      <c r="P2249" s="513" t="s">
        <v>7245</v>
      </c>
      <c r="Q2249" s="518" t="s">
        <v>7101</v>
      </c>
      <c r="R2249" s="152" t="s">
        <v>7246</v>
      </c>
      <c r="S2249" s="152" t="s">
        <v>7254</v>
      </c>
      <c r="T2249" s="152" t="s">
        <v>7248</v>
      </c>
      <c r="U2249" s="152" t="s">
        <v>786</v>
      </c>
    </row>
    <row r="2250" spans="4:21">
      <c r="D2250" s="210"/>
      <c r="G2250" s="152" t="s">
        <v>364</v>
      </c>
      <c r="H2250" s="474" t="s">
        <v>365</v>
      </c>
      <c r="I2250" s="474"/>
      <c r="J2250" s="847">
        <v>-24784200</v>
      </c>
      <c r="K2250" s="513">
        <v>-17640</v>
      </c>
      <c r="L2250" s="513">
        <v>1405</v>
      </c>
      <c r="M2250" s="152" t="s">
        <v>7108</v>
      </c>
      <c r="N2250" s="513" t="s">
        <v>780</v>
      </c>
      <c r="O2250" s="513" t="s">
        <v>1407</v>
      </c>
      <c r="P2250" s="513" t="s">
        <v>7705</v>
      </c>
      <c r="Q2250" s="518" t="s">
        <v>7101</v>
      </c>
      <c r="R2250" s="152" t="s">
        <v>7706</v>
      </c>
      <c r="S2250" s="152" t="s">
        <v>7709</v>
      </c>
      <c r="T2250" s="152" t="s">
        <v>7708</v>
      </c>
      <c r="U2250" s="152" t="s">
        <v>786</v>
      </c>
    </row>
    <row r="2251" spans="4:21">
      <c r="D2251" s="210"/>
      <c r="G2251" s="152" t="s">
        <v>364</v>
      </c>
      <c r="H2251" s="474" t="s">
        <v>365</v>
      </c>
      <c r="I2251" s="474"/>
      <c r="J2251" s="847">
        <v>-983500</v>
      </c>
      <c r="K2251" s="513">
        <v>-700</v>
      </c>
      <c r="L2251" s="513">
        <v>1405</v>
      </c>
      <c r="M2251" s="152" t="s">
        <v>7108</v>
      </c>
      <c r="N2251" s="513" t="s">
        <v>780</v>
      </c>
      <c r="O2251" s="513" t="s">
        <v>1407</v>
      </c>
      <c r="P2251" s="513" t="s">
        <v>7705</v>
      </c>
      <c r="Q2251" s="518" t="s">
        <v>7101</v>
      </c>
      <c r="R2251" s="152" t="s">
        <v>7706</v>
      </c>
      <c r="S2251" s="152" t="s">
        <v>7713</v>
      </c>
      <c r="T2251" s="152" t="s">
        <v>7708</v>
      </c>
      <c r="U2251" s="152" t="s">
        <v>786</v>
      </c>
    </row>
    <row r="2252" spans="4:21">
      <c r="D2252" s="210"/>
      <c r="G2252" s="152" t="s">
        <v>364</v>
      </c>
      <c r="H2252" s="474" t="s">
        <v>365</v>
      </c>
      <c r="I2252" s="474"/>
      <c r="J2252" s="847">
        <v>-8767200</v>
      </c>
      <c r="K2252" s="513">
        <v>-6240</v>
      </c>
      <c r="L2252" s="513">
        <v>1405</v>
      </c>
      <c r="M2252" s="152" t="s">
        <v>7108</v>
      </c>
      <c r="N2252" s="513" t="s">
        <v>780</v>
      </c>
      <c r="O2252" s="513" t="s">
        <v>1407</v>
      </c>
      <c r="P2252" s="513" t="s">
        <v>7705</v>
      </c>
      <c r="Q2252" s="518" t="s">
        <v>7101</v>
      </c>
      <c r="R2252" s="152" t="s">
        <v>7706</v>
      </c>
      <c r="S2252" s="152" t="s">
        <v>7712</v>
      </c>
      <c r="T2252" s="152" t="s">
        <v>7708</v>
      </c>
      <c r="U2252" s="152" t="s">
        <v>786</v>
      </c>
    </row>
    <row r="2253" spans="4:21">
      <c r="D2253" s="210"/>
      <c r="G2253" s="152" t="s">
        <v>364</v>
      </c>
      <c r="H2253" s="474" t="s">
        <v>365</v>
      </c>
      <c r="I2253" s="474"/>
      <c r="J2253" s="847">
        <v>-3877800</v>
      </c>
      <c r="K2253" s="513">
        <v>-2760</v>
      </c>
      <c r="L2253" s="513">
        <v>1405</v>
      </c>
      <c r="M2253" s="152" t="s">
        <v>7108</v>
      </c>
      <c r="N2253" s="513" t="s">
        <v>780</v>
      </c>
      <c r="O2253" s="513" t="s">
        <v>1407</v>
      </c>
      <c r="P2253" s="513" t="s">
        <v>7705</v>
      </c>
      <c r="Q2253" s="518" t="s">
        <v>7101</v>
      </c>
      <c r="R2253" s="152" t="s">
        <v>7706</v>
      </c>
      <c r="S2253" s="152" t="s">
        <v>7711</v>
      </c>
      <c r="T2253" s="152" t="s">
        <v>7708</v>
      </c>
      <c r="U2253" s="152" t="s">
        <v>786</v>
      </c>
    </row>
    <row r="2254" spans="4:21">
      <c r="D2254" s="210"/>
      <c r="G2254" s="152" t="s">
        <v>364</v>
      </c>
      <c r="H2254" s="474" t="s">
        <v>365</v>
      </c>
      <c r="I2254" s="474"/>
      <c r="J2254" s="847">
        <v>-969450</v>
      </c>
      <c r="K2254" s="513">
        <v>-690</v>
      </c>
      <c r="L2254" s="513">
        <v>1405</v>
      </c>
      <c r="M2254" s="152" t="s">
        <v>7108</v>
      </c>
      <c r="N2254" s="513" t="s">
        <v>780</v>
      </c>
      <c r="O2254" s="513" t="s">
        <v>1407</v>
      </c>
      <c r="P2254" s="513" t="s">
        <v>7705</v>
      </c>
      <c r="Q2254" s="518" t="s">
        <v>7101</v>
      </c>
      <c r="R2254" s="152" t="s">
        <v>7706</v>
      </c>
      <c r="S2254" s="152" t="s">
        <v>7710</v>
      </c>
      <c r="T2254" s="152" t="s">
        <v>7708</v>
      </c>
      <c r="U2254" s="152" t="s">
        <v>786</v>
      </c>
    </row>
    <row r="2255" spans="4:21">
      <c r="D2255" s="210"/>
      <c r="G2255" s="152" t="s">
        <v>364</v>
      </c>
      <c r="H2255" s="474" t="s">
        <v>365</v>
      </c>
      <c r="I2255" s="474"/>
      <c r="J2255" s="847">
        <v>-10434870</v>
      </c>
      <c r="K2255" s="513">
        <v>-7348.5</v>
      </c>
      <c r="L2255" s="513">
        <v>1420</v>
      </c>
      <c r="M2255" s="152" t="s">
        <v>7143</v>
      </c>
      <c r="N2255" s="513" t="s">
        <v>780</v>
      </c>
      <c r="O2255" s="513" t="s">
        <v>1407</v>
      </c>
      <c r="P2255" s="513" t="s">
        <v>7734</v>
      </c>
      <c r="Q2255" s="518" t="s">
        <v>7101</v>
      </c>
      <c r="R2255" s="152" t="s">
        <v>7735</v>
      </c>
      <c r="S2255" s="152" t="s">
        <v>7736</v>
      </c>
      <c r="T2255" s="152" t="s">
        <v>7737</v>
      </c>
      <c r="U2255" s="152" t="s">
        <v>786</v>
      </c>
    </row>
    <row r="2256" spans="4:21">
      <c r="D2256" s="210"/>
      <c r="G2256" s="152" t="s">
        <v>364</v>
      </c>
      <c r="H2256" s="474" t="s">
        <v>365</v>
      </c>
      <c r="I2256" s="474"/>
      <c r="J2256" s="847">
        <v>-1499094</v>
      </c>
      <c r="K2256" s="513">
        <v>-1055.7</v>
      </c>
      <c r="L2256" s="513">
        <v>1420</v>
      </c>
      <c r="M2256" s="152" t="s">
        <v>7143</v>
      </c>
      <c r="N2256" s="513" t="s">
        <v>780</v>
      </c>
      <c r="O2256" s="513" t="s">
        <v>1407</v>
      </c>
      <c r="P2256" s="513" t="s">
        <v>7734</v>
      </c>
      <c r="Q2256" s="518" t="s">
        <v>7101</v>
      </c>
      <c r="R2256" s="152" t="s">
        <v>7735</v>
      </c>
      <c r="S2256" s="152" t="s">
        <v>7738</v>
      </c>
      <c r="T2256" s="152" t="s">
        <v>7737</v>
      </c>
      <c r="U2256" s="152" t="s">
        <v>786</v>
      </c>
    </row>
    <row r="2257" spans="4:21">
      <c r="D2257" s="210"/>
      <c r="G2257" s="152" t="s">
        <v>364</v>
      </c>
      <c r="H2257" s="474" t="s">
        <v>365</v>
      </c>
      <c r="I2257" s="474"/>
      <c r="J2257" s="847">
        <v>-3152513.6</v>
      </c>
      <c r="K2257" s="513">
        <v>-2220.08</v>
      </c>
      <c r="L2257" s="513">
        <v>1420</v>
      </c>
      <c r="M2257" s="152" t="s">
        <v>7143</v>
      </c>
      <c r="N2257" s="513" t="s">
        <v>780</v>
      </c>
      <c r="O2257" s="513" t="s">
        <v>1407</v>
      </c>
      <c r="P2257" s="513" t="s">
        <v>7734</v>
      </c>
      <c r="Q2257" s="518" t="s">
        <v>7101</v>
      </c>
      <c r="R2257" s="152" t="s">
        <v>7735</v>
      </c>
      <c r="S2257" s="152" t="s">
        <v>7739</v>
      </c>
      <c r="T2257" s="152" t="s">
        <v>7737</v>
      </c>
      <c r="U2257" s="152" t="s">
        <v>786</v>
      </c>
    </row>
    <row r="2258" spans="4:21">
      <c r="D2258" s="210"/>
      <c r="G2258" s="152" t="s">
        <v>364</v>
      </c>
      <c r="H2258" s="474" t="s">
        <v>365</v>
      </c>
      <c r="I2258" s="474"/>
      <c r="J2258" s="847">
        <v>-3152513.6</v>
      </c>
      <c r="K2258" s="513">
        <v>-2220.08</v>
      </c>
      <c r="L2258" s="513">
        <v>1420</v>
      </c>
      <c r="M2258" s="152" t="s">
        <v>7143</v>
      </c>
      <c r="N2258" s="513" t="s">
        <v>780</v>
      </c>
      <c r="O2258" s="513" t="s">
        <v>1407</v>
      </c>
      <c r="P2258" s="513" t="s">
        <v>7734</v>
      </c>
      <c r="Q2258" s="518" t="s">
        <v>7101</v>
      </c>
      <c r="R2258" s="152" t="s">
        <v>7735</v>
      </c>
      <c r="S2258" s="152" t="s">
        <v>7740</v>
      </c>
      <c r="T2258" s="152" t="s">
        <v>7737</v>
      </c>
      <c r="U2258" s="152" t="s">
        <v>786</v>
      </c>
    </row>
    <row r="2259" spans="4:21">
      <c r="D2259" s="210"/>
      <c r="G2259" s="152" t="s">
        <v>364</v>
      </c>
      <c r="H2259" s="474" t="s">
        <v>365</v>
      </c>
      <c r="I2259" s="474"/>
      <c r="J2259" s="847">
        <v>-3152513.6</v>
      </c>
      <c r="K2259" s="513">
        <v>-2220.08</v>
      </c>
      <c r="L2259" s="513">
        <v>1420</v>
      </c>
      <c r="M2259" s="152" t="s">
        <v>7143</v>
      </c>
      <c r="N2259" s="513" t="s">
        <v>780</v>
      </c>
      <c r="O2259" s="513" t="s">
        <v>1407</v>
      </c>
      <c r="P2259" s="513" t="s">
        <v>7734</v>
      </c>
      <c r="Q2259" s="518" t="s">
        <v>7101</v>
      </c>
      <c r="R2259" s="152" t="s">
        <v>7735</v>
      </c>
      <c r="S2259" s="152" t="s">
        <v>7741</v>
      </c>
      <c r="T2259" s="152" t="s">
        <v>7737</v>
      </c>
      <c r="U2259" s="152" t="s">
        <v>786</v>
      </c>
    </row>
    <row r="2260" spans="4:21">
      <c r="D2260" s="210"/>
      <c r="G2260" s="152" t="s">
        <v>364</v>
      </c>
      <c r="H2260" s="474" t="s">
        <v>365</v>
      </c>
      <c r="I2260" s="474"/>
      <c r="J2260" s="847">
        <v>-1499094</v>
      </c>
      <c r="K2260" s="513">
        <v>-1055.7</v>
      </c>
      <c r="L2260" s="513">
        <v>1420</v>
      </c>
      <c r="M2260" s="152" t="s">
        <v>7143</v>
      </c>
      <c r="N2260" s="513" t="s">
        <v>780</v>
      </c>
      <c r="O2260" s="513" t="s">
        <v>1407</v>
      </c>
      <c r="P2260" s="513" t="s">
        <v>7734</v>
      </c>
      <c r="Q2260" s="518" t="s">
        <v>7101</v>
      </c>
      <c r="R2260" s="152" t="s">
        <v>7735</v>
      </c>
      <c r="S2260" s="152" t="s">
        <v>7742</v>
      </c>
      <c r="T2260" s="152" t="s">
        <v>7737</v>
      </c>
      <c r="U2260" s="152" t="s">
        <v>786</v>
      </c>
    </row>
    <row r="2261" spans="4:21">
      <c r="D2261" s="210"/>
      <c r="G2261" s="152" t="s">
        <v>364</v>
      </c>
      <c r="H2261" s="474" t="s">
        <v>365</v>
      </c>
      <c r="I2261" s="474"/>
      <c r="J2261" s="847">
        <v>-5055200</v>
      </c>
      <c r="K2261" s="513">
        <v>-3560</v>
      </c>
      <c r="L2261" s="513">
        <v>1420</v>
      </c>
      <c r="M2261" s="152" t="s">
        <v>7143</v>
      </c>
      <c r="N2261" s="513" t="s">
        <v>780</v>
      </c>
      <c r="O2261" s="513" t="s">
        <v>1407</v>
      </c>
      <c r="P2261" s="513" t="s">
        <v>7734</v>
      </c>
      <c r="Q2261" s="518" t="s">
        <v>7101</v>
      </c>
      <c r="R2261" s="152" t="s">
        <v>7735</v>
      </c>
      <c r="S2261" s="152" t="s">
        <v>7743</v>
      </c>
      <c r="T2261" s="152" t="s">
        <v>7737</v>
      </c>
      <c r="U2261" s="152" t="s">
        <v>786</v>
      </c>
    </row>
    <row r="2262" spans="4:21">
      <c r="D2262" s="210"/>
      <c r="G2262" s="152" t="s">
        <v>364</v>
      </c>
      <c r="H2262" s="474" t="s">
        <v>365</v>
      </c>
      <c r="I2262" s="474"/>
      <c r="J2262" s="847">
        <v>-1661400</v>
      </c>
      <c r="K2262" s="513">
        <v>-1170</v>
      </c>
      <c r="L2262" s="513">
        <v>1420</v>
      </c>
      <c r="M2262" s="152" t="s">
        <v>7143</v>
      </c>
      <c r="N2262" s="513" t="s">
        <v>780</v>
      </c>
      <c r="O2262" s="513" t="s">
        <v>1407</v>
      </c>
      <c r="P2262" s="513" t="s">
        <v>7734</v>
      </c>
      <c r="Q2262" s="518" t="s">
        <v>7101</v>
      </c>
      <c r="R2262" s="152" t="s">
        <v>7735</v>
      </c>
      <c r="S2262" s="152" t="s">
        <v>7744</v>
      </c>
      <c r="T2262" s="152" t="s">
        <v>7737</v>
      </c>
      <c r="U2262" s="152" t="s">
        <v>786</v>
      </c>
    </row>
    <row r="2263" spans="4:21">
      <c r="D2263" s="210"/>
      <c r="G2263" s="152" t="s">
        <v>364</v>
      </c>
      <c r="H2263" s="474" t="s">
        <v>365</v>
      </c>
      <c r="I2263" s="474"/>
      <c r="J2263" s="847">
        <v>-4771200</v>
      </c>
      <c r="K2263" s="513">
        <v>-3360</v>
      </c>
      <c r="L2263" s="513">
        <v>1420</v>
      </c>
      <c r="M2263" s="152" t="s">
        <v>7143</v>
      </c>
      <c r="N2263" s="513" t="s">
        <v>780</v>
      </c>
      <c r="O2263" s="513" t="s">
        <v>1407</v>
      </c>
      <c r="P2263" s="513" t="s">
        <v>7734</v>
      </c>
      <c r="Q2263" s="518" t="s">
        <v>7101</v>
      </c>
      <c r="R2263" s="152" t="s">
        <v>7735</v>
      </c>
      <c r="S2263" s="152" t="s">
        <v>7746</v>
      </c>
      <c r="T2263" s="152" t="s">
        <v>7737</v>
      </c>
      <c r="U2263" s="152" t="s">
        <v>786</v>
      </c>
    </row>
    <row r="2264" spans="4:21">
      <c r="D2264" s="210"/>
      <c r="G2264" s="152" t="s">
        <v>364</v>
      </c>
      <c r="H2264" s="474" t="s">
        <v>365</v>
      </c>
      <c r="I2264" s="474"/>
      <c r="J2264" s="847">
        <v>-6731226</v>
      </c>
      <c r="K2264" s="513">
        <v>-4740.3</v>
      </c>
      <c r="L2264" s="513">
        <v>1420</v>
      </c>
      <c r="M2264" s="152" t="s">
        <v>7143</v>
      </c>
      <c r="N2264" s="513" t="s">
        <v>780</v>
      </c>
      <c r="O2264" s="513" t="s">
        <v>1407</v>
      </c>
      <c r="P2264" s="513" t="s">
        <v>7734</v>
      </c>
      <c r="Q2264" s="518" t="s">
        <v>7101</v>
      </c>
      <c r="R2264" s="152" t="s">
        <v>7735</v>
      </c>
      <c r="S2264" s="152" t="s">
        <v>7753</v>
      </c>
      <c r="T2264" s="152" t="s">
        <v>7737</v>
      </c>
      <c r="U2264" s="152" t="s">
        <v>786</v>
      </c>
    </row>
    <row r="2265" spans="4:21">
      <c r="D2265" s="210"/>
      <c r="G2265" s="152" t="s">
        <v>364</v>
      </c>
      <c r="H2265" s="474" t="s">
        <v>365</v>
      </c>
      <c r="I2265" s="474"/>
      <c r="J2265" s="847">
        <v>-3550000</v>
      </c>
      <c r="K2265" s="513">
        <v>-2500</v>
      </c>
      <c r="L2265" s="513">
        <v>1420</v>
      </c>
      <c r="M2265" s="152" t="s">
        <v>7143</v>
      </c>
      <c r="N2265" s="513" t="s">
        <v>780</v>
      </c>
      <c r="O2265" s="513" t="s">
        <v>1407</v>
      </c>
      <c r="P2265" s="513" t="s">
        <v>7734</v>
      </c>
      <c r="Q2265" s="518" t="s">
        <v>7101</v>
      </c>
      <c r="R2265" s="152" t="s">
        <v>7735</v>
      </c>
      <c r="S2265" s="152" t="s">
        <v>7752</v>
      </c>
      <c r="T2265" s="152" t="s">
        <v>7737</v>
      </c>
      <c r="U2265" s="152" t="s">
        <v>786</v>
      </c>
    </row>
    <row r="2266" spans="4:21">
      <c r="D2266" s="210"/>
      <c r="G2266" s="152" t="s">
        <v>3143</v>
      </c>
      <c r="H2266" s="474" t="s">
        <v>3144</v>
      </c>
      <c r="I2266" s="474"/>
      <c r="J2266" s="847">
        <v>-140500</v>
      </c>
      <c r="K2266" s="513">
        <v>-100</v>
      </c>
      <c r="L2266" s="513">
        <v>1405</v>
      </c>
      <c r="M2266" s="152" t="s">
        <v>7808</v>
      </c>
      <c r="N2266" s="513" t="s">
        <v>1566</v>
      </c>
      <c r="O2266" s="513" t="s">
        <v>1407</v>
      </c>
      <c r="P2266" s="513" t="s">
        <v>7829</v>
      </c>
      <c r="Q2266" s="518" t="s">
        <v>7796</v>
      </c>
      <c r="R2266" s="152" t="s">
        <v>7830</v>
      </c>
      <c r="S2266" s="152" t="s">
        <v>7831</v>
      </c>
      <c r="T2266" s="152" t="s">
        <v>7832</v>
      </c>
      <c r="U2266" s="152" t="s">
        <v>786</v>
      </c>
    </row>
    <row r="2267" spans="4:21">
      <c r="D2267" s="210"/>
      <c r="G2267" s="152" t="s">
        <v>4309</v>
      </c>
      <c r="H2267" s="474" t="s">
        <v>4310</v>
      </c>
      <c r="I2267" s="474"/>
      <c r="J2267" s="847">
        <v>-351250</v>
      </c>
      <c r="K2267" s="513">
        <v>-250</v>
      </c>
      <c r="L2267" s="513">
        <v>1405</v>
      </c>
      <c r="M2267" s="152" t="s">
        <v>7808</v>
      </c>
      <c r="N2267" s="513" t="s">
        <v>1566</v>
      </c>
      <c r="O2267" s="513" t="s">
        <v>1407</v>
      </c>
      <c r="P2267" s="513" t="s">
        <v>7809</v>
      </c>
      <c r="Q2267" s="518" t="s">
        <v>7796</v>
      </c>
      <c r="R2267" s="152" t="s">
        <v>7810</v>
      </c>
      <c r="S2267" s="152" t="s">
        <v>7811</v>
      </c>
      <c r="T2267" s="152" t="s">
        <v>7812</v>
      </c>
      <c r="U2267" s="152" t="s">
        <v>786</v>
      </c>
    </row>
    <row r="2268" spans="4:21">
      <c r="D2268" s="210"/>
      <c r="G2268" s="152" t="s">
        <v>4309</v>
      </c>
      <c r="H2268" s="474" t="s">
        <v>4310</v>
      </c>
      <c r="I2268" s="474"/>
      <c r="J2268" s="847">
        <v>-351250</v>
      </c>
      <c r="K2268" s="513">
        <v>-250</v>
      </c>
      <c r="L2268" s="513">
        <v>1405</v>
      </c>
      <c r="M2268" s="152" t="s">
        <v>7808</v>
      </c>
      <c r="N2268" s="513" t="s">
        <v>1566</v>
      </c>
      <c r="O2268" s="513" t="s">
        <v>1407</v>
      </c>
      <c r="P2268" s="513" t="s">
        <v>7813</v>
      </c>
      <c r="Q2268" s="518" t="s">
        <v>7796</v>
      </c>
      <c r="R2268" s="152" t="s">
        <v>7814</v>
      </c>
      <c r="S2268" s="152" t="s">
        <v>7811</v>
      </c>
      <c r="T2268" s="152" t="s">
        <v>7815</v>
      </c>
      <c r="U2268" s="152" t="s">
        <v>786</v>
      </c>
    </row>
    <row r="2269" spans="4:21">
      <c r="D2269" s="210"/>
      <c r="G2269" s="152" t="s">
        <v>4309</v>
      </c>
      <c r="H2269" s="474" t="s">
        <v>4310</v>
      </c>
      <c r="I2269" s="474"/>
      <c r="J2269" s="847">
        <v>-351250</v>
      </c>
      <c r="K2269" s="513">
        <v>-250</v>
      </c>
      <c r="L2269" s="513">
        <v>1405</v>
      </c>
      <c r="M2269" s="152" t="s">
        <v>7116</v>
      </c>
      <c r="N2269" s="513" t="s">
        <v>1566</v>
      </c>
      <c r="O2269" s="513" t="s">
        <v>1407</v>
      </c>
      <c r="P2269" s="513" t="s">
        <v>7900</v>
      </c>
      <c r="Q2269" s="518" t="s">
        <v>7796</v>
      </c>
      <c r="R2269" s="152" t="s">
        <v>7901</v>
      </c>
      <c r="S2269" s="152" t="s">
        <v>7895</v>
      </c>
      <c r="T2269" s="152" t="s">
        <v>7902</v>
      </c>
      <c r="U2269" s="152" t="s">
        <v>786</v>
      </c>
    </row>
    <row r="2270" spans="4:21">
      <c r="D2270" s="210"/>
      <c r="G2270" s="152" t="s">
        <v>4309</v>
      </c>
      <c r="H2270" s="474" t="s">
        <v>4310</v>
      </c>
      <c r="I2270" s="474"/>
      <c r="J2270" s="847">
        <v>-351250</v>
      </c>
      <c r="K2270" s="513">
        <v>-250</v>
      </c>
      <c r="L2270" s="513">
        <v>1405</v>
      </c>
      <c r="M2270" s="152" t="s">
        <v>7116</v>
      </c>
      <c r="N2270" s="513" t="s">
        <v>1566</v>
      </c>
      <c r="O2270" s="513" t="s">
        <v>1407</v>
      </c>
      <c r="P2270" s="513" t="s">
        <v>7903</v>
      </c>
      <c r="Q2270" s="518" t="s">
        <v>7796</v>
      </c>
      <c r="R2270" s="152" t="s">
        <v>7904</v>
      </c>
      <c r="S2270" s="152" t="s">
        <v>7895</v>
      </c>
      <c r="T2270" s="152" t="s">
        <v>7905</v>
      </c>
      <c r="U2270" s="152" t="s">
        <v>786</v>
      </c>
    </row>
    <row r="2271" spans="4:21">
      <c r="D2271" s="210"/>
      <c r="G2271" s="152" t="s">
        <v>4309</v>
      </c>
      <c r="H2271" s="474" t="s">
        <v>4310</v>
      </c>
      <c r="I2271" s="474"/>
      <c r="J2271" s="847">
        <v>-351250</v>
      </c>
      <c r="K2271" s="513">
        <v>-250</v>
      </c>
      <c r="L2271" s="513">
        <v>1405</v>
      </c>
      <c r="M2271" s="152" t="s">
        <v>7116</v>
      </c>
      <c r="N2271" s="513" t="s">
        <v>1566</v>
      </c>
      <c r="O2271" s="513" t="s">
        <v>1407</v>
      </c>
      <c r="P2271" s="513" t="s">
        <v>7906</v>
      </c>
      <c r="Q2271" s="518" t="s">
        <v>7796</v>
      </c>
      <c r="R2271" s="152" t="s">
        <v>7907</v>
      </c>
      <c r="S2271" s="152" t="s">
        <v>7908</v>
      </c>
      <c r="T2271" s="152" t="s">
        <v>7909</v>
      </c>
      <c r="U2271" s="152" t="s">
        <v>786</v>
      </c>
    </row>
    <row r="2272" spans="4:21">
      <c r="D2272" s="210"/>
      <c r="G2272" s="152" t="s">
        <v>4309</v>
      </c>
      <c r="H2272" s="474" t="s">
        <v>4310</v>
      </c>
      <c r="I2272" s="474"/>
      <c r="J2272" s="847">
        <v>-351250</v>
      </c>
      <c r="K2272" s="513">
        <v>-250</v>
      </c>
      <c r="L2272" s="513">
        <v>1405</v>
      </c>
      <c r="M2272" s="152" t="s">
        <v>7116</v>
      </c>
      <c r="N2272" s="513" t="s">
        <v>1566</v>
      </c>
      <c r="O2272" s="513" t="s">
        <v>1407</v>
      </c>
      <c r="P2272" s="513" t="s">
        <v>7910</v>
      </c>
      <c r="Q2272" s="518" t="s">
        <v>7796</v>
      </c>
      <c r="R2272" s="152" t="s">
        <v>7911</v>
      </c>
      <c r="S2272" s="152" t="s">
        <v>7908</v>
      </c>
      <c r="T2272" s="152" t="s">
        <v>7912</v>
      </c>
      <c r="U2272" s="152" t="s">
        <v>786</v>
      </c>
    </row>
    <row r="2273" spans="4:21">
      <c r="D2273" s="210"/>
      <c r="G2273" s="152" t="s">
        <v>4309</v>
      </c>
      <c r="H2273" s="474" t="s">
        <v>4310</v>
      </c>
      <c r="I2273" s="474"/>
      <c r="J2273" s="847">
        <v>-351250</v>
      </c>
      <c r="K2273" s="513">
        <v>-250</v>
      </c>
      <c r="L2273" s="513">
        <v>1405</v>
      </c>
      <c r="M2273" s="152" t="s">
        <v>7975</v>
      </c>
      <c r="N2273" s="513" t="s">
        <v>1566</v>
      </c>
      <c r="O2273" s="513" t="s">
        <v>1407</v>
      </c>
      <c r="P2273" s="513" t="s">
        <v>7986</v>
      </c>
      <c r="Q2273" s="518" t="s">
        <v>7796</v>
      </c>
      <c r="R2273" s="152" t="s">
        <v>7987</v>
      </c>
      <c r="S2273" s="152" t="s">
        <v>7978</v>
      </c>
      <c r="T2273" s="152" t="s">
        <v>7988</v>
      </c>
      <c r="U2273" s="152" t="s">
        <v>786</v>
      </c>
    </row>
    <row r="2274" spans="4:21">
      <c r="D2274" s="210"/>
      <c r="G2274" s="152" t="s">
        <v>4309</v>
      </c>
      <c r="H2274" s="474" t="s">
        <v>4310</v>
      </c>
      <c r="I2274" s="474"/>
      <c r="J2274" s="847">
        <v>-491750</v>
      </c>
      <c r="K2274" s="513">
        <v>-350</v>
      </c>
      <c r="L2274" s="513">
        <v>1405</v>
      </c>
      <c r="M2274" s="152" t="s">
        <v>7975</v>
      </c>
      <c r="N2274" s="513" t="s">
        <v>1566</v>
      </c>
      <c r="O2274" s="513" t="s">
        <v>1407</v>
      </c>
      <c r="P2274" s="513" t="s">
        <v>7989</v>
      </c>
      <c r="Q2274" s="518" t="s">
        <v>7796</v>
      </c>
      <c r="R2274" s="152" t="s">
        <v>7990</v>
      </c>
      <c r="S2274" s="152" t="s">
        <v>7978</v>
      </c>
      <c r="T2274" s="152" t="s">
        <v>7991</v>
      </c>
      <c r="U2274" s="152" t="s">
        <v>786</v>
      </c>
    </row>
    <row r="2275" spans="4:21">
      <c r="D2275" s="210"/>
      <c r="G2275" s="152" t="s">
        <v>4309</v>
      </c>
      <c r="H2275" s="474" t="s">
        <v>4310</v>
      </c>
      <c r="I2275" s="474"/>
      <c r="J2275" s="847">
        <v>-351250</v>
      </c>
      <c r="K2275" s="513">
        <v>-250</v>
      </c>
      <c r="L2275" s="513">
        <v>1405</v>
      </c>
      <c r="M2275" s="152" t="s">
        <v>7975</v>
      </c>
      <c r="N2275" s="513" t="s">
        <v>1566</v>
      </c>
      <c r="O2275" s="513" t="s">
        <v>1407</v>
      </c>
      <c r="P2275" s="513" t="s">
        <v>7995</v>
      </c>
      <c r="Q2275" s="518" t="s">
        <v>7796</v>
      </c>
      <c r="R2275" s="152" t="s">
        <v>7996</v>
      </c>
      <c r="S2275" s="152" t="s">
        <v>7978</v>
      </c>
      <c r="T2275" s="152" t="s">
        <v>7997</v>
      </c>
      <c r="U2275" s="152" t="s">
        <v>786</v>
      </c>
    </row>
    <row r="2276" spans="4:21">
      <c r="D2276" s="210"/>
      <c r="G2276" s="152" t="s">
        <v>4309</v>
      </c>
      <c r="H2276" s="474" t="s">
        <v>4310</v>
      </c>
      <c r="I2276" s="474"/>
      <c r="J2276" s="847">
        <v>-351250</v>
      </c>
      <c r="K2276" s="513">
        <v>-250</v>
      </c>
      <c r="L2276" s="513">
        <v>1405</v>
      </c>
      <c r="M2276" s="152" t="s">
        <v>7975</v>
      </c>
      <c r="N2276" s="513" t="s">
        <v>1566</v>
      </c>
      <c r="O2276" s="513" t="s">
        <v>1407</v>
      </c>
      <c r="P2276" s="513" t="s">
        <v>8030</v>
      </c>
      <c r="Q2276" s="518" t="s">
        <v>7796</v>
      </c>
      <c r="R2276" s="152" t="s">
        <v>8031</v>
      </c>
      <c r="S2276" s="152" t="s">
        <v>8032</v>
      </c>
      <c r="T2276" s="152" t="s">
        <v>8033</v>
      </c>
      <c r="U2276" s="152" t="s">
        <v>786</v>
      </c>
    </row>
    <row r="2277" spans="4:21">
      <c r="D2277" s="210"/>
      <c r="G2277" s="152" t="s">
        <v>4309</v>
      </c>
      <c r="H2277" s="474" t="s">
        <v>4310</v>
      </c>
      <c r="I2277" s="474"/>
      <c r="J2277" s="847">
        <v>-351250</v>
      </c>
      <c r="K2277" s="513">
        <v>-250</v>
      </c>
      <c r="L2277" s="513">
        <v>1405</v>
      </c>
      <c r="M2277" s="152" t="s">
        <v>7975</v>
      </c>
      <c r="N2277" s="513" t="s">
        <v>1566</v>
      </c>
      <c r="O2277" s="513" t="s">
        <v>1407</v>
      </c>
      <c r="P2277" s="513" t="s">
        <v>8034</v>
      </c>
      <c r="Q2277" s="518" t="s">
        <v>7796</v>
      </c>
      <c r="R2277" s="152" t="s">
        <v>8035</v>
      </c>
      <c r="S2277" s="152" t="s">
        <v>8032</v>
      </c>
      <c r="T2277" s="152" t="s">
        <v>8036</v>
      </c>
      <c r="U2277" s="152" t="s">
        <v>786</v>
      </c>
    </row>
    <row r="2278" spans="4:21">
      <c r="D2278" s="210"/>
      <c r="G2278" s="152" t="s">
        <v>4309</v>
      </c>
      <c r="H2278" s="474" t="s">
        <v>4310</v>
      </c>
      <c r="I2278" s="474"/>
      <c r="J2278" s="847">
        <v>-355000</v>
      </c>
      <c r="K2278" s="513">
        <v>-250</v>
      </c>
      <c r="L2278" s="513">
        <v>1420</v>
      </c>
      <c r="M2278" s="152" t="s">
        <v>7143</v>
      </c>
      <c r="N2278" s="513" t="s">
        <v>1566</v>
      </c>
      <c r="O2278" s="513" t="s">
        <v>1407</v>
      </c>
      <c r="P2278" s="513" t="s">
        <v>8037</v>
      </c>
      <c r="Q2278" s="518" t="s">
        <v>7796</v>
      </c>
      <c r="R2278" s="152" t="s">
        <v>8038</v>
      </c>
      <c r="S2278" s="152" t="s">
        <v>8039</v>
      </c>
      <c r="T2278" s="152" t="s">
        <v>8040</v>
      </c>
      <c r="U2278" s="152" t="s">
        <v>786</v>
      </c>
    </row>
    <row r="2279" spans="4:21">
      <c r="D2279" s="210"/>
      <c r="G2279" s="152" t="s">
        <v>4309</v>
      </c>
      <c r="H2279" s="474" t="s">
        <v>4310</v>
      </c>
      <c r="I2279" s="474"/>
      <c r="J2279" s="847">
        <v>-355000</v>
      </c>
      <c r="K2279" s="513">
        <v>-250</v>
      </c>
      <c r="L2279" s="513">
        <v>1420</v>
      </c>
      <c r="M2279" s="152" t="s">
        <v>7143</v>
      </c>
      <c r="N2279" s="513" t="s">
        <v>1566</v>
      </c>
      <c r="O2279" s="513" t="s">
        <v>1407</v>
      </c>
      <c r="P2279" s="513" t="s">
        <v>8041</v>
      </c>
      <c r="Q2279" s="518" t="s">
        <v>7796</v>
      </c>
      <c r="R2279" s="152" t="s">
        <v>8042</v>
      </c>
      <c r="S2279" s="152" t="s">
        <v>8039</v>
      </c>
      <c r="T2279" s="152" t="s">
        <v>8043</v>
      </c>
      <c r="U2279" s="152" t="s">
        <v>786</v>
      </c>
    </row>
    <row r="2280" spans="4:21">
      <c r="D2280" s="210"/>
      <c r="G2280" s="152" t="s">
        <v>4309</v>
      </c>
      <c r="H2280" s="474" t="s">
        <v>4310</v>
      </c>
      <c r="I2280" s="474"/>
      <c r="J2280" s="847">
        <v>-355000</v>
      </c>
      <c r="K2280" s="513">
        <v>-250</v>
      </c>
      <c r="L2280" s="513">
        <v>1420</v>
      </c>
      <c r="M2280" s="152" t="s">
        <v>7143</v>
      </c>
      <c r="N2280" s="513" t="s">
        <v>1566</v>
      </c>
      <c r="O2280" s="513" t="s">
        <v>1407</v>
      </c>
      <c r="P2280" s="513" t="s">
        <v>8044</v>
      </c>
      <c r="Q2280" s="518" t="s">
        <v>7796</v>
      </c>
      <c r="R2280" s="152" t="s">
        <v>8045</v>
      </c>
      <c r="S2280" s="152" t="s">
        <v>8046</v>
      </c>
      <c r="T2280" s="152" t="s">
        <v>8047</v>
      </c>
      <c r="U2280" s="152" t="s">
        <v>786</v>
      </c>
    </row>
    <row r="2281" spans="4:21">
      <c r="D2281" s="210"/>
      <c r="G2281" s="152" t="s">
        <v>4309</v>
      </c>
      <c r="H2281" s="474" t="s">
        <v>4310</v>
      </c>
      <c r="I2281" s="474"/>
      <c r="J2281" s="847">
        <v>-355000</v>
      </c>
      <c r="K2281" s="513">
        <v>-250</v>
      </c>
      <c r="L2281" s="513">
        <v>1420</v>
      </c>
      <c r="M2281" s="152" t="s">
        <v>7143</v>
      </c>
      <c r="N2281" s="513" t="s">
        <v>1566</v>
      </c>
      <c r="O2281" s="513" t="s">
        <v>1407</v>
      </c>
      <c r="P2281" s="513" t="s">
        <v>8048</v>
      </c>
      <c r="Q2281" s="518" t="s">
        <v>7796</v>
      </c>
      <c r="R2281" s="152" t="s">
        <v>8049</v>
      </c>
      <c r="S2281" s="152" t="s">
        <v>8046</v>
      </c>
      <c r="T2281" s="152" t="s">
        <v>8050</v>
      </c>
      <c r="U2281" s="152" t="s">
        <v>786</v>
      </c>
    </row>
    <row r="2282" spans="4:21">
      <c r="D2282" s="210"/>
      <c r="G2282" s="152" t="s">
        <v>4309</v>
      </c>
      <c r="H2282" s="474" t="s">
        <v>4310</v>
      </c>
      <c r="I2282" s="474"/>
      <c r="J2282" s="847">
        <v>-355000</v>
      </c>
      <c r="K2282" s="513">
        <v>-250</v>
      </c>
      <c r="L2282" s="513">
        <v>1420</v>
      </c>
      <c r="M2282" s="152" t="s">
        <v>7143</v>
      </c>
      <c r="N2282" s="513" t="s">
        <v>1566</v>
      </c>
      <c r="O2282" s="513" t="s">
        <v>1407</v>
      </c>
      <c r="P2282" s="513" t="s">
        <v>8051</v>
      </c>
      <c r="Q2282" s="518" t="s">
        <v>7796</v>
      </c>
      <c r="R2282" s="152" t="s">
        <v>8052</v>
      </c>
      <c r="S2282" s="152" t="s">
        <v>8046</v>
      </c>
      <c r="T2282" s="152" t="s">
        <v>8053</v>
      </c>
      <c r="U2282" s="152" t="s">
        <v>786</v>
      </c>
    </row>
    <row r="2283" spans="4:21">
      <c r="D2283" s="210"/>
      <c r="G2283" s="152" t="s">
        <v>4309</v>
      </c>
      <c r="H2283" s="474" t="s">
        <v>4310</v>
      </c>
      <c r="I2283" s="474"/>
      <c r="J2283" s="847">
        <v>-355000</v>
      </c>
      <c r="K2283" s="513">
        <v>-250</v>
      </c>
      <c r="L2283" s="513">
        <v>1420</v>
      </c>
      <c r="M2283" s="152" t="s">
        <v>7143</v>
      </c>
      <c r="N2283" s="513" t="s">
        <v>1566</v>
      </c>
      <c r="O2283" s="513" t="s">
        <v>1407</v>
      </c>
      <c r="P2283" s="513" t="s">
        <v>8054</v>
      </c>
      <c r="Q2283" s="518" t="s">
        <v>7796</v>
      </c>
      <c r="R2283" s="152" t="s">
        <v>8055</v>
      </c>
      <c r="S2283" s="152" t="s">
        <v>8046</v>
      </c>
      <c r="T2283" s="152" t="s">
        <v>8056</v>
      </c>
      <c r="U2283" s="152" t="s">
        <v>786</v>
      </c>
    </row>
    <row r="2284" spans="4:21">
      <c r="D2284" s="210"/>
      <c r="G2284" s="152" t="s">
        <v>289</v>
      </c>
      <c r="H2284" s="474" t="s">
        <v>290</v>
      </c>
      <c r="I2284" s="474"/>
      <c r="J2284" s="847">
        <v>-6814250</v>
      </c>
      <c r="K2284" s="513">
        <v>-4850</v>
      </c>
      <c r="L2284" s="513">
        <v>1405</v>
      </c>
      <c r="M2284" s="152" t="s">
        <v>7276</v>
      </c>
      <c r="N2284" s="513" t="s">
        <v>780</v>
      </c>
      <c r="O2284" s="513" t="s">
        <v>781</v>
      </c>
      <c r="P2284" s="513" t="s">
        <v>7720</v>
      </c>
      <c r="Q2284" s="518" t="s">
        <v>7101</v>
      </c>
      <c r="R2284" s="152" t="s">
        <v>7721</v>
      </c>
      <c r="S2284" s="152" t="s">
        <v>7724</v>
      </c>
      <c r="T2284" s="152" t="s">
        <v>7723</v>
      </c>
      <c r="U2284" s="152" t="s">
        <v>786</v>
      </c>
    </row>
    <row r="2285" spans="4:21">
      <c r="D2285" s="210"/>
      <c r="G2285" s="152" t="s">
        <v>289</v>
      </c>
      <c r="H2285" s="474" t="s">
        <v>290</v>
      </c>
      <c r="I2285" s="474"/>
      <c r="J2285" s="847">
        <v>-23196550</v>
      </c>
      <c r="K2285" s="513">
        <v>-16510</v>
      </c>
      <c r="L2285" s="513">
        <v>1405</v>
      </c>
      <c r="M2285" s="152" t="s">
        <v>7143</v>
      </c>
      <c r="N2285" s="513" t="s">
        <v>780</v>
      </c>
      <c r="O2285" s="513" t="s">
        <v>781</v>
      </c>
      <c r="P2285" s="513" t="s">
        <v>7725</v>
      </c>
      <c r="Q2285" s="518" t="s">
        <v>7101</v>
      </c>
      <c r="R2285" s="152" t="s">
        <v>7726</v>
      </c>
      <c r="S2285" s="152" t="s">
        <v>7729</v>
      </c>
      <c r="T2285" s="152" t="s">
        <v>7728</v>
      </c>
      <c r="U2285" s="152" t="s">
        <v>786</v>
      </c>
    </row>
    <row r="2286" spans="4:21">
      <c r="D2286" s="210"/>
      <c r="G2286" s="152" t="s">
        <v>289</v>
      </c>
      <c r="H2286" s="474" t="s">
        <v>290</v>
      </c>
      <c r="I2286" s="474"/>
      <c r="J2286" s="847">
        <v>738400</v>
      </c>
      <c r="K2286" s="513">
        <v>520</v>
      </c>
      <c r="L2286" s="513">
        <v>1420</v>
      </c>
      <c r="M2286" s="152" t="s">
        <v>7143</v>
      </c>
      <c r="N2286" s="513" t="s">
        <v>1566</v>
      </c>
      <c r="O2286" s="513" t="s">
        <v>781</v>
      </c>
      <c r="P2286" s="513" t="s">
        <v>7795</v>
      </c>
      <c r="Q2286" s="518" t="s">
        <v>7796</v>
      </c>
      <c r="R2286" s="152" t="s">
        <v>7797</v>
      </c>
      <c r="T2286" s="152" t="s">
        <v>7798</v>
      </c>
      <c r="U2286" s="152" t="s">
        <v>786</v>
      </c>
    </row>
    <row r="2287" spans="4:21">
      <c r="D2287" s="210"/>
      <c r="G2287" s="152" t="s">
        <v>289</v>
      </c>
      <c r="H2287" s="474" t="s">
        <v>290</v>
      </c>
      <c r="I2287" s="474"/>
      <c r="J2287" s="847">
        <v>738400</v>
      </c>
      <c r="K2287" s="513">
        <v>520</v>
      </c>
      <c r="L2287" s="513">
        <v>1420</v>
      </c>
      <c r="M2287" s="152" t="s">
        <v>7143</v>
      </c>
      <c r="N2287" s="513" t="s">
        <v>1566</v>
      </c>
      <c r="O2287" s="513" t="s">
        <v>781</v>
      </c>
      <c r="P2287" s="513" t="s">
        <v>7799</v>
      </c>
      <c r="Q2287" s="518" t="s">
        <v>7796</v>
      </c>
      <c r="R2287" s="152" t="s">
        <v>7800</v>
      </c>
      <c r="T2287" s="152" t="s">
        <v>7801</v>
      </c>
      <c r="U2287" s="152" t="s">
        <v>786</v>
      </c>
    </row>
    <row r="2288" spans="4:21">
      <c r="D2288" s="210"/>
      <c r="G2288" s="152" t="s">
        <v>289</v>
      </c>
      <c r="H2288" s="474" t="s">
        <v>290</v>
      </c>
      <c r="I2288" s="474"/>
      <c r="J2288" s="847">
        <v>738400</v>
      </c>
      <c r="K2288" s="513">
        <v>520</v>
      </c>
      <c r="L2288" s="513">
        <v>1420</v>
      </c>
      <c r="M2288" s="152" t="s">
        <v>7143</v>
      </c>
      <c r="N2288" s="513" t="s">
        <v>1566</v>
      </c>
      <c r="O2288" s="513" t="s">
        <v>781</v>
      </c>
      <c r="P2288" s="513" t="s">
        <v>7802</v>
      </c>
      <c r="Q2288" s="518" t="s">
        <v>7796</v>
      </c>
      <c r="R2288" s="152" t="s">
        <v>7803</v>
      </c>
      <c r="T2288" s="152" t="s">
        <v>7804</v>
      </c>
      <c r="U2288" s="152" t="s">
        <v>786</v>
      </c>
    </row>
    <row r="2289" spans="4:21">
      <c r="D2289" s="210"/>
      <c r="G2289" s="152" t="s">
        <v>289</v>
      </c>
      <c r="H2289" s="474" t="s">
        <v>290</v>
      </c>
      <c r="I2289" s="474"/>
      <c r="J2289" s="847">
        <v>738400</v>
      </c>
      <c r="K2289" s="513">
        <v>520</v>
      </c>
      <c r="L2289" s="513">
        <v>1420</v>
      </c>
      <c r="M2289" s="152" t="s">
        <v>7143</v>
      </c>
      <c r="N2289" s="513" t="s">
        <v>1566</v>
      </c>
      <c r="O2289" s="513" t="s">
        <v>781</v>
      </c>
      <c r="P2289" s="513" t="s">
        <v>7805</v>
      </c>
      <c r="Q2289" s="518" t="s">
        <v>7796</v>
      </c>
      <c r="R2289" s="152" t="s">
        <v>7806</v>
      </c>
      <c r="T2289" s="152" t="s">
        <v>7807</v>
      </c>
      <c r="U2289" s="152" t="s">
        <v>786</v>
      </c>
    </row>
    <row r="2290" spans="4:21">
      <c r="D2290" s="210"/>
      <c r="G2290" s="152" t="s">
        <v>289</v>
      </c>
      <c r="H2290" s="474" t="s">
        <v>290</v>
      </c>
      <c r="I2290" s="474"/>
      <c r="J2290" s="847">
        <v>-4682162.5</v>
      </c>
      <c r="K2290" s="513">
        <v>-3332.5</v>
      </c>
      <c r="L2290" s="513">
        <v>1405</v>
      </c>
      <c r="M2290" s="152" t="s">
        <v>7104</v>
      </c>
      <c r="N2290" s="513" t="s">
        <v>780</v>
      </c>
      <c r="O2290" s="513" t="s">
        <v>1407</v>
      </c>
      <c r="P2290" s="513" t="s">
        <v>7697</v>
      </c>
      <c r="Q2290" s="518" t="s">
        <v>7101</v>
      </c>
      <c r="R2290" s="152" t="s">
        <v>7698</v>
      </c>
      <c r="S2290" s="152" t="s">
        <v>7699</v>
      </c>
      <c r="T2290" s="152" t="s">
        <v>7700</v>
      </c>
      <c r="U2290" s="152" t="s">
        <v>786</v>
      </c>
    </row>
    <row r="2291" spans="4:21">
      <c r="D2291" s="210"/>
      <c r="G2291" s="152" t="s">
        <v>289</v>
      </c>
      <c r="H2291" s="474" t="s">
        <v>290</v>
      </c>
      <c r="I2291" s="474"/>
      <c r="J2291" s="847">
        <v>-12290237.5</v>
      </c>
      <c r="K2291" s="513">
        <v>-8747.5</v>
      </c>
      <c r="L2291" s="513">
        <v>1405</v>
      </c>
      <c r="M2291" s="152" t="s">
        <v>7104</v>
      </c>
      <c r="N2291" s="513" t="s">
        <v>780</v>
      </c>
      <c r="O2291" s="513" t="s">
        <v>1407</v>
      </c>
      <c r="P2291" s="513" t="s">
        <v>7697</v>
      </c>
      <c r="Q2291" s="518" t="s">
        <v>7101</v>
      </c>
      <c r="R2291" s="152" t="s">
        <v>7698</v>
      </c>
      <c r="S2291" s="152" t="s">
        <v>7703</v>
      </c>
      <c r="T2291" s="152" t="s">
        <v>7700</v>
      </c>
      <c r="U2291" s="152" t="s">
        <v>786</v>
      </c>
    </row>
    <row r="2292" spans="4:21">
      <c r="D2292" s="210"/>
      <c r="G2292" s="152" t="s">
        <v>289</v>
      </c>
      <c r="H2292" s="474" t="s">
        <v>290</v>
      </c>
      <c r="I2292" s="474"/>
      <c r="J2292" s="847">
        <v>-2882600</v>
      </c>
      <c r="K2292" s="513">
        <v>-2030</v>
      </c>
      <c r="L2292" s="513">
        <v>1420</v>
      </c>
      <c r="M2292" s="152" t="s">
        <v>7143</v>
      </c>
      <c r="N2292" s="513" t="s">
        <v>780</v>
      </c>
      <c r="O2292" s="513" t="s">
        <v>1407</v>
      </c>
      <c r="P2292" s="513" t="s">
        <v>7734</v>
      </c>
      <c r="Q2292" s="518" t="s">
        <v>7101</v>
      </c>
      <c r="R2292" s="152" t="s">
        <v>7735</v>
      </c>
      <c r="S2292" s="152" t="s">
        <v>7748</v>
      </c>
      <c r="T2292" s="152" t="s">
        <v>7737</v>
      </c>
      <c r="U2292" s="152" t="s">
        <v>786</v>
      </c>
    </row>
    <row r="2293" spans="4:21">
      <c r="D2293" s="210"/>
      <c r="G2293" s="152" t="s">
        <v>289</v>
      </c>
      <c r="H2293" s="474" t="s">
        <v>290</v>
      </c>
      <c r="I2293" s="474"/>
      <c r="J2293" s="847">
        <v>-3890800</v>
      </c>
      <c r="K2293" s="513">
        <v>-2740</v>
      </c>
      <c r="L2293" s="513">
        <v>1420</v>
      </c>
      <c r="M2293" s="152" t="s">
        <v>7143</v>
      </c>
      <c r="N2293" s="513" t="s">
        <v>780</v>
      </c>
      <c r="O2293" s="513" t="s">
        <v>1407</v>
      </c>
      <c r="P2293" s="513" t="s">
        <v>7734</v>
      </c>
      <c r="Q2293" s="518" t="s">
        <v>7101</v>
      </c>
      <c r="R2293" s="152" t="s">
        <v>7735</v>
      </c>
      <c r="S2293" s="152" t="s">
        <v>7750</v>
      </c>
      <c r="T2293" s="152" t="s">
        <v>7737</v>
      </c>
      <c r="U2293" s="152" t="s">
        <v>786</v>
      </c>
    </row>
    <row r="2294" spans="4:21">
      <c r="D2294" s="210"/>
      <c r="G2294" s="152" t="s">
        <v>295</v>
      </c>
      <c r="H2294" s="474" t="s">
        <v>296</v>
      </c>
      <c r="I2294" s="474"/>
      <c r="J2294" s="847">
        <v>-1081850</v>
      </c>
      <c r="K2294" s="513">
        <v>-770</v>
      </c>
      <c r="L2294" s="513">
        <v>1405</v>
      </c>
      <c r="M2294" s="152" t="s">
        <v>7808</v>
      </c>
      <c r="N2294" s="513" t="s">
        <v>1566</v>
      </c>
      <c r="O2294" s="513" t="s">
        <v>781</v>
      </c>
      <c r="P2294" s="513" t="s">
        <v>7842</v>
      </c>
      <c r="Q2294" s="518" t="s">
        <v>7796</v>
      </c>
      <c r="R2294" s="152" t="s">
        <v>7843</v>
      </c>
      <c r="S2294" s="152" t="s">
        <v>7844</v>
      </c>
      <c r="T2294" s="152" t="s">
        <v>7845</v>
      </c>
      <c r="U2294" s="152" t="s">
        <v>786</v>
      </c>
    </row>
    <row r="2295" spans="4:21">
      <c r="D2295" s="210"/>
      <c r="G2295" s="152" t="s">
        <v>295</v>
      </c>
      <c r="H2295" s="474" t="s">
        <v>296</v>
      </c>
      <c r="I2295" s="474"/>
      <c r="J2295" s="847">
        <v>-1429587.5</v>
      </c>
      <c r="K2295" s="513">
        <v>-1017.5</v>
      </c>
      <c r="L2295" s="513">
        <v>1405</v>
      </c>
      <c r="M2295" s="152" t="s">
        <v>7808</v>
      </c>
      <c r="N2295" s="513" t="s">
        <v>1566</v>
      </c>
      <c r="O2295" s="513" t="s">
        <v>781</v>
      </c>
      <c r="P2295" s="513" t="s">
        <v>7846</v>
      </c>
      <c r="Q2295" s="518" t="s">
        <v>7796</v>
      </c>
      <c r="R2295" s="152" t="s">
        <v>7847</v>
      </c>
      <c r="S2295" s="152" t="s">
        <v>7844</v>
      </c>
      <c r="T2295" s="152" t="s">
        <v>7848</v>
      </c>
      <c r="U2295" s="152" t="s">
        <v>786</v>
      </c>
    </row>
    <row r="2296" spans="4:21">
      <c r="D2296" s="210"/>
      <c r="G2296" s="152" t="s">
        <v>295</v>
      </c>
      <c r="H2296" s="474" t="s">
        <v>296</v>
      </c>
      <c r="I2296" s="474"/>
      <c r="J2296" s="847">
        <v>-1004575</v>
      </c>
      <c r="K2296" s="513">
        <v>-715</v>
      </c>
      <c r="L2296" s="513">
        <v>1405</v>
      </c>
      <c r="M2296" s="152" t="s">
        <v>7808</v>
      </c>
      <c r="N2296" s="513" t="s">
        <v>1566</v>
      </c>
      <c r="O2296" s="513" t="s">
        <v>781</v>
      </c>
      <c r="P2296" s="513" t="s">
        <v>7849</v>
      </c>
      <c r="Q2296" s="518" t="s">
        <v>7796</v>
      </c>
      <c r="R2296" s="152" t="s">
        <v>7850</v>
      </c>
      <c r="S2296" s="152" t="s">
        <v>7851</v>
      </c>
      <c r="T2296" s="152" t="s">
        <v>7852</v>
      </c>
      <c r="U2296" s="152" t="s">
        <v>786</v>
      </c>
    </row>
    <row r="2297" spans="4:21">
      <c r="D2297" s="210"/>
      <c r="G2297" s="152" t="s">
        <v>295</v>
      </c>
      <c r="H2297" s="474" t="s">
        <v>296</v>
      </c>
      <c r="I2297" s="474"/>
      <c r="J2297" s="847">
        <v>-1004575</v>
      </c>
      <c r="K2297" s="513">
        <v>-715</v>
      </c>
      <c r="L2297" s="513">
        <v>1405</v>
      </c>
      <c r="M2297" s="152" t="s">
        <v>7808</v>
      </c>
      <c r="N2297" s="513" t="s">
        <v>1566</v>
      </c>
      <c r="O2297" s="513" t="s">
        <v>781</v>
      </c>
      <c r="P2297" s="513" t="s">
        <v>7853</v>
      </c>
      <c r="Q2297" s="518" t="s">
        <v>7796</v>
      </c>
      <c r="R2297" s="152" t="s">
        <v>7854</v>
      </c>
      <c r="S2297" s="152" t="s">
        <v>7851</v>
      </c>
      <c r="T2297" s="152" t="s">
        <v>7855</v>
      </c>
      <c r="U2297" s="152" t="s">
        <v>786</v>
      </c>
    </row>
    <row r="2298" spans="4:21">
      <c r="D2298" s="210"/>
      <c r="G2298" s="152" t="s">
        <v>295</v>
      </c>
      <c r="H2298" s="474" t="s">
        <v>296</v>
      </c>
      <c r="I2298" s="474"/>
      <c r="J2298" s="847">
        <v>-2975087.5</v>
      </c>
      <c r="K2298" s="513">
        <v>-2117.5</v>
      </c>
      <c r="L2298" s="513">
        <v>1405</v>
      </c>
      <c r="M2298" s="152" t="s">
        <v>7808</v>
      </c>
      <c r="N2298" s="513" t="s">
        <v>1566</v>
      </c>
      <c r="O2298" s="513" t="s">
        <v>781</v>
      </c>
      <c r="P2298" s="513" t="s">
        <v>7856</v>
      </c>
      <c r="Q2298" s="518" t="s">
        <v>7796</v>
      </c>
      <c r="R2298" s="152" t="s">
        <v>7857</v>
      </c>
      <c r="S2298" s="152" t="s">
        <v>7858</v>
      </c>
      <c r="T2298" s="152" t="s">
        <v>7859</v>
      </c>
      <c r="U2298" s="152" t="s">
        <v>786</v>
      </c>
    </row>
    <row r="2299" spans="4:21">
      <c r="D2299" s="210"/>
      <c r="G2299" s="152" t="s">
        <v>295</v>
      </c>
      <c r="H2299" s="474" t="s">
        <v>296</v>
      </c>
      <c r="I2299" s="474"/>
      <c r="J2299" s="847">
        <v>-1700050</v>
      </c>
      <c r="K2299" s="513">
        <v>-1210</v>
      </c>
      <c r="L2299" s="513">
        <v>1405</v>
      </c>
      <c r="M2299" s="152" t="s">
        <v>7808</v>
      </c>
      <c r="N2299" s="513" t="s">
        <v>1566</v>
      </c>
      <c r="O2299" s="513" t="s">
        <v>781</v>
      </c>
      <c r="P2299" s="513" t="s">
        <v>7860</v>
      </c>
      <c r="Q2299" s="518" t="s">
        <v>7796</v>
      </c>
      <c r="R2299" s="152" t="s">
        <v>7861</v>
      </c>
      <c r="S2299" s="152" t="s">
        <v>7858</v>
      </c>
      <c r="T2299" s="152" t="s">
        <v>7862</v>
      </c>
      <c r="U2299" s="152" t="s">
        <v>786</v>
      </c>
    </row>
    <row r="2300" spans="4:21">
      <c r="D2300" s="210"/>
      <c r="G2300" s="152" t="s">
        <v>295</v>
      </c>
      <c r="H2300" s="474" t="s">
        <v>296</v>
      </c>
      <c r="I2300" s="474"/>
      <c r="J2300" s="847">
        <v>-772750</v>
      </c>
      <c r="K2300" s="513">
        <v>-550</v>
      </c>
      <c r="L2300" s="513">
        <v>1405</v>
      </c>
      <c r="M2300" s="152" t="s">
        <v>7808</v>
      </c>
      <c r="N2300" s="513" t="s">
        <v>1566</v>
      </c>
      <c r="O2300" s="513" t="s">
        <v>781</v>
      </c>
      <c r="P2300" s="513" t="s">
        <v>7863</v>
      </c>
      <c r="Q2300" s="518" t="s">
        <v>7796</v>
      </c>
      <c r="R2300" s="152" t="s">
        <v>7864</v>
      </c>
      <c r="S2300" s="152" t="s">
        <v>7865</v>
      </c>
      <c r="T2300" s="152" t="s">
        <v>7866</v>
      </c>
      <c r="U2300" s="152" t="s">
        <v>786</v>
      </c>
    </row>
    <row r="2301" spans="4:21">
      <c r="D2301" s="210"/>
      <c r="G2301" s="152" t="s">
        <v>295</v>
      </c>
      <c r="H2301" s="474" t="s">
        <v>296</v>
      </c>
      <c r="I2301" s="474"/>
      <c r="J2301" s="847">
        <v>-1738687.5</v>
      </c>
      <c r="K2301" s="513">
        <v>-1237.5</v>
      </c>
      <c r="L2301" s="513">
        <v>1405</v>
      </c>
      <c r="M2301" s="152" t="s">
        <v>7808</v>
      </c>
      <c r="N2301" s="513" t="s">
        <v>1566</v>
      </c>
      <c r="O2301" s="513" t="s">
        <v>781</v>
      </c>
      <c r="P2301" s="513" t="s">
        <v>7867</v>
      </c>
      <c r="Q2301" s="518" t="s">
        <v>7796</v>
      </c>
      <c r="R2301" s="152" t="s">
        <v>7868</v>
      </c>
      <c r="S2301" s="152" t="s">
        <v>7865</v>
      </c>
      <c r="T2301" s="152" t="s">
        <v>7869</v>
      </c>
      <c r="U2301" s="152" t="s">
        <v>786</v>
      </c>
    </row>
    <row r="2302" spans="4:21">
      <c r="D2302" s="210"/>
      <c r="G2302" s="152" t="s">
        <v>295</v>
      </c>
      <c r="H2302" s="474" t="s">
        <v>296</v>
      </c>
      <c r="I2302" s="474"/>
      <c r="J2302" s="847">
        <v>-2472800</v>
      </c>
      <c r="K2302" s="513">
        <v>-1760</v>
      </c>
      <c r="L2302" s="513">
        <v>1405</v>
      </c>
      <c r="M2302" s="152" t="s">
        <v>7808</v>
      </c>
      <c r="N2302" s="513" t="s">
        <v>1566</v>
      </c>
      <c r="O2302" s="513" t="s">
        <v>781</v>
      </c>
      <c r="P2302" s="513" t="s">
        <v>7870</v>
      </c>
      <c r="Q2302" s="518" t="s">
        <v>7796</v>
      </c>
      <c r="R2302" s="152" t="s">
        <v>7871</v>
      </c>
      <c r="S2302" s="152" t="s">
        <v>7865</v>
      </c>
      <c r="T2302" s="152" t="s">
        <v>7872</v>
      </c>
      <c r="U2302" s="152" t="s">
        <v>786</v>
      </c>
    </row>
    <row r="2303" spans="4:21">
      <c r="D2303" s="210"/>
      <c r="G2303" s="152" t="s">
        <v>295</v>
      </c>
      <c r="H2303" s="474" t="s">
        <v>296</v>
      </c>
      <c r="I2303" s="474"/>
      <c r="J2303" s="847">
        <v>-2240975</v>
      </c>
      <c r="K2303" s="513">
        <v>-1595</v>
      </c>
      <c r="L2303" s="513">
        <v>1405</v>
      </c>
      <c r="M2303" s="152" t="s">
        <v>7808</v>
      </c>
      <c r="N2303" s="513" t="s">
        <v>1566</v>
      </c>
      <c r="O2303" s="513" t="s">
        <v>781</v>
      </c>
      <c r="P2303" s="513" t="s">
        <v>7873</v>
      </c>
      <c r="Q2303" s="518" t="s">
        <v>7796</v>
      </c>
      <c r="R2303" s="152" t="s">
        <v>7874</v>
      </c>
      <c r="S2303" s="152" t="s">
        <v>7865</v>
      </c>
      <c r="T2303" s="152" t="s">
        <v>7875</v>
      </c>
      <c r="U2303" s="152" t="s">
        <v>786</v>
      </c>
    </row>
    <row r="2304" spans="4:21">
      <c r="D2304" s="210"/>
      <c r="G2304" s="152" t="s">
        <v>295</v>
      </c>
      <c r="H2304" s="474" t="s">
        <v>296</v>
      </c>
      <c r="I2304" s="474"/>
      <c r="J2304" s="847">
        <v>-1893237.5</v>
      </c>
      <c r="K2304" s="513">
        <v>-1347.5</v>
      </c>
      <c r="L2304" s="513">
        <v>1405</v>
      </c>
      <c r="M2304" s="152" t="s">
        <v>7808</v>
      </c>
      <c r="N2304" s="513" t="s">
        <v>1566</v>
      </c>
      <c r="O2304" s="513" t="s">
        <v>781</v>
      </c>
      <c r="P2304" s="513" t="s">
        <v>7876</v>
      </c>
      <c r="Q2304" s="518" t="s">
        <v>7796</v>
      </c>
      <c r="R2304" s="152" t="s">
        <v>7877</v>
      </c>
      <c r="S2304" s="152" t="s">
        <v>7878</v>
      </c>
      <c r="T2304" s="152" t="s">
        <v>7879</v>
      </c>
      <c r="U2304" s="152" t="s">
        <v>786</v>
      </c>
    </row>
    <row r="2305" spans="4:21">
      <c r="D2305" s="210"/>
      <c r="G2305" s="152" t="s">
        <v>295</v>
      </c>
      <c r="H2305" s="474" t="s">
        <v>296</v>
      </c>
      <c r="I2305" s="474"/>
      <c r="J2305" s="847">
        <v>-1738687.5</v>
      </c>
      <c r="K2305" s="513">
        <v>-1237.5</v>
      </c>
      <c r="L2305" s="513">
        <v>1405</v>
      </c>
      <c r="M2305" s="152" t="s">
        <v>7808</v>
      </c>
      <c r="N2305" s="513" t="s">
        <v>1566</v>
      </c>
      <c r="O2305" s="513" t="s">
        <v>781</v>
      </c>
      <c r="P2305" s="513" t="s">
        <v>7880</v>
      </c>
      <c r="Q2305" s="518" t="s">
        <v>7796</v>
      </c>
      <c r="R2305" s="152" t="s">
        <v>7881</v>
      </c>
      <c r="S2305" s="152" t="s">
        <v>7878</v>
      </c>
      <c r="T2305" s="152" t="s">
        <v>7882</v>
      </c>
      <c r="U2305" s="152" t="s">
        <v>786</v>
      </c>
    </row>
    <row r="2306" spans="4:21">
      <c r="D2306" s="210"/>
      <c r="G2306" s="152" t="s">
        <v>295</v>
      </c>
      <c r="H2306" s="474" t="s">
        <v>296</v>
      </c>
      <c r="I2306" s="474"/>
      <c r="J2306" s="847">
        <v>-2781900</v>
      </c>
      <c r="K2306" s="513">
        <v>-1980</v>
      </c>
      <c r="L2306" s="513">
        <v>1405</v>
      </c>
      <c r="M2306" s="152" t="s">
        <v>7808</v>
      </c>
      <c r="N2306" s="513" t="s">
        <v>1566</v>
      </c>
      <c r="O2306" s="513" t="s">
        <v>781</v>
      </c>
      <c r="P2306" s="513" t="s">
        <v>7883</v>
      </c>
      <c r="Q2306" s="518" t="s">
        <v>7796</v>
      </c>
      <c r="R2306" s="152" t="s">
        <v>7884</v>
      </c>
      <c r="S2306" s="152" t="s">
        <v>7878</v>
      </c>
      <c r="T2306" s="152" t="s">
        <v>7885</v>
      </c>
      <c r="U2306" s="152" t="s">
        <v>786</v>
      </c>
    </row>
    <row r="2307" spans="4:21">
      <c r="D2307" s="210"/>
      <c r="G2307" s="152" t="s">
        <v>295</v>
      </c>
      <c r="H2307" s="474" t="s">
        <v>296</v>
      </c>
      <c r="I2307" s="474"/>
      <c r="J2307" s="847">
        <v>-1854600</v>
      </c>
      <c r="K2307" s="513">
        <v>-1320</v>
      </c>
      <c r="L2307" s="513">
        <v>1405</v>
      </c>
      <c r="M2307" s="152" t="s">
        <v>7808</v>
      </c>
      <c r="N2307" s="513" t="s">
        <v>1566</v>
      </c>
      <c r="O2307" s="513" t="s">
        <v>781</v>
      </c>
      <c r="P2307" s="513" t="s">
        <v>7886</v>
      </c>
      <c r="Q2307" s="518" t="s">
        <v>7796</v>
      </c>
      <c r="R2307" s="152" t="s">
        <v>7887</v>
      </c>
      <c r="S2307" s="152" t="s">
        <v>7878</v>
      </c>
      <c r="T2307" s="152" t="s">
        <v>7888</v>
      </c>
      <c r="U2307" s="152" t="s">
        <v>786</v>
      </c>
    </row>
    <row r="2308" spans="4:21">
      <c r="D2308" s="210"/>
      <c r="G2308" s="152" t="s">
        <v>295</v>
      </c>
      <c r="H2308" s="474" t="s">
        <v>296</v>
      </c>
      <c r="I2308" s="474"/>
      <c r="J2308" s="847">
        <v>-579562.5</v>
      </c>
      <c r="K2308" s="513">
        <v>-412.5</v>
      </c>
      <c r="L2308" s="513">
        <v>1405</v>
      </c>
      <c r="M2308" s="152" t="s">
        <v>7808</v>
      </c>
      <c r="N2308" s="513" t="s">
        <v>1566</v>
      </c>
      <c r="O2308" s="513" t="s">
        <v>781</v>
      </c>
      <c r="P2308" s="513" t="s">
        <v>7889</v>
      </c>
      <c r="Q2308" s="518" t="s">
        <v>7796</v>
      </c>
      <c r="R2308" s="152" t="s">
        <v>7890</v>
      </c>
      <c r="S2308" s="152" t="s">
        <v>7891</v>
      </c>
      <c r="T2308" s="152" t="s">
        <v>7892</v>
      </c>
      <c r="U2308" s="152" t="s">
        <v>786</v>
      </c>
    </row>
    <row r="2309" spans="4:21">
      <c r="D2309" s="210"/>
      <c r="G2309" s="152" t="s">
        <v>295</v>
      </c>
      <c r="H2309" s="474" t="s">
        <v>296</v>
      </c>
      <c r="I2309" s="474"/>
      <c r="J2309" s="847">
        <v>-1120487.5</v>
      </c>
      <c r="K2309" s="513">
        <v>-797.5</v>
      </c>
      <c r="L2309" s="513">
        <v>1405</v>
      </c>
      <c r="M2309" s="152" t="s">
        <v>7116</v>
      </c>
      <c r="N2309" s="513" t="s">
        <v>1566</v>
      </c>
      <c r="O2309" s="513" t="s">
        <v>781</v>
      </c>
      <c r="P2309" s="513" t="s">
        <v>7943</v>
      </c>
      <c r="Q2309" s="518" t="s">
        <v>7796</v>
      </c>
      <c r="R2309" s="152" t="s">
        <v>7944</v>
      </c>
      <c r="S2309" s="152" t="s">
        <v>7945</v>
      </c>
      <c r="T2309" s="152" t="s">
        <v>7946</v>
      </c>
      <c r="U2309" s="152" t="s">
        <v>786</v>
      </c>
    </row>
    <row r="2310" spans="4:21">
      <c r="D2310" s="210"/>
      <c r="G2310" s="152" t="s">
        <v>295</v>
      </c>
      <c r="H2310" s="474" t="s">
        <v>296</v>
      </c>
      <c r="I2310" s="474"/>
      <c r="J2310" s="847">
        <v>-850025</v>
      </c>
      <c r="K2310" s="513">
        <v>-605</v>
      </c>
      <c r="L2310" s="513">
        <v>1405</v>
      </c>
      <c r="M2310" s="152" t="s">
        <v>7116</v>
      </c>
      <c r="N2310" s="513" t="s">
        <v>1566</v>
      </c>
      <c r="O2310" s="513" t="s">
        <v>781</v>
      </c>
      <c r="P2310" s="513" t="s">
        <v>7947</v>
      </c>
      <c r="Q2310" s="518" t="s">
        <v>7796</v>
      </c>
      <c r="R2310" s="152" t="s">
        <v>7948</v>
      </c>
      <c r="S2310" s="152" t="s">
        <v>7945</v>
      </c>
      <c r="T2310" s="152" t="s">
        <v>7949</v>
      </c>
      <c r="U2310" s="152" t="s">
        <v>786</v>
      </c>
    </row>
    <row r="2311" spans="4:21">
      <c r="D2311" s="210"/>
      <c r="G2311" s="152" t="s">
        <v>295</v>
      </c>
      <c r="H2311" s="474" t="s">
        <v>296</v>
      </c>
      <c r="I2311" s="474"/>
      <c r="J2311" s="847">
        <v>-1004575</v>
      </c>
      <c r="K2311" s="513">
        <v>-715</v>
      </c>
      <c r="L2311" s="513">
        <v>1405</v>
      </c>
      <c r="M2311" s="152" t="s">
        <v>7116</v>
      </c>
      <c r="N2311" s="513" t="s">
        <v>1566</v>
      </c>
      <c r="O2311" s="513" t="s">
        <v>781</v>
      </c>
      <c r="P2311" s="513" t="s">
        <v>7950</v>
      </c>
      <c r="Q2311" s="518" t="s">
        <v>7796</v>
      </c>
      <c r="R2311" s="152" t="s">
        <v>7951</v>
      </c>
      <c r="S2311" s="152" t="s">
        <v>7945</v>
      </c>
      <c r="T2311" s="152" t="s">
        <v>7952</v>
      </c>
      <c r="U2311" s="152" t="s">
        <v>786</v>
      </c>
    </row>
    <row r="2312" spans="4:21">
      <c r="D2312" s="210"/>
      <c r="G2312" s="152" t="s">
        <v>295</v>
      </c>
      <c r="H2312" s="474" t="s">
        <v>296</v>
      </c>
      <c r="I2312" s="474"/>
      <c r="J2312" s="847">
        <v>-965937.5</v>
      </c>
      <c r="K2312" s="513">
        <v>-687.5</v>
      </c>
      <c r="L2312" s="513">
        <v>1405</v>
      </c>
      <c r="M2312" s="152" t="s">
        <v>7116</v>
      </c>
      <c r="N2312" s="513" t="s">
        <v>1566</v>
      </c>
      <c r="O2312" s="513" t="s">
        <v>781</v>
      </c>
      <c r="P2312" s="513" t="s">
        <v>7953</v>
      </c>
      <c r="Q2312" s="518" t="s">
        <v>7796</v>
      </c>
      <c r="R2312" s="152" t="s">
        <v>7954</v>
      </c>
      <c r="S2312" s="152" t="s">
        <v>7945</v>
      </c>
      <c r="T2312" s="152" t="s">
        <v>7955</v>
      </c>
      <c r="U2312" s="152" t="s">
        <v>786</v>
      </c>
    </row>
    <row r="2313" spans="4:21">
      <c r="D2313" s="210"/>
      <c r="G2313" s="152" t="s">
        <v>295</v>
      </c>
      <c r="H2313" s="474" t="s">
        <v>296</v>
      </c>
      <c r="I2313" s="474"/>
      <c r="J2313" s="847">
        <v>-1313675</v>
      </c>
      <c r="K2313" s="513">
        <v>-935</v>
      </c>
      <c r="L2313" s="513">
        <v>1405</v>
      </c>
      <c r="M2313" s="152" t="s">
        <v>7116</v>
      </c>
      <c r="N2313" s="513" t="s">
        <v>1566</v>
      </c>
      <c r="O2313" s="513" t="s">
        <v>781</v>
      </c>
      <c r="P2313" s="513" t="s">
        <v>7956</v>
      </c>
      <c r="Q2313" s="518" t="s">
        <v>7796</v>
      </c>
      <c r="R2313" s="152" t="s">
        <v>7957</v>
      </c>
      <c r="S2313" s="152" t="s">
        <v>7945</v>
      </c>
      <c r="T2313" s="152" t="s">
        <v>7958</v>
      </c>
      <c r="U2313" s="152" t="s">
        <v>786</v>
      </c>
    </row>
    <row r="2314" spans="4:21">
      <c r="D2314" s="210"/>
      <c r="G2314" s="152" t="s">
        <v>295</v>
      </c>
      <c r="H2314" s="474" t="s">
        <v>296</v>
      </c>
      <c r="I2314" s="474"/>
      <c r="J2314" s="847">
        <v>-1197762.5</v>
      </c>
      <c r="K2314" s="513">
        <v>-852.5</v>
      </c>
      <c r="L2314" s="513">
        <v>1405</v>
      </c>
      <c r="M2314" s="152" t="s">
        <v>7116</v>
      </c>
      <c r="N2314" s="513" t="s">
        <v>1566</v>
      </c>
      <c r="O2314" s="513" t="s">
        <v>781</v>
      </c>
      <c r="P2314" s="513" t="s">
        <v>7959</v>
      </c>
      <c r="Q2314" s="518" t="s">
        <v>7796</v>
      </c>
      <c r="R2314" s="152" t="s">
        <v>7960</v>
      </c>
      <c r="S2314" s="152" t="s">
        <v>7945</v>
      </c>
      <c r="T2314" s="152" t="s">
        <v>7961</v>
      </c>
      <c r="U2314" s="152" t="s">
        <v>786</v>
      </c>
    </row>
    <row r="2315" spans="4:21">
      <c r="D2315" s="210"/>
      <c r="G2315" s="152" t="s">
        <v>295</v>
      </c>
      <c r="H2315" s="474" t="s">
        <v>296</v>
      </c>
      <c r="I2315" s="474"/>
      <c r="J2315" s="847">
        <v>-695475</v>
      </c>
      <c r="K2315" s="513">
        <v>-495</v>
      </c>
      <c r="L2315" s="513">
        <v>1405</v>
      </c>
      <c r="M2315" s="152" t="s">
        <v>7116</v>
      </c>
      <c r="N2315" s="513" t="s">
        <v>1566</v>
      </c>
      <c r="O2315" s="513" t="s">
        <v>781</v>
      </c>
      <c r="P2315" s="513" t="s">
        <v>7962</v>
      </c>
      <c r="Q2315" s="518" t="s">
        <v>7796</v>
      </c>
      <c r="R2315" s="152" t="s">
        <v>7963</v>
      </c>
      <c r="S2315" s="152" t="s">
        <v>7964</v>
      </c>
      <c r="T2315" s="152" t="s">
        <v>7965</v>
      </c>
      <c r="U2315" s="152" t="s">
        <v>786</v>
      </c>
    </row>
    <row r="2316" spans="4:21">
      <c r="D2316" s="210"/>
      <c r="G2316" s="152" t="s">
        <v>295</v>
      </c>
      <c r="H2316" s="474" t="s">
        <v>296</v>
      </c>
      <c r="I2316" s="474"/>
      <c r="J2316" s="847">
        <v>-1468225</v>
      </c>
      <c r="K2316" s="513">
        <v>-1045</v>
      </c>
      <c r="L2316" s="513">
        <v>1405</v>
      </c>
      <c r="M2316" s="152" t="s">
        <v>7116</v>
      </c>
      <c r="N2316" s="513" t="s">
        <v>1566</v>
      </c>
      <c r="O2316" s="513" t="s">
        <v>781</v>
      </c>
      <c r="P2316" s="513" t="s">
        <v>7966</v>
      </c>
      <c r="Q2316" s="518" t="s">
        <v>7796</v>
      </c>
      <c r="R2316" s="152" t="s">
        <v>7967</v>
      </c>
      <c r="S2316" s="152" t="s">
        <v>7964</v>
      </c>
      <c r="T2316" s="152" t="s">
        <v>7968</v>
      </c>
      <c r="U2316" s="152" t="s">
        <v>786</v>
      </c>
    </row>
    <row r="2317" spans="4:21">
      <c r="D2317" s="210"/>
      <c r="G2317" s="152" t="s">
        <v>295</v>
      </c>
      <c r="H2317" s="474" t="s">
        <v>296</v>
      </c>
      <c r="I2317" s="474"/>
      <c r="J2317" s="847">
        <v>-1468225</v>
      </c>
      <c r="K2317" s="513">
        <v>-1045</v>
      </c>
      <c r="L2317" s="513">
        <v>1405</v>
      </c>
      <c r="M2317" s="152" t="s">
        <v>7116</v>
      </c>
      <c r="N2317" s="513" t="s">
        <v>1566</v>
      </c>
      <c r="O2317" s="513" t="s">
        <v>781</v>
      </c>
      <c r="P2317" s="513" t="s">
        <v>7969</v>
      </c>
      <c r="Q2317" s="518" t="s">
        <v>7796</v>
      </c>
      <c r="R2317" s="152" t="s">
        <v>7970</v>
      </c>
      <c r="S2317" s="152" t="s">
        <v>7964</v>
      </c>
      <c r="T2317" s="152" t="s">
        <v>7971</v>
      </c>
      <c r="U2317" s="152" t="s">
        <v>786</v>
      </c>
    </row>
    <row r="2318" spans="4:21">
      <c r="D2318" s="210"/>
      <c r="G2318" s="152" t="s">
        <v>295</v>
      </c>
      <c r="H2318" s="474" t="s">
        <v>296</v>
      </c>
      <c r="I2318" s="474"/>
      <c r="J2318" s="847">
        <v>-1004575</v>
      </c>
      <c r="K2318" s="513">
        <v>-715</v>
      </c>
      <c r="L2318" s="513">
        <v>1405</v>
      </c>
      <c r="M2318" s="152" t="s">
        <v>7116</v>
      </c>
      <c r="N2318" s="513" t="s">
        <v>1566</v>
      </c>
      <c r="O2318" s="513" t="s">
        <v>781</v>
      </c>
      <c r="P2318" s="513" t="s">
        <v>7972</v>
      </c>
      <c r="Q2318" s="518" t="s">
        <v>7796</v>
      </c>
      <c r="R2318" s="152" t="s">
        <v>7973</v>
      </c>
      <c r="S2318" s="152" t="s">
        <v>7964</v>
      </c>
      <c r="T2318" s="152" t="s">
        <v>7974</v>
      </c>
      <c r="U2318" s="152" t="s">
        <v>786</v>
      </c>
    </row>
    <row r="2319" spans="4:21">
      <c r="D2319" s="210"/>
      <c r="G2319" s="152" t="s">
        <v>295</v>
      </c>
      <c r="H2319" s="474" t="s">
        <v>296</v>
      </c>
      <c r="I2319" s="474"/>
      <c r="J2319" s="847">
        <v>-1275037.5</v>
      </c>
      <c r="K2319" s="513">
        <v>-907.5</v>
      </c>
      <c r="L2319" s="513">
        <v>1405</v>
      </c>
      <c r="M2319" s="152" t="s">
        <v>7975</v>
      </c>
      <c r="N2319" s="513" t="s">
        <v>1566</v>
      </c>
      <c r="O2319" s="513" t="s">
        <v>781</v>
      </c>
      <c r="P2319" s="513" t="s">
        <v>7998</v>
      </c>
      <c r="Q2319" s="518" t="s">
        <v>7796</v>
      </c>
      <c r="R2319" s="152" t="s">
        <v>7999</v>
      </c>
      <c r="S2319" s="152" t="s">
        <v>8000</v>
      </c>
      <c r="T2319" s="152" t="s">
        <v>8001</v>
      </c>
      <c r="U2319" s="152" t="s">
        <v>786</v>
      </c>
    </row>
    <row r="2320" spans="4:21">
      <c r="D2320" s="210"/>
      <c r="G2320" s="152" t="s">
        <v>295</v>
      </c>
      <c r="H2320" s="474" t="s">
        <v>296</v>
      </c>
      <c r="I2320" s="474"/>
      <c r="J2320" s="847">
        <v>-309100</v>
      </c>
      <c r="K2320" s="513">
        <v>-220</v>
      </c>
      <c r="L2320" s="513">
        <v>1405</v>
      </c>
      <c r="M2320" s="152" t="s">
        <v>7975</v>
      </c>
      <c r="N2320" s="513" t="s">
        <v>1566</v>
      </c>
      <c r="O2320" s="513" t="s">
        <v>781</v>
      </c>
      <c r="P2320" s="513" t="s">
        <v>8002</v>
      </c>
      <c r="Q2320" s="518" t="s">
        <v>7796</v>
      </c>
      <c r="R2320" s="152" t="s">
        <v>8003</v>
      </c>
      <c r="S2320" s="152" t="s">
        <v>8000</v>
      </c>
      <c r="T2320" s="152" t="s">
        <v>8004</v>
      </c>
      <c r="U2320" s="152" t="s">
        <v>786</v>
      </c>
    </row>
    <row r="2321" spans="4:21">
      <c r="D2321" s="210"/>
      <c r="G2321" s="152" t="s">
        <v>295</v>
      </c>
      <c r="H2321" s="474" t="s">
        <v>296</v>
      </c>
      <c r="I2321" s="474"/>
      <c r="J2321" s="847">
        <v>-463650</v>
      </c>
      <c r="K2321" s="513">
        <v>-330</v>
      </c>
      <c r="L2321" s="513">
        <v>1405</v>
      </c>
      <c r="M2321" s="152" t="s">
        <v>7975</v>
      </c>
      <c r="N2321" s="513" t="s">
        <v>1566</v>
      </c>
      <c r="O2321" s="513" t="s">
        <v>781</v>
      </c>
      <c r="P2321" s="513" t="s">
        <v>8005</v>
      </c>
      <c r="Q2321" s="518" t="s">
        <v>7796</v>
      </c>
      <c r="R2321" s="152" t="s">
        <v>8006</v>
      </c>
      <c r="S2321" s="152" t="s">
        <v>8000</v>
      </c>
      <c r="T2321" s="152" t="s">
        <v>8007</v>
      </c>
      <c r="U2321" s="152" t="s">
        <v>786</v>
      </c>
    </row>
    <row r="2322" spans="4:21">
      <c r="D2322" s="210"/>
      <c r="G2322" s="152" t="s">
        <v>295</v>
      </c>
      <c r="H2322" s="474" t="s">
        <v>296</v>
      </c>
      <c r="I2322" s="474"/>
      <c r="J2322" s="847">
        <v>-965937.5</v>
      </c>
      <c r="K2322" s="513">
        <v>-687.5</v>
      </c>
      <c r="L2322" s="513">
        <v>1405</v>
      </c>
      <c r="M2322" s="152" t="s">
        <v>7975</v>
      </c>
      <c r="N2322" s="513" t="s">
        <v>1566</v>
      </c>
      <c r="O2322" s="513" t="s">
        <v>781</v>
      </c>
      <c r="P2322" s="513" t="s">
        <v>8008</v>
      </c>
      <c r="Q2322" s="518" t="s">
        <v>7796</v>
      </c>
      <c r="R2322" s="152" t="s">
        <v>8009</v>
      </c>
      <c r="S2322" s="152" t="s">
        <v>8000</v>
      </c>
      <c r="T2322" s="152" t="s">
        <v>8010</v>
      </c>
      <c r="U2322" s="152" t="s">
        <v>786</v>
      </c>
    </row>
    <row r="2323" spans="4:21">
      <c r="D2323" s="210"/>
      <c r="G2323" s="152" t="s">
        <v>295</v>
      </c>
      <c r="H2323" s="474" t="s">
        <v>296</v>
      </c>
      <c r="I2323" s="474"/>
      <c r="J2323" s="847">
        <v>-540925</v>
      </c>
      <c r="K2323" s="513">
        <v>-385</v>
      </c>
      <c r="L2323" s="513">
        <v>1405</v>
      </c>
      <c r="M2323" s="152" t="s">
        <v>7975</v>
      </c>
      <c r="N2323" s="513" t="s">
        <v>1566</v>
      </c>
      <c r="O2323" s="513" t="s">
        <v>781</v>
      </c>
      <c r="P2323" s="513" t="s">
        <v>8011</v>
      </c>
      <c r="Q2323" s="518" t="s">
        <v>7796</v>
      </c>
      <c r="R2323" s="152" t="s">
        <v>8012</v>
      </c>
      <c r="S2323" s="152" t="s">
        <v>8000</v>
      </c>
      <c r="T2323" s="152" t="s">
        <v>8013</v>
      </c>
      <c r="U2323" s="152" t="s">
        <v>786</v>
      </c>
    </row>
    <row r="2324" spans="4:21">
      <c r="D2324" s="210"/>
      <c r="G2324" s="152" t="s">
        <v>295</v>
      </c>
      <c r="H2324" s="474" t="s">
        <v>296</v>
      </c>
      <c r="I2324" s="474"/>
      <c r="J2324" s="847">
        <v>-618200</v>
      </c>
      <c r="K2324" s="513">
        <v>-440</v>
      </c>
      <c r="L2324" s="513">
        <v>1405</v>
      </c>
      <c r="M2324" s="152" t="s">
        <v>7975</v>
      </c>
      <c r="N2324" s="513" t="s">
        <v>1566</v>
      </c>
      <c r="O2324" s="513" t="s">
        <v>781</v>
      </c>
      <c r="P2324" s="513" t="s">
        <v>8014</v>
      </c>
      <c r="Q2324" s="518" t="s">
        <v>7796</v>
      </c>
      <c r="R2324" s="152" t="s">
        <v>8015</v>
      </c>
      <c r="S2324" s="152" t="s">
        <v>8000</v>
      </c>
      <c r="T2324" s="152" t="s">
        <v>8016</v>
      </c>
      <c r="U2324" s="152" t="s">
        <v>786</v>
      </c>
    </row>
    <row r="2325" spans="4:21">
      <c r="D2325" s="210"/>
      <c r="G2325" s="152" t="s">
        <v>295</v>
      </c>
      <c r="H2325" s="474" t="s">
        <v>296</v>
      </c>
      <c r="I2325" s="474"/>
      <c r="J2325" s="847">
        <v>-1584137.5</v>
      </c>
      <c r="K2325" s="513">
        <v>-1127.5</v>
      </c>
      <c r="L2325" s="513">
        <v>1405</v>
      </c>
      <c r="M2325" s="152" t="s">
        <v>7975</v>
      </c>
      <c r="N2325" s="513" t="s">
        <v>1566</v>
      </c>
      <c r="O2325" s="513" t="s">
        <v>781</v>
      </c>
      <c r="P2325" s="513" t="s">
        <v>8017</v>
      </c>
      <c r="Q2325" s="518" t="s">
        <v>7796</v>
      </c>
      <c r="R2325" s="152" t="s">
        <v>8018</v>
      </c>
      <c r="S2325" s="152" t="s">
        <v>8019</v>
      </c>
      <c r="T2325" s="152" t="s">
        <v>8020</v>
      </c>
      <c r="U2325" s="152" t="s">
        <v>786</v>
      </c>
    </row>
    <row r="2326" spans="4:21">
      <c r="D2326" s="210"/>
      <c r="G2326" s="152" t="s">
        <v>295</v>
      </c>
      <c r="H2326" s="474" t="s">
        <v>296</v>
      </c>
      <c r="I2326" s="474"/>
      <c r="J2326" s="847">
        <v>-1584137.5</v>
      </c>
      <c r="K2326" s="513">
        <v>-1127.5</v>
      </c>
      <c r="L2326" s="513">
        <v>1405</v>
      </c>
      <c r="M2326" s="152" t="s">
        <v>7975</v>
      </c>
      <c r="N2326" s="513" t="s">
        <v>1566</v>
      </c>
      <c r="O2326" s="513" t="s">
        <v>781</v>
      </c>
      <c r="P2326" s="513" t="s">
        <v>8021</v>
      </c>
      <c r="Q2326" s="518" t="s">
        <v>7796</v>
      </c>
      <c r="R2326" s="152" t="s">
        <v>8022</v>
      </c>
      <c r="S2326" s="152" t="s">
        <v>8019</v>
      </c>
      <c r="T2326" s="152" t="s">
        <v>8023</v>
      </c>
      <c r="U2326" s="152" t="s">
        <v>786</v>
      </c>
    </row>
    <row r="2327" spans="4:21">
      <c r="D2327" s="210"/>
      <c r="G2327" s="152" t="s">
        <v>295</v>
      </c>
      <c r="H2327" s="474" t="s">
        <v>296</v>
      </c>
      <c r="I2327" s="474"/>
      <c r="J2327" s="847">
        <v>-1352312.5</v>
      </c>
      <c r="K2327" s="513">
        <v>-962.5</v>
      </c>
      <c r="L2327" s="513">
        <v>1405</v>
      </c>
      <c r="M2327" s="152" t="s">
        <v>7975</v>
      </c>
      <c r="N2327" s="513" t="s">
        <v>1566</v>
      </c>
      <c r="O2327" s="513" t="s">
        <v>781</v>
      </c>
      <c r="P2327" s="513" t="s">
        <v>8024</v>
      </c>
      <c r="Q2327" s="518" t="s">
        <v>7796</v>
      </c>
      <c r="R2327" s="152" t="s">
        <v>8025</v>
      </c>
      <c r="S2327" s="152" t="s">
        <v>8019</v>
      </c>
      <c r="T2327" s="152" t="s">
        <v>8026</v>
      </c>
      <c r="U2327" s="152" t="s">
        <v>786</v>
      </c>
    </row>
    <row r="2328" spans="4:21">
      <c r="D2328" s="210"/>
      <c r="G2328" s="152" t="s">
        <v>295</v>
      </c>
      <c r="H2328" s="474" t="s">
        <v>296</v>
      </c>
      <c r="I2328" s="474"/>
      <c r="J2328" s="847">
        <v>-1197762.5</v>
      </c>
      <c r="K2328" s="513">
        <v>-852.5</v>
      </c>
      <c r="L2328" s="513">
        <v>1405</v>
      </c>
      <c r="M2328" s="152" t="s">
        <v>7975</v>
      </c>
      <c r="N2328" s="513" t="s">
        <v>1566</v>
      </c>
      <c r="O2328" s="513" t="s">
        <v>781</v>
      </c>
      <c r="P2328" s="513" t="s">
        <v>8027</v>
      </c>
      <c r="Q2328" s="518" t="s">
        <v>7796</v>
      </c>
      <c r="R2328" s="152" t="s">
        <v>8028</v>
      </c>
      <c r="S2328" s="152" t="s">
        <v>8019</v>
      </c>
      <c r="T2328" s="152" t="s">
        <v>8029</v>
      </c>
      <c r="U2328" s="152" t="s">
        <v>786</v>
      </c>
    </row>
    <row r="2329" spans="4:21">
      <c r="D2329" s="210"/>
      <c r="G2329" s="152" t="s">
        <v>295</v>
      </c>
      <c r="H2329" s="474" t="s">
        <v>296</v>
      </c>
      <c r="I2329" s="474"/>
      <c r="J2329" s="847">
        <v>-1679150</v>
      </c>
      <c r="K2329" s="513">
        <v>-1182.5</v>
      </c>
      <c r="L2329" s="513">
        <v>1420</v>
      </c>
      <c r="M2329" s="152" t="s">
        <v>7143</v>
      </c>
      <c r="N2329" s="513" t="s">
        <v>1566</v>
      </c>
      <c r="O2329" s="513" t="s">
        <v>781</v>
      </c>
      <c r="P2329" s="513" t="s">
        <v>8070</v>
      </c>
      <c r="Q2329" s="518" t="s">
        <v>7796</v>
      </c>
      <c r="R2329" s="152" t="s">
        <v>8071</v>
      </c>
      <c r="S2329" s="152" t="s">
        <v>8072</v>
      </c>
      <c r="T2329" s="152" t="s">
        <v>8073</v>
      </c>
      <c r="U2329" s="152" t="s">
        <v>786</v>
      </c>
    </row>
    <row r="2330" spans="4:21">
      <c r="D2330" s="210"/>
      <c r="G2330" s="152" t="s">
        <v>295</v>
      </c>
      <c r="H2330" s="474" t="s">
        <v>296</v>
      </c>
      <c r="I2330" s="474"/>
      <c r="J2330" s="847">
        <v>-12027400</v>
      </c>
      <c r="K2330" s="513">
        <v>-8470</v>
      </c>
      <c r="L2330" s="513">
        <v>1420</v>
      </c>
      <c r="M2330" s="152" t="s">
        <v>7143</v>
      </c>
      <c r="N2330" s="513" t="s">
        <v>1566</v>
      </c>
      <c r="O2330" s="513" t="s">
        <v>781</v>
      </c>
      <c r="P2330" s="513" t="s">
        <v>8083</v>
      </c>
      <c r="Q2330" s="518" t="s">
        <v>7796</v>
      </c>
      <c r="R2330" s="152" t="s">
        <v>8084</v>
      </c>
      <c r="S2330" s="152" t="s">
        <v>8072</v>
      </c>
      <c r="T2330" s="152" t="s">
        <v>8085</v>
      </c>
      <c r="U2330" s="152" t="s">
        <v>786</v>
      </c>
    </row>
    <row r="2331" spans="4:21">
      <c r="D2331" s="210"/>
      <c r="G2331" s="152" t="s">
        <v>295</v>
      </c>
      <c r="H2331" s="474" t="s">
        <v>296</v>
      </c>
      <c r="I2331" s="474"/>
      <c r="J2331" s="847">
        <v>-2511437.5</v>
      </c>
      <c r="K2331" s="513">
        <v>-1787.5</v>
      </c>
      <c r="L2331" s="513">
        <v>1405</v>
      </c>
      <c r="M2331" s="152" t="s">
        <v>7808</v>
      </c>
      <c r="N2331" s="513" t="s">
        <v>1566</v>
      </c>
      <c r="O2331" s="513" t="s">
        <v>1407</v>
      </c>
      <c r="P2331" s="513" t="s">
        <v>7809</v>
      </c>
      <c r="Q2331" s="518" t="s">
        <v>7796</v>
      </c>
      <c r="R2331" s="152" t="s">
        <v>7810</v>
      </c>
      <c r="S2331" s="152" t="s">
        <v>7811</v>
      </c>
      <c r="T2331" s="152" t="s">
        <v>7812</v>
      </c>
      <c r="U2331" s="152" t="s">
        <v>786</v>
      </c>
    </row>
    <row r="2332" spans="4:21">
      <c r="D2332" s="210"/>
      <c r="G2332" s="152" t="s">
        <v>295</v>
      </c>
      <c r="H2332" s="474" t="s">
        <v>296</v>
      </c>
      <c r="I2332" s="474"/>
      <c r="J2332" s="847">
        <v>-3052362.5</v>
      </c>
      <c r="K2332" s="513">
        <v>-2172.5</v>
      </c>
      <c r="L2332" s="513">
        <v>1405</v>
      </c>
      <c r="M2332" s="152" t="s">
        <v>7808</v>
      </c>
      <c r="N2332" s="513" t="s">
        <v>1566</v>
      </c>
      <c r="O2332" s="513" t="s">
        <v>1407</v>
      </c>
      <c r="P2332" s="513" t="s">
        <v>7813</v>
      </c>
      <c r="Q2332" s="518" t="s">
        <v>7796</v>
      </c>
      <c r="R2332" s="152" t="s">
        <v>7814</v>
      </c>
      <c r="S2332" s="152" t="s">
        <v>7811</v>
      </c>
      <c r="T2332" s="152" t="s">
        <v>7815</v>
      </c>
      <c r="U2332" s="152" t="s">
        <v>786</v>
      </c>
    </row>
    <row r="2333" spans="4:21">
      <c r="D2333" s="210"/>
      <c r="G2333" s="152" t="s">
        <v>295</v>
      </c>
      <c r="H2333" s="474" t="s">
        <v>296</v>
      </c>
      <c r="I2333" s="474"/>
      <c r="J2333" s="847">
        <v>-1584137.5</v>
      </c>
      <c r="K2333" s="513">
        <v>-1127.5</v>
      </c>
      <c r="L2333" s="513">
        <v>1405</v>
      </c>
      <c r="M2333" s="152" t="s">
        <v>7808</v>
      </c>
      <c r="N2333" s="513" t="s">
        <v>1566</v>
      </c>
      <c r="O2333" s="513" t="s">
        <v>1407</v>
      </c>
      <c r="P2333" s="513" t="s">
        <v>7816</v>
      </c>
      <c r="Q2333" s="518" t="s">
        <v>7796</v>
      </c>
      <c r="R2333" s="152" t="s">
        <v>7817</v>
      </c>
      <c r="S2333" s="152" t="s">
        <v>7818</v>
      </c>
      <c r="T2333" s="152" t="s">
        <v>7819</v>
      </c>
      <c r="U2333" s="152" t="s">
        <v>786</v>
      </c>
    </row>
    <row r="2334" spans="4:21">
      <c r="D2334" s="210"/>
      <c r="G2334" s="152" t="s">
        <v>295</v>
      </c>
      <c r="H2334" s="474" t="s">
        <v>296</v>
      </c>
      <c r="I2334" s="474"/>
      <c r="J2334" s="847">
        <v>-965937.5</v>
      </c>
      <c r="K2334" s="513">
        <v>-687.5</v>
      </c>
      <c r="L2334" s="513">
        <v>1405</v>
      </c>
      <c r="M2334" s="152" t="s">
        <v>7808</v>
      </c>
      <c r="N2334" s="513" t="s">
        <v>1566</v>
      </c>
      <c r="O2334" s="513" t="s">
        <v>1407</v>
      </c>
      <c r="P2334" s="513" t="s">
        <v>7820</v>
      </c>
      <c r="Q2334" s="518" t="s">
        <v>7796</v>
      </c>
      <c r="R2334" s="152" t="s">
        <v>7821</v>
      </c>
      <c r="S2334" s="152" t="s">
        <v>7818</v>
      </c>
      <c r="T2334" s="152" t="s">
        <v>7822</v>
      </c>
      <c r="U2334" s="152" t="s">
        <v>786</v>
      </c>
    </row>
    <row r="2335" spans="4:21">
      <c r="D2335" s="210"/>
      <c r="G2335" s="152" t="s">
        <v>295</v>
      </c>
      <c r="H2335" s="474" t="s">
        <v>296</v>
      </c>
      <c r="I2335" s="474"/>
      <c r="J2335" s="847">
        <v>-2009150</v>
      </c>
      <c r="K2335" s="513">
        <v>-1430</v>
      </c>
      <c r="L2335" s="513">
        <v>1405</v>
      </c>
      <c r="M2335" s="152" t="s">
        <v>7808</v>
      </c>
      <c r="N2335" s="513" t="s">
        <v>1566</v>
      </c>
      <c r="O2335" s="513" t="s">
        <v>1407</v>
      </c>
      <c r="P2335" s="513" t="s">
        <v>7823</v>
      </c>
      <c r="Q2335" s="518" t="s">
        <v>7796</v>
      </c>
      <c r="R2335" s="152" t="s">
        <v>7824</v>
      </c>
      <c r="S2335" s="152" t="s">
        <v>7818</v>
      </c>
      <c r="T2335" s="152" t="s">
        <v>7825</v>
      </c>
      <c r="U2335" s="152" t="s">
        <v>786</v>
      </c>
    </row>
    <row r="2336" spans="4:21">
      <c r="D2336" s="210"/>
      <c r="G2336" s="152" t="s">
        <v>295</v>
      </c>
      <c r="H2336" s="474" t="s">
        <v>296</v>
      </c>
      <c r="I2336" s="474"/>
      <c r="J2336" s="847">
        <v>-386375</v>
      </c>
      <c r="K2336" s="513">
        <v>-275</v>
      </c>
      <c r="L2336" s="513">
        <v>1405</v>
      </c>
      <c r="M2336" s="152" t="s">
        <v>7808</v>
      </c>
      <c r="N2336" s="513" t="s">
        <v>1566</v>
      </c>
      <c r="O2336" s="513" t="s">
        <v>1407</v>
      </c>
      <c r="P2336" s="513" t="s">
        <v>7826</v>
      </c>
      <c r="Q2336" s="518" t="s">
        <v>7796</v>
      </c>
      <c r="R2336" s="152" t="s">
        <v>7827</v>
      </c>
      <c r="S2336" s="152" t="s">
        <v>7818</v>
      </c>
      <c r="T2336" s="152" t="s">
        <v>7828</v>
      </c>
      <c r="U2336" s="152" t="s">
        <v>786</v>
      </c>
    </row>
    <row r="2337" spans="4:21">
      <c r="D2337" s="210"/>
      <c r="G2337" s="152" t="s">
        <v>295</v>
      </c>
      <c r="H2337" s="474" t="s">
        <v>296</v>
      </c>
      <c r="I2337" s="474"/>
      <c r="J2337" s="847">
        <v>-1661412.5</v>
      </c>
      <c r="K2337" s="513">
        <v>-1182.5</v>
      </c>
      <c r="L2337" s="513">
        <v>1405</v>
      </c>
      <c r="M2337" s="152" t="s">
        <v>7808</v>
      </c>
      <c r="N2337" s="513" t="s">
        <v>1566</v>
      </c>
      <c r="O2337" s="513" t="s">
        <v>1407</v>
      </c>
      <c r="P2337" s="513" t="s">
        <v>7833</v>
      </c>
      <c r="Q2337" s="518" t="s">
        <v>7796</v>
      </c>
      <c r="R2337" s="152" t="s">
        <v>7834</v>
      </c>
      <c r="S2337" s="152" t="s">
        <v>7831</v>
      </c>
      <c r="T2337" s="152" t="s">
        <v>7835</v>
      </c>
      <c r="U2337" s="152" t="s">
        <v>786</v>
      </c>
    </row>
    <row r="2338" spans="4:21">
      <c r="D2338" s="210"/>
      <c r="G2338" s="152" t="s">
        <v>295</v>
      </c>
      <c r="H2338" s="474" t="s">
        <v>296</v>
      </c>
      <c r="I2338" s="474"/>
      <c r="J2338" s="847">
        <v>-2009150</v>
      </c>
      <c r="K2338" s="513">
        <v>-1430</v>
      </c>
      <c r="L2338" s="513">
        <v>1405</v>
      </c>
      <c r="M2338" s="152" t="s">
        <v>7808</v>
      </c>
      <c r="N2338" s="513" t="s">
        <v>1566</v>
      </c>
      <c r="O2338" s="513" t="s">
        <v>1407</v>
      </c>
      <c r="P2338" s="513" t="s">
        <v>7836</v>
      </c>
      <c r="Q2338" s="518" t="s">
        <v>7796</v>
      </c>
      <c r="R2338" s="152" t="s">
        <v>7837</v>
      </c>
      <c r="S2338" s="152" t="s">
        <v>7831</v>
      </c>
      <c r="T2338" s="152" t="s">
        <v>7838</v>
      </c>
      <c r="U2338" s="152" t="s">
        <v>786</v>
      </c>
    </row>
    <row r="2339" spans="4:21">
      <c r="D2339" s="210"/>
      <c r="G2339" s="152" t="s">
        <v>295</v>
      </c>
      <c r="H2339" s="474" t="s">
        <v>296</v>
      </c>
      <c r="I2339" s="474"/>
      <c r="J2339" s="847">
        <v>-1622775</v>
      </c>
      <c r="K2339" s="513">
        <v>-1155</v>
      </c>
      <c r="L2339" s="513">
        <v>1405</v>
      </c>
      <c r="M2339" s="152" t="s">
        <v>7808</v>
      </c>
      <c r="N2339" s="513" t="s">
        <v>1566</v>
      </c>
      <c r="O2339" s="513" t="s">
        <v>1407</v>
      </c>
      <c r="P2339" s="513" t="s">
        <v>7839</v>
      </c>
      <c r="Q2339" s="518" t="s">
        <v>7796</v>
      </c>
      <c r="R2339" s="152" t="s">
        <v>7840</v>
      </c>
      <c r="S2339" s="152" t="s">
        <v>7831</v>
      </c>
      <c r="T2339" s="152" t="s">
        <v>7841</v>
      </c>
      <c r="U2339" s="152" t="s">
        <v>786</v>
      </c>
    </row>
    <row r="2340" spans="4:21">
      <c r="D2340" s="210"/>
      <c r="G2340" s="152" t="s">
        <v>295</v>
      </c>
      <c r="H2340" s="474" t="s">
        <v>296</v>
      </c>
      <c r="I2340" s="474"/>
      <c r="J2340" s="847">
        <v>-1893237.5</v>
      </c>
      <c r="K2340" s="513">
        <v>-1347.5</v>
      </c>
      <c r="L2340" s="513">
        <v>1405</v>
      </c>
      <c r="M2340" s="152" t="s">
        <v>7116</v>
      </c>
      <c r="N2340" s="513" t="s">
        <v>1566</v>
      </c>
      <c r="O2340" s="513" t="s">
        <v>1407</v>
      </c>
      <c r="P2340" s="513" t="s">
        <v>7893</v>
      </c>
      <c r="Q2340" s="518" t="s">
        <v>7796</v>
      </c>
      <c r="R2340" s="152" t="s">
        <v>7894</v>
      </c>
      <c r="S2340" s="152" t="s">
        <v>7895</v>
      </c>
      <c r="T2340" s="152" t="s">
        <v>7896</v>
      </c>
      <c r="U2340" s="152" t="s">
        <v>786</v>
      </c>
    </row>
    <row r="2341" spans="4:21">
      <c r="D2341" s="210"/>
      <c r="G2341" s="152" t="s">
        <v>295</v>
      </c>
      <c r="H2341" s="474" t="s">
        <v>296</v>
      </c>
      <c r="I2341" s="474"/>
      <c r="J2341" s="847">
        <v>-2009150</v>
      </c>
      <c r="K2341" s="513">
        <v>-1430</v>
      </c>
      <c r="L2341" s="513">
        <v>1405</v>
      </c>
      <c r="M2341" s="152" t="s">
        <v>7116</v>
      </c>
      <c r="N2341" s="513" t="s">
        <v>1566</v>
      </c>
      <c r="O2341" s="513" t="s">
        <v>1407</v>
      </c>
      <c r="P2341" s="513" t="s">
        <v>7897</v>
      </c>
      <c r="Q2341" s="518" t="s">
        <v>7796</v>
      </c>
      <c r="R2341" s="152" t="s">
        <v>7898</v>
      </c>
      <c r="S2341" s="152" t="s">
        <v>7895</v>
      </c>
      <c r="T2341" s="152" t="s">
        <v>7899</v>
      </c>
      <c r="U2341" s="152" t="s">
        <v>786</v>
      </c>
    </row>
    <row r="2342" spans="4:21">
      <c r="D2342" s="210"/>
      <c r="G2342" s="152" t="s">
        <v>295</v>
      </c>
      <c r="H2342" s="474" t="s">
        <v>296</v>
      </c>
      <c r="I2342" s="474"/>
      <c r="J2342" s="847">
        <v>-2395525</v>
      </c>
      <c r="K2342" s="513">
        <v>-1705</v>
      </c>
      <c r="L2342" s="513">
        <v>1405</v>
      </c>
      <c r="M2342" s="152" t="s">
        <v>7116</v>
      </c>
      <c r="N2342" s="513" t="s">
        <v>1566</v>
      </c>
      <c r="O2342" s="513" t="s">
        <v>1407</v>
      </c>
      <c r="P2342" s="513" t="s">
        <v>7900</v>
      </c>
      <c r="Q2342" s="518" t="s">
        <v>7796</v>
      </c>
      <c r="R2342" s="152" t="s">
        <v>7901</v>
      </c>
      <c r="S2342" s="152" t="s">
        <v>7895</v>
      </c>
      <c r="T2342" s="152" t="s">
        <v>7902</v>
      </c>
      <c r="U2342" s="152" t="s">
        <v>786</v>
      </c>
    </row>
    <row r="2343" spans="4:21">
      <c r="D2343" s="210"/>
      <c r="G2343" s="152" t="s">
        <v>295</v>
      </c>
      <c r="H2343" s="474" t="s">
        <v>296</v>
      </c>
      <c r="I2343" s="474"/>
      <c r="J2343" s="847">
        <v>-2395525</v>
      </c>
      <c r="K2343" s="513">
        <v>-1705</v>
      </c>
      <c r="L2343" s="513">
        <v>1405</v>
      </c>
      <c r="M2343" s="152" t="s">
        <v>7116</v>
      </c>
      <c r="N2343" s="513" t="s">
        <v>1566</v>
      </c>
      <c r="O2343" s="513" t="s">
        <v>1407</v>
      </c>
      <c r="P2343" s="513" t="s">
        <v>7903</v>
      </c>
      <c r="Q2343" s="518" t="s">
        <v>7796</v>
      </c>
      <c r="R2343" s="152" t="s">
        <v>7904</v>
      </c>
      <c r="S2343" s="152" t="s">
        <v>7895</v>
      </c>
      <c r="T2343" s="152" t="s">
        <v>7905</v>
      </c>
      <c r="U2343" s="152" t="s">
        <v>786</v>
      </c>
    </row>
    <row r="2344" spans="4:21">
      <c r="D2344" s="210"/>
      <c r="G2344" s="152" t="s">
        <v>295</v>
      </c>
      <c r="H2344" s="474" t="s">
        <v>296</v>
      </c>
      <c r="I2344" s="474"/>
      <c r="J2344" s="847">
        <v>-3245550</v>
      </c>
      <c r="K2344" s="513">
        <v>-2310</v>
      </c>
      <c r="L2344" s="513">
        <v>1405</v>
      </c>
      <c r="M2344" s="152" t="s">
        <v>7116</v>
      </c>
      <c r="N2344" s="513" t="s">
        <v>1566</v>
      </c>
      <c r="O2344" s="513" t="s">
        <v>1407</v>
      </c>
      <c r="P2344" s="513" t="s">
        <v>7906</v>
      </c>
      <c r="Q2344" s="518" t="s">
        <v>7796</v>
      </c>
      <c r="R2344" s="152" t="s">
        <v>7907</v>
      </c>
      <c r="S2344" s="152" t="s">
        <v>7908</v>
      </c>
      <c r="T2344" s="152" t="s">
        <v>7909</v>
      </c>
      <c r="U2344" s="152" t="s">
        <v>786</v>
      </c>
    </row>
    <row r="2345" spans="4:21">
      <c r="D2345" s="210"/>
      <c r="G2345" s="152" t="s">
        <v>295</v>
      </c>
      <c r="H2345" s="474" t="s">
        <v>296</v>
      </c>
      <c r="I2345" s="474"/>
      <c r="J2345" s="847">
        <v>-2279612.5</v>
      </c>
      <c r="K2345" s="513">
        <v>-1622.5</v>
      </c>
      <c r="L2345" s="513">
        <v>1405</v>
      </c>
      <c r="M2345" s="152" t="s">
        <v>7116</v>
      </c>
      <c r="N2345" s="513" t="s">
        <v>1566</v>
      </c>
      <c r="O2345" s="513" t="s">
        <v>1407</v>
      </c>
      <c r="P2345" s="513" t="s">
        <v>7910</v>
      </c>
      <c r="Q2345" s="518" t="s">
        <v>7796</v>
      </c>
      <c r="R2345" s="152" t="s">
        <v>7911</v>
      </c>
      <c r="S2345" s="152" t="s">
        <v>7908</v>
      </c>
      <c r="T2345" s="152" t="s">
        <v>7912</v>
      </c>
      <c r="U2345" s="152" t="s">
        <v>786</v>
      </c>
    </row>
    <row r="2346" spans="4:21">
      <c r="D2346" s="210"/>
      <c r="G2346" s="152" t="s">
        <v>295</v>
      </c>
      <c r="H2346" s="474" t="s">
        <v>296</v>
      </c>
      <c r="I2346" s="474"/>
      <c r="J2346" s="847">
        <v>-3825112.5</v>
      </c>
      <c r="K2346" s="513">
        <v>-2722.5</v>
      </c>
      <c r="L2346" s="513">
        <v>1405</v>
      </c>
      <c r="M2346" s="152" t="s">
        <v>7116</v>
      </c>
      <c r="N2346" s="513" t="s">
        <v>1566</v>
      </c>
      <c r="O2346" s="513" t="s">
        <v>1407</v>
      </c>
      <c r="P2346" s="513" t="s">
        <v>7913</v>
      </c>
      <c r="Q2346" s="518" t="s">
        <v>7796</v>
      </c>
      <c r="R2346" s="152" t="s">
        <v>7914</v>
      </c>
      <c r="S2346" s="152" t="s">
        <v>7908</v>
      </c>
      <c r="T2346" s="152" t="s">
        <v>7915</v>
      </c>
      <c r="U2346" s="152" t="s">
        <v>786</v>
      </c>
    </row>
    <row r="2347" spans="4:21">
      <c r="D2347" s="210"/>
      <c r="G2347" s="152" t="s">
        <v>295</v>
      </c>
      <c r="H2347" s="474" t="s">
        <v>296</v>
      </c>
      <c r="I2347" s="474"/>
      <c r="J2347" s="847">
        <v>-1893237.5</v>
      </c>
      <c r="K2347" s="513">
        <v>-1347.5</v>
      </c>
      <c r="L2347" s="513">
        <v>1405</v>
      </c>
      <c r="M2347" s="152" t="s">
        <v>7116</v>
      </c>
      <c r="N2347" s="513" t="s">
        <v>1566</v>
      </c>
      <c r="O2347" s="513" t="s">
        <v>1407</v>
      </c>
      <c r="P2347" s="513" t="s">
        <v>7916</v>
      </c>
      <c r="Q2347" s="518" t="s">
        <v>7796</v>
      </c>
      <c r="R2347" s="152" t="s">
        <v>7917</v>
      </c>
      <c r="S2347" s="152" t="s">
        <v>7908</v>
      </c>
      <c r="T2347" s="152" t="s">
        <v>7918</v>
      </c>
      <c r="U2347" s="152" t="s">
        <v>786</v>
      </c>
    </row>
    <row r="2348" spans="4:21">
      <c r="D2348" s="210"/>
      <c r="G2348" s="152" t="s">
        <v>295</v>
      </c>
      <c r="H2348" s="474" t="s">
        <v>296</v>
      </c>
      <c r="I2348" s="474"/>
      <c r="J2348" s="847">
        <v>-2163700</v>
      </c>
      <c r="K2348" s="513">
        <v>-1540</v>
      </c>
      <c r="L2348" s="513">
        <v>1405</v>
      </c>
      <c r="M2348" s="152" t="s">
        <v>7116</v>
      </c>
      <c r="N2348" s="513" t="s">
        <v>1566</v>
      </c>
      <c r="O2348" s="513" t="s">
        <v>1407</v>
      </c>
      <c r="P2348" s="513" t="s">
        <v>7932</v>
      </c>
      <c r="Q2348" s="518" t="s">
        <v>7796</v>
      </c>
      <c r="R2348" s="152" t="s">
        <v>7933</v>
      </c>
      <c r="S2348" s="152" t="s">
        <v>7934</v>
      </c>
      <c r="T2348" s="152" t="s">
        <v>7935</v>
      </c>
      <c r="U2348" s="152" t="s">
        <v>786</v>
      </c>
    </row>
    <row r="2349" spans="4:21">
      <c r="D2349" s="210"/>
      <c r="G2349" s="152" t="s">
        <v>295</v>
      </c>
      <c r="H2349" s="474" t="s">
        <v>296</v>
      </c>
      <c r="I2349" s="474"/>
      <c r="J2349" s="847">
        <v>-2009150</v>
      </c>
      <c r="K2349" s="513">
        <v>-1430</v>
      </c>
      <c r="L2349" s="513">
        <v>1405</v>
      </c>
      <c r="M2349" s="152" t="s">
        <v>7116</v>
      </c>
      <c r="N2349" s="513" t="s">
        <v>1566</v>
      </c>
      <c r="O2349" s="513" t="s">
        <v>1407</v>
      </c>
      <c r="P2349" s="513" t="s">
        <v>7936</v>
      </c>
      <c r="Q2349" s="518" t="s">
        <v>7796</v>
      </c>
      <c r="R2349" s="152" t="s">
        <v>7937</v>
      </c>
      <c r="S2349" s="152" t="s">
        <v>7934</v>
      </c>
      <c r="T2349" s="152" t="s">
        <v>7938</v>
      </c>
      <c r="U2349" s="152" t="s">
        <v>786</v>
      </c>
    </row>
    <row r="2350" spans="4:21">
      <c r="D2350" s="210"/>
      <c r="G2350" s="152" t="s">
        <v>295</v>
      </c>
      <c r="H2350" s="474" t="s">
        <v>296</v>
      </c>
      <c r="I2350" s="474"/>
      <c r="J2350" s="847">
        <v>-2356887.5</v>
      </c>
      <c r="K2350" s="513">
        <v>-1677.5</v>
      </c>
      <c r="L2350" s="513">
        <v>1405</v>
      </c>
      <c r="M2350" s="152" t="s">
        <v>7116</v>
      </c>
      <c r="N2350" s="513" t="s">
        <v>1566</v>
      </c>
      <c r="O2350" s="513" t="s">
        <v>1407</v>
      </c>
      <c r="P2350" s="513" t="s">
        <v>7939</v>
      </c>
      <c r="Q2350" s="518" t="s">
        <v>7796</v>
      </c>
      <c r="R2350" s="152" t="s">
        <v>7940</v>
      </c>
      <c r="S2350" s="152" t="s">
        <v>7941</v>
      </c>
      <c r="T2350" s="152" t="s">
        <v>7942</v>
      </c>
      <c r="U2350" s="152" t="s">
        <v>786</v>
      </c>
    </row>
    <row r="2351" spans="4:21">
      <c r="D2351" s="210"/>
      <c r="G2351" s="152" t="s">
        <v>295</v>
      </c>
      <c r="H2351" s="474" t="s">
        <v>296</v>
      </c>
      <c r="I2351" s="474"/>
      <c r="J2351" s="847">
        <v>-1545500</v>
      </c>
      <c r="K2351" s="513">
        <v>-1100</v>
      </c>
      <c r="L2351" s="513">
        <v>1405</v>
      </c>
      <c r="M2351" s="152" t="s">
        <v>7975</v>
      </c>
      <c r="N2351" s="513" t="s">
        <v>1566</v>
      </c>
      <c r="O2351" s="513" t="s">
        <v>1407</v>
      </c>
      <c r="P2351" s="513" t="s">
        <v>7976</v>
      </c>
      <c r="Q2351" s="518" t="s">
        <v>7796</v>
      </c>
      <c r="R2351" s="152" t="s">
        <v>7977</v>
      </c>
      <c r="S2351" s="152" t="s">
        <v>7978</v>
      </c>
      <c r="T2351" s="152" t="s">
        <v>7979</v>
      </c>
      <c r="U2351" s="152" t="s">
        <v>786</v>
      </c>
    </row>
    <row r="2352" spans="4:21">
      <c r="D2352" s="210"/>
      <c r="G2352" s="152" t="s">
        <v>295</v>
      </c>
      <c r="H2352" s="474" t="s">
        <v>296</v>
      </c>
      <c r="I2352" s="474"/>
      <c r="J2352" s="847">
        <v>-3284187.5</v>
      </c>
      <c r="K2352" s="513">
        <v>-2337.5</v>
      </c>
      <c r="L2352" s="513">
        <v>1405</v>
      </c>
      <c r="M2352" s="152" t="s">
        <v>7975</v>
      </c>
      <c r="N2352" s="513" t="s">
        <v>1566</v>
      </c>
      <c r="O2352" s="513" t="s">
        <v>1407</v>
      </c>
      <c r="P2352" s="513" t="s">
        <v>7980</v>
      </c>
      <c r="Q2352" s="518" t="s">
        <v>7796</v>
      </c>
      <c r="R2352" s="152" t="s">
        <v>7981</v>
      </c>
      <c r="S2352" s="152" t="s">
        <v>7978</v>
      </c>
      <c r="T2352" s="152" t="s">
        <v>7982</v>
      </c>
      <c r="U2352" s="152" t="s">
        <v>786</v>
      </c>
    </row>
    <row r="2353" spans="4:21">
      <c r="D2353" s="210"/>
      <c r="G2353" s="152" t="s">
        <v>295</v>
      </c>
      <c r="H2353" s="474" t="s">
        <v>296</v>
      </c>
      <c r="I2353" s="474"/>
      <c r="J2353" s="847">
        <v>-3477375</v>
      </c>
      <c r="K2353" s="513">
        <v>-2475</v>
      </c>
      <c r="L2353" s="513">
        <v>1405</v>
      </c>
      <c r="M2353" s="152" t="s">
        <v>7975</v>
      </c>
      <c r="N2353" s="513" t="s">
        <v>1566</v>
      </c>
      <c r="O2353" s="513" t="s">
        <v>1407</v>
      </c>
      <c r="P2353" s="513" t="s">
        <v>7983</v>
      </c>
      <c r="Q2353" s="518" t="s">
        <v>7796</v>
      </c>
      <c r="R2353" s="152" t="s">
        <v>7984</v>
      </c>
      <c r="S2353" s="152" t="s">
        <v>7978</v>
      </c>
      <c r="T2353" s="152" t="s">
        <v>7985</v>
      </c>
      <c r="U2353" s="152" t="s">
        <v>786</v>
      </c>
    </row>
    <row r="2354" spans="4:21">
      <c r="D2354" s="210"/>
      <c r="G2354" s="152" t="s">
        <v>295</v>
      </c>
      <c r="H2354" s="474" t="s">
        <v>296</v>
      </c>
      <c r="I2354" s="474"/>
      <c r="J2354" s="847">
        <v>-4443312.5</v>
      </c>
      <c r="K2354" s="513">
        <v>-3162.5</v>
      </c>
      <c r="L2354" s="513">
        <v>1405</v>
      </c>
      <c r="M2354" s="152" t="s">
        <v>7975</v>
      </c>
      <c r="N2354" s="513" t="s">
        <v>1566</v>
      </c>
      <c r="O2354" s="513" t="s">
        <v>1407</v>
      </c>
      <c r="P2354" s="513" t="s">
        <v>7986</v>
      </c>
      <c r="Q2354" s="518" t="s">
        <v>7796</v>
      </c>
      <c r="R2354" s="152" t="s">
        <v>7987</v>
      </c>
      <c r="S2354" s="152" t="s">
        <v>7978</v>
      </c>
      <c r="T2354" s="152" t="s">
        <v>7988</v>
      </c>
      <c r="U2354" s="152" t="s">
        <v>786</v>
      </c>
    </row>
    <row r="2355" spans="4:21">
      <c r="D2355" s="210"/>
      <c r="G2355" s="152" t="s">
        <v>295</v>
      </c>
      <c r="H2355" s="474" t="s">
        <v>296</v>
      </c>
      <c r="I2355" s="474"/>
      <c r="J2355" s="847">
        <v>-4327400</v>
      </c>
      <c r="K2355" s="513">
        <v>-3080</v>
      </c>
      <c r="L2355" s="513">
        <v>1405</v>
      </c>
      <c r="M2355" s="152" t="s">
        <v>7975</v>
      </c>
      <c r="N2355" s="513" t="s">
        <v>1566</v>
      </c>
      <c r="O2355" s="513" t="s">
        <v>1407</v>
      </c>
      <c r="P2355" s="513" t="s">
        <v>7989</v>
      </c>
      <c r="Q2355" s="518" t="s">
        <v>7796</v>
      </c>
      <c r="R2355" s="152" t="s">
        <v>7990</v>
      </c>
      <c r="S2355" s="152" t="s">
        <v>7978</v>
      </c>
      <c r="T2355" s="152" t="s">
        <v>7991</v>
      </c>
      <c r="U2355" s="152" t="s">
        <v>786</v>
      </c>
    </row>
    <row r="2356" spans="4:21">
      <c r="D2356" s="210"/>
      <c r="G2356" s="152" t="s">
        <v>295</v>
      </c>
      <c r="H2356" s="474" t="s">
        <v>296</v>
      </c>
      <c r="I2356" s="474"/>
      <c r="J2356" s="847">
        <v>-3825112.5</v>
      </c>
      <c r="K2356" s="513">
        <v>-2722.5</v>
      </c>
      <c r="L2356" s="513">
        <v>1405</v>
      </c>
      <c r="M2356" s="152" t="s">
        <v>7975</v>
      </c>
      <c r="N2356" s="513" t="s">
        <v>1566</v>
      </c>
      <c r="O2356" s="513" t="s">
        <v>1407</v>
      </c>
      <c r="P2356" s="513" t="s">
        <v>7992</v>
      </c>
      <c r="Q2356" s="518" t="s">
        <v>7796</v>
      </c>
      <c r="R2356" s="152" t="s">
        <v>7993</v>
      </c>
      <c r="S2356" s="152" t="s">
        <v>7978</v>
      </c>
      <c r="T2356" s="152" t="s">
        <v>7994</v>
      </c>
      <c r="U2356" s="152" t="s">
        <v>786</v>
      </c>
    </row>
    <row r="2357" spans="4:21">
      <c r="D2357" s="210"/>
      <c r="G2357" s="152" t="s">
        <v>295</v>
      </c>
      <c r="H2357" s="474" t="s">
        <v>296</v>
      </c>
      <c r="I2357" s="474"/>
      <c r="J2357" s="847">
        <v>-4211487.5</v>
      </c>
      <c r="K2357" s="513">
        <v>-2997.5</v>
      </c>
      <c r="L2357" s="513">
        <v>1405</v>
      </c>
      <c r="M2357" s="152" t="s">
        <v>7975</v>
      </c>
      <c r="N2357" s="513" t="s">
        <v>1566</v>
      </c>
      <c r="O2357" s="513" t="s">
        <v>1407</v>
      </c>
      <c r="P2357" s="513" t="s">
        <v>7995</v>
      </c>
      <c r="Q2357" s="518" t="s">
        <v>7796</v>
      </c>
      <c r="R2357" s="152" t="s">
        <v>7996</v>
      </c>
      <c r="S2357" s="152" t="s">
        <v>7978</v>
      </c>
      <c r="T2357" s="152" t="s">
        <v>7997</v>
      </c>
      <c r="U2357" s="152" t="s">
        <v>786</v>
      </c>
    </row>
    <row r="2358" spans="4:21">
      <c r="D2358" s="210"/>
      <c r="G2358" s="152" t="s">
        <v>295</v>
      </c>
      <c r="H2358" s="474" t="s">
        <v>296</v>
      </c>
      <c r="I2358" s="474"/>
      <c r="J2358" s="847">
        <v>-3825112.5</v>
      </c>
      <c r="K2358" s="513">
        <v>-2722.5</v>
      </c>
      <c r="L2358" s="513">
        <v>1405</v>
      </c>
      <c r="M2358" s="152" t="s">
        <v>7975</v>
      </c>
      <c r="N2358" s="513" t="s">
        <v>1566</v>
      </c>
      <c r="O2358" s="513" t="s">
        <v>1407</v>
      </c>
      <c r="P2358" s="513" t="s">
        <v>8030</v>
      </c>
      <c r="Q2358" s="518" t="s">
        <v>7796</v>
      </c>
      <c r="R2358" s="152" t="s">
        <v>8031</v>
      </c>
      <c r="S2358" s="152" t="s">
        <v>8032</v>
      </c>
      <c r="T2358" s="152" t="s">
        <v>8033</v>
      </c>
      <c r="U2358" s="152" t="s">
        <v>786</v>
      </c>
    </row>
    <row r="2359" spans="4:21">
      <c r="D2359" s="210"/>
      <c r="G2359" s="152" t="s">
        <v>295</v>
      </c>
      <c r="H2359" s="474" t="s">
        <v>296</v>
      </c>
      <c r="I2359" s="474"/>
      <c r="J2359" s="847">
        <v>-3554650</v>
      </c>
      <c r="K2359" s="513">
        <v>-2530</v>
      </c>
      <c r="L2359" s="513">
        <v>1405</v>
      </c>
      <c r="M2359" s="152" t="s">
        <v>7975</v>
      </c>
      <c r="N2359" s="513" t="s">
        <v>1566</v>
      </c>
      <c r="O2359" s="513" t="s">
        <v>1407</v>
      </c>
      <c r="P2359" s="513" t="s">
        <v>8034</v>
      </c>
      <c r="Q2359" s="518" t="s">
        <v>7796</v>
      </c>
      <c r="R2359" s="152" t="s">
        <v>8035</v>
      </c>
      <c r="S2359" s="152" t="s">
        <v>8032</v>
      </c>
      <c r="T2359" s="152" t="s">
        <v>8036</v>
      </c>
      <c r="U2359" s="152" t="s">
        <v>786</v>
      </c>
    </row>
    <row r="2360" spans="4:21">
      <c r="D2360" s="210"/>
      <c r="G2360" s="152" t="s">
        <v>295</v>
      </c>
      <c r="H2360" s="474" t="s">
        <v>296</v>
      </c>
      <c r="I2360" s="474"/>
      <c r="J2360" s="847">
        <v>-3592600</v>
      </c>
      <c r="K2360" s="513">
        <v>-2530</v>
      </c>
      <c r="L2360" s="513">
        <v>1420</v>
      </c>
      <c r="M2360" s="152" t="s">
        <v>7143</v>
      </c>
      <c r="N2360" s="513" t="s">
        <v>1566</v>
      </c>
      <c r="O2360" s="513" t="s">
        <v>1407</v>
      </c>
      <c r="P2360" s="513" t="s">
        <v>8037</v>
      </c>
      <c r="Q2360" s="518" t="s">
        <v>7796</v>
      </c>
      <c r="R2360" s="152" t="s">
        <v>8038</v>
      </c>
      <c r="S2360" s="152" t="s">
        <v>8039</v>
      </c>
      <c r="T2360" s="152" t="s">
        <v>8040</v>
      </c>
      <c r="U2360" s="152" t="s">
        <v>786</v>
      </c>
    </row>
    <row r="2361" spans="4:21">
      <c r="D2361" s="210"/>
      <c r="G2361" s="152" t="s">
        <v>295</v>
      </c>
      <c r="H2361" s="474" t="s">
        <v>296</v>
      </c>
      <c r="I2361" s="474"/>
      <c r="J2361" s="847">
        <v>-3865950</v>
      </c>
      <c r="K2361" s="513">
        <v>-2722.5</v>
      </c>
      <c r="L2361" s="513">
        <v>1420</v>
      </c>
      <c r="M2361" s="152" t="s">
        <v>7143</v>
      </c>
      <c r="N2361" s="513" t="s">
        <v>1566</v>
      </c>
      <c r="O2361" s="513" t="s">
        <v>1407</v>
      </c>
      <c r="P2361" s="513" t="s">
        <v>8041</v>
      </c>
      <c r="Q2361" s="518" t="s">
        <v>7796</v>
      </c>
      <c r="R2361" s="152" t="s">
        <v>8042</v>
      </c>
      <c r="S2361" s="152" t="s">
        <v>8039</v>
      </c>
      <c r="T2361" s="152" t="s">
        <v>8043</v>
      </c>
      <c r="U2361" s="152" t="s">
        <v>786</v>
      </c>
    </row>
    <row r="2362" spans="4:21">
      <c r="D2362" s="210"/>
      <c r="G2362" s="152" t="s">
        <v>295</v>
      </c>
      <c r="H2362" s="474" t="s">
        <v>296</v>
      </c>
      <c r="I2362" s="474"/>
      <c r="J2362" s="847">
        <v>-5037450</v>
      </c>
      <c r="K2362" s="513">
        <v>-3547.5</v>
      </c>
      <c r="L2362" s="513">
        <v>1420</v>
      </c>
      <c r="M2362" s="152" t="s">
        <v>7143</v>
      </c>
      <c r="N2362" s="513" t="s">
        <v>1566</v>
      </c>
      <c r="O2362" s="513" t="s">
        <v>1407</v>
      </c>
      <c r="P2362" s="513" t="s">
        <v>8044</v>
      </c>
      <c r="Q2362" s="518" t="s">
        <v>7796</v>
      </c>
      <c r="R2362" s="152" t="s">
        <v>8045</v>
      </c>
      <c r="S2362" s="152" t="s">
        <v>8046</v>
      </c>
      <c r="T2362" s="152" t="s">
        <v>8047</v>
      </c>
      <c r="U2362" s="152" t="s">
        <v>786</v>
      </c>
    </row>
    <row r="2363" spans="4:21">
      <c r="D2363" s="210"/>
      <c r="G2363" s="152" t="s">
        <v>295</v>
      </c>
      <c r="H2363" s="474" t="s">
        <v>296</v>
      </c>
      <c r="I2363" s="474"/>
      <c r="J2363" s="847">
        <v>-5076500</v>
      </c>
      <c r="K2363" s="513">
        <v>-3575</v>
      </c>
      <c r="L2363" s="513">
        <v>1420</v>
      </c>
      <c r="M2363" s="152" t="s">
        <v>7143</v>
      </c>
      <c r="N2363" s="513" t="s">
        <v>1566</v>
      </c>
      <c r="O2363" s="513" t="s">
        <v>1407</v>
      </c>
      <c r="P2363" s="513" t="s">
        <v>8048</v>
      </c>
      <c r="Q2363" s="518" t="s">
        <v>7796</v>
      </c>
      <c r="R2363" s="152" t="s">
        <v>8049</v>
      </c>
      <c r="S2363" s="152" t="s">
        <v>8046</v>
      </c>
      <c r="T2363" s="152" t="s">
        <v>8050</v>
      </c>
      <c r="U2363" s="152" t="s">
        <v>786</v>
      </c>
    </row>
    <row r="2364" spans="4:21">
      <c r="D2364" s="210"/>
      <c r="G2364" s="152" t="s">
        <v>295</v>
      </c>
      <c r="H2364" s="474" t="s">
        <v>296</v>
      </c>
      <c r="I2364" s="474"/>
      <c r="J2364" s="847">
        <v>-5388900</v>
      </c>
      <c r="K2364" s="513">
        <v>-3795</v>
      </c>
      <c r="L2364" s="513">
        <v>1420</v>
      </c>
      <c r="M2364" s="152" t="s">
        <v>7143</v>
      </c>
      <c r="N2364" s="513" t="s">
        <v>1566</v>
      </c>
      <c r="O2364" s="513" t="s">
        <v>1407</v>
      </c>
      <c r="P2364" s="513" t="s">
        <v>8051</v>
      </c>
      <c r="Q2364" s="518" t="s">
        <v>7796</v>
      </c>
      <c r="R2364" s="152" t="s">
        <v>8052</v>
      </c>
      <c r="S2364" s="152" t="s">
        <v>8046</v>
      </c>
      <c r="T2364" s="152" t="s">
        <v>8053</v>
      </c>
      <c r="U2364" s="152" t="s">
        <v>786</v>
      </c>
    </row>
    <row r="2365" spans="4:21">
      <c r="D2365" s="210"/>
      <c r="G2365" s="152" t="s">
        <v>295</v>
      </c>
      <c r="H2365" s="474" t="s">
        <v>296</v>
      </c>
      <c r="I2365" s="474"/>
      <c r="J2365" s="847">
        <v>-4100250</v>
      </c>
      <c r="K2365" s="513">
        <v>-2887.5</v>
      </c>
      <c r="L2365" s="513">
        <v>1420</v>
      </c>
      <c r="M2365" s="152" t="s">
        <v>7143</v>
      </c>
      <c r="N2365" s="513" t="s">
        <v>1566</v>
      </c>
      <c r="O2365" s="513" t="s">
        <v>1407</v>
      </c>
      <c r="P2365" s="513" t="s">
        <v>8054</v>
      </c>
      <c r="Q2365" s="518" t="s">
        <v>7796</v>
      </c>
      <c r="R2365" s="152" t="s">
        <v>8055</v>
      </c>
      <c r="S2365" s="152" t="s">
        <v>8046</v>
      </c>
      <c r="T2365" s="152" t="s">
        <v>8056</v>
      </c>
      <c r="U2365" s="152" t="s">
        <v>786</v>
      </c>
    </row>
    <row r="2366" spans="4:21">
      <c r="D2366" s="210"/>
      <c r="G2366" s="152" t="s">
        <v>295</v>
      </c>
      <c r="H2366" s="474" t="s">
        <v>296</v>
      </c>
      <c r="I2366" s="474"/>
      <c r="J2366" s="847">
        <v>-1522950</v>
      </c>
      <c r="K2366" s="513">
        <v>-1072.5</v>
      </c>
      <c r="L2366" s="513">
        <v>1420</v>
      </c>
      <c r="M2366" s="152" t="s">
        <v>7143</v>
      </c>
      <c r="N2366" s="513" t="s">
        <v>1566</v>
      </c>
      <c r="O2366" s="513" t="s">
        <v>1407</v>
      </c>
      <c r="P2366" s="513" t="s">
        <v>8057</v>
      </c>
      <c r="Q2366" s="518" t="s">
        <v>7796</v>
      </c>
      <c r="R2366" s="152" t="s">
        <v>8058</v>
      </c>
      <c r="S2366" s="152" t="s">
        <v>8059</v>
      </c>
      <c r="T2366" s="152" t="s">
        <v>8060</v>
      </c>
      <c r="U2366" s="152" t="s">
        <v>786</v>
      </c>
    </row>
    <row r="2367" spans="4:21">
      <c r="D2367" s="210"/>
      <c r="G2367" s="152" t="s">
        <v>295</v>
      </c>
      <c r="H2367" s="474" t="s">
        <v>296</v>
      </c>
      <c r="I2367" s="474"/>
      <c r="J2367" s="847">
        <v>-3084950</v>
      </c>
      <c r="K2367" s="513">
        <v>-2172.5</v>
      </c>
      <c r="L2367" s="513">
        <v>1420</v>
      </c>
      <c r="M2367" s="152" t="s">
        <v>7143</v>
      </c>
      <c r="N2367" s="513" t="s">
        <v>1566</v>
      </c>
      <c r="O2367" s="513" t="s">
        <v>1407</v>
      </c>
      <c r="P2367" s="513" t="s">
        <v>8061</v>
      </c>
      <c r="Q2367" s="518" t="s">
        <v>7796</v>
      </c>
      <c r="R2367" s="152" t="s">
        <v>8062</v>
      </c>
      <c r="S2367" s="152" t="s">
        <v>8059</v>
      </c>
      <c r="T2367" s="152" t="s">
        <v>8063</v>
      </c>
      <c r="U2367" s="152" t="s">
        <v>786</v>
      </c>
    </row>
    <row r="2368" spans="4:21">
      <c r="D2368" s="210"/>
      <c r="G2368" s="152" t="s">
        <v>295</v>
      </c>
      <c r="H2368" s="474" t="s">
        <v>296</v>
      </c>
      <c r="I2368" s="474"/>
      <c r="J2368" s="847">
        <v>-3124000</v>
      </c>
      <c r="K2368" s="513">
        <v>-2200</v>
      </c>
      <c r="L2368" s="513">
        <v>1420</v>
      </c>
      <c r="M2368" s="152" t="s">
        <v>7143</v>
      </c>
      <c r="N2368" s="513" t="s">
        <v>1566</v>
      </c>
      <c r="O2368" s="513" t="s">
        <v>1407</v>
      </c>
      <c r="P2368" s="513" t="s">
        <v>8064</v>
      </c>
      <c r="Q2368" s="518" t="s">
        <v>7796</v>
      </c>
      <c r="R2368" s="152" t="s">
        <v>8065</v>
      </c>
      <c r="S2368" s="152" t="s">
        <v>8059</v>
      </c>
      <c r="T2368" s="152" t="s">
        <v>8066</v>
      </c>
      <c r="U2368" s="152" t="s">
        <v>786</v>
      </c>
    </row>
    <row r="2369" spans="4:21">
      <c r="D2369" s="210"/>
      <c r="G2369" s="152" t="s">
        <v>295</v>
      </c>
      <c r="H2369" s="474" t="s">
        <v>296</v>
      </c>
      <c r="I2369" s="474"/>
      <c r="J2369" s="847">
        <v>-1562000</v>
      </c>
      <c r="K2369" s="513">
        <v>-1100</v>
      </c>
      <c r="L2369" s="513">
        <v>1420</v>
      </c>
      <c r="M2369" s="152" t="s">
        <v>7143</v>
      </c>
      <c r="N2369" s="513" t="s">
        <v>1566</v>
      </c>
      <c r="O2369" s="513" t="s">
        <v>1407</v>
      </c>
      <c r="P2369" s="513" t="s">
        <v>8067</v>
      </c>
      <c r="Q2369" s="518" t="s">
        <v>7796</v>
      </c>
      <c r="R2369" s="152" t="s">
        <v>8068</v>
      </c>
      <c r="S2369" s="152" t="s">
        <v>8059</v>
      </c>
      <c r="T2369" s="152" t="s">
        <v>8069</v>
      </c>
      <c r="U2369" s="152" t="s">
        <v>786</v>
      </c>
    </row>
    <row r="2370" spans="4:21">
      <c r="D2370" s="210"/>
      <c r="G2370" s="152" t="s">
        <v>2056</v>
      </c>
      <c r="H2370" s="474" t="s">
        <v>2057</v>
      </c>
      <c r="I2370" s="474"/>
      <c r="J2370" s="847">
        <v>-632250</v>
      </c>
      <c r="K2370" s="513">
        <v>-450</v>
      </c>
      <c r="L2370" s="513">
        <v>1405</v>
      </c>
      <c r="M2370" s="152" t="s">
        <v>7975</v>
      </c>
      <c r="N2370" s="513" t="s">
        <v>1566</v>
      </c>
      <c r="O2370" s="513" t="s">
        <v>1407</v>
      </c>
      <c r="P2370" s="513" t="s">
        <v>7983</v>
      </c>
      <c r="Q2370" s="518" t="s">
        <v>7796</v>
      </c>
      <c r="R2370" s="152" t="s">
        <v>7984</v>
      </c>
      <c r="S2370" s="152" t="s">
        <v>7978</v>
      </c>
      <c r="T2370" s="152" t="s">
        <v>7985</v>
      </c>
      <c r="U2370" s="152" t="s">
        <v>786</v>
      </c>
    </row>
    <row r="2371" spans="4:21">
      <c r="D2371" s="210"/>
      <c r="G2371" s="152" t="s">
        <v>305</v>
      </c>
      <c r="H2371" s="474" t="s">
        <v>306</v>
      </c>
      <c r="I2371" s="474"/>
      <c r="J2371" s="847">
        <v>2322900.5499999998</v>
      </c>
      <c r="K2371" s="513">
        <v>1653.31</v>
      </c>
      <c r="L2371" s="513">
        <v>1405</v>
      </c>
      <c r="M2371" s="152" t="s">
        <v>7116</v>
      </c>
      <c r="N2371" s="513" t="s">
        <v>780</v>
      </c>
      <c r="O2371" s="513" t="s">
        <v>781</v>
      </c>
      <c r="P2371" s="513" t="s">
        <v>7418</v>
      </c>
      <c r="Q2371" s="518" t="s">
        <v>7101</v>
      </c>
      <c r="R2371" s="152" t="s">
        <v>7419</v>
      </c>
      <c r="S2371" s="152" t="s">
        <v>941</v>
      </c>
      <c r="T2371" s="152" t="s">
        <v>7421</v>
      </c>
      <c r="U2371" s="152" t="s">
        <v>786</v>
      </c>
    </row>
    <row r="2372" spans="4:21">
      <c r="D2372" s="210"/>
      <c r="G2372" s="152" t="s">
        <v>305</v>
      </c>
      <c r="H2372" s="474" t="s">
        <v>306</v>
      </c>
      <c r="I2372" s="474"/>
      <c r="J2372" s="847">
        <v>440086.4</v>
      </c>
      <c r="K2372" s="513">
        <v>309.92</v>
      </c>
      <c r="L2372" s="513">
        <v>1420</v>
      </c>
      <c r="M2372" s="152" t="s">
        <v>7143</v>
      </c>
      <c r="N2372" s="513" t="s">
        <v>780</v>
      </c>
      <c r="O2372" s="513" t="s">
        <v>781</v>
      </c>
      <c r="P2372" s="513" t="s">
        <v>7653</v>
      </c>
      <c r="Q2372" s="518" t="s">
        <v>7101</v>
      </c>
      <c r="R2372" s="152" t="s">
        <v>7654</v>
      </c>
      <c r="S2372" s="152" t="s">
        <v>937</v>
      </c>
      <c r="T2372" s="152" t="s">
        <v>7655</v>
      </c>
      <c r="U2372" s="152" t="s">
        <v>786</v>
      </c>
    </row>
    <row r="2373" spans="4:21">
      <c r="D2373" s="210"/>
      <c r="G2373" s="152" t="s">
        <v>305</v>
      </c>
      <c r="H2373" s="474" t="s">
        <v>306</v>
      </c>
      <c r="I2373" s="474"/>
      <c r="J2373" s="847">
        <v>1405842.6</v>
      </c>
      <c r="K2373" s="513">
        <v>990.03</v>
      </c>
      <c r="L2373" s="513">
        <v>1420</v>
      </c>
      <c r="M2373" s="152" t="s">
        <v>7143</v>
      </c>
      <c r="N2373" s="513" t="s">
        <v>780</v>
      </c>
      <c r="O2373" s="513" t="s">
        <v>781</v>
      </c>
      <c r="P2373" s="513" t="s">
        <v>7653</v>
      </c>
      <c r="Q2373" s="518" t="s">
        <v>7101</v>
      </c>
      <c r="R2373" s="152" t="s">
        <v>7654</v>
      </c>
      <c r="S2373" s="152" t="s">
        <v>937</v>
      </c>
      <c r="T2373" s="152" t="s">
        <v>7655</v>
      </c>
      <c r="U2373" s="152" t="s">
        <v>786</v>
      </c>
    </row>
    <row r="2374" spans="4:21">
      <c r="D2374" s="210"/>
      <c r="G2374" s="152" t="s">
        <v>305</v>
      </c>
      <c r="H2374" s="474" t="s">
        <v>306</v>
      </c>
      <c r="I2374" s="474"/>
      <c r="J2374" s="847">
        <v>68898.399999999994</v>
      </c>
      <c r="K2374" s="513">
        <v>48.52</v>
      </c>
      <c r="L2374" s="513">
        <v>1420</v>
      </c>
      <c r="M2374" s="152" t="s">
        <v>7143</v>
      </c>
      <c r="N2374" s="513" t="s">
        <v>780</v>
      </c>
      <c r="O2374" s="513" t="s">
        <v>781</v>
      </c>
      <c r="P2374" s="513" t="s">
        <v>7664</v>
      </c>
      <c r="Q2374" s="518" t="s">
        <v>7101</v>
      </c>
      <c r="R2374" s="152" t="s">
        <v>7665</v>
      </c>
      <c r="S2374" s="152" t="s">
        <v>937</v>
      </c>
      <c r="T2374" s="152" t="s">
        <v>7667</v>
      </c>
      <c r="U2374" s="152" t="s">
        <v>786</v>
      </c>
    </row>
    <row r="2375" spans="4:21">
      <c r="D2375" s="210"/>
      <c r="G2375" s="152" t="s">
        <v>305</v>
      </c>
      <c r="H2375" s="474" t="s">
        <v>306</v>
      </c>
      <c r="I2375" s="474"/>
      <c r="J2375" s="847">
        <v>3656835.65</v>
      </c>
      <c r="K2375" s="513">
        <v>2602.73</v>
      </c>
      <c r="L2375" s="513">
        <v>1405</v>
      </c>
      <c r="M2375" s="152" t="s">
        <v>7116</v>
      </c>
      <c r="N2375" s="513" t="s">
        <v>780</v>
      </c>
      <c r="O2375" s="513" t="s">
        <v>1407</v>
      </c>
      <c r="P2375" s="513" t="s">
        <v>7442</v>
      </c>
      <c r="Q2375" s="518" t="s">
        <v>7101</v>
      </c>
      <c r="R2375" s="152" t="s">
        <v>7443</v>
      </c>
      <c r="S2375" s="152" t="s">
        <v>3879</v>
      </c>
      <c r="T2375" s="152" t="s">
        <v>7445</v>
      </c>
      <c r="U2375" s="152" t="s">
        <v>786</v>
      </c>
    </row>
    <row r="2376" spans="4:21">
      <c r="D2376" s="210"/>
      <c r="G2376" s="152" t="s">
        <v>305</v>
      </c>
      <c r="H2376" s="474" t="s">
        <v>306</v>
      </c>
      <c r="I2376" s="474"/>
      <c r="J2376" s="847">
        <v>298214.2</v>
      </c>
      <c r="K2376" s="513">
        <v>210.01</v>
      </c>
      <c r="L2376" s="513">
        <v>1420</v>
      </c>
      <c r="M2376" s="152" t="s">
        <v>7143</v>
      </c>
      <c r="N2376" s="513" t="s">
        <v>780</v>
      </c>
      <c r="O2376" s="513" t="s">
        <v>1407</v>
      </c>
      <c r="P2376" s="513" t="s">
        <v>7619</v>
      </c>
      <c r="Q2376" s="518" t="s">
        <v>7101</v>
      </c>
      <c r="R2376" s="152" t="s">
        <v>7620</v>
      </c>
      <c r="S2376" s="152" t="s">
        <v>3000</v>
      </c>
      <c r="T2376" s="152" t="s">
        <v>7621</v>
      </c>
      <c r="U2376" s="152" t="s">
        <v>786</v>
      </c>
    </row>
    <row r="2377" spans="4:21">
      <c r="D2377" s="210"/>
      <c r="G2377" s="152" t="s">
        <v>305</v>
      </c>
      <c r="H2377" s="474" t="s">
        <v>306</v>
      </c>
      <c r="I2377" s="474"/>
      <c r="J2377" s="847">
        <v>5931368.4000000004</v>
      </c>
      <c r="K2377" s="513">
        <v>4177.0200000000004</v>
      </c>
      <c r="L2377" s="513">
        <v>1420</v>
      </c>
      <c r="M2377" s="152" t="s">
        <v>7143</v>
      </c>
      <c r="N2377" s="513" t="s">
        <v>780</v>
      </c>
      <c r="O2377" s="513" t="s">
        <v>1407</v>
      </c>
      <c r="P2377" s="513" t="s">
        <v>7646</v>
      </c>
      <c r="Q2377" s="518" t="s">
        <v>7101</v>
      </c>
      <c r="R2377" s="152" t="s">
        <v>7647</v>
      </c>
      <c r="S2377" s="152" t="s">
        <v>3000</v>
      </c>
      <c r="T2377" s="152" t="s">
        <v>7649</v>
      </c>
      <c r="U2377" s="152" t="s">
        <v>786</v>
      </c>
    </row>
    <row r="2378" spans="4:21">
      <c r="D2378" s="210"/>
      <c r="G2378" s="152" t="s">
        <v>47</v>
      </c>
      <c r="H2378" s="474" t="s">
        <v>46</v>
      </c>
      <c r="I2378" s="474"/>
      <c r="J2378" s="847">
        <v>618200</v>
      </c>
      <c r="K2378" s="513">
        <v>440</v>
      </c>
      <c r="L2378" s="513">
        <v>1405</v>
      </c>
      <c r="M2378" s="152" t="s">
        <v>7116</v>
      </c>
      <c r="N2378" s="513" t="s">
        <v>780</v>
      </c>
      <c r="O2378" s="513" t="s">
        <v>1407</v>
      </c>
      <c r="P2378" s="513" t="s">
        <v>7179</v>
      </c>
      <c r="Q2378" s="518" t="s">
        <v>7101</v>
      </c>
      <c r="R2378" s="152" t="s">
        <v>7180</v>
      </c>
      <c r="S2378" s="152" t="s">
        <v>3898</v>
      </c>
      <c r="T2378" s="152" t="s">
        <v>7182</v>
      </c>
      <c r="U2378" s="152" t="s">
        <v>786</v>
      </c>
    </row>
    <row r="2379" spans="4:21">
      <c r="D2379" s="210"/>
      <c r="G2379" s="152" t="s">
        <v>47</v>
      </c>
      <c r="H2379" s="474" t="s">
        <v>46</v>
      </c>
      <c r="I2379" s="474"/>
      <c r="J2379" s="847">
        <v>196700</v>
      </c>
      <c r="K2379" s="513">
        <v>140</v>
      </c>
      <c r="L2379" s="513">
        <v>1405</v>
      </c>
      <c r="M2379" s="152" t="s">
        <v>7116</v>
      </c>
      <c r="N2379" s="513" t="s">
        <v>780</v>
      </c>
      <c r="O2379" s="513" t="s">
        <v>1407</v>
      </c>
      <c r="P2379" s="513" t="s">
        <v>7179</v>
      </c>
      <c r="Q2379" s="518" t="s">
        <v>7101</v>
      </c>
      <c r="R2379" s="152" t="s">
        <v>7180</v>
      </c>
      <c r="S2379" s="152" t="s">
        <v>3898</v>
      </c>
      <c r="T2379" s="152" t="s">
        <v>7182</v>
      </c>
      <c r="U2379" s="152" t="s">
        <v>786</v>
      </c>
    </row>
    <row r="2380" spans="4:21">
      <c r="D2380" s="210"/>
      <c r="G2380" s="152" t="s">
        <v>47</v>
      </c>
      <c r="H2380" s="474" t="s">
        <v>46</v>
      </c>
      <c r="I2380" s="474"/>
      <c r="J2380" s="847">
        <v>196700</v>
      </c>
      <c r="K2380" s="513">
        <v>140</v>
      </c>
      <c r="L2380" s="513">
        <v>1405</v>
      </c>
      <c r="M2380" s="152" t="s">
        <v>7116</v>
      </c>
      <c r="N2380" s="513" t="s">
        <v>780</v>
      </c>
      <c r="O2380" s="513" t="s">
        <v>1407</v>
      </c>
      <c r="P2380" s="513" t="s">
        <v>7179</v>
      </c>
      <c r="Q2380" s="518" t="s">
        <v>7101</v>
      </c>
      <c r="R2380" s="152" t="s">
        <v>7180</v>
      </c>
      <c r="S2380" s="152" t="s">
        <v>3898</v>
      </c>
      <c r="T2380" s="152" t="s">
        <v>7182</v>
      </c>
      <c r="U2380" s="152" t="s">
        <v>786</v>
      </c>
    </row>
    <row r="2381" spans="4:21">
      <c r="D2381" s="210"/>
      <c r="G2381" s="152" t="s">
        <v>47</v>
      </c>
      <c r="H2381" s="474" t="s">
        <v>46</v>
      </c>
      <c r="I2381" s="474"/>
      <c r="J2381" s="847">
        <v>227200</v>
      </c>
      <c r="K2381" s="513">
        <v>160</v>
      </c>
      <c r="L2381" s="513">
        <v>1420</v>
      </c>
      <c r="M2381" s="152" t="s">
        <v>7143</v>
      </c>
      <c r="N2381" s="513" t="s">
        <v>780</v>
      </c>
      <c r="O2381" s="513" t="s">
        <v>1407</v>
      </c>
      <c r="P2381" s="513" t="s">
        <v>7284</v>
      </c>
      <c r="Q2381" s="518" t="s">
        <v>7101</v>
      </c>
      <c r="R2381" s="152" t="s">
        <v>7285</v>
      </c>
      <c r="S2381" s="152" t="s">
        <v>3898</v>
      </c>
      <c r="T2381" s="152" t="s">
        <v>7287</v>
      </c>
      <c r="U2381" s="152" t="s">
        <v>786</v>
      </c>
    </row>
    <row r="2382" spans="4:21">
      <c r="D2382" s="210"/>
      <c r="G2382" s="152" t="s">
        <v>47</v>
      </c>
      <c r="H2382" s="474" t="s">
        <v>46</v>
      </c>
      <c r="I2382" s="474"/>
      <c r="J2382" s="847">
        <v>227200</v>
      </c>
      <c r="K2382" s="513">
        <v>160</v>
      </c>
      <c r="L2382" s="513">
        <v>1420</v>
      </c>
      <c r="M2382" s="152" t="s">
        <v>7143</v>
      </c>
      <c r="N2382" s="513" t="s">
        <v>780</v>
      </c>
      <c r="O2382" s="513" t="s">
        <v>1407</v>
      </c>
      <c r="P2382" s="513" t="s">
        <v>7284</v>
      </c>
      <c r="Q2382" s="518" t="s">
        <v>7101</v>
      </c>
      <c r="R2382" s="152" t="s">
        <v>7285</v>
      </c>
      <c r="S2382" s="152" t="s">
        <v>3898</v>
      </c>
      <c r="T2382" s="152" t="s">
        <v>7287</v>
      </c>
      <c r="U2382" s="152" t="s">
        <v>786</v>
      </c>
    </row>
    <row r="2383" spans="4:21">
      <c r="D2383" s="210"/>
      <c r="G2383" s="152" t="s">
        <v>47</v>
      </c>
      <c r="H2383" s="474" t="s">
        <v>46</v>
      </c>
      <c r="I2383" s="474"/>
      <c r="J2383" s="847">
        <v>562000</v>
      </c>
      <c r="K2383" s="513">
        <v>400</v>
      </c>
      <c r="L2383" s="513">
        <v>1405</v>
      </c>
      <c r="M2383" s="152" t="s">
        <v>7143</v>
      </c>
      <c r="N2383" s="513" t="s">
        <v>780</v>
      </c>
      <c r="O2383" s="513" t="s">
        <v>1407</v>
      </c>
      <c r="P2383" s="513" t="s">
        <v>7284</v>
      </c>
      <c r="Q2383" s="518" t="s">
        <v>7101</v>
      </c>
      <c r="R2383" s="152" t="s">
        <v>7285</v>
      </c>
      <c r="S2383" s="152" t="s">
        <v>3898</v>
      </c>
      <c r="T2383" s="152" t="s">
        <v>7287</v>
      </c>
      <c r="U2383" s="152" t="s">
        <v>786</v>
      </c>
    </row>
    <row r="2384" spans="4:21">
      <c r="D2384" s="210"/>
      <c r="G2384" s="152" t="s">
        <v>47</v>
      </c>
      <c r="H2384" s="474" t="s">
        <v>46</v>
      </c>
      <c r="I2384" s="474"/>
      <c r="J2384" s="847">
        <v>383400</v>
      </c>
      <c r="K2384" s="513">
        <v>270</v>
      </c>
      <c r="L2384" s="513">
        <v>1420</v>
      </c>
      <c r="M2384" s="152" t="s">
        <v>7143</v>
      </c>
      <c r="N2384" s="513" t="s">
        <v>780</v>
      </c>
      <c r="O2384" s="513" t="s">
        <v>1407</v>
      </c>
      <c r="P2384" s="513" t="s">
        <v>7284</v>
      </c>
      <c r="Q2384" s="518" t="s">
        <v>7101</v>
      </c>
      <c r="R2384" s="152" t="s">
        <v>7285</v>
      </c>
      <c r="S2384" s="152" t="s">
        <v>3898</v>
      </c>
      <c r="T2384" s="152" t="s">
        <v>7287</v>
      </c>
      <c r="U2384" s="152" t="s">
        <v>786</v>
      </c>
    </row>
    <row r="2385" spans="4:21">
      <c r="D2385" s="210"/>
      <c r="G2385" s="152" t="s">
        <v>47</v>
      </c>
      <c r="H2385" s="474" t="s">
        <v>46</v>
      </c>
      <c r="I2385" s="474"/>
      <c r="J2385" s="847">
        <v>2669.5</v>
      </c>
      <c r="K2385" s="513">
        <v>1.9</v>
      </c>
      <c r="L2385" s="513">
        <v>1405</v>
      </c>
      <c r="M2385" s="152" t="s">
        <v>7143</v>
      </c>
      <c r="N2385" s="513" t="s">
        <v>780</v>
      </c>
      <c r="O2385" s="513" t="s">
        <v>1407</v>
      </c>
      <c r="P2385" s="513" t="s">
        <v>7646</v>
      </c>
      <c r="Q2385" s="518" t="s">
        <v>7101</v>
      </c>
      <c r="R2385" s="152" t="s">
        <v>7647</v>
      </c>
      <c r="S2385" s="152" t="s">
        <v>1515</v>
      </c>
      <c r="T2385" s="152" t="s">
        <v>7649</v>
      </c>
      <c r="U2385" s="152" t="s">
        <v>786</v>
      </c>
    </row>
    <row r="2386" spans="4:21">
      <c r="D2386" s="210"/>
      <c r="G2386" s="152" t="s">
        <v>47</v>
      </c>
      <c r="H2386" s="474" t="s">
        <v>46</v>
      </c>
      <c r="I2386" s="474"/>
      <c r="J2386" s="847">
        <v>3498450</v>
      </c>
      <c r="K2386" s="513">
        <v>2490</v>
      </c>
      <c r="L2386" s="513">
        <v>1405</v>
      </c>
      <c r="M2386" s="152" t="s">
        <v>7143</v>
      </c>
      <c r="N2386" s="513" t="s">
        <v>780</v>
      </c>
      <c r="O2386" s="513" t="s">
        <v>1407</v>
      </c>
      <c r="P2386" s="513" t="s">
        <v>7646</v>
      </c>
      <c r="Q2386" s="518" t="s">
        <v>7101</v>
      </c>
      <c r="R2386" s="152" t="s">
        <v>7647</v>
      </c>
      <c r="S2386" s="152" t="s">
        <v>7652</v>
      </c>
      <c r="T2386" s="152" t="s">
        <v>7649</v>
      </c>
      <c r="U2386" s="152" t="s">
        <v>786</v>
      </c>
    </row>
    <row r="2387" spans="4:21">
      <c r="D2387" s="210"/>
      <c r="G2387" s="152" t="s">
        <v>341</v>
      </c>
      <c r="H2387" s="474" t="s">
        <v>342</v>
      </c>
      <c r="I2387" s="474"/>
      <c r="J2387" s="847">
        <v>-227.2</v>
      </c>
      <c r="K2387" s="513">
        <v>-0.16</v>
      </c>
      <c r="L2387" s="513">
        <v>1420</v>
      </c>
      <c r="M2387" s="152" t="s">
        <v>7143</v>
      </c>
      <c r="N2387" s="513" t="s">
        <v>780</v>
      </c>
      <c r="O2387" s="513" t="s">
        <v>781</v>
      </c>
      <c r="P2387" s="513" t="s">
        <v>7154</v>
      </c>
      <c r="Q2387" s="518" t="s">
        <v>7101</v>
      </c>
      <c r="R2387" s="152" t="s">
        <v>7155</v>
      </c>
      <c r="S2387" s="152" t="s">
        <v>6352</v>
      </c>
      <c r="T2387" s="152" t="s">
        <v>7156</v>
      </c>
      <c r="U2387" s="152" t="s">
        <v>786</v>
      </c>
    </row>
    <row r="2388" spans="4:21">
      <c r="D2388" s="210"/>
      <c r="G2388" s="152" t="s">
        <v>341</v>
      </c>
      <c r="H2388" s="474" t="s">
        <v>342</v>
      </c>
      <c r="I2388" s="474"/>
      <c r="J2388" s="847">
        <v>-18034</v>
      </c>
      <c r="K2388" s="513">
        <v>-12.7</v>
      </c>
      <c r="L2388" s="513">
        <v>1420</v>
      </c>
      <c r="M2388" s="152" t="s">
        <v>7143</v>
      </c>
      <c r="N2388" s="513" t="s">
        <v>780</v>
      </c>
      <c r="O2388" s="513" t="s">
        <v>781</v>
      </c>
      <c r="P2388" s="513" t="s">
        <v>7154</v>
      </c>
      <c r="Q2388" s="518" t="s">
        <v>7101</v>
      </c>
      <c r="R2388" s="152" t="s">
        <v>7155</v>
      </c>
      <c r="S2388" s="152" t="s">
        <v>7159</v>
      </c>
      <c r="T2388" s="152" t="s">
        <v>7156</v>
      </c>
      <c r="U2388" s="152" t="s">
        <v>786</v>
      </c>
    </row>
    <row r="2389" spans="4:21">
      <c r="D2389" s="210"/>
      <c r="G2389" s="152" t="s">
        <v>341</v>
      </c>
      <c r="H2389" s="474" t="s">
        <v>342</v>
      </c>
      <c r="I2389" s="474"/>
      <c r="J2389" s="847">
        <v>-653.20000000000005</v>
      </c>
      <c r="K2389" s="513">
        <v>-0.46</v>
      </c>
      <c r="L2389" s="513">
        <v>1420</v>
      </c>
      <c r="M2389" s="152" t="s">
        <v>7143</v>
      </c>
      <c r="N2389" s="513" t="s">
        <v>780</v>
      </c>
      <c r="O2389" s="513" t="s">
        <v>781</v>
      </c>
      <c r="P2389" s="513" t="s">
        <v>7154</v>
      </c>
      <c r="Q2389" s="518" t="s">
        <v>7101</v>
      </c>
      <c r="R2389" s="152" t="s">
        <v>7155</v>
      </c>
      <c r="S2389" s="152" t="s">
        <v>7160</v>
      </c>
      <c r="T2389" s="152" t="s">
        <v>7156</v>
      </c>
      <c r="U2389" s="152" t="s">
        <v>786</v>
      </c>
    </row>
    <row r="2390" spans="4:21">
      <c r="D2390" s="210"/>
      <c r="G2390" s="152" t="s">
        <v>341</v>
      </c>
      <c r="H2390" s="474" t="s">
        <v>342</v>
      </c>
      <c r="I2390" s="474"/>
      <c r="J2390" s="847">
        <v>28100</v>
      </c>
      <c r="K2390" s="513">
        <v>20</v>
      </c>
      <c r="L2390" s="513">
        <v>1405</v>
      </c>
      <c r="M2390" s="152" t="s">
        <v>7116</v>
      </c>
      <c r="N2390" s="513" t="s">
        <v>780</v>
      </c>
      <c r="O2390" s="513" t="s">
        <v>781</v>
      </c>
      <c r="P2390" s="513" t="s">
        <v>7418</v>
      </c>
      <c r="Q2390" s="518" t="s">
        <v>7101</v>
      </c>
      <c r="R2390" s="152" t="s">
        <v>7419</v>
      </c>
      <c r="S2390" s="152" t="s">
        <v>4816</v>
      </c>
      <c r="T2390" s="152" t="s">
        <v>7421</v>
      </c>
      <c r="U2390" s="152" t="s">
        <v>786</v>
      </c>
    </row>
    <row r="2391" spans="4:21">
      <c r="D2391" s="210"/>
      <c r="G2391" s="152" t="s">
        <v>341</v>
      </c>
      <c r="H2391" s="474" t="s">
        <v>342</v>
      </c>
      <c r="I2391" s="474"/>
      <c r="J2391" s="847">
        <v>102154.8</v>
      </c>
      <c r="K2391" s="513">
        <v>71.94</v>
      </c>
      <c r="L2391" s="513">
        <v>1420</v>
      </c>
      <c r="M2391" s="152" t="s">
        <v>7143</v>
      </c>
      <c r="N2391" s="513" t="s">
        <v>780</v>
      </c>
      <c r="O2391" s="513" t="s">
        <v>781</v>
      </c>
      <c r="P2391" s="513" t="s">
        <v>7653</v>
      </c>
      <c r="Q2391" s="518" t="s">
        <v>7101</v>
      </c>
      <c r="R2391" s="152" t="s">
        <v>7654</v>
      </c>
      <c r="S2391" s="152" t="s">
        <v>852</v>
      </c>
      <c r="T2391" s="152" t="s">
        <v>7655</v>
      </c>
      <c r="U2391" s="152" t="s">
        <v>786</v>
      </c>
    </row>
    <row r="2392" spans="4:21">
      <c r="D2392" s="210"/>
      <c r="G2392" s="152" t="s">
        <v>341</v>
      </c>
      <c r="H2392" s="474" t="s">
        <v>342</v>
      </c>
      <c r="I2392" s="474"/>
      <c r="J2392" s="847">
        <v>28400</v>
      </c>
      <c r="K2392" s="513">
        <v>20</v>
      </c>
      <c r="L2392" s="513">
        <v>1420</v>
      </c>
      <c r="M2392" s="152" t="s">
        <v>7143</v>
      </c>
      <c r="N2392" s="513" t="s">
        <v>780</v>
      </c>
      <c r="O2392" s="513" t="s">
        <v>781</v>
      </c>
      <c r="P2392" s="513" t="s">
        <v>7653</v>
      </c>
      <c r="Q2392" s="518" t="s">
        <v>7101</v>
      </c>
      <c r="R2392" s="152" t="s">
        <v>7654</v>
      </c>
      <c r="S2392" s="152" t="s">
        <v>4816</v>
      </c>
      <c r="T2392" s="152" t="s">
        <v>7655</v>
      </c>
      <c r="U2392" s="152" t="s">
        <v>786</v>
      </c>
    </row>
    <row r="2393" spans="4:21">
      <c r="D2393" s="210"/>
      <c r="G2393" s="152" t="s">
        <v>341</v>
      </c>
      <c r="H2393" s="474" t="s">
        <v>342</v>
      </c>
      <c r="I2393" s="474"/>
      <c r="J2393" s="847">
        <v>45440</v>
      </c>
      <c r="K2393" s="513">
        <v>32</v>
      </c>
      <c r="L2393" s="513">
        <v>1420</v>
      </c>
      <c r="M2393" s="152" t="s">
        <v>7143</v>
      </c>
      <c r="N2393" s="513" t="s">
        <v>780</v>
      </c>
      <c r="O2393" s="513" t="s">
        <v>781</v>
      </c>
      <c r="P2393" s="513" t="s">
        <v>7653</v>
      </c>
      <c r="Q2393" s="518" t="s">
        <v>7101</v>
      </c>
      <c r="R2393" s="152" t="s">
        <v>7654</v>
      </c>
      <c r="S2393" s="152" t="s">
        <v>851</v>
      </c>
      <c r="T2393" s="152" t="s">
        <v>7655</v>
      </c>
      <c r="U2393" s="152" t="s">
        <v>786</v>
      </c>
    </row>
    <row r="2394" spans="4:21">
      <c r="D2394" s="210"/>
      <c r="G2394" s="152" t="s">
        <v>341</v>
      </c>
      <c r="H2394" s="474" t="s">
        <v>342</v>
      </c>
      <c r="I2394" s="474"/>
      <c r="J2394" s="847">
        <v>-28650</v>
      </c>
      <c r="K2394" s="513">
        <v>-20</v>
      </c>
      <c r="L2394" s="513">
        <v>1432.5</v>
      </c>
      <c r="M2394" s="152" t="s">
        <v>7143</v>
      </c>
      <c r="N2394" s="513" t="s">
        <v>780</v>
      </c>
      <c r="O2394" s="513" t="s">
        <v>1272</v>
      </c>
      <c r="P2394" s="513" t="s">
        <v>7171</v>
      </c>
      <c r="Q2394" s="518" t="s">
        <v>7101</v>
      </c>
      <c r="R2394" s="152" t="s">
        <v>7172</v>
      </c>
      <c r="S2394" s="152" t="s">
        <v>7173</v>
      </c>
      <c r="T2394" s="152" t="s">
        <v>7174</v>
      </c>
      <c r="U2394" s="152" t="s">
        <v>786</v>
      </c>
    </row>
    <row r="2395" spans="4:21">
      <c r="D2395" s="210"/>
      <c r="G2395" s="152" t="s">
        <v>341</v>
      </c>
      <c r="H2395" s="474" t="s">
        <v>342</v>
      </c>
      <c r="I2395" s="474"/>
      <c r="J2395" s="847">
        <v>126365.7</v>
      </c>
      <c r="K2395" s="513">
        <v>89.94</v>
      </c>
      <c r="L2395" s="513">
        <v>1405</v>
      </c>
      <c r="M2395" s="152" t="s">
        <v>7116</v>
      </c>
      <c r="N2395" s="513" t="s">
        <v>780</v>
      </c>
      <c r="O2395" s="513" t="s">
        <v>1407</v>
      </c>
      <c r="P2395" s="513" t="s">
        <v>7442</v>
      </c>
      <c r="Q2395" s="518" t="s">
        <v>7101</v>
      </c>
      <c r="R2395" s="152" t="s">
        <v>7443</v>
      </c>
      <c r="S2395" s="152" t="s">
        <v>7448</v>
      </c>
      <c r="T2395" s="152" t="s">
        <v>7445</v>
      </c>
      <c r="U2395" s="152" t="s">
        <v>786</v>
      </c>
    </row>
    <row r="2396" spans="4:21">
      <c r="D2396" s="210"/>
      <c r="G2396" s="152" t="s">
        <v>341</v>
      </c>
      <c r="H2396" s="474" t="s">
        <v>342</v>
      </c>
      <c r="I2396" s="474"/>
      <c r="J2396" s="847">
        <v>54710.7</v>
      </c>
      <c r="K2396" s="513">
        <v>38.94</v>
      </c>
      <c r="L2396" s="513">
        <v>1405</v>
      </c>
      <c r="M2396" s="152" t="s">
        <v>7116</v>
      </c>
      <c r="N2396" s="513" t="s">
        <v>780</v>
      </c>
      <c r="O2396" s="513" t="s">
        <v>1407</v>
      </c>
      <c r="P2396" s="513" t="s">
        <v>7442</v>
      </c>
      <c r="Q2396" s="518" t="s">
        <v>7101</v>
      </c>
      <c r="R2396" s="152" t="s">
        <v>7443</v>
      </c>
      <c r="S2396" s="152" t="s">
        <v>7448</v>
      </c>
      <c r="T2396" s="152" t="s">
        <v>7445</v>
      </c>
      <c r="U2396" s="152" t="s">
        <v>786</v>
      </c>
    </row>
    <row r="2397" spans="4:21">
      <c r="D2397" s="210"/>
      <c r="G2397" s="152" t="s">
        <v>341</v>
      </c>
      <c r="H2397" s="474" t="s">
        <v>342</v>
      </c>
      <c r="I2397" s="474"/>
      <c r="J2397" s="847">
        <v>44960</v>
      </c>
      <c r="K2397" s="513">
        <v>32</v>
      </c>
      <c r="L2397" s="513">
        <v>1405</v>
      </c>
      <c r="M2397" s="152" t="s">
        <v>7143</v>
      </c>
      <c r="N2397" s="513" t="s">
        <v>780</v>
      </c>
      <c r="O2397" s="513" t="s">
        <v>1407</v>
      </c>
      <c r="P2397" s="513" t="s">
        <v>7646</v>
      </c>
      <c r="Q2397" s="518" t="s">
        <v>7101</v>
      </c>
      <c r="R2397" s="152" t="s">
        <v>7647</v>
      </c>
      <c r="S2397" s="152" t="s">
        <v>1474</v>
      </c>
      <c r="T2397" s="152" t="s">
        <v>7649</v>
      </c>
      <c r="U2397" s="152" t="s">
        <v>786</v>
      </c>
    </row>
    <row r="2398" spans="4:21">
      <c r="D2398" s="210"/>
      <c r="G2398" s="152" t="s">
        <v>341</v>
      </c>
      <c r="H2398" s="474" t="s">
        <v>342</v>
      </c>
      <c r="I2398" s="474"/>
      <c r="J2398" s="847">
        <v>509073.65</v>
      </c>
      <c r="K2398" s="513">
        <v>362.33</v>
      </c>
      <c r="L2398" s="513">
        <v>1405</v>
      </c>
      <c r="M2398" s="152" t="s">
        <v>7108</v>
      </c>
      <c r="N2398" s="513" t="s">
        <v>780</v>
      </c>
      <c r="O2398" s="513" t="s">
        <v>2705</v>
      </c>
      <c r="P2398" s="513" t="s">
        <v>7245</v>
      </c>
      <c r="Q2398" s="518" t="s">
        <v>7101</v>
      </c>
      <c r="R2398" s="152" t="s">
        <v>7246</v>
      </c>
      <c r="S2398" s="152" t="s">
        <v>7255</v>
      </c>
      <c r="T2398" s="152" t="s">
        <v>7248</v>
      </c>
      <c r="U2398" s="152" t="s">
        <v>786</v>
      </c>
    </row>
    <row r="2399" spans="4:21">
      <c r="D2399" s="210"/>
      <c r="G2399" s="152" t="s">
        <v>343</v>
      </c>
      <c r="H2399" s="474" t="s">
        <v>344</v>
      </c>
      <c r="I2399" s="474"/>
      <c r="J2399" s="847">
        <v>1074400.3999999999</v>
      </c>
      <c r="K2399" s="513">
        <v>756.62</v>
      </c>
      <c r="L2399" s="513">
        <v>1420</v>
      </c>
      <c r="M2399" s="152" t="s">
        <v>7143</v>
      </c>
      <c r="N2399" s="513" t="s">
        <v>780</v>
      </c>
      <c r="O2399" s="513" t="s">
        <v>781</v>
      </c>
      <c r="P2399" s="513" t="s">
        <v>7664</v>
      </c>
      <c r="Q2399" s="518" t="s">
        <v>7101</v>
      </c>
      <c r="R2399" s="152" t="s">
        <v>7665</v>
      </c>
      <c r="S2399" s="152" t="s">
        <v>7685</v>
      </c>
      <c r="T2399" s="152" t="s">
        <v>7667</v>
      </c>
      <c r="U2399" s="152" t="s">
        <v>786</v>
      </c>
    </row>
    <row r="2400" spans="4:21">
      <c r="D2400" s="210"/>
      <c r="G2400" s="152" t="s">
        <v>343</v>
      </c>
      <c r="H2400" s="474" t="s">
        <v>344</v>
      </c>
      <c r="I2400" s="474"/>
      <c r="J2400" s="847">
        <v>1471460.8</v>
      </c>
      <c r="K2400" s="513">
        <v>1036.24</v>
      </c>
      <c r="L2400" s="513">
        <v>1420</v>
      </c>
      <c r="M2400" s="152" t="s">
        <v>7143</v>
      </c>
      <c r="N2400" s="513" t="s">
        <v>780</v>
      </c>
      <c r="O2400" s="513" t="s">
        <v>1407</v>
      </c>
      <c r="P2400" s="513" t="s">
        <v>7619</v>
      </c>
      <c r="Q2400" s="518" t="s">
        <v>7101</v>
      </c>
      <c r="R2400" s="152" t="s">
        <v>7620</v>
      </c>
      <c r="S2400" s="152" t="s">
        <v>7636</v>
      </c>
      <c r="T2400" s="152" t="s">
        <v>7621</v>
      </c>
      <c r="U2400" s="152" t="s">
        <v>786</v>
      </c>
    </row>
    <row r="2401" spans="4:21">
      <c r="D2401" s="210"/>
      <c r="G2401" s="152" t="s">
        <v>2747</v>
      </c>
      <c r="H2401" s="474" t="s">
        <v>2748</v>
      </c>
      <c r="I2401" s="474"/>
      <c r="J2401" s="847">
        <v>0</v>
      </c>
      <c r="K2401" s="513">
        <v>-1.9E-3</v>
      </c>
      <c r="L2401" s="513">
        <v>1</v>
      </c>
      <c r="M2401" s="152" t="s">
        <v>7099</v>
      </c>
      <c r="N2401" s="513" t="s">
        <v>780</v>
      </c>
      <c r="O2401" s="513" t="s">
        <v>2705</v>
      </c>
      <c r="P2401" s="513" t="s">
        <v>7100</v>
      </c>
      <c r="Q2401" s="518" t="s">
        <v>7101</v>
      </c>
      <c r="R2401" s="152" t="s">
        <v>7102</v>
      </c>
      <c r="T2401" s="152" t="s">
        <v>7103</v>
      </c>
      <c r="U2401" s="152" t="s">
        <v>786</v>
      </c>
    </row>
    <row r="2402" spans="4:21">
      <c r="D2402" s="210"/>
      <c r="G2402" s="152" t="s">
        <v>2747</v>
      </c>
      <c r="H2402" s="474" t="s">
        <v>2748</v>
      </c>
      <c r="I2402" s="474"/>
      <c r="J2402" s="847">
        <v>-2.65</v>
      </c>
      <c r="K2402" s="513">
        <v>0</v>
      </c>
      <c r="L2402" s="513">
        <v>1</v>
      </c>
      <c r="M2402" s="152" t="s">
        <v>7099</v>
      </c>
      <c r="N2402" s="513" t="s">
        <v>780</v>
      </c>
      <c r="O2402" s="513" t="s">
        <v>2705</v>
      </c>
      <c r="P2402" s="513" t="s">
        <v>7100</v>
      </c>
      <c r="Q2402" s="518" t="s">
        <v>7101</v>
      </c>
      <c r="R2402" s="152" t="s">
        <v>7102</v>
      </c>
      <c r="T2402" s="152" t="s">
        <v>7103</v>
      </c>
      <c r="U2402" s="152" t="s">
        <v>786</v>
      </c>
    </row>
    <row r="2403" spans="4:21">
      <c r="D2403" s="210"/>
      <c r="G2403" s="152" t="s">
        <v>2747</v>
      </c>
      <c r="H2403" s="474" t="s">
        <v>2748</v>
      </c>
      <c r="I2403" s="474"/>
      <c r="J2403" s="847">
        <v>0</v>
      </c>
      <c r="K2403" s="513">
        <v>-1.9E-3</v>
      </c>
      <c r="L2403" s="513">
        <v>1</v>
      </c>
      <c r="M2403" s="152" t="s">
        <v>7104</v>
      </c>
      <c r="N2403" s="513" t="s">
        <v>780</v>
      </c>
      <c r="O2403" s="513" t="s">
        <v>2705</v>
      </c>
      <c r="P2403" s="513" t="s">
        <v>7105</v>
      </c>
      <c r="Q2403" s="518" t="s">
        <v>7101</v>
      </c>
      <c r="R2403" s="152" t="s">
        <v>7106</v>
      </c>
      <c r="T2403" s="152" t="s">
        <v>7107</v>
      </c>
      <c r="U2403" s="152" t="s">
        <v>786</v>
      </c>
    </row>
    <row r="2404" spans="4:21">
      <c r="D2404" s="210"/>
      <c r="G2404" s="152" t="s">
        <v>2747</v>
      </c>
      <c r="H2404" s="474" t="s">
        <v>2748</v>
      </c>
      <c r="I2404" s="474"/>
      <c r="J2404" s="847">
        <v>-2.65</v>
      </c>
      <c r="K2404" s="513">
        <v>0</v>
      </c>
      <c r="L2404" s="513">
        <v>1</v>
      </c>
      <c r="M2404" s="152" t="s">
        <v>7104</v>
      </c>
      <c r="N2404" s="513" t="s">
        <v>780</v>
      </c>
      <c r="O2404" s="513" t="s">
        <v>2705</v>
      </c>
      <c r="P2404" s="513" t="s">
        <v>7105</v>
      </c>
      <c r="Q2404" s="518" t="s">
        <v>7101</v>
      </c>
      <c r="R2404" s="152" t="s">
        <v>7106</v>
      </c>
      <c r="T2404" s="152" t="s">
        <v>7107</v>
      </c>
      <c r="U2404" s="152" t="s">
        <v>786</v>
      </c>
    </row>
    <row r="2405" spans="4:21">
      <c r="D2405" s="210"/>
      <c r="G2405" s="152" t="s">
        <v>2747</v>
      </c>
      <c r="H2405" s="474" t="s">
        <v>2748</v>
      </c>
      <c r="I2405" s="474"/>
      <c r="J2405" s="847">
        <v>0</v>
      </c>
      <c r="K2405" s="513">
        <v>-3.0999999999999999E-3</v>
      </c>
      <c r="L2405" s="513">
        <v>1</v>
      </c>
      <c r="M2405" s="152" t="s">
        <v>7108</v>
      </c>
      <c r="N2405" s="513" t="s">
        <v>780</v>
      </c>
      <c r="O2405" s="513" t="s">
        <v>2705</v>
      </c>
      <c r="P2405" s="513" t="s">
        <v>7109</v>
      </c>
      <c r="Q2405" s="518" t="s">
        <v>7101</v>
      </c>
      <c r="R2405" s="152" t="s">
        <v>7110</v>
      </c>
      <c r="T2405" s="152" t="s">
        <v>7111</v>
      </c>
      <c r="U2405" s="152" t="s">
        <v>786</v>
      </c>
    </row>
    <row r="2406" spans="4:21">
      <c r="D2406" s="210"/>
      <c r="G2406" s="152" t="s">
        <v>2747</v>
      </c>
      <c r="H2406" s="474" t="s">
        <v>2748</v>
      </c>
      <c r="I2406" s="474"/>
      <c r="J2406" s="847">
        <v>-4.4000000000000004</v>
      </c>
      <c r="K2406" s="513">
        <v>0</v>
      </c>
      <c r="L2406" s="513">
        <v>1</v>
      </c>
      <c r="M2406" s="152" t="s">
        <v>7108</v>
      </c>
      <c r="N2406" s="513" t="s">
        <v>780</v>
      </c>
      <c r="O2406" s="513" t="s">
        <v>2705</v>
      </c>
      <c r="P2406" s="513" t="s">
        <v>7109</v>
      </c>
      <c r="Q2406" s="518" t="s">
        <v>7101</v>
      </c>
      <c r="R2406" s="152" t="s">
        <v>7110</v>
      </c>
      <c r="T2406" s="152" t="s">
        <v>7111</v>
      </c>
      <c r="U2406" s="152" t="s">
        <v>786</v>
      </c>
    </row>
    <row r="2407" spans="4:21">
      <c r="D2407" s="210"/>
      <c r="G2407" s="152" t="s">
        <v>2747</v>
      </c>
      <c r="H2407" s="474" t="s">
        <v>2748</v>
      </c>
      <c r="I2407" s="474"/>
      <c r="J2407" s="847">
        <v>1.75</v>
      </c>
      <c r="K2407" s="513">
        <v>0</v>
      </c>
      <c r="L2407" s="513">
        <v>1</v>
      </c>
      <c r="M2407" s="152" t="s">
        <v>7112</v>
      </c>
      <c r="N2407" s="513" t="s">
        <v>780</v>
      </c>
      <c r="O2407" s="513" t="s">
        <v>2705</v>
      </c>
      <c r="P2407" s="513" t="s">
        <v>7113</v>
      </c>
      <c r="Q2407" s="518" t="s">
        <v>7101</v>
      </c>
      <c r="R2407" s="152" t="s">
        <v>7114</v>
      </c>
      <c r="T2407" s="152" t="s">
        <v>7115</v>
      </c>
      <c r="U2407" s="152" t="s">
        <v>786</v>
      </c>
    </row>
    <row r="2408" spans="4:21">
      <c r="D2408" s="210"/>
      <c r="G2408" s="152" t="s">
        <v>2747</v>
      </c>
      <c r="H2408" s="474" t="s">
        <v>2748</v>
      </c>
      <c r="I2408" s="474"/>
      <c r="J2408" s="847">
        <v>0</v>
      </c>
      <c r="K2408" s="513">
        <v>1.1999999999999999E-3</v>
      </c>
      <c r="L2408" s="513">
        <v>1</v>
      </c>
      <c r="M2408" s="152" t="s">
        <v>7112</v>
      </c>
      <c r="N2408" s="513" t="s">
        <v>780</v>
      </c>
      <c r="O2408" s="513" t="s">
        <v>2705</v>
      </c>
      <c r="P2408" s="513" t="s">
        <v>7113</v>
      </c>
      <c r="Q2408" s="518" t="s">
        <v>7101</v>
      </c>
      <c r="R2408" s="152" t="s">
        <v>7114</v>
      </c>
      <c r="T2408" s="152" t="s">
        <v>7115</v>
      </c>
      <c r="U2408" s="152" t="s">
        <v>786</v>
      </c>
    </row>
    <row r="2409" spans="4:21">
      <c r="D2409" s="210"/>
      <c r="G2409" s="152" t="s">
        <v>351</v>
      </c>
      <c r="H2409" s="474" t="s">
        <v>352</v>
      </c>
      <c r="I2409" s="474"/>
      <c r="J2409" s="847">
        <v>1371280</v>
      </c>
      <c r="K2409" s="513">
        <v>976</v>
      </c>
      <c r="L2409" s="513">
        <v>1405</v>
      </c>
      <c r="M2409" s="152" t="s">
        <v>7108</v>
      </c>
      <c r="N2409" s="513" t="s">
        <v>780</v>
      </c>
      <c r="O2409" s="513" t="s">
        <v>1407</v>
      </c>
      <c r="P2409" s="513" t="s">
        <v>7245</v>
      </c>
      <c r="Q2409" s="518" t="s">
        <v>7101</v>
      </c>
      <c r="R2409" s="152" t="s">
        <v>7246</v>
      </c>
      <c r="S2409" s="152" t="s">
        <v>7250</v>
      </c>
      <c r="T2409" s="152" t="s">
        <v>7248</v>
      </c>
      <c r="U2409" s="152" t="s">
        <v>786</v>
      </c>
    </row>
    <row r="2410" spans="4:21">
      <c r="D2410" s="210"/>
      <c r="G2410" s="152" t="s">
        <v>351</v>
      </c>
      <c r="H2410" s="474" t="s">
        <v>352</v>
      </c>
      <c r="I2410" s="474"/>
      <c r="J2410" s="847">
        <v>334390</v>
      </c>
      <c r="K2410" s="513">
        <v>238</v>
      </c>
      <c r="L2410" s="513">
        <v>1405</v>
      </c>
      <c r="M2410" s="152" t="s">
        <v>7108</v>
      </c>
      <c r="N2410" s="513" t="s">
        <v>780</v>
      </c>
      <c r="O2410" s="513" t="s">
        <v>1407</v>
      </c>
      <c r="P2410" s="513" t="s">
        <v>7245</v>
      </c>
      <c r="Q2410" s="518" t="s">
        <v>7101</v>
      </c>
      <c r="R2410" s="152" t="s">
        <v>7246</v>
      </c>
      <c r="S2410" s="152" t="s">
        <v>7250</v>
      </c>
      <c r="T2410" s="152" t="s">
        <v>7248</v>
      </c>
      <c r="U2410" s="152" t="s">
        <v>786</v>
      </c>
    </row>
    <row r="2411" spans="4:21">
      <c r="D2411" s="210"/>
      <c r="G2411" s="152" t="s">
        <v>354</v>
      </c>
      <c r="H2411" s="474" t="s">
        <v>355</v>
      </c>
      <c r="I2411" s="474"/>
      <c r="J2411" s="847">
        <v>107991</v>
      </c>
      <c r="K2411" s="513">
        <v>76.05</v>
      </c>
      <c r="L2411" s="513">
        <v>1420</v>
      </c>
      <c r="M2411" s="152" t="s">
        <v>7143</v>
      </c>
      <c r="N2411" s="513" t="s">
        <v>780</v>
      </c>
      <c r="O2411" s="513" t="s">
        <v>781</v>
      </c>
      <c r="P2411" s="513" t="s">
        <v>7337</v>
      </c>
      <c r="Q2411" s="518" t="s">
        <v>7101</v>
      </c>
      <c r="R2411" s="152" t="s">
        <v>7338</v>
      </c>
      <c r="S2411" s="152" t="s">
        <v>7339</v>
      </c>
      <c r="T2411" s="152" t="s">
        <v>7340</v>
      </c>
      <c r="U2411" s="152" t="s">
        <v>786</v>
      </c>
    </row>
    <row r="2412" spans="4:21">
      <c r="D2412" s="210"/>
      <c r="G2412" s="152" t="s">
        <v>354</v>
      </c>
      <c r="H2412" s="474" t="s">
        <v>355</v>
      </c>
      <c r="I2412" s="474"/>
      <c r="J2412" s="847">
        <v>352870</v>
      </c>
      <c r="K2412" s="513">
        <v>248.5</v>
      </c>
      <c r="L2412" s="513">
        <v>1420</v>
      </c>
      <c r="M2412" s="152" t="s">
        <v>7143</v>
      </c>
      <c r="N2412" s="513" t="s">
        <v>780</v>
      </c>
      <c r="O2412" s="513" t="s">
        <v>781</v>
      </c>
      <c r="P2412" s="513" t="s">
        <v>7337</v>
      </c>
      <c r="Q2412" s="518" t="s">
        <v>7101</v>
      </c>
      <c r="R2412" s="152" t="s">
        <v>7338</v>
      </c>
      <c r="S2412" s="152" t="s">
        <v>7346</v>
      </c>
      <c r="T2412" s="152" t="s">
        <v>7340</v>
      </c>
      <c r="U2412" s="152" t="s">
        <v>786</v>
      </c>
    </row>
    <row r="2413" spans="4:21">
      <c r="D2413" s="210"/>
      <c r="G2413" s="152" t="s">
        <v>354</v>
      </c>
      <c r="H2413" s="474" t="s">
        <v>355</v>
      </c>
      <c r="I2413" s="474"/>
      <c r="J2413" s="847">
        <v>158429.4</v>
      </c>
      <c r="K2413" s="513">
        <v>111.57</v>
      </c>
      <c r="L2413" s="513">
        <v>1420</v>
      </c>
      <c r="M2413" s="152" t="s">
        <v>7143</v>
      </c>
      <c r="N2413" s="513" t="s">
        <v>780</v>
      </c>
      <c r="O2413" s="513" t="s">
        <v>781</v>
      </c>
      <c r="P2413" s="513" t="s">
        <v>7337</v>
      </c>
      <c r="Q2413" s="518" t="s">
        <v>7101</v>
      </c>
      <c r="R2413" s="152" t="s">
        <v>7338</v>
      </c>
      <c r="S2413" s="152" t="s">
        <v>7358</v>
      </c>
      <c r="T2413" s="152" t="s">
        <v>7340</v>
      </c>
      <c r="U2413" s="152" t="s">
        <v>786</v>
      </c>
    </row>
    <row r="2414" spans="4:21">
      <c r="D2414" s="210"/>
      <c r="G2414" s="152" t="s">
        <v>354</v>
      </c>
      <c r="H2414" s="474" t="s">
        <v>355</v>
      </c>
      <c r="I2414" s="474"/>
      <c r="J2414" s="847">
        <v>205758</v>
      </c>
      <c r="K2414" s="513">
        <v>144.9</v>
      </c>
      <c r="L2414" s="513">
        <v>1420</v>
      </c>
      <c r="M2414" s="152" t="s">
        <v>7143</v>
      </c>
      <c r="N2414" s="513" t="s">
        <v>780</v>
      </c>
      <c r="O2414" s="513" t="s">
        <v>781</v>
      </c>
      <c r="P2414" s="513" t="s">
        <v>7337</v>
      </c>
      <c r="Q2414" s="518" t="s">
        <v>7101</v>
      </c>
      <c r="R2414" s="152" t="s">
        <v>7338</v>
      </c>
      <c r="S2414" s="152" t="s">
        <v>7359</v>
      </c>
      <c r="T2414" s="152" t="s">
        <v>7340</v>
      </c>
      <c r="U2414" s="152" t="s">
        <v>786</v>
      </c>
    </row>
    <row r="2415" spans="4:21">
      <c r="D2415" s="210"/>
      <c r="G2415" s="152" t="s">
        <v>354</v>
      </c>
      <c r="H2415" s="474" t="s">
        <v>355</v>
      </c>
      <c r="I2415" s="474"/>
      <c r="J2415" s="847">
        <v>212318.4</v>
      </c>
      <c r="K2415" s="513">
        <v>149.52000000000001</v>
      </c>
      <c r="L2415" s="513">
        <v>1420</v>
      </c>
      <c r="M2415" s="152" t="s">
        <v>7143</v>
      </c>
      <c r="N2415" s="513" t="s">
        <v>780</v>
      </c>
      <c r="O2415" s="513" t="s">
        <v>781</v>
      </c>
      <c r="P2415" s="513" t="s">
        <v>7337</v>
      </c>
      <c r="Q2415" s="518" t="s">
        <v>7101</v>
      </c>
      <c r="R2415" s="152" t="s">
        <v>7338</v>
      </c>
      <c r="S2415" s="152" t="s">
        <v>7360</v>
      </c>
      <c r="T2415" s="152" t="s">
        <v>7340</v>
      </c>
      <c r="U2415" s="152" t="s">
        <v>786</v>
      </c>
    </row>
    <row r="2416" spans="4:21">
      <c r="D2416" s="210"/>
      <c r="G2416" s="152" t="s">
        <v>354</v>
      </c>
      <c r="H2416" s="474" t="s">
        <v>355</v>
      </c>
      <c r="I2416" s="474"/>
      <c r="J2416" s="847">
        <v>212318.4</v>
      </c>
      <c r="K2416" s="513">
        <v>149.52000000000001</v>
      </c>
      <c r="L2416" s="513">
        <v>1420</v>
      </c>
      <c r="M2416" s="152" t="s">
        <v>7143</v>
      </c>
      <c r="N2416" s="513" t="s">
        <v>780</v>
      </c>
      <c r="O2416" s="513" t="s">
        <v>781</v>
      </c>
      <c r="P2416" s="513" t="s">
        <v>7337</v>
      </c>
      <c r="Q2416" s="518" t="s">
        <v>7101</v>
      </c>
      <c r="R2416" s="152" t="s">
        <v>7338</v>
      </c>
      <c r="S2416" s="152" t="s">
        <v>7361</v>
      </c>
      <c r="T2416" s="152" t="s">
        <v>7340</v>
      </c>
      <c r="U2416" s="152" t="s">
        <v>786</v>
      </c>
    </row>
    <row r="2417" spans="4:21">
      <c r="D2417" s="210"/>
      <c r="G2417" s="152" t="s">
        <v>354</v>
      </c>
      <c r="H2417" s="474" t="s">
        <v>355</v>
      </c>
      <c r="I2417" s="474"/>
      <c r="J2417" s="847">
        <v>84717.2</v>
      </c>
      <c r="K2417" s="513">
        <v>59.66</v>
      </c>
      <c r="L2417" s="513">
        <v>1420</v>
      </c>
      <c r="M2417" s="152" t="s">
        <v>7143</v>
      </c>
      <c r="N2417" s="513" t="s">
        <v>780</v>
      </c>
      <c r="O2417" s="513" t="s">
        <v>781</v>
      </c>
      <c r="P2417" s="513" t="s">
        <v>7337</v>
      </c>
      <c r="Q2417" s="518" t="s">
        <v>7101</v>
      </c>
      <c r="R2417" s="152" t="s">
        <v>7338</v>
      </c>
      <c r="S2417" s="152" t="s">
        <v>7385</v>
      </c>
      <c r="T2417" s="152" t="s">
        <v>7340</v>
      </c>
      <c r="U2417" s="152" t="s">
        <v>786</v>
      </c>
    </row>
    <row r="2418" spans="4:21">
      <c r="D2418" s="210"/>
      <c r="G2418" s="152" t="s">
        <v>354</v>
      </c>
      <c r="H2418" s="474" t="s">
        <v>355</v>
      </c>
      <c r="I2418" s="474"/>
      <c r="J2418" s="847">
        <v>88608</v>
      </c>
      <c r="K2418" s="513">
        <v>62.4</v>
      </c>
      <c r="L2418" s="513">
        <v>1420</v>
      </c>
      <c r="M2418" s="152" t="s">
        <v>7143</v>
      </c>
      <c r="N2418" s="513" t="s">
        <v>780</v>
      </c>
      <c r="O2418" s="513" t="s">
        <v>781</v>
      </c>
      <c r="P2418" s="513" t="s">
        <v>7337</v>
      </c>
      <c r="Q2418" s="518" t="s">
        <v>7101</v>
      </c>
      <c r="R2418" s="152" t="s">
        <v>7338</v>
      </c>
      <c r="S2418" s="152" t="s">
        <v>7386</v>
      </c>
      <c r="T2418" s="152" t="s">
        <v>7340</v>
      </c>
      <c r="U2418" s="152" t="s">
        <v>786</v>
      </c>
    </row>
    <row r="2419" spans="4:21">
      <c r="D2419" s="210"/>
      <c r="G2419" s="152" t="s">
        <v>354</v>
      </c>
      <c r="H2419" s="474" t="s">
        <v>355</v>
      </c>
      <c r="I2419" s="474"/>
      <c r="J2419" s="847">
        <v>489190</v>
      </c>
      <c r="K2419" s="513">
        <v>344.5</v>
      </c>
      <c r="L2419" s="513">
        <v>1420</v>
      </c>
      <c r="M2419" s="152" t="s">
        <v>7143</v>
      </c>
      <c r="N2419" s="513" t="s">
        <v>780</v>
      </c>
      <c r="O2419" s="513" t="s">
        <v>781</v>
      </c>
      <c r="P2419" s="513" t="s">
        <v>7337</v>
      </c>
      <c r="Q2419" s="518" t="s">
        <v>7101</v>
      </c>
      <c r="R2419" s="152" t="s">
        <v>7338</v>
      </c>
      <c r="S2419" s="152" t="s">
        <v>7384</v>
      </c>
      <c r="T2419" s="152" t="s">
        <v>7340</v>
      </c>
      <c r="U2419" s="152" t="s">
        <v>786</v>
      </c>
    </row>
    <row r="2420" spans="4:21">
      <c r="D2420" s="210"/>
      <c r="G2420" s="152" t="s">
        <v>354</v>
      </c>
      <c r="H2420" s="474" t="s">
        <v>355</v>
      </c>
      <c r="I2420" s="474"/>
      <c r="J2420" s="847">
        <v>76239.8</v>
      </c>
      <c r="K2420" s="513">
        <v>53.69</v>
      </c>
      <c r="L2420" s="513">
        <v>1420</v>
      </c>
      <c r="M2420" s="152" t="s">
        <v>7143</v>
      </c>
      <c r="N2420" s="513" t="s">
        <v>780</v>
      </c>
      <c r="O2420" s="513" t="s">
        <v>781</v>
      </c>
      <c r="P2420" s="513" t="s">
        <v>7337</v>
      </c>
      <c r="Q2420" s="518" t="s">
        <v>7101</v>
      </c>
      <c r="R2420" s="152" t="s">
        <v>7338</v>
      </c>
      <c r="S2420" s="152" t="s">
        <v>7387</v>
      </c>
      <c r="T2420" s="152" t="s">
        <v>7340</v>
      </c>
      <c r="U2420" s="152" t="s">
        <v>786</v>
      </c>
    </row>
    <row r="2421" spans="4:21">
      <c r="D2421" s="210"/>
      <c r="G2421" s="152" t="s">
        <v>354</v>
      </c>
      <c r="H2421" s="474" t="s">
        <v>355</v>
      </c>
      <c r="I2421" s="474"/>
      <c r="J2421" s="847">
        <v>79733</v>
      </c>
      <c r="K2421" s="513">
        <v>56.15</v>
      </c>
      <c r="L2421" s="513">
        <v>1420</v>
      </c>
      <c r="M2421" s="152" t="s">
        <v>7143</v>
      </c>
      <c r="N2421" s="513" t="s">
        <v>780</v>
      </c>
      <c r="O2421" s="513" t="s">
        <v>781</v>
      </c>
      <c r="P2421" s="513" t="s">
        <v>7337</v>
      </c>
      <c r="Q2421" s="518" t="s">
        <v>7101</v>
      </c>
      <c r="R2421" s="152" t="s">
        <v>7338</v>
      </c>
      <c r="S2421" s="152" t="s">
        <v>7388</v>
      </c>
      <c r="T2421" s="152" t="s">
        <v>7340</v>
      </c>
      <c r="U2421" s="152" t="s">
        <v>786</v>
      </c>
    </row>
    <row r="2422" spans="4:21">
      <c r="D2422" s="210"/>
      <c r="G2422" s="152" t="s">
        <v>354</v>
      </c>
      <c r="H2422" s="474" t="s">
        <v>355</v>
      </c>
      <c r="I2422" s="474"/>
      <c r="J2422" s="847">
        <v>103759.4</v>
      </c>
      <c r="K2422" s="513">
        <v>73.069999999999993</v>
      </c>
      <c r="L2422" s="513">
        <v>1420</v>
      </c>
      <c r="M2422" s="152" t="s">
        <v>7143</v>
      </c>
      <c r="N2422" s="513" t="s">
        <v>780</v>
      </c>
      <c r="O2422" s="513" t="s">
        <v>781</v>
      </c>
      <c r="P2422" s="513" t="s">
        <v>7337</v>
      </c>
      <c r="Q2422" s="518" t="s">
        <v>7101</v>
      </c>
      <c r="R2422" s="152" t="s">
        <v>7338</v>
      </c>
      <c r="S2422" s="152" t="s">
        <v>7389</v>
      </c>
      <c r="T2422" s="152" t="s">
        <v>7340</v>
      </c>
      <c r="U2422" s="152" t="s">
        <v>786</v>
      </c>
    </row>
    <row r="2423" spans="4:21">
      <c r="D2423" s="210"/>
      <c r="G2423" s="152" t="s">
        <v>354</v>
      </c>
      <c r="H2423" s="474" t="s">
        <v>355</v>
      </c>
      <c r="I2423" s="474"/>
      <c r="J2423" s="847">
        <v>92456.2</v>
      </c>
      <c r="K2423" s="513">
        <v>65.11</v>
      </c>
      <c r="L2423" s="513">
        <v>1420</v>
      </c>
      <c r="M2423" s="152" t="s">
        <v>7143</v>
      </c>
      <c r="N2423" s="513" t="s">
        <v>780</v>
      </c>
      <c r="O2423" s="513" t="s">
        <v>781</v>
      </c>
      <c r="P2423" s="513" t="s">
        <v>7337</v>
      </c>
      <c r="Q2423" s="518" t="s">
        <v>7101</v>
      </c>
      <c r="R2423" s="152" t="s">
        <v>7338</v>
      </c>
      <c r="S2423" s="152" t="s">
        <v>7390</v>
      </c>
      <c r="T2423" s="152" t="s">
        <v>7340</v>
      </c>
      <c r="U2423" s="152" t="s">
        <v>786</v>
      </c>
    </row>
    <row r="2424" spans="4:21">
      <c r="D2424" s="210"/>
      <c r="G2424" s="152" t="s">
        <v>354</v>
      </c>
      <c r="H2424" s="474" t="s">
        <v>355</v>
      </c>
      <c r="I2424" s="474"/>
      <c r="J2424" s="847">
        <v>114807</v>
      </c>
      <c r="K2424" s="513">
        <v>80.849999999999994</v>
      </c>
      <c r="L2424" s="513">
        <v>1420</v>
      </c>
      <c r="M2424" s="152" t="s">
        <v>7143</v>
      </c>
      <c r="N2424" s="513" t="s">
        <v>780</v>
      </c>
      <c r="O2424" s="513" t="s">
        <v>781</v>
      </c>
      <c r="P2424" s="513" t="s">
        <v>7337</v>
      </c>
      <c r="Q2424" s="518" t="s">
        <v>7101</v>
      </c>
      <c r="R2424" s="152" t="s">
        <v>7338</v>
      </c>
      <c r="S2424" s="152" t="s">
        <v>7383</v>
      </c>
      <c r="T2424" s="152" t="s">
        <v>7340</v>
      </c>
      <c r="U2424" s="152" t="s">
        <v>786</v>
      </c>
    </row>
    <row r="2425" spans="4:21">
      <c r="D2425" s="210"/>
      <c r="G2425" s="152" t="s">
        <v>354</v>
      </c>
      <c r="H2425" s="474" t="s">
        <v>355</v>
      </c>
      <c r="I2425" s="474"/>
      <c r="J2425" s="847">
        <v>74067.199999999997</v>
      </c>
      <c r="K2425" s="513">
        <v>52.16</v>
      </c>
      <c r="L2425" s="513">
        <v>1420</v>
      </c>
      <c r="M2425" s="152" t="s">
        <v>7143</v>
      </c>
      <c r="N2425" s="513" t="s">
        <v>780</v>
      </c>
      <c r="O2425" s="513" t="s">
        <v>781</v>
      </c>
      <c r="P2425" s="513" t="s">
        <v>7337</v>
      </c>
      <c r="Q2425" s="518" t="s">
        <v>7101</v>
      </c>
      <c r="R2425" s="152" t="s">
        <v>7338</v>
      </c>
      <c r="S2425" s="152" t="s">
        <v>7391</v>
      </c>
      <c r="T2425" s="152" t="s">
        <v>7340</v>
      </c>
      <c r="U2425" s="152" t="s">
        <v>786</v>
      </c>
    </row>
    <row r="2426" spans="4:21">
      <c r="D2426" s="210"/>
      <c r="G2426" s="152" t="s">
        <v>354</v>
      </c>
      <c r="H2426" s="474" t="s">
        <v>355</v>
      </c>
      <c r="I2426" s="474"/>
      <c r="J2426" s="847">
        <v>61216.2</v>
      </c>
      <c r="K2426" s="513">
        <v>43.11</v>
      </c>
      <c r="L2426" s="513">
        <v>1420</v>
      </c>
      <c r="M2426" s="152" t="s">
        <v>7143</v>
      </c>
      <c r="N2426" s="513" t="s">
        <v>780</v>
      </c>
      <c r="O2426" s="513" t="s">
        <v>781</v>
      </c>
      <c r="P2426" s="513" t="s">
        <v>7337</v>
      </c>
      <c r="Q2426" s="518" t="s">
        <v>7101</v>
      </c>
      <c r="R2426" s="152" t="s">
        <v>7338</v>
      </c>
      <c r="S2426" s="152" t="s">
        <v>7392</v>
      </c>
      <c r="T2426" s="152" t="s">
        <v>7340</v>
      </c>
      <c r="U2426" s="152" t="s">
        <v>786</v>
      </c>
    </row>
    <row r="2427" spans="4:21">
      <c r="D2427" s="210"/>
      <c r="G2427" s="152" t="s">
        <v>354</v>
      </c>
      <c r="H2427" s="474" t="s">
        <v>355</v>
      </c>
      <c r="I2427" s="474"/>
      <c r="J2427" s="847">
        <v>90411.4</v>
      </c>
      <c r="K2427" s="513">
        <v>63.67</v>
      </c>
      <c r="L2427" s="513">
        <v>1420</v>
      </c>
      <c r="M2427" s="152" t="s">
        <v>7143</v>
      </c>
      <c r="N2427" s="513" t="s">
        <v>780</v>
      </c>
      <c r="O2427" s="513" t="s">
        <v>781</v>
      </c>
      <c r="P2427" s="513" t="s">
        <v>7337</v>
      </c>
      <c r="Q2427" s="518" t="s">
        <v>7101</v>
      </c>
      <c r="R2427" s="152" t="s">
        <v>7338</v>
      </c>
      <c r="S2427" s="152" t="s">
        <v>7393</v>
      </c>
      <c r="T2427" s="152" t="s">
        <v>7340</v>
      </c>
      <c r="U2427" s="152" t="s">
        <v>786</v>
      </c>
    </row>
    <row r="2428" spans="4:21">
      <c r="D2428" s="210"/>
      <c r="G2428" s="152" t="s">
        <v>354</v>
      </c>
      <c r="H2428" s="474" t="s">
        <v>355</v>
      </c>
      <c r="I2428" s="474"/>
      <c r="J2428" s="847">
        <v>65845.399999999994</v>
      </c>
      <c r="K2428" s="513">
        <v>46.37</v>
      </c>
      <c r="L2428" s="513">
        <v>1420</v>
      </c>
      <c r="M2428" s="152" t="s">
        <v>7143</v>
      </c>
      <c r="N2428" s="513" t="s">
        <v>780</v>
      </c>
      <c r="O2428" s="513" t="s">
        <v>781</v>
      </c>
      <c r="P2428" s="513" t="s">
        <v>7337</v>
      </c>
      <c r="Q2428" s="518" t="s">
        <v>7101</v>
      </c>
      <c r="R2428" s="152" t="s">
        <v>7338</v>
      </c>
      <c r="S2428" s="152" t="s">
        <v>7382</v>
      </c>
      <c r="T2428" s="152" t="s">
        <v>7340</v>
      </c>
      <c r="U2428" s="152" t="s">
        <v>786</v>
      </c>
    </row>
    <row r="2429" spans="4:21">
      <c r="D2429" s="210"/>
      <c r="G2429" s="152" t="s">
        <v>354</v>
      </c>
      <c r="H2429" s="474" t="s">
        <v>355</v>
      </c>
      <c r="I2429" s="474"/>
      <c r="J2429" s="847">
        <v>71610.600000000006</v>
      </c>
      <c r="K2429" s="513">
        <v>50.43</v>
      </c>
      <c r="L2429" s="513">
        <v>1420</v>
      </c>
      <c r="M2429" s="152" t="s">
        <v>7143</v>
      </c>
      <c r="N2429" s="513" t="s">
        <v>780</v>
      </c>
      <c r="O2429" s="513" t="s">
        <v>781</v>
      </c>
      <c r="P2429" s="513" t="s">
        <v>7337</v>
      </c>
      <c r="Q2429" s="518" t="s">
        <v>7101</v>
      </c>
      <c r="R2429" s="152" t="s">
        <v>7338</v>
      </c>
      <c r="S2429" s="152" t="s">
        <v>7381</v>
      </c>
      <c r="T2429" s="152" t="s">
        <v>7340</v>
      </c>
      <c r="U2429" s="152" t="s">
        <v>786</v>
      </c>
    </row>
    <row r="2430" spans="4:21">
      <c r="D2430" s="210"/>
      <c r="G2430" s="152" t="s">
        <v>354</v>
      </c>
      <c r="H2430" s="474" t="s">
        <v>355</v>
      </c>
      <c r="I2430" s="474"/>
      <c r="J2430" s="847">
        <v>66228.800000000003</v>
      </c>
      <c r="K2430" s="513">
        <v>46.64</v>
      </c>
      <c r="L2430" s="513">
        <v>1420</v>
      </c>
      <c r="M2430" s="152" t="s">
        <v>7143</v>
      </c>
      <c r="N2430" s="513" t="s">
        <v>780</v>
      </c>
      <c r="O2430" s="513" t="s">
        <v>781</v>
      </c>
      <c r="P2430" s="513" t="s">
        <v>7337</v>
      </c>
      <c r="Q2430" s="518" t="s">
        <v>7101</v>
      </c>
      <c r="R2430" s="152" t="s">
        <v>7338</v>
      </c>
      <c r="S2430" s="152" t="s">
        <v>7380</v>
      </c>
      <c r="T2430" s="152" t="s">
        <v>7340</v>
      </c>
      <c r="U2430" s="152" t="s">
        <v>786</v>
      </c>
    </row>
    <row r="2431" spans="4:21">
      <c r="D2431" s="210"/>
      <c r="G2431" s="152" t="s">
        <v>354</v>
      </c>
      <c r="H2431" s="474" t="s">
        <v>355</v>
      </c>
      <c r="I2431" s="474"/>
      <c r="J2431" s="847">
        <v>61727.4</v>
      </c>
      <c r="K2431" s="513">
        <v>43.47</v>
      </c>
      <c r="L2431" s="513">
        <v>1420</v>
      </c>
      <c r="M2431" s="152" t="s">
        <v>7143</v>
      </c>
      <c r="N2431" s="513" t="s">
        <v>780</v>
      </c>
      <c r="O2431" s="513" t="s">
        <v>781</v>
      </c>
      <c r="P2431" s="513" t="s">
        <v>7337</v>
      </c>
      <c r="Q2431" s="518" t="s">
        <v>7101</v>
      </c>
      <c r="R2431" s="152" t="s">
        <v>7338</v>
      </c>
      <c r="S2431" s="152" t="s">
        <v>7379</v>
      </c>
      <c r="T2431" s="152" t="s">
        <v>7340</v>
      </c>
      <c r="U2431" s="152" t="s">
        <v>786</v>
      </c>
    </row>
    <row r="2432" spans="4:21">
      <c r="D2432" s="210"/>
      <c r="G2432" s="152" t="s">
        <v>354</v>
      </c>
      <c r="H2432" s="474" t="s">
        <v>355</v>
      </c>
      <c r="I2432" s="474"/>
      <c r="J2432" s="847">
        <v>88608</v>
      </c>
      <c r="K2432" s="513">
        <v>62.4</v>
      </c>
      <c r="L2432" s="513">
        <v>1420</v>
      </c>
      <c r="M2432" s="152" t="s">
        <v>7143</v>
      </c>
      <c r="N2432" s="513" t="s">
        <v>780</v>
      </c>
      <c r="O2432" s="513" t="s">
        <v>781</v>
      </c>
      <c r="P2432" s="513" t="s">
        <v>7337</v>
      </c>
      <c r="Q2432" s="518" t="s">
        <v>7101</v>
      </c>
      <c r="R2432" s="152" t="s">
        <v>7338</v>
      </c>
      <c r="S2432" s="152" t="s">
        <v>7378</v>
      </c>
      <c r="T2432" s="152" t="s">
        <v>7340</v>
      </c>
      <c r="U2432" s="152" t="s">
        <v>786</v>
      </c>
    </row>
    <row r="2433" spans="4:21">
      <c r="D2433" s="210"/>
      <c r="G2433" s="152" t="s">
        <v>354</v>
      </c>
      <c r="H2433" s="474" t="s">
        <v>355</v>
      </c>
      <c r="I2433" s="474"/>
      <c r="J2433" s="847">
        <v>74848.2</v>
      </c>
      <c r="K2433" s="513">
        <v>52.71</v>
      </c>
      <c r="L2433" s="513">
        <v>1420</v>
      </c>
      <c r="M2433" s="152" t="s">
        <v>7143</v>
      </c>
      <c r="N2433" s="513" t="s">
        <v>780</v>
      </c>
      <c r="O2433" s="513" t="s">
        <v>781</v>
      </c>
      <c r="P2433" s="513" t="s">
        <v>7337</v>
      </c>
      <c r="Q2433" s="518" t="s">
        <v>7101</v>
      </c>
      <c r="R2433" s="152" t="s">
        <v>7338</v>
      </c>
      <c r="S2433" s="152" t="s">
        <v>7377</v>
      </c>
      <c r="T2433" s="152" t="s">
        <v>7340</v>
      </c>
      <c r="U2433" s="152" t="s">
        <v>786</v>
      </c>
    </row>
    <row r="2434" spans="4:21">
      <c r="D2434" s="210"/>
      <c r="G2434" s="152" t="s">
        <v>354</v>
      </c>
      <c r="H2434" s="474" t="s">
        <v>355</v>
      </c>
      <c r="I2434" s="474"/>
      <c r="J2434" s="847">
        <v>126536.2</v>
      </c>
      <c r="K2434" s="513">
        <v>89.11</v>
      </c>
      <c r="L2434" s="513">
        <v>1420</v>
      </c>
      <c r="M2434" s="152" t="s">
        <v>7143</v>
      </c>
      <c r="N2434" s="513" t="s">
        <v>780</v>
      </c>
      <c r="O2434" s="513" t="s">
        <v>781</v>
      </c>
      <c r="P2434" s="513" t="s">
        <v>7337</v>
      </c>
      <c r="Q2434" s="518" t="s">
        <v>7101</v>
      </c>
      <c r="R2434" s="152" t="s">
        <v>7338</v>
      </c>
      <c r="S2434" s="152" t="s">
        <v>7376</v>
      </c>
      <c r="T2434" s="152" t="s">
        <v>7340</v>
      </c>
      <c r="U2434" s="152" t="s">
        <v>786</v>
      </c>
    </row>
    <row r="2435" spans="4:21">
      <c r="D2435" s="210"/>
      <c r="G2435" s="152" t="s">
        <v>354</v>
      </c>
      <c r="H2435" s="474" t="s">
        <v>355</v>
      </c>
      <c r="I2435" s="474"/>
      <c r="J2435" s="847">
        <v>72022.399999999994</v>
      </c>
      <c r="K2435" s="513">
        <v>50.72</v>
      </c>
      <c r="L2435" s="513">
        <v>1420</v>
      </c>
      <c r="M2435" s="152" t="s">
        <v>7143</v>
      </c>
      <c r="N2435" s="513" t="s">
        <v>780</v>
      </c>
      <c r="O2435" s="513" t="s">
        <v>781</v>
      </c>
      <c r="P2435" s="513" t="s">
        <v>7337</v>
      </c>
      <c r="Q2435" s="518" t="s">
        <v>7101</v>
      </c>
      <c r="R2435" s="152" t="s">
        <v>7338</v>
      </c>
      <c r="S2435" s="152" t="s">
        <v>7394</v>
      </c>
      <c r="T2435" s="152" t="s">
        <v>7340</v>
      </c>
      <c r="U2435" s="152" t="s">
        <v>786</v>
      </c>
    </row>
    <row r="2436" spans="4:21">
      <c r="D2436" s="210"/>
      <c r="G2436" s="152" t="s">
        <v>354</v>
      </c>
      <c r="H2436" s="474" t="s">
        <v>355</v>
      </c>
      <c r="I2436" s="474"/>
      <c r="J2436" s="847">
        <v>55039.199999999997</v>
      </c>
      <c r="K2436" s="513">
        <v>38.76</v>
      </c>
      <c r="L2436" s="513">
        <v>1420</v>
      </c>
      <c r="M2436" s="152" t="s">
        <v>7143</v>
      </c>
      <c r="N2436" s="513" t="s">
        <v>780</v>
      </c>
      <c r="O2436" s="513" t="s">
        <v>781</v>
      </c>
      <c r="P2436" s="513" t="s">
        <v>7337</v>
      </c>
      <c r="Q2436" s="518" t="s">
        <v>7101</v>
      </c>
      <c r="R2436" s="152" t="s">
        <v>7338</v>
      </c>
      <c r="S2436" s="152" t="s">
        <v>7395</v>
      </c>
      <c r="T2436" s="152" t="s">
        <v>7340</v>
      </c>
      <c r="U2436" s="152" t="s">
        <v>786</v>
      </c>
    </row>
    <row r="2437" spans="4:21">
      <c r="D2437" s="210"/>
      <c r="G2437" s="152" t="s">
        <v>354</v>
      </c>
      <c r="H2437" s="474" t="s">
        <v>355</v>
      </c>
      <c r="I2437" s="474"/>
      <c r="J2437" s="847">
        <v>41918.400000000001</v>
      </c>
      <c r="K2437" s="513">
        <v>29.52</v>
      </c>
      <c r="L2437" s="513">
        <v>1420</v>
      </c>
      <c r="M2437" s="152" t="s">
        <v>7143</v>
      </c>
      <c r="N2437" s="513" t="s">
        <v>780</v>
      </c>
      <c r="O2437" s="513" t="s">
        <v>781</v>
      </c>
      <c r="P2437" s="513" t="s">
        <v>7337</v>
      </c>
      <c r="Q2437" s="518" t="s">
        <v>7101</v>
      </c>
      <c r="R2437" s="152" t="s">
        <v>7338</v>
      </c>
      <c r="S2437" s="152" t="s">
        <v>7396</v>
      </c>
      <c r="T2437" s="152" t="s">
        <v>7340</v>
      </c>
      <c r="U2437" s="152" t="s">
        <v>786</v>
      </c>
    </row>
    <row r="2438" spans="4:21">
      <c r="D2438" s="210"/>
      <c r="G2438" s="152" t="s">
        <v>354</v>
      </c>
      <c r="H2438" s="474" t="s">
        <v>355</v>
      </c>
      <c r="I2438" s="474"/>
      <c r="J2438" s="847">
        <v>166921</v>
      </c>
      <c r="K2438" s="513">
        <v>117.55</v>
      </c>
      <c r="L2438" s="513">
        <v>1420</v>
      </c>
      <c r="M2438" s="152" t="s">
        <v>7143</v>
      </c>
      <c r="N2438" s="513" t="s">
        <v>780</v>
      </c>
      <c r="O2438" s="513" t="s">
        <v>781</v>
      </c>
      <c r="P2438" s="513" t="s">
        <v>7337</v>
      </c>
      <c r="Q2438" s="518" t="s">
        <v>7101</v>
      </c>
      <c r="R2438" s="152" t="s">
        <v>7338</v>
      </c>
      <c r="S2438" s="152" t="s">
        <v>7397</v>
      </c>
      <c r="T2438" s="152" t="s">
        <v>7340</v>
      </c>
      <c r="U2438" s="152" t="s">
        <v>786</v>
      </c>
    </row>
    <row r="2439" spans="4:21">
      <c r="D2439" s="210"/>
      <c r="G2439" s="152" t="s">
        <v>354</v>
      </c>
      <c r="H2439" s="474" t="s">
        <v>355</v>
      </c>
      <c r="I2439" s="474"/>
      <c r="J2439" s="847">
        <v>204338</v>
      </c>
      <c r="K2439" s="513">
        <v>143.9</v>
      </c>
      <c r="L2439" s="513">
        <v>1420</v>
      </c>
      <c r="M2439" s="152" t="s">
        <v>7143</v>
      </c>
      <c r="N2439" s="513" t="s">
        <v>780</v>
      </c>
      <c r="O2439" s="513" t="s">
        <v>781</v>
      </c>
      <c r="P2439" s="513" t="s">
        <v>7337</v>
      </c>
      <c r="Q2439" s="518" t="s">
        <v>7101</v>
      </c>
      <c r="R2439" s="152" t="s">
        <v>7338</v>
      </c>
      <c r="S2439" s="152" t="s">
        <v>7398</v>
      </c>
      <c r="T2439" s="152" t="s">
        <v>7340</v>
      </c>
      <c r="U2439" s="152" t="s">
        <v>786</v>
      </c>
    </row>
    <row r="2440" spans="4:21">
      <c r="D2440" s="210"/>
      <c r="G2440" s="152" t="s">
        <v>354</v>
      </c>
      <c r="H2440" s="474" t="s">
        <v>355</v>
      </c>
      <c r="I2440" s="474"/>
      <c r="J2440" s="847">
        <v>114963.2</v>
      </c>
      <c r="K2440" s="513">
        <v>80.959999999999994</v>
      </c>
      <c r="L2440" s="513">
        <v>1420</v>
      </c>
      <c r="M2440" s="152" t="s">
        <v>7143</v>
      </c>
      <c r="N2440" s="513" t="s">
        <v>780</v>
      </c>
      <c r="O2440" s="513" t="s">
        <v>781</v>
      </c>
      <c r="P2440" s="513" t="s">
        <v>7337</v>
      </c>
      <c r="Q2440" s="518" t="s">
        <v>7101</v>
      </c>
      <c r="R2440" s="152" t="s">
        <v>7338</v>
      </c>
      <c r="S2440" s="152" t="s">
        <v>7399</v>
      </c>
      <c r="T2440" s="152" t="s">
        <v>7340</v>
      </c>
      <c r="U2440" s="152" t="s">
        <v>786</v>
      </c>
    </row>
    <row r="2441" spans="4:21">
      <c r="D2441" s="210"/>
      <c r="G2441" s="152" t="s">
        <v>354</v>
      </c>
      <c r="H2441" s="474" t="s">
        <v>355</v>
      </c>
      <c r="I2441" s="474"/>
      <c r="J2441" s="847">
        <v>101331.2</v>
      </c>
      <c r="K2441" s="513">
        <v>71.36</v>
      </c>
      <c r="L2441" s="513">
        <v>1420</v>
      </c>
      <c r="M2441" s="152" t="s">
        <v>7143</v>
      </c>
      <c r="N2441" s="513" t="s">
        <v>780</v>
      </c>
      <c r="O2441" s="513" t="s">
        <v>781</v>
      </c>
      <c r="P2441" s="513" t="s">
        <v>7337</v>
      </c>
      <c r="Q2441" s="518" t="s">
        <v>7101</v>
      </c>
      <c r="R2441" s="152" t="s">
        <v>7338</v>
      </c>
      <c r="S2441" s="152" t="s">
        <v>7375</v>
      </c>
      <c r="T2441" s="152" t="s">
        <v>7340</v>
      </c>
      <c r="U2441" s="152" t="s">
        <v>786</v>
      </c>
    </row>
    <row r="2442" spans="4:21">
      <c r="D2442" s="210"/>
      <c r="G2442" s="152" t="s">
        <v>354</v>
      </c>
      <c r="H2442" s="474" t="s">
        <v>355</v>
      </c>
      <c r="I2442" s="474"/>
      <c r="J2442" s="847">
        <v>115218.8</v>
      </c>
      <c r="K2442" s="513">
        <v>81.14</v>
      </c>
      <c r="L2442" s="513">
        <v>1420</v>
      </c>
      <c r="M2442" s="152" t="s">
        <v>7143</v>
      </c>
      <c r="N2442" s="513" t="s">
        <v>780</v>
      </c>
      <c r="O2442" s="513" t="s">
        <v>781</v>
      </c>
      <c r="P2442" s="513" t="s">
        <v>7337</v>
      </c>
      <c r="Q2442" s="518" t="s">
        <v>7101</v>
      </c>
      <c r="R2442" s="152" t="s">
        <v>7338</v>
      </c>
      <c r="S2442" s="152" t="s">
        <v>7400</v>
      </c>
      <c r="T2442" s="152" t="s">
        <v>7340</v>
      </c>
      <c r="U2442" s="152" t="s">
        <v>786</v>
      </c>
    </row>
    <row r="2443" spans="4:21">
      <c r="D2443" s="210"/>
      <c r="G2443" s="152" t="s">
        <v>354</v>
      </c>
      <c r="H2443" s="474" t="s">
        <v>355</v>
      </c>
      <c r="I2443" s="474"/>
      <c r="J2443" s="847">
        <v>148659.79999999999</v>
      </c>
      <c r="K2443" s="513">
        <v>104.69</v>
      </c>
      <c r="L2443" s="513">
        <v>1420</v>
      </c>
      <c r="M2443" s="152" t="s">
        <v>7143</v>
      </c>
      <c r="N2443" s="513" t="s">
        <v>780</v>
      </c>
      <c r="O2443" s="513" t="s">
        <v>781</v>
      </c>
      <c r="P2443" s="513" t="s">
        <v>7337</v>
      </c>
      <c r="Q2443" s="518" t="s">
        <v>7101</v>
      </c>
      <c r="R2443" s="152" t="s">
        <v>7338</v>
      </c>
      <c r="S2443" s="152" t="s">
        <v>7401</v>
      </c>
      <c r="T2443" s="152" t="s">
        <v>7340</v>
      </c>
      <c r="U2443" s="152" t="s">
        <v>786</v>
      </c>
    </row>
    <row r="2444" spans="4:21">
      <c r="D2444" s="210"/>
      <c r="G2444" s="152" t="s">
        <v>354</v>
      </c>
      <c r="H2444" s="474" t="s">
        <v>355</v>
      </c>
      <c r="I2444" s="474"/>
      <c r="J2444" s="847">
        <v>79065.600000000006</v>
      </c>
      <c r="K2444" s="513">
        <v>55.68</v>
      </c>
      <c r="L2444" s="513">
        <v>1420</v>
      </c>
      <c r="M2444" s="152" t="s">
        <v>7143</v>
      </c>
      <c r="N2444" s="513" t="s">
        <v>780</v>
      </c>
      <c r="O2444" s="513" t="s">
        <v>781</v>
      </c>
      <c r="P2444" s="513" t="s">
        <v>7337</v>
      </c>
      <c r="Q2444" s="518" t="s">
        <v>7101</v>
      </c>
      <c r="R2444" s="152" t="s">
        <v>7338</v>
      </c>
      <c r="S2444" s="152" t="s">
        <v>7402</v>
      </c>
      <c r="T2444" s="152" t="s">
        <v>7340</v>
      </c>
      <c r="U2444" s="152" t="s">
        <v>786</v>
      </c>
    </row>
    <row r="2445" spans="4:21">
      <c r="D2445" s="210"/>
      <c r="G2445" s="152" t="s">
        <v>354</v>
      </c>
      <c r="H2445" s="474" t="s">
        <v>355</v>
      </c>
      <c r="I2445" s="474"/>
      <c r="J2445" s="847">
        <v>407213.4</v>
      </c>
      <c r="K2445" s="513">
        <v>286.77</v>
      </c>
      <c r="L2445" s="513">
        <v>1420</v>
      </c>
      <c r="M2445" s="152" t="s">
        <v>7143</v>
      </c>
      <c r="N2445" s="513" t="s">
        <v>780</v>
      </c>
      <c r="O2445" s="513" t="s">
        <v>781</v>
      </c>
      <c r="P2445" s="513" t="s">
        <v>7337</v>
      </c>
      <c r="Q2445" s="518" t="s">
        <v>7101</v>
      </c>
      <c r="R2445" s="152" t="s">
        <v>7338</v>
      </c>
      <c r="S2445" s="152" t="s">
        <v>7374</v>
      </c>
      <c r="T2445" s="152" t="s">
        <v>7340</v>
      </c>
      <c r="U2445" s="152" t="s">
        <v>786</v>
      </c>
    </row>
    <row r="2446" spans="4:21">
      <c r="D2446" s="210"/>
      <c r="G2446" s="152" t="s">
        <v>354</v>
      </c>
      <c r="H2446" s="474" t="s">
        <v>355</v>
      </c>
      <c r="I2446" s="474"/>
      <c r="J2446" s="847">
        <v>-122262</v>
      </c>
      <c r="K2446" s="513">
        <v>-86.1</v>
      </c>
      <c r="L2446" s="513">
        <v>1420</v>
      </c>
      <c r="M2446" s="152" t="s">
        <v>7143</v>
      </c>
      <c r="N2446" s="513" t="s">
        <v>780</v>
      </c>
      <c r="O2446" s="513" t="s">
        <v>781</v>
      </c>
      <c r="P2446" s="513" t="s">
        <v>7754</v>
      </c>
      <c r="Q2446" s="518" t="s">
        <v>7101</v>
      </c>
      <c r="R2446" s="152" t="s">
        <v>7755</v>
      </c>
      <c r="S2446" s="152" t="s">
        <v>7759</v>
      </c>
      <c r="T2446" s="152" t="s">
        <v>7756</v>
      </c>
      <c r="U2446" s="152" t="s">
        <v>786</v>
      </c>
    </row>
    <row r="2447" spans="4:21">
      <c r="D2447" s="210"/>
      <c r="G2447" s="152" t="s">
        <v>354</v>
      </c>
      <c r="H2447" s="474" t="s">
        <v>355</v>
      </c>
      <c r="I2447" s="474"/>
      <c r="J2447" s="847">
        <v>-85611.8</v>
      </c>
      <c r="K2447" s="513">
        <v>-60.29</v>
      </c>
      <c r="L2447" s="513">
        <v>1420</v>
      </c>
      <c r="M2447" s="152" t="s">
        <v>7143</v>
      </c>
      <c r="N2447" s="513" t="s">
        <v>780</v>
      </c>
      <c r="O2447" s="513" t="s">
        <v>781</v>
      </c>
      <c r="P2447" s="513" t="s">
        <v>7754</v>
      </c>
      <c r="Q2447" s="518" t="s">
        <v>7101</v>
      </c>
      <c r="R2447" s="152" t="s">
        <v>7755</v>
      </c>
      <c r="S2447" s="152" t="s">
        <v>7761</v>
      </c>
      <c r="T2447" s="152" t="s">
        <v>7756</v>
      </c>
      <c r="U2447" s="152" t="s">
        <v>786</v>
      </c>
    </row>
    <row r="2448" spans="4:21">
      <c r="D2448" s="210"/>
      <c r="G2448" s="152" t="s">
        <v>354</v>
      </c>
      <c r="H2448" s="474" t="s">
        <v>355</v>
      </c>
      <c r="I2448" s="474"/>
      <c r="J2448" s="847">
        <v>-72320.600000000006</v>
      </c>
      <c r="K2448" s="513">
        <v>-50.93</v>
      </c>
      <c r="L2448" s="513">
        <v>1420</v>
      </c>
      <c r="M2448" s="152" t="s">
        <v>7143</v>
      </c>
      <c r="N2448" s="513" t="s">
        <v>780</v>
      </c>
      <c r="O2448" s="513" t="s">
        <v>781</v>
      </c>
      <c r="P2448" s="513" t="s">
        <v>7754</v>
      </c>
      <c r="Q2448" s="518" t="s">
        <v>7101</v>
      </c>
      <c r="R2448" s="152" t="s">
        <v>7755</v>
      </c>
      <c r="S2448" s="152" t="s">
        <v>7764</v>
      </c>
      <c r="T2448" s="152" t="s">
        <v>7756</v>
      </c>
      <c r="U2448" s="152" t="s">
        <v>786</v>
      </c>
    </row>
    <row r="2449" spans="4:21">
      <c r="D2449" s="210"/>
      <c r="G2449" s="152" t="s">
        <v>354</v>
      </c>
      <c r="H2449" s="474" t="s">
        <v>355</v>
      </c>
      <c r="I2449" s="474"/>
      <c r="J2449" s="847">
        <v>-59640</v>
      </c>
      <c r="K2449" s="513">
        <v>-42</v>
      </c>
      <c r="L2449" s="513">
        <v>1420</v>
      </c>
      <c r="M2449" s="152" t="s">
        <v>7143</v>
      </c>
      <c r="N2449" s="513" t="s">
        <v>780</v>
      </c>
      <c r="O2449" s="513" t="s">
        <v>781</v>
      </c>
      <c r="P2449" s="513" t="s">
        <v>7754</v>
      </c>
      <c r="Q2449" s="518" t="s">
        <v>7101</v>
      </c>
      <c r="R2449" s="152" t="s">
        <v>7755</v>
      </c>
      <c r="S2449" s="152" t="s">
        <v>7765</v>
      </c>
      <c r="T2449" s="152" t="s">
        <v>7756</v>
      </c>
      <c r="U2449" s="152" t="s">
        <v>786</v>
      </c>
    </row>
    <row r="2450" spans="4:21">
      <c r="D2450" s="210"/>
      <c r="G2450" s="152" t="s">
        <v>354</v>
      </c>
      <c r="H2450" s="474" t="s">
        <v>355</v>
      </c>
      <c r="I2450" s="474"/>
      <c r="J2450" s="847">
        <v>-69182.399999999994</v>
      </c>
      <c r="K2450" s="513">
        <v>-48.72</v>
      </c>
      <c r="L2450" s="513">
        <v>1420</v>
      </c>
      <c r="M2450" s="152" t="s">
        <v>7143</v>
      </c>
      <c r="N2450" s="513" t="s">
        <v>780</v>
      </c>
      <c r="O2450" s="513" t="s">
        <v>781</v>
      </c>
      <c r="P2450" s="513" t="s">
        <v>7754</v>
      </c>
      <c r="Q2450" s="518" t="s">
        <v>7101</v>
      </c>
      <c r="R2450" s="152" t="s">
        <v>7755</v>
      </c>
      <c r="S2450" s="152" t="s">
        <v>7766</v>
      </c>
      <c r="T2450" s="152" t="s">
        <v>7756</v>
      </c>
      <c r="U2450" s="152" t="s">
        <v>786</v>
      </c>
    </row>
    <row r="2451" spans="4:21">
      <c r="D2451" s="210"/>
      <c r="G2451" s="152" t="s">
        <v>354</v>
      </c>
      <c r="H2451" s="474" t="s">
        <v>355</v>
      </c>
      <c r="I2451" s="474"/>
      <c r="J2451" s="847">
        <v>-111328</v>
      </c>
      <c r="K2451" s="513">
        <v>-78.400000000000006</v>
      </c>
      <c r="L2451" s="513">
        <v>1420</v>
      </c>
      <c r="M2451" s="152" t="s">
        <v>7143</v>
      </c>
      <c r="N2451" s="513" t="s">
        <v>780</v>
      </c>
      <c r="O2451" s="513" t="s">
        <v>781</v>
      </c>
      <c r="P2451" s="513" t="s">
        <v>7754</v>
      </c>
      <c r="Q2451" s="518" t="s">
        <v>7101</v>
      </c>
      <c r="R2451" s="152" t="s">
        <v>7755</v>
      </c>
      <c r="S2451" s="152" t="s">
        <v>7767</v>
      </c>
      <c r="T2451" s="152" t="s">
        <v>7756</v>
      </c>
      <c r="U2451" s="152" t="s">
        <v>786</v>
      </c>
    </row>
    <row r="2452" spans="4:21">
      <c r="D2452" s="210"/>
      <c r="G2452" s="152" t="s">
        <v>354</v>
      </c>
      <c r="H2452" s="474" t="s">
        <v>355</v>
      </c>
      <c r="I2452" s="474"/>
      <c r="J2452" s="847">
        <v>-71568</v>
      </c>
      <c r="K2452" s="513">
        <v>-50.4</v>
      </c>
      <c r="L2452" s="513">
        <v>1420</v>
      </c>
      <c r="M2452" s="152" t="s">
        <v>7143</v>
      </c>
      <c r="N2452" s="513" t="s">
        <v>780</v>
      </c>
      <c r="O2452" s="513" t="s">
        <v>781</v>
      </c>
      <c r="P2452" s="513" t="s">
        <v>7754</v>
      </c>
      <c r="Q2452" s="518" t="s">
        <v>7101</v>
      </c>
      <c r="R2452" s="152" t="s">
        <v>7755</v>
      </c>
      <c r="S2452" s="152" t="s">
        <v>7770</v>
      </c>
      <c r="T2452" s="152" t="s">
        <v>7756</v>
      </c>
      <c r="U2452" s="152" t="s">
        <v>786</v>
      </c>
    </row>
    <row r="2453" spans="4:21">
      <c r="D2453" s="210"/>
      <c r="G2453" s="152" t="s">
        <v>354</v>
      </c>
      <c r="H2453" s="474" t="s">
        <v>355</v>
      </c>
      <c r="I2453" s="474"/>
      <c r="J2453" s="847">
        <v>-340942</v>
      </c>
      <c r="K2453" s="513">
        <v>-240.1</v>
      </c>
      <c r="L2453" s="513">
        <v>1420</v>
      </c>
      <c r="M2453" s="152" t="s">
        <v>7143</v>
      </c>
      <c r="N2453" s="513" t="s">
        <v>780</v>
      </c>
      <c r="O2453" s="513" t="s">
        <v>781</v>
      </c>
      <c r="P2453" s="513" t="s">
        <v>7754</v>
      </c>
      <c r="Q2453" s="518" t="s">
        <v>7101</v>
      </c>
      <c r="R2453" s="152" t="s">
        <v>7755</v>
      </c>
      <c r="S2453" s="152" t="s">
        <v>7758</v>
      </c>
      <c r="T2453" s="152" t="s">
        <v>7756</v>
      </c>
      <c r="U2453" s="152" t="s">
        <v>786</v>
      </c>
    </row>
    <row r="2454" spans="4:21">
      <c r="D2454" s="210"/>
      <c r="G2454" s="152" t="s">
        <v>354</v>
      </c>
      <c r="H2454" s="474" t="s">
        <v>355</v>
      </c>
      <c r="I2454" s="474"/>
      <c r="J2454" s="847">
        <v>-59143</v>
      </c>
      <c r="K2454" s="513">
        <v>-41.65</v>
      </c>
      <c r="L2454" s="513">
        <v>1420</v>
      </c>
      <c r="M2454" s="152" t="s">
        <v>7143</v>
      </c>
      <c r="N2454" s="513" t="s">
        <v>780</v>
      </c>
      <c r="O2454" s="513" t="s">
        <v>781</v>
      </c>
      <c r="P2454" s="513" t="s">
        <v>7754</v>
      </c>
      <c r="Q2454" s="518" t="s">
        <v>7101</v>
      </c>
      <c r="R2454" s="152" t="s">
        <v>7755</v>
      </c>
      <c r="S2454" s="152" t="s">
        <v>7772</v>
      </c>
      <c r="T2454" s="152" t="s">
        <v>7756</v>
      </c>
      <c r="U2454" s="152" t="s">
        <v>786</v>
      </c>
    </row>
    <row r="2455" spans="4:21">
      <c r="D2455" s="210"/>
      <c r="G2455" s="152" t="s">
        <v>354</v>
      </c>
      <c r="H2455" s="474" t="s">
        <v>355</v>
      </c>
      <c r="I2455" s="474"/>
      <c r="J2455" s="847">
        <v>-143633</v>
      </c>
      <c r="K2455" s="513">
        <v>-101.15</v>
      </c>
      <c r="L2455" s="513">
        <v>1420</v>
      </c>
      <c r="M2455" s="152" t="s">
        <v>7143</v>
      </c>
      <c r="N2455" s="513" t="s">
        <v>780</v>
      </c>
      <c r="O2455" s="513" t="s">
        <v>781</v>
      </c>
      <c r="P2455" s="513" t="s">
        <v>7754</v>
      </c>
      <c r="Q2455" s="518" t="s">
        <v>7101</v>
      </c>
      <c r="R2455" s="152" t="s">
        <v>7755</v>
      </c>
      <c r="S2455" s="152" t="s">
        <v>7774</v>
      </c>
      <c r="T2455" s="152" t="s">
        <v>7756</v>
      </c>
      <c r="U2455" s="152" t="s">
        <v>786</v>
      </c>
    </row>
    <row r="2456" spans="4:21">
      <c r="D2456" s="210"/>
      <c r="G2456" s="152" t="s">
        <v>354</v>
      </c>
      <c r="H2456" s="474" t="s">
        <v>355</v>
      </c>
      <c r="I2456" s="474"/>
      <c r="J2456" s="847">
        <v>-76396</v>
      </c>
      <c r="K2456" s="513">
        <v>-53.8</v>
      </c>
      <c r="L2456" s="513">
        <v>1420</v>
      </c>
      <c r="M2456" s="152" t="s">
        <v>7143</v>
      </c>
      <c r="N2456" s="513" t="s">
        <v>780</v>
      </c>
      <c r="O2456" s="513" t="s">
        <v>781</v>
      </c>
      <c r="P2456" s="513" t="s">
        <v>7754</v>
      </c>
      <c r="Q2456" s="518" t="s">
        <v>7101</v>
      </c>
      <c r="R2456" s="152" t="s">
        <v>7755</v>
      </c>
      <c r="S2456" s="152" t="s">
        <v>7775</v>
      </c>
      <c r="T2456" s="152" t="s">
        <v>7756</v>
      </c>
      <c r="U2456" s="152" t="s">
        <v>786</v>
      </c>
    </row>
    <row r="2457" spans="4:21">
      <c r="D2457" s="210"/>
      <c r="G2457" s="152" t="s">
        <v>354</v>
      </c>
      <c r="H2457" s="474" t="s">
        <v>355</v>
      </c>
      <c r="I2457" s="474"/>
      <c r="J2457" s="847">
        <v>-63616</v>
      </c>
      <c r="K2457" s="513">
        <v>-44.8</v>
      </c>
      <c r="L2457" s="513">
        <v>1420</v>
      </c>
      <c r="M2457" s="152" t="s">
        <v>7143</v>
      </c>
      <c r="N2457" s="513" t="s">
        <v>780</v>
      </c>
      <c r="O2457" s="513" t="s">
        <v>781</v>
      </c>
      <c r="P2457" s="513" t="s">
        <v>7754</v>
      </c>
      <c r="Q2457" s="518" t="s">
        <v>7101</v>
      </c>
      <c r="R2457" s="152" t="s">
        <v>7755</v>
      </c>
      <c r="S2457" s="152" t="s">
        <v>7776</v>
      </c>
      <c r="T2457" s="152" t="s">
        <v>7756</v>
      </c>
      <c r="U2457" s="152" t="s">
        <v>786</v>
      </c>
    </row>
    <row r="2458" spans="4:21">
      <c r="D2458" s="210"/>
      <c r="G2458" s="152" t="s">
        <v>354</v>
      </c>
      <c r="H2458" s="474" t="s">
        <v>355</v>
      </c>
      <c r="I2458" s="474"/>
      <c r="J2458" s="847">
        <v>-110930.4</v>
      </c>
      <c r="K2458" s="513">
        <v>-78.12</v>
      </c>
      <c r="L2458" s="513">
        <v>1420</v>
      </c>
      <c r="M2458" s="152" t="s">
        <v>7143</v>
      </c>
      <c r="N2458" s="513" t="s">
        <v>780</v>
      </c>
      <c r="O2458" s="513" t="s">
        <v>781</v>
      </c>
      <c r="P2458" s="513" t="s">
        <v>7754</v>
      </c>
      <c r="Q2458" s="518" t="s">
        <v>7101</v>
      </c>
      <c r="R2458" s="152" t="s">
        <v>7755</v>
      </c>
      <c r="S2458" s="152" t="s">
        <v>7777</v>
      </c>
      <c r="T2458" s="152" t="s">
        <v>7756</v>
      </c>
      <c r="U2458" s="152" t="s">
        <v>786</v>
      </c>
    </row>
    <row r="2459" spans="4:21">
      <c r="D2459" s="210"/>
      <c r="G2459" s="152" t="s">
        <v>354</v>
      </c>
      <c r="H2459" s="474" t="s">
        <v>355</v>
      </c>
      <c r="I2459" s="474"/>
      <c r="J2459" s="847">
        <v>-472647</v>
      </c>
      <c r="K2459" s="513">
        <v>-332.85</v>
      </c>
      <c r="L2459" s="513">
        <v>1420</v>
      </c>
      <c r="M2459" s="152" t="s">
        <v>7143</v>
      </c>
      <c r="N2459" s="513" t="s">
        <v>780</v>
      </c>
      <c r="O2459" s="513" t="s">
        <v>781</v>
      </c>
      <c r="P2459" s="513" t="s">
        <v>7754</v>
      </c>
      <c r="Q2459" s="518" t="s">
        <v>7101</v>
      </c>
      <c r="R2459" s="152" t="s">
        <v>7755</v>
      </c>
      <c r="S2459" s="152" t="s">
        <v>7779</v>
      </c>
      <c r="T2459" s="152" t="s">
        <v>7756</v>
      </c>
      <c r="U2459" s="152" t="s">
        <v>786</v>
      </c>
    </row>
    <row r="2460" spans="4:21">
      <c r="D2460" s="210"/>
      <c r="G2460" s="152" t="s">
        <v>354</v>
      </c>
      <c r="H2460" s="474" t="s">
        <v>355</v>
      </c>
      <c r="I2460" s="474"/>
      <c r="J2460" s="847">
        <v>-111086.6</v>
      </c>
      <c r="K2460" s="513">
        <v>-78.23</v>
      </c>
      <c r="L2460" s="513">
        <v>1420</v>
      </c>
      <c r="M2460" s="152" t="s">
        <v>7143</v>
      </c>
      <c r="N2460" s="513" t="s">
        <v>780</v>
      </c>
      <c r="O2460" s="513" t="s">
        <v>781</v>
      </c>
      <c r="P2460" s="513" t="s">
        <v>7754</v>
      </c>
      <c r="Q2460" s="518" t="s">
        <v>7101</v>
      </c>
      <c r="R2460" s="152" t="s">
        <v>7755</v>
      </c>
      <c r="S2460" s="152" t="s">
        <v>7781</v>
      </c>
      <c r="T2460" s="152" t="s">
        <v>7756</v>
      </c>
      <c r="U2460" s="152" t="s">
        <v>786</v>
      </c>
    </row>
    <row r="2461" spans="4:21">
      <c r="D2461" s="210"/>
      <c r="G2461" s="152" t="s">
        <v>354</v>
      </c>
      <c r="H2461" s="474" t="s">
        <v>355</v>
      </c>
      <c r="I2461" s="474"/>
      <c r="J2461" s="847">
        <v>-197436.79999999999</v>
      </c>
      <c r="K2461" s="513">
        <v>-139.04</v>
      </c>
      <c r="L2461" s="513">
        <v>1420</v>
      </c>
      <c r="M2461" s="152" t="s">
        <v>7143</v>
      </c>
      <c r="N2461" s="513" t="s">
        <v>780</v>
      </c>
      <c r="O2461" s="513" t="s">
        <v>781</v>
      </c>
      <c r="P2461" s="513" t="s">
        <v>7754</v>
      </c>
      <c r="Q2461" s="518" t="s">
        <v>7101</v>
      </c>
      <c r="R2461" s="152" t="s">
        <v>7755</v>
      </c>
      <c r="S2461" s="152" t="s">
        <v>7773</v>
      </c>
      <c r="T2461" s="152" t="s">
        <v>7756</v>
      </c>
      <c r="U2461" s="152" t="s">
        <v>786</v>
      </c>
    </row>
    <row r="2462" spans="4:21">
      <c r="D2462" s="210"/>
      <c r="G2462" s="152" t="s">
        <v>354</v>
      </c>
      <c r="H2462" s="474" t="s">
        <v>355</v>
      </c>
      <c r="I2462" s="474"/>
      <c r="J2462" s="847">
        <v>-97909</v>
      </c>
      <c r="K2462" s="513">
        <v>-68.95</v>
      </c>
      <c r="L2462" s="513">
        <v>1420</v>
      </c>
      <c r="M2462" s="152" t="s">
        <v>7143</v>
      </c>
      <c r="N2462" s="513" t="s">
        <v>780</v>
      </c>
      <c r="O2462" s="513" t="s">
        <v>781</v>
      </c>
      <c r="P2462" s="513" t="s">
        <v>7754</v>
      </c>
      <c r="Q2462" s="518" t="s">
        <v>7101</v>
      </c>
      <c r="R2462" s="152" t="s">
        <v>7755</v>
      </c>
      <c r="S2462" s="152" t="s">
        <v>7769</v>
      </c>
      <c r="T2462" s="152" t="s">
        <v>7756</v>
      </c>
      <c r="U2462" s="152" t="s">
        <v>786</v>
      </c>
    </row>
    <row r="2463" spans="4:21">
      <c r="D2463" s="210"/>
      <c r="G2463" s="152" t="s">
        <v>354</v>
      </c>
      <c r="H2463" s="474" t="s">
        <v>355</v>
      </c>
      <c r="I2463" s="474"/>
      <c r="J2463" s="847">
        <v>-104341.6</v>
      </c>
      <c r="K2463" s="513">
        <v>-73.48</v>
      </c>
      <c r="L2463" s="513">
        <v>1420</v>
      </c>
      <c r="M2463" s="152" t="s">
        <v>7143</v>
      </c>
      <c r="N2463" s="513" t="s">
        <v>780</v>
      </c>
      <c r="O2463" s="513" t="s">
        <v>781</v>
      </c>
      <c r="P2463" s="513" t="s">
        <v>7754</v>
      </c>
      <c r="Q2463" s="518" t="s">
        <v>7101</v>
      </c>
      <c r="R2463" s="152" t="s">
        <v>7755</v>
      </c>
      <c r="S2463" s="152" t="s">
        <v>7780</v>
      </c>
      <c r="T2463" s="152" t="s">
        <v>7756</v>
      </c>
      <c r="U2463" s="152" t="s">
        <v>786</v>
      </c>
    </row>
    <row r="2464" spans="4:21">
      <c r="D2464" s="210"/>
      <c r="G2464" s="152" t="s">
        <v>354</v>
      </c>
      <c r="H2464" s="474" t="s">
        <v>355</v>
      </c>
      <c r="I2464" s="474"/>
      <c r="J2464" s="847">
        <v>-63985.2</v>
      </c>
      <c r="K2464" s="513">
        <v>-45.06</v>
      </c>
      <c r="L2464" s="513">
        <v>1420</v>
      </c>
      <c r="M2464" s="152" t="s">
        <v>7143</v>
      </c>
      <c r="N2464" s="513" t="s">
        <v>780</v>
      </c>
      <c r="O2464" s="513" t="s">
        <v>781</v>
      </c>
      <c r="P2464" s="513" t="s">
        <v>7754</v>
      </c>
      <c r="Q2464" s="518" t="s">
        <v>7101</v>
      </c>
      <c r="R2464" s="152" t="s">
        <v>7755</v>
      </c>
      <c r="S2464" s="152" t="s">
        <v>7784</v>
      </c>
      <c r="T2464" s="152" t="s">
        <v>7756</v>
      </c>
      <c r="U2464" s="152" t="s">
        <v>786</v>
      </c>
    </row>
    <row r="2465" spans="4:21">
      <c r="D2465" s="210"/>
      <c r="G2465" s="152" t="s">
        <v>354</v>
      </c>
      <c r="H2465" s="474" t="s">
        <v>355</v>
      </c>
      <c r="I2465" s="474"/>
      <c r="J2465" s="847">
        <v>-77035</v>
      </c>
      <c r="K2465" s="513">
        <v>-54.25</v>
      </c>
      <c r="L2465" s="513">
        <v>1420</v>
      </c>
      <c r="M2465" s="152" t="s">
        <v>7143</v>
      </c>
      <c r="N2465" s="513" t="s">
        <v>780</v>
      </c>
      <c r="O2465" s="513" t="s">
        <v>781</v>
      </c>
      <c r="P2465" s="513" t="s">
        <v>7754</v>
      </c>
      <c r="Q2465" s="518" t="s">
        <v>7101</v>
      </c>
      <c r="R2465" s="152" t="s">
        <v>7755</v>
      </c>
      <c r="S2465" s="152" t="s">
        <v>7785</v>
      </c>
      <c r="T2465" s="152" t="s">
        <v>7756</v>
      </c>
      <c r="U2465" s="152" t="s">
        <v>786</v>
      </c>
    </row>
    <row r="2466" spans="4:21">
      <c r="D2466" s="210"/>
      <c r="G2466" s="152" t="s">
        <v>354</v>
      </c>
      <c r="H2466" s="474" t="s">
        <v>355</v>
      </c>
      <c r="I2466" s="474"/>
      <c r="J2466" s="847">
        <v>-100252</v>
      </c>
      <c r="K2466" s="513">
        <v>-70.599999999999994</v>
      </c>
      <c r="L2466" s="513">
        <v>1420</v>
      </c>
      <c r="M2466" s="152" t="s">
        <v>7143</v>
      </c>
      <c r="N2466" s="513" t="s">
        <v>780</v>
      </c>
      <c r="O2466" s="513" t="s">
        <v>781</v>
      </c>
      <c r="P2466" s="513" t="s">
        <v>7754</v>
      </c>
      <c r="Q2466" s="518" t="s">
        <v>7101</v>
      </c>
      <c r="R2466" s="152" t="s">
        <v>7755</v>
      </c>
      <c r="S2466" s="152" t="s">
        <v>7786</v>
      </c>
      <c r="T2466" s="152" t="s">
        <v>7756</v>
      </c>
      <c r="U2466" s="152" t="s">
        <v>786</v>
      </c>
    </row>
    <row r="2467" spans="4:21">
      <c r="D2467" s="210"/>
      <c r="G2467" s="152" t="s">
        <v>354</v>
      </c>
      <c r="H2467" s="474" t="s">
        <v>355</v>
      </c>
      <c r="I2467" s="474"/>
      <c r="J2467" s="847">
        <v>-73655.399999999994</v>
      </c>
      <c r="K2467" s="513">
        <v>-51.87</v>
      </c>
      <c r="L2467" s="513">
        <v>1420</v>
      </c>
      <c r="M2467" s="152" t="s">
        <v>7143</v>
      </c>
      <c r="N2467" s="513" t="s">
        <v>780</v>
      </c>
      <c r="O2467" s="513" t="s">
        <v>781</v>
      </c>
      <c r="P2467" s="513" t="s">
        <v>7754</v>
      </c>
      <c r="Q2467" s="518" t="s">
        <v>7101</v>
      </c>
      <c r="R2467" s="152" t="s">
        <v>7755</v>
      </c>
      <c r="S2467" s="152" t="s">
        <v>7787</v>
      </c>
      <c r="T2467" s="152" t="s">
        <v>7756</v>
      </c>
      <c r="U2467" s="152" t="s">
        <v>786</v>
      </c>
    </row>
    <row r="2468" spans="4:21">
      <c r="D2468" s="210"/>
      <c r="G2468" s="152" t="s">
        <v>354</v>
      </c>
      <c r="H2468" s="474" t="s">
        <v>355</v>
      </c>
      <c r="I2468" s="474"/>
      <c r="J2468" s="847">
        <v>-87344.2</v>
      </c>
      <c r="K2468" s="513">
        <v>-61.51</v>
      </c>
      <c r="L2468" s="513">
        <v>1420</v>
      </c>
      <c r="M2468" s="152" t="s">
        <v>7143</v>
      </c>
      <c r="N2468" s="513" t="s">
        <v>780</v>
      </c>
      <c r="O2468" s="513" t="s">
        <v>781</v>
      </c>
      <c r="P2468" s="513" t="s">
        <v>7754</v>
      </c>
      <c r="Q2468" s="518" t="s">
        <v>7101</v>
      </c>
      <c r="R2468" s="152" t="s">
        <v>7755</v>
      </c>
      <c r="S2468" s="152" t="s">
        <v>7782</v>
      </c>
      <c r="T2468" s="152" t="s">
        <v>7756</v>
      </c>
      <c r="U2468" s="152" t="s">
        <v>786</v>
      </c>
    </row>
    <row r="2469" spans="4:21">
      <c r="D2469" s="210"/>
      <c r="G2469" s="152" t="s">
        <v>354</v>
      </c>
      <c r="H2469" s="474" t="s">
        <v>355</v>
      </c>
      <c r="I2469" s="474"/>
      <c r="J2469" s="847">
        <v>-53179</v>
      </c>
      <c r="K2469" s="513">
        <v>-37.450000000000003</v>
      </c>
      <c r="L2469" s="513">
        <v>1420</v>
      </c>
      <c r="M2469" s="152" t="s">
        <v>7143</v>
      </c>
      <c r="N2469" s="513" t="s">
        <v>780</v>
      </c>
      <c r="O2469" s="513" t="s">
        <v>781</v>
      </c>
      <c r="P2469" s="513" t="s">
        <v>7754</v>
      </c>
      <c r="Q2469" s="518" t="s">
        <v>7101</v>
      </c>
      <c r="R2469" s="152" t="s">
        <v>7755</v>
      </c>
      <c r="S2469" s="152" t="s">
        <v>7763</v>
      </c>
      <c r="T2469" s="152" t="s">
        <v>7756</v>
      </c>
      <c r="U2469" s="152" t="s">
        <v>786</v>
      </c>
    </row>
    <row r="2470" spans="4:21">
      <c r="D2470" s="210"/>
      <c r="G2470" s="152" t="s">
        <v>354</v>
      </c>
      <c r="H2470" s="474" t="s">
        <v>355</v>
      </c>
      <c r="I2470" s="474"/>
      <c r="J2470" s="847">
        <v>-69580</v>
      </c>
      <c r="K2470" s="513">
        <v>-49</v>
      </c>
      <c r="L2470" s="513">
        <v>1420</v>
      </c>
      <c r="M2470" s="152" t="s">
        <v>7143</v>
      </c>
      <c r="N2470" s="513" t="s">
        <v>780</v>
      </c>
      <c r="O2470" s="513" t="s">
        <v>781</v>
      </c>
      <c r="P2470" s="513" t="s">
        <v>7754</v>
      </c>
      <c r="Q2470" s="518" t="s">
        <v>7101</v>
      </c>
      <c r="R2470" s="152" t="s">
        <v>7755</v>
      </c>
      <c r="S2470" s="152" t="s">
        <v>7771</v>
      </c>
      <c r="T2470" s="152" t="s">
        <v>7756</v>
      </c>
      <c r="U2470" s="152" t="s">
        <v>786</v>
      </c>
    </row>
    <row r="2471" spans="4:21">
      <c r="D2471" s="210"/>
      <c r="G2471" s="152" t="s">
        <v>354</v>
      </c>
      <c r="H2471" s="474" t="s">
        <v>355</v>
      </c>
      <c r="I2471" s="474"/>
      <c r="J2471" s="847">
        <v>-40512.6</v>
      </c>
      <c r="K2471" s="513">
        <v>-28.53</v>
      </c>
      <c r="L2471" s="513">
        <v>1420</v>
      </c>
      <c r="M2471" s="152" t="s">
        <v>7143</v>
      </c>
      <c r="N2471" s="513" t="s">
        <v>780</v>
      </c>
      <c r="O2471" s="513" t="s">
        <v>781</v>
      </c>
      <c r="P2471" s="513" t="s">
        <v>7754</v>
      </c>
      <c r="Q2471" s="518" t="s">
        <v>7101</v>
      </c>
      <c r="R2471" s="152" t="s">
        <v>7755</v>
      </c>
      <c r="S2471" s="152" t="s">
        <v>7783</v>
      </c>
      <c r="T2471" s="152" t="s">
        <v>7756</v>
      </c>
      <c r="U2471" s="152" t="s">
        <v>786</v>
      </c>
    </row>
    <row r="2472" spans="4:21">
      <c r="D2472" s="210"/>
      <c r="G2472" s="152" t="s">
        <v>354</v>
      </c>
      <c r="H2472" s="474" t="s">
        <v>355</v>
      </c>
      <c r="I2472" s="474"/>
      <c r="J2472" s="847">
        <v>-161283.6</v>
      </c>
      <c r="K2472" s="513">
        <v>-113.58</v>
      </c>
      <c r="L2472" s="513">
        <v>1420</v>
      </c>
      <c r="M2472" s="152" t="s">
        <v>7143</v>
      </c>
      <c r="N2472" s="513" t="s">
        <v>780</v>
      </c>
      <c r="O2472" s="513" t="s">
        <v>781</v>
      </c>
      <c r="P2472" s="513" t="s">
        <v>7754</v>
      </c>
      <c r="Q2472" s="518" t="s">
        <v>7101</v>
      </c>
      <c r="R2472" s="152" t="s">
        <v>7755</v>
      </c>
      <c r="S2472" s="152" t="s">
        <v>7778</v>
      </c>
      <c r="T2472" s="152" t="s">
        <v>7756</v>
      </c>
      <c r="U2472" s="152" t="s">
        <v>786</v>
      </c>
    </row>
    <row r="2473" spans="4:21">
      <c r="D2473" s="210"/>
      <c r="G2473" s="152" t="s">
        <v>354</v>
      </c>
      <c r="H2473" s="474" t="s">
        <v>355</v>
      </c>
      <c r="I2473" s="474"/>
      <c r="J2473" s="847">
        <v>-85611.8</v>
      </c>
      <c r="K2473" s="513">
        <v>-60.29</v>
      </c>
      <c r="L2473" s="513">
        <v>1420</v>
      </c>
      <c r="M2473" s="152" t="s">
        <v>7143</v>
      </c>
      <c r="N2473" s="513" t="s">
        <v>780</v>
      </c>
      <c r="O2473" s="513" t="s">
        <v>781</v>
      </c>
      <c r="P2473" s="513" t="s">
        <v>7754</v>
      </c>
      <c r="Q2473" s="518" t="s">
        <v>7101</v>
      </c>
      <c r="R2473" s="152" t="s">
        <v>7755</v>
      </c>
      <c r="S2473" s="152" t="s">
        <v>7789</v>
      </c>
      <c r="T2473" s="152" t="s">
        <v>7756</v>
      </c>
      <c r="U2473" s="152" t="s">
        <v>786</v>
      </c>
    </row>
    <row r="2474" spans="4:21">
      <c r="D2474" s="210"/>
      <c r="G2474" s="152" t="s">
        <v>354</v>
      </c>
      <c r="H2474" s="474" t="s">
        <v>355</v>
      </c>
      <c r="I2474" s="474"/>
      <c r="J2474" s="847">
        <v>-81863</v>
      </c>
      <c r="K2474" s="513">
        <v>-57.65</v>
      </c>
      <c r="L2474" s="513">
        <v>1420</v>
      </c>
      <c r="M2474" s="152" t="s">
        <v>7143</v>
      </c>
      <c r="N2474" s="513" t="s">
        <v>780</v>
      </c>
      <c r="O2474" s="513" t="s">
        <v>781</v>
      </c>
      <c r="P2474" s="513" t="s">
        <v>7754</v>
      </c>
      <c r="Q2474" s="518" t="s">
        <v>7101</v>
      </c>
      <c r="R2474" s="152" t="s">
        <v>7755</v>
      </c>
      <c r="S2474" s="152" t="s">
        <v>7790</v>
      </c>
      <c r="T2474" s="152" t="s">
        <v>7756</v>
      </c>
      <c r="U2474" s="152" t="s">
        <v>786</v>
      </c>
    </row>
    <row r="2475" spans="4:21">
      <c r="D2475" s="210"/>
      <c r="G2475" s="152" t="s">
        <v>354</v>
      </c>
      <c r="H2475" s="474" t="s">
        <v>355</v>
      </c>
      <c r="I2475" s="474"/>
      <c r="J2475" s="847">
        <v>-89332.2</v>
      </c>
      <c r="K2475" s="513">
        <v>-62.91</v>
      </c>
      <c r="L2475" s="513">
        <v>1420</v>
      </c>
      <c r="M2475" s="152" t="s">
        <v>7143</v>
      </c>
      <c r="N2475" s="513" t="s">
        <v>780</v>
      </c>
      <c r="O2475" s="513" t="s">
        <v>781</v>
      </c>
      <c r="P2475" s="513" t="s">
        <v>7754</v>
      </c>
      <c r="Q2475" s="518" t="s">
        <v>7101</v>
      </c>
      <c r="R2475" s="152" t="s">
        <v>7755</v>
      </c>
      <c r="S2475" s="152" t="s">
        <v>7788</v>
      </c>
      <c r="T2475" s="152" t="s">
        <v>7756</v>
      </c>
      <c r="U2475" s="152" t="s">
        <v>786</v>
      </c>
    </row>
    <row r="2476" spans="4:21">
      <c r="D2476" s="210"/>
      <c r="G2476" s="152" t="s">
        <v>354</v>
      </c>
      <c r="H2476" s="474" t="s">
        <v>355</v>
      </c>
      <c r="I2476" s="474"/>
      <c r="J2476" s="847">
        <v>-156200</v>
      </c>
      <c r="K2476" s="513">
        <v>-110</v>
      </c>
      <c r="L2476" s="513">
        <v>1420</v>
      </c>
      <c r="M2476" s="152" t="s">
        <v>7143</v>
      </c>
      <c r="N2476" s="513" t="s">
        <v>780</v>
      </c>
      <c r="O2476" s="513" t="s">
        <v>781</v>
      </c>
      <c r="P2476" s="513" t="s">
        <v>7792</v>
      </c>
      <c r="Q2476" s="518" t="s">
        <v>7101</v>
      </c>
      <c r="R2476" s="152" t="s">
        <v>7793</v>
      </c>
      <c r="S2476" s="152" t="s">
        <v>7778</v>
      </c>
      <c r="T2476" s="152" t="s">
        <v>7794</v>
      </c>
      <c r="U2476" s="152" t="s">
        <v>786</v>
      </c>
    </row>
    <row r="2477" spans="4:21">
      <c r="D2477" s="210"/>
      <c r="G2477" s="152" t="s">
        <v>354</v>
      </c>
      <c r="H2477" s="474" t="s">
        <v>355</v>
      </c>
      <c r="I2477" s="474"/>
      <c r="J2477" s="847">
        <v>-56800</v>
      </c>
      <c r="K2477" s="513">
        <v>-40</v>
      </c>
      <c r="L2477" s="513">
        <v>1420</v>
      </c>
      <c r="M2477" s="152" t="s">
        <v>7143</v>
      </c>
      <c r="N2477" s="513" t="s">
        <v>780</v>
      </c>
      <c r="O2477" s="513" t="s">
        <v>781</v>
      </c>
      <c r="P2477" s="513" t="s">
        <v>7792</v>
      </c>
      <c r="Q2477" s="518" t="s">
        <v>7101</v>
      </c>
      <c r="R2477" s="152" t="s">
        <v>7793</v>
      </c>
      <c r="S2477" s="152" t="s">
        <v>7789</v>
      </c>
      <c r="T2477" s="152" t="s">
        <v>7794</v>
      </c>
      <c r="U2477" s="152" t="s">
        <v>786</v>
      </c>
    </row>
    <row r="2478" spans="4:21">
      <c r="D2478" s="210"/>
      <c r="G2478" s="152" t="s">
        <v>354</v>
      </c>
      <c r="H2478" s="474" t="s">
        <v>355</v>
      </c>
      <c r="I2478" s="474"/>
      <c r="J2478" s="847">
        <v>58149</v>
      </c>
      <c r="K2478" s="513">
        <v>40.950000000000003</v>
      </c>
      <c r="L2478" s="513">
        <v>1420</v>
      </c>
      <c r="M2478" s="152" t="s">
        <v>7143</v>
      </c>
      <c r="N2478" s="513" t="s">
        <v>780</v>
      </c>
      <c r="O2478" s="513" t="s">
        <v>1407</v>
      </c>
      <c r="P2478" s="513" t="s">
        <v>7337</v>
      </c>
      <c r="Q2478" s="518" t="s">
        <v>7101</v>
      </c>
      <c r="R2478" s="152" t="s">
        <v>7338</v>
      </c>
      <c r="S2478" s="152" t="s">
        <v>7347</v>
      </c>
      <c r="T2478" s="152" t="s">
        <v>7340</v>
      </c>
      <c r="U2478" s="152" t="s">
        <v>786</v>
      </c>
    </row>
    <row r="2479" spans="4:21">
      <c r="D2479" s="210"/>
      <c r="G2479" s="152" t="s">
        <v>354</v>
      </c>
      <c r="H2479" s="474" t="s">
        <v>355</v>
      </c>
      <c r="I2479" s="474"/>
      <c r="J2479" s="847">
        <v>176932</v>
      </c>
      <c r="K2479" s="513">
        <v>124.6</v>
      </c>
      <c r="L2479" s="513">
        <v>1420</v>
      </c>
      <c r="M2479" s="152" t="s">
        <v>7143</v>
      </c>
      <c r="N2479" s="513" t="s">
        <v>780</v>
      </c>
      <c r="O2479" s="513" t="s">
        <v>1407</v>
      </c>
      <c r="P2479" s="513" t="s">
        <v>7337</v>
      </c>
      <c r="Q2479" s="518" t="s">
        <v>7101</v>
      </c>
      <c r="R2479" s="152" t="s">
        <v>7338</v>
      </c>
      <c r="S2479" s="152" t="s">
        <v>7348</v>
      </c>
      <c r="T2479" s="152" t="s">
        <v>7340</v>
      </c>
      <c r="U2479" s="152" t="s">
        <v>786</v>
      </c>
    </row>
    <row r="2480" spans="4:21">
      <c r="D2480" s="210"/>
      <c r="G2480" s="152" t="s">
        <v>354</v>
      </c>
      <c r="H2480" s="474" t="s">
        <v>355</v>
      </c>
      <c r="I2480" s="474"/>
      <c r="J2480" s="847">
        <v>166992</v>
      </c>
      <c r="K2480" s="513">
        <v>117.6</v>
      </c>
      <c r="L2480" s="513">
        <v>1420</v>
      </c>
      <c r="M2480" s="152" t="s">
        <v>7143</v>
      </c>
      <c r="N2480" s="513" t="s">
        <v>780</v>
      </c>
      <c r="O2480" s="513" t="s">
        <v>1407</v>
      </c>
      <c r="P2480" s="513" t="s">
        <v>7337</v>
      </c>
      <c r="Q2480" s="518" t="s">
        <v>7101</v>
      </c>
      <c r="R2480" s="152" t="s">
        <v>7338</v>
      </c>
      <c r="S2480" s="152" t="s">
        <v>7349</v>
      </c>
      <c r="T2480" s="152" t="s">
        <v>7340</v>
      </c>
      <c r="U2480" s="152" t="s">
        <v>786</v>
      </c>
    </row>
    <row r="2481" spans="4:21">
      <c r="D2481" s="210"/>
      <c r="G2481" s="152" t="s">
        <v>354</v>
      </c>
      <c r="H2481" s="474" t="s">
        <v>355</v>
      </c>
      <c r="I2481" s="474"/>
      <c r="J2481" s="847">
        <v>52469</v>
      </c>
      <c r="K2481" s="513">
        <v>36.950000000000003</v>
      </c>
      <c r="L2481" s="513">
        <v>1420</v>
      </c>
      <c r="M2481" s="152" t="s">
        <v>7143</v>
      </c>
      <c r="N2481" s="513" t="s">
        <v>780</v>
      </c>
      <c r="O2481" s="513" t="s">
        <v>1407</v>
      </c>
      <c r="P2481" s="513" t="s">
        <v>7337</v>
      </c>
      <c r="Q2481" s="518" t="s">
        <v>7101</v>
      </c>
      <c r="R2481" s="152" t="s">
        <v>7338</v>
      </c>
      <c r="S2481" s="152" t="s">
        <v>7350</v>
      </c>
      <c r="T2481" s="152" t="s">
        <v>7340</v>
      </c>
      <c r="U2481" s="152" t="s">
        <v>786</v>
      </c>
    </row>
    <row r="2482" spans="4:21">
      <c r="D2482" s="210"/>
      <c r="G2482" s="152" t="s">
        <v>354</v>
      </c>
      <c r="H2482" s="474" t="s">
        <v>355</v>
      </c>
      <c r="I2482" s="474"/>
      <c r="J2482" s="847">
        <v>110334</v>
      </c>
      <c r="K2482" s="513">
        <v>77.7</v>
      </c>
      <c r="L2482" s="513">
        <v>1420</v>
      </c>
      <c r="M2482" s="152" t="s">
        <v>7143</v>
      </c>
      <c r="N2482" s="513" t="s">
        <v>780</v>
      </c>
      <c r="O2482" s="513" t="s">
        <v>1407</v>
      </c>
      <c r="P2482" s="513" t="s">
        <v>7337</v>
      </c>
      <c r="Q2482" s="518" t="s">
        <v>7101</v>
      </c>
      <c r="R2482" s="152" t="s">
        <v>7338</v>
      </c>
      <c r="S2482" s="152" t="s">
        <v>7351</v>
      </c>
      <c r="T2482" s="152" t="s">
        <v>7340</v>
      </c>
      <c r="U2482" s="152" t="s">
        <v>786</v>
      </c>
    </row>
    <row r="2483" spans="4:21">
      <c r="D2483" s="210"/>
      <c r="G2483" s="152" t="s">
        <v>354</v>
      </c>
      <c r="H2483" s="474" t="s">
        <v>355</v>
      </c>
      <c r="I2483" s="474"/>
      <c r="J2483" s="847">
        <v>110334</v>
      </c>
      <c r="K2483" s="513">
        <v>77.7</v>
      </c>
      <c r="L2483" s="513">
        <v>1420</v>
      </c>
      <c r="M2483" s="152" t="s">
        <v>7143</v>
      </c>
      <c r="N2483" s="513" t="s">
        <v>780</v>
      </c>
      <c r="O2483" s="513" t="s">
        <v>1407</v>
      </c>
      <c r="P2483" s="513" t="s">
        <v>7337</v>
      </c>
      <c r="Q2483" s="518" t="s">
        <v>7101</v>
      </c>
      <c r="R2483" s="152" t="s">
        <v>7338</v>
      </c>
      <c r="S2483" s="152" t="s">
        <v>7352</v>
      </c>
      <c r="T2483" s="152" t="s">
        <v>7340</v>
      </c>
      <c r="U2483" s="152" t="s">
        <v>786</v>
      </c>
    </row>
    <row r="2484" spans="4:21">
      <c r="D2484" s="210"/>
      <c r="G2484" s="152" t="s">
        <v>354</v>
      </c>
      <c r="H2484" s="474" t="s">
        <v>355</v>
      </c>
      <c r="I2484" s="474"/>
      <c r="J2484" s="847">
        <v>110334</v>
      </c>
      <c r="K2484" s="513">
        <v>77.7</v>
      </c>
      <c r="L2484" s="513">
        <v>1420</v>
      </c>
      <c r="M2484" s="152" t="s">
        <v>7143</v>
      </c>
      <c r="N2484" s="513" t="s">
        <v>780</v>
      </c>
      <c r="O2484" s="513" t="s">
        <v>1407</v>
      </c>
      <c r="P2484" s="513" t="s">
        <v>7337</v>
      </c>
      <c r="Q2484" s="518" t="s">
        <v>7101</v>
      </c>
      <c r="R2484" s="152" t="s">
        <v>7338</v>
      </c>
      <c r="S2484" s="152" t="s">
        <v>7353</v>
      </c>
      <c r="T2484" s="152" t="s">
        <v>7340</v>
      </c>
      <c r="U2484" s="152" t="s">
        <v>786</v>
      </c>
    </row>
    <row r="2485" spans="4:21">
      <c r="D2485" s="210"/>
      <c r="G2485" s="152" t="s">
        <v>354</v>
      </c>
      <c r="H2485" s="474" t="s">
        <v>355</v>
      </c>
      <c r="I2485" s="474"/>
      <c r="J2485" s="847">
        <v>52469</v>
      </c>
      <c r="K2485" s="513">
        <v>36.950000000000003</v>
      </c>
      <c r="L2485" s="513">
        <v>1420</v>
      </c>
      <c r="M2485" s="152" t="s">
        <v>7143</v>
      </c>
      <c r="N2485" s="513" t="s">
        <v>780</v>
      </c>
      <c r="O2485" s="513" t="s">
        <v>1407</v>
      </c>
      <c r="P2485" s="513" t="s">
        <v>7337</v>
      </c>
      <c r="Q2485" s="518" t="s">
        <v>7101</v>
      </c>
      <c r="R2485" s="152" t="s">
        <v>7338</v>
      </c>
      <c r="S2485" s="152" t="s">
        <v>7354</v>
      </c>
      <c r="T2485" s="152" t="s">
        <v>7340</v>
      </c>
      <c r="U2485" s="152" t="s">
        <v>786</v>
      </c>
    </row>
    <row r="2486" spans="4:21">
      <c r="D2486" s="210"/>
      <c r="G2486" s="152" t="s">
        <v>354</v>
      </c>
      <c r="H2486" s="474" t="s">
        <v>355</v>
      </c>
      <c r="I2486" s="474"/>
      <c r="J2486" s="847">
        <v>365224</v>
      </c>
      <c r="K2486" s="513">
        <v>257.2</v>
      </c>
      <c r="L2486" s="513">
        <v>1420</v>
      </c>
      <c r="M2486" s="152" t="s">
        <v>7143</v>
      </c>
      <c r="N2486" s="513" t="s">
        <v>780</v>
      </c>
      <c r="O2486" s="513" t="s">
        <v>1407</v>
      </c>
      <c r="P2486" s="513" t="s">
        <v>7337</v>
      </c>
      <c r="Q2486" s="518" t="s">
        <v>7101</v>
      </c>
      <c r="R2486" s="152" t="s">
        <v>7338</v>
      </c>
      <c r="S2486" s="152" t="s">
        <v>7355</v>
      </c>
      <c r="T2486" s="152" t="s">
        <v>7340</v>
      </c>
      <c r="U2486" s="152" t="s">
        <v>786</v>
      </c>
    </row>
    <row r="2487" spans="4:21">
      <c r="D2487" s="210"/>
      <c r="G2487" s="152" t="s">
        <v>354</v>
      </c>
      <c r="H2487" s="474" t="s">
        <v>355</v>
      </c>
      <c r="I2487" s="474"/>
      <c r="J2487" s="847">
        <v>124250</v>
      </c>
      <c r="K2487" s="513">
        <v>87.5</v>
      </c>
      <c r="L2487" s="513">
        <v>1420</v>
      </c>
      <c r="M2487" s="152" t="s">
        <v>7143</v>
      </c>
      <c r="N2487" s="513" t="s">
        <v>780</v>
      </c>
      <c r="O2487" s="513" t="s">
        <v>1407</v>
      </c>
      <c r="P2487" s="513" t="s">
        <v>7337</v>
      </c>
      <c r="Q2487" s="518" t="s">
        <v>7101</v>
      </c>
      <c r="R2487" s="152" t="s">
        <v>7338</v>
      </c>
      <c r="S2487" s="152" t="s">
        <v>7356</v>
      </c>
      <c r="T2487" s="152" t="s">
        <v>7340</v>
      </c>
      <c r="U2487" s="152" t="s">
        <v>786</v>
      </c>
    </row>
    <row r="2488" spans="4:21">
      <c r="D2488" s="210"/>
      <c r="G2488" s="152" t="s">
        <v>354</v>
      </c>
      <c r="H2488" s="474" t="s">
        <v>355</v>
      </c>
      <c r="I2488" s="474"/>
      <c r="J2488" s="847">
        <v>235592.2</v>
      </c>
      <c r="K2488" s="513">
        <v>165.91</v>
      </c>
      <c r="L2488" s="513">
        <v>1420</v>
      </c>
      <c r="M2488" s="152" t="s">
        <v>7143</v>
      </c>
      <c r="N2488" s="513" t="s">
        <v>780</v>
      </c>
      <c r="O2488" s="513" t="s">
        <v>1407</v>
      </c>
      <c r="P2488" s="513" t="s">
        <v>7337</v>
      </c>
      <c r="Q2488" s="518" t="s">
        <v>7101</v>
      </c>
      <c r="R2488" s="152" t="s">
        <v>7338</v>
      </c>
      <c r="S2488" s="152" t="s">
        <v>7357</v>
      </c>
      <c r="T2488" s="152" t="s">
        <v>7340</v>
      </c>
      <c r="U2488" s="152" t="s">
        <v>786</v>
      </c>
    </row>
    <row r="2489" spans="4:21">
      <c r="D2489" s="210"/>
      <c r="G2489" s="152" t="s">
        <v>354</v>
      </c>
      <c r="H2489" s="474" t="s">
        <v>355</v>
      </c>
      <c r="I2489" s="474"/>
      <c r="J2489" s="847">
        <v>136178</v>
      </c>
      <c r="K2489" s="513">
        <v>95.9</v>
      </c>
      <c r="L2489" s="513">
        <v>1420</v>
      </c>
      <c r="M2489" s="152" t="s">
        <v>7143</v>
      </c>
      <c r="N2489" s="513" t="s">
        <v>780</v>
      </c>
      <c r="O2489" s="513" t="s">
        <v>1407</v>
      </c>
      <c r="P2489" s="513" t="s">
        <v>7337</v>
      </c>
      <c r="Q2489" s="518" t="s">
        <v>7101</v>
      </c>
      <c r="R2489" s="152" t="s">
        <v>7338</v>
      </c>
      <c r="S2489" s="152" t="s">
        <v>7362</v>
      </c>
      <c r="T2489" s="152" t="s">
        <v>7340</v>
      </c>
      <c r="U2489" s="152" t="s">
        <v>786</v>
      </c>
    </row>
    <row r="2490" spans="4:21">
      <c r="D2490" s="210"/>
      <c r="G2490" s="152" t="s">
        <v>354</v>
      </c>
      <c r="H2490" s="474" t="s">
        <v>355</v>
      </c>
      <c r="I2490" s="474"/>
      <c r="J2490" s="847">
        <v>100891</v>
      </c>
      <c r="K2490" s="513">
        <v>71.05</v>
      </c>
      <c r="L2490" s="513">
        <v>1420</v>
      </c>
      <c r="M2490" s="152" t="s">
        <v>7143</v>
      </c>
      <c r="N2490" s="513" t="s">
        <v>780</v>
      </c>
      <c r="O2490" s="513" t="s">
        <v>1407</v>
      </c>
      <c r="P2490" s="513" t="s">
        <v>7337</v>
      </c>
      <c r="Q2490" s="518" t="s">
        <v>7101</v>
      </c>
      <c r="R2490" s="152" t="s">
        <v>7338</v>
      </c>
      <c r="S2490" s="152" t="s">
        <v>7363</v>
      </c>
      <c r="T2490" s="152" t="s">
        <v>7340</v>
      </c>
      <c r="U2490" s="152" t="s">
        <v>786</v>
      </c>
    </row>
    <row r="2491" spans="4:21">
      <c r="D2491" s="210"/>
      <c r="G2491" s="152" t="s">
        <v>354</v>
      </c>
      <c r="H2491" s="474" t="s">
        <v>355</v>
      </c>
      <c r="I2491" s="474"/>
      <c r="J2491" s="847">
        <v>209237</v>
      </c>
      <c r="K2491" s="513">
        <v>147.35</v>
      </c>
      <c r="L2491" s="513">
        <v>1420</v>
      </c>
      <c r="M2491" s="152" t="s">
        <v>7143</v>
      </c>
      <c r="N2491" s="513" t="s">
        <v>780</v>
      </c>
      <c r="O2491" s="513" t="s">
        <v>1407</v>
      </c>
      <c r="P2491" s="513" t="s">
        <v>7337</v>
      </c>
      <c r="Q2491" s="518" t="s">
        <v>7101</v>
      </c>
      <c r="R2491" s="152" t="s">
        <v>7338</v>
      </c>
      <c r="S2491" s="152" t="s">
        <v>7364</v>
      </c>
      <c r="T2491" s="152" t="s">
        <v>7340</v>
      </c>
      <c r="U2491" s="152" t="s">
        <v>786</v>
      </c>
    </row>
    <row r="2492" spans="4:21">
      <c r="D2492" s="210"/>
      <c r="G2492" s="152" t="s">
        <v>354</v>
      </c>
      <c r="H2492" s="474" t="s">
        <v>355</v>
      </c>
      <c r="I2492" s="474"/>
      <c r="J2492" s="847">
        <v>278036</v>
      </c>
      <c r="K2492" s="513">
        <v>195.8</v>
      </c>
      <c r="L2492" s="513">
        <v>1420</v>
      </c>
      <c r="M2492" s="152" t="s">
        <v>7143</v>
      </c>
      <c r="N2492" s="513" t="s">
        <v>780</v>
      </c>
      <c r="O2492" s="513" t="s">
        <v>1407</v>
      </c>
      <c r="P2492" s="513" t="s">
        <v>7337</v>
      </c>
      <c r="Q2492" s="518" t="s">
        <v>7101</v>
      </c>
      <c r="R2492" s="152" t="s">
        <v>7338</v>
      </c>
      <c r="S2492" s="152" t="s">
        <v>7365</v>
      </c>
      <c r="T2492" s="152" t="s">
        <v>7340</v>
      </c>
      <c r="U2492" s="152" t="s">
        <v>786</v>
      </c>
    </row>
    <row r="2493" spans="4:21">
      <c r="D2493" s="210"/>
      <c r="G2493" s="152" t="s">
        <v>354</v>
      </c>
      <c r="H2493" s="474" t="s">
        <v>355</v>
      </c>
      <c r="I2493" s="474"/>
      <c r="J2493" s="847">
        <v>123199.2</v>
      </c>
      <c r="K2493" s="513">
        <v>86.76</v>
      </c>
      <c r="L2493" s="513">
        <v>1420</v>
      </c>
      <c r="M2493" s="152" t="s">
        <v>7143</v>
      </c>
      <c r="N2493" s="513" t="s">
        <v>780</v>
      </c>
      <c r="O2493" s="513" t="s">
        <v>1407</v>
      </c>
      <c r="P2493" s="513" t="s">
        <v>7337</v>
      </c>
      <c r="Q2493" s="518" t="s">
        <v>7101</v>
      </c>
      <c r="R2493" s="152" t="s">
        <v>7338</v>
      </c>
      <c r="S2493" s="152" t="s">
        <v>7366</v>
      </c>
      <c r="T2493" s="152" t="s">
        <v>7340</v>
      </c>
      <c r="U2493" s="152" t="s">
        <v>786</v>
      </c>
    </row>
    <row r="2494" spans="4:21">
      <c r="D2494" s="210"/>
      <c r="G2494" s="152" t="s">
        <v>354</v>
      </c>
      <c r="H2494" s="474" t="s">
        <v>355</v>
      </c>
      <c r="I2494" s="474"/>
      <c r="J2494" s="847">
        <v>139912.6</v>
      </c>
      <c r="K2494" s="513">
        <v>98.53</v>
      </c>
      <c r="L2494" s="513">
        <v>1420</v>
      </c>
      <c r="M2494" s="152" t="s">
        <v>7143</v>
      </c>
      <c r="N2494" s="513" t="s">
        <v>780</v>
      </c>
      <c r="O2494" s="513" t="s">
        <v>1407</v>
      </c>
      <c r="P2494" s="513" t="s">
        <v>7337</v>
      </c>
      <c r="Q2494" s="518" t="s">
        <v>7101</v>
      </c>
      <c r="R2494" s="152" t="s">
        <v>7338</v>
      </c>
      <c r="S2494" s="152" t="s">
        <v>7367</v>
      </c>
      <c r="T2494" s="152" t="s">
        <v>7340</v>
      </c>
      <c r="U2494" s="152" t="s">
        <v>786</v>
      </c>
    </row>
    <row r="2495" spans="4:21">
      <c r="D2495" s="210"/>
      <c r="G2495" s="152" t="s">
        <v>354</v>
      </c>
      <c r="H2495" s="474" t="s">
        <v>355</v>
      </c>
      <c r="I2495" s="474"/>
      <c r="J2495" s="847">
        <v>146984.20000000001</v>
      </c>
      <c r="K2495" s="513">
        <v>103.51</v>
      </c>
      <c r="L2495" s="513">
        <v>1420</v>
      </c>
      <c r="M2495" s="152" t="s">
        <v>7143</v>
      </c>
      <c r="N2495" s="513" t="s">
        <v>780</v>
      </c>
      <c r="O2495" s="513" t="s">
        <v>1407</v>
      </c>
      <c r="P2495" s="513" t="s">
        <v>7337</v>
      </c>
      <c r="Q2495" s="518" t="s">
        <v>7101</v>
      </c>
      <c r="R2495" s="152" t="s">
        <v>7338</v>
      </c>
      <c r="S2495" s="152" t="s">
        <v>7341</v>
      </c>
      <c r="T2495" s="152" t="s">
        <v>7340</v>
      </c>
      <c r="U2495" s="152" t="s">
        <v>786</v>
      </c>
    </row>
    <row r="2496" spans="4:21">
      <c r="D2496" s="210"/>
      <c r="G2496" s="152" t="s">
        <v>354</v>
      </c>
      <c r="H2496" s="474" t="s">
        <v>355</v>
      </c>
      <c r="I2496" s="474"/>
      <c r="J2496" s="847">
        <v>77162.8</v>
      </c>
      <c r="K2496" s="513">
        <v>54.34</v>
      </c>
      <c r="L2496" s="513">
        <v>1420</v>
      </c>
      <c r="M2496" s="152" t="s">
        <v>7143</v>
      </c>
      <c r="N2496" s="513" t="s">
        <v>780</v>
      </c>
      <c r="O2496" s="513" t="s">
        <v>1407</v>
      </c>
      <c r="P2496" s="513" t="s">
        <v>7337</v>
      </c>
      <c r="Q2496" s="518" t="s">
        <v>7101</v>
      </c>
      <c r="R2496" s="152" t="s">
        <v>7338</v>
      </c>
      <c r="S2496" s="152" t="s">
        <v>7344</v>
      </c>
      <c r="T2496" s="152" t="s">
        <v>7340</v>
      </c>
      <c r="U2496" s="152" t="s">
        <v>786</v>
      </c>
    </row>
    <row r="2497" spans="4:21">
      <c r="D2497" s="210"/>
      <c r="G2497" s="152" t="s">
        <v>354</v>
      </c>
      <c r="H2497" s="474" t="s">
        <v>355</v>
      </c>
      <c r="I2497" s="474"/>
      <c r="J2497" s="847">
        <v>277780.40000000002</v>
      </c>
      <c r="K2497" s="513">
        <v>195.62</v>
      </c>
      <c r="L2497" s="513">
        <v>1420</v>
      </c>
      <c r="M2497" s="152" t="s">
        <v>7143</v>
      </c>
      <c r="N2497" s="513" t="s">
        <v>780</v>
      </c>
      <c r="O2497" s="513" t="s">
        <v>1407</v>
      </c>
      <c r="P2497" s="513" t="s">
        <v>7337</v>
      </c>
      <c r="Q2497" s="518" t="s">
        <v>7101</v>
      </c>
      <c r="R2497" s="152" t="s">
        <v>7338</v>
      </c>
      <c r="S2497" s="152" t="s">
        <v>7368</v>
      </c>
      <c r="T2497" s="152" t="s">
        <v>7340</v>
      </c>
      <c r="U2497" s="152" t="s">
        <v>786</v>
      </c>
    </row>
    <row r="2498" spans="4:21">
      <c r="D2498" s="210"/>
      <c r="G2498" s="152" t="s">
        <v>354</v>
      </c>
      <c r="H2498" s="474" t="s">
        <v>355</v>
      </c>
      <c r="I2498" s="474"/>
      <c r="J2498" s="847">
        <v>312371.59999999998</v>
      </c>
      <c r="K2498" s="513">
        <v>219.98</v>
      </c>
      <c r="L2498" s="513">
        <v>1420</v>
      </c>
      <c r="M2498" s="152" t="s">
        <v>7143</v>
      </c>
      <c r="N2498" s="513" t="s">
        <v>780</v>
      </c>
      <c r="O2498" s="513" t="s">
        <v>1407</v>
      </c>
      <c r="P2498" s="513" t="s">
        <v>7337</v>
      </c>
      <c r="Q2498" s="518" t="s">
        <v>7101</v>
      </c>
      <c r="R2498" s="152" t="s">
        <v>7338</v>
      </c>
      <c r="S2498" s="152" t="s">
        <v>7343</v>
      </c>
      <c r="T2498" s="152" t="s">
        <v>7340</v>
      </c>
      <c r="U2498" s="152" t="s">
        <v>786</v>
      </c>
    </row>
    <row r="2499" spans="4:21">
      <c r="D2499" s="210"/>
      <c r="G2499" s="152" t="s">
        <v>354</v>
      </c>
      <c r="H2499" s="474" t="s">
        <v>355</v>
      </c>
      <c r="I2499" s="474"/>
      <c r="J2499" s="847">
        <v>633604</v>
      </c>
      <c r="K2499" s="513">
        <v>446.2</v>
      </c>
      <c r="L2499" s="513">
        <v>1420</v>
      </c>
      <c r="M2499" s="152" t="s">
        <v>7143</v>
      </c>
      <c r="N2499" s="513" t="s">
        <v>780</v>
      </c>
      <c r="O2499" s="513" t="s">
        <v>1407</v>
      </c>
      <c r="P2499" s="513" t="s">
        <v>7337</v>
      </c>
      <c r="Q2499" s="518" t="s">
        <v>7101</v>
      </c>
      <c r="R2499" s="152" t="s">
        <v>7338</v>
      </c>
      <c r="S2499" s="152" t="s">
        <v>7342</v>
      </c>
      <c r="T2499" s="152" t="s">
        <v>7340</v>
      </c>
      <c r="U2499" s="152" t="s">
        <v>786</v>
      </c>
    </row>
    <row r="2500" spans="4:21">
      <c r="D2500" s="210"/>
      <c r="G2500" s="152" t="s">
        <v>354</v>
      </c>
      <c r="H2500" s="474" t="s">
        <v>355</v>
      </c>
      <c r="I2500" s="474"/>
      <c r="J2500" s="847">
        <v>38581.4</v>
      </c>
      <c r="K2500" s="513">
        <v>27.17</v>
      </c>
      <c r="L2500" s="513">
        <v>1420</v>
      </c>
      <c r="M2500" s="152" t="s">
        <v>7143</v>
      </c>
      <c r="N2500" s="513" t="s">
        <v>780</v>
      </c>
      <c r="O2500" s="513" t="s">
        <v>1407</v>
      </c>
      <c r="P2500" s="513" t="s">
        <v>7337</v>
      </c>
      <c r="Q2500" s="518" t="s">
        <v>7101</v>
      </c>
      <c r="R2500" s="152" t="s">
        <v>7338</v>
      </c>
      <c r="S2500" s="152" t="s">
        <v>7342</v>
      </c>
      <c r="T2500" s="152" t="s">
        <v>7340</v>
      </c>
      <c r="U2500" s="152" t="s">
        <v>786</v>
      </c>
    </row>
    <row r="2501" spans="4:21">
      <c r="D2501" s="210"/>
      <c r="G2501" s="152" t="s">
        <v>354</v>
      </c>
      <c r="H2501" s="474" t="s">
        <v>355</v>
      </c>
      <c r="I2501" s="474"/>
      <c r="J2501" s="847">
        <v>144925.20000000001</v>
      </c>
      <c r="K2501" s="513">
        <v>102.06</v>
      </c>
      <c r="L2501" s="513">
        <v>1420</v>
      </c>
      <c r="M2501" s="152" t="s">
        <v>7143</v>
      </c>
      <c r="N2501" s="513" t="s">
        <v>780</v>
      </c>
      <c r="O2501" s="513" t="s">
        <v>1407</v>
      </c>
      <c r="P2501" s="513" t="s">
        <v>7337</v>
      </c>
      <c r="Q2501" s="518" t="s">
        <v>7101</v>
      </c>
      <c r="R2501" s="152" t="s">
        <v>7338</v>
      </c>
      <c r="S2501" s="152" t="s">
        <v>7369</v>
      </c>
      <c r="T2501" s="152" t="s">
        <v>7340</v>
      </c>
      <c r="U2501" s="152" t="s">
        <v>786</v>
      </c>
    </row>
    <row r="2502" spans="4:21">
      <c r="D2502" s="210"/>
      <c r="G2502" s="152" t="s">
        <v>354</v>
      </c>
      <c r="H2502" s="474" t="s">
        <v>355</v>
      </c>
      <c r="I2502" s="474"/>
      <c r="J2502" s="847">
        <v>283787</v>
      </c>
      <c r="K2502" s="513">
        <v>199.85</v>
      </c>
      <c r="L2502" s="513">
        <v>1420</v>
      </c>
      <c r="M2502" s="152" t="s">
        <v>7143</v>
      </c>
      <c r="N2502" s="513" t="s">
        <v>780</v>
      </c>
      <c r="O2502" s="513" t="s">
        <v>1407</v>
      </c>
      <c r="P2502" s="513" t="s">
        <v>7337</v>
      </c>
      <c r="Q2502" s="518" t="s">
        <v>7101</v>
      </c>
      <c r="R2502" s="152" t="s">
        <v>7338</v>
      </c>
      <c r="S2502" s="152" t="s">
        <v>7370</v>
      </c>
      <c r="T2502" s="152" t="s">
        <v>7340</v>
      </c>
      <c r="U2502" s="152" t="s">
        <v>786</v>
      </c>
    </row>
    <row r="2503" spans="4:21">
      <c r="D2503" s="210"/>
      <c r="G2503" s="152" t="s">
        <v>354</v>
      </c>
      <c r="H2503" s="474" t="s">
        <v>355</v>
      </c>
      <c r="I2503" s="474"/>
      <c r="J2503" s="847">
        <v>306578</v>
      </c>
      <c r="K2503" s="513">
        <v>215.9</v>
      </c>
      <c r="L2503" s="513">
        <v>1420</v>
      </c>
      <c r="M2503" s="152" t="s">
        <v>7143</v>
      </c>
      <c r="N2503" s="513" t="s">
        <v>780</v>
      </c>
      <c r="O2503" s="513" t="s">
        <v>1407</v>
      </c>
      <c r="P2503" s="513" t="s">
        <v>7337</v>
      </c>
      <c r="Q2503" s="518" t="s">
        <v>7101</v>
      </c>
      <c r="R2503" s="152" t="s">
        <v>7338</v>
      </c>
      <c r="S2503" s="152" t="s">
        <v>7371</v>
      </c>
      <c r="T2503" s="152" t="s">
        <v>7340</v>
      </c>
      <c r="U2503" s="152" t="s">
        <v>786</v>
      </c>
    </row>
    <row r="2504" spans="4:21">
      <c r="D2504" s="210"/>
      <c r="G2504" s="152" t="s">
        <v>354</v>
      </c>
      <c r="H2504" s="474" t="s">
        <v>355</v>
      </c>
      <c r="I2504" s="474"/>
      <c r="J2504" s="847">
        <v>428882.6</v>
      </c>
      <c r="K2504" s="513">
        <v>302.02999999999997</v>
      </c>
      <c r="L2504" s="513">
        <v>1420</v>
      </c>
      <c r="M2504" s="152" t="s">
        <v>7143</v>
      </c>
      <c r="N2504" s="513" t="s">
        <v>780</v>
      </c>
      <c r="O2504" s="513" t="s">
        <v>1407</v>
      </c>
      <c r="P2504" s="513" t="s">
        <v>7337</v>
      </c>
      <c r="Q2504" s="518" t="s">
        <v>7101</v>
      </c>
      <c r="R2504" s="152" t="s">
        <v>7338</v>
      </c>
      <c r="S2504" s="152" t="s">
        <v>7372</v>
      </c>
      <c r="T2504" s="152" t="s">
        <v>7340</v>
      </c>
      <c r="U2504" s="152" t="s">
        <v>786</v>
      </c>
    </row>
    <row r="2505" spans="4:21">
      <c r="D2505" s="210"/>
      <c r="G2505" s="152" t="s">
        <v>354</v>
      </c>
      <c r="H2505" s="474" t="s">
        <v>355</v>
      </c>
      <c r="I2505" s="474"/>
      <c r="J2505" s="847">
        <v>307075</v>
      </c>
      <c r="K2505" s="513">
        <v>216.25</v>
      </c>
      <c r="L2505" s="513">
        <v>1420</v>
      </c>
      <c r="M2505" s="152" t="s">
        <v>7143</v>
      </c>
      <c r="N2505" s="513" t="s">
        <v>780</v>
      </c>
      <c r="O2505" s="513" t="s">
        <v>1407</v>
      </c>
      <c r="P2505" s="513" t="s">
        <v>7337</v>
      </c>
      <c r="Q2505" s="518" t="s">
        <v>7101</v>
      </c>
      <c r="R2505" s="152" t="s">
        <v>7338</v>
      </c>
      <c r="S2505" s="152" t="s">
        <v>7403</v>
      </c>
      <c r="T2505" s="152" t="s">
        <v>7340</v>
      </c>
      <c r="U2505" s="152" t="s">
        <v>786</v>
      </c>
    </row>
    <row r="2506" spans="4:21">
      <c r="D2506" s="210"/>
      <c r="G2506" s="152" t="s">
        <v>354</v>
      </c>
      <c r="H2506" s="474" t="s">
        <v>355</v>
      </c>
      <c r="I2506" s="474"/>
      <c r="J2506" s="847">
        <v>613411.6</v>
      </c>
      <c r="K2506" s="513">
        <v>431.98</v>
      </c>
      <c r="L2506" s="513">
        <v>1420</v>
      </c>
      <c r="M2506" s="152" t="s">
        <v>7143</v>
      </c>
      <c r="N2506" s="513" t="s">
        <v>780</v>
      </c>
      <c r="O2506" s="513" t="s">
        <v>1407</v>
      </c>
      <c r="P2506" s="513" t="s">
        <v>7337</v>
      </c>
      <c r="Q2506" s="518" t="s">
        <v>7101</v>
      </c>
      <c r="R2506" s="152" t="s">
        <v>7338</v>
      </c>
      <c r="S2506" s="152" t="s">
        <v>7404</v>
      </c>
      <c r="T2506" s="152" t="s">
        <v>7340</v>
      </c>
      <c r="U2506" s="152" t="s">
        <v>786</v>
      </c>
    </row>
    <row r="2507" spans="4:21">
      <c r="D2507" s="210"/>
      <c r="G2507" s="152" t="s">
        <v>354</v>
      </c>
      <c r="H2507" s="474" t="s">
        <v>355</v>
      </c>
      <c r="I2507" s="474"/>
      <c r="J2507" s="847">
        <v>73428.2</v>
      </c>
      <c r="K2507" s="513">
        <v>51.71</v>
      </c>
      <c r="L2507" s="513">
        <v>1420</v>
      </c>
      <c r="M2507" s="152" t="s">
        <v>7143</v>
      </c>
      <c r="N2507" s="513" t="s">
        <v>780</v>
      </c>
      <c r="O2507" s="513" t="s">
        <v>1407</v>
      </c>
      <c r="P2507" s="513" t="s">
        <v>7337</v>
      </c>
      <c r="Q2507" s="518" t="s">
        <v>7101</v>
      </c>
      <c r="R2507" s="152" t="s">
        <v>7338</v>
      </c>
      <c r="S2507" s="152" t="s">
        <v>7405</v>
      </c>
      <c r="T2507" s="152" t="s">
        <v>7340</v>
      </c>
      <c r="U2507" s="152" t="s">
        <v>786</v>
      </c>
    </row>
    <row r="2508" spans="4:21">
      <c r="D2508" s="210"/>
      <c r="G2508" s="152" t="s">
        <v>354</v>
      </c>
      <c r="H2508" s="474" t="s">
        <v>355</v>
      </c>
      <c r="I2508" s="474"/>
      <c r="J2508" s="847">
        <v>639781</v>
      </c>
      <c r="K2508" s="513">
        <v>450.55</v>
      </c>
      <c r="L2508" s="513">
        <v>1420</v>
      </c>
      <c r="M2508" s="152" t="s">
        <v>7143</v>
      </c>
      <c r="N2508" s="513" t="s">
        <v>780</v>
      </c>
      <c r="O2508" s="513" t="s">
        <v>1407</v>
      </c>
      <c r="P2508" s="513" t="s">
        <v>7337</v>
      </c>
      <c r="Q2508" s="518" t="s">
        <v>7101</v>
      </c>
      <c r="R2508" s="152" t="s">
        <v>7338</v>
      </c>
      <c r="S2508" s="152" t="s">
        <v>7373</v>
      </c>
      <c r="T2508" s="152" t="s">
        <v>7340</v>
      </c>
      <c r="U2508" s="152" t="s">
        <v>786</v>
      </c>
    </row>
    <row r="2509" spans="4:21">
      <c r="D2509" s="210"/>
      <c r="G2509" s="152" t="s">
        <v>354</v>
      </c>
      <c r="H2509" s="474" t="s">
        <v>355</v>
      </c>
      <c r="I2509" s="474"/>
      <c r="J2509" s="847">
        <v>306578</v>
      </c>
      <c r="K2509" s="513">
        <v>215.9</v>
      </c>
      <c r="L2509" s="513">
        <v>1420</v>
      </c>
      <c r="M2509" s="152" t="s">
        <v>7143</v>
      </c>
      <c r="N2509" s="513" t="s">
        <v>780</v>
      </c>
      <c r="O2509" s="513" t="s">
        <v>1407</v>
      </c>
      <c r="P2509" s="513" t="s">
        <v>7337</v>
      </c>
      <c r="Q2509" s="518" t="s">
        <v>7101</v>
      </c>
      <c r="R2509" s="152" t="s">
        <v>7338</v>
      </c>
      <c r="S2509" s="152" t="s">
        <v>7406</v>
      </c>
      <c r="T2509" s="152" t="s">
        <v>7340</v>
      </c>
      <c r="U2509" s="152" t="s">
        <v>786</v>
      </c>
    </row>
    <row r="2510" spans="4:21">
      <c r="D2510" s="210"/>
      <c r="G2510" s="152" t="s">
        <v>354</v>
      </c>
      <c r="H2510" s="474" t="s">
        <v>355</v>
      </c>
      <c r="I2510" s="474"/>
      <c r="J2510" s="847">
        <v>1320202.3999999999</v>
      </c>
      <c r="K2510" s="513">
        <v>929.72</v>
      </c>
      <c r="L2510" s="513">
        <v>1420</v>
      </c>
      <c r="M2510" s="152" t="s">
        <v>7143</v>
      </c>
      <c r="N2510" s="513" t="s">
        <v>780</v>
      </c>
      <c r="O2510" s="513" t="s">
        <v>1407</v>
      </c>
      <c r="P2510" s="513" t="s">
        <v>7414</v>
      </c>
      <c r="Q2510" s="518" t="s">
        <v>7101</v>
      </c>
      <c r="R2510" s="152" t="s">
        <v>7415</v>
      </c>
      <c r="S2510" s="152" t="s">
        <v>7416</v>
      </c>
      <c r="T2510" s="152" t="s">
        <v>7417</v>
      </c>
      <c r="U2510" s="152" t="s">
        <v>786</v>
      </c>
    </row>
    <row r="2511" spans="4:21">
      <c r="D2511" s="210"/>
      <c r="G2511" s="152" t="s">
        <v>354</v>
      </c>
      <c r="H2511" s="474" t="s">
        <v>355</v>
      </c>
      <c r="I2511" s="474"/>
      <c r="J2511" s="847">
        <v>-414370.2</v>
      </c>
      <c r="K2511" s="513">
        <v>-291.81</v>
      </c>
      <c r="L2511" s="513">
        <v>1420</v>
      </c>
      <c r="M2511" s="152" t="s">
        <v>7143</v>
      </c>
      <c r="N2511" s="513" t="s">
        <v>780</v>
      </c>
      <c r="O2511" s="513" t="s">
        <v>1407</v>
      </c>
      <c r="P2511" s="513" t="s">
        <v>7754</v>
      </c>
      <c r="Q2511" s="518" t="s">
        <v>7101</v>
      </c>
      <c r="R2511" s="152" t="s">
        <v>7755</v>
      </c>
      <c r="S2511" s="152" t="s">
        <v>7372</v>
      </c>
      <c r="T2511" s="152" t="s">
        <v>7756</v>
      </c>
      <c r="U2511" s="152" t="s">
        <v>786</v>
      </c>
    </row>
    <row r="2512" spans="4:21">
      <c r="D2512" s="210"/>
      <c r="G2512" s="152" t="s">
        <v>354</v>
      </c>
      <c r="H2512" s="474" t="s">
        <v>355</v>
      </c>
      <c r="I2512" s="474"/>
      <c r="J2512" s="847">
        <v>-274187.8</v>
      </c>
      <c r="K2512" s="513">
        <v>-193.09</v>
      </c>
      <c r="L2512" s="513">
        <v>1420</v>
      </c>
      <c r="M2512" s="152" t="s">
        <v>7143</v>
      </c>
      <c r="N2512" s="513" t="s">
        <v>780</v>
      </c>
      <c r="O2512" s="513" t="s">
        <v>1407</v>
      </c>
      <c r="P2512" s="513" t="s">
        <v>7754</v>
      </c>
      <c r="Q2512" s="518" t="s">
        <v>7101</v>
      </c>
      <c r="R2512" s="152" t="s">
        <v>7755</v>
      </c>
      <c r="S2512" s="152" t="s">
        <v>7370</v>
      </c>
      <c r="T2512" s="152" t="s">
        <v>7756</v>
      </c>
      <c r="U2512" s="152" t="s">
        <v>786</v>
      </c>
    </row>
    <row r="2513" spans="4:21">
      <c r="D2513" s="210"/>
      <c r="G2513" s="152" t="s">
        <v>354</v>
      </c>
      <c r="H2513" s="474" t="s">
        <v>355</v>
      </c>
      <c r="I2513" s="474"/>
      <c r="J2513" s="847">
        <v>-202151.2</v>
      </c>
      <c r="K2513" s="513">
        <v>-142.36000000000001</v>
      </c>
      <c r="L2513" s="513">
        <v>1420</v>
      </c>
      <c r="M2513" s="152" t="s">
        <v>7143</v>
      </c>
      <c r="N2513" s="513" t="s">
        <v>780</v>
      </c>
      <c r="O2513" s="513" t="s">
        <v>1407</v>
      </c>
      <c r="P2513" s="513" t="s">
        <v>7754</v>
      </c>
      <c r="Q2513" s="518" t="s">
        <v>7101</v>
      </c>
      <c r="R2513" s="152" t="s">
        <v>7755</v>
      </c>
      <c r="S2513" s="152" t="s">
        <v>7760</v>
      </c>
      <c r="T2513" s="152" t="s">
        <v>7756</v>
      </c>
      <c r="U2513" s="152" t="s">
        <v>786</v>
      </c>
    </row>
    <row r="2514" spans="4:21">
      <c r="D2514" s="210"/>
      <c r="G2514" s="152" t="s">
        <v>354</v>
      </c>
      <c r="H2514" s="474" t="s">
        <v>355</v>
      </c>
      <c r="I2514" s="474"/>
      <c r="J2514" s="847">
        <v>-296212</v>
      </c>
      <c r="K2514" s="513">
        <v>-208.6</v>
      </c>
      <c r="L2514" s="513">
        <v>1420</v>
      </c>
      <c r="M2514" s="152" t="s">
        <v>7143</v>
      </c>
      <c r="N2514" s="513" t="s">
        <v>780</v>
      </c>
      <c r="O2514" s="513" t="s">
        <v>1407</v>
      </c>
      <c r="P2514" s="513" t="s">
        <v>7754</v>
      </c>
      <c r="Q2514" s="518" t="s">
        <v>7101</v>
      </c>
      <c r="R2514" s="152" t="s">
        <v>7755</v>
      </c>
      <c r="S2514" s="152" t="s">
        <v>7406</v>
      </c>
      <c r="T2514" s="152" t="s">
        <v>7756</v>
      </c>
      <c r="U2514" s="152" t="s">
        <v>786</v>
      </c>
    </row>
    <row r="2515" spans="4:21">
      <c r="D2515" s="210"/>
      <c r="G2515" s="152" t="s">
        <v>354</v>
      </c>
      <c r="H2515" s="474" t="s">
        <v>355</v>
      </c>
      <c r="I2515" s="474"/>
      <c r="J2515" s="847">
        <v>-70943.199999999997</v>
      </c>
      <c r="K2515" s="513">
        <v>-49.96</v>
      </c>
      <c r="L2515" s="513">
        <v>1420</v>
      </c>
      <c r="M2515" s="152" t="s">
        <v>7143</v>
      </c>
      <c r="N2515" s="513" t="s">
        <v>780</v>
      </c>
      <c r="O2515" s="513" t="s">
        <v>1407</v>
      </c>
      <c r="P2515" s="513" t="s">
        <v>7754</v>
      </c>
      <c r="Q2515" s="518" t="s">
        <v>7101</v>
      </c>
      <c r="R2515" s="152" t="s">
        <v>7755</v>
      </c>
      <c r="S2515" s="152" t="s">
        <v>7757</v>
      </c>
      <c r="T2515" s="152" t="s">
        <v>7756</v>
      </c>
      <c r="U2515" s="152" t="s">
        <v>786</v>
      </c>
    </row>
    <row r="2516" spans="4:21">
      <c r="D2516" s="210"/>
      <c r="G2516" s="152" t="s">
        <v>354</v>
      </c>
      <c r="H2516" s="474" t="s">
        <v>355</v>
      </c>
      <c r="I2516" s="474"/>
      <c r="J2516" s="847">
        <v>-592679.6</v>
      </c>
      <c r="K2516" s="513">
        <v>-417.38</v>
      </c>
      <c r="L2516" s="513">
        <v>1420</v>
      </c>
      <c r="M2516" s="152" t="s">
        <v>7143</v>
      </c>
      <c r="N2516" s="513" t="s">
        <v>780</v>
      </c>
      <c r="O2516" s="513" t="s">
        <v>1407</v>
      </c>
      <c r="P2516" s="513" t="s">
        <v>7754</v>
      </c>
      <c r="Q2516" s="518" t="s">
        <v>7101</v>
      </c>
      <c r="R2516" s="152" t="s">
        <v>7755</v>
      </c>
      <c r="S2516" s="152" t="s">
        <v>7762</v>
      </c>
      <c r="T2516" s="152" t="s">
        <v>7756</v>
      </c>
      <c r="U2516" s="152" t="s">
        <v>786</v>
      </c>
    </row>
    <row r="2517" spans="4:21">
      <c r="D2517" s="210"/>
      <c r="G2517" s="152" t="s">
        <v>354</v>
      </c>
      <c r="H2517" s="474" t="s">
        <v>355</v>
      </c>
      <c r="I2517" s="474"/>
      <c r="J2517" s="847">
        <v>-296680.59999999998</v>
      </c>
      <c r="K2517" s="513">
        <v>-208.93</v>
      </c>
      <c r="L2517" s="513">
        <v>1420</v>
      </c>
      <c r="M2517" s="152" t="s">
        <v>7143</v>
      </c>
      <c r="N2517" s="513" t="s">
        <v>780</v>
      </c>
      <c r="O2517" s="513" t="s">
        <v>1407</v>
      </c>
      <c r="P2517" s="513" t="s">
        <v>7754</v>
      </c>
      <c r="Q2517" s="518" t="s">
        <v>7101</v>
      </c>
      <c r="R2517" s="152" t="s">
        <v>7755</v>
      </c>
      <c r="S2517" s="152" t="s">
        <v>7403</v>
      </c>
      <c r="T2517" s="152" t="s">
        <v>7756</v>
      </c>
      <c r="U2517" s="152" t="s">
        <v>786</v>
      </c>
    </row>
    <row r="2518" spans="4:21">
      <c r="D2518" s="210"/>
      <c r="G2518" s="152" t="s">
        <v>354</v>
      </c>
      <c r="H2518" s="474" t="s">
        <v>355</v>
      </c>
      <c r="I2518" s="474"/>
      <c r="J2518" s="847">
        <v>-135184</v>
      </c>
      <c r="K2518" s="513">
        <v>-95.2</v>
      </c>
      <c r="L2518" s="513">
        <v>1420</v>
      </c>
      <c r="M2518" s="152" t="s">
        <v>7143</v>
      </c>
      <c r="N2518" s="513" t="s">
        <v>780</v>
      </c>
      <c r="O2518" s="513" t="s">
        <v>1407</v>
      </c>
      <c r="P2518" s="513" t="s">
        <v>7754</v>
      </c>
      <c r="Q2518" s="518" t="s">
        <v>7101</v>
      </c>
      <c r="R2518" s="152" t="s">
        <v>7755</v>
      </c>
      <c r="S2518" s="152" t="s">
        <v>7367</v>
      </c>
      <c r="T2518" s="152" t="s">
        <v>7756</v>
      </c>
      <c r="U2518" s="152" t="s">
        <v>786</v>
      </c>
    </row>
    <row r="2519" spans="4:21">
      <c r="D2519" s="210"/>
      <c r="G2519" s="152" t="s">
        <v>354</v>
      </c>
      <c r="H2519" s="474" t="s">
        <v>355</v>
      </c>
      <c r="I2519" s="474"/>
      <c r="J2519" s="847">
        <v>-142014.20000000001</v>
      </c>
      <c r="K2519" s="513">
        <v>-100.01</v>
      </c>
      <c r="L2519" s="513">
        <v>1420</v>
      </c>
      <c r="M2519" s="152" t="s">
        <v>7143</v>
      </c>
      <c r="N2519" s="513" t="s">
        <v>780</v>
      </c>
      <c r="O2519" s="513" t="s">
        <v>1407</v>
      </c>
      <c r="P2519" s="513" t="s">
        <v>7754</v>
      </c>
      <c r="Q2519" s="518" t="s">
        <v>7101</v>
      </c>
      <c r="R2519" s="152" t="s">
        <v>7755</v>
      </c>
      <c r="S2519" s="152" t="s">
        <v>7341</v>
      </c>
      <c r="T2519" s="152" t="s">
        <v>7756</v>
      </c>
      <c r="U2519" s="152" t="s">
        <v>786</v>
      </c>
    </row>
    <row r="2520" spans="4:21">
      <c r="D2520" s="210"/>
      <c r="G2520" s="152" t="s">
        <v>354</v>
      </c>
      <c r="H2520" s="474" t="s">
        <v>355</v>
      </c>
      <c r="I2520" s="474"/>
      <c r="J2520" s="847">
        <v>-74550</v>
      </c>
      <c r="K2520" s="513">
        <v>-52.5</v>
      </c>
      <c r="L2520" s="513">
        <v>1420</v>
      </c>
      <c r="M2520" s="152" t="s">
        <v>7143</v>
      </c>
      <c r="N2520" s="513" t="s">
        <v>780</v>
      </c>
      <c r="O2520" s="513" t="s">
        <v>1407</v>
      </c>
      <c r="P2520" s="513" t="s">
        <v>7754</v>
      </c>
      <c r="Q2520" s="518" t="s">
        <v>7101</v>
      </c>
      <c r="R2520" s="152" t="s">
        <v>7755</v>
      </c>
      <c r="S2520" s="152" t="s">
        <v>7344</v>
      </c>
      <c r="T2520" s="152" t="s">
        <v>7756</v>
      </c>
      <c r="U2520" s="152" t="s">
        <v>786</v>
      </c>
    </row>
    <row r="2521" spans="4:21">
      <c r="D2521" s="210"/>
      <c r="G2521" s="152" t="s">
        <v>354</v>
      </c>
      <c r="H2521" s="474" t="s">
        <v>355</v>
      </c>
      <c r="I2521" s="474"/>
      <c r="J2521" s="847">
        <v>-268380</v>
      </c>
      <c r="K2521" s="513">
        <v>-189</v>
      </c>
      <c r="L2521" s="513">
        <v>1420</v>
      </c>
      <c r="M2521" s="152" t="s">
        <v>7143</v>
      </c>
      <c r="N2521" s="513" t="s">
        <v>780</v>
      </c>
      <c r="O2521" s="513" t="s">
        <v>1407</v>
      </c>
      <c r="P2521" s="513" t="s">
        <v>7754</v>
      </c>
      <c r="Q2521" s="518" t="s">
        <v>7101</v>
      </c>
      <c r="R2521" s="152" t="s">
        <v>7755</v>
      </c>
      <c r="S2521" s="152" t="s">
        <v>7368</v>
      </c>
      <c r="T2521" s="152" t="s">
        <v>7756</v>
      </c>
      <c r="U2521" s="152" t="s">
        <v>786</v>
      </c>
    </row>
    <row r="2522" spans="4:21">
      <c r="D2522" s="210"/>
      <c r="G2522" s="152" t="s">
        <v>354</v>
      </c>
      <c r="H2522" s="474" t="s">
        <v>355</v>
      </c>
      <c r="I2522" s="474"/>
      <c r="J2522" s="847">
        <v>-301806.8</v>
      </c>
      <c r="K2522" s="513">
        <v>-212.54</v>
      </c>
      <c r="L2522" s="513">
        <v>1420</v>
      </c>
      <c r="M2522" s="152" t="s">
        <v>7143</v>
      </c>
      <c r="N2522" s="513" t="s">
        <v>780</v>
      </c>
      <c r="O2522" s="513" t="s">
        <v>1407</v>
      </c>
      <c r="P2522" s="513" t="s">
        <v>7754</v>
      </c>
      <c r="Q2522" s="518" t="s">
        <v>7101</v>
      </c>
      <c r="R2522" s="152" t="s">
        <v>7755</v>
      </c>
      <c r="S2522" s="152" t="s">
        <v>7343</v>
      </c>
      <c r="T2522" s="152" t="s">
        <v>7756</v>
      </c>
      <c r="U2522" s="152" t="s">
        <v>786</v>
      </c>
    </row>
    <row r="2523" spans="4:21">
      <c r="D2523" s="210"/>
      <c r="G2523" s="152" t="s">
        <v>354</v>
      </c>
      <c r="H2523" s="474" t="s">
        <v>355</v>
      </c>
      <c r="I2523" s="474"/>
      <c r="J2523" s="847">
        <v>-612176.19999999995</v>
      </c>
      <c r="K2523" s="513">
        <v>-431.11</v>
      </c>
      <c r="L2523" s="513">
        <v>1420</v>
      </c>
      <c r="M2523" s="152" t="s">
        <v>7143</v>
      </c>
      <c r="N2523" s="513" t="s">
        <v>780</v>
      </c>
      <c r="O2523" s="513" t="s">
        <v>1407</v>
      </c>
      <c r="P2523" s="513" t="s">
        <v>7754</v>
      </c>
      <c r="Q2523" s="518" t="s">
        <v>7101</v>
      </c>
      <c r="R2523" s="152" t="s">
        <v>7755</v>
      </c>
      <c r="S2523" s="152" t="s">
        <v>7342</v>
      </c>
      <c r="T2523" s="152" t="s">
        <v>7756</v>
      </c>
      <c r="U2523" s="152" t="s">
        <v>786</v>
      </c>
    </row>
    <row r="2524" spans="4:21">
      <c r="D2524" s="210"/>
      <c r="G2524" s="152" t="s">
        <v>354</v>
      </c>
      <c r="H2524" s="474" t="s">
        <v>355</v>
      </c>
      <c r="I2524" s="474"/>
      <c r="J2524" s="847">
        <v>-37275</v>
      </c>
      <c r="K2524" s="513">
        <v>-26.25</v>
      </c>
      <c r="L2524" s="513">
        <v>1420</v>
      </c>
      <c r="M2524" s="152" t="s">
        <v>7143</v>
      </c>
      <c r="N2524" s="513" t="s">
        <v>780</v>
      </c>
      <c r="O2524" s="513" t="s">
        <v>1407</v>
      </c>
      <c r="P2524" s="513" t="s">
        <v>7754</v>
      </c>
      <c r="Q2524" s="518" t="s">
        <v>7101</v>
      </c>
      <c r="R2524" s="152" t="s">
        <v>7755</v>
      </c>
      <c r="S2524" s="152" t="s">
        <v>7342</v>
      </c>
      <c r="T2524" s="152" t="s">
        <v>7756</v>
      </c>
      <c r="U2524" s="152" t="s">
        <v>786</v>
      </c>
    </row>
    <row r="2525" spans="4:21">
      <c r="D2525" s="210"/>
      <c r="G2525" s="152" t="s">
        <v>354</v>
      </c>
      <c r="H2525" s="474" t="s">
        <v>355</v>
      </c>
      <c r="I2525" s="474"/>
      <c r="J2525" s="847">
        <v>-140026.20000000001</v>
      </c>
      <c r="K2525" s="513">
        <v>-98.61</v>
      </c>
      <c r="L2525" s="513">
        <v>1420</v>
      </c>
      <c r="M2525" s="152" t="s">
        <v>7143</v>
      </c>
      <c r="N2525" s="513" t="s">
        <v>780</v>
      </c>
      <c r="O2525" s="513" t="s">
        <v>1407</v>
      </c>
      <c r="P2525" s="513" t="s">
        <v>7754</v>
      </c>
      <c r="Q2525" s="518" t="s">
        <v>7101</v>
      </c>
      <c r="R2525" s="152" t="s">
        <v>7755</v>
      </c>
      <c r="S2525" s="152" t="s">
        <v>7768</v>
      </c>
      <c r="T2525" s="152" t="s">
        <v>7756</v>
      </c>
      <c r="U2525" s="152" t="s">
        <v>786</v>
      </c>
    </row>
    <row r="2526" spans="4:21">
      <c r="D2526" s="210"/>
      <c r="G2526" s="152" t="s">
        <v>354</v>
      </c>
      <c r="H2526" s="474" t="s">
        <v>355</v>
      </c>
      <c r="I2526" s="474"/>
      <c r="J2526" s="847">
        <v>-119038.6</v>
      </c>
      <c r="K2526" s="513">
        <v>-83.83</v>
      </c>
      <c r="L2526" s="513">
        <v>1420</v>
      </c>
      <c r="M2526" s="152" t="s">
        <v>7143</v>
      </c>
      <c r="N2526" s="513" t="s">
        <v>780</v>
      </c>
      <c r="O2526" s="513" t="s">
        <v>1407</v>
      </c>
      <c r="P2526" s="513" t="s">
        <v>7754</v>
      </c>
      <c r="Q2526" s="518" t="s">
        <v>7101</v>
      </c>
      <c r="R2526" s="152" t="s">
        <v>7755</v>
      </c>
      <c r="S2526" s="152" t="s">
        <v>7366</v>
      </c>
      <c r="T2526" s="152" t="s">
        <v>7756</v>
      </c>
      <c r="U2526" s="152" t="s">
        <v>786</v>
      </c>
    </row>
    <row r="2527" spans="4:21">
      <c r="D2527" s="210"/>
      <c r="G2527" s="152" t="s">
        <v>354</v>
      </c>
      <c r="H2527" s="474" t="s">
        <v>355</v>
      </c>
      <c r="I2527" s="474"/>
      <c r="J2527" s="847">
        <v>-268635.59999999998</v>
      </c>
      <c r="K2527" s="513">
        <v>-189.18</v>
      </c>
      <c r="L2527" s="513">
        <v>1420</v>
      </c>
      <c r="M2527" s="152" t="s">
        <v>7143</v>
      </c>
      <c r="N2527" s="513" t="s">
        <v>780</v>
      </c>
      <c r="O2527" s="513" t="s">
        <v>1407</v>
      </c>
      <c r="P2527" s="513" t="s">
        <v>7754</v>
      </c>
      <c r="Q2527" s="518" t="s">
        <v>7101</v>
      </c>
      <c r="R2527" s="152" t="s">
        <v>7755</v>
      </c>
      <c r="S2527" s="152" t="s">
        <v>7365</v>
      </c>
      <c r="T2527" s="152" t="s">
        <v>7756</v>
      </c>
      <c r="U2527" s="152" t="s">
        <v>786</v>
      </c>
    </row>
    <row r="2528" spans="4:21">
      <c r="D2528" s="210"/>
      <c r="G2528" s="152" t="s">
        <v>354</v>
      </c>
      <c r="H2528" s="474" t="s">
        <v>355</v>
      </c>
      <c r="I2528" s="474"/>
      <c r="J2528" s="847">
        <v>-296212</v>
      </c>
      <c r="K2528" s="513">
        <v>-208.6</v>
      </c>
      <c r="L2528" s="513">
        <v>1420</v>
      </c>
      <c r="M2528" s="152" t="s">
        <v>7143</v>
      </c>
      <c r="N2528" s="513" t="s">
        <v>780</v>
      </c>
      <c r="O2528" s="513" t="s">
        <v>1407</v>
      </c>
      <c r="P2528" s="513" t="s">
        <v>7754</v>
      </c>
      <c r="Q2528" s="518" t="s">
        <v>7101</v>
      </c>
      <c r="R2528" s="152" t="s">
        <v>7755</v>
      </c>
      <c r="S2528" s="152" t="s">
        <v>7791</v>
      </c>
      <c r="T2528" s="152" t="s">
        <v>7756</v>
      </c>
      <c r="U2528" s="152" t="s">
        <v>786</v>
      </c>
    </row>
    <row r="2529" spans="1:21">
      <c r="D2529" s="210"/>
      <c r="G2529" s="152" t="s">
        <v>354</v>
      </c>
      <c r="H2529" s="474" t="s">
        <v>355</v>
      </c>
      <c r="I2529" s="474"/>
      <c r="J2529" s="847">
        <v>1278000</v>
      </c>
      <c r="K2529" s="513">
        <v>900</v>
      </c>
      <c r="L2529" s="513">
        <v>1420</v>
      </c>
      <c r="M2529" s="152" t="s">
        <v>7276</v>
      </c>
      <c r="N2529" s="513" t="s">
        <v>780</v>
      </c>
      <c r="O2529" s="513" t="s">
        <v>2705</v>
      </c>
      <c r="P2529" s="513" t="s">
        <v>7277</v>
      </c>
      <c r="Q2529" s="518" t="s">
        <v>7101</v>
      </c>
      <c r="R2529" s="152" t="s">
        <v>7278</v>
      </c>
      <c r="S2529" s="152" t="s">
        <v>7281</v>
      </c>
      <c r="T2529" s="152" t="s">
        <v>7280</v>
      </c>
      <c r="U2529" s="152" t="s">
        <v>786</v>
      </c>
    </row>
    <row r="2530" spans="1:21">
      <c r="D2530" s="210"/>
      <c r="H2530" s="474"/>
      <c r="I2530" s="474"/>
      <c r="J2530" s="847"/>
      <c r="M2530" s="152"/>
      <c r="N2530" s="513"/>
      <c r="O2530" s="513"/>
      <c r="P2530" s="513"/>
      <c r="Q2530" s="518"/>
    </row>
    <row r="2531" spans="1:21">
      <c r="D2531" s="210"/>
      <c r="H2531" s="474"/>
      <c r="I2531" s="866"/>
      <c r="J2531" s="847"/>
      <c r="M2531" s="152"/>
      <c r="N2531" s="513"/>
      <c r="O2531" s="513"/>
      <c r="P2531" s="513"/>
      <c r="Q2531" s="518"/>
    </row>
    <row r="2532" spans="1:21">
      <c r="D2532" s="210"/>
      <c r="G2532" s="152" t="s">
        <v>358</v>
      </c>
      <c r="H2532" s="474" t="s">
        <v>359</v>
      </c>
      <c r="I2532" s="866"/>
      <c r="J2532" s="847">
        <v>-2840000</v>
      </c>
      <c r="K2532" s="513">
        <v>-2000</v>
      </c>
      <c r="L2532" s="513">
        <v>1420</v>
      </c>
      <c r="M2532" s="152" t="s">
        <v>7143</v>
      </c>
      <c r="N2532" s="513" t="s">
        <v>780</v>
      </c>
      <c r="O2532" s="513" t="s">
        <v>781</v>
      </c>
      <c r="P2532" s="513" t="s">
        <v>7154</v>
      </c>
      <c r="Q2532" s="518" t="s">
        <v>7101</v>
      </c>
      <c r="R2532" s="152" t="s">
        <v>7155</v>
      </c>
      <c r="S2532" s="152" t="s">
        <v>1107</v>
      </c>
      <c r="T2532" s="152" t="s">
        <v>7156</v>
      </c>
      <c r="U2532" s="152" t="s">
        <v>786</v>
      </c>
    </row>
    <row r="2533" spans="1:21">
      <c r="D2533" s="210"/>
      <c r="G2533" s="152" t="s">
        <v>358</v>
      </c>
      <c r="H2533" s="474" t="s">
        <v>359</v>
      </c>
      <c r="I2533" s="866"/>
      <c r="J2533" s="847">
        <v>-2840000</v>
      </c>
      <c r="K2533" s="513">
        <v>-2000</v>
      </c>
      <c r="L2533" s="513">
        <v>1420</v>
      </c>
      <c r="M2533" s="152" t="s">
        <v>7143</v>
      </c>
      <c r="N2533" s="513" t="s">
        <v>780</v>
      </c>
      <c r="O2533" s="513" t="s">
        <v>781</v>
      </c>
      <c r="P2533" s="513" t="s">
        <v>7165</v>
      </c>
      <c r="Q2533" s="518" t="s">
        <v>7101</v>
      </c>
      <c r="R2533" s="152" t="s">
        <v>7166</v>
      </c>
      <c r="S2533" s="152" t="s">
        <v>1107</v>
      </c>
      <c r="T2533" s="152" t="s">
        <v>7167</v>
      </c>
      <c r="U2533" s="152" t="s">
        <v>786</v>
      </c>
    </row>
    <row r="2534" spans="1:21" ht="13">
      <c r="A2534" s="801" t="s">
        <v>382</v>
      </c>
      <c r="D2534" s="210"/>
      <c r="G2534" s="152" t="s">
        <v>358</v>
      </c>
      <c r="H2534" s="474" t="s">
        <v>359</v>
      </c>
      <c r="I2534" s="866"/>
      <c r="J2534" s="847">
        <v>-5620000</v>
      </c>
      <c r="K2534" s="513">
        <v>-4000</v>
      </c>
      <c r="L2534" s="513">
        <v>1405</v>
      </c>
      <c r="M2534" s="152" t="s">
        <v>7116</v>
      </c>
      <c r="N2534" s="513" t="s">
        <v>780</v>
      </c>
      <c r="O2534" s="513" t="s">
        <v>781</v>
      </c>
      <c r="P2534" s="513" t="s">
        <v>7129</v>
      </c>
      <c r="Q2534" s="518" t="s">
        <v>7101</v>
      </c>
      <c r="R2534" s="152" t="s">
        <v>7130</v>
      </c>
      <c r="S2534" s="152" t="s">
        <v>1107</v>
      </c>
      <c r="T2534" s="152" t="s">
        <v>7131</v>
      </c>
      <c r="U2534" s="152" t="s">
        <v>786</v>
      </c>
    </row>
    <row r="2535" spans="1:21" ht="13">
      <c r="A2535" s="801" t="s">
        <v>382</v>
      </c>
      <c r="D2535" s="210"/>
      <c r="G2535" s="152" t="s">
        <v>358</v>
      </c>
      <c r="H2535" s="474" t="s">
        <v>359</v>
      </c>
      <c r="I2535" s="866"/>
      <c r="J2535" s="847">
        <v>5620000</v>
      </c>
      <c r="K2535" s="513">
        <v>4000</v>
      </c>
      <c r="L2535" s="513">
        <v>1405</v>
      </c>
      <c r="M2535" s="152" t="s">
        <v>7116</v>
      </c>
      <c r="N2535" s="513" t="s">
        <v>780</v>
      </c>
      <c r="O2535" s="513" t="s">
        <v>781</v>
      </c>
      <c r="P2535" s="513" t="s">
        <v>7418</v>
      </c>
      <c r="Q2535" s="518" t="s">
        <v>7101</v>
      </c>
      <c r="R2535" s="152" t="s">
        <v>7419</v>
      </c>
      <c r="S2535" s="152" t="s">
        <v>1107</v>
      </c>
      <c r="T2535" s="152" t="s">
        <v>7421</v>
      </c>
      <c r="U2535" s="152" t="s">
        <v>786</v>
      </c>
    </row>
    <row r="2536" spans="1:21" s="801" customFormat="1" ht="13">
      <c r="A2536" s="801" t="s">
        <v>382</v>
      </c>
      <c r="B2536" s="800"/>
      <c r="C2536" s="800"/>
      <c r="D2536" s="800"/>
      <c r="E2536" s="802"/>
      <c r="F2536" s="800"/>
      <c r="G2536" s="801" t="s">
        <v>358</v>
      </c>
      <c r="H2536" s="802" t="s">
        <v>359</v>
      </c>
      <c r="I2536" s="871"/>
      <c r="J2536" s="872">
        <v>-2156927.9</v>
      </c>
      <c r="K2536" s="804">
        <v>-1535.18</v>
      </c>
      <c r="L2536" s="804">
        <v>1405</v>
      </c>
      <c r="M2536" s="801" t="s">
        <v>7116</v>
      </c>
      <c r="N2536" s="804" t="s">
        <v>780</v>
      </c>
      <c r="O2536" s="804" t="s">
        <v>781</v>
      </c>
      <c r="P2536" s="804" t="s">
        <v>7129</v>
      </c>
      <c r="Q2536" s="805" t="s">
        <v>7101</v>
      </c>
      <c r="R2536" s="801" t="s">
        <v>7130</v>
      </c>
      <c r="S2536" s="801" t="s">
        <v>7134</v>
      </c>
      <c r="T2536" s="801" t="s">
        <v>7131</v>
      </c>
      <c r="U2536" s="801" t="s">
        <v>786</v>
      </c>
    </row>
    <row r="2537" spans="1:21" s="801" customFormat="1" ht="13">
      <c r="A2537" s="801" t="s">
        <v>382</v>
      </c>
      <c r="B2537" s="800"/>
      <c r="C2537" s="800"/>
      <c r="D2537" s="800"/>
      <c r="E2537" s="802"/>
      <c r="F2537" s="800"/>
      <c r="G2537" s="801" t="s">
        <v>358</v>
      </c>
      <c r="H2537" s="802" t="s">
        <v>359</v>
      </c>
      <c r="I2537" s="871"/>
      <c r="J2537" s="872">
        <v>2156927.9</v>
      </c>
      <c r="K2537" s="804">
        <v>1535.18</v>
      </c>
      <c r="L2537" s="804">
        <v>1405</v>
      </c>
      <c r="M2537" s="801" t="s">
        <v>7116</v>
      </c>
      <c r="N2537" s="804" t="s">
        <v>780</v>
      </c>
      <c r="O2537" s="804" t="s">
        <v>781</v>
      </c>
      <c r="P2537" s="804" t="s">
        <v>7418</v>
      </c>
      <c r="Q2537" s="805" t="s">
        <v>7101</v>
      </c>
      <c r="R2537" s="801" t="s">
        <v>7419</v>
      </c>
      <c r="S2537" s="801" t="s">
        <v>7134</v>
      </c>
      <c r="T2537" s="801" t="s">
        <v>7421</v>
      </c>
      <c r="U2537" s="801" t="s">
        <v>786</v>
      </c>
    </row>
    <row r="2538" spans="1:21" s="801" customFormat="1" ht="13">
      <c r="A2538" s="801" t="s">
        <v>382</v>
      </c>
      <c r="B2538" s="800"/>
      <c r="C2538" s="800"/>
      <c r="D2538" s="800"/>
      <c r="E2538" s="802"/>
      <c r="F2538" s="800"/>
      <c r="G2538" s="801" t="s">
        <v>358</v>
      </c>
      <c r="H2538" s="802" t="s">
        <v>359</v>
      </c>
      <c r="I2538" s="871"/>
      <c r="J2538" s="872">
        <v>-7025000</v>
      </c>
      <c r="K2538" s="804">
        <v>-5000</v>
      </c>
      <c r="L2538" s="804">
        <v>1405</v>
      </c>
      <c r="M2538" s="801" t="s">
        <v>7116</v>
      </c>
      <c r="N2538" s="804" t="s">
        <v>780</v>
      </c>
      <c r="O2538" s="804" t="s">
        <v>781</v>
      </c>
      <c r="P2538" s="804" t="s">
        <v>7125</v>
      </c>
      <c r="Q2538" s="805" t="s">
        <v>7101</v>
      </c>
      <c r="R2538" s="801" t="s">
        <v>7126</v>
      </c>
      <c r="S2538" s="801" t="s">
        <v>7128</v>
      </c>
      <c r="T2538" s="801" t="s">
        <v>7127</v>
      </c>
      <c r="U2538" s="801" t="s">
        <v>786</v>
      </c>
    </row>
    <row r="2539" spans="1:21" s="801" customFormat="1" ht="13">
      <c r="A2539" s="801" t="s">
        <v>382</v>
      </c>
      <c r="B2539" s="800"/>
      <c r="C2539" s="800"/>
      <c r="D2539" s="800"/>
      <c r="E2539" s="802"/>
      <c r="F2539" s="800"/>
      <c r="G2539" s="801" t="s">
        <v>358</v>
      </c>
      <c r="H2539" s="802" t="s">
        <v>359</v>
      </c>
      <c r="I2539" s="871"/>
      <c r="J2539" s="872">
        <v>7025000</v>
      </c>
      <c r="K2539" s="804">
        <v>5000</v>
      </c>
      <c r="L2539" s="804">
        <v>1405</v>
      </c>
      <c r="M2539" s="801" t="s">
        <v>7116</v>
      </c>
      <c r="N2539" s="804" t="s">
        <v>780</v>
      </c>
      <c r="O2539" s="804" t="s">
        <v>781</v>
      </c>
      <c r="P2539" s="804" t="s">
        <v>7418</v>
      </c>
      <c r="Q2539" s="805" t="s">
        <v>7101</v>
      </c>
      <c r="R2539" s="801" t="s">
        <v>7419</v>
      </c>
      <c r="S2539" s="801" t="s">
        <v>7427</v>
      </c>
      <c r="T2539" s="801" t="s">
        <v>7421</v>
      </c>
      <c r="U2539" s="801" t="s">
        <v>786</v>
      </c>
    </row>
    <row r="2540" spans="1:21" s="801" customFormat="1" ht="13">
      <c r="A2540" s="801" t="s">
        <v>382</v>
      </c>
      <c r="B2540" s="800"/>
      <c r="C2540" s="800"/>
      <c r="D2540" s="800"/>
      <c r="E2540" s="802"/>
      <c r="F2540" s="800"/>
      <c r="G2540" s="801" t="s">
        <v>358</v>
      </c>
      <c r="H2540" s="802" t="s">
        <v>359</v>
      </c>
      <c r="I2540" s="871"/>
      <c r="J2540" s="872">
        <v>-14050000</v>
      </c>
      <c r="K2540" s="804">
        <v>-10000</v>
      </c>
      <c r="L2540" s="804">
        <v>1405</v>
      </c>
      <c r="M2540" s="801" t="s">
        <v>7116</v>
      </c>
      <c r="N2540" s="804" t="s">
        <v>780</v>
      </c>
      <c r="O2540" s="804" t="s">
        <v>781</v>
      </c>
      <c r="P2540" s="804" t="s">
        <v>7129</v>
      </c>
      <c r="Q2540" s="805" t="s">
        <v>7101</v>
      </c>
      <c r="R2540" s="801" t="s">
        <v>7130</v>
      </c>
      <c r="S2540" s="801" t="s">
        <v>1107</v>
      </c>
      <c r="T2540" s="801" t="s">
        <v>7131</v>
      </c>
      <c r="U2540" s="801" t="s">
        <v>786</v>
      </c>
    </row>
    <row r="2541" spans="1:21" s="801" customFormat="1" ht="13">
      <c r="A2541" s="801" t="s">
        <v>382</v>
      </c>
      <c r="B2541" s="800"/>
      <c r="C2541" s="800"/>
      <c r="D2541" s="800"/>
      <c r="E2541" s="802"/>
      <c r="F2541" s="800"/>
      <c r="G2541" s="801" t="s">
        <v>358</v>
      </c>
      <c r="H2541" s="802" t="s">
        <v>359</v>
      </c>
      <c r="I2541" s="871"/>
      <c r="J2541" s="872">
        <v>-14050000</v>
      </c>
      <c r="K2541" s="804">
        <v>-10000</v>
      </c>
      <c r="L2541" s="804">
        <v>1405</v>
      </c>
      <c r="M2541" s="801" t="s">
        <v>7116</v>
      </c>
      <c r="N2541" s="804" t="s">
        <v>780</v>
      </c>
      <c r="O2541" s="804" t="s">
        <v>781</v>
      </c>
      <c r="P2541" s="804" t="s">
        <v>7129</v>
      </c>
      <c r="Q2541" s="805" t="s">
        <v>7101</v>
      </c>
      <c r="R2541" s="801" t="s">
        <v>7130</v>
      </c>
      <c r="S2541" s="801" t="s">
        <v>1107</v>
      </c>
      <c r="T2541" s="801" t="s">
        <v>7131</v>
      </c>
      <c r="U2541" s="801" t="s">
        <v>786</v>
      </c>
    </row>
    <row r="2542" spans="1:21" s="801" customFormat="1" ht="13">
      <c r="A2542" s="801" t="s">
        <v>382</v>
      </c>
      <c r="B2542" s="800"/>
      <c r="C2542" s="800"/>
      <c r="D2542" s="800"/>
      <c r="E2542" s="802"/>
      <c r="F2542" s="800"/>
      <c r="G2542" s="801" t="s">
        <v>358</v>
      </c>
      <c r="H2542" s="802" t="s">
        <v>359</v>
      </c>
      <c r="I2542" s="871"/>
      <c r="J2542" s="872">
        <v>-14050000</v>
      </c>
      <c r="K2542" s="804">
        <v>-10000</v>
      </c>
      <c r="L2542" s="804">
        <v>1405</v>
      </c>
      <c r="M2542" s="801" t="s">
        <v>7116</v>
      </c>
      <c r="N2542" s="804" t="s">
        <v>780</v>
      </c>
      <c r="O2542" s="804" t="s">
        <v>781</v>
      </c>
      <c r="P2542" s="804" t="s">
        <v>7129</v>
      </c>
      <c r="Q2542" s="805" t="s">
        <v>7101</v>
      </c>
      <c r="R2542" s="801" t="s">
        <v>7130</v>
      </c>
      <c r="S2542" s="801" t="s">
        <v>1107</v>
      </c>
      <c r="T2542" s="801" t="s">
        <v>7131</v>
      </c>
      <c r="U2542" s="801" t="s">
        <v>786</v>
      </c>
    </row>
    <row r="2543" spans="1:21" s="801" customFormat="1" ht="13">
      <c r="A2543" s="801" t="s">
        <v>382</v>
      </c>
      <c r="B2543" s="800"/>
      <c r="C2543" s="800"/>
      <c r="D2543" s="800"/>
      <c r="E2543" s="802"/>
      <c r="F2543" s="800"/>
      <c r="G2543" s="801" t="s">
        <v>358</v>
      </c>
      <c r="H2543" s="802" t="s">
        <v>359</v>
      </c>
      <c r="I2543" s="871"/>
      <c r="J2543" s="872">
        <v>14050000</v>
      </c>
      <c r="K2543" s="804">
        <v>10000</v>
      </c>
      <c r="L2543" s="804">
        <v>1405</v>
      </c>
      <c r="M2543" s="801" t="s">
        <v>7116</v>
      </c>
      <c r="N2543" s="804" t="s">
        <v>780</v>
      </c>
      <c r="O2543" s="804" t="s">
        <v>781</v>
      </c>
      <c r="P2543" s="804" t="s">
        <v>7418</v>
      </c>
      <c r="Q2543" s="805" t="s">
        <v>7101</v>
      </c>
      <c r="R2543" s="801" t="s">
        <v>7419</v>
      </c>
      <c r="S2543" s="801" t="s">
        <v>1107</v>
      </c>
      <c r="T2543" s="801" t="s">
        <v>7421</v>
      </c>
      <c r="U2543" s="801" t="s">
        <v>786</v>
      </c>
    </row>
    <row r="2544" spans="1:21" s="801" customFormat="1" ht="13">
      <c r="A2544" s="801" t="s">
        <v>382</v>
      </c>
      <c r="B2544" s="800"/>
      <c r="C2544" s="800"/>
      <c r="D2544" s="800"/>
      <c r="E2544" s="802"/>
      <c r="F2544" s="800"/>
      <c r="G2544" s="801" t="s">
        <v>358</v>
      </c>
      <c r="H2544" s="802" t="s">
        <v>359</v>
      </c>
      <c r="I2544" s="871"/>
      <c r="J2544" s="872">
        <v>14050000</v>
      </c>
      <c r="K2544" s="804">
        <v>10000</v>
      </c>
      <c r="L2544" s="804">
        <v>1405</v>
      </c>
      <c r="M2544" s="801" t="s">
        <v>7116</v>
      </c>
      <c r="N2544" s="804" t="s">
        <v>780</v>
      </c>
      <c r="O2544" s="804" t="s">
        <v>781</v>
      </c>
      <c r="P2544" s="804" t="s">
        <v>7418</v>
      </c>
      <c r="Q2544" s="805" t="s">
        <v>7101</v>
      </c>
      <c r="R2544" s="801" t="s">
        <v>7419</v>
      </c>
      <c r="S2544" s="801" t="s">
        <v>1107</v>
      </c>
      <c r="T2544" s="801" t="s">
        <v>7421</v>
      </c>
      <c r="U2544" s="801" t="s">
        <v>786</v>
      </c>
    </row>
    <row r="2545" spans="1:21" s="801" customFormat="1" ht="13">
      <c r="A2545" s="801" t="s">
        <v>382</v>
      </c>
      <c r="B2545" s="800"/>
      <c r="C2545" s="800"/>
      <c r="D2545" s="800"/>
      <c r="E2545" s="802"/>
      <c r="F2545" s="800"/>
      <c r="G2545" s="801" t="s">
        <v>358</v>
      </c>
      <c r="H2545" s="802" t="s">
        <v>359</v>
      </c>
      <c r="I2545" s="871"/>
      <c r="J2545" s="872">
        <v>14050000</v>
      </c>
      <c r="K2545" s="804">
        <v>10000</v>
      </c>
      <c r="L2545" s="804">
        <v>1405</v>
      </c>
      <c r="M2545" s="801" t="s">
        <v>7116</v>
      </c>
      <c r="N2545" s="804" t="s">
        <v>780</v>
      </c>
      <c r="O2545" s="804" t="s">
        <v>781</v>
      </c>
      <c r="P2545" s="804" t="s">
        <v>7418</v>
      </c>
      <c r="Q2545" s="805" t="s">
        <v>7101</v>
      </c>
      <c r="R2545" s="801" t="s">
        <v>7419</v>
      </c>
      <c r="S2545" s="801" t="s">
        <v>1107</v>
      </c>
      <c r="T2545" s="801" t="s">
        <v>7421</v>
      </c>
      <c r="U2545" s="801" t="s">
        <v>786</v>
      </c>
    </row>
    <row r="2546" spans="1:21" s="801" customFormat="1" ht="13">
      <c r="A2546" s="801" t="s">
        <v>382</v>
      </c>
      <c r="B2546" s="800"/>
      <c r="C2546" s="800"/>
      <c r="D2546" s="800"/>
      <c r="E2546" s="802"/>
      <c r="F2546" s="800"/>
      <c r="G2546" s="801" t="s">
        <v>358</v>
      </c>
      <c r="H2546" s="802" t="s">
        <v>359</v>
      </c>
      <c r="I2546" s="871"/>
      <c r="J2546" s="872">
        <v>-75160.600000000006</v>
      </c>
      <c r="K2546" s="804">
        <v>-52.93</v>
      </c>
      <c r="L2546" s="804">
        <v>1420</v>
      </c>
      <c r="M2546" s="801" t="s">
        <v>7143</v>
      </c>
      <c r="N2546" s="804" t="s">
        <v>780</v>
      </c>
      <c r="O2546" s="804" t="s">
        <v>781</v>
      </c>
      <c r="P2546" s="804" t="s">
        <v>7154</v>
      </c>
      <c r="Q2546" s="805" t="s">
        <v>7101</v>
      </c>
      <c r="R2546" s="801" t="s">
        <v>7155</v>
      </c>
      <c r="S2546" s="801" t="s">
        <v>7161</v>
      </c>
      <c r="T2546" s="801" t="s">
        <v>7156</v>
      </c>
      <c r="U2546" s="801" t="s">
        <v>786</v>
      </c>
    </row>
    <row r="2547" spans="1:21" s="801" customFormat="1" ht="13">
      <c r="A2547" s="801" t="s">
        <v>382</v>
      </c>
      <c r="B2547" s="800"/>
      <c r="C2547" s="800"/>
      <c r="D2547" s="800"/>
      <c r="E2547" s="802"/>
      <c r="F2547" s="800"/>
      <c r="G2547" s="801" t="s">
        <v>358</v>
      </c>
      <c r="H2547" s="802" t="s">
        <v>359</v>
      </c>
      <c r="I2547" s="871"/>
      <c r="J2547" s="872">
        <v>75160.600000000006</v>
      </c>
      <c r="K2547" s="804">
        <v>52.93</v>
      </c>
      <c r="L2547" s="804">
        <v>1420</v>
      </c>
      <c r="M2547" s="801" t="s">
        <v>7143</v>
      </c>
      <c r="N2547" s="804" t="s">
        <v>780</v>
      </c>
      <c r="O2547" s="804" t="s">
        <v>781</v>
      </c>
      <c r="P2547" s="804" t="s">
        <v>7653</v>
      </c>
      <c r="Q2547" s="805" t="s">
        <v>7101</v>
      </c>
      <c r="R2547" s="801" t="s">
        <v>7654</v>
      </c>
      <c r="S2547" s="801" t="s">
        <v>7161</v>
      </c>
      <c r="T2547" s="801" t="s">
        <v>7655</v>
      </c>
      <c r="U2547" s="801" t="s">
        <v>786</v>
      </c>
    </row>
    <row r="2548" spans="1:21" s="801" customFormat="1" ht="13">
      <c r="A2548" s="801" t="s">
        <v>382</v>
      </c>
      <c r="B2548" s="800"/>
      <c r="C2548" s="800"/>
      <c r="D2548" s="800"/>
      <c r="E2548" s="802"/>
      <c r="F2548" s="800"/>
      <c r="G2548" s="801" t="s">
        <v>358</v>
      </c>
      <c r="H2548" s="802" t="s">
        <v>359</v>
      </c>
      <c r="I2548" s="871"/>
      <c r="J2548" s="872">
        <v>-901490.15</v>
      </c>
      <c r="K2548" s="804">
        <v>-641.63</v>
      </c>
      <c r="L2548" s="804">
        <v>1405</v>
      </c>
      <c r="M2548" s="801" t="s">
        <v>7116</v>
      </c>
      <c r="N2548" s="804" t="s">
        <v>780</v>
      </c>
      <c r="O2548" s="804" t="s">
        <v>781</v>
      </c>
      <c r="P2548" s="804" t="s">
        <v>7129</v>
      </c>
      <c r="Q2548" s="805" t="s">
        <v>7101</v>
      </c>
      <c r="R2548" s="801" t="s">
        <v>7130</v>
      </c>
      <c r="S2548" s="801" t="s">
        <v>1107</v>
      </c>
      <c r="T2548" s="801" t="s">
        <v>7131</v>
      </c>
      <c r="U2548" s="801" t="s">
        <v>786</v>
      </c>
    </row>
    <row r="2549" spans="1:21" s="801" customFormat="1" ht="13">
      <c r="A2549" s="801" t="s">
        <v>382</v>
      </c>
      <c r="B2549" s="800"/>
      <c r="C2549" s="800"/>
      <c r="D2549" s="800"/>
      <c r="E2549" s="802"/>
      <c r="F2549" s="800"/>
      <c r="G2549" s="801" t="s">
        <v>358</v>
      </c>
      <c r="H2549" s="802" t="s">
        <v>359</v>
      </c>
      <c r="I2549" s="871"/>
      <c r="J2549" s="872">
        <v>901490.15</v>
      </c>
      <c r="K2549" s="804">
        <v>641.63</v>
      </c>
      <c r="L2549" s="804">
        <v>1405</v>
      </c>
      <c r="M2549" s="801" t="s">
        <v>7116</v>
      </c>
      <c r="N2549" s="804" t="s">
        <v>780</v>
      </c>
      <c r="O2549" s="804" t="s">
        <v>781</v>
      </c>
      <c r="P2549" s="804" t="s">
        <v>7418</v>
      </c>
      <c r="Q2549" s="805" t="s">
        <v>7101</v>
      </c>
      <c r="R2549" s="801" t="s">
        <v>7419</v>
      </c>
      <c r="S2549" s="801" t="s">
        <v>1107</v>
      </c>
      <c r="T2549" s="801" t="s">
        <v>7421</v>
      </c>
      <c r="U2549" s="801" t="s">
        <v>786</v>
      </c>
    </row>
    <row r="2550" spans="1:21" s="801" customFormat="1" ht="13">
      <c r="A2550" s="801" t="s">
        <v>382</v>
      </c>
      <c r="B2550" s="800"/>
      <c r="C2550" s="800"/>
      <c r="D2550" s="800"/>
      <c r="E2550" s="802"/>
      <c r="F2550" s="800"/>
      <c r="G2550" s="801" t="s">
        <v>358</v>
      </c>
      <c r="H2550" s="802" t="s">
        <v>359</v>
      </c>
      <c r="I2550" s="871"/>
      <c r="J2550" s="872">
        <v>-1041273.6</v>
      </c>
      <c r="K2550" s="804">
        <v>-741.12</v>
      </c>
      <c r="L2550" s="804">
        <v>1405</v>
      </c>
      <c r="M2550" s="801" t="s">
        <v>7116</v>
      </c>
      <c r="N2550" s="804" t="s">
        <v>780</v>
      </c>
      <c r="O2550" s="804" t="s">
        <v>781</v>
      </c>
      <c r="P2550" s="804" t="s">
        <v>7129</v>
      </c>
      <c r="Q2550" s="805" t="s">
        <v>7101</v>
      </c>
      <c r="R2550" s="801" t="s">
        <v>7130</v>
      </c>
      <c r="S2550" s="801" t="s">
        <v>1107</v>
      </c>
      <c r="T2550" s="801" t="s">
        <v>7131</v>
      </c>
      <c r="U2550" s="801" t="s">
        <v>786</v>
      </c>
    </row>
    <row r="2551" spans="1:21" s="801" customFormat="1" ht="13">
      <c r="A2551" s="801" t="s">
        <v>382</v>
      </c>
      <c r="B2551" s="800"/>
      <c r="C2551" s="800"/>
      <c r="D2551" s="800"/>
      <c r="E2551" s="802"/>
      <c r="F2551" s="800"/>
      <c r="G2551" s="801" t="s">
        <v>358</v>
      </c>
      <c r="H2551" s="802" t="s">
        <v>359</v>
      </c>
      <c r="I2551" s="871"/>
      <c r="J2551" s="872">
        <v>1041273.6</v>
      </c>
      <c r="K2551" s="804">
        <v>741.12</v>
      </c>
      <c r="L2551" s="804">
        <v>1405</v>
      </c>
      <c r="M2551" s="801" t="s">
        <v>7116</v>
      </c>
      <c r="N2551" s="804" t="s">
        <v>780</v>
      </c>
      <c r="O2551" s="804" t="s">
        <v>781</v>
      </c>
      <c r="P2551" s="804" t="s">
        <v>7418</v>
      </c>
      <c r="Q2551" s="805" t="s">
        <v>7101</v>
      </c>
      <c r="R2551" s="801" t="s">
        <v>7419</v>
      </c>
      <c r="S2551" s="801" t="s">
        <v>1107</v>
      </c>
      <c r="T2551" s="801" t="s">
        <v>7421</v>
      </c>
      <c r="U2551" s="801" t="s">
        <v>786</v>
      </c>
    </row>
    <row r="2552" spans="1:21" s="801" customFormat="1" ht="13">
      <c r="A2552" s="801" t="s">
        <v>382</v>
      </c>
      <c r="B2552" s="800"/>
      <c r="C2552" s="800"/>
      <c r="D2552" s="800"/>
      <c r="E2552" s="802"/>
      <c r="F2552" s="800"/>
      <c r="G2552" s="801" t="s">
        <v>358</v>
      </c>
      <c r="H2552" s="802" t="s">
        <v>359</v>
      </c>
      <c r="I2552" s="871"/>
      <c r="J2552" s="872">
        <v>-1288947</v>
      </c>
      <c r="K2552" s="804">
        <v>-917.4</v>
      </c>
      <c r="L2552" s="804">
        <v>1405</v>
      </c>
      <c r="M2552" s="801" t="s">
        <v>7116</v>
      </c>
      <c r="N2552" s="804" t="s">
        <v>780</v>
      </c>
      <c r="O2552" s="804" t="s">
        <v>781</v>
      </c>
      <c r="P2552" s="804" t="s">
        <v>7129</v>
      </c>
      <c r="Q2552" s="805" t="s">
        <v>7101</v>
      </c>
      <c r="R2552" s="801" t="s">
        <v>7130</v>
      </c>
      <c r="S2552" s="801" t="s">
        <v>1107</v>
      </c>
      <c r="T2552" s="801" t="s">
        <v>7131</v>
      </c>
      <c r="U2552" s="801" t="s">
        <v>786</v>
      </c>
    </row>
    <row r="2553" spans="1:21" s="801" customFormat="1" ht="13">
      <c r="A2553" s="801" t="s">
        <v>382</v>
      </c>
      <c r="B2553" s="800"/>
      <c r="C2553" s="800"/>
      <c r="D2553" s="800"/>
      <c r="E2553" s="802"/>
      <c r="F2553" s="800"/>
      <c r="G2553" s="801" t="s">
        <v>358</v>
      </c>
      <c r="H2553" s="802" t="s">
        <v>359</v>
      </c>
      <c r="I2553" s="871"/>
      <c r="J2553" s="872">
        <v>1288947</v>
      </c>
      <c r="K2553" s="804">
        <v>917.4</v>
      </c>
      <c r="L2553" s="804">
        <v>1405</v>
      </c>
      <c r="M2553" s="801" t="s">
        <v>7116</v>
      </c>
      <c r="N2553" s="804" t="s">
        <v>780</v>
      </c>
      <c r="O2553" s="804" t="s">
        <v>781</v>
      </c>
      <c r="P2553" s="804" t="s">
        <v>7418</v>
      </c>
      <c r="Q2553" s="805" t="s">
        <v>7101</v>
      </c>
      <c r="R2553" s="801" t="s">
        <v>7419</v>
      </c>
      <c r="S2553" s="801" t="s">
        <v>1107</v>
      </c>
      <c r="T2553" s="801" t="s">
        <v>7421</v>
      </c>
      <c r="U2553" s="801" t="s">
        <v>786</v>
      </c>
    </row>
    <row r="2554" spans="1:21">
      <c r="D2554" s="210"/>
      <c r="H2554" s="474"/>
      <c r="I2554" s="866"/>
      <c r="J2554" s="847"/>
      <c r="M2554" s="152"/>
      <c r="N2554" s="513"/>
      <c r="O2554" s="513"/>
      <c r="P2554" s="513"/>
      <c r="Q2554" s="518"/>
    </row>
    <row r="2555" spans="1:21" s="801" customFormat="1" ht="13">
      <c r="A2555" s="801" t="s">
        <v>382</v>
      </c>
      <c r="B2555" s="800"/>
      <c r="C2555" s="800"/>
      <c r="D2555" s="800"/>
      <c r="E2555" s="802"/>
      <c r="F2555" s="800"/>
      <c r="G2555" s="801" t="s">
        <v>358</v>
      </c>
      <c r="H2555" s="802" t="s">
        <v>359</v>
      </c>
      <c r="I2555" s="871"/>
      <c r="J2555" s="872">
        <v>-13717.2</v>
      </c>
      <c r="K2555" s="804">
        <v>-9.66</v>
      </c>
      <c r="L2555" s="804">
        <v>1420</v>
      </c>
      <c r="M2555" s="801" t="s">
        <v>7143</v>
      </c>
      <c r="N2555" s="804" t="s">
        <v>780</v>
      </c>
      <c r="O2555" s="804" t="s">
        <v>1272</v>
      </c>
      <c r="P2555" s="804" t="s">
        <v>7162</v>
      </c>
      <c r="Q2555" s="805" t="s">
        <v>7101</v>
      </c>
      <c r="R2555" s="801" t="s">
        <v>7163</v>
      </c>
      <c r="S2555" s="801" t="s">
        <v>6414</v>
      </c>
      <c r="T2555" s="801" t="s">
        <v>7164</v>
      </c>
      <c r="U2555" s="801" t="s">
        <v>786</v>
      </c>
    </row>
    <row r="2556" spans="1:21" s="801" customFormat="1" ht="13">
      <c r="A2556" s="801" t="s">
        <v>382</v>
      </c>
      <c r="B2556" s="800"/>
      <c r="C2556" s="800"/>
      <c r="D2556" s="800"/>
      <c r="E2556" s="802"/>
      <c r="F2556" s="800"/>
      <c r="G2556" s="801" t="s">
        <v>358</v>
      </c>
      <c r="H2556" s="802" t="s">
        <v>359</v>
      </c>
      <c r="I2556" s="871"/>
      <c r="J2556" s="872">
        <v>13717.2</v>
      </c>
      <c r="K2556" s="804">
        <v>9.66</v>
      </c>
      <c r="L2556" s="804">
        <v>1420</v>
      </c>
      <c r="M2556" s="801" t="s">
        <v>7143</v>
      </c>
      <c r="N2556" s="804" t="s">
        <v>780</v>
      </c>
      <c r="O2556" s="804" t="s">
        <v>1272</v>
      </c>
      <c r="P2556" s="804" t="s">
        <v>7694</v>
      </c>
      <c r="Q2556" s="805" t="s">
        <v>7101</v>
      </c>
      <c r="R2556" s="801" t="s">
        <v>7695</v>
      </c>
      <c r="S2556" s="801" t="s">
        <v>6414</v>
      </c>
      <c r="T2556" s="801" t="s">
        <v>7696</v>
      </c>
      <c r="U2556" s="801" t="s">
        <v>786</v>
      </c>
    </row>
    <row r="2557" spans="1:21">
      <c r="D2557" s="210"/>
      <c r="H2557" s="474"/>
      <c r="I2557" s="866"/>
      <c r="J2557" s="847"/>
      <c r="M2557" s="152"/>
      <c r="N2557" s="513"/>
      <c r="O2557" s="513"/>
      <c r="P2557" s="513"/>
      <c r="Q2557" s="518"/>
    </row>
    <row r="2558" spans="1:21" s="801" customFormat="1" ht="13">
      <c r="A2558" s="801" t="s">
        <v>382</v>
      </c>
      <c r="B2558" s="800"/>
      <c r="C2558" s="800"/>
      <c r="D2558" s="800"/>
      <c r="E2558" s="802"/>
      <c r="F2558" s="800"/>
      <c r="G2558" s="801" t="s">
        <v>358</v>
      </c>
      <c r="H2558" s="802" t="s">
        <v>359</v>
      </c>
      <c r="I2558" s="871"/>
      <c r="J2558" s="872">
        <v>-843000</v>
      </c>
      <c r="K2558" s="804">
        <v>-600</v>
      </c>
      <c r="L2558" s="804">
        <v>1405</v>
      </c>
      <c r="M2558" s="801" t="s">
        <v>7116</v>
      </c>
      <c r="N2558" s="804" t="s">
        <v>780</v>
      </c>
      <c r="O2558" s="804" t="s">
        <v>1407</v>
      </c>
      <c r="P2558" s="804" t="s">
        <v>7140</v>
      </c>
      <c r="Q2558" s="805" t="s">
        <v>7101</v>
      </c>
      <c r="R2558" s="801" t="s">
        <v>7141</v>
      </c>
      <c r="S2558" s="801" t="s">
        <v>4093</v>
      </c>
      <c r="T2558" s="801" t="s">
        <v>7142</v>
      </c>
      <c r="U2558" s="801" t="s">
        <v>786</v>
      </c>
    </row>
    <row r="2559" spans="1:21" s="801" customFormat="1" ht="13">
      <c r="A2559" s="801" t="s">
        <v>382</v>
      </c>
      <c r="B2559" s="800"/>
      <c r="C2559" s="800"/>
      <c r="D2559" s="800"/>
      <c r="E2559" s="802"/>
      <c r="F2559" s="800"/>
      <c r="G2559" s="801" t="s">
        <v>358</v>
      </c>
      <c r="H2559" s="802" t="s">
        <v>359</v>
      </c>
      <c r="I2559" s="871"/>
      <c r="J2559" s="872">
        <v>843000</v>
      </c>
      <c r="K2559" s="804">
        <v>600</v>
      </c>
      <c r="L2559" s="804">
        <v>1405</v>
      </c>
      <c r="M2559" s="801" t="s">
        <v>7116</v>
      </c>
      <c r="N2559" s="804" t="s">
        <v>780</v>
      </c>
      <c r="O2559" s="804" t="s">
        <v>1407</v>
      </c>
      <c r="P2559" s="804" t="s">
        <v>7442</v>
      </c>
      <c r="Q2559" s="805" t="s">
        <v>7101</v>
      </c>
      <c r="R2559" s="801" t="s">
        <v>7443</v>
      </c>
      <c r="S2559" s="801" t="s">
        <v>4093</v>
      </c>
      <c r="T2559" s="801" t="s">
        <v>7445</v>
      </c>
      <c r="U2559" s="801" t="s">
        <v>786</v>
      </c>
    </row>
    <row r="2560" spans="1:21" s="801" customFormat="1" ht="13">
      <c r="A2560" s="801" t="s">
        <v>382</v>
      </c>
      <c r="B2560" s="800"/>
      <c r="C2560" s="800"/>
      <c r="D2560" s="800"/>
      <c r="E2560" s="802"/>
      <c r="F2560" s="800"/>
      <c r="G2560" s="801" t="s">
        <v>358</v>
      </c>
      <c r="H2560" s="802" t="s">
        <v>359</v>
      </c>
      <c r="I2560" s="871"/>
      <c r="J2560" s="872">
        <v>-2643423.2000000002</v>
      </c>
      <c r="K2560" s="804">
        <v>-1881.44</v>
      </c>
      <c r="L2560" s="804">
        <v>1405</v>
      </c>
      <c r="M2560" s="801" t="s">
        <v>7116</v>
      </c>
      <c r="N2560" s="804" t="s">
        <v>780</v>
      </c>
      <c r="O2560" s="804" t="s">
        <v>1407</v>
      </c>
      <c r="P2560" s="804" t="s">
        <v>7117</v>
      </c>
      <c r="Q2560" s="805" t="s">
        <v>7101</v>
      </c>
      <c r="R2560" s="801" t="s">
        <v>7118</v>
      </c>
      <c r="S2560" s="801" t="s">
        <v>4093</v>
      </c>
      <c r="T2560" s="801" t="s">
        <v>7119</v>
      </c>
      <c r="U2560" s="801" t="s">
        <v>786</v>
      </c>
    </row>
    <row r="2561" spans="1:21" s="801" customFormat="1" ht="13">
      <c r="A2561" s="801" t="s">
        <v>382</v>
      </c>
      <c r="B2561" s="800"/>
      <c r="C2561" s="800"/>
      <c r="D2561" s="800"/>
      <c r="E2561" s="802"/>
      <c r="F2561" s="800"/>
      <c r="G2561" s="801" t="s">
        <v>358</v>
      </c>
      <c r="H2561" s="802" t="s">
        <v>359</v>
      </c>
      <c r="I2561" s="871"/>
      <c r="J2561" s="872">
        <v>2643423.2000000002</v>
      </c>
      <c r="K2561" s="804">
        <v>1881.44</v>
      </c>
      <c r="L2561" s="804">
        <v>1405</v>
      </c>
      <c r="M2561" s="801" t="s">
        <v>7116</v>
      </c>
      <c r="N2561" s="804" t="s">
        <v>780</v>
      </c>
      <c r="O2561" s="804" t="s">
        <v>1407</v>
      </c>
      <c r="P2561" s="804" t="s">
        <v>7616</v>
      </c>
      <c r="Q2561" s="805" t="s">
        <v>7101</v>
      </c>
      <c r="R2561" s="801" t="s">
        <v>7617</v>
      </c>
      <c r="S2561" s="801" t="s">
        <v>4093</v>
      </c>
      <c r="T2561" s="801" t="s">
        <v>7618</v>
      </c>
      <c r="U2561" s="801" t="s">
        <v>786</v>
      </c>
    </row>
    <row r="2562" spans="1:21" s="801" customFormat="1" ht="13">
      <c r="A2562" s="801" t="s">
        <v>382</v>
      </c>
      <c r="B2562" s="800"/>
      <c r="C2562" s="800"/>
      <c r="D2562" s="800"/>
      <c r="E2562" s="802"/>
      <c r="F2562" s="800"/>
      <c r="G2562" s="801" t="s">
        <v>358</v>
      </c>
      <c r="H2562" s="802" t="s">
        <v>359</v>
      </c>
      <c r="I2562" s="871"/>
      <c r="J2562" s="872">
        <v>-7025000</v>
      </c>
      <c r="K2562" s="804">
        <v>-5000</v>
      </c>
      <c r="L2562" s="804">
        <v>1405</v>
      </c>
      <c r="M2562" s="801" t="s">
        <v>7116</v>
      </c>
      <c r="N2562" s="804" t="s">
        <v>780</v>
      </c>
      <c r="O2562" s="804" t="s">
        <v>1407</v>
      </c>
      <c r="P2562" s="804" t="s">
        <v>7117</v>
      </c>
      <c r="Q2562" s="805" t="s">
        <v>7101</v>
      </c>
      <c r="R2562" s="801" t="s">
        <v>7118</v>
      </c>
      <c r="S2562" s="801" t="s">
        <v>6533</v>
      </c>
      <c r="T2562" s="801" t="s">
        <v>7119</v>
      </c>
      <c r="U2562" s="801" t="s">
        <v>786</v>
      </c>
    </row>
    <row r="2563" spans="1:21" s="801" customFormat="1" ht="13">
      <c r="A2563" s="801" t="s">
        <v>382</v>
      </c>
      <c r="B2563" s="800"/>
      <c r="C2563" s="800"/>
      <c r="D2563" s="800"/>
      <c r="E2563" s="802"/>
      <c r="F2563" s="800"/>
      <c r="G2563" s="801" t="s">
        <v>358</v>
      </c>
      <c r="H2563" s="802" t="s">
        <v>359</v>
      </c>
      <c r="I2563" s="871"/>
      <c r="J2563" s="872">
        <v>-7025000</v>
      </c>
      <c r="K2563" s="804">
        <v>-5000</v>
      </c>
      <c r="L2563" s="804">
        <v>1405</v>
      </c>
      <c r="M2563" s="801" t="s">
        <v>7116</v>
      </c>
      <c r="N2563" s="804" t="s">
        <v>780</v>
      </c>
      <c r="O2563" s="804" t="s">
        <v>1407</v>
      </c>
      <c r="P2563" s="804" t="s">
        <v>7120</v>
      </c>
      <c r="Q2563" s="805" t="s">
        <v>7101</v>
      </c>
      <c r="R2563" s="801" t="s">
        <v>7121</v>
      </c>
      <c r="S2563" s="801" t="s">
        <v>7124</v>
      </c>
      <c r="T2563" s="801" t="s">
        <v>7122</v>
      </c>
      <c r="U2563" s="801" t="s">
        <v>786</v>
      </c>
    </row>
    <row r="2564" spans="1:21" s="801" customFormat="1" ht="13">
      <c r="A2564" s="801" t="s">
        <v>382</v>
      </c>
      <c r="B2564" s="800"/>
      <c r="C2564" s="800"/>
      <c r="D2564" s="800"/>
      <c r="E2564" s="802"/>
      <c r="F2564" s="800"/>
      <c r="G2564" s="801" t="s">
        <v>358</v>
      </c>
      <c r="H2564" s="802" t="s">
        <v>359</v>
      </c>
      <c r="I2564" s="871"/>
      <c r="J2564" s="872">
        <v>7025000</v>
      </c>
      <c r="K2564" s="804">
        <v>5000</v>
      </c>
      <c r="L2564" s="804">
        <v>1405</v>
      </c>
      <c r="M2564" s="801" t="s">
        <v>7116</v>
      </c>
      <c r="N2564" s="804" t="s">
        <v>780</v>
      </c>
      <c r="O2564" s="804" t="s">
        <v>1407</v>
      </c>
      <c r="P2564" s="804" t="s">
        <v>7442</v>
      </c>
      <c r="Q2564" s="805" t="s">
        <v>7101</v>
      </c>
      <c r="R2564" s="801" t="s">
        <v>7443</v>
      </c>
      <c r="S2564" s="801" t="s">
        <v>7444</v>
      </c>
      <c r="T2564" s="801" t="s">
        <v>7445</v>
      </c>
      <c r="U2564" s="801" t="s">
        <v>786</v>
      </c>
    </row>
    <row r="2565" spans="1:21" s="801" customFormat="1" ht="13">
      <c r="A2565" s="801" t="s">
        <v>382</v>
      </c>
      <c r="B2565" s="800"/>
      <c r="C2565" s="800"/>
      <c r="D2565" s="800"/>
      <c r="E2565" s="802"/>
      <c r="F2565" s="800"/>
      <c r="G2565" s="801" t="s">
        <v>358</v>
      </c>
      <c r="H2565" s="802" t="s">
        <v>359</v>
      </c>
      <c r="I2565" s="871"/>
      <c r="J2565" s="872">
        <v>7025000</v>
      </c>
      <c r="K2565" s="804">
        <v>5000</v>
      </c>
      <c r="L2565" s="804">
        <v>1405</v>
      </c>
      <c r="M2565" s="801" t="s">
        <v>7116</v>
      </c>
      <c r="N2565" s="804" t="s">
        <v>780</v>
      </c>
      <c r="O2565" s="804" t="s">
        <v>1407</v>
      </c>
      <c r="P2565" s="804" t="s">
        <v>7616</v>
      </c>
      <c r="Q2565" s="805" t="s">
        <v>7101</v>
      </c>
      <c r="R2565" s="801" t="s">
        <v>7617</v>
      </c>
      <c r="S2565" s="801" t="s">
        <v>6533</v>
      </c>
      <c r="T2565" s="801" t="s">
        <v>7618</v>
      </c>
      <c r="U2565" s="801" t="s">
        <v>786</v>
      </c>
    </row>
    <row r="2566" spans="1:21" s="801" customFormat="1" ht="13">
      <c r="A2566" s="801" t="s">
        <v>382</v>
      </c>
      <c r="B2566" s="800"/>
      <c r="C2566" s="800"/>
      <c r="D2566" s="800"/>
      <c r="E2566" s="802"/>
      <c r="F2566" s="800"/>
      <c r="G2566" s="801" t="s">
        <v>358</v>
      </c>
      <c r="H2566" s="802" t="s">
        <v>359</v>
      </c>
      <c r="I2566" s="871"/>
      <c r="J2566" s="872">
        <v>-14050000</v>
      </c>
      <c r="K2566" s="804">
        <v>-10000</v>
      </c>
      <c r="L2566" s="804">
        <v>1405</v>
      </c>
      <c r="M2566" s="801" t="s">
        <v>7116</v>
      </c>
      <c r="N2566" s="804" t="s">
        <v>780</v>
      </c>
      <c r="O2566" s="804" t="s">
        <v>1407</v>
      </c>
      <c r="P2566" s="804" t="s">
        <v>7140</v>
      </c>
      <c r="Q2566" s="805" t="s">
        <v>7101</v>
      </c>
      <c r="R2566" s="801" t="s">
        <v>7141</v>
      </c>
      <c r="S2566" s="801" t="s">
        <v>6533</v>
      </c>
      <c r="T2566" s="801" t="s">
        <v>7142</v>
      </c>
      <c r="U2566" s="801" t="s">
        <v>786</v>
      </c>
    </row>
    <row r="2567" spans="1:21" s="801" customFormat="1" ht="13">
      <c r="A2567" s="801" t="s">
        <v>382</v>
      </c>
      <c r="B2567" s="800"/>
      <c r="C2567" s="800"/>
      <c r="D2567" s="800"/>
      <c r="E2567" s="802"/>
      <c r="F2567" s="800"/>
      <c r="G2567" s="801" t="s">
        <v>358</v>
      </c>
      <c r="H2567" s="802" t="s">
        <v>359</v>
      </c>
      <c r="I2567" s="871"/>
      <c r="J2567" s="872">
        <v>-14050000</v>
      </c>
      <c r="K2567" s="804">
        <v>-10000</v>
      </c>
      <c r="L2567" s="804">
        <v>1405</v>
      </c>
      <c r="M2567" s="801" t="s">
        <v>7116</v>
      </c>
      <c r="N2567" s="804" t="s">
        <v>780</v>
      </c>
      <c r="O2567" s="804" t="s">
        <v>1407</v>
      </c>
      <c r="P2567" s="804" t="s">
        <v>7140</v>
      </c>
      <c r="Q2567" s="805" t="s">
        <v>7101</v>
      </c>
      <c r="R2567" s="801" t="s">
        <v>7141</v>
      </c>
      <c r="S2567" s="801" t="s">
        <v>4093</v>
      </c>
      <c r="T2567" s="801" t="s">
        <v>7142</v>
      </c>
      <c r="U2567" s="801" t="s">
        <v>786</v>
      </c>
    </row>
    <row r="2568" spans="1:21" s="801" customFormat="1" ht="13">
      <c r="A2568" s="801" t="s">
        <v>382</v>
      </c>
      <c r="B2568" s="800"/>
      <c r="C2568" s="800"/>
      <c r="D2568" s="800"/>
      <c r="E2568" s="802"/>
      <c r="F2568" s="800"/>
      <c r="G2568" s="801" t="s">
        <v>358</v>
      </c>
      <c r="H2568" s="802" t="s">
        <v>359</v>
      </c>
      <c r="I2568" s="871"/>
      <c r="J2568" s="872">
        <v>14050000</v>
      </c>
      <c r="K2568" s="804">
        <v>10000</v>
      </c>
      <c r="L2568" s="804">
        <v>1405</v>
      </c>
      <c r="M2568" s="801" t="s">
        <v>7116</v>
      </c>
      <c r="N2568" s="804" t="s">
        <v>780</v>
      </c>
      <c r="O2568" s="804" t="s">
        <v>1407</v>
      </c>
      <c r="P2568" s="804" t="s">
        <v>7442</v>
      </c>
      <c r="Q2568" s="805" t="s">
        <v>7101</v>
      </c>
      <c r="R2568" s="801" t="s">
        <v>7443</v>
      </c>
      <c r="S2568" s="801" t="s">
        <v>4093</v>
      </c>
      <c r="T2568" s="801" t="s">
        <v>7445</v>
      </c>
      <c r="U2568" s="801" t="s">
        <v>786</v>
      </c>
    </row>
    <row r="2569" spans="1:21" s="801" customFormat="1" ht="13">
      <c r="A2569" s="801" t="s">
        <v>382</v>
      </c>
      <c r="B2569" s="800"/>
      <c r="C2569" s="800"/>
      <c r="D2569" s="800"/>
      <c r="E2569" s="802"/>
      <c r="F2569" s="800"/>
      <c r="G2569" s="801" t="s">
        <v>358</v>
      </c>
      <c r="H2569" s="802" t="s">
        <v>359</v>
      </c>
      <c r="I2569" s="871"/>
      <c r="J2569" s="872">
        <v>14050000</v>
      </c>
      <c r="K2569" s="804">
        <v>10000</v>
      </c>
      <c r="L2569" s="804">
        <v>1405</v>
      </c>
      <c r="M2569" s="801" t="s">
        <v>7116</v>
      </c>
      <c r="N2569" s="804" t="s">
        <v>780</v>
      </c>
      <c r="O2569" s="804" t="s">
        <v>1407</v>
      </c>
      <c r="P2569" s="804" t="s">
        <v>7442</v>
      </c>
      <c r="Q2569" s="805" t="s">
        <v>7101</v>
      </c>
      <c r="R2569" s="801" t="s">
        <v>7443</v>
      </c>
      <c r="S2569" s="801" t="s">
        <v>4093</v>
      </c>
      <c r="T2569" s="801" t="s">
        <v>7445</v>
      </c>
      <c r="U2569" s="801" t="s">
        <v>786</v>
      </c>
    </row>
    <row r="2570" spans="1:21" s="801" customFormat="1" ht="13">
      <c r="A2570" s="801" t="s">
        <v>382</v>
      </c>
      <c r="B2570" s="800"/>
      <c r="C2570" s="800"/>
      <c r="D2570" s="800"/>
      <c r="E2570" s="802"/>
      <c r="F2570" s="800"/>
      <c r="G2570" s="801" t="s">
        <v>358</v>
      </c>
      <c r="H2570" s="802" t="s">
        <v>359</v>
      </c>
      <c r="I2570" s="871"/>
      <c r="J2570" s="872">
        <v>-42150000</v>
      </c>
      <c r="K2570" s="804">
        <v>-30000</v>
      </c>
      <c r="L2570" s="804">
        <v>1405</v>
      </c>
      <c r="M2570" s="801" t="s">
        <v>7116</v>
      </c>
      <c r="N2570" s="804" t="s">
        <v>780</v>
      </c>
      <c r="O2570" s="804" t="s">
        <v>1407</v>
      </c>
      <c r="P2570" s="804" t="s">
        <v>7140</v>
      </c>
      <c r="Q2570" s="805" t="s">
        <v>7101</v>
      </c>
      <c r="R2570" s="801" t="s">
        <v>7141</v>
      </c>
      <c r="S2570" s="801" t="s">
        <v>4093</v>
      </c>
      <c r="T2570" s="801" t="s">
        <v>7142</v>
      </c>
      <c r="U2570" s="801" t="s">
        <v>786</v>
      </c>
    </row>
    <row r="2571" spans="1:21" s="801" customFormat="1" ht="13">
      <c r="A2571" s="801" t="s">
        <v>382</v>
      </c>
      <c r="B2571" s="800"/>
      <c r="C2571" s="800"/>
      <c r="D2571" s="800"/>
      <c r="E2571" s="802"/>
      <c r="F2571" s="800"/>
      <c r="G2571" s="801" t="s">
        <v>358</v>
      </c>
      <c r="H2571" s="802" t="s">
        <v>359</v>
      </c>
      <c r="I2571" s="871"/>
      <c r="J2571" s="872">
        <v>42150000</v>
      </c>
      <c r="K2571" s="804">
        <v>30000</v>
      </c>
      <c r="L2571" s="804">
        <v>1405</v>
      </c>
      <c r="M2571" s="801" t="s">
        <v>7116</v>
      </c>
      <c r="N2571" s="804" t="s">
        <v>780</v>
      </c>
      <c r="O2571" s="804" t="s">
        <v>1407</v>
      </c>
      <c r="P2571" s="804" t="s">
        <v>7442</v>
      </c>
      <c r="Q2571" s="805" t="s">
        <v>7101</v>
      </c>
      <c r="R2571" s="801" t="s">
        <v>7443</v>
      </c>
      <c r="S2571" s="801" t="s">
        <v>4093</v>
      </c>
      <c r="T2571" s="801" t="s">
        <v>7445</v>
      </c>
      <c r="U2571" s="801" t="s">
        <v>786</v>
      </c>
    </row>
    <row r="2572" spans="1:21" s="801" customFormat="1" ht="13">
      <c r="A2572" s="801" t="s">
        <v>382</v>
      </c>
      <c r="B2572" s="800"/>
      <c r="C2572" s="800"/>
      <c r="D2572" s="800"/>
      <c r="E2572" s="802"/>
      <c r="F2572" s="800"/>
      <c r="G2572" s="801" t="s">
        <v>358</v>
      </c>
      <c r="H2572" s="802" t="s">
        <v>359</v>
      </c>
      <c r="I2572" s="871"/>
      <c r="J2572" s="872">
        <v>-2840000</v>
      </c>
      <c r="K2572" s="804">
        <v>-2000</v>
      </c>
      <c r="L2572" s="804">
        <v>1420</v>
      </c>
      <c r="M2572" s="801" t="s">
        <v>7143</v>
      </c>
      <c r="N2572" s="804" t="s">
        <v>780</v>
      </c>
      <c r="O2572" s="804" t="s">
        <v>1407</v>
      </c>
      <c r="P2572" s="804" t="s">
        <v>7168</v>
      </c>
      <c r="Q2572" s="805" t="s">
        <v>7101</v>
      </c>
      <c r="R2572" s="801" t="s">
        <v>7169</v>
      </c>
      <c r="S2572" s="801" t="s">
        <v>4900</v>
      </c>
      <c r="T2572" s="801" t="s">
        <v>7170</v>
      </c>
      <c r="U2572" s="801" t="s">
        <v>786</v>
      </c>
    </row>
    <row r="2573" spans="1:21" s="801" customFormat="1" ht="13">
      <c r="A2573" s="801" t="s">
        <v>382</v>
      </c>
      <c r="B2573" s="800"/>
      <c r="C2573" s="800"/>
      <c r="D2573" s="800"/>
      <c r="E2573" s="802"/>
      <c r="F2573" s="800"/>
      <c r="G2573" s="801" t="s">
        <v>358</v>
      </c>
      <c r="H2573" s="802" t="s">
        <v>359</v>
      </c>
      <c r="I2573" s="871"/>
      <c r="J2573" s="872">
        <v>2840000</v>
      </c>
      <c r="K2573" s="804">
        <v>2000</v>
      </c>
      <c r="L2573" s="804">
        <v>1420</v>
      </c>
      <c r="M2573" s="801" t="s">
        <v>7143</v>
      </c>
      <c r="N2573" s="804" t="s">
        <v>780</v>
      </c>
      <c r="O2573" s="804" t="s">
        <v>781</v>
      </c>
      <c r="P2573" s="804" t="s">
        <v>7653</v>
      </c>
      <c r="Q2573" s="805" t="s">
        <v>7101</v>
      </c>
      <c r="R2573" s="801" t="s">
        <v>7654</v>
      </c>
      <c r="S2573" s="801" t="s">
        <v>1107</v>
      </c>
      <c r="T2573" s="801" t="s">
        <v>7655</v>
      </c>
      <c r="U2573" s="801" t="s">
        <v>786</v>
      </c>
    </row>
    <row r="2574" spans="1:21" s="801" customFormat="1" ht="13">
      <c r="A2574" s="801" t="s">
        <v>382</v>
      </c>
      <c r="B2574" s="800"/>
      <c r="C2574" s="800"/>
      <c r="D2574" s="800"/>
      <c r="E2574" s="802"/>
      <c r="F2574" s="800"/>
      <c r="G2574" s="801" t="s">
        <v>358</v>
      </c>
      <c r="H2574" s="802" t="s">
        <v>359</v>
      </c>
      <c r="I2574" s="871"/>
      <c r="J2574" s="872">
        <v>5680000</v>
      </c>
      <c r="K2574" s="804">
        <v>4000</v>
      </c>
      <c r="L2574" s="804">
        <v>1420</v>
      </c>
      <c r="M2574" s="801" t="s">
        <v>7143</v>
      </c>
      <c r="N2574" s="804" t="s">
        <v>780</v>
      </c>
      <c r="O2574" s="804" t="s">
        <v>1407</v>
      </c>
      <c r="P2574" s="804" t="s">
        <v>7646</v>
      </c>
      <c r="Q2574" s="805" t="s">
        <v>7101</v>
      </c>
      <c r="R2574" s="801" t="s">
        <v>7647</v>
      </c>
      <c r="S2574" s="801" t="s">
        <v>7650</v>
      </c>
      <c r="T2574" s="801" t="s">
        <v>7649</v>
      </c>
      <c r="U2574" s="801" t="s">
        <v>786</v>
      </c>
    </row>
    <row r="2575" spans="1:21" s="801" customFormat="1" ht="13">
      <c r="A2575" s="801" t="s">
        <v>382</v>
      </c>
      <c r="B2575" s="800"/>
      <c r="C2575" s="800"/>
      <c r="D2575" s="800"/>
      <c r="E2575" s="802"/>
      <c r="F2575" s="800"/>
      <c r="G2575" s="801" t="s">
        <v>358</v>
      </c>
      <c r="H2575" s="802" t="s">
        <v>359</v>
      </c>
      <c r="I2575" s="871"/>
      <c r="J2575" s="872">
        <v>-5680000</v>
      </c>
      <c r="K2575" s="804">
        <v>-4000</v>
      </c>
      <c r="L2575" s="804">
        <v>1420</v>
      </c>
      <c r="M2575" s="801" t="s">
        <v>7143</v>
      </c>
      <c r="N2575" s="804" t="s">
        <v>780</v>
      </c>
      <c r="O2575" s="804" t="s">
        <v>781</v>
      </c>
      <c r="P2575" s="804" t="s">
        <v>7150</v>
      </c>
      <c r="Q2575" s="805" t="s">
        <v>7101</v>
      </c>
      <c r="R2575" s="801" t="s">
        <v>7151</v>
      </c>
      <c r="S2575" s="801" t="s">
        <v>7153</v>
      </c>
      <c r="T2575" s="801" t="s">
        <v>7152</v>
      </c>
      <c r="U2575" s="801" t="s">
        <v>786</v>
      </c>
    </row>
    <row r="2576" spans="1:21" s="801" customFormat="1" ht="13">
      <c r="A2576" s="801" t="s">
        <v>382</v>
      </c>
      <c r="B2576" s="800"/>
      <c r="C2576" s="800"/>
      <c r="D2576" s="800"/>
      <c r="E2576" s="802"/>
      <c r="F2576" s="800"/>
      <c r="G2576" s="801" t="s">
        <v>358</v>
      </c>
      <c r="H2576" s="802" t="s">
        <v>359</v>
      </c>
      <c r="I2576" s="871"/>
      <c r="J2576" s="872">
        <v>-702500</v>
      </c>
      <c r="K2576" s="804">
        <v>-500</v>
      </c>
      <c r="L2576" s="804">
        <v>1405</v>
      </c>
      <c r="M2576" s="801" t="s">
        <v>7116</v>
      </c>
      <c r="N2576" s="804" t="s">
        <v>780</v>
      </c>
      <c r="O2576" s="804" t="s">
        <v>1407</v>
      </c>
      <c r="P2576" s="804" t="s">
        <v>7120</v>
      </c>
      <c r="Q2576" s="805" t="s">
        <v>7101</v>
      </c>
      <c r="R2576" s="801" t="s">
        <v>7121</v>
      </c>
      <c r="S2576" s="801" t="s">
        <v>7123</v>
      </c>
      <c r="T2576" s="801" t="s">
        <v>7122</v>
      </c>
      <c r="U2576" s="801" t="s">
        <v>786</v>
      </c>
    </row>
    <row r="2577" spans="1:41" s="801" customFormat="1" ht="13">
      <c r="A2577" s="801" t="s">
        <v>382</v>
      </c>
      <c r="B2577" s="800"/>
      <c r="C2577" s="800"/>
      <c r="D2577" s="800"/>
      <c r="E2577" s="802"/>
      <c r="F2577" s="800"/>
      <c r="G2577" s="801" t="s">
        <v>358</v>
      </c>
      <c r="H2577" s="802" t="s">
        <v>359</v>
      </c>
      <c r="I2577" s="871"/>
      <c r="J2577" s="872">
        <v>702500</v>
      </c>
      <c r="K2577" s="804">
        <v>500</v>
      </c>
      <c r="L2577" s="804">
        <v>1405</v>
      </c>
      <c r="M2577" s="801" t="s">
        <v>7116</v>
      </c>
      <c r="N2577" s="804" t="s">
        <v>780</v>
      </c>
      <c r="O2577" s="804" t="s">
        <v>781</v>
      </c>
      <c r="P2577" s="804" t="s">
        <v>7418</v>
      </c>
      <c r="Q2577" s="805" t="s">
        <v>7101</v>
      </c>
      <c r="R2577" s="801" t="s">
        <v>7419</v>
      </c>
      <c r="S2577" s="801" t="s">
        <v>4856</v>
      </c>
      <c r="T2577" s="801" t="s">
        <v>7421</v>
      </c>
      <c r="U2577" s="801" t="s">
        <v>786</v>
      </c>
    </row>
    <row r="2578" spans="1:41" s="801" customFormat="1" ht="13">
      <c r="A2578" s="801" t="s">
        <v>382</v>
      </c>
      <c r="B2578" s="800"/>
      <c r="C2578" s="800"/>
      <c r="D2578" s="800"/>
      <c r="E2578" s="802"/>
      <c r="F2578" s="800"/>
      <c r="G2578" s="801" t="s">
        <v>358</v>
      </c>
      <c r="H2578" s="802" t="s">
        <v>359</v>
      </c>
      <c r="I2578" s="871"/>
      <c r="J2578" s="872">
        <v>-140500</v>
      </c>
      <c r="K2578" s="804">
        <v>-100</v>
      </c>
      <c r="L2578" s="804">
        <v>1405</v>
      </c>
      <c r="M2578" s="801" t="s">
        <v>7116</v>
      </c>
      <c r="N2578" s="804" t="s">
        <v>780</v>
      </c>
      <c r="O2578" s="804" t="s">
        <v>1407</v>
      </c>
      <c r="P2578" s="804" t="s">
        <v>7120</v>
      </c>
      <c r="Q2578" s="805" t="s">
        <v>7101</v>
      </c>
      <c r="R2578" s="801" t="s">
        <v>7121</v>
      </c>
      <c r="S2578" s="801" t="s">
        <v>7123</v>
      </c>
      <c r="T2578" s="801" t="s">
        <v>7122</v>
      </c>
      <c r="U2578" s="801" t="s">
        <v>786</v>
      </c>
    </row>
    <row r="2579" spans="1:41" s="801" customFormat="1" ht="13">
      <c r="A2579" s="801" t="s">
        <v>382</v>
      </c>
      <c r="B2579" s="800"/>
      <c r="C2579" s="800"/>
      <c r="D2579" s="800"/>
      <c r="E2579" s="802"/>
      <c r="F2579" s="800"/>
      <c r="G2579" s="801" t="s">
        <v>358</v>
      </c>
      <c r="H2579" s="802" t="s">
        <v>359</v>
      </c>
      <c r="I2579" s="871"/>
      <c r="J2579" s="872">
        <v>140500</v>
      </c>
      <c r="K2579" s="804">
        <v>100</v>
      </c>
      <c r="L2579" s="804">
        <v>1405</v>
      </c>
      <c r="M2579" s="801" t="s">
        <v>7116</v>
      </c>
      <c r="N2579" s="804" t="s">
        <v>780</v>
      </c>
      <c r="O2579" s="804" t="s">
        <v>781</v>
      </c>
      <c r="P2579" s="804" t="s">
        <v>7418</v>
      </c>
      <c r="Q2579" s="805" t="s">
        <v>7101</v>
      </c>
      <c r="R2579" s="801" t="s">
        <v>7419</v>
      </c>
      <c r="S2579" s="801" t="s">
        <v>4856</v>
      </c>
      <c r="T2579" s="801" t="s">
        <v>7421</v>
      </c>
      <c r="U2579" s="801" t="s">
        <v>786</v>
      </c>
    </row>
    <row r="2580" spans="1:41" s="801" customFormat="1" ht="13">
      <c r="A2580" s="801" t="s">
        <v>382</v>
      </c>
      <c r="B2580" s="800"/>
      <c r="C2580" s="800"/>
      <c r="D2580" s="800"/>
      <c r="E2580" s="802"/>
      <c r="F2580" s="800"/>
      <c r="G2580" s="801" t="s">
        <v>358</v>
      </c>
      <c r="H2580" s="802" t="s">
        <v>359</v>
      </c>
      <c r="I2580" s="871"/>
      <c r="J2580" s="872">
        <v>28400</v>
      </c>
      <c r="K2580" s="804">
        <v>20</v>
      </c>
      <c r="L2580" s="804">
        <v>1420</v>
      </c>
      <c r="M2580" s="801" t="s">
        <v>7143</v>
      </c>
      <c r="N2580" s="804" t="s">
        <v>780</v>
      </c>
      <c r="O2580" s="804" t="s">
        <v>781</v>
      </c>
      <c r="P2580" s="804" t="s">
        <v>7653</v>
      </c>
      <c r="Q2580" s="805" t="s">
        <v>7101</v>
      </c>
      <c r="R2580" s="801" t="s">
        <v>7654</v>
      </c>
      <c r="S2580" s="801" t="s">
        <v>1146</v>
      </c>
      <c r="T2580" s="801" t="s">
        <v>7655</v>
      </c>
      <c r="U2580" s="801" t="s">
        <v>786</v>
      </c>
    </row>
    <row r="2581" spans="1:41" s="801" customFormat="1" ht="13">
      <c r="A2581" s="801" t="s">
        <v>382</v>
      </c>
      <c r="B2581" s="800"/>
      <c r="C2581" s="800"/>
      <c r="D2581" s="800"/>
      <c r="E2581" s="802"/>
      <c r="F2581" s="800"/>
      <c r="G2581" s="801" t="s">
        <v>358</v>
      </c>
      <c r="H2581" s="802" t="s">
        <v>359</v>
      </c>
      <c r="I2581" s="871"/>
      <c r="J2581" s="872">
        <v>-28400</v>
      </c>
      <c r="K2581" s="804">
        <v>-20</v>
      </c>
      <c r="L2581" s="804">
        <v>1420</v>
      </c>
      <c r="M2581" s="801" t="s">
        <v>7143</v>
      </c>
      <c r="N2581" s="804" t="s">
        <v>780</v>
      </c>
      <c r="O2581" s="804" t="s">
        <v>1272</v>
      </c>
      <c r="P2581" s="804" t="s">
        <v>7144</v>
      </c>
      <c r="Q2581" s="805" t="s">
        <v>7101</v>
      </c>
      <c r="R2581" s="801" t="s">
        <v>7145</v>
      </c>
      <c r="S2581" s="801" t="s">
        <v>6414</v>
      </c>
      <c r="T2581" s="801" t="s">
        <v>7146</v>
      </c>
      <c r="U2581" s="801" t="s">
        <v>786</v>
      </c>
    </row>
    <row r="2582" spans="1:41">
      <c r="D2582" s="210"/>
      <c r="H2582" s="474"/>
      <c r="I2582" s="866"/>
      <c r="J2582" s="847"/>
      <c r="M2582" s="152"/>
      <c r="N2582" s="513"/>
      <c r="O2582" s="513"/>
      <c r="P2582" s="513"/>
      <c r="Q2582" s="518"/>
    </row>
    <row r="2583" spans="1:41" s="795" customFormat="1" ht="26">
      <c r="A2583" s="794" t="s">
        <v>8438</v>
      </c>
      <c r="B2583" s="794"/>
      <c r="C2583" s="794"/>
      <c r="D2583" s="794"/>
      <c r="E2583" s="796"/>
      <c r="F2583" s="794"/>
      <c r="G2583" s="795" t="s">
        <v>358</v>
      </c>
      <c r="H2583" s="796" t="s">
        <v>359</v>
      </c>
      <c r="I2583" s="867"/>
      <c r="J2583" s="868">
        <v>-50530825</v>
      </c>
      <c r="K2583" s="465">
        <v>-35965</v>
      </c>
      <c r="L2583" s="465">
        <v>1405</v>
      </c>
      <c r="M2583" s="795" t="s">
        <v>7116</v>
      </c>
      <c r="N2583" s="465" t="s">
        <v>780</v>
      </c>
      <c r="O2583" s="465" t="s">
        <v>781</v>
      </c>
      <c r="P2583" s="465" t="s">
        <v>7125</v>
      </c>
      <c r="Q2583" s="798" t="s">
        <v>7101</v>
      </c>
      <c r="R2583" s="795" t="s">
        <v>7126</v>
      </c>
      <c r="S2583" s="795" t="s">
        <v>806</v>
      </c>
      <c r="T2583" s="795" t="s">
        <v>7127</v>
      </c>
      <c r="U2583" s="795" t="s">
        <v>786</v>
      </c>
    </row>
    <row r="2584" spans="1:41" s="795" customFormat="1" ht="26">
      <c r="A2584" s="794" t="s">
        <v>8438</v>
      </c>
      <c r="B2584" s="794"/>
      <c r="C2584" s="794"/>
      <c r="D2584" s="794"/>
      <c r="E2584" s="796"/>
      <c r="F2584" s="794"/>
      <c r="G2584" s="795" t="s">
        <v>358</v>
      </c>
      <c r="H2584" s="796" t="s">
        <v>359</v>
      </c>
      <c r="I2584" s="867"/>
      <c r="J2584" s="868">
        <v>-84250825</v>
      </c>
      <c r="K2584" s="465">
        <v>-59965</v>
      </c>
      <c r="L2584" s="465">
        <v>1405</v>
      </c>
      <c r="M2584" s="795" t="s">
        <v>7116</v>
      </c>
      <c r="N2584" s="465" t="s">
        <v>780</v>
      </c>
      <c r="O2584" s="465" t="s">
        <v>1407</v>
      </c>
      <c r="P2584" s="465" t="s">
        <v>7120</v>
      </c>
      <c r="Q2584" s="798" t="s">
        <v>7101</v>
      </c>
      <c r="R2584" s="795" t="s">
        <v>7121</v>
      </c>
      <c r="S2584" s="795" t="s">
        <v>1432</v>
      </c>
      <c r="T2584" s="795" t="s">
        <v>7122</v>
      </c>
      <c r="U2584" s="795" t="s">
        <v>786</v>
      </c>
    </row>
    <row r="2585" spans="1:41" s="795" customFormat="1" ht="26">
      <c r="A2585" s="794" t="s">
        <v>8438</v>
      </c>
      <c r="B2585" s="794"/>
      <c r="C2585" s="794"/>
      <c r="D2585" s="794"/>
      <c r="E2585" s="796"/>
      <c r="F2585" s="794"/>
      <c r="G2585" s="795" t="s">
        <v>358</v>
      </c>
      <c r="H2585" s="796" t="s">
        <v>359</v>
      </c>
      <c r="I2585" s="867"/>
      <c r="J2585" s="868">
        <v>-714105.3</v>
      </c>
      <c r="K2585" s="465">
        <v>-508.26</v>
      </c>
      <c r="L2585" s="465">
        <v>1405</v>
      </c>
      <c r="M2585" s="795" t="s">
        <v>7143</v>
      </c>
      <c r="N2585" s="465" t="s">
        <v>780</v>
      </c>
      <c r="O2585" s="465" t="s">
        <v>781</v>
      </c>
      <c r="P2585" s="465" t="s">
        <v>7725</v>
      </c>
      <c r="Q2585" s="798" t="s">
        <v>7101</v>
      </c>
      <c r="R2585" s="795" t="s">
        <v>7726</v>
      </c>
      <c r="S2585" s="795" t="s">
        <v>7733</v>
      </c>
      <c r="T2585" s="795" t="s">
        <v>7728</v>
      </c>
      <c r="U2585" s="795" t="s">
        <v>786</v>
      </c>
    </row>
    <row r="2586" spans="1:41" ht="13">
      <c r="A2586" s="801"/>
      <c r="D2586" s="210"/>
      <c r="H2586" s="474"/>
      <c r="I2586" s="866"/>
      <c r="J2586" s="847"/>
      <c r="M2586" s="152"/>
      <c r="N2586" s="513"/>
      <c r="O2586" s="513"/>
      <c r="P2586" s="513"/>
      <c r="Q2586" s="518"/>
    </row>
    <row r="2587" spans="1:41" ht="13">
      <c r="A2587" s="836" t="s">
        <v>8439</v>
      </c>
      <c r="B2587" s="835"/>
      <c r="C2587" s="835"/>
      <c r="D2587" s="835"/>
      <c r="E2587" s="837"/>
      <c r="F2587" s="835"/>
      <c r="G2587" s="836" t="s">
        <v>358</v>
      </c>
      <c r="H2587" s="837" t="s">
        <v>359</v>
      </c>
      <c r="I2587" s="873">
        <f>-J2587-K2587</f>
        <v>2557963.92</v>
      </c>
      <c r="J2587" s="874">
        <v>-2556144.6</v>
      </c>
      <c r="K2587" s="839">
        <v>-1819.32</v>
      </c>
      <c r="L2587" s="839">
        <v>1405</v>
      </c>
      <c r="M2587" s="836" t="s">
        <v>7143</v>
      </c>
      <c r="N2587" s="839" t="s">
        <v>780</v>
      </c>
      <c r="O2587" s="839" t="s">
        <v>781</v>
      </c>
      <c r="P2587" s="839" t="s">
        <v>7725</v>
      </c>
      <c r="Q2587" s="840" t="s">
        <v>7101</v>
      </c>
      <c r="R2587" s="836" t="s">
        <v>7726</v>
      </c>
      <c r="S2587" s="836" t="s">
        <v>7730</v>
      </c>
      <c r="T2587" s="836" t="s">
        <v>7728</v>
      </c>
      <c r="U2587" s="836" t="s">
        <v>786</v>
      </c>
    </row>
    <row r="2588" spans="1:41">
      <c r="D2588" s="210"/>
      <c r="H2588" s="474"/>
      <c r="I2588" s="866"/>
      <c r="J2588" s="847"/>
      <c r="M2588" s="152"/>
      <c r="N2588" s="513"/>
      <c r="O2588" s="513"/>
      <c r="P2588" s="513"/>
      <c r="Q2588" s="518"/>
    </row>
    <row r="2589" spans="1:41">
      <c r="D2589" s="210"/>
      <c r="H2589" s="474"/>
      <c r="I2589" s="866"/>
      <c r="J2589" s="847"/>
      <c r="M2589" s="152"/>
      <c r="N2589" s="513"/>
      <c r="O2589" s="513"/>
      <c r="P2589" s="513"/>
      <c r="Q2589" s="518"/>
    </row>
    <row r="2591" spans="1:41">
      <c r="A2591" s="452" t="s">
        <v>84</v>
      </c>
      <c r="B2591" s="452" t="s">
        <v>84</v>
      </c>
      <c r="C2591" s="452" t="s">
        <v>84</v>
      </c>
      <c r="D2591" s="452" t="s">
        <v>84</v>
      </c>
      <c r="E2591" s="11" t="s">
        <v>84</v>
      </c>
      <c r="F2591" s="452" t="s">
        <v>84</v>
      </c>
      <c r="G2591" s="453" t="s">
        <v>84</v>
      </c>
      <c r="H2591" s="453" t="s">
        <v>84</v>
      </c>
      <c r="I2591" s="453" t="s">
        <v>84</v>
      </c>
      <c r="J2591" s="187" t="s">
        <v>84</v>
      </c>
      <c r="K2591" s="187" t="s">
        <v>84</v>
      </c>
      <c r="L2591" s="187" t="s">
        <v>84</v>
      </c>
      <c r="M2591" s="457" t="s">
        <v>84</v>
      </c>
      <c r="N2591" s="453" t="s">
        <v>84</v>
      </c>
      <c r="O2591" s="453" t="s">
        <v>84</v>
      </c>
      <c r="P2591" s="453" t="s">
        <v>84</v>
      </c>
      <c r="Q2591" s="453" t="s">
        <v>84</v>
      </c>
      <c r="R2591" s="453" t="s">
        <v>84</v>
      </c>
      <c r="S2591" s="453" t="s">
        <v>84</v>
      </c>
      <c r="T2591" s="453" t="s">
        <v>84</v>
      </c>
      <c r="U2591" s="453" t="s">
        <v>84</v>
      </c>
      <c r="V2591" s="453" t="s">
        <v>84</v>
      </c>
      <c r="W2591" s="453" t="s">
        <v>84</v>
      </c>
      <c r="X2591" s="453" t="s">
        <v>84</v>
      </c>
      <c r="Y2591" s="453" t="s">
        <v>84</v>
      </c>
      <c r="Z2591" s="453" t="s">
        <v>84</v>
      </c>
      <c r="AA2591" s="453" t="s">
        <v>84</v>
      </c>
      <c r="AB2591" s="453" t="s">
        <v>84</v>
      </c>
      <c r="AC2591" s="453" t="s">
        <v>84</v>
      </c>
      <c r="AD2591" s="453" t="s">
        <v>84</v>
      </c>
      <c r="AE2591" s="453" t="s">
        <v>84</v>
      </c>
      <c r="AF2591" s="453" t="s">
        <v>84</v>
      </c>
      <c r="AG2591" s="453" t="s">
        <v>84</v>
      </c>
      <c r="AH2591" s="453" t="s">
        <v>84</v>
      </c>
      <c r="AI2591" s="453" t="s">
        <v>84</v>
      </c>
      <c r="AJ2591" s="453" t="s">
        <v>84</v>
      </c>
      <c r="AK2591" s="453" t="s">
        <v>84</v>
      </c>
      <c r="AL2591" s="453" t="s">
        <v>84</v>
      </c>
      <c r="AM2591" s="453" t="s">
        <v>84</v>
      </c>
      <c r="AN2591" s="453" t="s">
        <v>84</v>
      </c>
      <c r="AO2591" s="453" t="s">
        <v>84</v>
      </c>
    </row>
  </sheetData>
  <autoFilter ref="A10:AO2591"/>
  <sortState ref="A2574:AO2592">
    <sortCondition ref="G2574"/>
  </sortState>
  <conditionalFormatting sqref="H7:H8">
    <cfRule type="cellIs" dxfId="0" priority="1" stopIfTrue="1" operator="equal">
      <formula>"Check"</formula>
    </cfRule>
  </conditionalFormatting>
  <pageMargins left="0.75" right="0.75" top="1" bottom="1" header="0.3" footer="0.3"/>
  <pageSetup paperSize="9" orientation="portrait" r:id="rId1"/>
</worksheet>
</file>

<file path=xl/worksheets/sheet18.xml><?xml version="1.0" encoding="utf-8"?>
<worksheet xmlns="http://schemas.openxmlformats.org/spreadsheetml/2006/main" xmlns:r="http://schemas.openxmlformats.org/officeDocument/2006/relationships">
  <dimension ref="B2:J33"/>
  <sheetViews>
    <sheetView zoomScale="70" zoomScaleNormal="70" workbookViewId="0">
      <selection activeCell="I4" sqref="I4"/>
    </sheetView>
  </sheetViews>
  <sheetFormatPr baseColWidth="10" defaultColWidth="10.81640625" defaultRowHeight="15" customHeight="1"/>
  <cols>
    <col min="1" max="1" width="10.81640625" style="766"/>
    <col min="2" max="2" width="5.453125" style="766" bestFit="1" customWidth="1"/>
    <col min="3" max="3" width="8.453125" style="766" bestFit="1" customWidth="1"/>
    <col min="4" max="4" width="37" style="766" bestFit="1" customWidth="1"/>
    <col min="5" max="5" width="16.36328125" style="766" bestFit="1" customWidth="1"/>
    <col min="6" max="6" width="12.1796875" style="766" bestFit="1" customWidth="1"/>
    <col min="7" max="7" width="12.6328125" style="766" bestFit="1" customWidth="1"/>
    <col min="8" max="8" width="11.81640625" style="766" bestFit="1" customWidth="1"/>
    <col min="9" max="9" width="47.36328125" style="766" bestFit="1" customWidth="1"/>
    <col min="10" max="10" width="4.81640625" style="766" bestFit="1" customWidth="1"/>
    <col min="11" max="16384" width="10.81640625" style="766"/>
  </cols>
  <sheetData>
    <row r="2" spans="2:10" ht="15" customHeight="1">
      <c r="B2" s="779" t="s">
        <v>3417</v>
      </c>
      <c r="C2" s="779" t="s">
        <v>24</v>
      </c>
      <c r="D2" s="779" t="s">
        <v>23</v>
      </c>
      <c r="E2" s="778" t="s">
        <v>3416</v>
      </c>
      <c r="F2" s="778" t="s">
        <v>3415</v>
      </c>
      <c r="G2" s="778" t="s">
        <v>74</v>
      </c>
      <c r="H2" s="777" t="s">
        <v>18</v>
      </c>
      <c r="I2" s="776" t="s">
        <v>17</v>
      </c>
      <c r="J2" s="775" t="s">
        <v>16</v>
      </c>
    </row>
    <row r="3" spans="2:10" ht="15" customHeight="1">
      <c r="B3" s="767" t="s">
        <v>676</v>
      </c>
      <c r="C3" s="774">
        <v>5103</v>
      </c>
      <c r="D3" s="773" t="s">
        <v>449</v>
      </c>
      <c r="E3" s="772">
        <v>-91000</v>
      </c>
      <c r="F3" s="771">
        <v>-70</v>
      </c>
      <c r="G3" s="770">
        <v>1300</v>
      </c>
      <c r="H3" s="769">
        <v>45901</v>
      </c>
      <c r="I3" s="768" t="s">
        <v>3413</v>
      </c>
      <c r="J3" s="767">
        <v>123</v>
      </c>
    </row>
    <row r="4" spans="2:10" ht="15" customHeight="1">
      <c r="B4" s="767" t="s">
        <v>676</v>
      </c>
      <c r="C4" s="774">
        <v>5210</v>
      </c>
      <c r="D4" s="773" t="s">
        <v>46</v>
      </c>
      <c r="E4" s="772">
        <v>-3689400</v>
      </c>
      <c r="F4" s="771">
        <v>-2838</v>
      </c>
      <c r="G4" s="770">
        <v>1300</v>
      </c>
      <c r="H4" s="769">
        <v>45901</v>
      </c>
      <c r="I4" s="768" t="s">
        <v>3413</v>
      </c>
      <c r="J4" s="767">
        <v>123</v>
      </c>
    </row>
    <row r="5" spans="2:10" ht="15" customHeight="1">
      <c r="B5" s="767" t="s">
        <v>676</v>
      </c>
      <c r="C5" s="774">
        <v>5213</v>
      </c>
      <c r="D5" s="773" t="s">
        <v>44</v>
      </c>
      <c r="E5" s="772">
        <v>-2535</v>
      </c>
      <c r="F5" s="771">
        <v>-1.95</v>
      </c>
      <c r="G5" s="770">
        <v>1300</v>
      </c>
      <c r="H5" s="769">
        <v>45901</v>
      </c>
      <c r="I5" s="768" t="s">
        <v>3413</v>
      </c>
      <c r="J5" s="767">
        <v>123</v>
      </c>
    </row>
    <row r="6" spans="2:10" ht="15" customHeight="1">
      <c r="B6" s="767" t="s">
        <v>676</v>
      </c>
      <c r="C6" s="774">
        <v>5215</v>
      </c>
      <c r="D6" s="773" t="s">
        <v>317</v>
      </c>
      <c r="E6" s="772">
        <v>-874341</v>
      </c>
      <c r="F6" s="771">
        <v>-672.57</v>
      </c>
      <c r="G6" s="770">
        <v>1300</v>
      </c>
      <c r="H6" s="769">
        <v>45901</v>
      </c>
      <c r="I6" s="768" t="s">
        <v>3413</v>
      </c>
      <c r="J6" s="767">
        <v>123</v>
      </c>
    </row>
    <row r="7" spans="2:10" ht="15" customHeight="1">
      <c r="B7" s="767" t="s">
        <v>676</v>
      </c>
      <c r="C7" s="774">
        <v>5221</v>
      </c>
      <c r="D7" s="773" t="s">
        <v>63</v>
      </c>
      <c r="E7" s="772">
        <v>-1092000</v>
      </c>
      <c r="F7" s="771">
        <v>-840</v>
      </c>
      <c r="G7" s="770">
        <v>1300</v>
      </c>
      <c r="H7" s="769">
        <v>45901</v>
      </c>
      <c r="I7" s="768" t="s">
        <v>3413</v>
      </c>
      <c r="J7" s="767">
        <v>123</v>
      </c>
    </row>
    <row r="8" spans="2:10" ht="15" customHeight="1">
      <c r="B8" s="767" t="s">
        <v>676</v>
      </c>
      <c r="C8" s="774">
        <v>5226</v>
      </c>
      <c r="D8" s="773" t="s">
        <v>322</v>
      </c>
      <c r="E8" s="772">
        <v>-4458038</v>
      </c>
      <c r="F8" s="771">
        <v>-3429.26</v>
      </c>
      <c r="G8" s="770">
        <v>1300</v>
      </c>
      <c r="H8" s="769">
        <v>45901</v>
      </c>
      <c r="I8" s="768" t="s">
        <v>3413</v>
      </c>
      <c r="J8" s="767">
        <v>123</v>
      </c>
    </row>
    <row r="9" spans="2:10" ht="15" customHeight="1">
      <c r="B9" s="767" t="s">
        <v>676</v>
      </c>
      <c r="C9" s="774">
        <v>5227</v>
      </c>
      <c r="D9" s="773" t="s">
        <v>324</v>
      </c>
      <c r="E9" s="772">
        <v>-9648704</v>
      </c>
      <c r="F9" s="771">
        <v>-7422.0800000000008</v>
      </c>
      <c r="G9" s="770">
        <v>1300</v>
      </c>
      <c r="H9" s="769">
        <v>45901</v>
      </c>
      <c r="I9" s="768" t="s">
        <v>3413</v>
      </c>
      <c r="J9" s="767">
        <v>123</v>
      </c>
    </row>
    <row r="10" spans="2:10" ht="15" customHeight="1">
      <c r="B10" s="767" t="s">
        <v>676</v>
      </c>
      <c r="C10" s="774">
        <v>5236</v>
      </c>
      <c r="D10" s="773" t="s">
        <v>332</v>
      </c>
      <c r="E10" s="772">
        <v>-1351090</v>
      </c>
      <c r="F10" s="771">
        <v>-1039.3</v>
      </c>
      <c r="G10" s="770">
        <v>1300</v>
      </c>
      <c r="H10" s="769">
        <v>45901</v>
      </c>
      <c r="I10" s="768" t="s">
        <v>3413</v>
      </c>
      <c r="J10" s="767">
        <v>123</v>
      </c>
    </row>
    <row r="11" spans="2:10" ht="15" customHeight="1">
      <c r="B11" s="767" t="s">
        <v>676</v>
      </c>
      <c r="C11" s="774">
        <v>5247</v>
      </c>
      <c r="D11" s="773" t="s">
        <v>40</v>
      </c>
      <c r="E11" s="772">
        <v>-1860079</v>
      </c>
      <c r="F11" s="771">
        <v>-1430.83</v>
      </c>
      <c r="G11" s="770">
        <v>1300</v>
      </c>
      <c r="H11" s="769">
        <v>45901</v>
      </c>
      <c r="I11" s="768" t="s">
        <v>3413</v>
      </c>
      <c r="J11" s="767">
        <v>123</v>
      </c>
    </row>
    <row r="12" spans="2:10" ht="15" customHeight="1">
      <c r="B12" s="767" t="s">
        <v>676</v>
      </c>
      <c r="C12" s="774">
        <v>5248</v>
      </c>
      <c r="D12" s="773" t="s">
        <v>65</v>
      </c>
      <c r="E12" s="772">
        <v>-2512692</v>
      </c>
      <c r="F12" s="771">
        <v>-1932.8400000000001</v>
      </c>
      <c r="G12" s="770">
        <v>1300</v>
      </c>
      <c r="H12" s="769">
        <v>45901</v>
      </c>
      <c r="I12" s="768" t="s">
        <v>3413</v>
      </c>
      <c r="J12" s="767">
        <v>123</v>
      </c>
    </row>
    <row r="13" spans="2:10" ht="15" customHeight="1">
      <c r="B13" s="767" t="s">
        <v>676</v>
      </c>
      <c r="C13" s="774">
        <v>5250</v>
      </c>
      <c r="D13" s="773" t="s">
        <v>36</v>
      </c>
      <c r="E13" s="772">
        <v>-4066387</v>
      </c>
      <c r="F13" s="771">
        <v>-3127.99</v>
      </c>
      <c r="G13" s="770">
        <v>1300</v>
      </c>
      <c r="H13" s="769">
        <v>45901</v>
      </c>
      <c r="I13" s="768" t="s">
        <v>3413</v>
      </c>
      <c r="J13" s="767">
        <v>123</v>
      </c>
    </row>
    <row r="14" spans="2:10" ht="15" customHeight="1">
      <c r="B14" s="767" t="s">
        <v>676</v>
      </c>
      <c r="C14" s="774">
        <v>5319</v>
      </c>
      <c r="D14" s="773" t="s">
        <v>344</v>
      </c>
      <c r="E14" s="772">
        <v>-344344</v>
      </c>
      <c r="F14" s="771">
        <v>-264.88</v>
      </c>
      <c r="G14" s="770">
        <v>1300</v>
      </c>
      <c r="H14" s="769">
        <v>45901</v>
      </c>
      <c r="I14" s="768" t="s">
        <v>3413</v>
      </c>
      <c r="J14" s="767">
        <v>123</v>
      </c>
    </row>
    <row r="15" spans="2:10" ht="15" customHeight="1">
      <c r="B15" s="767" t="s">
        <v>676</v>
      </c>
      <c r="C15" s="774">
        <v>210702</v>
      </c>
      <c r="D15" s="773" t="s">
        <v>369</v>
      </c>
      <c r="E15" s="772">
        <v>29990610</v>
      </c>
      <c r="F15" s="771">
        <v>23069.7</v>
      </c>
      <c r="G15" s="770">
        <v>1300</v>
      </c>
      <c r="H15" s="769">
        <v>45901</v>
      </c>
      <c r="I15" s="768" t="s">
        <v>3413</v>
      </c>
      <c r="J15" s="767">
        <v>123</v>
      </c>
    </row>
    <row r="16" spans="2:10" ht="15" customHeight="1">
      <c r="B16" s="780"/>
      <c r="C16" s="787"/>
      <c r="D16" s="786"/>
      <c r="E16" s="785"/>
      <c r="F16" s="784"/>
      <c r="G16" s="783"/>
      <c r="H16" s="782"/>
      <c r="I16" s="781"/>
      <c r="J16" s="780"/>
    </row>
    <row r="17" spans="2:10" ht="15" customHeight="1">
      <c r="B17" s="779" t="s">
        <v>3417</v>
      </c>
      <c r="C17" s="779" t="s">
        <v>24</v>
      </c>
      <c r="D17" s="779" t="s">
        <v>23</v>
      </c>
      <c r="E17" s="778" t="s">
        <v>3416</v>
      </c>
      <c r="F17" s="778" t="s">
        <v>3415</v>
      </c>
      <c r="G17" s="778" t="s">
        <v>74</v>
      </c>
      <c r="H17" s="777" t="s">
        <v>18</v>
      </c>
      <c r="I17" s="776" t="s">
        <v>17</v>
      </c>
      <c r="J17" s="775" t="s">
        <v>16</v>
      </c>
    </row>
    <row r="18" spans="2:10" ht="15" customHeight="1">
      <c r="B18" s="767" t="s">
        <v>670</v>
      </c>
      <c r="C18" s="774">
        <v>5207</v>
      </c>
      <c r="D18" s="773" t="s">
        <v>451</v>
      </c>
      <c r="E18" s="772">
        <v>-2483</v>
      </c>
      <c r="F18" s="771">
        <v>-1.910000000000025</v>
      </c>
      <c r="G18" s="770">
        <v>1300</v>
      </c>
      <c r="H18" s="769">
        <v>45901</v>
      </c>
      <c r="I18" s="768" t="s">
        <v>3414</v>
      </c>
      <c r="J18" s="767">
        <v>121</v>
      </c>
    </row>
    <row r="19" spans="2:10" ht="15" customHeight="1">
      <c r="B19" s="767" t="s">
        <v>670</v>
      </c>
      <c r="C19" s="774">
        <v>5213</v>
      </c>
      <c r="D19" s="773" t="s">
        <v>44</v>
      </c>
      <c r="E19" s="772">
        <v>-622024</v>
      </c>
      <c r="F19" s="771">
        <v>-478.48</v>
      </c>
      <c r="G19" s="770">
        <v>1300</v>
      </c>
      <c r="H19" s="769">
        <v>45901</v>
      </c>
      <c r="I19" s="768" t="s">
        <v>3414</v>
      </c>
      <c r="J19" s="767">
        <v>121</v>
      </c>
    </row>
    <row r="20" spans="2:10" ht="15" customHeight="1">
      <c r="B20" s="767" t="s">
        <v>670</v>
      </c>
      <c r="C20" s="774">
        <v>5225</v>
      </c>
      <c r="D20" s="773" t="s">
        <v>139</v>
      </c>
      <c r="E20" s="772">
        <v>-282100</v>
      </c>
      <c r="F20" s="771">
        <v>-217</v>
      </c>
      <c r="G20" s="770">
        <v>1300</v>
      </c>
      <c r="H20" s="769">
        <v>45901</v>
      </c>
      <c r="I20" s="768" t="s">
        <v>3414</v>
      </c>
      <c r="J20" s="767">
        <v>121</v>
      </c>
    </row>
    <row r="21" spans="2:10" ht="15" customHeight="1">
      <c r="B21" s="767" t="s">
        <v>670</v>
      </c>
      <c r="C21" s="774">
        <v>5227</v>
      </c>
      <c r="D21" s="773" t="s">
        <v>324</v>
      </c>
      <c r="E21" s="772">
        <v>-3190837</v>
      </c>
      <c r="F21" s="771">
        <v>-2454.4899999999998</v>
      </c>
      <c r="G21" s="770">
        <v>1300</v>
      </c>
      <c r="H21" s="769">
        <v>45901</v>
      </c>
      <c r="I21" s="768" t="s">
        <v>3414</v>
      </c>
      <c r="J21" s="767">
        <v>121</v>
      </c>
    </row>
    <row r="22" spans="2:10" ht="15" customHeight="1">
      <c r="B22" s="767" t="s">
        <v>670</v>
      </c>
      <c r="C22" s="774">
        <v>5228</v>
      </c>
      <c r="D22" s="773" t="s">
        <v>326</v>
      </c>
      <c r="E22" s="772">
        <v>-3180242</v>
      </c>
      <c r="F22" s="771">
        <v>-2446.34</v>
      </c>
      <c r="G22" s="770">
        <v>1300</v>
      </c>
      <c r="H22" s="769">
        <v>45901</v>
      </c>
      <c r="I22" s="768" t="s">
        <v>3414</v>
      </c>
      <c r="J22" s="767">
        <v>121</v>
      </c>
    </row>
    <row r="23" spans="2:10" ht="15" customHeight="1">
      <c r="B23" s="767" t="s">
        <v>670</v>
      </c>
      <c r="C23" s="774">
        <v>5235</v>
      </c>
      <c r="D23" s="773" t="s">
        <v>330</v>
      </c>
      <c r="E23" s="772">
        <v>-324415</v>
      </c>
      <c r="F23" s="771">
        <v>-249.55</v>
      </c>
      <c r="G23" s="770">
        <v>1300</v>
      </c>
      <c r="H23" s="769">
        <v>45901</v>
      </c>
      <c r="I23" s="768" t="s">
        <v>3414</v>
      </c>
      <c r="J23" s="767">
        <v>121</v>
      </c>
    </row>
    <row r="24" spans="2:10" ht="15" customHeight="1">
      <c r="B24" s="767" t="s">
        <v>670</v>
      </c>
      <c r="C24" s="774">
        <v>5236</v>
      </c>
      <c r="D24" s="773" t="s">
        <v>332</v>
      </c>
      <c r="E24" s="772">
        <v>-302952</v>
      </c>
      <c r="F24" s="771">
        <v>-233.04</v>
      </c>
      <c r="G24" s="770">
        <v>1300</v>
      </c>
      <c r="H24" s="769">
        <v>45901</v>
      </c>
      <c r="I24" s="768" t="s">
        <v>3414</v>
      </c>
      <c r="J24" s="767">
        <v>121</v>
      </c>
    </row>
    <row r="25" spans="2:10" ht="15" customHeight="1">
      <c r="B25" s="767" t="s">
        <v>670</v>
      </c>
      <c r="C25" s="774">
        <v>5237</v>
      </c>
      <c r="D25" s="773" t="s">
        <v>334</v>
      </c>
      <c r="E25" s="772">
        <v>-692900</v>
      </c>
      <c r="F25" s="771">
        <v>-533</v>
      </c>
      <c r="G25" s="770">
        <v>1300</v>
      </c>
      <c r="H25" s="769">
        <v>45901</v>
      </c>
      <c r="I25" s="768" t="s">
        <v>3414</v>
      </c>
      <c r="J25" s="767">
        <v>121</v>
      </c>
    </row>
    <row r="26" spans="2:10" ht="15" customHeight="1">
      <c r="B26" s="767" t="s">
        <v>670</v>
      </c>
      <c r="C26" s="774">
        <v>5247</v>
      </c>
      <c r="D26" s="773" t="s">
        <v>40</v>
      </c>
      <c r="E26" s="772">
        <v>-1753986</v>
      </c>
      <c r="F26" s="771">
        <v>-1349.22</v>
      </c>
      <c r="G26" s="770">
        <v>1300</v>
      </c>
      <c r="H26" s="769">
        <v>45901</v>
      </c>
      <c r="I26" s="768" t="s">
        <v>3414</v>
      </c>
      <c r="J26" s="767">
        <v>121</v>
      </c>
    </row>
    <row r="27" spans="2:10" ht="15" customHeight="1">
      <c r="B27" s="767" t="s">
        <v>670</v>
      </c>
      <c r="C27" s="774">
        <v>5248</v>
      </c>
      <c r="D27" s="773" t="s">
        <v>65</v>
      </c>
      <c r="E27" s="772">
        <v>-10398739</v>
      </c>
      <c r="F27" s="771">
        <v>-7999.03</v>
      </c>
      <c r="G27" s="770">
        <v>1300</v>
      </c>
      <c r="H27" s="769">
        <v>45901</v>
      </c>
      <c r="I27" s="768" t="s">
        <v>3414</v>
      </c>
      <c r="J27" s="767">
        <v>121</v>
      </c>
    </row>
    <row r="28" spans="2:10" ht="15" customHeight="1">
      <c r="B28" s="767" t="s">
        <v>670</v>
      </c>
      <c r="C28" s="774">
        <v>5250</v>
      </c>
      <c r="D28" s="773" t="s">
        <v>36</v>
      </c>
      <c r="E28" s="772">
        <v>-1365091</v>
      </c>
      <c r="F28" s="771">
        <v>-1050.07</v>
      </c>
      <c r="G28" s="770">
        <v>1300</v>
      </c>
      <c r="H28" s="769">
        <v>45901</v>
      </c>
      <c r="I28" s="768" t="s">
        <v>3414</v>
      </c>
      <c r="J28" s="767">
        <v>121</v>
      </c>
    </row>
    <row r="29" spans="2:10" ht="15" customHeight="1">
      <c r="B29" s="767" t="s">
        <v>670</v>
      </c>
      <c r="C29" s="774">
        <v>5251</v>
      </c>
      <c r="D29" s="773" t="s">
        <v>34</v>
      </c>
      <c r="E29" s="772">
        <v>-225290</v>
      </c>
      <c r="F29" s="771">
        <v>-173.29999999999998</v>
      </c>
      <c r="G29" s="770">
        <v>1300</v>
      </c>
      <c r="H29" s="769">
        <v>45901</v>
      </c>
      <c r="I29" s="768" t="s">
        <v>3414</v>
      </c>
      <c r="J29" s="767">
        <v>121</v>
      </c>
    </row>
    <row r="30" spans="2:10" ht="15" customHeight="1">
      <c r="B30" s="767" t="s">
        <v>670</v>
      </c>
      <c r="C30" s="774">
        <v>5255</v>
      </c>
      <c r="D30" s="773" t="s">
        <v>69</v>
      </c>
      <c r="E30" s="772">
        <v>-432913</v>
      </c>
      <c r="F30" s="771">
        <v>-333.01</v>
      </c>
      <c r="G30" s="770">
        <v>1300</v>
      </c>
      <c r="H30" s="769">
        <v>45901</v>
      </c>
      <c r="I30" s="768" t="s">
        <v>3414</v>
      </c>
      <c r="J30" s="767">
        <v>121</v>
      </c>
    </row>
    <row r="31" spans="2:10" ht="15" customHeight="1">
      <c r="B31" s="767" t="s">
        <v>670</v>
      </c>
      <c r="C31" s="774">
        <v>5291</v>
      </c>
      <c r="D31" s="773" t="s">
        <v>232</v>
      </c>
      <c r="E31" s="772">
        <v>-15028</v>
      </c>
      <c r="F31" s="771">
        <v>-11.56</v>
      </c>
      <c r="G31" s="770">
        <v>1300</v>
      </c>
      <c r="H31" s="769">
        <v>45901</v>
      </c>
      <c r="I31" s="768" t="s">
        <v>3414</v>
      </c>
      <c r="J31" s="767">
        <v>121</v>
      </c>
    </row>
    <row r="32" spans="2:10" ht="15" customHeight="1">
      <c r="B32" s="767" t="s">
        <v>670</v>
      </c>
      <c r="C32" s="774">
        <v>5319</v>
      </c>
      <c r="D32" s="773" t="s">
        <v>344</v>
      </c>
      <c r="E32" s="772">
        <v>-402571</v>
      </c>
      <c r="F32" s="771">
        <v>-309.67</v>
      </c>
      <c r="G32" s="770">
        <v>1300</v>
      </c>
      <c r="H32" s="769">
        <v>45901</v>
      </c>
      <c r="I32" s="768" t="s">
        <v>3414</v>
      </c>
      <c r="J32" s="767">
        <v>121</v>
      </c>
    </row>
    <row r="33" spans="2:10" ht="15" customHeight="1">
      <c r="B33" s="767" t="s">
        <v>670</v>
      </c>
      <c r="C33" s="774">
        <v>210702</v>
      </c>
      <c r="D33" s="773" t="s">
        <v>369</v>
      </c>
      <c r="E33" s="772">
        <v>23191571</v>
      </c>
      <c r="F33" s="771">
        <v>17839.669999999998</v>
      </c>
      <c r="G33" s="770">
        <v>1300</v>
      </c>
      <c r="H33" s="769">
        <v>45901</v>
      </c>
      <c r="I33" s="768" t="s">
        <v>3414</v>
      </c>
      <c r="J33" s="767">
        <v>121</v>
      </c>
    </row>
  </sheetData>
  <autoFilter ref="B2:J33"/>
  <pageMargins left="0.7" right="0.7" top="0.75" bottom="0.75" header="0.3" footer="0.3"/>
</worksheet>
</file>

<file path=xl/worksheets/sheet19.xml><?xml version="1.0" encoding="utf-8"?>
<worksheet xmlns="http://schemas.openxmlformats.org/spreadsheetml/2006/main" xmlns:r="http://schemas.openxmlformats.org/officeDocument/2006/relationships">
  <sheetPr codeName="Hoja4">
    <tabColor rgb="FFFF0000"/>
  </sheetPr>
  <dimension ref="A3:K105"/>
  <sheetViews>
    <sheetView zoomScale="80" zoomScaleNormal="80" workbookViewId="0">
      <pane xSplit="4" ySplit="4" topLeftCell="E42" activePane="bottomRight" state="frozen"/>
      <selection pane="topRight" activeCell="E1" sqref="E1"/>
      <selection pane="bottomLeft" activeCell="A5" sqref="A5"/>
      <selection pane="bottomRight" activeCell="E54" sqref="E54:F54"/>
    </sheetView>
  </sheetViews>
  <sheetFormatPr baseColWidth="10" defaultColWidth="11.453125" defaultRowHeight="12.5"/>
  <cols>
    <col min="1" max="1" width="11.453125" style="4"/>
    <col min="2" max="2" width="17.1796875" style="4" bestFit="1" customWidth="1"/>
    <col min="3" max="3" width="49.1796875" style="4" bestFit="1" customWidth="1"/>
    <col min="4" max="4" width="56.81640625" style="4" bestFit="1" customWidth="1"/>
    <col min="5" max="5" width="11.453125" style="4"/>
    <col min="6" max="6" width="44.81640625" style="4" customWidth="1"/>
    <col min="7" max="16384" width="11.453125" style="4"/>
  </cols>
  <sheetData>
    <row r="3" spans="1:11" s="133" customFormat="1">
      <c r="B3" s="606" t="s">
        <v>437</v>
      </c>
      <c r="C3" s="606" t="s">
        <v>438</v>
      </c>
      <c r="D3" s="606" t="s">
        <v>439</v>
      </c>
      <c r="E3" s="606" t="s">
        <v>440</v>
      </c>
      <c r="F3" s="606" t="s">
        <v>441</v>
      </c>
    </row>
    <row r="5" spans="1:11">
      <c r="A5" s="4" t="str">
        <f>+E5</f>
        <v>4104</v>
      </c>
      <c r="B5" s="152" t="s">
        <v>388</v>
      </c>
      <c r="C5" s="152" t="s">
        <v>388</v>
      </c>
      <c r="D5" s="598" t="s">
        <v>158</v>
      </c>
      <c r="E5" s="607" t="s">
        <v>293</v>
      </c>
      <c r="F5" s="597" t="s">
        <v>294</v>
      </c>
      <c r="G5" s="597" t="s">
        <v>482</v>
      </c>
      <c r="H5" s="597"/>
      <c r="I5" s="597"/>
      <c r="J5" s="597"/>
      <c r="K5" s="597"/>
    </row>
    <row r="6" spans="1:11">
      <c r="A6" s="4" t="str">
        <f t="shared" ref="A6:A73" si="0">+E6</f>
        <v>4103</v>
      </c>
      <c r="B6" s="152" t="s">
        <v>388</v>
      </c>
      <c r="C6" s="152" t="s">
        <v>388</v>
      </c>
      <c r="D6" s="598" t="s">
        <v>389</v>
      </c>
      <c r="E6" s="607" t="s">
        <v>291</v>
      </c>
      <c r="F6" s="597" t="s">
        <v>292</v>
      </c>
      <c r="G6" s="597" t="s">
        <v>482</v>
      </c>
    </row>
    <row r="7" spans="1:11">
      <c r="A7" s="4" t="str">
        <f t="shared" si="0"/>
        <v>4110</v>
      </c>
      <c r="B7" s="152" t="s">
        <v>388</v>
      </c>
      <c r="C7" s="152" t="s">
        <v>388</v>
      </c>
      <c r="D7" s="598" t="s">
        <v>389</v>
      </c>
      <c r="E7" s="607" t="s">
        <v>297</v>
      </c>
      <c r="F7" s="597" t="s">
        <v>444</v>
      </c>
      <c r="G7" s="597" t="s">
        <v>482</v>
      </c>
      <c r="K7" s="597"/>
    </row>
    <row r="8" spans="1:11">
      <c r="A8" s="4" t="str">
        <f t="shared" si="0"/>
        <v>4112</v>
      </c>
      <c r="B8" s="152" t="s">
        <v>388</v>
      </c>
      <c r="C8" s="152" t="s">
        <v>388</v>
      </c>
      <c r="D8" s="598" t="s">
        <v>389</v>
      </c>
      <c r="E8" s="607" t="s">
        <v>299</v>
      </c>
      <c r="F8" s="597" t="s">
        <v>445</v>
      </c>
      <c r="G8" s="597" t="s">
        <v>482</v>
      </c>
      <c r="J8" s="597"/>
      <c r="K8" s="597"/>
    </row>
    <row r="9" spans="1:11">
      <c r="A9" s="4" t="str">
        <f t="shared" si="0"/>
        <v>4114</v>
      </c>
      <c r="B9" s="152" t="s">
        <v>388</v>
      </c>
      <c r="C9" s="152" t="s">
        <v>388</v>
      </c>
      <c r="D9" s="598" t="s">
        <v>389</v>
      </c>
      <c r="E9" s="607" t="s">
        <v>483</v>
      </c>
      <c r="F9" s="597" t="s">
        <v>446</v>
      </c>
      <c r="G9" s="597" t="s">
        <v>482</v>
      </c>
      <c r="I9" s="597"/>
      <c r="J9" s="597"/>
      <c r="K9" s="597"/>
    </row>
    <row r="10" spans="1:11">
      <c r="A10" s="4" t="str">
        <f t="shared" si="0"/>
        <v>5285</v>
      </c>
      <c r="B10" s="152" t="s">
        <v>388</v>
      </c>
      <c r="C10" s="152" t="s">
        <v>388</v>
      </c>
      <c r="D10" s="598" t="s">
        <v>389</v>
      </c>
      <c r="E10" s="607" t="s">
        <v>337</v>
      </c>
      <c r="F10" s="597" t="s">
        <v>447</v>
      </c>
      <c r="G10" s="597" t="s">
        <v>482</v>
      </c>
      <c r="I10" s="597"/>
      <c r="J10" s="597"/>
      <c r="K10" s="597"/>
    </row>
    <row r="11" spans="1:11">
      <c r="A11" s="4" t="str">
        <f t="shared" si="0"/>
        <v>5104</v>
      </c>
      <c r="B11" s="152" t="s">
        <v>388</v>
      </c>
      <c r="C11" s="152" t="s">
        <v>388</v>
      </c>
      <c r="D11" s="598" t="s">
        <v>389</v>
      </c>
      <c r="E11" s="607" t="s">
        <v>310</v>
      </c>
      <c r="F11" s="597" t="s">
        <v>311</v>
      </c>
      <c r="G11" s="597" t="s">
        <v>482</v>
      </c>
      <c r="H11" s="597"/>
      <c r="I11" s="597"/>
      <c r="J11" s="597"/>
      <c r="K11" s="597"/>
    </row>
    <row r="12" spans="1:11">
      <c r="A12" s="4" t="str">
        <f t="shared" si="0"/>
        <v>4118</v>
      </c>
      <c r="B12" s="152" t="s">
        <v>388</v>
      </c>
      <c r="C12" s="152" t="s">
        <v>388</v>
      </c>
      <c r="D12" s="598" t="s">
        <v>389</v>
      </c>
      <c r="E12" s="607" t="s">
        <v>301</v>
      </c>
      <c r="F12" s="597" t="s">
        <v>302</v>
      </c>
      <c r="G12" s="597" t="s">
        <v>482</v>
      </c>
      <c r="H12" s="597"/>
      <c r="I12" s="597"/>
      <c r="J12" s="597"/>
      <c r="K12" s="597"/>
    </row>
    <row r="13" spans="1:11">
      <c r="A13" s="4" t="str">
        <f>+E13</f>
        <v>4117</v>
      </c>
      <c r="B13" s="152" t="s">
        <v>388</v>
      </c>
      <c r="C13" s="152" t="s">
        <v>388</v>
      </c>
      <c r="D13" s="598" t="s">
        <v>389</v>
      </c>
      <c r="E13" s="4" t="s">
        <v>664</v>
      </c>
      <c r="F13" s="4" t="s">
        <v>665</v>
      </c>
      <c r="G13" s="597" t="s">
        <v>482</v>
      </c>
      <c r="H13" s="597"/>
      <c r="I13" s="597"/>
      <c r="J13" s="597"/>
      <c r="K13" s="597"/>
    </row>
    <row r="14" spans="1:11">
      <c r="A14" s="4" t="str">
        <f t="shared" si="0"/>
        <v>4129</v>
      </c>
      <c r="B14" s="152" t="s">
        <v>388</v>
      </c>
      <c r="C14" s="152" t="s">
        <v>388</v>
      </c>
      <c r="D14" s="598" t="s">
        <v>389</v>
      </c>
      <c r="E14" s="607" t="s">
        <v>484</v>
      </c>
      <c r="F14" s="597" t="s">
        <v>481</v>
      </c>
      <c r="G14" s="597" t="s">
        <v>482</v>
      </c>
      <c r="H14" s="597"/>
      <c r="I14" s="597"/>
      <c r="J14" s="597"/>
      <c r="K14" s="597"/>
    </row>
    <row r="15" spans="1:11">
      <c r="A15" s="4" t="str">
        <f t="shared" si="0"/>
        <v>5290</v>
      </c>
      <c r="B15" s="152" t="s">
        <v>388</v>
      </c>
      <c r="C15" s="152" t="s">
        <v>388</v>
      </c>
      <c r="D15" s="598" t="s">
        <v>389</v>
      </c>
      <c r="E15" s="607" t="s">
        <v>485</v>
      </c>
      <c r="F15" s="597" t="s">
        <v>448</v>
      </c>
      <c r="G15" s="597" t="s">
        <v>482</v>
      </c>
      <c r="H15" s="597"/>
      <c r="I15" s="597"/>
      <c r="J15" s="597"/>
      <c r="K15" s="597"/>
    </row>
    <row r="16" spans="1:11">
      <c r="A16" s="4" t="str">
        <f t="shared" si="0"/>
        <v>5103</v>
      </c>
      <c r="B16" s="152" t="s">
        <v>388</v>
      </c>
      <c r="C16" s="152" t="s">
        <v>388</v>
      </c>
      <c r="D16" s="598" t="s">
        <v>389</v>
      </c>
      <c r="E16" s="607" t="s">
        <v>307</v>
      </c>
      <c r="F16" s="597" t="s">
        <v>449</v>
      </c>
      <c r="G16" s="597" t="s">
        <v>482</v>
      </c>
      <c r="H16" s="597"/>
      <c r="I16" s="597"/>
      <c r="J16" s="597"/>
      <c r="K16" s="597"/>
    </row>
    <row r="17" spans="1:11">
      <c r="A17" s="4" t="str">
        <f t="shared" si="0"/>
        <v>4120</v>
      </c>
      <c r="B17" s="152" t="s">
        <v>388</v>
      </c>
      <c r="C17" s="152" t="s">
        <v>388</v>
      </c>
      <c r="D17" s="599" t="s">
        <v>159</v>
      </c>
      <c r="E17" s="607" t="s">
        <v>303</v>
      </c>
      <c r="F17" s="597" t="s">
        <v>304</v>
      </c>
      <c r="G17" s="597" t="s">
        <v>482</v>
      </c>
      <c r="H17" s="597"/>
      <c r="I17" s="597"/>
      <c r="J17" s="597"/>
      <c r="K17" s="597"/>
    </row>
    <row r="18" spans="1:11">
      <c r="A18" s="4" t="str">
        <f t="shared" si="0"/>
        <v>5286</v>
      </c>
      <c r="B18" s="152" t="s">
        <v>388</v>
      </c>
      <c r="C18" s="152" t="s">
        <v>388</v>
      </c>
      <c r="D18" s="599" t="s">
        <v>159</v>
      </c>
      <c r="E18" s="607" t="s">
        <v>486</v>
      </c>
      <c r="F18" s="597" t="s">
        <v>450</v>
      </c>
      <c r="G18" s="597" t="s">
        <v>482</v>
      </c>
      <c r="H18" s="597"/>
      <c r="I18" s="597"/>
      <c r="J18" s="597"/>
      <c r="K18" s="597"/>
    </row>
    <row r="19" spans="1:11">
      <c r="A19" s="4" t="str">
        <f t="shared" si="0"/>
        <v>5229</v>
      </c>
      <c r="B19" s="152" t="s">
        <v>388</v>
      </c>
      <c r="C19" s="152" t="s">
        <v>388</v>
      </c>
      <c r="D19" s="599" t="s">
        <v>159</v>
      </c>
      <c r="E19" s="607" t="s">
        <v>327</v>
      </c>
      <c r="F19" s="597" t="s">
        <v>328</v>
      </c>
      <c r="G19" s="597" t="s">
        <v>482</v>
      </c>
      <c r="H19" s="597"/>
      <c r="I19" s="597"/>
      <c r="J19" s="597"/>
      <c r="K19" s="597"/>
    </row>
    <row r="20" spans="1:11">
      <c r="D20" s="600"/>
      <c r="E20" s="597"/>
      <c r="F20" s="597"/>
      <c r="G20" s="597"/>
      <c r="H20" s="597"/>
      <c r="I20" s="597"/>
      <c r="J20" s="597"/>
      <c r="K20" s="597"/>
    </row>
    <row r="21" spans="1:11">
      <c r="A21" s="4" t="str">
        <f t="shared" si="0"/>
        <v>5208</v>
      </c>
      <c r="B21" s="4" t="s">
        <v>392</v>
      </c>
      <c r="C21" s="4" t="s">
        <v>393</v>
      </c>
      <c r="D21" s="601" t="s">
        <v>394</v>
      </c>
      <c r="E21" s="607" t="s">
        <v>313</v>
      </c>
      <c r="F21" s="597" t="s">
        <v>314</v>
      </c>
      <c r="G21" s="597" t="s">
        <v>482</v>
      </c>
      <c r="H21" s="597"/>
      <c r="I21" s="597"/>
      <c r="J21" s="597"/>
      <c r="K21" s="597"/>
    </row>
    <row r="22" spans="1:11">
      <c r="A22" s="4" t="str">
        <f t="shared" si="0"/>
        <v>5207</v>
      </c>
      <c r="B22" s="4" t="s">
        <v>392</v>
      </c>
      <c r="C22" s="4" t="s">
        <v>393</v>
      </c>
      <c r="D22" s="601" t="s">
        <v>395</v>
      </c>
      <c r="E22" s="607" t="s">
        <v>133</v>
      </c>
      <c r="F22" s="597" t="s">
        <v>451</v>
      </c>
      <c r="G22" s="597" t="s">
        <v>482</v>
      </c>
      <c r="H22" s="597"/>
      <c r="I22" s="597"/>
      <c r="J22" s="597"/>
      <c r="K22" s="597"/>
    </row>
    <row r="23" spans="1:11">
      <c r="A23" s="4" t="str">
        <f t="shared" si="0"/>
        <v>5284</v>
      </c>
      <c r="B23" s="4" t="s">
        <v>392</v>
      </c>
      <c r="C23" s="4" t="s">
        <v>393</v>
      </c>
      <c r="D23" s="601" t="s">
        <v>396</v>
      </c>
      <c r="E23" s="607" t="s">
        <v>238</v>
      </c>
      <c r="F23" s="597" t="s">
        <v>239</v>
      </c>
      <c r="G23" s="597" t="s">
        <v>482</v>
      </c>
      <c r="H23" s="597"/>
      <c r="I23" s="597"/>
      <c r="J23" s="597"/>
      <c r="K23" s="597"/>
    </row>
    <row r="24" spans="1:11">
      <c r="A24" s="4" t="str">
        <f t="shared" si="0"/>
        <v>5258</v>
      </c>
      <c r="B24" s="4" t="s">
        <v>392</v>
      </c>
      <c r="C24" s="4" t="s">
        <v>393</v>
      </c>
      <c r="D24" s="601" t="s">
        <v>396</v>
      </c>
      <c r="E24" s="607" t="s">
        <v>265</v>
      </c>
      <c r="F24" s="597" t="s">
        <v>266</v>
      </c>
      <c r="G24" s="597" t="s">
        <v>482</v>
      </c>
      <c r="H24" s="597"/>
      <c r="I24" s="597"/>
      <c r="J24" s="597"/>
      <c r="K24" s="597"/>
    </row>
    <row r="25" spans="1:11">
      <c r="A25" s="4" t="str">
        <f t="shared" si="0"/>
        <v>5228</v>
      </c>
      <c r="B25" s="4" t="s">
        <v>392</v>
      </c>
      <c r="C25" s="4" t="s">
        <v>397</v>
      </c>
      <c r="D25" s="601" t="s">
        <v>398</v>
      </c>
      <c r="E25" s="607" t="s">
        <v>325</v>
      </c>
      <c r="F25" s="597" t="s">
        <v>452</v>
      </c>
      <c r="G25" s="597" t="s">
        <v>482</v>
      </c>
      <c r="H25" s="597"/>
      <c r="I25" s="597"/>
      <c r="J25" s="597"/>
      <c r="K25" s="597"/>
    </row>
    <row r="26" spans="1:11">
      <c r="A26" s="4" t="str">
        <f t="shared" si="0"/>
        <v>5227</v>
      </c>
      <c r="B26" s="4" t="s">
        <v>392</v>
      </c>
      <c r="C26" s="4" t="s">
        <v>397</v>
      </c>
      <c r="D26" s="601" t="s">
        <v>399</v>
      </c>
      <c r="E26" s="607" t="s">
        <v>323</v>
      </c>
      <c r="F26" s="597" t="s">
        <v>453</v>
      </c>
      <c r="G26" s="597" t="s">
        <v>482</v>
      </c>
      <c r="I26" s="597"/>
      <c r="J26" s="597"/>
      <c r="K26" s="597"/>
    </row>
    <row r="27" spans="1:11">
      <c r="A27" s="4" t="str">
        <f t="shared" si="0"/>
        <v>5280</v>
      </c>
      <c r="B27" s="4" t="s">
        <v>392</v>
      </c>
      <c r="C27" s="4" t="s">
        <v>397</v>
      </c>
      <c r="D27" s="601" t="s">
        <v>399</v>
      </c>
      <c r="E27" s="607" t="s">
        <v>487</v>
      </c>
      <c r="F27" s="597" t="s">
        <v>454</v>
      </c>
      <c r="G27" s="597" t="s">
        <v>482</v>
      </c>
      <c r="H27" s="597"/>
      <c r="I27" s="597"/>
      <c r="J27" s="597"/>
      <c r="K27" s="597"/>
    </row>
    <row r="28" spans="1:11">
      <c r="A28" s="4" t="str">
        <f t="shared" si="0"/>
        <v>5226</v>
      </c>
      <c r="B28" s="4" t="s">
        <v>392</v>
      </c>
      <c r="C28" s="4" t="s">
        <v>397</v>
      </c>
      <c r="D28" s="601" t="s">
        <v>400</v>
      </c>
      <c r="E28" s="607" t="s">
        <v>321</v>
      </c>
      <c r="F28" s="597" t="s">
        <v>455</v>
      </c>
      <c r="G28" s="597" t="s">
        <v>482</v>
      </c>
      <c r="H28" s="597"/>
      <c r="I28" s="597"/>
      <c r="J28" s="597"/>
      <c r="K28" s="597"/>
    </row>
    <row r="29" spans="1:11">
      <c r="A29" s="4" t="str">
        <f t="shared" si="0"/>
        <v>5281</v>
      </c>
      <c r="B29" s="4" t="s">
        <v>392</v>
      </c>
      <c r="C29" s="4" t="s">
        <v>397</v>
      </c>
      <c r="D29" s="601" t="s">
        <v>400</v>
      </c>
      <c r="E29" s="607" t="s">
        <v>488</v>
      </c>
      <c r="F29" s="597" t="s">
        <v>456</v>
      </c>
      <c r="G29" s="597" t="s">
        <v>482</v>
      </c>
      <c r="H29" s="597"/>
      <c r="I29" s="597"/>
      <c r="J29" s="597"/>
      <c r="K29" s="597"/>
    </row>
    <row r="30" spans="1:11">
      <c r="A30" s="4" t="str">
        <f t="shared" si="0"/>
        <v>5235</v>
      </c>
      <c r="B30" s="4" t="s">
        <v>392</v>
      </c>
      <c r="C30" s="4" t="s">
        <v>397</v>
      </c>
      <c r="D30" s="601" t="s">
        <v>401</v>
      </c>
      <c r="E30" s="607" t="s">
        <v>329</v>
      </c>
      <c r="F30" s="597" t="s">
        <v>330</v>
      </c>
      <c r="G30" s="597" t="s">
        <v>482</v>
      </c>
      <c r="I30" s="597"/>
      <c r="J30" s="597"/>
      <c r="K30" s="597"/>
    </row>
    <row r="31" spans="1:11">
      <c r="A31" s="4" t="str">
        <f t="shared" si="0"/>
        <v>5236</v>
      </c>
      <c r="B31" s="4" t="s">
        <v>392</v>
      </c>
      <c r="C31" s="4" t="s">
        <v>397</v>
      </c>
      <c r="D31" s="601" t="s">
        <v>401</v>
      </c>
      <c r="E31" s="607" t="s">
        <v>331</v>
      </c>
      <c r="F31" s="597" t="s">
        <v>332</v>
      </c>
      <c r="G31" s="597" t="s">
        <v>482</v>
      </c>
      <c r="I31" s="597"/>
      <c r="J31" s="597"/>
      <c r="K31" s="597"/>
    </row>
    <row r="32" spans="1:11">
      <c r="A32" s="4" t="str">
        <f t="shared" si="0"/>
        <v>5237</v>
      </c>
      <c r="B32" s="4" t="s">
        <v>392</v>
      </c>
      <c r="C32" s="4" t="s">
        <v>397</v>
      </c>
      <c r="D32" s="601" t="s">
        <v>401</v>
      </c>
      <c r="E32" s="607" t="s">
        <v>333</v>
      </c>
      <c r="F32" s="597" t="s">
        <v>334</v>
      </c>
      <c r="G32" s="597" t="s">
        <v>482</v>
      </c>
      <c r="H32" s="597"/>
      <c r="I32" s="597"/>
      <c r="J32" s="597"/>
      <c r="K32" s="597"/>
    </row>
    <row r="33" spans="1:11">
      <c r="A33" s="4" t="str">
        <f t="shared" si="0"/>
        <v>4116</v>
      </c>
      <c r="B33" s="4" t="s">
        <v>392</v>
      </c>
      <c r="C33" s="4" t="s">
        <v>402</v>
      </c>
      <c r="D33" s="598" t="s">
        <v>402</v>
      </c>
      <c r="E33" s="607" t="s">
        <v>668</v>
      </c>
      <c r="F33" s="597" t="s">
        <v>669</v>
      </c>
      <c r="G33" s="597" t="s">
        <v>482</v>
      </c>
      <c r="H33" s="597"/>
      <c r="I33" s="597"/>
      <c r="J33" s="597"/>
      <c r="K33" s="597"/>
    </row>
    <row r="34" spans="1:11">
      <c r="A34" s="4" t="str">
        <f t="shared" si="0"/>
        <v>210609</v>
      </c>
      <c r="B34" s="4" t="s">
        <v>392</v>
      </c>
      <c r="C34" s="4" t="s">
        <v>402</v>
      </c>
      <c r="D34" s="598" t="s">
        <v>402</v>
      </c>
      <c r="E34" s="607" t="s">
        <v>366</v>
      </c>
      <c r="F34" s="597" t="s">
        <v>367</v>
      </c>
      <c r="G34" s="597" t="s">
        <v>482</v>
      </c>
      <c r="H34" s="597"/>
      <c r="I34" s="597"/>
      <c r="J34" s="597"/>
      <c r="K34" s="597"/>
    </row>
    <row r="35" spans="1:11">
      <c r="A35" s="4" t="str">
        <f t="shared" si="0"/>
        <v>5250</v>
      </c>
      <c r="B35" s="4" t="s">
        <v>392</v>
      </c>
      <c r="C35" s="4" t="s">
        <v>403</v>
      </c>
      <c r="D35" s="602" t="s">
        <v>403</v>
      </c>
      <c r="E35" s="607" t="s">
        <v>37</v>
      </c>
      <c r="F35" s="597" t="s">
        <v>457</v>
      </c>
      <c r="G35" s="597" t="s">
        <v>482</v>
      </c>
      <c r="I35" s="597"/>
      <c r="J35" s="597"/>
      <c r="K35" s="597"/>
    </row>
    <row r="36" spans="1:11">
      <c r="A36" s="4" t="str">
        <f>+E36</f>
        <v>5257</v>
      </c>
      <c r="B36" s="4" t="s">
        <v>392</v>
      </c>
      <c r="C36" s="4" t="s">
        <v>403</v>
      </c>
      <c r="D36" s="602" t="s">
        <v>403</v>
      </c>
      <c r="E36" s="607" t="s">
        <v>1718</v>
      </c>
      <c r="F36" s="597" t="s">
        <v>1719</v>
      </c>
      <c r="G36" s="597" t="s">
        <v>482</v>
      </c>
      <c r="I36" s="597"/>
      <c r="J36" s="597"/>
      <c r="K36" s="597"/>
    </row>
    <row r="37" spans="1:11">
      <c r="A37" s="4" t="str">
        <f t="shared" si="0"/>
        <v>5251</v>
      </c>
      <c r="B37" s="4" t="s">
        <v>392</v>
      </c>
      <c r="C37" s="4" t="s">
        <v>403</v>
      </c>
      <c r="D37" s="602" t="s">
        <v>403</v>
      </c>
      <c r="E37" s="607" t="s">
        <v>35</v>
      </c>
      <c r="F37" s="597" t="s">
        <v>458</v>
      </c>
      <c r="G37" s="597" t="s">
        <v>482</v>
      </c>
      <c r="H37" s="597"/>
      <c r="I37" s="597"/>
      <c r="J37" s="597"/>
      <c r="K37" s="597"/>
    </row>
    <row r="38" spans="1:11">
      <c r="A38" s="4" t="str">
        <f t="shared" si="0"/>
        <v>5213</v>
      </c>
      <c r="B38" s="4" t="s">
        <v>392</v>
      </c>
      <c r="C38" s="4" t="s">
        <v>403</v>
      </c>
      <c r="D38" s="602" t="s">
        <v>403</v>
      </c>
      <c r="E38" s="607" t="s">
        <v>45</v>
      </c>
      <c r="F38" s="597" t="s">
        <v>44</v>
      </c>
      <c r="G38" s="597" t="s">
        <v>482</v>
      </c>
      <c r="H38" s="597"/>
      <c r="I38" s="597"/>
      <c r="J38" s="597"/>
      <c r="K38" s="597"/>
    </row>
    <row r="39" spans="1:11">
      <c r="A39" s="4" t="str">
        <f t="shared" si="0"/>
        <v>5291</v>
      </c>
      <c r="B39" s="4" t="s">
        <v>392</v>
      </c>
      <c r="C39" s="4" t="s">
        <v>403</v>
      </c>
      <c r="D39" s="602" t="s">
        <v>403</v>
      </c>
      <c r="E39" s="607" t="s">
        <v>231</v>
      </c>
      <c r="F39" s="597" t="s">
        <v>232</v>
      </c>
      <c r="G39" s="597" t="s">
        <v>482</v>
      </c>
      <c r="H39" s="597"/>
      <c r="I39" s="597"/>
      <c r="J39" s="597"/>
      <c r="K39" s="597"/>
    </row>
    <row r="40" spans="1:11">
      <c r="A40" s="4" t="str">
        <f t="shared" si="0"/>
        <v>5289</v>
      </c>
      <c r="B40" s="4" t="s">
        <v>392</v>
      </c>
      <c r="C40" s="4" t="s">
        <v>403</v>
      </c>
      <c r="D40" s="602" t="s">
        <v>403</v>
      </c>
      <c r="E40" s="607" t="s">
        <v>248</v>
      </c>
      <c r="F40" s="597" t="s">
        <v>249</v>
      </c>
      <c r="G40" s="597" t="s">
        <v>482</v>
      </c>
      <c r="H40" s="597"/>
      <c r="I40" s="597"/>
      <c r="J40" s="597"/>
      <c r="K40" s="597"/>
    </row>
    <row r="41" spans="1:11">
      <c r="A41" s="4" t="str">
        <f t="shared" si="0"/>
        <v>5247</v>
      </c>
      <c r="B41" s="4" t="s">
        <v>392</v>
      </c>
      <c r="C41" s="4" t="s">
        <v>404</v>
      </c>
      <c r="D41" s="603" t="s">
        <v>405</v>
      </c>
      <c r="E41" s="607" t="s">
        <v>41</v>
      </c>
      <c r="F41" s="597" t="s">
        <v>459</v>
      </c>
      <c r="G41" s="597" t="s">
        <v>482</v>
      </c>
      <c r="H41" s="597"/>
      <c r="I41" s="597"/>
      <c r="J41" s="597"/>
      <c r="K41" s="597"/>
    </row>
    <row r="42" spans="1:11">
      <c r="A42" s="4" t="str">
        <f t="shared" si="0"/>
        <v>5259</v>
      </c>
      <c r="B42" s="4" t="s">
        <v>392</v>
      </c>
      <c r="C42" s="4" t="s">
        <v>404</v>
      </c>
      <c r="D42" s="603" t="s">
        <v>405</v>
      </c>
      <c r="E42" s="607" t="s">
        <v>70</v>
      </c>
      <c r="F42" s="597" t="s">
        <v>460</v>
      </c>
      <c r="G42" s="597" t="s">
        <v>482</v>
      </c>
      <c r="H42" s="597"/>
      <c r="I42" s="597"/>
      <c r="J42" s="597"/>
      <c r="K42" s="597"/>
    </row>
    <row r="43" spans="1:11">
      <c r="A43" s="4" t="str">
        <f t="shared" si="0"/>
        <v>5248</v>
      </c>
      <c r="B43" s="4" t="s">
        <v>392</v>
      </c>
      <c r="C43" s="4" t="s">
        <v>404</v>
      </c>
      <c r="D43" s="603" t="s">
        <v>406</v>
      </c>
      <c r="E43" s="607" t="s">
        <v>64</v>
      </c>
      <c r="F43" s="597" t="s">
        <v>461</v>
      </c>
      <c r="G43" s="597" t="s">
        <v>482</v>
      </c>
      <c r="H43" s="597"/>
      <c r="I43" s="597"/>
      <c r="J43" s="597"/>
      <c r="K43" s="597"/>
    </row>
    <row r="44" spans="1:11">
      <c r="A44" s="4" t="str">
        <f t="shared" si="0"/>
        <v>5288</v>
      </c>
      <c r="B44" s="4" t="s">
        <v>392</v>
      </c>
      <c r="C44" s="4" t="s">
        <v>404</v>
      </c>
      <c r="D44" s="603" t="s">
        <v>406</v>
      </c>
      <c r="E44" s="607" t="s">
        <v>163</v>
      </c>
      <c r="F44" s="597" t="s">
        <v>462</v>
      </c>
      <c r="G44" s="597" t="s">
        <v>482</v>
      </c>
      <c r="H44" s="597"/>
      <c r="I44" s="597"/>
      <c r="J44" s="597"/>
      <c r="K44" s="597"/>
    </row>
    <row r="45" spans="1:11">
      <c r="A45" s="4" t="str">
        <f t="shared" si="0"/>
        <v>5249</v>
      </c>
      <c r="B45" s="4" t="s">
        <v>392</v>
      </c>
      <c r="C45" s="4" t="s">
        <v>404</v>
      </c>
      <c r="D45" s="603" t="s">
        <v>407</v>
      </c>
      <c r="E45" s="607" t="s">
        <v>39</v>
      </c>
      <c r="F45" s="597" t="s">
        <v>463</v>
      </c>
      <c r="G45" s="597" t="s">
        <v>482</v>
      </c>
      <c r="H45" s="597"/>
      <c r="I45" s="597"/>
      <c r="J45" s="597"/>
      <c r="K45" s="597"/>
    </row>
    <row r="46" spans="1:11">
      <c r="A46" s="4" t="str">
        <f t="shared" si="0"/>
        <v>5225</v>
      </c>
      <c r="B46" s="4" t="s">
        <v>392</v>
      </c>
      <c r="C46" s="4" t="s">
        <v>408</v>
      </c>
      <c r="D46" s="604" t="s">
        <v>408</v>
      </c>
      <c r="E46" s="607" t="s">
        <v>138</v>
      </c>
      <c r="F46" s="597" t="s">
        <v>202</v>
      </c>
      <c r="G46" s="597" t="s">
        <v>482</v>
      </c>
      <c r="H46" s="597"/>
      <c r="I46" s="597"/>
      <c r="J46" s="597"/>
      <c r="K46" s="597"/>
    </row>
    <row r="47" spans="1:11">
      <c r="A47" s="4" t="str">
        <f t="shared" si="0"/>
        <v>5255</v>
      </c>
      <c r="B47" s="4" t="s">
        <v>392</v>
      </c>
      <c r="C47" s="604" t="s">
        <v>409</v>
      </c>
      <c r="D47" s="604" t="s">
        <v>409</v>
      </c>
      <c r="E47" s="607" t="s">
        <v>68</v>
      </c>
      <c r="F47" s="597" t="s">
        <v>464</v>
      </c>
      <c r="G47" s="597" t="s">
        <v>482</v>
      </c>
      <c r="H47" s="597"/>
      <c r="I47" s="597"/>
      <c r="J47" s="597"/>
      <c r="K47" s="597"/>
    </row>
    <row r="48" spans="1:11">
      <c r="A48" s="4" t="str">
        <f t="shared" si="0"/>
        <v>5310</v>
      </c>
      <c r="B48" s="4" t="s">
        <v>392</v>
      </c>
      <c r="C48" s="604" t="s">
        <v>409</v>
      </c>
      <c r="D48" s="604" t="s">
        <v>409</v>
      </c>
      <c r="E48" s="607" t="s">
        <v>489</v>
      </c>
      <c r="F48" s="597" t="s">
        <v>465</v>
      </c>
      <c r="G48" s="597" t="s">
        <v>482</v>
      </c>
      <c r="H48" s="597"/>
      <c r="I48" s="597"/>
      <c r="J48" s="597"/>
      <c r="K48" s="597"/>
    </row>
    <row r="49" spans="1:11">
      <c r="A49" s="4" t="str">
        <f t="shared" si="0"/>
        <v>5222</v>
      </c>
      <c r="B49" s="4" t="s">
        <v>392</v>
      </c>
      <c r="C49" s="604" t="s">
        <v>409</v>
      </c>
      <c r="D49" s="604" t="s">
        <v>409</v>
      </c>
      <c r="E49" s="607" t="s">
        <v>490</v>
      </c>
      <c r="F49" s="597" t="s">
        <v>466</v>
      </c>
      <c r="G49" s="597" t="s">
        <v>482</v>
      </c>
      <c r="H49" s="597"/>
      <c r="I49" s="597"/>
      <c r="J49" s="597"/>
      <c r="K49" s="597"/>
    </row>
    <row r="50" spans="1:11">
      <c r="A50" s="4" t="str">
        <f t="shared" si="0"/>
        <v>5256</v>
      </c>
      <c r="B50" s="4" t="s">
        <v>392</v>
      </c>
      <c r="C50" s="604" t="s">
        <v>409</v>
      </c>
      <c r="D50" s="604" t="s">
        <v>409</v>
      </c>
      <c r="E50" s="607" t="s">
        <v>491</v>
      </c>
      <c r="F50" s="597" t="s">
        <v>467</v>
      </c>
      <c r="G50" s="597" t="s">
        <v>482</v>
      </c>
      <c r="H50" s="597"/>
      <c r="I50" s="597"/>
      <c r="J50" s="597"/>
      <c r="K50" s="597"/>
    </row>
    <row r="51" spans="1:11">
      <c r="A51" s="4" t="str">
        <f t="shared" si="0"/>
        <v>5220</v>
      </c>
      <c r="B51" s="4" t="s">
        <v>392</v>
      </c>
      <c r="C51" s="604" t="s">
        <v>410</v>
      </c>
      <c r="D51" s="604" t="s">
        <v>410</v>
      </c>
      <c r="E51" s="607" t="s">
        <v>60</v>
      </c>
      <c r="F51" s="597" t="s">
        <v>61</v>
      </c>
      <c r="G51" s="597" t="s">
        <v>482</v>
      </c>
      <c r="H51" s="597"/>
      <c r="I51" s="597"/>
      <c r="J51" s="597"/>
      <c r="K51" s="597"/>
    </row>
    <row r="52" spans="1:11">
      <c r="A52" s="4" t="str">
        <f t="shared" si="0"/>
        <v>5221</v>
      </c>
      <c r="B52" s="4" t="s">
        <v>392</v>
      </c>
      <c r="C52" s="602" t="s">
        <v>411</v>
      </c>
      <c r="D52" s="602" t="s">
        <v>411</v>
      </c>
      <c r="E52" s="607" t="s">
        <v>62</v>
      </c>
      <c r="F52" s="597" t="s">
        <v>63</v>
      </c>
      <c r="G52" s="597" t="s">
        <v>482</v>
      </c>
      <c r="H52" s="597"/>
      <c r="I52" s="597"/>
      <c r="J52" s="597"/>
      <c r="K52" s="597"/>
    </row>
    <row r="53" spans="1:11">
      <c r="A53" s="4" t="str">
        <f t="shared" si="0"/>
        <v>5252</v>
      </c>
      <c r="B53" s="4" t="s">
        <v>392</v>
      </c>
      <c r="C53" s="4" t="s">
        <v>412</v>
      </c>
      <c r="D53" s="603" t="s">
        <v>413</v>
      </c>
      <c r="E53" s="607" t="s">
        <v>33</v>
      </c>
      <c r="F53" s="597" t="s">
        <v>468</v>
      </c>
      <c r="G53" s="597" t="s">
        <v>482</v>
      </c>
      <c r="H53" s="597"/>
      <c r="I53" s="597"/>
      <c r="J53" s="597"/>
      <c r="K53" s="597"/>
    </row>
    <row r="54" spans="1:11">
      <c r="A54" s="4" t="str">
        <f>+E54</f>
        <v>5282</v>
      </c>
      <c r="B54" s="4" t="s">
        <v>392</v>
      </c>
      <c r="C54" s="4" t="s">
        <v>412</v>
      </c>
      <c r="D54" s="603" t="s">
        <v>413</v>
      </c>
      <c r="E54" s="607" t="s">
        <v>261</v>
      </c>
      <c r="F54" s="597" t="s">
        <v>262</v>
      </c>
      <c r="G54" s="597" t="s">
        <v>482</v>
      </c>
      <c r="H54" s="597"/>
      <c r="I54" s="597"/>
      <c r="J54" s="597"/>
      <c r="K54" s="597"/>
    </row>
    <row r="55" spans="1:11">
      <c r="A55" s="4" t="str">
        <f>+E55</f>
        <v>5283</v>
      </c>
      <c r="B55" s="4" t="s">
        <v>392</v>
      </c>
      <c r="C55" s="4" t="s">
        <v>412</v>
      </c>
      <c r="D55" s="603" t="s">
        <v>413</v>
      </c>
      <c r="E55" s="607" t="s">
        <v>236</v>
      </c>
      <c r="F55" s="597" t="s">
        <v>237</v>
      </c>
      <c r="G55" s="597" t="s">
        <v>482</v>
      </c>
      <c r="H55" s="597"/>
      <c r="I55" s="597"/>
      <c r="J55" s="597"/>
      <c r="K55" s="597"/>
    </row>
    <row r="56" spans="1:11">
      <c r="A56" s="4" t="str">
        <f t="shared" si="0"/>
        <v>5253</v>
      </c>
      <c r="B56" s="4" t="s">
        <v>392</v>
      </c>
      <c r="C56" s="4" t="s">
        <v>412</v>
      </c>
      <c r="D56" s="603" t="s">
        <v>414</v>
      </c>
      <c r="E56" s="607" t="s">
        <v>66</v>
      </c>
      <c r="F56" s="597" t="s">
        <v>469</v>
      </c>
      <c r="G56" s="597" t="s">
        <v>482</v>
      </c>
      <c r="H56" s="597"/>
      <c r="I56" s="597"/>
      <c r="J56" s="597"/>
      <c r="K56" s="597"/>
    </row>
    <row r="57" spans="1:11">
      <c r="A57" s="4" t="str">
        <f t="shared" si="0"/>
        <v>5254</v>
      </c>
      <c r="B57" s="4" t="s">
        <v>392</v>
      </c>
      <c r="C57" s="4" t="s">
        <v>412</v>
      </c>
      <c r="D57" s="603" t="s">
        <v>415</v>
      </c>
      <c r="E57" s="607" t="s">
        <v>31</v>
      </c>
      <c r="F57" s="597" t="s">
        <v>470</v>
      </c>
      <c r="G57" s="597" t="s">
        <v>482</v>
      </c>
      <c r="H57" s="597"/>
      <c r="I57" s="597"/>
      <c r="J57" s="597"/>
      <c r="K57" s="597"/>
    </row>
    <row r="58" spans="1:11">
      <c r="A58" s="4" t="str">
        <f t="shared" si="0"/>
        <v>5209</v>
      </c>
      <c r="B58" s="4" t="s">
        <v>392</v>
      </c>
      <c r="C58" s="605" t="s">
        <v>416</v>
      </c>
      <c r="D58" s="605" t="s">
        <v>416</v>
      </c>
      <c r="E58" s="607" t="s">
        <v>56</v>
      </c>
      <c r="F58" s="597" t="s">
        <v>57</v>
      </c>
      <c r="G58" s="597" t="s">
        <v>482</v>
      </c>
      <c r="I58" s="597"/>
      <c r="J58" s="597"/>
      <c r="K58" s="597"/>
    </row>
    <row r="59" spans="1:11">
      <c r="A59" s="4" t="str">
        <f t="shared" si="0"/>
        <v>5266</v>
      </c>
      <c r="B59" s="4" t="s">
        <v>392</v>
      </c>
      <c r="C59" s="605" t="s">
        <v>416</v>
      </c>
      <c r="D59" s="605" t="s">
        <v>416</v>
      </c>
      <c r="E59" s="607" t="s">
        <v>72</v>
      </c>
      <c r="F59" s="597" t="s">
        <v>315</v>
      </c>
      <c r="G59" s="597" t="s">
        <v>482</v>
      </c>
      <c r="H59" s="597"/>
      <c r="I59" s="597"/>
      <c r="J59" s="597"/>
      <c r="K59" s="597"/>
    </row>
    <row r="60" spans="1:11">
      <c r="A60" s="4" t="str">
        <f t="shared" si="0"/>
        <v>5324</v>
      </c>
      <c r="B60" s="4" t="s">
        <v>392</v>
      </c>
      <c r="C60" s="605" t="s">
        <v>416</v>
      </c>
      <c r="D60" s="605" t="s">
        <v>416</v>
      </c>
      <c r="E60" s="607" t="s">
        <v>345</v>
      </c>
      <c r="F60" s="597" t="s">
        <v>346</v>
      </c>
      <c r="G60" s="597" t="s">
        <v>482</v>
      </c>
      <c r="H60" s="597"/>
      <c r="I60" s="597"/>
      <c r="J60" s="597"/>
      <c r="K60" s="597"/>
    </row>
    <row r="61" spans="1:11">
      <c r="A61" s="4" t="str">
        <f t="shared" si="0"/>
        <v>5325</v>
      </c>
      <c r="B61" s="4" t="s">
        <v>392</v>
      </c>
      <c r="C61" s="605" t="s">
        <v>416</v>
      </c>
      <c r="D61" s="605" t="s">
        <v>416</v>
      </c>
      <c r="E61" s="607" t="s">
        <v>492</v>
      </c>
      <c r="F61" s="597" t="s">
        <v>471</v>
      </c>
      <c r="G61" s="597" t="s">
        <v>482</v>
      </c>
      <c r="H61" s="597"/>
      <c r="I61" s="597"/>
      <c r="J61" s="597"/>
      <c r="K61" s="597"/>
    </row>
    <row r="62" spans="1:11">
      <c r="A62" s="4" t="str">
        <f t="shared" si="0"/>
        <v>5326</v>
      </c>
      <c r="B62" s="4" t="s">
        <v>392</v>
      </c>
      <c r="C62" s="605" t="s">
        <v>416</v>
      </c>
      <c r="D62" s="605" t="s">
        <v>416</v>
      </c>
      <c r="E62" s="607" t="s">
        <v>493</v>
      </c>
      <c r="F62" s="597" t="s">
        <v>472</v>
      </c>
      <c r="G62" s="597" t="s">
        <v>482</v>
      </c>
      <c r="H62" s="597"/>
      <c r="I62" s="597"/>
      <c r="J62" s="597"/>
      <c r="K62" s="597"/>
    </row>
    <row r="63" spans="1:11">
      <c r="A63" s="4" t="str">
        <f t="shared" si="0"/>
        <v>5215</v>
      </c>
      <c r="B63" s="4" t="s">
        <v>392</v>
      </c>
      <c r="C63" s="598" t="s">
        <v>417</v>
      </c>
      <c r="D63" s="598" t="s">
        <v>417</v>
      </c>
      <c r="E63" s="607" t="s">
        <v>316</v>
      </c>
      <c r="F63" s="597" t="s">
        <v>317</v>
      </c>
      <c r="G63" s="597" t="s">
        <v>482</v>
      </c>
      <c r="H63" s="597"/>
      <c r="I63" s="597"/>
      <c r="J63" s="597"/>
      <c r="K63" s="597"/>
    </row>
    <row r="64" spans="1:11">
      <c r="A64" s="4" t="str">
        <f t="shared" si="0"/>
        <v>5321</v>
      </c>
      <c r="B64" s="4" t="s">
        <v>392</v>
      </c>
      <c r="C64" s="598" t="s">
        <v>417</v>
      </c>
      <c r="D64" s="598" t="s">
        <v>417</v>
      </c>
      <c r="E64" s="607" t="s">
        <v>494</v>
      </c>
      <c r="F64" s="597" t="s">
        <v>473</v>
      </c>
      <c r="G64" s="597" t="s">
        <v>482</v>
      </c>
      <c r="H64" s="597"/>
      <c r="I64" s="597"/>
      <c r="J64" s="597"/>
      <c r="K64" s="597"/>
    </row>
    <row r="65" spans="1:11">
      <c r="A65" s="4" t="str">
        <f t="shared" si="0"/>
        <v>5217</v>
      </c>
      <c r="B65" s="4" t="s">
        <v>392</v>
      </c>
      <c r="C65" s="598" t="s">
        <v>522</v>
      </c>
      <c r="D65" s="598" t="s">
        <v>522</v>
      </c>
      <c r="E65" s="607" t="s">
        <v>318</v>
      </c>
      <c r="F65" s="597" t="s">
        <v>319</v>
      </c>
      <c r="G65" s="597" t="s">
        <v>482</v>
      </c>
      <c r="H65" s="597"/>
      <c r="I65" s="597"/>
      <c r="J65" s="597"/>
      <c r="K65" s="597"/>
    </row>
    <row r="66" spans="1:11">
      <c r="A66" s="4" t="str">
        <f t="shared" si="0"/>
        <v>5260</v>
      </c>
      <c r="B66" s="4" t="s">
        <v>392</v>
      </c>
      <c r="C66" s="598" t="s">
        <v>522</v>
      </c>
      <c r="D66" s="598" t="s">
        <v>522</v>
      </c>
      <c r="E66" s="607" t="s">
        <v>29</v>
      </c>
      <c r="F66" s="597" t="s">
        <v>474</v>
      </c>
      <c r="G66" s="597" t="s">
        <v>482</v>
      </c>
      <c r="H66" s="597"/>
      <c r="I66" s="597"/>
      <c r="J66" s="597"/>
      <c r="K66" s="597"/>
    </row>
    <row r="67" spans="1:11">
      <c r="A67" s="4" t="str">
        <f t="shared" si="0"/>
        <v>5229</v>
      </c>
      <c r="B67" s="4" t="s">
        <v>392</v>
      </c>
      <c r="C67" s="605" t="s">
        <v>419</v>
      </c>
      <c r="D67" s="605" t="s">
        <v>419</v>
      </c>
      <c r="E67" s="607" t="s">
        <v>327</v>
      </c>
      <c r="F67" s="210" t="s">
        <v>328</v>
      </c>
      <c r="G67" s="597" t="s">
        <v>482</v>
      </c>
      <c r="I67" s="597"/>
      <c r="J67" s="597"/>
      <c r="K67" s="597"/>
    </row>
    <row r="68" spans="1:11">
      <c r="A68" s="4" t="str">
        <f t="shared" si="0"/>
        <v>5218</v>
      </c>
      <c r="B68" s="4" t="s">
        <v>392</v>
      </c>
      <c r="C68" s="605" t="s">
        <v>419</v>
      </c>
      <c r="D68" s="605" t="s">
        <v>419</v>
      </c>
      <c r="E68" s="607" t="s">
        <v>43</v>
      </c>
      <c r="F68" s="597" t="s">
        <v>42</v>
      </c>
      <c r="G68" s="597" t="s">
        <v>482</v>
      </c>
      <c r="H68" s="597"/>
      <c r="I68" s="597"/>
      <c r="J68" s="597"/>
      <c r="K68" s="597"/>
    </row>
    <row r="69" spans="1:11">
      <c r="A69" s="4" t="str">
        <f>+E69</f>
        <v>5219</v>
      </c>
      <c r="B69" s="4" t="s">
        <v>392</v>
      </c>
      <c r="C69" s="605" t="s">
        <v>419</v>
      </c>
      <c r="D69" s="605" t="s">
        <v>419</v>
      </c>
      <c r="E69" s="607" t="s">
        <v>58</v>
      </c>
      <c r="F69" s="597" t="s">
        <v>59</v>
      </c>
      <c r="G69" s="597" t="s">
        <v>482</v>
      </c>
      <c r="H69" s="597"/>
      <c r="I69" s="597"/>
      <c r="J69" s="597"/>
      <c r="K69" s="597"/>
    </row>
    <row r="70" spans="1:11">
      <c r="A70" s="4" t="str">
        <f t="shared" si="0"/>
        <v>5263</v>
      </c>
      <c r="B70" s="4" t="s">
        <v>392</v>
      </c>
      <c r="C70" s="605" t="s">
        <v>419</v>
      </c>
      <c r="D70" s="605" t="s">
        <v>419</v>
      </c>
      <c r="E70" s="607" t="s">
        <v>28</v>
      </c>
      <c r="F70" s="597" t="s">
        <v>475</v>
      </c>
      <c r="G70" s="597" t="s">
        <v>482</v>
      </c>
      <c r="H70" s="597"/>
      <c r="I70" s="597"/>
      <c r="J70" s="597"/>
      <c r="K70" s="597"/>
    </row>
    <row r="71" spans="1:11">
      <c r="A71" s="4" t="str">
        <f t="shared" si="0"/>
        <v>5312</v>
      </c>
      <c r="B71" s="4" t="s">
        <v>392</v>
      </c>
      <c r="C71" s="605" t="s">
        <v>419</v>
      </c>
      <c r="D71" s="605" t="s">
        <v>419</v>
      </c>
      <c r="E71" s="607" t="s">
        <v>339</v>
      </c>
      <c r="F71" s="597" t="s">
        <v>340</v>
      </c>
      <c r="G71" s="597" t="s">
        <v>482</v>
      </c>
      <c r="H71" s="597"/>
      <c r="I71" s="597"/>
      <c r="J71" s="597"/>
      <c r="K71" s="597"/>
    </row>
    <row r="72" spans="1:11">
      <c r="A72" s="4" t="str">
        <f t="shared" si="0"/>
        <v>5314</v>
      </c>
      <c r="B72" s="4" t="s">
        <v>392</v>
      </c>
      <c r="C72" s="605" t="s">
        <v>419</v>
      </c>
      <c r="D72" s="605" t="s">
        <v>419</v>
      </c>
      <c r="E72" s="607" t="s">
        <v>495</v>
      </c>
      <c r="F72" s="597" t="s">
        <v>476</v>
      </c>
      <c r="G72" s="597" t="s">
        <v>482</v>
      </c>
      <c r="H72" s="597"/>
      <c r="I72" s="597"/>
      <c r="J72" s="597"/>
      <c r="K72" s="597"/>
    </row>
    <row r="73" spans="1:11">
      <c r="A73" s="4" t="str">
        <f t="shared" si="0"/>
        <v>5337</v>
      </c>
      <c r="B73" s="4" t="s">
        <v>392</v>
      </c>
      <c r="C73" s="605" t="s">
        <v>419</v>
      </c>
      <c r="D73" s="605" t="s">
        <v>419</v>
      </c>
      <c r="E73" s="607" t="s">
        <v>244</v>
      </c>
      <c r="F73" s="597" t="s">
        <v>245</v>
      </c>
      <c r="G73" s="597" t="s">
        <v>482</v>
      </c>
      <c r="H73" s="597"/>
      <c r="I73" s="597"/>
      <c r="J73" s="597"/>
      <c r="K73" s="597"/>
    </row>
    <row r="74" spans="1:11">
      <c r="A74" s="4" t="str">
        <f t="shared" ref="A74" si="1">+E74</f>
        <v>5292</v>
      </c>
      <c r="B74" s="4" t="s">
        <v>392</v>
      </c>
      <c r="C74" s="605" t="s">
        <v>419</v>
      </c>
      <c r="D74" s="605" t="s">
        <v>419</v>
      </c>
      <c r="E74" s="607" t="s">
        <v>777</v>
      </c>
      <c r="F74" s="597" t="s">
        <v>908</v>
      </c>
      <c r="G74" s="597" t="s">
        <v>482</v>
      </c>
      <c r="H74" s="597"/>
      <c r="I74" s="597"/>
      <c r="J74" s="597"/>
      <c r="K74" s="597"/>
    </row>
    <row r="75" spans="1:11">
      <c r="D75" s="600"/>
      <c r="E75" s="597"/>
      <c r="F75" s="597"/>
      <c r="G75" s="597"/>
      <c r="H75" s="597"/>
      <c r="I75" s="597"/>
      <c r="J75" s="597"/>
      <c r="K75" s="597"/>
    </row>
    <row r="76" spans="1:11">
      <c r="A76" s="4" t="str">
        <f t="shared" ref="A76:A88" si="2">+E76</f>
        <v>12020401</v>
      </c>
      <c r="B76" s="152" t="s">
        <v>442</v>
      </c>
      <c r="C76" s="152" t="s">
        <v>442</v>
      </c>
      <c r="D76" s="605" t="s">
        <v>443</v>
      </c>
      <c r="E76" s="607" t="s">
        <v>0</v>
      </c>
      <c r="F76" s="597" t="s">
        <v>1</v>
      </c>
      <c r="G76" s="597" t="s">
        <v>482</v>
      </c>
      <c r="H76" s="597"/>
      <c r="I76" s="597"/>
      <c r="J76" s="597"/>
      <c r="K76" s="597"/>
    </row>
    <row r="77" spans="1:11">
      <c r="A77" s="4" t="str">
        <f t="shared" si="2"/>
        <v>12020701</v>
      </c>
      <c r="B77" s="152" t="s">
        <v>442</v>
      </c>
      <c r="C77" s="152" t="s">
        <v>442</v>
      </c>
      <c r="D77" s="605" t="s">
        <v>443</v>
      </c>
      <c r="E77" s="607" t="s">
        <v>496</v>
      </c>
      <c r="F77" s="597" t="s">
        <v>477</v>
      </c>
      <c r="G77" s="597" t="s">
        <v>482</v>
      </c>
      <c r="H77" s="597"/>
      <c r="I77" s="597"/>
      <c r="J77" s="597"/>
      <c r="K77" s="597"/>
    </row>
    <row r="78" spans="1:11">
      <c r="A78" s="4" t="str">
        <f t="shared" si="2"/>
        <v>120211</v>
      </c>
      <c r="B78" s="152" t="s">
        <v>442</v>
      </c>
      <c r="C78" s="152" t="s">
        <v>442</v>
      </c>
      <c r="D78" s="605" t="s">
        <v>432</v>
      </c>
      <c r="E78" s="607" t="s">
        <v>4</v>
      </c>
      <c r="F78" s="597" t="s">
        <v>478</v>
      </c>
      <c r="G78" s="597" t="s">
        <v>482</v>
      </c>
      <c r="H78" s="597"/>
      <c r="I78" s="597"/>
      <c r="J78" s="597"/>
      <c r="K78" s="597"/>
    </row>
    <row r="79" spans="1:11">
      <c r="A79" s="4" t="str">
        <f t="shared" si="2"/>
        <v>12020103</v>
      </c>
      <c r="B79" s="152" t="s">
        <v>442</v>
      </c>
      <c r="C79" s="152" t="s">
        <v>442</v>
      </c>
      <c r="D79" s="605" t="s">
        <v>433</v>
      </c>
      <c r="E79" s="607" t="s">
        <v>50</v>
      </c>
      <c r="F79" s="597" t="s">
        <v>51</v>
      </c>
      <c r="G79" s="597" t="s">
        <v>482</v>
      </c>
      <c r="J79" s="597"/>
      <c r="K79" s="597"/>
    </row>
    <row r="80" spans="1:11">
      <c r="A80" s="4" t="str">
        <f>+E80</f>
        <v>12020103R</v>
      </c>
      <c r="B80" s="152" t="s">
        <v>442</v>
      </c>
      <c r="C80" s="152" t="s">
        <v>442</v>
      </c>
      <c r="D80" s="605" t="s">
        <v>433</v>
      </c>
      <c r="E80" s="758" t="s">
        <v>3409</v>
      </c>
      <c r="F80" s="759" t="s">
        <v>51</v>
      </c>
      <c r="G80" s="597" t="s">
        <v>482</v>
      </c>
      <c r="J80" s="597"/>
      <c r="K80" s="597"/>
    </row>
    <row r="81" spans="1:11">
      <c r="A81" s="4" t="str">
        <f t="shared" si="2"/>
        <v>12020105</v>
      </c>
      <c r="B81" s="152" t="s">
        <v>442</v>
      </c>
      <c r="C81" s="152" t="s">
        <v>442</v>
      </c>
      <c r="D81" s="605" t="s">
        <v>433</v>
      </c>
      <c r="E81" s="607" t="s">
        <v>377</v>
      </c>
      <c r="F81" s="597" t="s">
        <v>378</v>
      </c>
      <c r="G81" s="597" t="s">
        <v>482</v>
      </c>
      <c r="I81" s="597"/>
      <c r="J81" s="597"/>
      <c r="K81" s="597"/>
    </row>
    <row r="82" spans="1:11">
      <c r="A82" s="4" t="str">
        <f t="shared" si="2"/>
        <v>12020201</v>
      </c>
      <c r="B82" s="152" t="s">
        <v>442</v>
      </c>
      <c r="C82" s="152" t="s">
        <v>442</v>
      </c>
      <c r="D82" s="605" t="s">
        <v>433</v>
      </c>
      <c r="E82" s="607" t="s">
        <v>52</v>
      </c>
      <c r="F82" s="597" t="s">
        <v>479</v>
      </c>
      <c r="G82" s="597" t="s">
        <v>482</v>
      </c>
      <c r="I82" s="597"/>
      <c r="J82" s="597"/>
      <c r="K82" s="597"/>
    </row>
    <row r="83" spans="1:11">
      <c r="A83" s="4" t="str">
        <f t="shared" si="2"/>
        <v>12020301</v>
      </c>
      <c r="B83" s="152" t="s">
        <v>442</v>
      </c>
      <c r="C83" s="152" t="s">
        <v>442</v>
      </c>
      <c r="D83" s="605" t="s">
        <v>433</v>
      </c>
      <c r="E83" s="607" t="s">
        <v>6</v>
      </c>
      <c r="F83" s="597" t="s">
        <v>5</v>
      </c>
      <c r="G83" s="597" t="s">
        <v>482</v>
      </c>
      <c r="H83" s="597"/>
      <c r="I83" s="597"/>
      <c r="J83" s="597"/>
      <c r="K83" s="597"/>
    </row>
    <row r="84" spans="1:11">
      <c r="A84" s="4" t="str">
        <f t="shared" si="2"/>
        <v>12021001</v>
      </c>
      <c r="B84" s="152" t="s">
        <v>442</v>
      </c>
      <c r="C84" s="152" t="s">
        <v>442</v>
      </c>
      <c r="D84" s="605" t="s">
        <v>433</v>
      </c>
      <c r="E84" s="607" t="s">
        <v>379</v>
      </c>
      <c r="F84" s="597" t="s">
        <v>380</v>
      </c>
      <c r="G84" s="597" t="s">
        <v>482</v>
      </c>
      <c r="H84" s="597"/>
      <c r="I84" s="597"/>
      <c r="J84" s="597"/>
      <c r="K84" s="597"/>
    </row>
    <row r="85" spans="1:11">
      <c r="A85" s="4" t="str">
        <f t="shared" si="2"/>
        <v>12020501</v>
      </c>
      <c r="B85" s="152" t="s">
        <v>442</v>
      </c>
      <c r="C85" s="152" t="s">
        <v>442</v>
      </c>
      <c r="D85" s="605" t="s">
        <v>433</v>
      </c>
      <c r="E85" s="607" t="s">
        <v>54</v>
      </c>
      <c r="F85" s="597" t="s">
        <v>480</v>
      </c>
      <c r="G85" s="597" t="s">
        <v>482</v>
      </c>
      <c r="H85" s="597"/>
      <c r="I85" s="597"/>
      <c r="J85" s="597"/>
      <c r="K85" s="597"/>
    </row>
    <row r="86" spans="1:11">
      <c r="A86" s="4" t="str">
        <f t="shared" si="2"/>
        <v>12020601</v>
      </c>
      <c r="B86" s="152" t="s">
        <v>442</v>
      </c>
      <c r="C86" s="152" t="s">
        <v>442</v>
      </c>
      <c r="D86" s="605" t="s">
        <v>433</v>
      </c>
      <c r="E86" s="607" t="s">
        <v>131</v>
      </c>
      <c r="F86" s="597" t="s">
        <v>132</v>
      </c>
      <c r="G86" s="597" t="s">
        <v>482</v>
      </c>
      <c r="H86" s="597"/>
      <c r="I86" s="597"/>
      <c r="J86" s="597"/>
      <c r="K86" s="597"/>
    </row>
    <row r="87" spans="1:11">
      <c r="A87" s="4" t="str">
        <f t="shared" si="2"/>
        <v>12020901</v>
      </c>
      <c r="B87" s="152" t="s">
        <v>442</v>
      </c>
      <c r="C87" s="152" t="s">
        <v>442</v>
      </c>
      <c r="D87" s="605" t="s">
        <v>433</v>
      </c>
      <c r="E87" s="607" t="s">
        <v>129</v>
      </c>
      <c r="F87" s="597" t="s">
        <v>130</v>
      </c>
      <c r="G87" s="597" t="s">
        <v>482</v>
      </c>
      <c r="H87" s="597"/>
      <c r="I87" s="597"/>
      <c r="J87" s="597"/>
      <c r="K87" s="597"/>
    </row>
    <row r="88" spans="1:11">
      <c r="A88" s="4" t="str">
        <f t="shared" si="2"/>
        <v>7102</v>
      </c>
      <c r="B88" s="152" t="s">
        <v>442</v>
      </c>
      <c r="C88" s="152" t="s">
        <v>442</v>
      </c>
      <c r="D88" s="605" t="s">
        <v>434</v>
      </c>
      <c r="E88" s="607" t="s">
        <v>26</v>
      </c>
      <c r="F88" s="597" t="s">
        <v>25</v>
      </c>
      <c r="G88" s="597" t="s">
        <v>482</v>
      </c>
      <c r="H88" s="597"/>
      <c r="I88" s="597"/>
      <c r="J88" s="597"/>
      <c r="K88" s="597"/>
    </row>
    <row r="89" spans="1:11">
      <c r="E89" s="597"/>
      <c r="F89" s="597"/>
      <c r="G89" s="597"/>
      <c r="H89" s="597"/>
      <c r="I89" s="597"/>
      <c r="J89" s="597"/>
      <c r="K89" s="597"/>
    </row>
    <row r="105" spans="1:11">
      <c r="A105" s="203" t="s">
        <v>84</v>
      </c>
      <c r="B105" s="203" t="s">
        <v>84</v>
      </c>
      <c r="C105" s="203" t="s">
        <v>84</v>
      </c>
      <c r="D105" s="203" t="s">
        <v>84</v>
      </c>
      <c r="E105" s="203" t="s">
        <v>84</v>
      </c>
      <c r="F105" s="203" t="s">
        <v>84</v>
      </c>
      <c r="G105" s="203" t="s">
        <v>84</v>
      </c>
      <c r="H105" s="203" t="s">
        <v>84</v>
      </c>
      <c r="I105" s="203" t="s">
        <v>84</v>
      </c>
      <c r="J105" s="203" t="s">
        <v>84</v>
      </c>
      <c r="K105" s="203" t="s">
        <v>84</v>
      </c>
    </row>
  </sheetData>
  <autoFilter ref="A3:F105"/>
  <pageMargins left="0.7" right="0.7" top="0.75" bottom="0.75" header="0.3" footer="0.3"/>
  <pageSetup orientation="portrait" r:id="rId1"/>
</worksheet>
</file>

<file path=xl/worksheets/sheet20.xml><?xml version="1.0" encoding="utf-8"?>
<worksheet xmlns="http://schemas.openxmlformats.org/spreadsheetml/2006/main" xmlns:r="http://schemas.openxmlformats.org/officeDocument/2006/relationships">
  <sheetPr codeName="Sheet14"/>
  <dimension ref="A1:AA287"/>
  <sheetViews>
    <sheetView zoomScale="80" zoomScaleNormal="80" workbookViewId="0">
      <pane xSplit="5" ySplit="5" topLeftCell="W6" activePane="bottomRight" state="frozen"/>
      <selection activeCell="J93" sqref="J93"/>
      <selection pane="topRight" activeCell="J93" sqref="J93"/>
      <selection pane="bottomLeft" activeCell="J93" sqref="J93"/>
      <selection pane="bottomRight" activeCell="E27" sqref="E27"/>
    </sheetView>
  </sheetViews>
  <sheetFormatPr baseColWidth="10" defaultColWidth="10.81640625" defaultRowHeight="12.5"/>
  <cols>
    <col min="1" max="1" width="56.81640625" style="4" bestFit="1" customWidth="1"/>
    <col min="2" max="2" width="15.81640625" style="4" bestFit="1" customWidth="1"/>
    <col min="3" max="3" width="12.81640625" style="4" bestFit="1" customWidth="1"/>
    <col min="4" max="4" width="29.81640625" style="4" bestFit="1" customWidth="1"/>
    <col min="5" max="5" width="13.453125" style="4" bestFit="1" customWidth="1"/>
    <col min="6" max="7" width="1.1796875" style="4" customWidth="1"/>
    <col min="8" max="8" width="7.453125" style="4" bestFit="1" customWidth="1"/>
    <col min="9" max="9" width="21.453125" style="339" bestFit="1" customWidth="1"/>
    <col min="10" max="10" width="21.453125" style="348" bestFit="1" customWidth="1"/>
    <col min="11" max="11" width="9.453125" style="4" bestFit="1" customWidth="1"/>
    <col min="12" max="12" width="21.81640625" style="339" bestFit="1" customWidth="1"/>
    <col min="13" max="13" width="21.453125" style="348" bestFit="1" customWidth="1"/>
    <col min="14" max="14" width="9.1796875" style="4" bestFit="1" customWidth="1"/>
    <col min="15" max="15" width="22.453125" style="339" customWidth="1"/>
    <col min="16" max="16" width="21" style="348" bestFit="1" customWidth="1"/>
    <col min="17" max="17" width="8.1796875" style="4" bestFit="1" customWidth="1"/>
    <col min="18" max="18" width="22.453125" style="339" bestFit="1" customWidth="1"/>
    <col min="19" max="19" width="17.81640625" style="348" bestFit="1" customWidth="1"/>
    <col min="20" max="20" width="8.1796875" style="4" bestFit="1" customWidth="1"/>
    <col min="21" max="21" width="22.453125" style="339" bestFit="1" customWidth="1"/>
    <col min="22" max="22" width="17.81640625" style="348" bestFit="1" customWidth="1"/>
    <col min="23" max="23" width="8.1796875" style="4" bestFit="1" customWidth="1"/>
    <col min="24" max="24" width="22.453125" style="339" bestFit="1" customWidth="1"/>
    <col min="25" max="25" width="21.453125" style="348" bestFit="1" customWidth="1"/>
    <col min="26" max="26" width="14.81640625" style="4" bestFit="1" customWidth="1"/>
    <col min="27" max="27" width="16.81640625" style="4" bestFit="1" customWidth="1"/>
    <col min="28" max="16384" width="10.81640625" style="4"/>
  </cols>
  <sheetData>
    <row r="1" spans="1:27" ht="13.5" thickBot="1">
      <c r="D1" s="110" t="str">
        <f ca="1">+IF(ROUND(SUM(H1:Y1),0)=0,"Ok","Check")</f>
        <v>Ok</v>
      </c>
      <c r="E1" s="334" t="s">
        <v>21</v>
      </c>
      <c r="I1" s="335">
        <f ca="1">+I2-'Mov_Analizados_Sept25 - Dic25'!I9</f>
        <v>0</v>
      </c>
      <c r="J1" s="336">
        <f ca="1">+J2-'Mov_Analizados_Sept25 - Dic25'!J9</f>
        <v>3.2014213502407074E-10</v>
      </c>
      <c r="L1" s="335">
        <f>+L2-'Mov_Analizados_Ene 26'!I9</f>
        <v>0</v>
      </c>
      <c r="M1" s="336">
        <f>+M2-'Mov_Analizados_Ene 26'!J9</f>
        <v>0</v>
      </c>
      <c r="O1" s="335">
        <f>+O2-'Mov_Analizados_Feb - Mar 26'!I9</f>
        <v>0</v>
      </c>
      <c r="P1" s="336">
        <f>+P2-'Mov_Analizados_Feb - Mar 26'!J9</f>
        <v>0</v>
      </c>
      <c r="R1" s="335">
        <f>+R2-'Mov_Analizados_Abr 26'!J9</f>
        <v>-2.6822090148925781E-7</v>
      </c>
      <c r="S1" s="336">
        <f>+S2-'Mov_Analizados_Abr 26'!K9</f>
        <v>1.3096723705530167E-10</v>
      </c>
      <c r="U1" s="335">
        <f>+U2-'Mov_Analizados_May 26'!J9</f>
        <v>3.8743019104003906E-7</v>
      </c>
      <c r="V1" s="338">
        <f>+V2-'Mov_Analizados_May 26'!K9</f>
        <v>0</v>
      </c>
      <c r="X1" s="335">
        <f ca="1">ROUND(+X2-L2-I2-O2-R2-U2,0)</f>
        <v>0</v>
      </c>
      <c r="Y1" s="338">
        <f ca="1">ROUND(+Y2-M2-J2-P2-S2-V2,0)</f>
        <v>0</v>
      </c>
    </row>
    <row r="2" spans="1:27" ht="13.5" thickBot="1">
      <c r="E2" s="334" t="s">
        <v>83</v>
      </c>
      <c r="I2" s="337">
        <f ca="1">SUM(I5:I287)-I28-I93-I220</f>
        <v>310376808.59000009</v>
      </c>
      <c r="J2" s="338">
        <f ca="1">SUM(J5:J287)-J28-J93-J220</f>
        <v>200020.2749440888</v>
      </c>
      <c r="L2" s="337">
        <f>SUM(L5:L287)-L5-L93-L28-L158-L220</f>
        <v>91745932.389999956</v>
      </c>
      <c r="M2" s="338">
        <f>SUM(M5:M287)-M5-M93-M28-M158-M220</f>
        <v>76869.010231473483</v>
      </c>
      <c r="O2" s="337">
        <f>SUM(O5:O287)-O5-O93-O28-O158-O220</f>
        <v>100776935.88</v>
      </c>
      <c r="P2" s="338">
        <f>SUM(P5:P287)-P5-P93-P28-P158-P220</f>
        <v>103144.35799604251</v>
      </c>
      <c r="R2" s="337">
        <f>SUM(R5:R287)-R5-R93-R28-R158-R220</f>
        <v>124737105.5</v>
      </c>
      <c r="S2" s="338">
        <f>SUM(S5:S287)-S5-S93-S28-S158-S220</f>
        <v>106145.93061609185</v>
      </c>
      <c r="U2" s="337">
        <f>SUM(U5:U287)-U5-U93-U28-U158-U220</f>
        <v>94249257.600000188</v>
      </c>
      <c r="V2" s="338">
        <f>SUM(V5:V287)-V5-V93-V28-V158-V220</f>
        <v>102188.30289077479</v>
      </c>
      <c r="X2" s="337">
        <f ca="1">SUM(X5:X286)-X5-X93-X28-X158-X220</f>
        <v>721886039.96000016</v>
      </c>
      <c r="Y2" s="338">
        <f ca="1">SUM(Y5:Y286)-Y5-Y93-Y28-Y158-Y220</f>
        <v>588367.87667847169</v>
      </c>
      <c r="Z2" s="646">
        <f ca="1">+Y2-AA2</f>
        <v>0.87667847168631852</v>
      </c>
      <c r="AA2" s="346">
        <f ca="1">+SUM(AA5:AA287)</f>
        <v>588367</v>
      </c>
    </row>
    <row r="3" spans="1:27" ht="13" thickBot="1">
      <c r="J3" s="340"/>
      <c r="M3" s="340"/>
      <c r="P3" s="340"/>
      <c r="S3" s="340"/>
      <c r="V3" s="340"/>
      <c r="Y3" s="340"/>
    </row>
    <row r="4" spans="1:27" ht="13.5" thickBot="1">
      <c r="I4" s="884" t="s">
        <v>2817</v>
      </c>
      <c r="J4" s="885"/>
      <c r="L4" s="884" t="s">
        <v>2820</v>
      </c>
      <c r="M4" s="885"/>
      <c r="O4" s="884" t="s">
        <v>3486</v>
      </c>
      <c r="P4" s="885"/>
      <c r="R4" s="884" t="s">
        <v>534</v>
      </c>
      <c r="S4" s="885"/>
      <c r="U4" s="884" t="s">
        <v>8394</v>
      </c>
      <c r="V4" s="885"/>
      <c r="X4" s="886" t="s">
        <v>256</v>
      </c>
      <c r="Y4" s="887"/>
    </row>
    <row r="5" spans="1:27" ht="13.5" thickBot="1">
      <c r="A5" s="341" t="s">
        <v>119</v>
      </c>
      <c r="B5" s="341"/>
      <c r="C5" s="342" t="s">
        <v>24</v>
      </c>
      <c r="D5" s="343" t="s">
        <v>23</v>
      </c>
      <c r="E5" s="344" t="s">
        <v>82</v>
      </c>
      <c r="I5" s="337">
        <f ca="1">SUM(I8:I26)</f>
        <v>0</v>
      </c>
      <c r="J5" s="338">
        <f ca="1">SUM(J8:J26)</f>
        <v>0</v>
      </c>
      <c r="L5" s="337">
        <f>SUM(L8:L26)</f>
        <v>0</v>
      </c>
      <c r="M5" s="338">
        <f>SUM(M8:M26)</f>
        <v>0</v>
      </c>
      <c r="O5" s="337">
        <f>SUM(O8:O26)</f>
        <v>0</v>
      </c>
      <c r="P5" s="338">
        <f>SUM(P8:P26)</f>
        <v>0</v>
      </c>
      <c r="R5" s="337">
        <f>SUM(R8:R26)</f>
        <v>0</v>
      </c>
      <c r="S5" s="338">
        <f>SUM(S8:S26)</f>
        <v>0</v>
      </c>
      <c r="U5" s="337">
        <f>SUM(U8:U26)</f>
        <v>0</v>
      </c>
      <c r="V5" s="338">
        <f>SUM(V8:V26)</f>
        <v>0</v>
      </c>
      <c r="X5" s="337">
        <f ca="1">SUM(X8:X26)</f>
        <v>0</v>
      </c>
      <c r="Y5" s="338">
        <f ca="1">ROUND(SUM(Y8:Y26),0)</f>
        <v>0</v>
      </c>
      <c r="Z5" s="822">
        <f ca="1">SUM(H5:W5)-X5-Y5</f>
        <v>0</v>
      </c>
      <c r="AA5" s="346">
        <f ca="1">+Y5</f>
        <v>0</v>
      </c>
    </row>
    <row r="6" spans="1:27" ht="13.5" thickBot="1">
      <c r="C6" s="617" t="s">
        <v>81</v>
      </c>
      <c r="D6" s="133"/>
      <c r="E6" s="133"/>
      <c r="I6" s="884" t="str">
        <f>+I4</f>
        <v>SEPT - DIC</v>
      </c>
      <c r="J6" s="885"/>
      <c r="L6" s="884" t="str">
        <f>+L4</f>
        <v>ENE</v>
      </c>
      <c r="M6" s="885"/>
      <c r="O6" s="884" t="str">
        <f>+O4</f>
        <v>FEB - MAR</v>
      </c>
      <c r="P6" s="885"/>
      <c r="R6" s="884" t="str">
        <f>+R4</f>
        <v>ABRIL</v>
      </c>
      <c r="S6" s="885"/>
      <c r="U6" s="884" t="str">
        <f>+U4</f>
        <v>MAYO</v>
      </c>
      <c r="V6" s="885"/>
      <c r="X6" s="886" t="s">
        <v>256</v>
      </c>
      <c r="Y6" s="887"/>
    </row>
    <row r="7" spans="1:27" s="345" customFormat="1" ht="13" thickBot="1">
      <c r="A7" s="616" t="s">
        <v>84</v>
      </c>
      <c r="B7" s="616" t="s">
        <v>84</v>
      </c>
      <c r="C7" s="616" t="s">
        <v>84</v>
      </c>
      <c r="D7" s="616" t="s">
        <v>84</v>
      </c>
      <c r="E7" s="616" t="s">
        <v>84</v>
      </c>
      <c r="F7" s="616" t="s">
        <v>84</v>
      </c>
      <c r="G7" s="616" t="s">
        <v>84</v>
      </c>
      <c r="H7" s="616" t="s">
        <v>84</v>
      </c>
      <c r="I7" s="616" t="s">
        <v>84</v>
      </c>
      <c r="J7" s="616" t="s">
        <v>84</v>
      </c>
      <c r="K7" s="616" t="s">
        <v>84</v>
      </c>
      <c r="L7" s="616" t="s">
        <v>84</v>
      </c>
      <c r="M7" s="616" t="s">
        <v>84</v>
      </c>
      <c r="N7" s="616" t="s">
        <v>84</v>
      </c>
      <c r="O7" s="616" t="s">
        <v>84</v>
      </c>
      <c r="P7" s="616" t="s">
        <v>84</v>
      </c>
      <c r="Q7" s="616" t="s">
        <v>84</v>
      </c>
      <c r="R7" s="616" t="s">
        <v>84</v>
      </c>
      <c r="S7" s="616" t="s">
        <v>84</v>
      </c>
      <c r="T7" s="616" t="s">
        <v>84</v>
      </c>
      <c r="U7" s="616" t="s">
        <v>84</v>
      </c>
      <c r="V7" s="616" t="s">
        <v>84</v>
      </c>
      <c r="W7" s="616" t="s">
        <v>84</v>
      </c>
      <c r="X7" s="616" t="s">
        <v>84</v>
      </c>
      <c r="Y7" s="616" t="s">
        <v>84</v>
      </c>
    </row>
    <row r="8" spans="1:27">
      <c r="A8" s="4" t="str">
        <f>+VLOOKUP(C8,'Plan Cuentas Link Armado'!$A$3:$D$105,4,0)</f>
        <v>Field:</v>
      </c>
      <c r="C8" s="308" t="s">
        <v>133</v>
      </c>
      <c r="D8" s="4" t="s">
        <v>134</v>
      </c>
      <c r="E8" s="4" t="s">
        <v>135</v>
      </c>
      <c r="F8" s="152" t="s">
        <v>77</v>
      </c>
      <c r="G8" s="4" t="str">
        <f>+VLOOKUP(C8,'Plan Cuentas Link Armado'!$A$3:$D$105,4,0)</f>
        <v>Field:</v>
      </c>
      <c r="I8" s="339">
        <f ca="1">+SUMIF('Mov_Analizados_Sept25 - Dic25'!$H$10:$I$1051,Resumen_Base!E8,'Mov_Analizados_Sept25 - Dic25'!$I$10:$I$1051)</f>
        <v>0</v>
      </c>
      <c r="J8" s="340">
        <f ca="1">+SUMIF('Mov_Analizados_Sept25 - Dic25'!$H$10:$J$1051,Resumen_Base!E8,'Mov_Analizados_Sept25 - Dic25'!$J$10:$J$1051)</f>
        <v>0</v>
      </c>
      <c r="L8" s="339">
        <f>+SUMIF('Mov_Analizados_Ene 26'!$H$10:$H$330,Resumen_Base!E8,'Mov_Analizados_Ene 26'!$I$10:$I$330)</f>
        <v>0</v>
      </c>
      <c r="M8" s="340">
        <f>+SUMIF('Mov_Analizados_Ene 26'!$H$10:$H$330,Resumen_Base!E8,'Mov_Analizados_Ene 26'!$J$10:$J$330)</f>
        <v>0</v>
      </c>
      <c r="O8" s="339">
        <f>+SUMIF('Mov_Analizados_Feb - Mar 26'!$H$10:$H$1378,Resumen_Base!E8,'Mov_Analizados_Feb - Mar 26'!$I$10:$I$1378)</f>
        <v>0</v>
      </c>
      <c r="P8" s="340">
        <f>+SUMIF('Mov_Analizados_Feb - Mar 26'!$H$10:$H$1378,Resumen_Base!E8,'Mov_Analizados_Feb - Mar 26'!$J$10:$J$1378)</f>
        <v>0</v>
      </c>
      <c r="R8" s="339">
        <f>+SUMIF('Mov_Analizados_Abr 26'!$I$10:$I$862,Resumen_Base!E8,'Mov_Analizados_Abr 26'!$J$10:$J$862)</f>
        <v>0</v>
      </c>
      <c r="S8" s="340">
        <f>+SUMIF('Mov_Analizados_Abr 26'!$I$10:$I$862,Resumen_Base!E8,'Mov_Analizados_Abr 26'!$K$10:$K$862)</f>
        <v>0</v>
      </c>
      <c r="U8" s="339">
        <f>+SUMIF('Mov_Analizados_May 26'!$I$10:$I$1205,Resumen_Base!E8,'Mov_Analizados_May 26'!$J$10:$J$1205)</f>
        <v>0</v>
      </c>
      <c r="V8" s="340">
        <f>+SUMIF('Mov_Analizados_May 26'!$I$10:$I$1205,Resumen_Base!E8,'Mov_Analizados_May 26'!$K$10:$K$1205)</f>
        <v>0</v>
      </c>
      <c r="X8" s="339">
        <f ca="1">+I8+L8+O8+R8+U8</f>
        <v>0</v>
      </c>
      <c r="Y8" s="340">
        <f ca="1">+J8+M8+P8+S8+V8</f>
        <v>0</v>
      </c>
    </row>
    <row r="9" spans="1:27">
      <c r="A9" s="4" t="str">
        <f>+VLOOKUP(C9,'Plan Cuentas Link Armado'!$A$3:$D$105,4,0)</f>
        <v>Fixed Asset's Payments (Investments) Rodados/Lanchas</v>
      </c>
      <c r="C9" s="308" t="s">
        <v>0</v>
      </c>
      <c r="D9" s="4" t="s">
        <v>1</v>
      </c>
      <c r="E9" s="152" t="s">
        <v>2</v>
      </c>
      <c r="F9" s="152" t="s">
        <v>77</v>
      </c>
      <c r="G9" s="4" t="str">
        <f>+VLOOKUP(C9,'Plan Cuentas Link Armado'!$A$3:$D$105,4,0)</f>
        <v>Fixed Asset's Payments (Investments) Rodados/Lanchas</v>
      </c>
      <c r="I9" s="339">
        <f ca="1">+SUMIF('Mov_Analizados_Sept25 - Dic25'!$H$10:$I$1051,Resumen_Base!E9,'Mov_Analizados_Sept25 - Dic25'!$I$10:$I$1051)</f>
        <v>0</v>
      </c>
      <c r="J9" s="340">
        <f ca="1">+SUMIF('Mov_Analizados_Sept25 - Dic25'!$H$10:$J$1051,Resumen_Base!E9,'Mov_Analizados_Sept25 - Dic25'!$J$10:$J$1051)</f>
        <v>0</v>
      </c>
      <c r="L9" s="339">
        <f>+SUMIF('Mov_Analizados_Ene 26'!$H$10:$H$330,Resumen_Base!E9,'Mov_Analizados_Ene 26'!$I$10:$I$330)</f>
        <v>0</v>
      </c>
      <c r="M9" s="340">
        <f>+SUMIF('Mov_Analizados_Ene 26'!$H$10:$H$330,Resumen_Base!E9,'Mov_Analizados_Ene 26'!$J$10:$J$330)</f>
        <v>0</v>
      </c>
      <c r="O9" s="339">
        <f>+SUMIF('Mov_Analizados_Feb - Mar 26'!$H$10:$H$1378,Resumen_Base!E9,'Mov_Analizados_Feb - Mar 26'!$I$10:$I$1378)</f>
        <v>0</v>
      </c>
      <c r="P9" s="340">
        <f>+SUMIF('Mov_Analizados_Feb - Mar 26'!$H$10:$H$1378,Resumen_Base!E9,'Mov_Analizados_Feb - Mar 26'!$J$10:$J$1378)</f>
        <v>0</v>
      </c>
      <c r="R9" s="339">
        <f>+SUMIF('Mov_Analizados_Abr 26'!$I$10:$I$862,Resumen_Base!E9,'Mov_Analizados_Abr 26'!$J$10:$J$862)</f>
        <v>0</v>
      </c>
      <c r="S9" s="340">
        <f>+SUMIF('Mov_Analizados_Abr 26'!$I$10:$I$862,Resumen_Base!E9,'Mov_Analizados_Abr 26'!$K$10:$K$862)</f>
        <v>0</v>
      </c>
      <c r="U9" s="339">
        <f>+SUMIF('Mov_Analizados_May 26'!$I$10:$I$1205,Resumen_Base!E9,'Mov_Analizados_May 26'!$J$10:$J$1205)</f>
        <v>0</v>
      </c>
      <c r="V9" s="340">
        <f>+SUMIF('Mov_Analizados_May 26'!$I$10:$I$1205,Resumen_Base!E9,'Mov_Analizados_May 26'!$K$10:$K$1205)</f>
        <v>0</v>
      </c>
      <c r="X9" s="339">
        <f t="shared" ref="X9:X23" ca="1" si="0">+I9+L9+O9+R9+U9</f>
        <v>0</v>
      </c>
      <c r="Y9" s="340">
        <f t="shared" ref="Y9:Y23" ca="1" si="1">+J9+M9+P9+S9+V9</f>
        <v>0</v>
      </c>
    </row>
    <row r="10" spans="1:27">
      <c r="A10" s="4" t="str">
        <f>+VLOOKUP(C10,'Plan Cuentas Link Armado'!$A$3:$D$105,4,0)</f>
        <v>Transfer to and from the airport (local taxi) - Vehicle Rental</v>
      </c>
      <c r="C10" s="308" t="s">
        <v>138</v>
      </c>
      <c r="D10" s="4" t="s">
        <v>139</v>
      </c>
      <c r="E10" s="152" t="s">
        <v>141</v>
      </c>
      <c r="F10" s="152" t="s">
        <v>77</v>
      </c>
      <c r="G10" s="4" t="str">
        <f>+VLOOKUP(C10,'Plan Cuentas Link Armado'!$A$3:$D$105,4,0)</f>
        <v>Transfer to and from the airport (local taxi) - Vehicle Rental</v>
      </c>
      <c r="I10" s="339">
        <f ca="1">+SUMIF('Mov_Analizados_Sept25 - Dic25'!$H$10:$I$1051,Resumen_Base!E10,'Mov_Analizados_Sept25 - Dic25'!$I$10:$I$1051)</f>
        <v>0</v>
      </c>
      <c r="J10" s="340">
        <f ca="1">+SUMIF('Mov_Analizados_Sept25 - Dic25'!$H$10:$J$1051,Resumen_Base!E10,'Mov_Analizados_Sept25 - Dic25'!$J$10:$J$1051)</f>
        <v>0</v>
      </c>
      <c r="L10" s="339">
        <f>+SUMIF('Mov_Analizados_Ene 26'!$H$10:$H$330,Resumen_Base!E10,'Mov_Analizados_Ene 26'!$I$10:$I$330)</f>
        <v>0</v>
      </c>
      <c r="M10" s="340">
        <f>+SUMIF('Mov_Analizados_Ene 26'!$H$10:$H$330,Resumen_Base!E10,'Mov_Analizados_Ene 26'!$J$10:$J$330)</f>
        <v>0</v>
      </c>
      <c r="O10" s="339">
        <f>+SUMIF('Mov_Analizados_Feb - Mar 26'!$H$10:$H$1378,Resumen_Base!E10,'Mov_Analizados_Feb - Mar 26'!$I$10:$I$1378)</f>
        <v>0</v>
      </c>
      <c r="P10" s="340">
        <f>+SUMIF('Mov_Analizados_Feb - Mar 26'!$H$10:$H$1378,Resumen_Base!E10,'Mov_Analizados_Feb - Mar 26'!$J$10:$J$1378)</f>
        <v>0</v>
      </c>
      <c r="R10" s="339">
        <f>+SUMIF('Mov_Analizados_Abr 26'!$I$10:$I$862,Resumen_Base!E10,'Mov_Analizados_Abr 26'!$J$10:$J$862)</f>
        <v>0</v>
      </c>
      <c r="S10" s="340">
        <f>+SUMIF('Mov_Analizados_Abr 26'!$I$10:$I$862,Resumen_Base!E10,'Mov_Analizados_Abr 26'!$K$10:$K$862)</f>
        <v>0</v>
      </c>
      <c r="U10" s="339">
        <f>+SUMIF('Mov_Analizados_May 26'!$I$10:$I$1205,Resumen_Base!E10,'Mov_Analizados_May 26'!$J$10:$J$1205)</f>
        <v>0</v>
      </c>
      <c r="V10" s="340">
        <f>+SUMIF('Mov_Analizados_May 26'!$I$10:$I$1205,Resumen_Base!E10,'Mov_Analizados_May 26'!$K$10:$K$1205)</f>
        <v>0</v>
      </c>
      <c r="X10" s="339">
        <f t="shared" ca="1" si="0"/>
        <v>0</v>
      </c>
      <c r="Y10" s="340">
        <f t="shared" ca="1" si="1"/>
        <v>0</v>
      </c>
    </row>
    <row r="11" spans="1:27">
      <c r="A11" s="4" t="str">
        <f>+VLOOKUP(C11,'Plan Cuentas Link Armado'!$A$3:$D$105,4,0)</f>
        <v>Electricity - Gas for Boats &amp; Vehicles</v>
      </c>
      <c r="C11" s="308" t="s">
        <v>64</v>
      </c>
      <c r="D11" s="4" t="s">
        <v>65</v>
      </c>
      <c r="E11" s="4" t="s">
        <v>78</v>
      </c>
      <c r="F11" s="152" t="s">
        <v>77</v>
      </c>
      <c r="G11" s="4" t="str">
        <f>+VLOOKUP(C11,'Plan Cuentas Link Armado'!$A$3:$D$105,4,0)</f>
        <v>Electricity - Gas for Boats &amp; Vehicles</v>
      </c>
      <c r="I11" s="339">
        <f ca="1">+SUMIF('Mov_Analizados_Sept25 - Dic25'!$H$10:$I$1051,Resumen_Base!E11,'Mov_Analizados_Sept25 - Dic25'!$I$10:$I$1051)</f>
        <v>0</v>
      </c>
      <c r="J11" s="340">
        <f ca="1">+SUMIF('Mov_Analizados_Sept25 - Dic25'!$H$10:$J$1051,Resumen_Base!E11,'Mov_Analizados_Sept25 - Dic25'!$J$10:$J$1051)</f>
        <v>0</v>
      </c>
      <c r="L11" s="339">
        <f>+SUMIF('Mov_Analizados_Ene 26'!$H$10:$H$330,Resumen_Base!E11,'Mov_Analizados_Ene 26'!$I$10:$I$330)</f>
        <v>0</v>
      </c>
      <c r="M11" s="340">
        <f>+SUMIF('Mov_Analizados_Ene 26'!$H$10:$H$330,Resumen_Base!E11,'Mov_Analizados_Ene 26'!$J$10:$J$330)</f>
        <v>0</v>
      </c>
      <c r="O11" s="339">
        <f>+SUMIF('Mov_Analizados_Feb - Mar 26'!$H$10:$H$1378,Resumen_Base!E11,'Mov_Analizados_Feb - Mar 26'!$I$10:$I$1378)</f>
        <v>0</v>
      </c>
      <c r="P11" s="340">
        <f>+SUMIF('Mov_Analizados_Feb - Mar 26'!$H$10:$H$1378,Resumen_Base!E11,'Mov_Analizados_Feb - Mar 26'!$J$10:$J$1378)</f>
        <v>0</v>
      </c>
      <c r="R11" s="339">
        <f>+SUMIF('Mov_Analizados_Abr 26'!$I$10:$I$862,Resumen_Base!E11,'Mov_Analizados_Abr 26'!$J$10:$J$862)</f>
        <v>0</v>
      </c>
      <c r="S11" s="340">
        <f>+SUMIF('Mov_Analizados_Abr 26'!$I$10:$I$862,Resumen_Base!E11,'Mov_Analizados_Abr 26'!$K$10:$K$862)</f>
        <v>0</v>
      </c>
      <c r="U11" s="339">
        <f>+SUMIF('Mov_Analizados_May 26'!$I$10:$I$1205,Resumen_Base!E11,'Mov_Analizados_May 26'!$J$10:$J$1205)</f>
        <v>0</v>
      </c>
      <c r="V11" s="340">
        <f>+SUMIF('Mov_Analizados_May 26'!$I$10:$I$1205,Resumen_Base!E11,'Mov_Analizados_May 26'!$K$10:$K$1205)</f>
        <v>0</v>
      </c>
      <c r="X11" s="339">
        <f t="shared" ca="1" si="0"/>
        <v>0</v>
      </c>
      <c r="Y11" s="340">
        <f t="shared" ca="1" si="1"/>
        <v>0</v>
      </c>
    </row>
    <row r="12" spans="1:27">
      <c r="A12" s="4" t="str">
        <f>+VLOOKUP(C12,'Plan Cuentas Link Armado'!$A$3:$D$105,4,0)</f>
        <v>Licenses / Permits (Fishing and Shooting)</v>
      </c>
      <c r="C12" s="308" t="s">
        <v>62</v>
      </c>
      <c r="D12" s="4" t="s">
        <v>63</v>
      </c>
      <c r="E12" s="4" t="s">
        <v>122</v>
      </c>
      <c r="F12" s="152" t="s">
        <v>77</v>
      </c>
      <c r="G12" s="4" t="str">
        <f>+VLOOKUP(C12,'Plan Cuentas Link Armado'!$A$3:$D$105,4,0)</f>
        <v>Licenses / Permits (Fishing and Shooting)</v>
      </c>
      <c r="I12" s="339">
        <f ca="1">+SUMIF('Mov_Analizados_Sept25 - Dic25'!$H$10:$I$1051,Resumen_Base!E12,'Mov_Analizados_Sept25 - Dic25'!$I$10:$I$1051)</f>
        <v>0</v>
      </c>
      <c r="J12" s="340">
        <f ca="1">+SUMIF('Mov_Analizados_Sept25 - Dic25'!$H$10:$J$1051,Resumen_Base!E12,'Mov_Analizados_Sept25 - Dic25'!$J$10:$J$1051)</f>
        <v>0</v>
      </c>
      <c r="L12" s="339">
        <f>+SUMIF('Mov_Analizados_Ene 26'!$H$10:$H$330,Resumen_Base!E12,'Mov_Analizados_Ene 26'!$I$10:$I$330)</f>
        <v>0</v>
      </c>
      <c r="M12" s="340">
        <f>+SUMIF('Mov_Analizados_Ene 26'!$H$10:$H$330,Resumen_Base!E12,'Mov_Analizados_Ene 26'!$J$10:$J$330)</f>
        <v>0</v>
      </c>
      <c r="O12" s="339">
        <f>+SUMIF('Mov_Analizados_Feb - Mar 26'!$H$10:$H$1378,Resumen_Base!E12,'Mov_Analizados_Feb - Mar 26'!$I$10:$I$1378)</f>
        <v>0</v>
      </c>
      <c r="P12" s="340">
        <f>+SUMIF('Mov_Analizados_Feb - Mar 26'!$H$10:$H$1378,Resumen_Base!E12,'Mov_Analizados_Feb - Mar 26'!$J$10:$J$1378)</f>
        <v>0</v>
      </c>
      <c r="R12" s="339">
        <f>+SUMIF('Mov_Analizados_Abr 26'!$I$10:$I$862,Resumen_Base!E12,'Mov_Analizados_Abr 26'!$J$10:$J$862)</f>
        <v>0</v>
      </c>
      <c r="S12" s="340">
        <f>+SUMIF('Mov_Analizados_Abr 26'!$I$10:$I$862,Resumen_Base!E12,'Mov_Analizados_Abr 26'!$K$10:$K$862)</f>
        <v>0</v>
      </c>
      <c r="U12" s="339">
        <f>+SUMIF('Mov_Analizados_May 26'!$I$10:$I$1205,Resumen_Base!E12,'Mov_Analizados_May 26'!$J$10:$J$1205)</f>
        <v>0</v>
      </c>
      <c r="V12" s="340">
        <f>+SUMIF('Mov_Analizados_May 26'!$I$10:$I$1205,Resumen_Base!E12,'Mov_Analizados_May 26'!$K$10:$K$1205)</f>
        <v>0</v>
      </c>
      <c r="X12" s="339">
        <f t="shared" ca="1" si="0"/>
        <v>0</v>
      </c>
      <c r="Y12" s="340">
        <f t="shared" ca="1" si="1"/>
        <v>0</v>
      </c>
    </row>
    <row r="13" spans="1:27">
      <c r="A13" s="4" t="str">
        <f>+VLOOKUP(C13,'Plan Cuentas Link Armado'!$A$3:$D$105,4,0)</f>
        <v>Maintenance  Boats / Vehicles</v>
      </c>
      <c r="C13" s="308" t="s">
        <v>66</v>
      </c>
      <c r="D13" s="4" t="s">
        <v>67</v>
      </c>
      <c r="E13" s="4" t="s">
        <v>79</v>
      </c>
      <c r="F13" s="152" t="s">
        <v>77</v>
      </c>
      <c r="G13" s="4" t="str">
        <f>+VLOOKUP(C13,'Plan Cuentas Link Armado'!$A$3:$D$105,4,0)</f>
        <v>Maintenance  Boats / Vehicles</v>
      </c>
      <c r="I13" s="339">
        <f ca="1">+SUMIF('Mov_Analizados_Sept25 - Dic25'!$H$10:$I$1051,Resumen_Base!E13,'Mov_Analizados_Sept25 - Dic25'!$I$10:$I$1051)</f>
        <v>0</v>
      </c>
      <c r="J13" s="340">
        <f ca="1">+SUMIF('Mov_Analizados_Sept25 - Dic25'!$H$10:$J$1051,Resumen_Base!E13,'Mov_Analizados_Sept25 - Dic25'!$J$10:$J$1051)</f>
        <v>0</v>
      </c>
      <c r="L13" s="339">
        <f>+SUMIF('Mov_Analizados_Ene 26'!$H$10:$H$330,Resumen_Base!E13,'Mov_Analizados_Ene 26'!$I$10:$I$330)</f>
        <v>0</v>
      </c>
      <c r="M13" s="340">
        <f>+SUMIF('Mov_Analizados_Ene 26'!$H$10:$H$330,Resumen_Base!E13,'Mov_Analizados_Ene 26'!$J$10:$J$330)</f>
        <v>0</v>
      </c>
      <c r="O13" s="339">
        <f>+SUMIF('Mov_Analizados_Feb - Mar 26'!$H$10:$H$1378,Resumen_Base!E13,'Mov_Analizados_Feb - Mar 26'!$I$10:$I$1378)</f>
        <v>0</v>
      </c>
      <c r="P13" s="340">
        <f>+SUMIF('Mov_Analizados_Feb - Mar 26'!$H$10:$H$1378,Resumen_Base!E13,'Mov_Analizados_Feb - Mar 26'!$J$10:$J$1378)</f>
        <v>0</v>
      </c>
      <c r="R13" s="339">
        <f>+SUMIF('Mov_Analizados_Abr 26'!$I$10:$I$862,Resumen_Base!E13,'Mov_Analizados_Abr 26'!$J$10:$J$862)</f>
        <v>0</v>
      </c>
      <c r="S13" s="340">
        <f>+SUMIF('Mov_Analizados_Abr 26'!$I$10:$I$862,Resumen_Base!E13,'Mov_Analizados_Abr 26'!$K$10:$K$862)</f>
        <v>0</v>
      </c>
      <c r="U13" s="339">
        <f>+SUMIF('Mov_Analizados_May 26'!$I$10:$I$1205,Resumen_Base!E13,'Mov_Analizados_May 26'!$J$10:$J$1205)</f>
        <v>0</v>
      </c>
      <c r="V13" s="340">
        <f>+SUMIF('Mov_Analizados_May 26'!$I$10:$I$1205,Resumen_Base!E13,'Mov_Analizados_May 26'!$K$10:$K$1205)</f>
        <v>0</v>
      </c>
      <c r="X13" s="339">
        <f t="shared" ca="1" si="0"/>
        <v>0</v>
      </c>
      <c r="Y13" s="340">
        <f t="shared" ca="1" si="1"/>
        <v>0</v>
      </c>
    </row>
    <row r="14" spans="1:27">
      <c r="A14" s="4" t="str">
        <f>+VLOOKUP(C14,'Plan Cuentas Link Armado'!$A$3:$D$105,4,0)</f>
        <v>Maintenance  Equipment</v>
      </c>
      <c r="C14" s="308" t="s">
        <v>31</v>
      </c>
      <c r="D14" s="4" t="s">
        <v>30</v>
      </c>
      <c r="E14" s="4" t="s">
        <v>80</v>
      </c>
      <c r="F14" s="152" t="s">
        <v>77</v>
      </c>
      <c r="G14" s="4" t="str">
        <f>+VLOOKUP(C14,'Plan Cuentas Link Armado'!$A$3:$D$105,4,0)</f>
        <v>Maintenance  Equipment</v>
      </c>
      <c r="I14" s="339">
        <f ca="1">+SUMIF('Mov_Analizados_Sept25 - Dic25'!$H$10:$I$1051,Resumen_Base!E14,'Mov_Analizados_Sept25 - Dic25'!$I$10:$I$1051)</f>
        <v>0</v>
      </c>
      <c r="J14" s="340">
        <f ca="1">+SUMIF('Mov_Analizados_Sept25 - Dic25'!$H$10:$J$1051,Resumen_Base!E14,'Mov_Analizados_Sept25 - Dic25'!$J$10:$J$1051)</f>
        <v>0</v>
      </c>
      <c r="L14" s="339">
        <f>+SUMIF('Mov_Analizados_Ene 26'!$H$10:$H$330,Resumen_Base!E14,'Mov_Analizados_Ene 26'!$I$10:$I$330)</f>
        <v>0</v>
      </c>
      <c r="M14" s="340">
        <f>+SUMIF('Mov_Analizados_Ene 26'!$H$10:$H$330,Resumen_Base!E14,'Mov_Analizados_Ene 26'!$J$10:$J$330)</f>
        <v>0</v>
      </c>
      <c r="O14" s="339">
        <f>+SUMIF('Mov_Analizados_Feb - Mar 26'!$H$10:$H$1378,Resumen_Base!E14,'Mov_Analizados_Feb - Mar 26'!$I$10:$I$1378)</f>
        <v>0</v>
      </c>
      <c r="P14" s="340">
        <f>+SUMIF('Mov_Analizados_Feb - Mar 26'!$H$10:$H$1378,Resumen_Base!E14,'Mov_Analizados_Feb - Mar 26'!$J$10:$J$1378)</f>
        <v>0</v>
      </c>
      <c r="R14" s="339">
        <f>+SUMIF('Mov_Analizados_Abr 26'!$I$10:$I$862,Resumen_Base!E14,'Mov_Analizados_Abr 26'!$J$10:$J$862)</f>
        <v>0</v>
      </c>
      <c r="S14" s="340">
        <f>+SUMIF('Mov_Analizados_Abr 26'!$I$10:$I$862,Resumen_Base!E14,'Mov_Analizados_Abr 26'!$K$10:$K$862)</f>
        <v>0</v>
      </c>
      <c r="U14" s="339">
        <f>+SUMIF('Mov_Analizados_May 26'!$I$10:$I$1205,Resumen_Base!E14,'Mov_Analizados_May 26'!$J$10:$J$1205)</f>
        <v>0</v>
      </c>
      <c r="V14" s="340">
        <f>+SUMIF('Mov_Analizados_May 26'!$I$10:$I$1205,Resumen_Base!E14,'Mov_Analizados_May 26'!$K$10:$K$1205)</f>
        <v>0</v>
      </c>
      <c r="X14" s="339">
        <f t="shared" ca="1" si="0"/>
        <v>0</v>
      </c>
      <c r="Y14" s="340">
        <f t="shared" ca="1" si="1"/>
        <v>0</v>
      </c>
    </row>
    <row r="15" spans="1:27">
      <c r="A15" s="4" t="str">
        <f>+VLOOKUP(C15,'Plan Cuentas Link Armado'!$A$3:$D$105,4,0)</f>
        <v>Fixed Asset's Payments (Investments) Armas</v>
      </c>
      <c r="C15" s="347" t="s">
        <v>4</v>
      </c>
      <c r="D15" s="4" t="s">
        <v>3</v>
      </c>
      <c r="E15" s="152" t="s">
        <v>123</v>
      </c>
      <c r="F15" s="152" t="s">
        <v>77</v>
      </c>
      <c r="G15" s="4" t="str">
        <f>+VLOOKUP(C15,'Plan Cuentas Link Armado'!$A$3:$D$105,4,0)</f>
        <v>Fixed Asset's Payments (Investments) Armas</v>
      </c>
      <c r="I15" s="339">
        <f ca="1">+SUMIF('Mov_Analizados_Sept25 - Dic25'!$H$10:$I$1051,Resumen_Base!E15,'Mov_Analizados_Sept25 - Dic25'!$I$10:$I$1051)</f>
        <v>0</v>
      </c>
      <c r="J15" s="340">
        <f ca="1">+SUMIF('Mov_Analizados_Sept25 - Dic25'!$H$10:$J$1051,Resumen_Base!E15,'Mov_Analizados_Sept25 - Dic25'!$J$10:$J$1051)</f>
        <v>0</v>
      </c>
      <c r="L15" s="339">
        <f>+SUMIF('Mov_Analizados_Ene 26'!$H$10:$H$330,Resumen_Base!E15,'Mov_Analizados_Ene 26'!$I$10:$I$330)</f>
        <v>0</v>
      </c>
      <c r="M15" s="340">
        <f>+SUMIF('Mov_Analizados_Ene 26'!$H$10:$H$330,Resumen_Base!E15,'Mov_Analizados_Ene 26'!$J$10:$J$330)</f>
        <v>0</v>
      </c>
      <c r="O15" s="339">
        <f>+SUMIF('Mov_Analizados_Feb - Mar 26'!$H$10:$H$1378,Resumen_Base!E15,'Mov_Analizados_Feb - Mar 26'!$I$10:$I$1378)</f>
        <v>0</v>
      </c>
      <c r="P15" s="340">
        <f>+SUMIF('Mov_Analizados_Feb - Mar 26'!$H$10:$H$1378,Resumen_Base!E15,'Mov_Analizados_Feb - Mar 26'!$J$10:$J$1378)</f>
        <v>0</v>
      </c>
      <c r="R15" s="339">
        <f>+SUMIF('Mov_Analizados_Abr 26'!$I$10:$I$862,Resumen_Base!E15,'Mov_Analizados_Abr 26'!$J$10:$J$862)</f>
        <v>0</v>
      </c>
      <c r="S15" s="340">
        <f>+SUMIF('Mov_Analizados_Abr 26'!$I$10:$I$862,Resumen_Base!E15,'Mov_Analizados_Abr 26'!$K$10:$K$862)</f>
        <v>0</v>
      </c>
      <c r="U15" s="339">
        <f>+SUMIF('Mov_Analizados_May 26'!$I$10:$I$1205,Resumen_Base!E15,'Mov_Analizados_May 26'!$J$10:$J$1205)</f>
        <v>0</v>
      </c>
      <c r="V15" s="340">
        <f>+SUMIF('Mov_Analizados_May 26'!$I$10:$I$1205,Resumen_Base!E15,'Mov_Analizados_May 26'!$K$10:$K$1205)</f>
        <v>0</v>
      </c>
      <c r="X15" s="339">
        <f t="shared" ca="1" si="0"/>
        <v>0</v>
      </c>
      <c r="Y15" s="340">
        <f t="shared" ca="1" si="1"/>
        <v>0</v>
      </c>
    </row>
    <row r="16" spans="1:27">
      <c r="A16" s="4" t="str">
        <f>+VLOOKUP(C16,'Plan Cuentas Link Armado'!$A$3:$D$105,4,0)</f>
        <v>Work uniforms for personnel (employees)</v>
      </c>
      <c r="C16" s="308" t="s">
        <v>60</v>
      </c>
      <c r="D16" s="4" t="s">
        <v>61</v>
      </c>
      <c r="E16" s="152" t="s">
        <v>136</v>
      </c>
      <c r="F16" s="152" t="s">
        <v>77</v>
      </c>
      <c r="G16" s="4" t="str">
        <f>+VLOOKUP(C16,'Plan Cuentas Link Armado'!$A$3:$D$105,4,0)</f>
        <v>Work uniforms for personnel (employees)</v>
      </c>
      <c r="I16" s="339">
        <f ca="1">+SUMIF('Mov_Analizados_Sept25 - Dic25'!$H$10:$I$1051,Resumen_Base!E16,'Mov_Analizados_Sept25 - Dic25'!$I$10:$I$1051)</f>
        <v>0</v>
      </c>
      <c r="J16" s="340">
        <f ca="1">+SUMIF('Mov_Analizados_Sept25 - Dic25'!$H$10:$J$1051,Resumen_Base!E16,'Mov_Analizados_Sept25 - Dic25'!$J$10:$J$1051)</f>
        <v>0</v>
      </c>
      <c r="L16" s="339">
        <f>+SUMIF('Mov_Analizados_Ene 26'!$H$10:$H$330,Resumen_Base!E16,'Mov_Analizados_Ene 26'!$I$10:$I$330)</f>
        <v>0</v>
      </c>
      <c r="M16" s="340">
        <f>+SUMIF('Mov_Analizados_Ene 26'!$H$10:$H$330,Resumen_Base!E16,'Mov_Analizados_Ene 26'!$J$10:$J$330)</f>
        <v>0</v>
      </c>
      <c r="O16" s="339">
        <f>+SUMIF('Mov_Analizados_Feb - Mar 26'!$H$10:$H$1378,Resumen_Base!E16,'Mov_Analizados_Feb - Mar 26'!$I$10:$I$1378)</f>
        <v>0</v>
      </c>
      <c r="P16" s="340">
        <f>+SUMIF('Mov_Analizados_Feb - Mar 26'!$H$10:$H$1378,Resumen_Base!E16,'Mov_Analizados_Feb - Mar 26'!$J$10:$J$1378)</f>
        <v>0</v>
      </c>
      <c r="R16" s="339">
        <f>+SUMIF('Mov_Analizados_Abr 26'!$I$10:$I$862,Resumen_Base!E16,'Mov_Analizados_Abr 26'!$J$10:$J$862)</f>
        <v>0</v>
      </c>
      <c r="S16" s="340">
        <f>+SUMIF('Mov_Analizados_Abr 26'!$I$10:$I$862,Resumen_Base!E16,'Mov_Analizados_Abr 26'!$K$10:$K$862)</f>
        <v>0</v>
      </c>
      <c r="U16" s="339">
        <f>+SUMIF('Mov_Analizados_May 26'!$I$10:$I$1205,Resumen_Base!E16,'Mov_Analizados_May 26'!$J$10:$J$1205)</f>
        <v>0</v>
      </c>
      <c r="V16" s="340">
        <f>+SUMIF('Mov_Analizados_May 26'!$I$10:$I$1205,Resumen_Base!E16,'Mov_Analizados_May 26'!$K$10:$K$1205)</f>
        <v>0</v>
      </c>
      <c r="X16" s="339">
        <f t="shared" ca="1" si="0"/>
        <v>0</v>
      </c>
      <c r="Y16" s="340">
        <f t="shared" ca="1" si="1"/>
        <v>0</v>
      </c>
    </row>
    <row r="17" spans="1:27">
      <c r="A17" s="4" t="str">
        <f>+VLOOKUP(C17,'Plan Cuentas Link Armado'!$A$3:$D$105,4,0)</f>
        <v>Electricity - Gas for Boats &amp; Vehicles</v>
      </c>
      <c r="C17" s="308" t="s">
        <v>163</v>
      </c>
      <c r="D17" s="4" t="s">
        <v>164</v>
      </c>
      <c r="E17" s="152" t="s">
        <v>165</v>
      </c>
      <c r="F17" s="152" t="s">
        <v>77</v>
      </c>
      <c r="G17" s="4" t="str">
        <f>+VLOOKUP(C17,'Plan Cuentas Link Armado'!$A$3:$D$105,4,0)</f>
        <v>Electricity - Gas for Boats &amp; Vehicles</v>
      </c>
      <c r="I17" s="339">
        <f ca="1">+SUMIF('Mov_Analizados_Sept25 - Dic25'!$H$10:$I$1051,Resumen_Base!E17,'Mov_Analizados_Sept25 - Dic25'!$I$10:$I$1051)</f>
        <v>0</v>
      </c>
      <c r="J17" s="340">
        <f ca="1">+SUMIF('Mov_Analizados_Sept25 - Dic25'!$H$10:$J$1051,Resumen_Base!E17,'Mov_Analizados_Sept25 - Dic25'!$J$10:$J$1051)</f>
        <v>0</v>
      </c>
      <c r="L17" s="339">
        <f>+SUMIF('Mov_Analizados_Ene 26'!$H$10:$H$330,Resumen_Base!E17,'Mov_Analizados_Ene 26'!$I$10:$I$330)</f>
        <v>0</v>
      </c>
      <c r="M17" s="340">
        <f>+SUMIF('Mov_Analizados_Ene 26'!$H$10:$H$330,Resumen_Base!E17,'Mov_Analizados_Ene 26'!$J$10:$J$330)</f>
        <v>0</v>
      </c>
      <c r="O17" s="339">
        <f>+SUMIF('Mov_Analizados_Feb - Mar 26'!$H$10:$H$1378,Resumen_Base!E17,'Mov_Analizados_Feb - Mar 26'!$I$10:$I$1378)</f>
        <v>0</v>
      </c>
      <c r="P17" s="340">
        <f>+SUMIF('Mov_Analizados_Feb - Mar 26'!$H$10:$H$1378,Resumen_Base!E17,'Mov_Analizados_Feb - Mar 26'!$J$10:$J$1378)</f>
        <v>0</v>
      </c>
      <c r="R17" s="339">
        <f>+SUMIF('Mov_Analizados_Abr 26'!$I$10:$I$862,Resumen_Base!E17,'Mov_Analizados_Abr 26'!$J$10:$J$862)</f>
        <v>0</v>
      </c>
      <c r="S17" s="340">
        <f>+SUMIF('Mov_Analizados_Abr 26'!$I$10:$I$862,Resumen_Base!E17,'Mov_Analizados_Abr 26'!$K$10:$K$862)</f>
        <v>0</v>
      </c>
      <c r="U17" s="339">
        <f>+SUMIF('Mov_Analizados_May 26'!$I$10:$I$1205,Resumen_Base!E17,'Mov_Analizados_May 26'!$J$10:$J$1205)</f>
        <v>0</v>
      </c>
      <c r="V17" s="340">
        <f>+SUMIF('Mov_Analizados_May 26'!$I$10:$I$1205,Resumen_Base!E17,'Mov_Analizados_May 26'!$K$10:$K$1205)</f>
        <v>0</v>
      </c>
      <c r="X17" s="339">
        <f t="shared" ca="1" si="0"/>
        <v>0</v>
      </c>
      <c r="Y17" s="340">
        <f t="shared" ca="1" si="1"/>
        <v>0</v>
      </c>
    </row>
    <row r="18" spans="1:27">
      <c r="A18" s="4" t="str">
        <f>+VLOOKUP(C18,'Plan Cuentas Link Armado'!$A$3:$D$105,4,0)</f>
        <v>Fixed Asset's Sales</v>
      </c>
      <c r="C18" s="308" t="s">
        <v>26</v>
      </c>
      <c r="D18" s="4" t="s">
        <v>25</v>
      </c>
      <c r="E18" s="152" t="s">
        <v>211</v>
      </c>
      <c r="F18" s="152" t="s">
        <v>77</v>
      </c>
      <c r="G18" s="4" t="str">
        <f>+VLOOKUP(C18,'Plan Cuentas Link Armado'!$A$3:$D$105,4,0)</f>
        <v>Fixed Asset's Sales</v>
      </c>
      <c r="I18" s="339">
        <f ca="1">+SUMIF('Mov_Analizados_Sept25 - Dic25'!$H$10:$I$1051,Resumen_Base!E18,'Mov_Analizados_Sept25 - Dic25'!$I$10:$I$1051)</f>
        <v>0</v>
      </c>
      <c r="J18" s="340">
        <f ca="1">+SUMIF('Mov_Analizados_Sept25 - Dic25'!$H$10:$J$1051,Resumen_Base!E18,'Mov_Analizados_Sept25 - Dic25'!$J$10:$J$1051)</f>
        <v>0</v>
      </c>
      <c r="L18" s="339">
        <f>+SUMIF('Mov_Analizados_Ene 26'!$H$10:$H$330,Resumen_Base!E18,'Mov_Analizados_Ene 26'!$I$10:$I$330)</f>
        <v>0</v>
      </c>
      <c r="M18" s="340">
        <f>+SUMIF('Mov_Analizados_Ene 26'!$H$10:$H$330,Resumen_Base!E18,'Mov_Analizados_Ene 26'!$J$10:$J$330)</f>
        <v>0</v>
      </c>
      <c r="O18" s="339">
        <f>+SUMIF('Mov_Analizados_Feb - Mar 26'!$H$10:$H$1378,Resumen_Base!E18,'Mov_Analizados_Feb - Mar 26'!$I$10:$I$1378)</f>
        <v>0</v>
      </c>
      <c r="P18" s="340">
        <f>+SUMIF('Mov_Analizados_Feb - Mar 26'!$H$10:$H$1378,Resumen_Base!E18,'Mov_Analizados_Feb - Mar 26'!$J$10:$J$1378)</f>
        <v>0</v>
      </c>
      <c r="R18" s="339">
        <f>+SUMIF('Mov_Analizados_Abr 26'!$I$10:$I$862,Resumen_Base!E18,'Mov_Analizados_Abr 26'!$J$10:$J$862)</f>
        <v>0</v>
      </c>
      <c r="S18" s="340">
        <f>+SUMIF('Mov_Analizados_Abr 26'!$I$10:$I$862,Resumen_Base!E18,'Mov_Analizados_Abr 26'!$K$10:$K$862)</f>
        <v>0</v>
      </c>
      <c r="U18" s="339">
        <f>+SUMIF('Mov_Analizados_May 26'!$I$10:$I$1205,Resumen_Base!E18,'Mov_Analizados_May 26'!$J$10:$J$1205)</f>
        <v>0</v>
      </c>
      <c r="V18" s="340">
        <f>+SUMIF('Mov_Analizados_May 26'!$I$10:$I$1205,Resumen_Base!E18,'Mov_Analizados_May 26'!$K$10:$K$1205)</f>
        <v>0</v>
      </c>
      <c r="X18" s="339">
        <f t="shared" ca="1" si="0"/>
        <v>0</v>
      </c>
      <c r="Y18" s="340">
        <f t="shared" ca="1" si="1"/>
        <v>0</v>
      </c>
    </row>
    <row r="19" spans="1:27">
      <c r="A19" s="4" t="str">
        <f>+VLOOKUP(C19,'Plan Cuentas Link Armado'!$A$3:$D$105,4,0)</f>
        <v>Maintenance Lodge</v>
      </c>
      <c r="C19" s="308" t="s">
        <v>236</v>
      </c>
      <c r="D19" s="4" t="s">
        <v>237</v>
      </c>
      <c r="E19" s="4" t="s">
        <v>240</v>
      </c>
      <c r="F19" s="152" t="s">
        <v>77</v>
      </c>
      <c r="G19" s="4" t="str">
        <f>+VLOOKUP(C19,'Plan Cuentas Link Armado'!$A$3:$D$105,4,0)</f>
        <v>Maintenance Lodge</v>
      </c>
      <c r="I19" s="339">
        <f ca="1">+SUMIF('Mov_Analizados_Sept25 - Dic25'!$H$10:$I$1051,Resumen_Base!E19,'Mov_Analizados_Sept25 - Dic25'!$I$10:$I$1051)</f>
        <v>0</v>
      </c>
      <c r="J19" s="340">
        <f ca="1">+SUMIF('Mov_Analizados_Sept25 - Dic25'!$H$10:$J$1051,Resumen_Base!E19,'Mov_Analizados_Sept25 - Dic25'!$J$10:$J$1051)</f>
        <v>0</v>
      </c>
      <c r="L19" s="339">
        <f>+SUMIF('Mov_Analizados_Ene 26'!$H$10:$H$330,Resumen_Base!E19,'Mov_Analizados_Ene 26'!$I$10:$I$330)</f>
        <v>0</v>
      </c>
      <c r="M19" s="340">
        <f>+SUMIF('Mov_Analizados_Ene 26'!$H$10:$H$330,Resumen_Base!E19,'Mov_Analizados_Ene 26'!$J$10:$J$330)</f>
        <v>0</v>
      </c>
      <c r="O19" s="339">
        <f>+SUMIF('Mov_Analizados_Feb - Mar 26'!$H$10:$H$1378,Resumen_Base!E19,'Mov_Analizados_Feb - Mar 26'!$I$10:$I$1378)</f>
        <v>0</v>
      </c>
      <c r="P19" s="340">
        <f>+SUMIF('Mov_Analizados_Feb - Mar 26'!$H$10:$H$1378,Resumen_Base!E19,'Mov_Analizados_Feb - Mar 26'!$J$10:$J$1378)</f>
        <v>0</v>
      </c>
      <c r="R19" s="339">
        <f>+SUMIF('Mov_Analizados_Abr 26'!$I$10:$I$862,Resumen_Base!E19,'Mov_Analizados_Abr 26'!$J$10:$J$862)</f>
        <v>0</v>
      </c>
      <c r="S19" s="340">
        <f>+SUMIF('Mov_Analizados_Abr 26'!$I$10:$I$862,Resumen_Base!E19,'Mov_Analizados_Abr 26'!$K$10:$K$862)</f>
        <v>0</v>
      </c>
      <c r="U19" s="339">
        <f>+SUMIF('Mov_Analizados_May 26'!$I$10:$I$1205,Resumen_Base!E19,'Mov_Analizados_May 26'!$J$10:$J$1205)</f>
        <v>0</v>
      </c>
      <c r="V19" s="340">
        <f>+SUMIF('Mov_Analizados_May 26'!$I$10:$I$1205,Resumen_Base!E19,'Mov_Analizados_May 26'!$K$10:$K$1205)</f>
        <v>0</v>
      </c>
      <c r="X19" s="339">
        <f t="shared" ca="1" si="0"/>
        <v>0</v>
      </c>
      <c r="Y19" s="340">
        <f t="shared" ca="1" si="1"/>
        <v>0</v>
      </c>
    </row>
    <row r="20" spans="1:27">
      <c r="A20" s="4" t="str">
        <f>+VLOOKUP(C20,'Plan Cuentas Link Armado'!$A$3:$D$105,4,0)</f>
        <v>Baiting/Maize:</v>
      </c>
      <c r="C20" s="666" t="s">
        <v>265</v>
      </c>
      <c r="D20" s="667" t="s">
        <v>266</v>
      </c>
      <c r="E20" s="152" t="s">
        <v>268</v>
      </c>
      <c r="F20" s="152" t="s">
        <v>77</v>
      </c>
      <c r="G20" s="4" t="str">
        <f>+VLOOKUP(C20,'Plan Cuentas Link Armado'!$A$3:$D$105,4,0)</f>
        <v>Baiting/Maize:</v>
      </c>
      <c r="I20" s="339">
        <f ca="1">+SUMIF('Mov_Analizados_Sept25 - Dic25'!$H$10:$I$1051,Resumen_Base!E20,'Mov_Analizados_Sept25 - Dic25'!$I$10:$I$1051)</f>
        <v>0</v>
      </c>
      <c r="J20" s="340">
        <f ca="1">+SUMIF('Mov_Analizados_Sept25 - Dic25'!$H$10:$J$1051,Resumen_Base!E20,'Mov_Analizados_Sept25 - Dic25'!$J$10:$J$1051)</f>
        <v>0</v>
      </c>
      <c r="L20" s="339">
        <f>+SUMIF('Mov_Analizados_Ene 26'!$H$10:$H$330,Resumen_Base!E20,'Mov_Analizados_Ene 26'!$I$10:$I$330)</f>
        <v>0</v>
      </c>
      <c r="M20" s="340">
        <f>+SUMIF('Mov_Analizados_Ene 26'!$H$10:$H$330,Resumen_Base!E20,'Mov_Analizados_Ene 26'!$J$10:$J$330)</f>
        <v>0</v>
      </c>
      <c r="O20" s="339">
        <f>+SUMIF('Mov_Analizados_Feb - Mar 26'!$H$10:$H$1378,Resumen_Base!E20,'Mov_Analizados_Feb - Mar 26'!$I$10:$I$1378)</f>
        <v>0</v>
      </c>
      <c r="P20" s="340">
        <f>+SUMIF('Mov_Analizados_Feb - Mar 26'!$H$10:$H$1378,Resumen_Base!E20,'Mov_Analizados_Feb - Mar 26'!$J$10:$J$1378)</f>
        <v>0</v>
      </c>
      <c r="R20" s="339">
        <f>+SUMIF('Mov_Analizados_Abr 26'!$I$10:$I$862,Resumen_Base!E20,'Mov_Analizados_Abr 26'!$J$10:$J$862)</f>
        <v>0</v>
      </c>
      <c r="S20" s="340">
        <f>+SUMIF('Mov_Analizados_Abr 26'!$I$10:$I$862,Resumen_Base!E20,'Mov_Analizados_Abr 26'!$K$10:$K$862)</f>
        <v>0</v>
      </c>
      <c r="U20" s="339">
        <f>+SUMIF('Mov_Analizados_May 26'!$I$10:$I$1205,Resumen_Base!E20,'Mov_Analizados_May 26'!$J$10:$J$1205)</f>
        <v>0</v>
      </c>
      <c r="V20" s="340">
        <f>+SUMIF('Mov_Analizados_May 26'!$I$10:$I$1205,Resumen_Base!E20,'Mov_Analizados_May 26'!$K$10:$K$1205)</f>
        <v>0</v>
      </c>
      <c r="X20" s="339">
        <f t="shared" ca="1" si="0"/>
        <v>0</v>
      </c>
      <c r="Y20" s="340">
        <f t="shared" ca="1" si="1"/>
        <v>0</v>
      </c>
    </row>
    <row r="21" spans="1:27">
      <c r="A21" s="4" t="str">
        <f>+VLOOKUP(C21,'Plan Cuentas Link Armado'!$A$3:$D$105,4,0)</f>
        <v>Baiting/Maize:</v>
      </c>
      <c r="C21" s="308" t="s">
        <v>238</v>
      </c>
      <c r="D21" s="4" t="s">
        <v>239</v>
      </c>
      <c r="E21" s="4" t="s">
        <v>241</v>
      </c>
      <c r="F21" s="152" t="s">
        <v>77</v>
      </c>
      <c r="G21" s="4" t="str">
        <f>+VLOOKUP(C21,'Plan Cuentas Link Armado'!$A$3:$D$105,4,0)</f>
        <v>Baiting/Maize:</v>
      </c>
      <c r="I21" s="339">
        <f ca="1">+SUMIF('Mov_Analizados_Sept25 - Dic25'!$H$10:$I$1051,Resumen_Base!E21,'Mov_Analizados_Sept25 - Dic25'!$I$10:$I$1051)</f>
        <v>0</v>
      </c>
      <c r="J21" s="340">
        <f ca="1">+SUMIF('Mov_Analizados_Sept25 - Dic25'!$H$10:$J$1051,Resumen_Base!E21,'Mov_Analizados_Sept25 - Dic25'!$J$10:$J$1051)</f>
        <v>0</v>
      </c>
      <c r="L21" s="339">
        <f>+SUMIF('Mov_Analizados_Ene 26'!$H$10:$H$330,Resumen_Base!E21,'Mov_Analizados_Ene 26'!$I$10:$I$330)</f>
        <v>0</v>
      </c>
      <c r="M21" s="340">
        <f>+SUMIF('Mov_Analizados_Ene 26'!$H$10:$H$330,Resumen_Base!E21,'Mov_Analizados_Ene 26'!$J$10:$J$330)</f>
        <v>0</v>
      </c>
      <c r="O21" s="339">
        <f>+SUMIF('Mov_Analizados_Feb - Mar 26'!$H$10:$H$1378,Resumen_Base!E21,'Mov_Analizados_Feb - Mar 26'!$I$10:$I$1378)</f>
        <v>0</v>
      </c>
      <c r="P21" s="340">
        <f>+SUMIF('Mov_Analizados_Feb - Mar 26'!$H$10:$H$1378,Resumen_Base!E21,'Mov_Analizados_Feb - Mar 26'!$J$10:$J$1378)</f>
        <v>0</v>
      </c>
      <c r="R21" s="339">
        <f>+SUMIF('Mov_Analizados_Abr 26'!$I$10:$I$862,Resumen_Base!E21,'Mov_Analizados_Abr 26'!$J$10:$J$862)</f>
        <v>0</v>
      </c>
      <c r="S21" s="340">
        <f>+SUMIF('Mov_Analizados_Abr 26'!$I$10:$I$862,Resumen_Base!E21,'Mov_Analizados_Abr 26'!$K$10:$K$862)</f>
        <v>0</v>
      </c>
      <c r="U21" s="339">
        <f>+SUMIF('Mov_Analizados_May 26'!$I$10:$I$1205,Resumen_Base!E21,'Mov_Analizados_May 26'!$J$10:$J$1205)</f>
        <v>0</v>
      </c>
      <c r="V21" s="340">
        <f>+SUMIF('Mov_Analizados_May 26'!$I$10:$I$1205,Resumen_Base!E21,'Mov_Analizados_May 26'!$K$10:$K$1205)</f>
        <v>0</v>
      </c>
      <c r="X21" s="339">
        <f t="shared" ca="1" si="0"/>
        <v>0</v>
      </c>
      <c r="Y21" s="340">
        <f t="shared" ca="1" si="1"/>
        <v>0</v>
      </c>
    </row>
    <row r="22" spans="1:27">
      <c r="A22" s="4" t="str">
        <f>+VLOOKUP(C22,'Plan Cuentas Link Armado'!$A$3:$D$105,4,0)</f>
        <v>Vehicles Taxes</v>
      </c>
      <c r="C22" s="4" t="s">
        <v>318</v>
      </c>
      <c r="D22" s="4" t="s">
        <v>319</v>
      </c>
      <c r="E22" s="4" t="s">
        <v>525</v>
      </c>
      <c r="F22" s="152" t="s">
        <v>77</v>
      </c>
      <c r="G22" s="4" t="str">
        <f>+VLOOKUP(C22,'Plan Cuentas Link Armado'!$A$3:$D$105,4,0)</f>
        <v>Vehicles Taxes</v>
      </c>
      <c r="I22" s="339">
        <f ca="1">+SUMIF('Mov_Analizados_Sept25 - Dic25'!$H$10:$I$1051,Resumen_Base!E22,'Mov_Analizados_Sept25 - Dic25'!$I$10:$I$1051)</f>
        <v>0</v>
      </c>
      <c r="J22" s="340">
        <f ca="1">+SUMIF('Mov_Analizados_Sept25 - Dic25'!$H$10:$J$1051,Resumen_Base!E22,'Mov_Analizados_Sept25 - Dic25'!$J$10:$J$1051)</f>
        <v>0</v>
      </c>
      <c r="L22" s="339">
        <f>+SUMIF('Mov_Analizados_Ene 26'!$H$10:$H$330,Resumen_Base!E22,'Mov_Analizados_Ene 26'!$I$10:$I$330)</f>
        <v>0</v>
      </c>
      <c r="M22" s="340">
        <f>+SUMIF('Mov_Analizados_Ene 26'!$H$10:$H$330,Resumen_Base!E22,'Mov_Analizados_Ene 26'!$J$10:$J$330)</f>
        <v>0</v>
      </c>
      <c r="O22" s="339">
        <f>+SUMIF('Mov_Analizados_Feb - Mar 26'!$H$10:$H$1378,Resumen_Base!E22,'Mov_Analizados_Feb - Mar 26'!$I$10:$I$1378)</f>
        <v>0</v>
      </c>
      <c r="P22" s="340">
        <f>+SUMIF('Mov_Analizados_Feb - Mar 26'!$H$10:$H$1378,Resumen_Base!E22,'Mov_Analizados_Feb - Mar 26'!$J$10:$J$1378)</f>
        <v>0</v>
      </c>
      <c r="R22" s="339">
        <f>+SUMIF('Mov_Analizados_Abr 26'!$I$10:$I$862,Resumen_Base!E22,'Mov_Analizados_Abr 26'!$J$10:$J$862)</f>
        <v>0</v>
      </c>
      <c r="S22" s="340">
        <f>+SUMIF('Mov_Analizados_Abr 26'!$I$10:$I$862,Resumen_Base!E22,'Mov_Analizados_Abr 26'!$K$10:$K$862)</f>
        <v>0</v>
      </c>
      <c r="U22" s="339">
        <f>+SUMIF('Mov_Analizados_May 26'!$I$10:$I$1205,Resumen_Base!E22,'Mov_Analizados_May 26'!$J$10:$J$1205)</f>
        <v>0</v>
      </c>
      <c r="V22" s="340">
        <f>+SUMIF('Mov_Analizados_May 26'!$I$10:$I$1205,Resumen_Base!E22,'Mov_Analizados_May 26'!$K$10:$K$1205)</f>
        <v>0</v>
      </c>
      <c r="X22" s="339">
        <f t="shared" ca="1" si="0"/>
        <v>0</v>
      </c>
      <c r="Y22" s="340">
        <f t="shared" ca="1" si="1"/>
        <v>0</v>
      </c>
    </row>
    <row r="23" spans="1:27">
      <c r="A23" s="4" t="str">
        <f>+VLOOKUP(C23,'Plan Cuentas Link Armado'!$A$3:$D$105,4,0)</f>
        <v>Vehicles Taxes</v>
      </c>
      <c r="C23" s="308" t="s">
        <v>29</v>
      </c>
      <c r="D23" s="4" t="s">
        <v>85</v>
      </c>
      <c r="E23" s="4" t="s">
        <v>526</v>
      </c>
      <c r="F23" s="152" t="s">
        <v>77</v>
      </c>
      <c r="G23" s="4" t="str">
        <f>+VLOOKUP(C23,'Plan Cuentas Link Armado'!$A$3:$D$105,4,0)</f>
        <v>Vehicles Taxes</v>
      </c>
      <c r="I23" s="339">
        <f ca="1">+SUMIF('Mov_Analizados_Sept25 - Dic25'!$H$10:$I$1051,Resumen_Base!E23,'Mov_Analizados_Sept25 - Dic25'!$I$10:$I$1051)</f>
        <v>0</v>
      </c>
      <c r="J23" s="340">
        <f ca="1">+SUMIF('Mov_Analizados_Sept25 - Dic25'!$H$10:$J$1051,Resumen_Base!E23,'Mov_Analizados_Sept25 - Dic25'!$J$10:$J$1051)</f>
        <v>0</v>
      </c>
      <c r="L23" s="339">
        <f>+SUMIF('Mov_Analizados_Ene 26'!$H$10:$H$330,Resumen_Base!E23,'Mov_Analizados_Ene 26'!$I$10:$I$330)</f>
        <v>0</v>
      </c>
      <c r="M23" s="340">
        <f>+SUMIF('Mov_Analizados_Ene 26'!$H$10:$H$330,Resumen_Base!E23,'Mov_Analizados_Ene 26'!$J$10:$J$330)</f>
        <v>0</v>
      </c>
      <c r="O23" s="339">
        <f>+SUMIF('Mov_Analizados_Feb - Mar 26'!$H$10:$H$1378,Resumen_Base!E23,'Mov_Analizados_Feb - Mar 26'!$I$10:$I$1378)</f>
        <v>0</v>
      </c>
      <c r="P23" s="340">
        <f>+SUMIF('Mov_Analizados_Feb - Mar 26'!$H$10:$H$1378,Resumen_Base!E23,'Mov_Analizados_Feb - Mar 26'!$J$10:$J$1378)</f>
        <v>0</v>
      </c>
      <c r="R23" s="339">
        <f>+SUMIF('Mov_Analizados_Abr 26'!$I$10:$I$862,Resumen_Base!E23,'Mov_Analizados_Abr 26'!$J$10:$J$862)</f>
        <v>0</v>
      </c>
      <c r="S23" s="340">
        <f>+SUMIF('Mov_Analizados_Abr 26'!$I$10:$I$862,Resumen_Base!E23,'Mov_Analizados_Abr 26'!$K$10:$K$862)</f>
        <v>0</v>
      </c>
      <c r="U23" s="339">
        <f>+SUMIF('Mov_Analizados_May 26'!$I$10:$I$1205,Resumen_Base!E23,'Mov_Analizados_May 26'!$J$10:$J$1205)</f>
        <v>0</v>
      </c>
      <c r="V23" s="340">
        <f>+SUMIF('Mov_Analizados_May 26'!$I$10:$I$1205,Resumen_Base!E23,'Mov_Analizados_May 26'!$K$10:$K$1205)</f>
        <v>0</v>
      </c>
      <c r="X23" s="339">
        <f t="shared" ca="1" si="0"/>
        <v>0</v>
      </c>
      <c r="Y23" s="340">
        <f t="shared" ca="1" si="1"/>
        <v>0</v>
      </c>
    </row>
    <row r="24" spans="1:27">
      <c r="A24" s="308"/>
      <c r="B24" s="308"/>
      <c r="J24" s="340"/>
      <c r="M24" s="340"/>
      <c r="P24" s="340"/>
      <c r="S24" s="340"/>
      <c r="V24" s="340"/>
      <c r="Y24" s="340"/>
    </row>
    <row r="25" spans="1:27" ht="13" thickBot="1">
      <c r="A25" s="308"/>
      <c r="B25" s="308"/>
      <c r="J25" s="340"/>
      <c r="M25" s="340"/>
      <c r="P25" s="340"/>
      <c r="S25" s="340"/>
      <c r="V25" s="340"/>
      <c r="Y25" s="340"/>
    </row>
    <row r="26" spans="1:27" s="345" customFormat="1" ht="13" thickBot="1">
      <c r="A26" s="616" t="s">
        <v>84</v>
      </c>
      <c r="B26" s="616"/>
      <c r="C26" s="616" t="s">
        <v>84</v>
      </c>
      <c r="D26" s="616" t="s">
        <v>84</v>
      </c>
      <c r="E26" s="616" t="s">
        <v>84</v>
      </c>
      <c r="F26" s="616" t="s">
        <v>84</v>
      </c>
      <c r="G26" s="616" t="s">
        <v>84</v>
      </c>
      <c r="H26" s="616" t="s">
        <v>84</v>
      </c>
      <c r="I26" s="616" t="s">
        <v>84</v>
      </c>
      <c r="J26" s="616" t="s">
        <v>84</v>
      </c>
      <c r="K26" s="616" t="s">
        <v>84</v>
      </c>
      <c r="L26" s="616" t="s">
        <v>84</v>
      </c>
      <c r="M26" s="616" t="s">
        <v>84</v>
      </c>
      <c r="N26" s="616" t="s">
        <v>84</v>
      </c>
      <c r="O26" s="616" t="s">
        <v>84</v>
      </c>
      <c r="P26" s="616" t="s">
        <v>84</v>
      </c>
      <c r="Q26" s="616" t="s">
        <v>84</v>
      </c>
      <c r="R26" s="616" t="s">
        <v>84</v>
      </c>
      <c r="S26" s="616" t="s">
        <v>84</v>
      </c>
      <c r="T26" s="616" t="s">
        <v>84</v>
      </c>
      <c r="U26" s="616" t="s">
        <v>84</v>
      </c>
      <c r="V26" s="616" t="s">
        <v>84</v>
      </c>
      <c r="W26" s="616" t="s">
        <v>84</v>
      </c>
      <c r="X26" s="616" t="s">
        <v>84</v>
      </c>
      <c r="Y26" s="616" t="s">
        <v>84</v>
      </c>
    </row>
    <row r="27" spans="1:27" ht="13.5" thickBot="1">
      <c r="C27" s="617" t="s">
        <v>670</v>
      </c>
      <c r="D27" s="133"/>
      <c r="E27" s="133"/>
      <c r="J27" s="340"/>
      <c r="M27" s="340"/>
      <c r="P27" s="340"/>
      <c r="S27" s="340"/>
      <c r="V27" s="340"/>
      <c r="Y27" s="340"/>
    </row>
    <row r="28" spans="1:27" ht="13.5" thickBot="1">
      <c r="C28" s="342" t="s">
        <v>24</v>
      </c>
      <c r="D28" s="343" t="s">
        <v>23</v>
      </c>
      <c r="E28" s="344" t="s">
        <v>82</v>
      </c>
      <c r="I28" s="337">
        <f ca="1">SUM(I30:I91)</f>
        <v>35083677.200000003</v>
      </c>
      <c r="J28" s="338">
        <f ca="1">SUM(J30:J91)</f>
        <v>23309.960000000003</v>
      </c>
      <c r="L28" s="337">
        <f>SUM(L30:L91)</f>
        <v>2098788</v>
      </c>
      <c r="M28" s="338">
        <f>SUM(M30:M91)</f>
        <v>3760.1</v>
      </c>
      <c r="O28" s="337">
        <f>SUM(O30:O91)</f>
        <v>23873150.159999996</v>
      </c>
      <c r="P28" s="338">
        <f>SUM(P30:P91)</f>
        <v>18840.798747330962</v>
      </c>
      <c r="R28" s="337">
        <f>SUM(R30:R91)</f>
        <v>49504816.850000001</v>
      </c>
      <c r="S28" s="338">
        <f>SUM(S30:S91)</f>
        <v>72921.286396660274</v>
      </c>
      <c r="U28" s="337">
        <f>SUM(U30:U91)</f>
        <v>19741165.800000019</v>
      </c>
      <c r="V28" s="338">
        <f>SUM(V30:V91)</f>
        <v>42467.293769504518</v>
      </c>
      <c r="X28" s="337">
        <f ca="1">SUM(X30:X91)</f>
        <v>130301598.01000001</v>
      </c>
      <c r="Y28" s="338">
        <f ca="1">ROUND(SUM(Y30:Y91),0)</f>
        <v>161299</v>
      </c>
      <c r="Z28" s="822">
        <f ca="1">SUM(H28:W28)-X28-Y28</f>
        <v>0.43891353905200958</v>
      </c>
      <c r="AA28" s="346">
        <f ca="1">+Y28</f>
        <v>161299</v>
      </c>
    </row>
    <row r="29" spans="1:27" s="345" customFormat="1" ht="13" thickBot="1">
      <c r="A29" s="616" t="s">
        <v>84</v>
      </c>
      <c r="B29" s="616" t="s">
        <v>84</v>
      </c>
      <c r="C29" s="616" t="s">
        <v>84</v>
      </c>
      <c r="D29" s="616" t="s">
        <v>84</v>
      </c>
      <c r="E29" s="616" t="s">
        <v>84</v>
      </c>
      <c r="F29" s="616" t="s">
        <v>84</v>
      </c>
      <c r="G29" s="616" t="s">
        <v>84</v>
      </c>
      <c r="H29" s="616" t="s">
        <v>84</v>
      </c>
      <c r="I29" s="616" t="s">
        <v>84</v>
      </c>
      <c r="J29" s="616" t="s">
        <v>84</v>
      </c>
      <c r="K29" s="616" t="s">
        <v>84</v>
      </c>
      <c r="L29" s="616" t="s">
        <v>84</v>
      </c>
      <c r="M29" s="616" t="s">
        <v>84</v>
      </c>
      <c r="N29" s="616" t="s">
        <v>84</v>
      </c>
      <c r="O29" s="616" t="s">
        <v>84</v>
      </c>
      <c r="P29" s="616" t="s">
        <v>84</v>
      </c>
      <c r="Q29" s="616" t="s">
        <v>84</v>
      </c>
      <c r="R29" s="616" t="s">
        <v>84</v>
      </c>
      <c r="S29" s="616" t="s">
        <v>84</v>
      </c>
      <c r="T29" s="616" t="s">
        <v>84</v>
      </c>
      <c r="U29" s="616" t="s">
        <v>84</v>
      </c>
      <c r="V29" s="616" t="s">
        <v>84</v>
      </c>
      <c r="W29" s="616" t="s">
        <v>84</v>
      </c>
      <c r="X29" s="616" t="s">
        <v>84</v>
      </c>
      <c r="Y29" s="616" t="s">
        <v>84</v>
      </c>
    </row>
    <row r="30" spans="1:27">
      <c r="A30" s="4" t="str">
        <f>+VLOOKUP(C30,'Plan Cuentas Link Armado'!$A$3:$D$105,4,0)</f>
        <v>Fixed Asset's Payments (Investments) Mejoras/equipamiento Lodge</v>
      </c>
      <c r="B30" s="346">
        <f t="shared" ref="B30:B35" ca="1" si="2">+Y30</f>
        <v>48.45</v>
      </c>
      <c r="C30" s="308" t="s">
        <v>52</v>
      </c>
      <c r="D30" s="4" t="s">
        <v>53</v>
      </c>
      <c r="E30" s="4" t="s">
        <v>538</v>
      </c>
      <c r="G30" s="4" t="str">
        <f>+VLOOKUP(C30,'Plan Cuentas Link Armado'!$A$3:$D$105,4,0)</f>
        <v>Fixed Asset's Payments (Investments) Mejoras/equipamiento Lodge</v>
      </c>
      <c r="I30" s="339">
        <f ca="1">+SUMIF('Mov_Analizados_Sept25 - Dic25'!$H$10:$I$1038,Resumen_Base!E30,'Mov_Analizados_Sept25 - Dic25'!$I$10:$I$1038)</f>
        <v>0</v>
      </c>
      <c r="J30" s="340">
        <f ca="1">+SUMIF('Mov_Analizados_Sept25 - Dic25'!$H$10:$J$1038,Resumen_Base!E30,'Mov_Analizados_Sept25 - Dic25'!$J$10:$J$1038)</f>
        <v>0</v>
      </c>
      <c r="L30" s="339">
        <f>+SUMIF('Mov_Analizados_Ene 26'!$H$10:$H$330,Resumen_Base!E30,'Mov_Analizados_Ene 26'!$I$10:$I$330)</f>
        <v>0</v>
      </c>
      <c r="M30" s="340">
        <f>+SUMIF('Mov_Analizados_Ene 26'!$H$10:$H$330,Resumen_Base!E30,'Mov_Analizados_Ene 26'!$J$10:$J$330)</f>
        <v>0</v>
      </c>
      <c r="N30" s="682">
        <f>+SUMIF('Mov_Analizados_Ene 26'!$H$10:$H$330,Resumen_Base!E30,'Mov_Analizados_Ene 26'!$J$10:$J$330)-M30</f>
        <v>0</v>
      </c>
      <c r="O30" s="339">
        <f>+SUMIF('Mov_Analizados_Feb - Mar 26'!$H$10:$H$1378,Resumen_Base!E30,'Mov_Analizados_Feb - Mar 26'!$I$10:$I$1378)</f>
        <v>0</v>
      </c>
      <c r="P30" s="340">
        <f>+SUMIF('Mov_Analizados_Feb - Mar 26'!$H$10:$H$1378,Resumen_Base!E30,'Mov_Analizados_Feb - Mar 26'!$J$10:$J$1378)</f>
        <v>0</v>
      </c>
      <c r="R30" s="339">
        <f>+SUMIF('Mov_Analizados_Abr 26'!$I$10:$I$862,Resumen_Base!E30,'Mov_Analizados_Abr 26'!$J$10:$J$862)</f>
        <v>0</v>
      </c>
      <c r="S30" s="340">
        <f>+SUMIF('Mov_Analizados_Abr 26'!$I$10:$I$862,Resumen_Base!E30,'Mov_Analizados_Abr 26'!$K$10:$K$862)</f>
        <v>0</v>
      </c>
      <c r="U30" s="339">
        <f>+SUMIF('Mov_Analizados_May 26'!$I$10:$I$1205,Resumen_Base!E30,'Mov_Analizados_May 26'!$J$10:$J$1205)</f>
        <v>68072.25</v>
      </c>
      <c r="V30" s="340">
        <f>+SUMIF('Mov_Analizados_May 26'!$I$10:$I$1205,Resumen_Base!E30,'Mov_Analizados_May 26'!$K$10:$K$1205)</f>
        <v>48.45</v>
      </c>
      <c r="X30" s="339">
        <f t="shared" ref="X30:X89" ca="1" si="3">+I30+L30+O30+R30+U30</f>
        <v>68072.25</v>
      </c>
      <c r="Y30" s="340">
        <f t="shared" ref="Y30:Y89" ca="1" si="4">+J30+M30+P30+S30+V30</f>
        <v>48.45</v>
      </c>
    </row>
    <row r="31" spans="1:27">
      <c r="A31" s="4" t="str">
        <f>+VLOOKUP(C31,'Plan Cuentas Link Armado'!$A$3:$D$105,4,0)</f>
        <v>Fixed Asset's Payments (Investments) Mejoras/equipamiento Lodge</v>
      </c>
      <c r="B31" s="346">
        <f t="shared" ca="1" si="2"/>
        <v>1852.0715384615385</v>
      </c>
      <c r="C31" s="308" t="s">
        <v>50</v>
      </c>
      <c r="D31" s="4" t="s">
        <v>51</v>
      </c>
      <c r="E31" s="4" t="s">
        <v>539</v>
      </c>
      <c r="G31" s="4" t="str">
        <f>+VLOOKUP(C31,'Plan Cuentas Link Armado'!$A$3:$D$105,4,0)</f>
        <v>Fixed Asset's Payments (Investments) Mejoras/equipamiento Lodge</v>
      </c>
      <c r="I31" s="339">
        <f ca="1">+SUMIF('Mov_Analizados_Sept25 - Dic25'!$H$10:$I$1038,Resumen_Base!E31,'Mov_Analizados_Sept25 - Dic25'!$I$10:$I$1038)</f>
        <v>903319.3</v>
      </c>
      <c r="J31" s="340">
        <f ca="1">+SUMIF('Mov_Analizados_Sept25 - Dic25'!$H$10:$J$1038,Resumen_Base!E31,'Mov_Analizados_Sept25 - Dic25'!$J$10:$J$1038)</f>
        <v>649.87</v>
      </c>
      <c r="L31" s="339">
        <f>+SUMIF('Mov_Analizados_Ene 26'!$H$10:$H$330,Resumen_Base!E31,'Mov_Analizados_Ene 26'!$I$10:$I$330)</f>
        <v>0</v>
      </c>
      <c r="M31" s="340">
        <f>+SUMIF('Mov_Analizados_Ene 26'!$H$10:$H$330,Resumen_Base!E31,'Mov_Analizados_Ene 26'!$J$10:$J$330)</f>
        <v>0</v>
      </c>
      <c r="N31" s="682">
        <f>+SUMIF('Mov_Analizados_Ene 26'!$H$10:$H$330,Resumen_Base!E31,'Mov_Analizados_Ene 26'!$J$10:$J$330)-M31</f>
        <v>0</v>
      </c>
      <c r="O31" s="339">
        <f>+SUMIF('Mov_Analizados_Feb - Mar 26'!$H$10:$H$1378,Resumen_Base!E31,'Mov_Analizados_Feb - Mar 26'!$I$10:$I$1378)</f>
        <v>373321.5</v>
      </c>
      <c r="P31" s="340">
        <f>+SUMIF('Mov_Analizados_Feb - Mar 26'!$H$10:$H$1378,Resumen_Base!E31,'Mov_Analizados_Feb - Mar 26'!$J$10:$J$1378)</f>
        <v>261.97999999999996</v>
      </c>
      <c r="R31" s="339">
        <f>+SUMIF('Mov_Analizados_Abr 26'!$I$10:$I$862,Resumen_Base!E31,'Mov_Analizados_Abr 26'!$J$10:$J$862)</f>
        <v>268692.2</v>
      </c>
      <c r="S31" s="340">
        <f>+SUMIF('Mov_Analizados_Abr 26'!$I$10:$I$862,Resumen_Base!E31,'Mov_Analizados_Abr 26'!$K$10:$K$862)</f>
        <v>425.44</v>
      </c>
      <c r="U31" s="339">
        <f>+SUMIF('Mov_Analizados_May 26'!$I$10:$I$1205,Resumen_Base!E31,'Mov_Analizados_May 26'!$J$10:$J$1205)</f>
        <v>329051</v>
      </c>
      <c r="V31" s="340">
        <f>+SUMIF('Mov_Analizados_May 26'!$I$10:$I$1205,Resumen_Base!E31,'Mov_Analizados_May 26'!$K$10:$K$1205)</f>
        <v>514.7815384615385</v>
      </c>
      <c r="X31" s="339">
        <f t="shared" ca="1" si="3"/>
        <v>1874384</v>
      </c>
      <c r="Y31" s="340">
        <f t="shared" ca="1" si="4"/>
        <v>1852.0715384615385</v>
      </c>
    </row>
    <row r="32" spans="1:27">
      <c r="A32" s="4" t="str">
        <f>+VLOOKUP(C32,'Plan Cuentas Link Armado'!$A$3:$D$105,4,0)</f>
        <v>Fixed Asset's Payments (Investments) Rodados/Lanchas</v>
      </c>
      <c r="B32" s="346">
        <f t="shared" ca="1" si="2"/>
        <v>0</v>
      </c>
      <c r="C32" s="308" t="s">
        <v>0</v>
      </c>
      <c r="D32" s="4" t="s">
        <v>1</v>
      </c>
      <c r="E32" s="4" t="s">
        <v>540</v>
      </c>
      <c r="G32" s="4" t="str">
        <f>+VLOOKUP(C32,'Plan Cuentas Link Armado'!$A$3:$D$105,4,0)</f>
        <v>Fixed Asset's Payments (Investments) Rodados/Lanchas</v>
      </c>
      <c r="I32" s="339">
        <f ca="1">+SUMIF('Mov_Analizados_Sept25 - Dic25'!$H$10:$I$1038,Resumen_Base!E32,'Mov_Analizados_Sept25 - Dic25'!$I$10:$I$1038)</f>
        <v>0</v>
      </c>
      <c r="J32" s="340">
        <f ca="1">+SUMIF('Mov_Analizados_Sept25 - Dic25'!$H$10:$J$1038,Resumen_Base!E32,'Mov_Analizados_Sept25 - Dic25'!$J$10:$J$1038)</f>
        <v>0</v>
      </c>
      <c r="L32" s="339">
        <f>+SUMIF('Mov_Analizados_Ene 26'!$H$10:$H$330,Resumen_Base!E32,'Mov_Analizados_Ene 26'!$I$10:$I$330)</f>
        <v>0</v>
      </c>
      <c r="M32" s="340">
        <f>+SUMIF('Mov_Analizados_Ene 26'!$H$10:$H$330,Resumen_Base!E32,'Mov_Analizados_Ene 26'!$J$10:$J$330)</f>
        <v>0</v>
      </c>
      <c r="N32" s="682">
        <f>+SUMIF('Mov_Analizados_Ene 26'!$H$10:$H$330,Resumen_Base!E32,'Mov_Analizados_Ene 26'!$J$10:$J$330)-M32</f>
        <v>0</v>
      </c>
      <c r="O32" s="339">
        <f>+SUMIF('Mov_Analizados_Feb - Mar 26'!$H$10:$H$1378,Resumen_Base!E32,'Mov_Analizados_Feb - Mar 26'!$I$10:$I$1378)</f>
        <v>0</v>
      </c>
      <c r="P32" s="340">
        <f>+SUMIF('Mov_Analizados_Feb - Mar 26'!$H$10:$H$1378,Resumen_Base!E32,'Mov_Analizados_Feb - Mar 26'!$J$10:$J$1378)</f>
        <v>0</v>
      </c>
      <c r="R32" s="339">
        <f>+SUMIF('Mov_Analizados_Abr 26'!$I$10:$I$862,Resumen_Base!E32,'Mov_Analizados_Abr 26'!$J$10:$J$862)</f>
        <v>0</v>
      </c>
      <c r="S32" s="340">
        <f>+SUMIF('Mov_Analizados_Abr 26'!$I$10:$I$862,Resumen_Base!E32,'Mov_Analizados_Abr 26'!$K$10:$K$862)</f>
        <v>0</v>
      </c>
      <c r="U32" s="339">
        <f>+SUMIF('Mov_Analizados_May 26'!$I$10:$I$1205,Resumen_Base!E32,'Mov_Analizados_May 26'!$J$10:$J$1205)</f>
        <v>0</v>
      </c>
      <c r="V32" s="340">
        <f>+SUMIF('Mov_Analizados_May 26'!$I$10:$I$1205,Resumen_Base!E32,'Mov_Analizados_May 26'!$K$10:$K$1205)</f>
        <v>0</v>
      </c>
      <c r="X32" s="339">
        <f t="shared" ca="1" si="3"/>
        <v>0</v>
      </c>
      <c r="Y32" s="340">
        <f t="shared" ca="1" si="4"/>
        <v>0</v>
      </c>
    </row>
    <row r="33" spans="1:26">
      <c r="A33" s="4" t="str">
        <f>+VLOOKUP(C33,'Plan Cuentas Link Armado'!$A$3:$D$105,4,0)</f>
        <v>Fixed Asset's Payments (Investments) Mejoras/equipamiento Lodge</v>
      </c>
      <c r="B33" s="346">
        <f t="shared" ca="1" si="2"/>
        <v>5799.1660854092524</v>
      </c>
      <c r="C33" s="308" t="s">
        <v>6</v>
      </c>
      <c r="D33" s="4" t="s">
        <v>5</v>
      </c>
      <c r="E33" s="4" t="s">
        <v>541</v>
      </c>
      <c r="G33" s="4" t="str">
        <f>+VLOOKUP(C33,'Plan Cuentas Link Armado'!$A$3:$D$105,4,0)</f>
        <v>Fixed Asset's Payments (Investments) Mejoras/equipamiento Lodge</v>
      </c>
      <c r="I33" s="339">
        <f ca="1">+SUMIF('Mov_Analizados_Sept25 - Dic25'!$H$10:$I$1038,Resumen_Base!E33,'Mov_Analizados_Sept25 - Dic25'!$I$10:$I$1038)</f>
        <v>0</v>
      </c>
      <c r="J33" s="340">
        <f ca="1">+SUMIF('Mov_Analizados_Sept25 - Dic25'!$H$10:$J$1038,Resumen_Base!E33,'Mov_Analizados_Sept25 - Dic25'!$J$10:$J$1038)</f>
        <v>0</v>
      </c>
      <c r="L33" s="339">
        <f>+SUMIF('Mov_Analizados_Ene 26'!$H$10:$H$330,Resumen_Base!E33,'Mov_Analizados_Ene 26'!$I$10:$I$330)</f>
        <v>0</v>
      </c>
      <c r="M33" s="340">
        <f>+SUMIF('Mov_Analizados_Ene 26'!$H$10:$H$330,Resumen_Base!E33,'Mov_Analizados_Ene 26'!$J$10:$J$330)</f>
        <v>0</v>
      </c>
      <c r="N33" s="682">
        <f>+SUMIF('Mov_Analizados_Ene 26'!$H$10:$H$330,Resumen_Base!E33,'Mov_Analizados_Ene 26'!$J$10:$J$330)-M33</f>
        <v>0</v>
      </c>
      <c r="O33" s="339">
        <f>+SUMIF('Mov_Analizados_Feb - Mar 26'!$H$10:$H$1378,Resumen_Base!E33,'Mov_Analizados_Feb - Mar 26'!$I$10:$I$1378)</f>
        <v>3636911.3000000003</v>
      </c>
      <c r="P33" s="340">
        <f>+SUMIF('Mov_Analizados_Feb - Mar 26'!$H$10:$H$1378,Resumen_Base!E33,'Mov_Analizados_Feb - Mar 26'!$J$10:$J$1378)</f>
        <v>2580.84</v>
      </c>
      <c r="R33" s="339">
        <f>+SUMIF('Mov_Analizados_Abr 26'!$I$10:$I$862,Resumen_Base!E33,'Mov_Analizados_Abr 26'!$J$10:$J$862)</f>
        <v>2875298.9</v>
      </c>
      <c r="S33" s="340">
        <f>+SUMIF('Mov_Analizados_Abr 26'!$I$10:$I$862,Resumen_Base!E33,'Mov_Analizados_Abr 26'!$K$10:$K$862)</f>
        <v>3758.7837777169443</v>
      </c>
      <c r="U33" s="339">
        <f>+SUMIF('Mov_Analizados_May 26'!$I$10:$I$1205,Resumen_Base!E33,'Mov_Analizados_May 26'!$J$10:$J$1205)</f>
        <v>1658795</v>
      </c>
      <c r="V33" s="340">
        <f>+SUMIF('Mov_Analizados_May 26'!$I$10:$I$1205,Resumen_Base!E33,'Mov_Analizados_May 26'!$K$10:$K$1205)</f>
        <v>-540.45769230769235</v>
      </c>
      <c r="X33" s="339">
        <f t="shared" ca="1" si="3"/>
        <v>8171005.2000000002</v>
      </c>
      <c r="Y33" s="340">
        <f t="shared" ca="1" si="4"/>
        <v>5799.1660854092524</v>
      </c>
    </row>
    <row r="34" spans="1:26">
      <c r="A34" s="4" t="str">
        <f>+VLOOKUP(C34,'Plan Cuentas Link Armado'!$A$3:$D$105,4,0)</f>
        <v>Fixed Asset's Payments (Investments) Mejoras/equipamiento Lodge</v>
      </c>
      <c r="B34" s="346">
        <f t="shared" ca="1" si="2"/>
        <v>0</v>
      </c>
      <c r="C34" s="308" t="s">
        <v>129</v>
      </c>
      <c r="D34" s="4" t="s">
        <v>130</v>
      </c>
      <c r="E34" s="4" t="s">
        <v>542</v>
      </c>
      <c r="G34" s="4" t="str">
        <f>+VLOOKUP(C34,'Plan Cuentas Link Armado'!$A$3:$D$105,4,0)</f>
        <v>Fixed Asset's Payments (Investments) Mejoras/equipamiento Lodge</v>
      </c>
      <c r="I34" s="339">
        <f ca="1">+SUMIF('Mov_Analizados_Sept25 - Dic25'!$H$10:$I$1038,Resumen_Base!E34,'Mov_Analizados_Sept25 - Dic25'!$I$10:$I$1038)</f>
        <v>0</v>
      </c>
      <c r="J34" s="340">
        <f ca="1">+SUMIF('Mov_Analizados_Sept25 - Dic25'!$H$10:$J$1038,Resumen_Base!E34,'Mov_Analizados_Sept25 - Dic25'!$J$10:$J$1038)</f>
        <v>0</v>
      </c>
      <c r="L34" s="339">
        <f>+SUMIF('Mov_Analizados_Ene 26'!$H$10:$H$330,Resumen_Base!E34,'Mov_Analizados_Ene 26'!$I$10:$I$330)</f>
        <v>0</v>
      </c>
      <c r="M34" s="340">
        <f>+SUMIF('Mov_Analizados_Ene 26'!$H$10:$H$330,Resumen_Base!E34,'Mov_Analizados_Ene 26'!$J$10:$J$330)</f>
        <v>0</v>
      </c>
      <c r="N34" s="682">
        <f>+SUMIF('Mov_Analizados_Ene 26'!$H$10:$H$330,Resumen_Base!E34,'Mov_Analizados_Ene 26'!$J$10:$J$330)-M34</f>
        <v>0</v>
      </c>
      <c r="O34" s="339">
        <f>+SUMIF('Mov_Analizados_Feb - Mar 26'!$H$10:$H$1378,Resumen_Base!E34,'Mov_Analizados_Feb - Mar 26'!$I$10:$I$1378)</f>
        <v>0</v>
      </c>
      <c r="P34" s="340">
        <f>+SUMIF('Mov_Analizados_Feb - Mar 26'!$H$10:$H$1378,Resumen_Base!E34,'Mov_Analizados_Feb - Mar 26'!$J$10:$J$1378)</f>
        <v>0</v>
      </c>
      <c r="R34" s="339">
        <f>+SUMIF('Mov_Analizados_Abr 26'!$I$10:$I$862,Resumen_Base!E34,'Mov_Analizados_Abr 26'!$J$10:$J$862)</f>
        <v>0</v>
      </c>
      <c r="S34" s="340">
        <f>+SUMIF('Mov_Analizados_Abr 26'!$I$10:$I$862,Resumen_Base!E34,'Mov_Analizados_Abr 26'!$K$10:$K$862)</f>
        <v>0</v>
      </c>
      <c r="U34" s="339">
        <f>+SUMIF('Mov_Analizados_May 26'!$I$10:$I$1205,Resumen_Base!E34,'Mov_Analizados_May 26'!$J$10:$J$1205)</f>
        <v>0</v>
      </c>
      <c r="V34" s="340">
        <f>+SUMIF('Mov_Analizados_May 26'!$I$10:$I$1205,Resumen_Base!E34,'Mov_Analizados_May 26'!$K$10:$K$1205)</f>
        <v>0</v>
      </c>
      <c r="X34" s="339">
        <f t="shared" ca="1" si="3"/>
        <v>0</v>
      </c>
      <c r="Y34" s="340">
        <f t="shared" ca="1" si="4"/>
        <v>0</v>
      </c>
    </row>
    <row r="35" spans="1:26">
      <c r="A35" s="4" t="str">
        <f>+VLOOKUP(C35,'Plan Cuentas Link Armado'!$A$3:$D$105,4,0)</f>
        <v>Fixed Asset's Payments (Investments) Mejoras/equipamiento Lodge</v>
      </c>
      <c r="B35" s="346">
        <f t="shared" ca="1" si="2"/>
        <v>0</v>
      </c>
      <c r="C35" s="308" t="s">
        <v>131</v>
      </c>
      <c r="D35" s="4" t="s">
        <v>132</v>
      </c>
      <c r="E35" s="4" t="s">
        <v>543</v>
      </c>
      <c r="G35" s="4" t="str">
        <f>+VLOOKUP(C35,'Plan Cuentas Link Armado'!$A$3:$D$105,4,0)</f>
        <v>Fixed Asset's Payments (Investments) Mejoras/equipamiento Lodge</v>
      </c>
      <c r="I35" s="339">
        <f ca="1">+SUMIF('Mov_Analizados_Sept25 - Dic25'!$H$10:$I$1038,Resumen_Base!E35,'Mov_Analizados_Sept25 - Dic25'!$I$10:$I$1038)</f>
        <v>0</v>
      </c>
      <c r="J35" s="340">
        <f ca="1">+SUMIF('Mov_Analizados_Sept25 - Dic25'!$H$10:$J$1038,Resumen_Base!E35,'Mov_Analizados_Sept25 - Dic25'!$J$10:$J$1038)</f>
        <v>0</v>
      </c>
      <c r="L35" s="339">
        <f>+SUMIF('Mov_Analizados_Ene 26'!$H$10:$H$330,Resumen_Base!E35,'Mov_Analizados_Ene 26'!$I$10:$I$330)</f>
        <v>0</v>
      </c>
      <c r="M35" s="340">
        <f>+SUMIF('Mov_Analizados_Ene 26'!$H$10:$H$330,Resumen_Base!E35,'Mov_Analizados_Ene 26'!$J$10:$J$330)</f>
        <v>0</v>
      </c>
      <c r="N35" s="682">
        <f>+SUMIF('Mov_Analizados_Ene 26'!$H$10:$H$330,Resumen_Base!E35,'Mov_Analizados_Ene 26'!$J$10:$J$330)-M35</f>
        <v>0</v>
      </c>
      <c r="O35" s="339">
        <f>+SUMIF('Mov_Analizados_Feb - Mar 26'!$H$10:$H$1378,Resumen_Base!E35,'Mov_Analizados_Feb - Mar 26'!$I$10:$I$1378)</f>
        <v>0</v>
      </c>
      <c r="P35" s="340">
        <f>+SUMIF('Mov_Analizados_Feb - Mar 26'!$H$10:$H$1378,Resumen_Base!E35,'Mov_Analizados_Feb - Mar 26'!$J$10:$J$1378)</f>
        <v>0</v>
      </c>
      <c r="R35" s="339">
        <f>+SUMIF('Mov_Analizados_Abr 26'!$I$10:$I$862,Resumen_Base!E35,'Mov_Analizados_Abr 26'!$J$10:$J$862)</f>
        <v>0</v>
      </c>
      <c r="S35" s="340">
        <f>+SUMIF('Mov_Analizados_Abr 26'!$I$10:$I$862,Resumen_Base!E35,'Mov_Analizados_Abr 26'!$K$10:$K$862)</f>
        <v>0</v>
      </c>
      <c r="U35" s="339">
        <f>+SUMIF('Mov_Analizados_May 26'!$I$10:$I$1205,Resumen_Base!E35,'Mov_Analizados_May 26'!$J$10:$J$1205)</f>
        <v>0</v>
      </c>
      <c r="V35" s="340">
        <f>+SUMIF('Mov_Analizados_May 26'!$I$10:$I$1205,Resumen_Base!E35,'Mov_Analizados_May 26'!$K$10:$K$1205)</f>
        <v>0</v>
      </c>
      <c r="X35" s="339">
        <f t="shared" ca="1" si="3"/>
        <v>0</v>
      </c>
      <c r="Y35" s="340">
        <f t="shared" ca="1" si="4"/>
        <v>0</v>
      </c>
    </row>
    <row r="36" spans="1:26">
      <c r="A36" s="4" t="str">
        <f>+VLOOKUP(C36,'Plan Cuentas Link Armado'!$A$3:$D$105,4,0)</f>
        <v>Food &amp; Wine</v>
      </c>
      <c r="C36" s="308" t="s">
        <v>45</v>
      </c>
      <c r="D36" s="4" t="s">
        <v>44</v>
      </c>
      <c r="E36" s="4" t="s">
        <v>544</v>
      </c>
      <c r="G36" s="4" t="str">
        <f>+VLOOKUP(C36,'Plan Cuentas Link Armado'!$A$3:$D$105,4,0)</f>
        <v>Food &amp; Wine</v>
      </c>
      <c r="I36" s="339">
        <f ca="1">+SUMIF('Mov_Analizados_Sept25 - Dic25'!$H$10:$I$1038,Resumen_Base!E36,'Mov_Analizados_Sept25 - Dic25'!$I$10:$I$1038)</f>
        <v>1850896.2000000002</v>
      </c>
      <c r="J36" s="340">
        <f ca="1">+SUMIF('Mov_Analizados_Sept25 - Dic25'!$H$10:$J$1038,Resumen_Base!E36,'Mov_Analizados_Sept25 - Dic25'!$J$10:$J$1038)</f>
        <v>1272.3000000000002</v>
      </c>
      <c r="L36" s="339">
        <f>+SUMIF('Mov_Analizados_Ene 26'!$H$10:$H$330,Resumen_Base!E36,'Mov_Analizados_Ene 26'!$I$10:$I$330)</f>
        <v>0</v>
      </c>
      <c r="M36" s="340">
        <f>+SUMIF('Mov_Analizados_Ene 26'!$H$10:$H$330,Resumen_Base!E36,'Mov_Analizados_Ene 26'!$J$10:$J$330)</f>
        <v>0</v>
      </c>
      <c r="N36" s="682">
        <f>+SUMIF('Mov_Analizados_Ene 26'!$H$10:$H$330,Resumen_Base!E36,'Mov_Analizados_Ene 26'!$J$10:$J$330)-M36</f>
        <v>0</v>
      </c>
      <c r="O36" s="339">
        <f>+SUMIF('Mov_Analizados_Feb - Mar 26'!$H$10:$H$1378,Resumen_Base!E36,'Mov_Analizados_Feb - Mar 26'!$I$10:$I$1378)</f>
        <v>1870491.9</v>
      </c>
      <c r="P36" s="340">
        <f>+SUMIF('Mov_Analizados_Feb - Mar 26'!$H$10:$H$1378,Resumen_Base!E36,'Mov_Analizados_Feb - Mar 26'!$J$10:$J$1378)</f>
        <v>1326.59</v>
      </c>
      <c r="R36" s="339">
        <f>+SUMIF('Mov_Analizados_Abr 26'!$I$10:$I$862,Resumen_Base!E36,'Mov_Analizados_Abr 26'!$J$10:$J$862)</f>
        <v>0</v>
      </c>
      <c r="S36" s="340">
        <f>+SUMIF('Mov_Analizados_Abr 26'!$I$10:$I$862,Resumen_Base!E36,'Mov_Analizados_Abr 26'!$K$10:$K$862)</f>
        <v>0</v>
      </c>
      <c r="U36" s="339">
        <f>+SUMIF('Mov_Analizados_May 26'!$I$10:$I$1205,Resumen_Base!E36,'Mov_Analizados_May 26'!$J$10:$J$1205)</f>
        <v>1686732.7499999998</v>
      </c>
      <c r="V36" s="340">
        <f>+SUMIF('Mov_Analizados_May 26'!$I$10:$I$1205,Resumen_Base!E36,'Mov_Analizados_May 26'!$K$10:$K$1205)</f>
        <v>2487.4958974358979</v>
      </c>
      <c r="X36" s="339">
        <f t="shared" ca="1" si="3"/>
        <v>5408120.8499999996</v>
      </c>
      <c r="Y36" s="340">
        <f t="shared" ca="1" si="4"/>
        <v>5086.3858974358982</v>
      </c>
      <c r="Z36" s="346">
        <f ca="1">+Y36+Y40+Y41</f>
        <v>6707.128974358975</v>
      </c>
    </row>
    <row r="37" spans="1:26">
      <c r="A37" s="4" t="str">
        <f>+VLOOKUP(C37,'Plan Cuentas Link Armado'!$A$3:$D$105,4,0)</f>
        <v>Food &amp; Wine</v>
      </c>
      <c r="C37" s="308" t="s">
        <v>37</v>
      </c>
      <c r="D37" s="4" t="s">
        <v>36</v>
      </c>
      <c r="E37" s="4" t="s">
        <v>545</v>
      </c>
      <c r="G37" s="4" t="str">
        <f>+VLOOKUP(C37,'Plan Cuentas Link Armado'!$A$3:$D$105,4,0)</f>
        <v>Food &amp; Wine</v>
      </c>
      <c r="I37" s="339">
        <f ca="1">+SUMIF('Mov_Analizados_Sept25 - Dic25'!$H$10:$I$1038,Resumen_Base!E37,'Mov_Analizados_Sept25 - Dic25'!$I$10:$I$1038)</f>
        <v>-1365091</v>
      </c>
      <c r="J37" s="340">
        <f ca="1">+SUMIF('Mov_Analizados_Sept25 - Dic25'!$H$10:$J$1038,Resumen_Base!E37,'Mov_Analizados_Sept25 - Dic25'!$J$10:$J$1038)</f>
        <v>-1050.07</v>
      </c>
      <c r="L37" s="339">
        <f>+SUMIF('Mov_Analizados_Ene 26'!$H$10:$H$330,Resumen_Base!E37,'Mov_Analizados_Ene 26'!$I$10:$I$330)</f>
        <v>0</v>
      </c>
      <c r="M37" s="340">
        <f>+SUMIF('Mov_Analizados_Ene 26'!$H$10:$H$330,Resumen_Base!E37,'Mov_Analizados_Ene 26'!$J$10:$J$330)</f>
        <v>0</v>
      </c>
      <c r="N37" s="682">
        <f>+SUMIF('Mov_Analizados_Ene 26'!$H$10:$H$330,Resumen_Base!E37,'Mov_Analizados_Ene 26'!$J$10:$J$330)-M37</f>
        <v>0</v>
      </c>
      <c r="O37" s="339">
        <f>+SUMIF('Mov_Analizados_Feb - Mar 26'!$H$10:$H$1378,Resumen_Base!E37,'Mov_Analizados_Feb - Mar 26'!$I$10:$I$1378)</f>
        <v>223782.25</v>
      </c>
      <c r="P37" s="340">
        <f>+SUMIF('Mov_Analizados_Feb - Mar 26'!$H$10:$H$1378,Resumen_Base!E37,'Mov_Analizados_Feb - Mar 26'!$J$10:$J$1378)</f>
        <v>158.15</v>
      </c>
      <c r="R37" s="339">
        <f>+SUMIF('Mov_Analizados_Abr 26'!$I$10:$I$862,Resumen_Base!E37,'Mov_Analizados_Abr 26'!$J$10:$J$862)</f>
        <v>3636027.5999999996</v>
      </c>
      <c r="S37" s="340">
        <f>+SUMIF('Mov_Analizados_Abr 26'!$I$10:$I$862,Resumen_Base!E37,'Mov_Analizados_Abr 26'!$K$10:$K$862)</f>
        <v>7969.8292307692327</v>
      </c>
      <c r="U37" s="339">
        <f>+SUMIF('Mov_Analizados_May 26'!$I$10:$I$1205,Resumen_Base!E37,'Mov_Analizados_May 26'!$J$10:$J$1205)</f>
        <v>8733574.5499999989</v>
      </c>
      <c r="V37" s="340">
        <f>+SUMIF('Mov_Analizados_May 26'!$I$10:$I$1205,Resumen_Base!E37,'Mov_Analizados_May 26'!$K$10:$K$1205)</f>
        <v>11271.90282051282</v>
      </c>
      <c r="X37" s="339">
        <f t="shared" ca="1" si="3"/>
        <v>11228293.399999999</v>
      </c>
      <c r="Y37" s="340">
        <f t="shared" ca="1" si="4"/>
        <v>18349.812051282053</v>
      </c>
    </row>
    <row r="38" spans="1:26">
      <c r="A38" s="4" t="str">
        <f>+VLOOKUP(C38,'Plan Cuentas Link Armado'!$A$3:$D$105,4,0)</f>
        <v>Food &amp; Wine</v>
      </c>
      <c r="C38" s="607" t="s">
        <v>1718</v>
      </c>
      <c r="D38" s="597" t="s">
        <v>1719</v>
      </c>
      <c r="E38" s="152" t="s">
        <v>3320</v>
      </c>
      <c r="G38" s="4" t="str">
        <f>+VLOOKUP(C38,'Plan Cuentas Link Armado'!$A$3:$D$105,4,0)</f>
        <v>Food &amp; Wine</v>
      </c>
      <c r="I38" s="339">
        <f ca="1">+SUMIF('Mov_Analizados_Sept25 - Dic25'!$H$10:$I$1038,Resumen_Base!E38,'Mov_Analizados_Sept25 - Dic25'!$I$10:$I$1038)</f>
        <v>0</v>
      </c>
      <c r="J38" s="340">
        <f ca="1">+SUMIF('Mov_Analizados_Sept25 - Dic25'!$H$10:$J$1038,Resumen_Base!E38,'Mov_Analizados_Sept25 - Dic25'!$J$10:$J$1038)</f>
        <v>0</v>
      </c>
      <c r="L38" s="339">
        <f>+SUMIF('Mov_Analizados_Ene 26'!$H$10:$H$330,Resumen_Base!E38,'Mov_Analizados_Ene 26'!$I$10:$I$330)</f>
        <v>0</v>
      </c>
      <c r="M38" s="340">
        <f>+SUMIF('Mov_Analizados_Ene 26'!$H$10:$H$330,Resumen_Base!E38,'Mov_Analizados_Ene 26'!$J$10:$J$330)</f>
        <v>0</v>
      </c>
      <c r="N38" s="682">
        <f>+SUMIF('Mov_Analizados_Ene 26'!$H$10:$H$330,Resumen_Base!E38,'Mov_Analizados_Ene 26'!$J$10:$J$330)-M38</f>
        <v>0</v>
      </c>
      <c r="O38" s="339">
        <f>+SUMIF('Mov_Analizados_Feb - Mar 26'!$H$10:$H$1378,Resumen_Base!E38,'Mov_Analizados_Feb - Mar 26'!$I$10:$I$1378)</f>
        <v>0</v>
      </c>
      <c r="P38" s="340">
        <f>+SUMIF('Mov_Analizados_Feb - Mar 26'!$H$10:$H$1378,Resumen_Base!E38,'Mov_Analizados_Feb - Mar 26'!$J$10:$J$1378)</f>
        <v>0</v>
      </c>
      <c r="R38" s="339">
        <f>+SUMIF('Mov_Analizados_Abr 26'!$I$10:$I$862,Resumen_Base!E38,'Mov_Analizados_Abr 26'!$J$10:$J$862)</f>
        <v>0</v>
      </c>
      <c r="S38" s="340">
        <f>+SUMIF('Mov_Analizados_Abr 26'!$I$10:$I$862,Resumen_Base!E38,'Mov_Analizados_Abr 26'!$K$10:$K$862)</f>
        <v>964.17307692307702</v>
      </c>
      <c r="U38" s="339">
        <f>+SUMIF('Mov_Analizados_May 26'!$I$10:$I$1205,Resumen_Base!E38,'Mov_Analizados_May 26'!$J$10:$J$1205)</f>
        <v>2186950</v>
      </c>
      <c r="V38" s="340">
        <f>+SUMIF('Mov_Analizados_May 26'!$I$10:$I$1205,Resumen_Base!E38,'Mov_Analizados_May 26'!$K$10:$K$1205)</f>
        <v>586.02692307692303</v>
      </c>
      <c r="X38" s="339">
        <f t="shared" ca="1" si="3"/>
        <v>2186950</v>
      </c>
      <c r="Y38" s="340">
        <f t="shared" ca="1" si="4"/>
        <v>1550.2</v>
      </c>
    </row>
    <row r="39" spans="1:26">
      <c r="A39" s="4" t="str">
        <f>+VLOOKUP(C39,'Plan Cuentas Link Armado'!$A$3:$D$105,4,0)</f>
        <v>Food &amp; Wine</v>
      </c>
      <c r="C39" s="308" t="s">
        <v>248</v>
      </c>
      <c r="D39" s="4" t="s">
        <v>249</v>
      </c>
      <c r="E39" s="152" t="s">
        <v>546</v>
      </c>
      <c r="G39" s="4" t="str">
        <f>+VLOOKUP(C39,'Plan Cuentas Link Armado'!$A$3:$D$105,4,0)</f>
        <v>Food &amp; Wine</v>
      </c>
      <c r="I39" s="339">
        <f ca="1">+SUMIF('Mov_Analizados_Sept25 - Dic25'!$H$10:$I$1038,Resumen_Base!E39,'Mov_Analizados_Sept25 - Dic25'!$I$10:$I$1038)</f>
        <v>0</v>
      </c>
      <c r="J39" s="340">
        <f ca="1">+SUMIF('Mov_Analizados_Sept25 - Dic25'!$H$10:$J$1038,Resumen_Base!E39,'Mov_Analizados_Sept25 - Dic25'!$J$10:$J$1038)</f>
        <v>0</v>
      </c>
      <c r="L39" s="339">
        <f>+SUMIF('Mov_Analizados_Ene 26'!$H$10:$H$330,Resumen_Base!E39,'Mov_Analizados_Ene 26'!$I$10:$I$330)</f>
        <v>0</v>
      </c>
      <c r="M39" s="340">
        <f>+SUMIF('Mov_Analizados_Ene 26'!$H$10:$H$330,Resumen_Base!E39,'Mov_Analizados_Ene 26'!$J$10:$J$330)</f>
        <v>0</v>
      </c>
      <c r="N39" s="682">
        <f>+SUMIF('Mov_Analizados_Ene 26'!$H$10:$H$330,Resumen_Base!E39,'Mov_Analizados_Ene 26'!$J$10:$J$330)-M39</f>
        <v>0</v>
      </c>
      <c r="O39" s="339">
        <f>+SUMIF('Mov_Analizados_Feb - Mar 26'!$H$10:$H$1378,Resumen_Base!E39,'Mov_Analizados_Feb - Mar 26'!$I$10:$I$1378)</f>
        <v>0</v>
      </c>
      <c r="P39" s="340">
        <f>+SUMIF('Mov_Analizados_Feb - Mar 26'!$H$10:$H$1378,Resumen_Base!E39,'Mov_Analizados_Feb - Mar 26'!$J$10:$J$1378)</f>
        <v>0</v>
      </c>
      <c r="R39" s="339">
        <f>+SUMIF('Mov_Analizados_Abr 26'!$I$10:$I$862,Resumen_Base!E39,'Mov_Analizados_Abr 26'!$J$10:$J$862)</f>
        <v>0</v>
      </c>
      <c r="S39" s="340">
        <f>+SUMIF('Mov_Analizados_Abr 26'!$I$10:$I$862,Resumen_Base!E39,'Mov_Analizados_Abr 26'!$K$10:$K$862)</f>
        <v>0</v>
      </c>
      <c r="U39" s="339">
        <f>+SUMIF('Mov_Analizados_May 26'!$I$10:$I$1205,Resumen_Base!E39,'Mov_Analizados_May 26'!$J$10:$J$1205)</f>
        <v>0</v>
      </c>
      <c r="V39" s="340">
        <f>+SUMIF('Mov_Analizados_May 26'!$I$10:$I$1205,Resumen_Base!E39,'Mov_Analizados_May 26'!$K$10:$K$1205)</f>
        <v>0</v>
      </c>
      <c r="X39" s="339">
        <f t="shared" ca="1" si="3"/>
        <v>0</v>
      </c>
      <c r="Y39" s="340">
        <f t="shared" ca="1" si="4"/>
        <v>0</v>
      </c>
    </row>
    <row r="40" spans="1:26">
      <c r="A40" s="4" t="str">
        <f>+VLOOKUP(C40,'Plan Cuentas Link Armado'!$A$3:$D$105,4,0)</f>
        <v>Food &amp; Wine</v>
      </c>
      <c r="C40" s="308" t="s">
        <v>231</v>
      </c>
      <c r="D40" s="4" t="s">
        <v>232</v>
      </c>
      <c r="E40" s="152" t="s">
        <v>547</v>
      </c>
      <c r="G40" s="4" t="str">
        <f>+VLOOKUP(C40,'Plan Cuentas Link Armado'!$A$3:$D$105,4,0)</f>
        <v>Food &amp; Wine</v>
      </c>
      <c r="I40" s="339">
        <f ca="1">+SUMIF('Mov_Analizados_Sept25 - Dic25'!$H$10:$I$1038,Resumen_Base!E40,'Mov_Analizados_Sept25 - Dic25'!$I$10:$I$1038)</f>
        <v>-15028</v>
      </c>
      <c r="J40" s="340">
        <f ca="1">+SUMIF('Mov_Analizados_Sept25 - Dic25'!$H$10:$J$1038,Resumen_Base!E40,'Mov_Analizados_Sept25 - Dic25'!$J$10:$J$1038)</f>
        <v>-11.56</v>
      </c>
      <c r="L40" s="339">
        <f>+SUMIF('Mov_Analizados_Ene 26'!$H$10:$H$330,Resumen_Base!E40,'Mov_Analizados_Ene 26'!$I$10:$I$330)</f>
        <v>0</v>
      </c>
      <c r="M40" s="340">
        <f>+SUMIF('Mov_Analizados_Ene 26'!$H$10:$H$330,Resumen_Base!E40,'Mov_Analizados_Ene 26'!$J$10:$J$330)</f>
        <v>0</v>
      </c>
      <c r="N40" s="682">
        <f>+SUMIF('Mov_Analizados_Ene 26'!$H$10:$H$330,Resumen_Base!E40,'Mov_Analizados_Ene 26'!$J$10:$J$330)-M40</f>
        <v>0</v>
      </c>
      <c r="O40" s="339">
        <f>+SUMIF('Mov_Analizados_Feb - Mar 26'!$H$10:$H$1378,Resumen_Base!E40,'Mov_Analizados_Feb - Mar 26'!$I$10:$I$1378)</f>
        <v>0</v>
      </c>
      <c r="P40" s="340">
        <f>+SUMIF('Mov_Analizados_Feb - Mar 26'!$H$10:$H$1378,Resumen_Base!E40,'Mov_Analizados_Feb - Mar 26'!$J$10:$J$1378)</f>
        <v>0</v>
      </c>
      <c r="R40" s="339">
        <f>+SUMIF('Mov_Analizados_Abr 26'!$I$10:$I$862,Resumen_Base!E40,'Mov_Analizados_Abr 26'!$J$10:$J$862)</f>
        <v>0</v>
      </c>
      <c r="S40" s="340">
        <f>+SUMIF('Mov_Analizados_Abr 26'!$I$10:$I$862,Resumen_Base!E40,'Mov_Analizados_Abr 26'!$K$10:$K$862)</f>
        <v>0</v>
      </c>
      <c r="U40" s="339">
        <f>+SUMIF('Mov_Analizados_May 26'!$I$10:$I$1205,Resumen_Base!E40,'Mov_Analizados_May 26'!$J$10:$J$1205)</f>
        <v>62775.55</v>
      </c>
      <c r="V40" s="340">
        <f>+SUMIF('Mov_Analizados_May 26'!$I$10:$I$1205,Resumen_Base!E40,'Mov_Analizados_May 26'!$K$10:$K$1205)</f>
        <v>44.5</v>
      </c>
      <c r="X40" s="339">
        <f t="shared" ca="1" si="3"/>
        <v>47747.55</v>
      </c>
      <c r="Y40" s="340">
        <f t="shared" ca="1" si="4"/>
        <v>32.94</v>
      </c>
    </row>
    <row r="41" spans="1:26">
      <c r="A41" s="4" t="str">
        <f>+VLOOKUP(C41,'Plan Cuentas Link Armado'!$A$3:$D$105,4,0)</f>
        <v>Food &amp; Wine</v>
      </c>
      <c r="C41" s="308" t="s">
        <v>35</v>
      </c>
      <c r="D41" s="4" t="s">
        <v>34</v>
      </c>
      <c r="E41" s="4" t="s">
        <v>548</v>
      </c>
      <c r="G41" s="4" t="str">
        <f>+VLOOKUP(C41,'Plan Cuentas Link Armado'!$A$3:$D$105,4,0)</f>
        <v>Food &amp; Wine</v>
      </c>
      <c r="I41" s="339">
        <f ca="1">+SUMIF('Mov_Analizados_Sept25 - Dic25'!$H$10:$I$1038,Resumen_Base!E41,'Mov_Analizados_Sept25 - Dic25'!$I$10:$I$1038)</f>
        <v>18083.799999999988</v>
      </c>
      <c r="J41" s="340">
        <f ca="1">+SUMIF('Mov_Analizados_Sept25 - Dic25'!$H$10:$J$1038,Resumen_Base!E41,'Mov_Analizados_Sept25 - Dic25'!$J$10:$J$1038)</f>
        <v>-1.9099999999999966</v>
      </c>
      <c r="L41" s="339">
        <f>+SUMIF('Mov_Analizados_Ene 26'!$H$10:$H$330,Resumen_Base!E41,'Mov_Analizados_Ene 26'!$I$10:$I$330)</f>
        <v>0</v>
      </c>
      <c r="M41" s="340">
        <f>+SUMIF('Mov_Analizados_Ene 26'!$H$10:$H$330,Resumen_Base!E41,'Mov_Analizados_Ene 26'!$J$10:$J$330)</f>
        <v>0</v>
      </c>
      <c r="N41" s="682">
        <f>+SUMIF('Mov_Analizados_Ene 26'!$H$10:$H$330,Resumen_Base!E41,'Mov_Analizados_Ene 26'!$J$10:$J$330)-M41</f>
        <v>0</v>
      </c>
      <c r="O41" s="339">
        <f>+SUMIF('Mov_Analizados_Feb - Mar 26'!$H$10:$H$1378,Resumen_Base!E41,'Mov_Analizados_Feb - Mar 26'!$I$10:$I$1378)</f>
        <v>0</v>
      </c>
      <c r="P41" s="340">
        <f>+SUMIF('Mov_Analizados_Feb - Mar 26'!$H$10:$H$1378,Resumen_Base!E41,'Mov_Analizados_Feb - Mar 26'!$J$10:$J$1378)</f>
        <v>0</v>
      </c>
      <c r="R41" s="339">
        <f>+SUMIF('Mov_Analizados_Abr 26'!$I$10:$I$862,Resumen_Base!E41,'Mov_Analizados_Abr 26'!$J$10:$J$862)</f>
        <v>12111.1</v>
      </c>
      <c r="S41" s="340">
        <f>+SUMIF('Mov_Analizados_Abr 26'!$I$10:$I$862,Resumen_Base!E41,'Mov_Analizados_Abr 26'!$K$10:$K$862)</f>
        <v>627.04923076923069</v>
      </c>
      <c r="U41" s="339">
        <f>+SUMIF('Mov_Analizados_May 26'!$I$10:$I$1205,Resumen_Base!E41,'Mov_Analizados_May 26'!$J$10:$J$1205)</f>
        <v>862262.55</v>
      </c>
      <c r="V41" s="340">
        <f>+SUMIF('Mov_Analizados_May 26'!$I$10:$I$1205,Resumen_Base!E41,'Mov_Analizados_May 26'!$K$10:$K$1205)</f>
        <v>962.66384615384618</v>
      </c>
      <c r="X41" s="339">
        <f t="shared" ca="1" si="3"/>
        <v>892457.45000000007</v>
      </c>
      <c r="Y41" s="340">
        <f t="shared" ca="1" si="4"/>
        <v>1587.8030769230768</v>
      </c>
    </row>
    <row r="42" spans="1:26">
      <c r="A42" s="4" t="str">
        <f>+VLOOKUP(C42,'Plan Cuentas Link Armado'!$A$3:$D$105,4,0)</f>
        <v>Communications - Phone, internet and satellite TV</v>
      </c>
      <c r="C42" s="308" t="s">
        <v>56</v>
      </c>
      <c r="D42" s="4" t="s">
        <v>57</v>
      </c>
      <c r="E42" s="4" t="s">
        <v>549</v>
      </c>
      <c r="G42" s="4" t="str">
        <f>+VLOOKUP(C42,'Plan Cuentas Link Armado'!$A$3:$D$105,4,0)</f>
        <v>Communications - Phone, internet and satellite TV</v>
      </c>
      <c r="I42" s="339">
        <f ca="1">+SUMIF('Mov_Analizados_Sept25 - Dic25'!$H$10:$I$1038,Resumen_Base!E42,'Mov_Analizados_Sept25 - Dic25'!$I$10:$I$1038)</f>
        <v>309470.8</v>
      </c>
      <c r="J42" s="340">
        <f ca="1">+SUMIF('Mov_Analizados_Sept25 - Dic25'!$H$10:$J$1038,Resumen_Base!E42,'Mov_Analizados_Sept25 - Dic25'!$J$10:$J$1038)</f>
        <v>214.9</v>
      </c>
      <c r="L42" s="339">
        <f>+SUMIF('Mov_Analizados_Ene 26'!$H$10:$H$330,Resumen_Base!E42,'Mov_Analizados_Ene 26'!$I$10:$I$330)</f>
        <v>-2723.2</v>
      </c>
      <c r="M42" s="340">
        <f>+SUMIF('Mov_Analizados_Ene 26'!$H$10:$H$330,Resumen_Base!E42,'Mov_Analizados_Ene 26'!$J$10:$J$330)</f>
        <v>-1.84</v>
      </c>
      <c r="N42" s="682">
        <f>+SUMIF('Mov_Analizados_Ene 26'!$H$10:$H$330,Resumen_Base!E42,'Mov_Analizados_Ene 26'!$J$10:$J$330)-M42</f>
        <v>0</v>
      </c>
      <c r="O42" s="339">
        <f>+SUMIF('Mov_Analizados_Feb - Mar 26'!$H$10:$H$1378,Resumen_Base!E42,'Mov_Analizados_Feb - Mar 26'!$I$10:$I$1378)</f>
        <v>-1264.5</v>
      </c>
      <c r="P42" s="340">
        <f>+SUMIF('Mov_Analizados_Feb - Mar 26'!$H$10:$H$1378,Resumen_Base!E42,'Mov_Analizados_Feb - Mar 26'!$J$10:$J$1378)</f>
        <v>-0.9</v>
      </c>
      <c r="R42" s="339">
        <f>+SUMIF('Mov_Analizados_Abr 26'!$I$10:$I$862,Resumen_Base!E42,'Mov_Analizados_Abr 26'!$J$10:$J$862)</f>
        <v>0</v>
      </c>
      <c r="S42" s="340">
        <f>+SUMIF('Mov_Analizados_Abr 26'!$I$10:$I$862,Resumen_Base!E42,'Mov_Analizados_Abr 26'!$K$10:$K$862)</f>
        <v>0</v>
      </c>
      <c r="U42" s="339">
        <f>+SUMIF('Mov_Analizados_May 26'!$I$10:$I$1205,Resumen_Base!E42,'Mov_Analizados_May 26'!$J$10:$J$1205)</f>
        <v>0</v>
      </c>
      <c r="V42" s="340">
        <f>+SUMIF('Mov_Analizados_May 26'!$I$10:$I$1205,Resumen_Base!E42,'Mov_Analizados_May 26'!$K$10:$K$1205)</f>
        <v>0</v>
      </c>
      <c r="X42" s="339">
        <f t="shared" ca="1" si="3"/>
        <v>305483.09999999998</v>
      </c>
      <c r="Y42" s="340">
        <f t="shared" ca="1" si="4"/>
        <v>212.16</v>
      </c>
    </row>
    <row r="43" spans="1:26">
      <c r="A43" s="4" t="str">
        <f>+VLOOKUP(C43,'Plan Cuentas Link Armado'!$A$3:$D$105,4,0)</f>
        <v>Communications - Phone, internet and satellite TV</v>
      </c>
      <c r="C43" s="308" t="s">
        <v>72</v>
      </c>
      <c r="D43" s="4" t="s">
        <v>73</v>
      </c>
      <c r="E43" s="4" t="s">
        <v>550</v>
      </c>
      <c r="G43" s="4" t="str">
        <f>+VLOOKUP(C43,'Plan Cuentas Link Armado'!$A$3:$D$105,4,0)</f>
        <v>Communications - Phone, internet and satellite TV</v>
      </c>
      <c r="I43" s="339">
        <f ca="1">+SUMIF('Mov_Analizados_Sept25 - Dic25'!$H$10:$I$1038,Resumen_Base!E43,'Mov_Analizados_Sept25 - Dic25'!$I$10:$I$1038)</f>
        <v>0</v>
      </c>
      <c r="J43" s="340">
        <f ca="1">+SUMIF('Mov_Analizados_Sept25 - Dic25'!$H$10:$J$1038,Resumen_Base!E43,'Mov_Analizados_Sept25 - Dic25'!$J$10:$J$1038)</f>
        <v>58</v>
      </c>
      <c r="L43" s="339">
        <f>+SUMIF('Mov_Analizados_Ene 26'!$H$10:$H$330,Resumen_Base!E43,'Mov_Analizados_Ene 26'!$I$10:$I$330)</f>
        <v>170155.6</v>
      </c>
      <c r="M43" s="340">
        <f>+SUMIF('Mov_Analizados_Ene 26'!$H$10:$H$330,Resumen_Base!E43,'Mov_Analizados_Ene 26'!$J$10:$J$330)</f>
        <v>56.97</v>
      </c>
      <c r="N43" s="682">
        <f>+SUMIF('Mov_Analizados_Ene 26'!$H$10:$H$330,Resumen_Base!E43,'Mov_Analizados_Ene 26'!$J$10:$J$330)-M43</f>
        <v>0</v>
      </c>
      <c r="O43" s="339">
        <f>+SUMIF('Mov_Analizados_Feb - Mar 26'!$H$10:$H$1378,Resumen_Base!E43,'Mov_Analizados_Feb - Mar 26'!$I$10:$I$1378)</f>
        <v>163999.45000000001</v>
      </c>
      <c r="P43" s="340">
        <f>+SUMIF('Mov_Analizados_Feb - Mar 26'!$H$10:$H$1378,Resumen_Base!E43,'Mov_Analizados_Feb - Mar 26'!$J$10:$J$1378)</f>
        <v>116.29</v>
      </c>
      <c r="R43" s="339">
        <f>+SUMIF('Mov_Analizados_Abr 26'!$I$10:$I$862,Resumen_Base!E43,'Mov_Analizados_Abr 26'!$J$10:$J$862)</f>
        <v>79846.149999999994</v>
      </c>
      <c r="S43" s="340">
        <f>+SUMIF('Mov_Analizados_Abr 26'!$I$10:$I$862,Resumen_Base!E43,'Mov_Analizados_Abr 26'!$K$10:$K$862)</f>
        <v>56.83</v>
      </c>
      <c r="U43" s="339">
        <f>+SUMIF('Mov_Analizados_May 26'!$I$10:$I$1205,Resumen_Base!E43,'Mov_Analizados_May 26'!$J$10:$J$1205)</f>
        <v>80286.8</v>
      </c>
      <c r="V43" s="340">
        <f>+SUMIF('Mov_Analizados_May 26'!$I$10:$I$1205,Resumen_Base!E43,'Mov_Analizados_May 26'!$K$10:$K$1205)</f>
        <v>56.54</v>
      </c>
      <c r="X43" s="339">
        <f t="shared" ca="1" si="3"/>
        <v>494288.00000000006</v>
      </c>
      <c r="Y43" s="340">
        <f t="shared" ca="1" si="4"/>
        <v>344.63</v>
      </c>
    </row>
    <row r="44" spans="1:26">
      <c r="A44" s="4" t="str">
        <f>+VLOOKUP(C44,'Plan Cuentas Link Armado'!$A$3:$D$105,4,0)</f>
        <v>Electricity</v>
      </c>
      <c r="C44" s="308" t="s">
        <v>41</v>
      </c>
      <c r="D44" s="4" t="s">
        <v>40</v>
      </c>
      <c r="E44" s="4" t="s">
        <v>551</v>
      </c>
      <c r="G44" s="4" t="str">
        <f>+VLOOKUP(C44,'Plan Cuentas Link Armado'!$A$3:$D$105,4,0)</f>
        <v>Electricity</v>
      </c>
      <c r="I44" s="339">
        <f ca="1">+SUMIF('Mov_Analizados_Sept25 - Dic25'!$H$10:$I$1038,Resumen_Base!E44,'Mov_Analizados_Sept25 - Dic25'!$I$10:$I$1038)</f>
        <v>1295702.3999999999</v>
      </c>
      <c r="J44" s="340">
        <f ca="1">+SUMIF('Mov_Analizados_Sept25 - Dic25'!$H$10:$J$1038,Resumen_Base!E44,'Mov_Analizados_Sept25 - Dic25'!$J$10:$J$1038)</f>
        <v>806.1400000000001</v>
      </c>
      <c r="L44" s="339">
        <f>+SUMIF('Mov_Analizados_Ene 26'!$H$10:$H$330,Resumen_Base!E44,'Mov_Analizados_Ene 26'!$I$10:$I$330)</f>
        <v>0</v>
      </c>
      <c r="M44" s="340">
        <f>+SUMIF('Mov_Analizados_Ene 26'!$H$10:$H$330,Resumen_Base!E44,'Mov_Analizados_Ene 26'!$J$10:$J$330)</f>
        <v>0</v>
      </c>
      <c r="N44" s="682">
        <f>+SUMIF('Mov_Analizados_Ene 26'!$H$10:$H$330,Resumen_Base!E44,'Mov_Analizados_Ene 26'!$J$10:$J$330)-M44</f>
        <v>0</v>
      </c>
      <c r="O44" s="339">
        <f>+SUMIF('Mov_Analizados_Feb - Mar 26'!$H$10:$H$1378,Resumen_Base!E44,'Mov_Analizados_Feb - Mar 26'!$I$10:$I$1378)</f>
        <v>0</v>
      </c>
      <c r="P44" s="340">
        <f>+SUMIF('Mov_Analizados_Feb - Mar 26'!$H$10:$H$1378,Resumen_Base!E44,'Mov_Analizados_Feb - Mar 26'!$J$10:$J$1378)</f>
        <v>0</v>
      </c>
      <c r="R44" s="339">
        <f>+SUMIF('Mov_Analizados_Abr 26'!$I$10:$I$862,Resumen_Base!E44,'Mov_Analizados_Abr 26'!$J$10:$J$862)</f>
        <v>854169.75</v>
      </c>
      <c r="S44" s="340">
        <f>+SUMIF('Mov_Analizados_Abr 26'!$I$10:$I$862,Resumen_Base!E44,'Mov_Analizados_Abr 26'!$K$10:$K$862)</f>
        <v>1024.5397435897437</v>
      </c>
      <c r="U44" s="339">
        <f>+SUMIF('Mov_Analizados_May 26'!$I$10:$I$1205,Resumen_Base!E44,'Mov_Analizados_May 26'!$J$10:$J$1205)</f>
        <v>1154671.1499999999</v>
      </c>
      <c r="V44" s="340">
        <f>+SUMIF('Mov_Analizados_May 26'!$I$10:$I$1205,Resumen_Base!E44,'Mov_Analizados_May 26'!$K$10:$K$1205)</f>
        <v>405.24025641025645</v>
      </c>
      <c r="X44" s="339">
        <f t="shared" ca="1" si="3"/>
        <v>3304543.3</v>
      </c>
      <c r="Y44" s="340">
        <f t="shared" ca="1" si="4"/>
        <v>2235.92</v>
      </c>
    </row>
    <row r="45" spans="1:26">
      <c r="A45" s="4" t="str">
        <f>+VLOOKUP(C45,'Plan Cuentas Link Armado'!$A$3:$D$105,4,0)</f>
        <v>Propane</v>
      </c>
      <c r="C45" s="308" t="s">
        <v>39</v>
      </c>
      <c r="D45" s="4" t="s">
        <v>38</v>
      </c>
      <c r="E45" s="4" t="s">
        <v>552</v>
      </c>
      <c r="G45" s="4" t="str">
        <f>+VLOOKUP(C45,'Plan Cuentas Link Armado'!$A$3:$D$105,4,0)</f>
        <v>Propane</v>
      </c>
      <c r="I45" s="339">
        <f ca="1">+SUMIF('Mov_Analizados_Sept25 - Dic25'!$H$10:$I$1038,Resumen_Base!E45,'Mov_Analizados_Sept25 - Dic25'!$I$10:$I$1038)</f>
        <v>0</v>
      </c>
      <c r="J45" s="340">
        <f ca="1">+SUMIF('Mov_Analizados_Sept25 - Dic25'!$H$10:$J$1038,Resumen_Base!E45,'Mov_Analizados_Sept25 - Dic25'!$J$10:$J$1038)</f>
        <v>0</v>
      </c>
      <c r="L45" s="339">
        <f>+SUMIF('Mov_Analizados_Ene 26'!$H$10:$H$330,Resumen_Base!E45,'Mov_Analizados_Ene 26'!$I$10:$I$330)</f>
        <v>0</v>
      </c>
      <c r="M45" s="340">
        <f>+SUMIF('Mov_Analizados_Ene 26'!$H$10:$H$330,Resumen_Base!E45,'Mov_Analizados_Ene 26'!$J$10:$J$330)</f>
        <v>0</v>
      </c>
      <c r="N45" s="682">
        <f>+SUMIF('Mov_Analizados_Ene 26'!$H$10:$H$330,Resumen_Base!E45,'Mov_Analizados_Ene 26'!$J$10:$J$330)-M45</f>
        <v>0</v>
      </c>
      <c r="O45" s="339">
        <f>+SUMIF('Mov_Analizados_Feb - Mar 26'!$H$10:$H$1378,Resumen_Base!E45,'Mov_Analizados_Feb - Mar 26'!$I$10:$I$1378)</f>
        <v>0</v>
      </c>
      <c r="P45" s="340">
        <f>+SUMIF('Mov_Analizados_Feb - Mar 26'!$H$10:$H$1378,Resumen_Base!E45,'Mov_Analizados_Feb - Mar 26'!$J$10:$J$1378)</f>
        <v>0</v>
      </c>
      <c r="R45" s="339">
        <f>+SUMIF('Mov_Analizados_Abr 26'!$I$10:$I$862,Resumen_Base!E45,'Mov_Analizados_Abr 26'!$J$10:$J$862)</f>
        <v>0</v>
      </c>
      <c r="S45" s="340">
        <f>+SUMIF('Mov_Analizados_Abr 26'!$I$10:$I$862,Resumen_Base!E45,'Mov_Analizados_Abr 26'!$K$10:$K$862)</f>
        <v>0</v>
      </c>
      <c r="U45" s="339">
        <f>+SUMIF('Mov_Analizados_May 26'!$I$10:$I$1205,Resumen_Base!E45,'Mov_Analizados_May 26'!$J$10:$J$1205)</f>
        <v>0</v>
      </c>
      <c r="V45" s="340">
        <f>+SUMIF('Mov_Analizados_May 26'!$I$10:$I$1205,Resumen_Base!E45,'Mov_Analizados_May 26'!$K$10:$K$1205)</f>
        <v>0</v>
      </c>
      <c r="X45" s="339">
        <f t="shared" ca="1" si="3"/>
        <v>0</v>
      </c>
      <c r="Y45" s="340">
        <f t="shared" ca="1" si="4"/>
        <v>0</v>
      </c>
    </row>
    <row r="46" spans="1:26">
      <c r="A46" s="4" t="str">
        <f>+VLOOKUP(C46,'Plan Cuentas Link Armado'!$A$3:$D$105,4,0)</f>
        <v>Maintenance Lodge</v>
      </c>
      <c r="C46" s="308" t="s">
        <v>33</v>
      </c>
      <c r="D46" s="4" t="s">
        <v>32</v>
      </c>
      <c r="E46" s="4" t="s">
        <v>553</v>
      </c>
      <c r="G46" s="4" t="str">
        <f>+VLOOKUP(C46,'Plan Cuentas Link Armado'!$A$3:$D$105,4,0)</f>
        <v>Maintenance Lodge</v>
      </c>
      <c r="I46" s="339">
        <f ca="1">+SUMIF('Mov_Analizados_Sept25 - Dic25'!$H$10:$I$1038,Resumen_Base!E46,'Mov_Analizados_Sept25 - Dic25'!$I$10:$I$1038)</f>
        <v>-1391.6</v>
      </c>
      <c r="J46" s="340">
        <f ca="1">+SUMIF('Mov_Analizados_Sept25 - Dic25'!$H$10:$J$1038,Resumen_Base!E46,'Mov_Analizados_Sept25 - Dic25'!$J$10:$J$1038)</f>
        <v>-0.98</v>
      </c>
      <c r="L46" s="339">
        <f>+SUMIF('Mov_Analizados_Ene 26'!$H$10:$H$330,Resumen_Base!E46,'Mov_Analizados_Ene 26'!$I$10:$I$330)</f>
        <v>0</v>
      </c>
      <c r="M46" s="340">
        <f>+SUMIF('Mov_Analizados_Ene 26'!$H$10:$H$330,Resumen_Base!E46,'Mov_Analizados_Ene 26'!$J$10:$J$330)</f>
        <v>0</v>
      </c>
      <c r="N46" s="682">
        <f>+SUMIF('Mov_Analizados_Ene 26'!$H$10:$H$330,Resumen_Base!E46,'Mov_Analizados_Ene 26'!$J$10:$J$330)-M46</f>
        <v>0</v>
      </c>
      <c r="O46" s="339">
        <f>+SUMIF('Mov_Analizados_Feb - Mar 26'!$H$10:$H$1378,Resumen_Base!E46,'Mov_Analizados_Feb - Mar 26'!$I$10:$I$1378)</f>
        <v>388356.05</v>
      </c>
      <c r="P46" s="340">
        <f>+SUMIF('Mov_Analizados_Feb - Mar 26'!$H$10:$H$1378,Resumen_Base!E46,'Mov_Analizados_Feb - Mar 26'!$J$10:$J$1378)</f>
        <v>276.41000000000003</v>
      </c>
      <c r="R46" s="339">
        <f>+SUMIF('Mov_Analizados_Abr 26'!$I$10:$I$862,Resumen_Base!E46,'Mov_Analizados_Abr 26'!$J$10:$J$862)</f>
        <v>4304400.1500000004</v>
      </c>
      <c r="S46" s="340">
        <f>+SUMIF('Mov_Analizados_Abr 26'!$I$10:$I$862,Resumen_Base!E46,'Mov_Analizados_Abr 26'!$K$10:$K$862)</f>
        <v>7454.1420512820514</v>
      </c>
      <c r="U46" s="339">
        <f>+SUMIF('Mov_Analizados_May 26'!$I$10:$I$1205,Resumen_Base!E46,'Mov_Analizados_May 26'!$J$10:$J$1205)</f>
        <v>9484540.7499999981</v>
      </c>
      <c r="V46" s="340">
        <f>+SUMIF('Mov_Analizados_May 26'!$I$10:$I$1205,Resumen_Base!E46,'Mov_Analizados_May 26'!$K$10:$K$1205)</f>
        <v>5087.3200000000006</v>
      </c>
      <c r="X46" s="339">
        <f t="shared" ca="1" si="3"/>
        <v>14175905.349999998</v>
      </c>
      <c r="Y46" s="340">
        <f t="shared" ca="1" si="4"/>
        <v>12816.892051282051</v>
      </c>
    </row>
    <row r="47" spans="1:26">
      <c r="A47" s="4" t="str">
        <f>+VLOOKUP(C47,'Plan Cuentas Link Armado'!$A$3:$D$105,4,0)</f>
        <v>Maintenance Lodge</v>
      </c>
      <c r="C47" s="308" t="s">
        <v>261</v>
      </c>
      <c r="D47" s="4" t="s">
        <v>262</v>
      </c>
      <c r="E47" s="152" t="s">
        <v>554</v>
      </c>
      <c r="G47" s="4" t="str">
        <f>+VLOOKUP(C47,'Plan Cuentas Link Armado'!$A$3:$D$105,4,0)</f>
        <v>Maintenance Lodge</v>
      </c>
      <c r="I47" s="339">
        <f ca="1">+SUMIF('Mov_Analizados_Sept25 - Dic25'!$H$10:$I$1038,Resumen_Base!E47,'Mov_Analizados_Sept25 - Dic25'!$I$10:$I$1038)</f>
        <v>0</v>
      </c>
      <c r="J47" s="340">
        <f ca="1">+SUMIF('Mov_Analizados_Sept25 - Dic25'!$H$10:$J$1038,Resumen_Base!E47,'Mov_Analizados_Sept25 - Dic25'!$J$10:$J$1038)</f>
        <v>0</v>
      </c>
      <c r="L47" s="339">
        <f>+SUMIF('Mov_Analizados_Ene 26'!$H$10:$H$330,Resumen_Base!E47,'Mov_Analizados_Ene 26'!$I$10:$I$330)</f>
        <v>638738.4</v>
      </c>
      <c r="M47" s="340">
        <f>+SUMIF('Mov_Analizados_Ene 26'!$H$10:$H$330,Resumen_Base!E47,'Mov_Analizados_Ene 26'!$J$10:$J$330)</f>
        <v>431.58</v>
      </c>
      <c r="N47" s="682">
        <f>+SUMIF('Mov_Analizados_Ene 26'!$H$10:$H$330,Resumen_Base!E47,'Mov_Analizados_Ene 26'!$J$10:$J$330)-M47</f>
        <v>0</v>
      </c>
      <c r="O47" s="339">
        <f>+SUMIF('Mov_Analizados_Feb - Mar 26'!$H$10:$H$1378,Resumen_Base!E47,'Mov_Analizados_Feb - Mar 26'!$I$10:$I$1378)</f>
        <v>1754428.75</v>
      </c>
      <c r="P47" s="340">
        <f>+SUMIF('Mov_Analizados_Feb - Mar 26'!$H$10:$H$1378,Resumen_Base!E47,'Mov_Analizados_Feb - Mar 26'!$J$10:$J$1378)</f>
        <v>1691.2355000000002</v>
      </c>
      <c r="R47" s="339">
        <f>+SUMIF('Mov_Analizados_Abr 26'!$I$10:$I$862,Resumen_Base!E47,'Mov_Analizados_Abr 26'!$J$10:$J$862)</f>
        <v>634947.6</v>
      </c>
      <c r="S47" s="340">
        <f>+SUMIF('Mov_Analizados_Abr 26'!$I$10:$I$862,Resumen_Base!E47,'Mov_Analizados_Abr 26'!$K$10:$K$862)</f>
        <v>4.500000000007276E-3</v>
      </c>
      <c r="U47" s="339">
        <f>+SUMIF('Mov_Analizados_May 26'!$I$10:$I$1205,Resumen_Base!E47,'Mov_Analizados_May 26'!$J$10:$J$1205)</f>
        <v>858543.35</v>
      </c>
      <c r="V47" s="340">
        <f>+SUMIF('Mov_Analizados_May 26'!$I$10:$I$1205,Resumen_Base!E47,'Mov_Analizados_May 26'!$K$10:$K$1205)</f>
        <v>1493.7238461538461</v>
      </c>
      <c r="X47" s="339">
        <f t="shared" ca="1" si="3"/>
        <v>3886658.1</v>
      </c>
      <c r="Y47" s="340">
        <f t="shared" ca="1" si="4"/>
        <v>3616.5438461538461</v>
      </c>
    </row>
    <row r="48" spans="1:26">
      <c r="A48" s="4" t="str">
        <f>+VLOOKUP(C48,'Plan Cuentas Link Armado'!$A$3:$D$105,4,0)</f>
        <v>Miscellaneous &amp; Shipping</v>
      </c>
      <c r="C48" s="308" t="s">
        <v>43</v>
      </c>
      <c r="D48" s="4" t="s">
        <v>42</v>
      </c>
      <c r="E48" s="4" t="s">
        <v>555</v>
      </c>
      <c r="G48" s="4" t="str">
        <f>+VLOOKUP(C48,'Plan Cuentas Link Armado'!$A$3:$D$105,4,0)</f>
        <v>Miscellaneous &amp; Shipping</v>
      </c>
      <c r="I48" s="339">
        <f ca="1">+SUMIF('Mov_Analizados_Sept25 - Dic25'!$H$10:$I$1038,Resumen_Base!E48,'Mov_Analizados_Sept25 - Dic25'!$I$10:$I$1038)</f>
        <v>0</v>
      </c>
      <c r="J48" s="340">
        <f ca="1">+SUMIF('Mov_Analizados_Sept25 - Dic25'!$H$10:$J$1038,Resumen_Base!E48,'Mov_Analizados_Sept25 - Dic25'!$J$10:$J$1038)</f>
        <v>0</v>
      </c>
      <c r="L48" s="339">
        <f>+SUMIF('Mov_Analizados_Ene 26'!$H$10:$H$330,Resumen_Base!E48,'Mov_Analizados_Ene 26'!$I$10:$I$330)</f>
        <v>0</v>
      </c>
      <c r="M48" s="340">
        <f>+SUMIF('Mov_Analizados_Ene 26'!$H$10:$H$330,Resumen_Base!E48,'Mov_Analizados_Ene 26'!$J$10:$J$330)</f>
        <v>0</v>
      </c>
      <c r="N48" s="682">
        <f>+SUMIF('Mov_Analizados_Ene 26'!$H$10:$H$330,Resumen_Base!E48,'Mov_Analizados_Ene 26'!$J$10:$J$330)-M48</f>
        <v>0</v>
      </c>
      <c r="O48" s="339">
        <f>+SUMIF('Mov_Analizados_Feb - Mar 26'!$H$10:$H$1378,Resumen_Base!E48,'Mov_Analizados_Feb - Mar 26'!$I$10:$I$1378)</f>
        <v>0</v>
      </c>
      <c r="P48" s="340">
        <f>+SUMIF('Mov_Analizados_Feb - Mar 26'!$H$10:$H$1378,Resumen_Base!E48,'Mov_Analizados_Feb - Mar 26'!$J$10:$J$1378)</f>
        <v>0</v>
      </c>
      <c r="R48" s="339">
        <f>+SUMIF('Mov_Analizados_Abr 26'!$I$10:$I$862,Resumen_Base!E48,'Mov_Analizados_Abr 26'!$J$10:$J$862)</f>
        <v>0</v>
      </c>
      <c r="S48" s="340">
        <f>+SUMIF('Mov_Analizados_Abr 26'!$I$10:$I$862,Resumen_Base!E48,'Mov_Analizados_Abr 26'!$K$10:$K$862)</f>
        <v>0</v>
      </c>
      <c r="U48" s="339">
        <f>+SUMIF('Mov_Analizados_May 26'!$I$10:$I$1205,Resumen_Base!E48,'Mov_Analizados_May 26'!$J$10:$J$1205)</f>
        <v>0</v>
      </c>
      <c r="V48" s="340">
        <f>+SUMIF('Mov_Analizados_May 26'!$I$10:$I$1205,Resumen_Base!E48,'Mov_Analizados_May 26'!$K$10:$K$1205)</f>
        <v>0</v>
      </c>
      <c r="X48" s="339">
        <f t="shared" ca="1" si="3"/>
        <v>0</v>
      </c>
      <c r="Y48" s="340">
        <f t="shared" ca="1" si="4"/>
        <v>0</v>
      </c>
    </row>
    <row r="49" spans="1:25">
      <c r="A49" s="4" t="str">
        <f>+VLOOKUP(C49,'Plan Cuentas Link Armado'!$A$3:$D$105,4,0)</f>
        <v>Miscellaneous &amp; Shipping</v>
      </c>
      <c r="C49" s="308" t="s">
        <v>58</v>
      </c>
      <c r="D49" s="4" t="s">
        <v>59</v>
      </c>
      <c r="E49" s="4" t="s">
        <v>556</v>
      </c>
      <c r="G49" s="4" t="str">
        <f>+VLOOKUP(C49,'Plan Cuentas Link Armado'!$A$3:$D$105,4,0)</f>
        <v>Miscellaneous &amp; Shipping</v>
      </c>
      <c r="I49" s="339">
        <f ca="1">+SUMIF('Mov_Analizados_Sept25 - Dic25'!$H$10:$I$1038,Resumen_Base!E49,'Mov_Analizados_Sept25 - Dic25'!$I$10:$I$1038)</f>
        <v>47886.000000000276</v>
      </c>
      <c r="J49" s="340">
        <f ca="1">+SUMIF('Mov_Analizados_Sept25 - Dic25'!$H$10:$J$1038,Resumen_Base!E49,'Mov_Analizados_Sept25 - Dic25'!$J$10:$J$1038)</f>
        <v>11.559999999999887</v>
      </c>
      <c r="L49" s="339">
        <f>+SUMIF('Mov_Analizados_Ene 26'!$H$10:$H$330,Resumen_Base!E49,'Mov_Analizados_Ene 26'!$I$10:$I$330)</f>
        <v>0</v>
      </c>
      <c r="M49" s="340">
        <f>+SUMIF('Mov_Analizados_Ene 26'!$H$10:$H$330,Resumen_Base!E49,'Mov_Analizados_Ene 26'!$J$10:$J$330)</f>
        <v>0</v>
      </c>
      <c r="N49" s="682">
        <f>+SUMIF('Mov_Analizados_Ene 26'!$H$10:$H$330,Resumen_Base!E49,'Mov_Analizados_Ene 26'!$J$10:$J$330)-M49</f>
        <v>0</v>
      </c>
      <c r="O49" s="339">
        <f>+SUMIF('Mov_Analizados_Feb - Mar 26'!$H$10:$H$1378,Resumen_Base!E49,'Mov_Analizados_Feb - Mar 26'!$I$10:$I$1378)</f>
        <v>3447332.45</v>
      </c>
      <c r="P49" s="340">
        <f>+SUMIF('Mov_Analizados_Feb - Mar 26'!$H$10:$H$1378,Resumen_Base!E49,'Mov_Analizados_Feb - Mar 26'!$J$10:$J$1378)</f>
        <v>2462.29</v>
      </c>
      <c r="R49" s="339">
        <f>+SUMIF('Mov_Analizados_Abr 26'!$I$10:$I$862,Resumen_Base!E49,'Mov_Analizados_Abr 26'!$J$10:$J$862)</f>
        <v>1681235.65</v>
      </c>
      <c r="S49" s="340">
        <f>+SUMIF('Mov_Analizados_Abr 26'!$I$10:$I$862,Resumen_Base!E49,'Mov_Analizados_Abr 26'!$K$10:$K$862)</f>
        <v>1391.9677215074371</v>
      </c>
      <c r="U49" s="339">
        <f>+SUMIF('Mov_Analizados_May 26'!$I$10:$I$1205,Resumen_Base!E49,'Mov_Analizados_May 26'!$J$10:$J$1205)</f>
        <v>329453.69999999995</v>
      </c>
      <c r="V49" s="340">
        <f>+SUMIF('Mov_Analizados_May 26'!$I$10:$I$1205,Resumen_Base!E49,'Mov_Analizados_May 26'!$K$10:$K$1205)</f>
        <v>1951.0220512820513</v>
      </c>
      <c r="X49" s="339">
        <f t="shared" ca="1" si="3"/>
        <v>5505907.8000000007</v>
      </c>
      <c r="Y49" s="340">
        <f t="shared" ca="1" si="4"/>
        <v>5816.8397727894881</v>
      </c>
    </row>
    <row r="50" spans="1:25">
      <c r="A50" s="4" t="str">
        <f>+VLOOKUP(C50,'Plan Cuentas Link Armado'!$A$3:$D$105,4,0)</f>
        <v>Miscellaneous &amp; Shipping</v>
      </c>
      <c r="C50" s="308" t="s">
        <v>244</v>
      </c>
      <c r="D50" s="4" t="s">
        <v>245</v>
      </c>
      <c r="E50" s="152" t="s">
        <v>557</v>
      </c>
      <c r="G50" s="4" t="str">
        <f>+VLOOKUP(C50,'Plan Cuentas Link Armado'!$A$3:$D$105,4,0)</f>
        <v>Miscellaneous &amp; Shipping</v>
      </c>
      <c r="I50" s="339">
        <f ca="1">+SUMIF('Mov_Analizados_Sept25 - Dic25'!$H$10:$I$1038,Resumen_Base!E50,'Mov_Analizados_Sept25 - Dic25'!$I$10:$I$1038)</f>
        <v>0</v>
      </c>
      <c r="J50" s="340">
        <f ca="1">+SUMIF('Mov_Analizados_Sept25 - Dic25'!$H$10:$J$1038,Resumen_Base!E50,'Mov_Analizados_Sept25 - Dic25'!$J$10:$J$1038)</f>
        <v>0</v>
      </c>
      <c r="L50" s="339">
        <f>+SUMIF('Mov_Analizados_Ene 26'!$H$10:$H$330,Resumen_Base!E50,'Mov_Analizados_Ene 26'!$I$10:$I$330)</f>
        <v>0</v>
      </c>
      <c r="M50" s="340">
        <f>+SUMIF('Mov_Analizados_Ene 26'!$H$10:$H$330,Resumen_Base!E50,'Mov_Analizados_Ene 26'!$J$10:$J$330)</f>
        <v>0</v>
      </c>
      <c r="N50" s="682">
        <f>+SUMIF('Mov_Analizados_Ene 26'!$H$10:$H$330,Resumen_Base!E50,'Mov_Analizados_Ene 26'!$J$10:$J$330)-M50</f>
        <v>0</v>
      </c>
      <c r="O50" s="339">
        <f>+SUMIF('Mov_Analizados_Feb - Mar 26'!$H$10:$H$1378,Resumen_Base!E50,'Mov_Analizados_Feb - Mar 26'!$I$10:$I$1378)</f>
        <v>0</v>
      </c>
      <c r="P50" s="340">
        <f>+SUMIF('Mov_Analizados_Feb - Mar 26'!$H$10:$H$1378,Resumen_Base!E50,'Mov_Analizados_Feb - Mar 26'!$J$10:$J$1378)</f>
        <v>0</v>
      </c>
      <c r="R50" s="339">
        <f>+SUMIF('Mov_Analizados_Abr 26'!$I$10:$I$862,Resumen_Base!E50,'Mov_Analizados_Abr 26'!$J$10:$J$862)</f>
        <v>0</v>
      </c>
      <c r="S50" s="340">
        <f>+SUMIF('Mov_Analizados_Abr 26'!$I$10:$I$862,Resumen_Base!E50,'Mov_Analizados_Abr 26'!$K$10:$K$862)</f>
        <v>0</v>
      </c>
      <c r="U50" s="339">
        <f>+SUMIF('Mov_Analizados_May 26'!$I$10:$I$1205,Resumen_Base!E50,'Mov_Analizados_May 26'!$J$10:$J$1205)</f>
        <v>0</v>
      </c>
      <c r="V50" s="340">
        <f>+SUMIF('Mov_Analizados_May 26'!$I$10:$I$1205,Resumen_Base!E50,'Mov_Analizados_May 26'!$K$10:$K$1205)</f>
        <v>0</v>
      </c>
      <c r="X50" s="339">
        <f t="shared" ca="1" si="3"/>
        <v>0</v>
      </c>
      <c r="Y50" s="340">
        <f t="shared" ca="1" si="4"/>
        <v>0</v>
      </c>
    </row>
    <row r="51" spans="1:25">
      <c r="A51" s="4" t="str">
        <f>+VLOOKUP(C51,'Plan Cuentas Link Armado'!$A$3:$D$105,4,0)</f>
        <v>Miscellaneous &amp; Shipping</v>
      </c>
      <c r="C51" s="308" t="s">
        <v>28</v>
      </c>
      <c r="D51" s="4" t="s">
        <v>27</v>
      </c>
      <c r="E51" s="4" t="s">
        <v>558</v>
      </c>
      <c r="G51" s="4" t="str">
        <f>+VLOOKUP(C51,'Plan Cuentas Link Armado'!$A$3:$D$105,4,0)</f>
        <v>Miscellaneous &amp; Shipping</v>
      </c>
      <c r="I51" s="339">
        <f ca="1">+SUMIF('Mov_Analizados_Sept25 - Dic25'!$H$10:$I$1038,Resumen_Base!E51,'Mov_Analizados_Sept25 - Dic25'!$I$10:$I$1038)</f>
        <v>0</v>
      </c>
      <c r="J51" s="340">
        <f ca="1">+SUMIF('Mov_Analizados_Sept25 - Dic25'!$H$10:$J$1038,Resumen_Base!E51,'Mov_Analizados_Sept25 - Dic25'!$J$10:$J$1038)</f>
        <v>0</v>
      </c>
      <c r="L51" s="339">
        <f>+SUMIF('Mov_Analizados_Ene 26'!$H$10:$H$330,Resumen_Base!E51,'Mov_Analizados_Ene 26'!$I$10:$I$330)</f>
        <v>0</v>
      </c>
      <c r="M51" s="340">
        <f>+SUMIF('Mov_Analizados_Ene 26'!$H$10:$H$330,Resumen_Base!E51,'Mov_Analizados_Ene 26'!$J$10:$J$330)</f>
        <v>0</v>
      </c>
      <c r="N51" s="682">
        <f>+SUMIF('Mov_Analizados_Ene 26'!$H$10:$H$330,Resumen_Base!E51,'Mov_Analizados_Ene 26'!$J$10:$J$330)-M51</f>
        <v>0</v>
      </c>
      <c r="O51" s="339">
        <f>+SUMIF('Mov_Analizados_Feb - Mar 26'!$H$10:$H$1378,Resumen_Base!E51,'Mov_Analizados_Feb - Mar 26'!$I$10:$I$1378)</f>
        <v>0</v>
      </c>
      <c r="P51" s="340">
        <f>+SUMIF('Mov_Analizados_Feb - Mar 26'!$H$10:$H$1378,Resumen_Base!E51,'Mov_Analizados_Feb - Mar 26'!$J$10:$J$1378)</f>
        <v>0</v>
      </c>
      <c r="R51" s="339">
        <f>+SUMIF('Mov_Analizados_Abr 26'!$I$10:$I$862,Resumen_Base!E51,'Mov_Analizados_Abr 26'!$J$10:$J$862)</f>
        <v>0</v>
      </c>
      <c r="S51" s="340">
        <f>+SUMIF('Mov_Analizados_Abr 26'!$I$10:$I$862,Resumen_Base!E51,'Mov_Analizados_Abr 26'!$K$10:$K$862)</f>
        <v>0</v>
      </c>
      <c r="U51" s="339">
        <f>+SUMIF('Mov_Analizados_May 26'!$I$10:$I$1205,Resumen_Base!E51,'Mov_Analizados_May 26'!$J$10:$J$1205)</f>
        <v>40000</v>
      </c>
      <c r="V51" s="340">
        <f>+SUMIF('Mov_Analizados_May 26'!$I$10:$I$1205,Resumen_Base!E51,'Mov_Analizados_May 26'!$K$10:$K$1205)</f>
        <v>28.469750889679698</v>
      </c>
      <c r="X51" s="339">
        <f t="shared" ca="1" si="3"/>
        <v>40000</v>
      </c>
      <c r="Y51" s="340">
        <f t="shared" ca="1" si="4"/>
        <v>28.469750889679698</v>
      </c>
    </row>
    <row r="52" spans="1:25">
      <c r="A52" s="4" t="str">
        <f>+VLOOKUP(C52,'Plan Cuentas Link Armado'!$A$3:$D$105,4,0)</f>
        <v>Electricity</v>
      </c>
      <c r="C52" s="308" t="s">
        <v>70</v>
      </c>
      <c r="D52" s="4" t="s">
        <v>71</v>
      </c>
      <c r="E52" s="4" t="s">
        <v>559</v>
      </c>
      <c r="G52" s="4" t="str">
        <f>+VLOOKUP(C52,'Plan Cuentas Link Armado'!$A$3:$D$105,4,0)</f>
        <v>Electricity</v>
      </c>
      <c r="I52" s="339">
        <f ca="1">+SUMIF('Mov_Analizados_Sept25 - Dic25'!$H$10:$I$1038,Resumen_Base!E52,'Mov_Analizados_Sept25 - Dic25'!$I$10:$I$1038)</f>
        <v>0</v>
      </c>
      <c r="J52" s="340">
        <f ca="1">+SUMIF('Mov_Analizados_Sept25 - Dic25'!$H$10:$J$1038,Resumen_Base!E52,'Mov_Analizados_Sept25 - Dic25'!$J$10:$J$1038)</f>
        <v>0</v>
      </c>
      <c r="L52" s="339">
        <f>+SUMIF('Mov_Analizados_Ene 26'!$H$10:$H$330,Resumen_Base!E52,'Mov_Analizados_Ene 26'!$I$10:$I$330)</f>
        <v>0</v>
      </c>
      <c r="M52" s="340">
        <f>+SUMIF('Mov_Analizados_Ene 26'!$H$10:$H$330,Resumen_Base!E52,'Mov_Analizados_Ene 26'!$J$10:$J$330)</f>
        <v>0</v>
      </c>
      <c r="N52" s="682">
        <f>+SUMIF('Mov_Analizados_Ene 26'!$H$10:$H$330,Resumen_Base!E52,'Mov_Analizados_Ene 26'!$J$10:$J$330)-M52</f>
        <v>0</v>
      </c>
      <c r="O52" s="339">
        <f>+SUMIF('Mov_Analizados_Feb - Mar 26'!$H$10:$H$1378,Resumen_Base!E52,'Mov_Analizados_Feb - Mar 26'!$I$10:$I$1378)</f>
        <v>0</v>
      </c>
      <c r="P52" s="340">
        <f>+SUMIF('Mov_Analizados_Feb - Mar 26'!$H$10:$H$1378,Resumen_Base!E52,'Mov_Analizados_Feb - Mar 26'!$J$10:$J$1378)</f>
        <v>0</v>
      </c>
      <c r="R52" s="339">
        <f>+SUMIF('Mov_Analizados_Abr 26'!$I$10:$I$862,Resumen_Base!E52,'Mov_Analizados_Abr 26'!$J$10:$J$862)</f>
        <v>0</v>
      </c>
      <c r="S52" s="340">
        <f>+SUMIF('Mov_Analizados_Abr 26'!$I$10:$I$862,Resumen_Base!E52,'Mov_Analizados_Abr 26'!$K$10:$K$862)</f>
        <v>1474.2702564102565</v>
      </c>
      <c r="U52" s="339">
        <f>+SUMIF('Mov_Analizados_May 26'!$I$10:$I$1205,Resumen_Base!E52,'Mov_Analizados_May 26'!$J$10:$J$1205)</f>
        <v>2267804.2000000002</v>
      </c>
      <c r="V52" s="340">
        <f>+SUMIF('Mov_Analizados_May 26'!$I$10:$I$1205,Resumen_Base!E52,'Mov_Analizados_May 26'!$K$10:$K$1205)</f>
        <v>138.20974358974354</v>
      </c>
      <c r="X52" s="339">
        <f t="shared" ca="1" si="3"/>
        <v>2267804.2000000002</v>
      </c>
      <c r="Y52" s="340">
        <f t="shared" ca="1" si="4"/>
        <v>1612.48</v>
      </c>
    </row>
    <row r="53" spans="1:25">
      <c r="A53" s="4" t="str">
        <f>+VLOOKUP(C53,'Plan Cuentas Link Armado'!$A$3:$D$105,4,0)</f>
        <v>Travel for personnel (employees)</v>
      </c>
      <c r="C53" s="308" t="s">
        <v>68</v>
      </c>
      <c r="D53" s="4" t="s">
        <v>69</v>
      </c>
      <c r="E53" s="4" t="s">
        <v>560</v>
      </c>
      <c r="G53" s="4" t="str">
        <f>+VLOOKUP(C53,'Plan Cuentas Link Armado'!$A$3:$D$105,4,0)</f>
        <v>Travel for personnel (employees)</v>
      </c>
      <c r="I53" s="339">
        <f ca="1">+SUMIF('Mov_Analizados_Sept25 - Dic25'!$H$10:$I$1038,Resumen_Base!E53,'Mov_Analizados_Sept25 - Dic25'!$I$10:$I$1038)</f>
        <v>2536821.4</v>
      </c>
      <c r="J53" s="340">
        <f ca="1">+SUMIF('Mov_Analizados_Sept25 - Dic25'!$H$10:$J$1038,Resumen_Base!E53,'Mov_Analizados_Sept25 - Dic25'!$J$10:$J$1038)</f>
        <v>1756.4200000000008</v>
      </c>
      <c r="L53" s="339">
        <f>+SUMIF('Mov_Analizados_Ene 26'!$H$10:$H$330,Resumen_Base!E53,'Mov_Analizados_Ene 26'!$I$10:$I$330)</f>
        <v>0</v>
      </c>
      <c r="M53" s="340">
        <f>+SUMIF('Mov_Analizados_Ene 26'!$H$10:$H$330,Resumen_Base!E53,'Mov_Analizados_Ene 26'!$J$10:$J$330)</f>
        <v>0</v>
      </c>
      <c r="N53" s="682">
        <f>+SUMIF('Mov_Analizados_Ene 26'!$H$10:$H$330,Resumen_Base!E53,'Mov_Analizados_Ene 26'!$J$10:$J$330)-M53</f>
        <v>0</v>
      </c>
      <c r="O53" s="339">
        <f>+SUMIF('Mov_Analizados_Feb - Mar 26'!$H$10:$H$1378,Resumen_Base!E53,'Mov_Analizados_Feb - Mar 26'!$I$10:$I$1378)</f>
        <v>0</v>
      </c>
      <c r="P53" s="340">
        <f>+SUMIF('Mov_Analizados_Feb - Mar 26'!$H$10:$H$1378,Resumen_Base!E53,'Mov_Analizados_Feb - Mar 26'!$J$10:$J$1378)</f>
        <v>0</v>
      </c>
      <c r="R53" s="339">
        <f>+SUMIF('Mov_Analizados_Abr 26'!$I$10:$I$862,Resumen_Base!E53,'Mov_Analizados_Abr 26'!$J$10:$J$862)</f>
        <v>1186241.5</v>
      </c>
      <c r="S53" s="340">
        <f>+SUMIF('Mov_Analizados_Abr 26'!$I$10:$I$862,Resumen_Base!E53,'Mov_Analizados_Abr 26'!$K$10:$K$862)</f>
        <v>1105.6923076923076</v>
      </c>
      <c r="U53" s="339">
        <f>+SUMIF('Mov_Analizados_May 26'!$I$10:$I$1205,Resumen_Base!E53,'Mov_Analizados_May 26'!$J$10:$J$1205)</f>
        <v>389545.2</v>
      </c>
      <c r="V53" s="340">
        <f>+SUMIF('Mov_Analizados_May 26'!$I$10:$I$1205,Resumen_Base!E53,'Mov_Analizados_May 26'!$K$10:$K$1205)</f>
        <v>647.68769230769226</v>
      </c>
      <c r="X53" s="339">
        <f t="shared" ca="1" si="3"/>
        <v>4112608.1</v>
      </c>
      <c r="Y53" s="340">
        <f t="shared" ca="1" si="4"/>
        <v>3509.8000000000011</v>
      </c>
    </row>
    <row r="54" spans="1:25">
      <c r="A54" s="4" t="str">
        <f>+VLOOKUP(C54,'Plan Cuentas Link Armado'!$A$3:$D$105,4,0)</f>
        <v>Fixed Asset's Payments (Investments) Mejoras/equipamiento Lodge</v>
      </c>
      <c r="C54" s="4" t="s">
        <v>54</v>
      </c>
      <c r="D54" s="4" t="s">
        <v>55</v>
      </c>
      <c r="E54" s="4" t="s">
        <v>561</v>
      </c>
      <c r="G54" s="4" t="str">
        <f>+VLOOKUP(C54,'Plan Cuentas Link Armado'!$A$3:$D$105,4,0)</f>
        <v>Fixed Asset's Payments (Investments) Mejoras/equipamiento Lodge</v>
      </c>
      <c r="I54" s="339">
        <f ca="1">+SUMIF('Mov_Analizados_Sept25 - Dic25'!$H$10:$I$1038,Resumen_Base!E54,'Mov_Analizados_Sept25 - Dic25'!$I$10:$I$1038)</f>
        <v>0</v>
      </c>
      <c r="J54" s="340">
        <f ca="1">+SUMIF('Mov_Analizados_Sept25 - Dic25'!$H$10:$J$1038,Resumen_Base!E54,'Mov_Analizados_Sept25 - Dic25'!$J$10:$J$1038)</f>
        <v>0</v>
      </c>
      <c r="L54" s="339">
        <f>+SUMIF('Mov_Analizados_Ene 26'!$H$10:$H$330,Resumen_Base!E54,'Mov_Analizados_Ene 26'!$I$10:$I$330)</f>
        <v>0</v>
      </c>
      <c r="M54" s="340">
        <f>+SUMIF('Mov_Analizados_Ene 26'!$H$10:$H$330,Resumen_Base!E54,'Mov_Analizados_Ene 26'!$J$10:$J$330)</f>
        <v>0</v>
      </c>
      <c r="N54" s="682">
        <f>+SUMIF('Mov_Analizados_Ene 26'!$H$10:$H$330,Resumen_Base!E54,'Mov_Analizados_Ene 26'!$J$10:$J$330)-M54</f>
        <v>0</v>
      </c>
      <c r="O54" s="339">
        <f>+SUMIF('Mov_Analizados_Feb - Mar 26'!$H$10:$H$1378,Resumen_Base!E54,'Mov_Analizados_Feb - Mar 26'!$I$10:$I$1378)</f>
        <v>0</v>
      </c>
      <c r="P54" s="340">
        <f>+SUMIF('Mov_Analizados_Feb - Mar 26'!$H$10:$H$1378,Resumen_Base!E54,'Mov_Analizados_Feb - Mar 26'!$J$10:$J$1378)</f>
        <v>0</v>
      </c>
      <c r="R54" s="339">
        <f>+SUMIF('Mov_Analizados_Abr 26'!$I$10:$I$862,Resumen_Base!E54,'Mov_Analizados_Abr 26'!$J$10:$J$862)</f>
        <v>0</v>
      </c>
      <c r="S54" s="340">
        <f>+SUMIF('Mov_Analizados_Abr 26'!$I$10:$I$862,Resumen_Base!E54,'Mov_Analizados_Abr 26'!$K$10:$K$862)</f>
        <v>0</v>
      </c>
      <c r="U54" s="339">
        <f>+SUMIF('Mov_Analizados_May 26'!$I$10:$I$1205,Resumen_Base!E54,'Mov_Analizados_May 26'!$J$10:$J$1205)</f>
        <v>0</v>
      </c>
      <c r="V54" s="340">
        <f>+SUMIF('Mov_Analizados_May 26'!$I$10:$I$1205,Resumen_Base!E54,'Mov_Analizados_May 26'!$K$10:$K$1205)</f>
        <v>0</v>
      </c>
      <c r="X54" s="339">
        <f t="shared" ca="1" si="3"/>
        <v>0</v>
      </c>
      <c r="Y54" s="340">
        <f t="shared" ca="1" si="4"/>
        <v>0</v>
      </c>
    </row>
    <row r="55" spans="1:25">
      <c r="A55" s="4" t="str">
        <f>+VLOOKUP(C55,'Plan Cuentas Link Armado'!$A$3:$D$105,4,0)</f>
        <v>Shop</v>
      </c>
      <c r="B55" s="346">
        <f t="shared" ref="B55:B61" ca="1" si="5">+Y55</f>
        <v>-1372</v>
      </c>
      <c r="C55" s="4" t="s">
        <v>293</v>
      </c>
      <c r="D55" s="4" t="s">
        <v>294</v>
      </c>
      <c r="E55" s="4" t="s">
        <v>562</v>
      </c>
      <c r="G55" s="4" t="str">
        <f>+VLOOKUP(C55,'Plan Cuentas Link Armado'!$A$3:$D$105,4,0)</f>
        <v>Shop</v>
      </c>
      <c r="I55" s="339">
        <f ca="1">+SUMIF('Mov_Analizados_Sept25 - Dic25'!$H$10:$I$1038,Resumen_Base!E55,'Mov_Analizados_Sept25 - Dic25'!$I$10:$I$1038)</f>
        <v>0</v>
      </c>
      <c r="J55" s="340">
        <f ca="1">+SUMIF('Mov_Analizados_Sept25 - Dic25'!$H$10:$J$1038,Resumen_Base!E55,'Mov_Analizados_Sept25 - Dic25'!$J$10:$J$1038)</f>
        <v>0</v>
      </c>
      <c r="L55" s="339">
        <f>+SUMIF('Mov_Analizados_Ene 26'!$H$10:$H$330,Resumen_Base!E55,'Mov_Analizados_Ene 26'!$I$10:$I$330)</f>
        <v>0</v>
      </c>
      <c r="M55" s="340">
        <f>+SUMIF('Mov_Analizados_Ene 26'!$H$10:$H$330,Resumen_Base!E55,'Mov_Analizados_Ene 26'!$J$10:$J$330)</f>
        <v>0</v>
      </c>
      <c r="N55" s="682">
        <f>+SUMIF('Mov_Analizados_Ene 26'!$H$10:$H$330,Resumen_Base!E55,'Mov_Analizados_Ene 26'!$J$10:$J$330)-M55</f>
        <v>0</v>
      </c>
      <c r="O55" s="339">
        <f>+SUMIF('Mov_Analizados_Feb - Mar 26'!$H$10:$H$1378,Resumen_Base!E55,'Mov_Analizados_Feb - Mar 26'!$I$10:$I$1378)</f>
        <v>0</v>
      </c>
      <c r="P55" s="340">
        <f>+SUMIF('Mov_Analizados_Feb - Mar 26'!$H$10:$H$1378,Resumen_Base!E55,'Mov_Analizados_Feb - Mar 26'!$J$10:$J$1378)</f>
        <v>0</v>
      </c>
      <c r="R55" s="339">
        <f>+SUMIF('Mov_Analizados_Abr 26'!$I$10:$I$862,Resumen_Base!E55,'Mov_Analizados_Abr 26'!$J$10:$J$862)</f>
        <v>0</v>
      </c>
      <c r="S55" s="340">
        <f>+SUMIF('Mov_Analizados_Abr 26'!$I$10:$I$862,Resumen_Base!E55,'Mov_Analizados_Abr 26'!$K$10:$K$862)</f>
        <v>0</v>
      </c>
      <c r="U55" s="339">
        <f>+SUMIF('Mov_Analizados_May 26'!$I$10:$I$1205,Resumen_Base!E55,'Mov_Analizados_May 26'!$J$10:$J$1205)</f>
        <v>-1928410</v>
      </c>
      <c r="V55" s="340">
        <f>+SUMIF('Mov_Analizados_May 26'!$I$10:$I$1205,Resumen_Base!E55,'Mov_Analizados_May 26'!$K$10:$K$1205)</f>
        <v>-1372</v>
      </c>
      <c r="X55" s="339">
        <f t="shared" ca="1" si="3"/>
        <v>-1928410</v>
      </c>
      <c r="Y55" s="340">
        <f t="shared" ca="1" si="4"/>
        <v>-1372</v>
      </c>
    </row>
    <row r="56" spans="1:25">
      <c r="A56" s="4" t="str">
        <f>+VLOOKUP(C56,'Plan Cuentas Link Armado'!$A$3:$D$105,4,0)</f>
        <v>Extras</v>
      </c>
      <c r="B56" s="346">
        <f ca="1">+Y56</f>
        <v>-150</v>
      </c>
      <c r="C56" s="4" t="s">
        <v>301</v>
      </c>
      <c r="D56" s="4" t="s">
        <v>302</v>
      </c>
      <c r="E56" s="4" t="s">
        <v>563</v>
      </c>
      <c r="G56" s="4" t="str">
        <f>+VLOOKUP(C56,'Plan Cuentas Link Armado'!$A$3:$D$105,4,0)</f>
        <v>Extras</v>
      </c>
      <c r="I56" s="339">
        <f ca="1">+SUMIF('Mov_Analizados_Sept25 - Dic25'!$H$10:$I$1038,Resumen_Base!E56,'Mov_Analizados_Sept25 - Dic25'!$I$10:$I$1038)</f>
        <v>0</v>
      </c>
      <c r="J56" s="340">
        <f ca="1">+SUMIF('Mov_Analizados_Sept25 - Dic25'!$H$10:$J$1038,Resumen_Base!E56,'Mov_Analizados_Sept25 - Dic25'!$J$10:$J$1038)</f>
        <v>0</v>
      </c>
      <c r="L56" s="339">
        <f>+SUMIF('Mov_Analizados_Ene 26'!$H$10:$H$330,Resumen_Base!E56,'Mov_Analizados_Ene 26'!$I$10:$I$330)</f>
        <v>0</v>
      </c>
      <c r="M56" s="340">
        <f>+SUMIF('Mov_Analizados_Ene 26'!$H$10:$H$330,Resumen_Base!E56,'Mov_Analizados_Ene 26'!$J$10:$J$330)</f>
        <v>0</v>
      </c>
      <c r="N56" s="682">
        <f>+SUMIF('Mov_Analizados_Ene 26'!$H$10:$H$330,Resumen_Base!E56,'Mov_Analizados_Ene 26'!$J$10:$J$330)-M56</f>
        <v>0</v>
      </c>
      <c r="O56" s="339">
        <f>+SUMIF('Mov_Analizados_Feb - Mar 26'!$H$10:$H$1378,Resumen_Base!E56,'Mov_Analizados_Feb - Mar 26'!$I$10:$I$1378)</f>
        <v>0</v>
      </c>
      <c r="P56" s="340">
        <f>+SUMIF('Mov_Analizados_Feb - Mar 26'!$H$10:$H$1378,Resumen_Base!E56,'Mov_Analizados_Feb - Mar 26'!$J$10:$J$1378)</f>
        <v>0</v>
      </c>
      <c r="R56" s="339">
        <f>+SUMIF('Mov_Analizados_Abr 26'!$I$10:$I$862,Resumen_Base!E56,'Mov_Analizados_Abr 26'!$J$10:$J$862)</f>
        <v>0</v>
      </c>
      <c r="S56" s="340">
        <f>+SUMIF('Mov_Analizados_Abr 26'!$I$10:$I$862,Resumen_Base!E56,'Mov_Analizados_Abr 26'!$K$10:$K$862)</f>
        <v>0</v>
      </c>
      <c r="U56" s="339">
        <f>+SUMIF('Mov_Analizados_May 26'!$I$10:$I$1205,Resumen_Base!E56,'Mov_Analizados_May 26'!$J$10:$J$1205)</f>
        <v>-210750</v>
      </c>
      <c r="V56" s="340">
        <f>+SUMIF('Mov_Analizados_May 26'!$I$10:$I$1205,Resumen_Base!E56,'Mov_Analizados_May 26'!$K$10:$K$1205)</f>
        <v>-150</v>
      </c>
      <c r="X56" s="339">
        <f t="shared" ca="1" si="3"/>
        <v>-210750</v>
      </c>
      <c r="Y56" s="340">
        <f t="shared" ca="1" si="4"/>
        <v>-150</v>
      </c>
    </row>
    <row r="57" spans="1:25">
      <c r="A57" s="4" t="str">
        <f>+VLOOKUP(C57,'Plan Cuentas Link Armado'!$A$3:$D$105,4,0)</f>
        <v>Extras</v>
      </c>
      <c r="B57" s="346">
        <f t="shared" ca="1" si="5"/>
        <v>-120</v>
      </c>
      <c r="C57" s="4" t="s">
        <v>299</v>
      </c>
      <c r="D57" s="4" t="s">
        <v>300</v>
      </c>
      <c r="E57" s="4" t="s">
        <v>564</v>
      </c>
      <c r="G57" s="4" t="str">
        <f>+VLOOKUP(C57,'Plan Cuentas Link Armado'!$A$3:$D$105,4,0)</f>
        <v>Extras</v>
      </c>
      <c r="I57" s="339">
        <f ca="1">+SUMIF('Mov_Analizados_Sept25 - Dic25'!$H$10:$I$1038,Resumen_Base!E57,'Mov_Analizados_Sept25 - Dic25'!$I$10:$I$1038)</f>
        <v>0</v>
      </c>
      <c r="J57" s="340">
        <f ca="1">+SUMIF('Mov_Analizados_Sept25 - Dic25'!$H$10:$J$1038,Resumen_Base!E57,'Mov_Analizados_Sept25 - Dic25'!$J$10:$J$1038)</f>
        <v>0</v>
      </c>
      <c r="L57" s="339">
        <f>+SUMIF('Mov_Analizados_Ene 26'!$H$10:$H$330,Resumen_Base!E57,'Mov_Analizados_Ene 26'!$I$10:$I$330)</f>
        <v>0</v>
      </c>
      <c r="M57" s="340">
        <f>+SUMIF('Mov_Analizados_Ene 26'!$H$10:$H$330,Resumen_Base!E57,'Mov_Analizados_Ene 26'!$J$10:$J$330)</f>
        <v>0</v>
      </c>
      <c r="N57" s="682">
        <f>+SUMIF('Mov_Analizados_Ene 26'!$H$10:$H$330,Resumen_Base!E57,'Mov_Analizados_Ene 26'!$J$10:$J$330)-M57</f>
        <v>0</v>
      </c>
      <c r="O57" s="339">
        <f>+SUMIF('Mov_Analizados_Feb - Mar 26'!$H$10:$H$1378,Resumen_Base!E57,'Mov_Analizados_Feb - Mar 26'!$I$10:$I$1378)</f>
        <v>0</v>
      </c>
      <c r="P57" s="340">
        <f>+SUMIF('Mov_Analizados_Feb - Mar 26'!$H$10:$H$1378,Resumen_Base!E57,'Mov_Analizados_Feb - Mar 26'!$J$10:$J$1378)</f>
        <v>0</v>
      </c>
      <c r="R57" s="339">
        <f>+SUMIF('Mov_Analizados_Abr 26'!$I$10:$I$862,Resumen_Base!E57,'Mov_Analizados_Abr 26'!$J$10:$J$862)</f>
        <v>0</v>
      </c>
      <c r="S57" s="340">
        <f>+SUMIF('Mov_Analizados_Abr 26'!$I$10:$I$862,Resumen_Base!E57,'Mov_Analizados_Abr 26'!$K$10:$K$862)</f>
        <v>0</v>
      </c>
      <c r="U57" s="339">
        <f>+SUMIF('Mov_Analizados_May 26'!$I$10:$I$1205,Resumen_Base!E57,'Mov_Analizados_May 26'!$J$10:$J$1205)</f>
        <v>-168600</v>
      </c>
      <c r="V57" s="340">
        <f>+SUMIF('Mov_Analizados_May 26'!$I$10:$I$1205,Resumen_Base!E57,'Mov_Analizados_May 26'!$K$10:$K$1205)</f>
        <v>-120</v>
      </c>
      <c r="X57" s="339">
        <f t="shared" ca="1" si="3"/>
        <v>-168600</v>
      </c>
      <c r="Y57" s="340">
        <f t="shared" ca="1" si="4"/>
        <v>-120</v>
      </c>
    </row>
    <row r="58" spans="1:25">
      <c r="A58" s="4" t="str">
        <f>+VLOOKUP(C58,'Plan Cuentas Link Armado'!$A$3:$D$105,4,0)</f>
        <v>Extras</v>
      </c>
      <c r="B58" s="346">
        <f t="shared" ca="1" si="5"/>
        <v>-60</v>
      </c>
      <c r="C58" s="4" t="s">
        <v>297</v>
      </c>
      <c r="D58" s="4" t="s">
        <v>298</v>
      </c>
      <c r="E58" s="4" t="s">
        <v>565</v>
      </c>
      <c r="G58" s="4" t="str">
        <f>+VLOOKUP(C58,'Plan Cuentas Link Armado'!$A$3:$D$105,4,0)</f>
        <v>Extras</v>
      </c>
      <c r="I58" s="339">
        <f ca="1">+SUMIF('Mov_Analizados_Sept25 - Dic25'!$H$10:$I$1038,Resumen_Base!E58,'Mov_Analizados_Sept25 - Dic25'!$I$10:$I$1038)</f>
        <v>0</v>
      </c>
      <c r="J58" s="340">
        <f ca="1">+SUMIF('Mov_Analizados_Sept25 - Dic25'!$H$10:$J$1038,Resumen_Base!E58,'Mov_Analizados_Sept25 - Dic25'!$J$10:$J$1038)</f>
        <v>0</v>
      </c>
      <c r="L58" s="339">
        <f>+SUMIF('Mov_Analizados_Ene 26'!$H$10:$H$330,Resumen_Base!E58,'Mov_Analizados_Ene 26'!$I$10:$I$330)</f>
        <v>0</v>
      </c>
      <c r="M58" s="340">
        <f>+SUMIF('Mov_Analizados_Ene 26'!$H$10:$H$330,Resumen_Base!E58,'Mov_Analizados_Ene 26'!$J$10:$J$330)</f>
        <v>0</v>
      </c>
      <c r="N58" s="682">
        <f>+SUMIF('Mov_Analizados_Ene 26'!$H$10:$H$330,Resumen_Base!E58,'Mov_Analizados_Ene 26'!$J$10:$J$330)-M58</f>
        <v>0</v>
      </c>
      <c r="O58" s="339">
        <f>+SUMIF('Mov_Analizados_Feb - Mar 26'!$H$10:$H$1378,Resumen_Base!E58,'Mov_Analizados_Feb - Mar 26'!$I$10:$I$1378)</f>
        <v>0</v>
      </c>
      <c r="P58" s="340">
        <f>+SUMIF('Mov_Analizados_Feb - Mar 26'!$H$10:$H$1378,Resumen_Base!E58,'Mov_Analizados_Feb - Mar 26'!$J$10:$J$1378)</f>
        <v>0</v>
      </c>
      <c r="R58" s="339">
        <f>+SUMIF('Mov_Analizados_Abr 26'!$I$10:$I$862,Resumen_Base!E58,'Mov_Analizados_Abr 26'!$J$10:$J$862)</f>
        <v>0</v>
      </c>
      <c r="S58" s="340">
        <f>+SUMIF('Mov_Analizados_Abr 26'!$I$10:$I$862,Resumen_Base!E58,'Mov_Analizados_Abr 26'!$K$10:$K$862)</f>
        <v>0</v>
      </c>
      <c r="U58" s="339">
        <f>+SUMIF('Mov_Analizados_May 26'!$I$10:$I$1205,Resumen_Base!E58,'Mov_Analizados_May 26'!$J$10:$J$1205)</f>
        <v>-84450</v>
      </c>
      <c r="V58" s="340">
        <f>+SUMIF('Mov_Analizados_May 26'!$I$10:$I$1205,Resumen_Base!E58,'Mov_Analizados_May 26'!$K$10:$K$1205)</f>
        <v>-60</v>
      </c>
      <c r="X58" s="339">
        <f t="shared" ca="1" si="3"/>
        <v>-84450</v>
      </c>
      <c r="Y58" s="340">
        <f t="shared" ca="1" si="4"/>
        <v>-60</v>
      </c>
    </row>
    <row r="59" spans="1:25">
      <c r="A59" s="4" t="str">
        <f>+VLOOKUP(C59,'Plan Cuentas Link Armado'!$A$3:$D$105,4,0)</f>
        <v>Gun Rental</v>
      </c>
      <c r="B59" s="346">
        <f t="shared" ca="1" si="5"/>
        <v>-19500</v>
      </c>
      <c r="C59" s="4" t="s">
        <v>303</v>
      </c>
      <c r="D59" s="4" t="s">
        <v>304</v>
      </c>
      <c r="E59" s="4" t="s">
        <v>566</v>
      </c>
      <c r="G59" s="4" t="str">
        <f>+VLOOKUP(C59,'Plan Cuentas Link Armado'!$A$3:$D$105,4,0)</f>
        <v>Gun Rental</v>
      </c>
      <c r="I59" s="339">
        <f ca="1">+SUMIF('Mov_Analizados_Sept25 - Dic25'!$H$10:$I$1038,Resumen_Base!E59,'Mov_Analizados_Sept25 - Dic25'!$I$10:$I$1038)</f>
        <v>0</v>
      </c>
      <c r="J59" s="340">
        <f ca="1">+SUMIF('Mov_Analizados_Sept25 - Dic25'!$H$10:$J$1038,Resumen_Base!E59,'Mov_Analizados_Sept25 - Dic25'!$J$10:$J$1038)</f>
        <v>0</v>
      </c>
      <c r="L59" s="339">
        <f>+SUMIF('Mov_Analizados_Ene 26'!$H$10:$H$330,Resumen_Base!E59,'Mov_Analizados_Ene 26'!$I$10:$I$330)</f>
        <v>0</v>
      </c>
      <c r="M59" s="340">
        <f>+SUMIF('Mov_Analizados_Ene 26'!$H$10:$H$330,Resumen_Base!E59,'Mov_Analizados_Ene 26'!$J$10:$J$330)</f>
        <v>0</v>
      </c>
      <c r="N59" s="682">
        <f>+SUMIF('Mov_Analizados_Ene 26'!$H$10:$H$330,Resumen_Base!E59,'Mov_Analizados_Ene 26'!$J$10:$J$330)-M59</f>
        <v>0</v>
      </c>
      <c r="O59" s="339">
        <f>+SUMIF('Mov_Analizados_Feb - Mar 26'!$H$10:$H$1378,Resumen_Base!E59,'Mov_Analizados_Feb - Mar 26'!$I$10:$I$1378)</f>
        <v>0</v>
      </c>
      <c r="P59" s="340">
        <f>+SUMIF('Mov_Analizados_Feb - Mar 26'!$H$10:$H$1378,Resumen_Base!E59,'Mov_Analizados_Feb - Mar 26'!$J$10:$J$1378)</f>
        <v>0</v>
      </c>
      <c r="R59" s="339">
        <f>+SUMIF('Mov_Analizados_Abr 26'!$I$10:$I$862,Resumen_Base!E59,'Mov_Analizados_Abr 26'!$J$10:$J$862)</f>
        <v>0</v>
      </c>
      <c r="S59" s="340">
        <f>+SUMIF('Mov_Analizados_Abr 26'!$I$10:$I$862,Resumen_Base!E59,'Mov_Analizados_Abr 26'!$K$10:$K$862)</f>
        <v>0</v>
      </c>
      <c r="U59" s="339">
        <f>+SUMIF('Mov_Analizados_May 26'!$I$10:$I$1205,Resumen_Base!E59,'Mov_Analizados_May 26'!$J$10:$J$1205)</f>
        <v>-27428700</v>
      </c>
      <c r="V59" s="340">
        <f>+SUMIF('Mov_Analizados_May 26'!$I$10:$I$1205,Resumen_Base!E59,'Mov_Analizados_May 26'!$K$10:$K$1205)</f>
        <v>-19500</v>
      </c>
      <c r="X59" s="339">
        <f t="shared" ca="1" si="3"/>
        <v>-27428700</v>
      </c>
      <c r="Y59" s="340">
        <f t="shared" ca="1" si="4"/>
        <v>-19500</v>
      </c>
    </row>
    <row r="60" spans="1:25">
      <c r="A60" s="4" t="str">
        <f>+VLOOKUP(C60,'Plan Cuentas Link Armado'!$A$3:$D$105,4,0)</f>
        <v>Gun Rental</v>
      </c>
      <c r="B60" s="346">
        <f t="shared" ca="1" si="5"/>
        <v>0</v>
      </c>
      <c r="C60" s="607" t="s">
        <v>486</v>
      </c>
      <c r="D60" s="597" t="s">
        <v>450</v>
      </c>
      <c r="E60" s="152" t="s">
        <v>741</v>
      </c>
      <c r="G60" s="4" t="str">
        <f>+VLOOKUP(C60,'Plan Cuentas Link Armado'!$A$3:$D$105,4,0)</f>
        <v>Gun Rental</v>
      </c>
      <c r="I60" s="339">
        <f ca="1">+SUMIF('Mov_Analizados_Sept25 - Dic25'!$H$10:$I$1038,Resumen_Base!E60,'Mov_Analizados_Sept25 - Dic25'!$I$10:$I$1038)</f>
        <v>0</v>
      </c>
      <c r="J60" s="340">
        <f ca="1">+SUMIF('Mov_Analizados_Sept25 - Dic25'!$H$10:$J$1038,Resumen_Base!E60,'Mov_Analizados_Sept25 - Dic25'!$J$10:$J$1038)</f>
        <v>0</v>
      </c>
      <c r="L60" s="339">
        <f>+SUMIF('Mov_Analizados_Ene 26'!$H$10:$H$330,Resumen_Base!E60,'Mov_Analizados_Ene 26'!$I$10:$I$330)</f>
        <v>0</v>
      </c>
      <c r="M60" s="340">
        <f>+SUMIF('Mov_Analizados_Ene 26'!$H$10:$H$330,Resumen_Base!E60,'Mov_Analizados_Ene 26'!$J$10:$J$330)</f>
        <v>0</v>
      </c>
      <c r="N60" s="682">
        <f>+SUMIF('Mov_Analizados_Ene 26'!$H$10:$H$330,Resumen_Base!E60,'Mov_Analizados_Ene 26'!$J$10:$J$330)-M60</f>
        <v>0</v>
      </c>
      <c r="O60" s="339">
        <f>+SUMIF('Mov_Analizados_Feb - Mar 26'!$H$10:$H$1378,Resumen_Base!E60,'Mov_Analizados_Feb - Mar 26'!$I$10:$I$1378)</f>
        <v>0</v>
      </c>
      <c r="P60" s="340">
        <f>+SUMIF('Mov_Analizados_Feb - Mar 26'!$H$10:$H$1378,Resumen_Base!E60,'Mov_Analizados_Feb - Mar 26'!$J$10:$J$1378)</f>
        <v>0</v>
      </c>
      <c r="R60" s="339">
        <f>+SUMIF('Mov_Analizados_Abr 26'!$I$10:$I$862,Resumen_Base!E60,'Mov_Analizados_Abr 26'!$J$10:$J$862)</f>
        <v>0</v>
      </c>
      <c r="S60" s="340">
        <f>+SUMIF('Mov_Analizados_Abr 26'!$I$10:$I$862,Resumen_Base!E60,'Mov_Analizados_Abr 26'!$K$10:$K$862)</f>
        <v>0</v>
      </c>
      <c r="U60" s="339">
        <f>+SUMIF('Mov_Analizados_May 26'!$I$10:$I$1205,Resumen_Base!E60,'Mov_Analizados_May 26'!$J$10:$J$1205)</f>
        <v>0</v>
      </c>
      <c r="V60" s="340">
        <f>+SUMIF('Mov_Analizados_May 26'!$I$10:$I$1205,Resumen_Base!E60,'Mov_Analizados_May 26'!$K$10:$K$1205)</f>
        <v>0</v>
      </c>
      <c r="X60" s="339">
        <f t="shared" ca="1" si="3"/>
        <v>0</v>
      </c>
      <c r="Y60" s="340">
        <f t="shared" ca="1" si="4"/>
        <v>0</v>
      </c>
    </row>
    <row r="61" spans="1:25">
      <c r="A61" s="4" t="str">
        <f>+VLOOKUP(C61,'Plan Cuentas Link Armado'!$A$3:$D$105,4,0)</f>
        <v>Extras</v>
      </c>
      <c r="B61" s="346">
        <f t="shared" ca="1" si="5"/>
        <v>0</v>
      </c>
      <c r="C61" s="4" t="s">
        <v>291</v>
      </c>
      <c r="D61" s="4" t="s">
        <v>292</v>
      </c>
      <c r="E61" s="4" t="s">
        <v>567</v>
      </c>
      <c r="G61" s="4" t="str">
        <f>+VLOOKUP(C61,'Plan Cuentas Link Armado'!$A$3:$D$105,4,0)</f>
        <v>Extras</v>
      </c>
      <c r="I61" s="339">
        <f ca="1">+SUMIF('Mov_Analizados_Sept25 - Dic25'!$H$10:$I$1038,Resumen_Base!E61,'Mov_Analizados_Sept25 - Dic25'!$I$10:$I$1038)</f>
        <v>0</v>
      </c>
      <c r="J61" s="340">
        <f ca="1">+SUMIF('Mov_Analizados_Sept25 - Dic25'!$H$10:$J$1038,Resumen_Base!E61,'Mov_Analizados_Sept25 - Dic25'!$J$10:$J$1038)</f>
        <v>0</v>
      </c>
      <c r="L61" s="339">
        <f>+SUMIF('Mov_Analizados_Ene 26'!$H$10:$H$330,Resumen_Base!E61,'Mov_Analizados_Ene 26'!$I$10:$I$330)</f>
        <v>0</v>
      </c>
      <c r="M61" s="340">
        <f>+SUMIF('Mov_Analizados_Ene 26'!$H$10:$H$330,Resumen_Base!E61,'Mov_Analizados_Ene 26'!$J$10:$J$330)</f>
        <v>0</v>
      </c>
      <c r="N61" s="682">
        <f>+SUMIF('Mov_Analizados_Ene 26'!$H$10:$H$330,Resumen_Base!E61,'Mov_Analizados_Ene 26'!$J$10:$J$330)-M61</f>
        <v>0</v>
      </c>
      <c r="O61" s="339">
        <f>+SUMIF('Mov_Analizados_Feb - Mar 26'!$H$10:$H$1378,Resumen_Base!E61,'Mov_Analizados_Feb - Mar 26'!$I$10:$I$1378)</f>
        <v>0</v>
      </c>
      <c r="P61" s="340">
        <f>+SUMIF('Mov_Analizados_Feb - Mar 26'!$H$10:$H$1378,Resumen_Base!E61,'Mov_Analizados_Feb - Mar 26'!$J$10:$J$1378)</f>
        <v>0</v>
      </c>
      <c r="R61" s="339">
        <f>+SUMIF('Mov_Analizados_Abr 26'!$I$10:$I$862,Resumen_Base!E61,'Mov_Analizados_Abr 26'!$J$10:$J$862)</f>
        <v>0</v>
      </c>
      <c r="S61" s="340">
        <f>+SUMIF('Mov_Analizados_Abr 26'!$I$10:$I$862,Resumen_Base!E61,'Mov_Analizados_Abr 26'!$K$10:$K$862)</f>
        <v>0</v>
      </c>
      <c r="U61" s="339">
        <f>+SUMIF('Mov_Analizados_May 26'!$I$10:$I$1205,Resumen_Base!E61,'Mov_Analizados_May 26'!$J$10:$J$1205)</f>
        <v>0</v>
      </c>
      <c r="V61" s="340">
        <f>+SUMIF('Mov_Analizados_May 26'!$I$10:$I$1205,Resumen_Base!E61,'Mov_Analizados_May 26'!$K$10:$K$1205)</f>
        <v>0</v>
      </c>
      <c r="X61" s="339">
        <f t="shared" ca="1" si="3"/>
        <v>0</v>
      </c>
      <c r="Y61" s="340">
        <f t="shared" ca="1" si="4"/>
        <v>0</v>
      </c>
    </row>
    <row r="62" spans="1:25">
      <c r="A62" s="4" t="str">
        <f>+VLOOKUP(C62,'Plan Cuentas Link Armado'!$A$3:$D$105,4,0)</f>
        <v>Extras</v>
      </c>
      <c r="B62" s="346">
        <f ca="1">+Y62</f>
        <v>0</v>
      </c>
      <c r="C62" s="4" t="s">
        <v>307</v>
      </c>
      <c r="D62" s="4" t="s">
        <v>308</v>
      </c>
      <c r="E62" s="4" t="s">
        <v>568</v>
      </c>
      <c r="G62" s="4" t="str">
        <f>+VLOOKUP(C62,'Plan Cuentas Link Armado'!$A$3:$D$105,4,0)</f>
        <v>Extras</v>
      </c>
      <c r="I62" s="339">
        <f ca="1">+SUMIF('Mov_Analizados_Sept25 - Dic25'!$H$10:$I$1038,Resumen_Base!E62,'Mov_Analizados_Sept25 - Dic25'!$I$10:$I$1038)</f>
        <v>0</v>
      </c>
      <c r="J62" s="340">
        <f ca="1">+SUMIF('Mov_Analizados_Sept25 - Dic25'!$H$10:$J$1038,Resumen_Base!E62,'Mov_Analizados_Sept25 - Dic25'!$J$10:$J$1038)</f>
        <v>0</v>
      </c>
      <c r="L62" s="339">
        <f>+SUMIF('Mov_Analizados_Ene 26'!$H$10:$H$330,Resumen_Base!E62,'Mov_Analizados_Ene 26'!$I$10:$I$330)</f>
        <v>0</v>
      </c>
      <c r="M62" s="340">
        <f>+SUMIF('Mov_Analizados_Ene 26'!$H$10:$H$330,Resumen_Base!E62,'Mov_Analizados_Ene 26'!$J$10:$J$330)</f>
        <v>0</v>
      </c>
      <c r="N62" s="682">
        <f>+SUMIF('Mov_Analizados_Ene 26'!$H$10:$H$330,Resumen_Base!E62,'Mov_Analizados_Ene 26'!$J$10:$J$330)-M62</f>
        <v>0</v>
      </c>
      <c r="O62" s="339">
        <f>+SUMIF('Mov_Analizados_Feb - Mar 26'!$H$10:$H$1378,Resumen_Base!E62,'Mov_Analizados_Feb - Mar 26'!$I$10:$I$1378)</f>
        <v>0</v>
      </c>
      <c r="P62" s="340">
        <f>+SUMIF('Mov_Analizados_Feb - Mar 26'!$H$10:$H$1378,Resumen_Base!E62,'Mov_Analizados_Feb - Mar 26'!$J$10:$J$1378)</f>
        <v>0</v>
      </c>
      <c r="R62" s="339">
        <f>+SUMIF('Mov_Analizados_Abr 26'!$I$10:$I$862,Resumen_Base!E62,'Mov_Analizados_Abr 26'!$J$10:$J$862)</f>
        <v>0</v>
      </c>
      <c r="S62" s="340">
        <f>+SUMIF('Mov_Analizados_Abr 26'!$I$10:$I$862,Resumen_Base!E62,'Mov_Analizados_Abr 26'!$K$10:$K$862)</f>
        <v>0</v>
      </c>
      <c r="U62" s="339">
        <f>+SUMIF('Mov_Analizados_May 26'!$I$10:$I$1205,Resumen_Base!E62,'Mov_Analizados_May 26'!$J$10:$J$1205)</f>
        <v>0</v>
      </c>
      <c r="V62" s="340">
        <f>+SUMIF('Mov_Analizados_May 26'!$I$10:$I$1205,Resumen_Base!E62,'Mov_Analizados_May 26'!$K$10:$K$1205)</f>
        <v>0</v>
      </c>
      <c r="X62" s="339">
        <f t="shared" ca="1" si="3"/>
        <v>0</v>
      </c>
      <c r="Y62" s="340">
        <f t="shared" ca="1" si="4"/>
        <v>0</v>
      </c>
    </row>
    <row r="63" spans="1:25">
      <c r="A63" s="4" t="str">
        <f>+VLOOKUP(C63,'Plan Cuentas Link Armado'!$A$3:$D$105,4,0)</f>
        <v>Extras</v>
      </c>
      <c r="B63" s="346">
        <f ca="1">+Y63</f>
        <v>148.21</v>
      </c>
      <c r="C63" s="4" t="s">
        <v>310</v>
      </c>
      <c r="D63" s="4" t="s">
        <v>311</v>
      </c>
      <c r="E63" s="4" t="s">
        <v>569</v>
      </c>
      <c r="G63" s="4" t="str">
        <f>+VLOOKUP(C63,'Plan Cuentas Link Armado'!$A$3:$D$105,4,0)</f>
        <v>Extras</v>
      </c>
      <c r="I63" s="339">
        <f ca="1">+SUMIF('Mov_Analizados_Sept25 - Dic25'!$H$10:$I$1038,Resumen_Base!E63,'Mov_Analizados_Sept25 - Dic25'!$I$10:$I$1038)</f>
        <v>0</v>
      </c>
      <c r="J63" s="340">
        <f ca="1">+SUMIF('Mov_Analizados_Sept25 - Dic25'!$H$10:$J$1038,Resumen_Base!E63,'Mov_Analizados_Sept25 - Dic25'!$J$10:$J$1038)</f>
        <v>0</v>
      </c>
      <c r="L63" s="339">
        <f>+SUMIF('Mov_Analizados_Ene 26'!$H$10:$H$330,Resumen_Base!E63,'Mov_Analizados_Ene 26'!$I$10:$I$330)</f>
        <v>0</v>
      </c>
      <c r="M63" s="340">
        <f>+SUMIF('Mov_Analizados_Ene 26'!$H$10:$H$330,Resumen_Base!E63,'Mov_Analizados_Ene 26'!$J$10:$J$330)</f>
        <v>0</v>
      </c>
      <c r="N63" s="682">
        <f>+SUMIF('Mov_Analizados_Ene 26'!$H$10:$H$330,Resumen_Base!E63,'Mov_Analizados_Ene 26'!$J$10:$J$330)-M63</f>
        <v>0</v>
      </c>
      <c r="O63" s="339">
        <f>+SUMIF('Mov_Analizados_Feb - Mar 26'!$H$10:$H$1378,Resumen_Base!E63,'Mov_Analizados_Feb - Mar 26'!$I$10:$I$1378)</f>
        <v>0</v>
      </c>
      <c r="P63" s="340">
        <f>+SUMIF('Mov_Analizados_Feb - Mar 26'!$H$10:$H$1378,Resumen_Base!E63,'Mov_Analizados_Feb - Mar 26'!$J$10:$J$1378)</f>
        <v>0</v>
      </c>
      <c r="R63" s="339">
        <f>+SUMIF('Mov_Analizados_Abr 26'!$I$10:$I$862,Resumen_Base!E63,'Mov_Analizados_Abr 26'!$J$10:$J$862)</f>
        <v>0</v>
      </c>
      <c r="S63" s="340">
        <f>+SUMIF('Mov_Analizados_Abr 26'!$I$10:$I$862,Resumen_Base!E63,'Mov_Analizados_Abr 26'!$K$10:$K$862)</f>
        <v>0</v>
      </c>
      <c r="U63" s="339">
        <f>+SUMIF('Mov_Analizados_May 26'!$I$10:$I$1205,Resumen_Base!E63,'Mov_Analizados_May 26'!$J$10:$J$1205)</f>
        <v>210458.2</v>
      </c>
      <c r="V63" s="340">
        <f>+SUMIF('Mov_Analizados_May 26'!$I$10:$I$1205,Resumen_Base!E63,'Mov_Analizados_May 26'!$K$10:$K$1205)</f>
        <v>148.21</v>
      </c>
      <c r="X63" s="339">
        <f t="shared" ca="1" si="3"/>
        <v>210458.2</v>
      </c>
      <c r="Y63" s="340">
        <f t="shared" ca="1" si="4"/>
        <v>148.21</v>
      </c>
    </row>
    <row r="64" spans="1:25">
      <c r="A64" s="4" t="str">
        <f>+VLOOKUP(C64,'Plan Cuentas Link Armado'!$A$3:$D$105,4,0)</f>
        <v>Extras</v>
      </c>
      <c r="B64" s="346">
        <f ca="1">+Y64</f>
        <v>1874</v>
      </c>
      <c r="C64" s="4" t="s">
        <v>337</v>
      </c>
      <c r="D64" s="4" t="s">
        <v>338</v>
      </c>
      <c r="E64" s="152" t="s">
        <v>570</v>
      </c>
      <c r="G64" s="4" t="str">
        <f>+VLOOKUP(C64,'Plan Cuentas Link Armado'!$A$3:$D$105,4,0)</f>
        <v>Extras</v>
      </c>
      <c r="I64" s="339">
        <f ca="1">+SUMIF('Mov_Analizados_Sept25 - Dic25'!$H$10:$I$1038,Resumen_Base!E64,'Mov_Analizados_Sept25 - Dic25'!$I$10:$I$1038)</f>
        <v>0</v>
      </c>
      <c r="J64" s="340">
        <f ca="1">+SUMIF('Mov_Analizados_Sept25 - Dic25'!$H$10:$J$1038,Resumen_Base!E64,'Mov_Analizados_Sept25 - Dic25'!$J$10:$J$1038)</f>
        <v>0</v>
      </c>
      <c r="L64" s="339">
        <f>+SUMIF('Mov_Analizados_Ene 26'!$H$10:$H$330,Resumen_Base!E64,'Mov_Analizados_Ene 26'!$I$10:$I$330)</f>
        <v>0</v>
      </c>
      <c r="M64" s="340">
        <f>+SUMIF('Mov_Analizados_Ene 26'!$H$10:$H$330,Resumen_Base!E64,'Mov_Analizados_Ene 26'!$J$10:$J$330)</f>
        <v>0</v>
      </c>
      <c r="N64" s="682">
        <f>+SUMIF('Mov_Analizados_Ene 26'!$H$10:$H$330,Resumen_Base!E64,'Mov_Analizados_Ene 26'!$J$10:$J$330)-M64</f>
        <v>0</v>
      </c>
      <c r="O64" s="339">
        <f>+SUMIF('Mov_Analizados_Feb - Mar 26'!$H$10:$H$1378,Resumen_Base!E64,'Mov_Analizados_Feb - Mar 26'!$I$10:$I$1378)</f>
        <v>0</v>
      </c>
      <c r="P64" s="340">
        <f>+SUMIF('Mov_Analizados_Feb - Mar 26'!$H$10:$H$1378,Resumen_Base!E64,'Mov_Analizados_Feb - Mar 26'!$J$10:$J$1378)</f>
        <v>0</v>
      </c>
      <c r="R64" s="339">
        <f>+SUMIF('Mov_Analizados_Abr 26'!$I$10:$I$862,Resumen_Base!E64,'Mov_Analizados_Abr 26'!$J$10:$J$862)</f>
        <v>0</v>
      </c>
      <c r="S64" s="340">
        <f>+SUMIF('Mov_Analizados_Abr 26'!$I$10:$I$862,Resumen_Base!E64,'Mov_Analizados_Abr 26'!$K$10:$K$862)</f>
        <v>0</v>
      </c>
      <c r="U64" s="339">
        <f>+SUMIF('Mov_Analizados_May 26'!$I$10:$I$1205,Resumen_Base!E64,'Mov_Analizados_May 26'!$J$10:$J$1205)</f>
        <v>2634080</v>
      </c>
      <c r="V64" s="340">
        <f>+SUMIF('Mov_Analizados_May 26'!$I$10:$I$1205,Resumen_Base!E64,'Mov_Analizados_May 26'!$K$10:$K$1205)</f>
        <v>1874</v>
      </c>
      <c r="X64" s="339">
        <f t="shared" ca="1" si="3"/>
        <v>2634080</v>
      </c>
      <c r="Y64" s="340">
        <f t="shared" ca="1" si="4"/>
        <v>1874</v>
      </c>
    </row>
    <row r="65" spans="1:25">
      <c r="A65" s="4" t="str">
        <f>+VLOOKUP(C65,'Plan Cuentas Link Armado'!$A$3:$D$105,4,0)</f>
        <v>Extras</v>
      </c>
      <c r="B65" s="346">
        <f ca="1">+Y65</f>
        <v>-6140.15</v>
      </c>
      <c r="C65" s="4" t="s">
        <v>664</v>
      </c>
      <c r="D65" s="4" t="s">
        <v>665</v>
      </c>
      <c r="E65" s="4" t="s">
        <v>677</v>
      </c>
      <c r="G65" s="4" t="str">
        <f>+VLOOKUP(C65,'Plan Cuentas Link Armado'!$A$3:$D$105,4,0)</f>
        <v>Extras</v>
      </c>
      <c r="I65" s="339">
        <f ca="1">+SUMIF('Mov_Analizados_Sept25 - Dic25'!$H$10:$I$1038,Resumen_Base!E65,'Mov_Analizados_Sept25 - Dic25'!$I$10:$I$1038)</f>
        <v>-213</v>
      </c>
      <c r="J65" s="340">
        <f ca="1">+SUMIF('Mov_Analizados_Sept25 - Dic25'!$H$10:$J$1038,Resumen_Base!E65,'Mov_Analizados_Sept25 - Dic25'!$J$10:$J$1038)</f>
        <v>-0.15</v>
      </c>
      <c r="L65" s="339">
        <f>+SUMIF('Mov_Analizados_Ene 26'!$H$10:$H$330,Resumen_Base!E65,'Mov_Analizados_Ene 26'!$I$10:$I$330)</f>
        <v>0</v>
      </c>
      <c r="M65" s="340">
        <f>+SUMIF('Mov_Analizados_Ene 26'!$H$10:$H$330,Resumen_Base!E65,'Mov_Analizados_Ene 26'!$J$10:$J$330)</f>
        <v>0</v>
      </c>
      <c r="N65" s="682">
        <f>+SUMIF('Mov_Analizados_Ene 26'!$H$10:$H$330,Resumen_Base!E65,'Mov_Analizados_Ene 26'!$J$10:$J$330)-M65</f>
        <v>0</v>
      </c>
      <c r="O65" s="339">
        <f>+SUMIF('Mov_Analizados_Feb - Mar 26'!$H$10:$H$1378,Resumen_Base!E65,'Mov_Analizados_Feb - Mar 26'!$I$10:$I$1378)</f>
        <v>0</v>
      </c>
      <c r="P65" s="340">
        <f>+SUMIF('Mov_Analizados_Feb - Mar 26'!$H$10:$H$1378,Resumen_Base!E65,'Mov_Analizados_Feb - Mar 26'!$J$10:$J$1378)</f>
        <v>0</v>
      </c>
      <c r="R65" s="339">
        <f>+SUMIF('Mov_Analizados_Abr 26'!$I$10:$I$862,Resumen_Base!E65,'Mov_Analizados_Abr 26'!$J$10:$J$862)</f>
        <v>0</v>
      </c>
      <c r="S65" s="340">
        <f>+SUMIF('Mov_Analizados_Abr 26'!$I$10:$I$862,Resumen_Base!E65,'Mov_Analizados_Abr 26'!$K$10:$K$862)</f>
        <v>0</v>
      </c>
      <c r="U65" s="339">
        <f>+SUMIF('Mov_Analizados_May 26'!$I$10:$I$1205,Resumen_Base!E65,'Mov_Analizados_May 26'!$J$10:$J$1205)</f>
        <v>-8626700</v>
      </c>
      <c r="V65" s="340">
        <f>+SUMIF('Mov_Analizados_May 26'!$I$10:$I$1205,Resumen_Base!E65,'Mov_Analizados_May 26'!$K$10:$K$1205)</f>
        <v>-6140</v>
      </c>
      <c r="X65" s="339">
        <f t="shared" ca="1" si="3"/>
        <v>-8626913</v>
      </c>
      <c r="Y65" s="340">
        <f t="shared" ca="1" si="4"/>
        <v>-6140.15</v>
      </c>
    </row>
    <row r="66" spans="1:25">
      <c r="A66" s="4" t="str">
        <f>+VLOOKUP(C66,'Plan Cuentas Link Armado'!$A$3:$D$105,4,0)</f>
        <v>Canon Lodge/Labor Permits:</v>
      </c>
      <c r="C66" s="4" t="s">
        <v>313</v>
      </c>
      <c r="D66" s="4" t="s">
        <v>314</v>
      </c>
      <c r="E66" s="4" t="s">
        <v>571</v>
      </c>
      <c r="G66" s="4" t="str">
        <f>+VLOOKUP(C66,'Plan Cuentas Link Armado'!$A$3:$D$105,4,0)</f>
        <v>Canon Lodge/Labor Permits:</v>
      </c>
      <c r="I66" s="339">
        <f ca="1">+SUMIF('Mov_Analizados_Sept25 - Dic25'!$H$10:$I$1038,Resumen_Base!E66,'Mov_Analizados_Sept25 - Dic25'!$I$10:$I$1038)</f>
        <v>0</v>
      </c>
      <c r="J66" s="340">
        <f ca="1">+SUMIF('Mov_Analizados_Sept25 - Dic25'!$H$10:$J$1038,Resumen_Base!E66,'Mov_Analizados_Sept25 - Dic25'!$J$10:$J$1038)</f>
        <v>0</v>
      </c>
      <c r="L66" s="339">
        <f>+SUMIF('Mov_Analizados_Ene 26'!$H$10:$H$330,Resumen_Base!E66,'Mov_Analizados_Ene 26'!$I$10:$I$330)</f>
        <v>0</v>
      </c>
      <c r="M66" s="340">
        <f>+SUMIF('Mov_Analizados_Ene 26'!$H$10:$H$330,Resumen_Base!E66,'Mov_Analizados_Ene 26'!$J$10:$J$330)</f>
        <v>0</v>
      </c>
      <c r="N66" s="682">
        <f>+SUMIF('Mov_Analizados_Ene 26'!$H$10:$H$330,Resumen_Base!E66,'Mov_Analizados_Ene 26'!$J$10:$J$330)-M66</f>
        <v>0</v>
      </c>
      <c r="O66" s="339">
        <f>+SUMIF('Mov_Analizados_Feb - Mar 26'!$H$10:$H$1378,Resumen_Base!E66,'Mov_Analizados_Feb - Mar 26'!$I$10:$I$1378)</f>
        <v>0</v>
      </c>
      <c r="P66" s="340">
        <f>+SUMIF('Mov_Analizados_Feb - Mar 26'!$H$10:$H$1378,Resumen_Base!E66,'Mov_Analizados_Feb - Mar 26'!$J$10:$J$1378)</f>
        <v>0</v>
      </c>
      <c r="R66" s="339">
        <f>+SUMIF('Mov_Analizados_Abr 26'!$I$10:$I$862,Resumen_Base!E66,'Mov_Analizados_Abr 26'!$J$10:$J$862)</f>
        <v>21091719.5</v>
      </c>
      <c r="S66" s="340">
        <f>+SUMIF('Mov_Analizados_Abr 26'!$I$10:$I$862,Resumen_Base!E66,'Mov_Analizados_Abr 26'!$K$10:$K$862)</f>
        <v>15423.464102564103</v>
      </c>
      <c r="U66" s="339">
        <f>+SUMIF('Mov_Analizados_May 26'!$I$10:$I$1205,Resumen_Base!E66,'Mov_Analizados_May 26'!$J$10:$J$1205)</f>
        <v>0</v>
      </c>
      <c r="V66" s="340">
        <f>+SUMIF('Mov_Analizados_May 26'!$I$10:$I$1205,Resumen_Base!E66,'Mov_Analizados_May 26'!$K$10:$K$1205)</f>
        <v>-411.56410256410254</v>
      </c>
      <c r="X66" s="339">
        <f t="shared" ca="1" si="3"/>
        <v>21091719.5</v>
      </c>
      <c r="Y66" s="340">
        <f t="shared" ca="1" si="4"/>
        <v>15011.900000000001</v>
      </c>
    </row>
    <row r="67" spans="1:25">
      <c r="A67" s="4" t="str">
        <f>+VLOOKUP(C67,'Plan Cuentas Link Armado'!$A$3:$D$105,4,0)</f>
        <v>Services/House</v>
      </c>
      <c r="C67" s="4" t="s">
        <v>321</v>
      </c>
      <c r="D67" s="4" t="s">
        <v>322</v>
      </c>
      <c r="E67" s="4" t="s">
        <v>572</v>
      </c>
      <c r="G67" s="4" t="str">
        <f>+VLOOKUP(C67,'Plan Cuentas Link Armado'!$A$3:$D$105,4,0)</f>
        <v>Services/House</v>
      </c>
      <c r="I67" s="339">
        <f ca="1">+SUMIF('Mov_Analizados_Sept25 - Dic25'!$H$10:$I$1038,Resumen_Base!E67,'Mov_Analizados_Sept25 - Dic25'!$I$10:$I$1038)</f>
        <v>0</v>
      </c>
      <c r="J67" s="340">
        <f ca="1">+SUMIF('Mov_Analizados_Sept25 - Dic25'!$H$10:$J$1038,Resumen_Base!E67,'Mov_Analizados_Sept25 - Dic25'!$J$10:$J$1038)</f>
        <v>0</v>
      </c>
      <c r="L67" s="339">
        <f>+SUMIF('Mov_Analizados_Ene 26'!$H$10:$H$330,Resumen_Base!E67,'Mov_Analizados_Ene 26'!$I$10:$I$330)</f>
        <v>0</v>
      </c>
      <c r="M67" s="340">
        <f>+SUMIF('Mov_Analizados_Ene 26'!$H$10:$H$330,Resumen_Base!E67,'Mov_Analizados_Ene 26'!$J$10:$J$330)</f>
        <v>0</v>
      </c>
      <c r="N67" s="682">
        <f>+SUMIF('Mov_Analizados_Ene 26'!$H$10:$H$330,Resumen_Base!E67,'Mov_Analizados_Ene 26'!$J$10:$J$330)-M67</f>
        <v>0</v>
      </c>
      <c r="O67" s="339">
        <f>+SUMIF('Mov_Analizados_Feb - Mar 26'!$H$10:$H$1378,Resumen_Base!E67,'Mov_Analizados_Feb - Mar 26'!$I$10:$I$1378)</f>
        <v>0</v>
      </c>
      <c r="P67" s="340">
        <f>+SUMIF('Mov_Analizados_Feb - Mar 26'!$H$10:$H$1378,Resumen_Base!E67,'Mov_Analizados_Feb - Mar 26'!$J$10:$J$1378)</f>
        <v>0</v>
      </c>
      <c r="R67" s="339">
        <f>+SUMIF('Mov_Analizados_Abr 26'!$I$10:$I$862,Resumen_Base!E67,'Mov_Analizados_Abr 26'!$J$10:$J$862)</f>
        <v>1515011.5</v>
      </c>
      <c r="S67" s="340">
        <f>+SUMIF('Mov_Analizados_Abr 26'!$I$10:$I$862,Resumen_Base!E67,'Mov_Analizados_Abr 26'!$K$10:$K$862)</f>
        <v>1611.6589743589743</v>
      </c>
      <c r="U67" s="339">
        <f>+SUMIF('Mov_Analizados_May 26'!$I$10:$I$1205,Resumen_Base!E67,'Mov_Analizados_May 26'!$J$10:$J$1205)</f>
        <v>1633467.0499999998</v>
      </c>
      <c r="V67" s="340">
        <f>+SUMIF('Mov_Analizados_May 26'!$I$10:$I$1205,Resumen_Base!E67,'Mov_Analizados_May 26'!$K$10:$K$1205)</f>
        <v>3013.8664102564098</v>
      </c>
      <c r="X67" s="339">
        <f t="shared" ca="1" si="3"/>
        <v>3148478.55</v>
      </c>
      <c r="Y67" s="340">
        <f t="shared" ca="1" si="4"/>
        <v>4625.5253846153846</v>
      </c>
    </row>
    <row r="68" spans="1:25">
      <c r="A68" s="4" t="str">
        <f>+VLOOKUP(C68,'Plan Cuentas Link Armado'!$A$3:$D$105,4,0)</f>
        <v>Manager</v>
      </c>
      <c r="C68" s="4" t="s">
        <v>325</v>
      </c>
      <c r="D68" s="4" t="s">
        <v>326</v>
      </c>
      <c r="E68" s="4" t="s">
        <v>573</v>
      </c>
      <c r="G68" s="4" t="str">
        <f>+VLOOKUP(C68,'Plan Cuentas Link Armado'!$A$3:$D$105,4,0)</f>
        <v>Manager</v>
      </c>
      <c r="I68" s="339">
        <f ca="1">+SUMIF('Mov_Analizados_Sept25 - Dic25'!$H$10:$I$1038,Resumen_Base!E68,'Mov_Analizados_Sept25 - Dic25'!$I$10:$I$1038)</f>
        <v>3653756.6999999993</v>
      </c>
      <c r="J68" s="340">
        <f ca="1">+SUMIF('Mov_Analizados_Sept25 - Dic25'!$H$10:$J$1038,Resumen_Base!E68,'Mov_Analizados_Sept25 - Dic25'!$J$10:$J$1038)</f>
        <v>2357.13</v>
      </c>
      <c r="L68" s="339">
        <f>+SUMIF('Mov_Analizados_Ene 26'!$H$10:$H$330,Resumen_Base!E68,'Mov_Analizados_Ene 26'!$I$10:$I$330)</f>
        <v>0</v>
      </c>
      <c r="M68" s="340">
        <f>+SUMIF('Mov_Analizados_Ene 26'!$H$10:$H$330,Resumen_Base!E68,'Mov_Analizados_Ene 26'!$J$10:$J$330)</f>
        <v>2400</v>
      </c>
      <c r="N68" s="682">
        <f>+SUMIF('Mov_Analizados_Ene 26'!$H$10:$H$330,Resumen_Base!E68,'Mov_Analizados_Ene 26'!$J$10:$J$330)-M68</f>
        <v>0</v>
      </c>
      <c r="O68" s="339">
        <f>+SUMIF('Mov_Analizados_Feb - Mar 26'!$H$10:$H$1378,Resumen_Base!E68,'Mov_Analizados_Feb - Mar 26'!$I$10:$I$1378)</f>
        <v>4396677.45</v>
      </c>
      <c r="P68" s="340">
        <f>+SUMIF('Mov_Analizados_Feb - Mar 26'!$H$10:$H$1378,Resumen_Base!E68,'Mov_Analizados_Feb - Mar 26'!$J$10:$J$1378)</f>
        <v>3795.4450000000002</v>
      </c>
      <c r="R68" s="339">
        <f>+SUMIF('Mov_Analizados_Abr 26'!$I$10:$I$862,Resumen_Base!E68,'Mov_Analizados_Abr 26'!$J$10:$J$862)</f>
        <v>6379318.2000000002</v>
      </c>
      <c r="S68" s="340">
        <f>+SUMIF('Mov_Analizados_Abr 26'!$I$10:$I$862,Resumen_Base!E68,'Mov_Analizados_Abr 26'!$K$10:$K$862)</f>
        <v>6818.2605128205123</v>
      </c>
      <c r="U68" s="339">
        <f>+SUMIF('Mov_Analizados_May 26'!$I$10:$I$1205,Resumen_Base!E68,'Mov_Analizados_May 26'!$J$10:$J$1205)</f>
        <v>5828038.3499999996</v>
      </c>
      <c r="V68" s="340">
        <f>+SUMIF('Mov_Analizados_May 26'!$I$10:$I$1205,Resumen_Base!E68,'Mov_Analizados_May 26'!$K$10:$K$1205)</f>
        <v>6115.5492307692302</v>
      </c>
      <c r="X68" s="339">
        <f t="shared" ca="1" si="3"/>
        <v>20257790.699999999</v>
      </c>
      <c r="Y68" s="340">
        <f t="shared" ca="1" si="4"/>
        <v>21486.384743589744</v>
      </c>
    </row>
    <row r="69" spans="1:25">
      <c r="A69" s="4" t="str">
        <f>+VLOOKUP(C69,'Plan Cuentas Link Armado'!$A$3:$D$105,4,0)</f>
        <v>Guides</v>
      </c>
      <c r="C69" s="4" t="s">
        <v>323</v>
      </c>
      <c r="D69" s="4" t="s">
        <v>324</v>
      </c>
      <c r="E69" s="4" t="s">
        <v>574</v>
      </c>
      <c r="G69" s="4" t="str">
        <f>+VLOOKUP(C69,'Plan Cuentas Link Armado'!$A$3:$D$105,4,0)</f>
        <v>Guides</v>
      </c>
      <c r="I69" s="339">
        <f ca="1">+SUMIF('Mov_Analizados_Sept25 - Dic25'!$H$10:$I$1038,Resumen_Base!E69,'Mov_Analizados_Sept25 - Dic25'!$I$10:$I$1038)</f>
        <v>515888.5</v>
      </c>
      <c r="J69" s="340">
        <f ca="1">+SUMIF('Mov_Analizados_Sept25 - Dic25'!$H$10:$J$1038,Resumen_Base!E69,'Mov_Analizados_Sept25 - Dic25'!$J$10:$J$1038)</f>
        <v>154.78999999999996</v>
      </c>
      <c r="L69" s="339">
        <f>+SUMIF('Mov_Analizados_Ene 26'!$H$10:$H$330,Resumen_Base!E69,'Mov_Analizados_Ene 26'!$I$10:$I$330)</f>
        <v>0</v>
      </c>
      <c r="M69" s="340">
        <f>+SUMIF('Mov_Analizados_Ene 26'!$H$10:$H$330,Resumen_Base!E69,'Mov_Analizados_Ene 26'!$J$10:$J$330)</f>
        <v>0</v>
      </c>
      <c r="N69" s="682">
        <f>+SUMIF('Mov_Analizados_Ene 26'!$H$10:$H$330,Resumen_Base!E69,'Mov_Analizados_Ene 26'!$J$10:$J$330)-M69</f>
        <v>0</v>
      </c>
      <c r="O69" s="339">
        <f>+SUMIF('Mov_Analizados_Feb - Mar 26'!$H$10:$H$1378,Resumen_Base!E69,'Mov_Analizados_Feb - Mar 26'!$I$10:$I$1378)</f>
        <v>0</v>
      </c>
      <c r="P69" s="340">
        <f>+SUMIF('Mov_Analizados_Feb - Mar 26'!$H$10:$H$1378,Resumen_Base!E69,'Mov_Analizados_Feb - Mar 26'!$J$10:$J$1378)</f>
        <v>0</v>
      </c>
      <c r="R69" s="339">
        <f>+SUMIF('Mov_Analizados_Abr 26'!$I$10:$I$862,Resumen_Base!E69,'Mov_Analizados_Abr 26'!$J$10:$J$862)</f>
        <v>0</v>
      </c>
      <c r="S69" s="340">
        <f>+SUMIF('Mov_Analizados_Abr 26'!$I$10:$I$862,Resumen_Base!E69,'Mov_Analizados_Abr 26'!$K$10:$K$862)</f>
        <v>5427.3887179487183</v>
      </c>
      <c r="U69" s="339">
        <f>+SUMIF('Mov_Analizados_May 26'!$I$10:$I$1205,Resumen_Base!E69,'Mov_Analizados_May 26'!$J$10:$J$1205)</f>
        <v>17325218.700000003</v>
      </c>
      <c r="V69" s="340">
        <f>+SUMIF('Mov_Analizados_May 26'!$I$10:$I$1205,Resumen_Base!E69,'Mov_Analizados_May 26'!$K$10:$K$1205)</f>
        <v>19250.262564102562</v>
      </c>
      <c r="X69" s="339">
        <f t="shared" ca="1" si="3"/>
        <v>17841107.200000003</v>
      </c>
      <c r="Y69" s="340">
        <f t="shared" ca="1" si="4"/>
        <v>24832.441282051281</v>
      </c>
    </row>
    <row r="70" spans="1:25">
      <c r="A70" s="4" t="str">
        <f>+VLOOKUP(C70,'Plan Cuentas Link Armado'!$A$3:$D$105,4,0)</f>
        <v>Social Security Contributions</v>
      </c>
      <c r="C70" s="4" t="s">
        <v>329</v>
      </c>
      <c r="D70" s="4" t="s">
        <v>330</v>
      </c>
      <c r="E70" s="4" t="s">
        <v>575</v>
      </c>
      <c r="G70" s="4" t="str">
        <f>+VLOOKUP(C70,'Plan Cuentas Link Armado'!$A$3:$D$105,4,0)</f>
        <v>Social Security Contributions</v>
      </c>
      <c r="I70" s="339">
        <f ca="1">+SUMIF('Mov_Analizados_Sept25 - Dic25'!$H$10:$I$1038,Resumen_Base!E70,'Mov_Analizados_Sept25 - Dic25'!$I$10:$I$1038)</f>
        <v>29946</v>
      </c>
      <c r="J70" s="340">
        <f ca="1">+SUMIF('Mov_Analizados_Sept25 - Dic25'!$H$10:$J$1038,Resumen_Base!E70,'Mov_Analizados_Sept25 - Dic25'!$J$10:$J$1038)</f>
        <v>0</v>
      </c>
      <c r="L70" s="339">
        <f>+SUMIF('Mov_Analizados_Ene 26'!$H$10:$H$330,Resumen_Base!E70,'Mov_Analizados_Ene 26'!$I$10:$I$330)</f>
        <v>0</v>
      </c>
      <c r="M70" s="340">
        <f>+SUMIF('Mov_Analizados_Ene 26'!$H$10:$H$330,Resumen_Base!E70,'Mov_Analizados_Ene 26'!$J$10:$J$330)</f>
        <v>0</v>
      </c>
      <c r="N70" s="682">
        <f>+SUMIF('Mov_Analizados_Ene 26'!$H$10:$H$330,Resumen_Base!E70,'Mov_Analizados_Ene 26'!$J$10:$J$330)-M70</f>
        <v>0</v>
      </c>
      <c r="O70" s="339">
        <f>+SUMIF('Mov_Analizados_Feb - Mar 26'!$H$10:$H$1378,Resumen_Base!E70,'Mov_Analizados_Feb - Mar 26'!$I$10:$I$1378)</f>
        <v>0</v>
      </c>
      <c r="P70" s="340">
        <f>+SUMIF('Mov_Analizados_Feb - Mar 26'!$H$10:$H$1378,Resumen_Base!E70,'Mov_Analizados_Feb - Mar 26'!$J$10:$J$1378)</f>
        <v>0</v>
      </c>
      <c r="R70" s="339">
        <f>+SUMIF('Mov_Analizados_Abr 26'!$I$10:$I$862,Resumen_Base!E70,'Mov_Analizados_Abr 26'!$J$10:$J$862)</f>
        <v>0</v>
      </c>
      <c r="S70" s="340">
        <f>+SUMIF('Mov_Analizados_Abr 26'!$I$10:$I$862,Resumen_Base!E70,'Mov_Analizados_Abr 26'!$K$10:$K$862)</f>
        <v>0</v>
      </c>
      <c r="U70" s="339">
        <f>+SUMIF('Mov_Analizados_May 26'!$I$10:$I$1205,Resumen_Base!E70,'Mov_Analizados_May 26'!$J$10:$J$1205)</f>
        <v>4332178.5999999996</v>
      </c>
      <c r="V70" s="340">
        <f>+SUMIF('Mov_Analizados_May 26'!$I$10:$I$1205,Resumen_Base!E70,'Mov_Analizados_May 26'!$K$10:$K$1205)</f>
        <v>3050.83</v>
      </c>
      <c r="X70" s="339">
        <f t="shared" ca="1" si="3"/>
        <v>4362124.5999999996</v>
      </c>
      <c r="Y70" s="340">
        <f t="shared" ca="1" si="4"/>
        <v>3050.83</v>
      </c>
    </row>
    <row r="71" spans="1:25">
      <c r="A71" s="4" t="str">
        <f>+VLOOKUP(C71,'Plan Cuentas Link Armado'!$A$3:$D$105,4,0)</f>
        <v>Social Security Contributions</v>
      </c>
      <c r="C71" s="4" t="s">
        <v>331</v>
      </c>
      <c r="D71" s="4" t="s">
        <v>332</v>
      </c>
      <c r="E71" s="4" t="s">
        <v>576</v>
      </c>
      <c r="G71" s="4" t="str">
        <f>+VLOOKUP(C71,'Plan Cuentas Link Armado'!$A$3:$D$105,4,0)</f>
        <v>Social Security Contributions</v>
      </c>
      <c r="I71" s="339">
        <f ca="1">+SUMIF('Mov_Analizados_Sept25 - Dic25'!$H$10:$I$1038,Resumen_Base!E71,'Mov_Analizados_Sept25 - Dic25'!$I$10:$I$1038)</f>
        <v>607629.60000000009</v>
      </c>
      <c r="J71" s="340">
        <f ca="1">+SUMIF('Mov_Analizados_Sept25 - Dic25'!$H$10:$J$1038,Resumen_Base!E71,'Mov_Analizados_Sept25 - Dic25'!$J$10:$J$1038)</f>
        <v>405.36</v>
      </c>
      <c r="L71" s="339">
        <f>+SUMIF('Mov_Analizados_Ene 26'!$H$10:$H$330,Resumen_Base!E71,'Mov_Analizados_Ene 26'!$I$10:$I$330)</f>
        <v>0</v>
      </c>
      <c r="M71" s="340">
        <f>+SUMIF('Mov_Analizados_Ene 26'!$H$10:$H$330,Resumen_Base!E71,'Mov_Analizados_Ene 26'!$J$10:$J$330)</f>
        <v>0</v>
      </c>
      <c r="N71" s="682">
        <f>+SUMIF('Mov_Analizados_Ene 26'!$H$10:$H$330,Resumen_Base!E71,'Mov_Analizados_Ene 26'!$J$10:$J$330)-M71</f>
        <v>0</v>
      </c>
      <c r="O71" s="339">
        <f>+SUMIF('Mov_Analizados_Feb - Mar 26'!$H$10:$H$1378,Resumen_Base!E71,'Mov_Analizados_Feb - Mar 26'!$I$10:$I$1378)</f>
        <v>0</v>
      </c>
      <c r="P71" s="340">
        <f>+SUMIF('Mov_Analizados_Feb - Mar 26'!$H$10:$H$1378,Resumen_Base!E71,'Mov_Analizados_Feb - Mar 26'!$J$10:$J$1378)</f>
        <v>0</v>
      </c>
      <c r="R71" s="339">
        <f>+SUMIF('Mov_Analizados_Abr 26'!$I$10:$I$862,Resumen_Base!E71,'Mov_Analizados_Abr 26'!$J$10:$J$862)</f>
        <v>0</v>
      </c>
      <c r="S71" s="340">
        <f>+SUMIF('Mov_Analizados_Abr 26'!$I$10:$I$862,Resumen_Base!E71,'Mov_Analizados_Abr 26'!$K$10:$K$862)</f>
        <v>225.64102564102564</v>
      </c>
      <c r="U71" s="339">
        <f>+SUMIF('Mov_Analizados_May 26'!$I$10:$I$1205,Resumen_Base!E71,'Mov_Analizados_May 26'!$J$10:$J$1205)</f>
        <v>764179.6</v>
      </c>
      <c r="V71" s="340">
        <f>+SUMIF('Mov_Analizados_May 26'!$I$10:$I$1205,Resumen_Base!E71,'Mov_Analizados_May 26'!$K$10:$K$1205)</f>
        <v>899.85333333333335</v>
      </c>
      <c r="X71" s="339">
        <f t="shared" ca="1" si="3"/>
        <v>1371809.2000000002</v>
      </c>
      <c r="Y71" s="340">
        <f t="shared" ca="1" si="4"/>
        <v>1530.854358974359</v>
      </c>
    </row>
    <row r="72" spans="1:25">
      <c r="A72" s="4" t="str">
        <f>+VLOOKUP(C72,'Plan Cuentas Link Armado'!$A$3:$D$105,4,0)</f>
        <v>Social Security Contributions</v>
      </c>
      <c r="C72" s="4" t="s">
        <v>333</v>
      </c>
      <c r="D72" s="4" t="s">
        <v>334</v>
      </c>
      <c r="E72" s="4" t="s">
        <v>577</v>
      </c>
      <c r="G72" s="4" t="str">
        <f>+VLOOKUP(C72,'Plan Cuentas Link Armado'!$A$3:$D$105,4,0)</f>
        <v>Social Security Contributions</v>
      </c>
      <c r="I72" s="339">
        <f ca="1">+SUMIF('Mov_Analizados_Sept25 - Dic25'!$H$10:$I$1038,Resumen_Base!E72,'Mov_Analizados_Sept25 - Dic25'!$I$10:$I$1038)</f>
        <v>1551431.2999999998</v>
      </c>
      <c r="J72" s="340">
        <f ca="1">+SUMIF('Mov_Analizados_Sept25 - Dic25'!$H$10:$J$1038,Resumen_Base!E72,'Mov_Analizados_Sept25 - Dic25'!$J$10:$J$1038)</f>
        <v>1043.92</v>
      </c>
      <c r="L72" s="339">
        <f>+SUMIF('Mov_Analizados_Ene 26'!$H$10:$H$330,Resumen_Base!E72,'Mov_Analizados_Ene 26'!$I$10:$I$330)</f>
        <v>0</v>
      </c>
      <c r="M72" s="340">
        <f>+SUMIF('Mov_Analizados_Ene 26'!$H$10:$H$330,Resumen_Base!E72,'Mov_Analizados_Ene 26'!$J$10:$J$330)</f>
        <v>0</v>
      </c>
      <c r="N72" s="682">
        <f>+SUMIF('Mov_Analizados_Ene 26'!$H$10:$H$330,Resumen_Base!E72,'Mov_Analizados_Ene 26'!$J$10:$J$330)-M72</f>
        <v>0</v>
      </c>
      <c r="O72" s="339">
        <f>+SUMIF('Mov_Analizados_Feb - Mar 26'!$H$10:$H$1378,Resumen_Base!E72,'Mov_Analizados_Feb - Mar 26'!$I$10:$I$1378)</f>
        <v>1366250.3499999999</v>
      </c>
      <c r="P72" s="340">
        <f>+SUMIF('Mov_Analizados_Feb - Mar 26'!$H$10:$H$1378,Resumen_Base!E72,'Mov_Analizados_Feb - Mar 26'!$J$10:$J$1378)</f>
        <v>1666.48</v>
      </c>
      <c r="R72" s="339">
        <f>+SUMIF('Mov_Analizados_Abr 26'!$I$10:$I$862,Resumen_Base!E72,'Mov_Analizados_Abr 26'!$J$10:$J$862)</f>
        <v>980619.75</v>
      </c>
      <c r="S72" s="340">
        <f>+SUMIF('Mov_Analizados_Abr 26'!$I$10:$I$862,Resumen_Base!E72,'Mov_Analizados_Abr 26'!$K$10:$K$862)</f>
        <v>248.44743589743592</v>
      </c>
      <c r="U72" s="339">
        <f>+SUMIF('Mov_Analizados_May 26'!$I$10:$I$1205,Resumen_Base!E72,'Mov_Analizados_May 26'!$J$10:$J$1205)</f>
        <v>346402.75</v>
      </c>
      <c r="V72" s="340">
        <f>+SUMIF('Mov_Analizados_May 26'!$I$10:$I$1205,Resumen_Base!E72,'Mov_Analizados_May 26'!$K$10:$K$1205)</f>
        <v>-1.8974358974359269</v>
      </c>
      <c r="X72" s="339">
        <f t="shared" ca="1" si="3"/>
        <v>4244704.1499999994</v>
      </c>
      <c r="Y72" s="340">
        <f t="shared" ca="1" si="4"/>
        <v>2956.95</v>
      </c>
    </row>
    <row r="73" spans="1:25">
      <c r="A73" s="4" t="str">
        <f>+VLOOKUP(C73,'Plan Cuentas Link Armado'!$A$3:$D$105,4,0)</f>
        <v>Field:</v>
      </c>
      <c r="C73" s="4" t="s">
        <v>133</v>
      </c>
      <c r="D73" s="4" t="s">
        <v>312</v>
      </c>
      <c r="E73" s="4" t="s">
        <v>678</v>
      </c>
      <c r="G73" s="4" t="str">
        <f>+VLOOKUP(C73,'Plan Cuentas Link Armado'!$A$3:$D$105,4,0)</f>
        <v>Field:</v>
      </c>
      <c r="I73" s="339">
        <f ca="1">+SUMIF('Mov_Analizados_Sept25 - Dic25'!$H$10:$I$1038,Resumen_Base!E73,'Mov_Analizados_Sept25 - Dic25'!$I$10:$I$1038)</f>
        <v>2834520.8</v>
      </c>
      <c r="J73" s="340">
        <f ca="1">+SUMIF('Mov_Analizados_Sept25 - Dic25'!$H$10:$J$1038,Resumen_Base!E73,'Mov_Analizados_Sept25 - Dic25'!$J$10:$J$1038)</f>
        <v>1995.9800000000002</v>
      </c>
      <c r="L73" s="339">
        <f>+SUMIF('Mov_Analizados_Ene 26'!$H$10:$H$330,Resumen_Base!E73,'Mov_Analizados_Ene 26'!$I$10:$I$330)</f>
        <v>0</v>
      </c>
      <c r="M73" s="340">
        <f>+SUMIF('Mov_Analizados_Ene 26'!$H$10:$H$330,Resumen_Base!E73,'Mov_Analizados_Ene 26'!$J$10:$J$330)</f>
        <v>0</v>
      </c>
      <c r="N73" s="682">
        <f>+SUMIF('Mov_Analizados_Ene 26'!$H$10:$H$330,Resumen_Base!E73,'Mov_Analizados_Ene 26'!$J$10:$J$330)-M73</f>
        <v>0</v>
      </c>
      <c r="O73" s="339">
        <f>+SUMIF('Mov_Analizados_Feb - Mar 26'!$H$10:$H$1378,Resumen_Base!E73,'Mov_Analizados_Feb - Mar 26'!$I$10:$I$1378)</f>
        <v>0</v>
      </c>
      <c r="P73" s="340">
        <f>+SUMIF('Mov_Analizados_Feb - Mar 26'!$H$10:$H$1378,Resumen_Base!E73,'Mov_Analizados_Feb - Mar 26'!$J$10:$J$1378)</f>
        <v>0</v>
      </c>
      <c r="R73" s="339">
        <f>+SUMIF('Mov_Analizados_Abr 26'!$I$10:$I$862,Resumen_Base!E73,'Mov_Analizados_Abr 26'!$J$10:$J$862)</f>
        <v>140500</v>
      </c>
      <c r="S73" s="340">
        <f>+SUMIF('Mov_Analizados_Abr 26'!$I$10:$I$862,Resumen_Base!E73,'Mov_Analizados_Abr 26'!$K$10:$K$862)</f>
        <v>100</v>
      </c>
      <c r="U73" s="339">
        <f>+SUMIF('Mov_Analizados_May 26'!$I$10:$I$1205,Resumen_Base!E73,'Mov_Analizados_May 26'!$J$10:$J$1205)</f>
        <v>11748092.699999999</v>
      </c>
      <c r="V73" s="340">
        <f>+SUMIF('Mov_Analizados_May 26'!$I$10:$I$1205,Resumen_Base!E73,'Mov_Analizados_May 26'!$K$10:$K$1205)</f>
        <v>12726.24</v>
      </c>
      <c r="X73" s="339">
        <f t="shared" ca="1" si="3"/>
        <v>14723113.5</v>
      </c>
      <c r="Y73" s="340">
        <f t="shared" ca="1" si="4"/>
        <v>14822.220000000001</v>
      </c>
    </row>
    <row r="74" spans="1:25">
      <c r="A74" s="4" t="str">
        <f>+VLOOKUP(C74,'Plan Cuentas Link Armado'!$A$3:$D$105,4,0)</f>
        <v>Work uniforms for personnel (employees)</v>
      </c>
      <c r="C74" s="4" t="s">
        <v>60</v>
      </c>
      <c r="D74" s="4" t="s">
        <v>61</v>
      </c>
      <c r="E74" s="4" t="s">
        <v>679</v>
      </c>
      <c r="G74" s="4" t="str">
        <f>+VLOOKUP(C74,'Plan Cuentas Link Armado'!$A$3:$D$105,4,0)</f>
        <v>Work uniforms for personnel (employees)</v>
      </c>
      <c r="I74" s="339">
        <f ca="1">+SUMIF('Mov_Analizados_Sept25 - Dic25'!$H$10:$I$1038,Resumen_Base!E74,'Mov_Analizados_Sept25 - Dic25'!$I$10:$I$1038)</f>
        <v>0</v>
      </c>
      <c r="J74" s="340">
        <f ca="1">+SUMIF('Mov_Analizados_Sept25 - Dic25'!$H$10:$J$1038,Resumen_Base!E74,'Mov_Analizados_Sept25 - Dic25'!$J$10:$J$1038)</f>
        <v>0</v>
      </c>
      <c r="L74" s="339">
        <f>+SUMIF('Mov_Analizados_Ene 26'!$H$10:$H$330,Resumen_Base!E74,'Mov_Analizados_Ene 26'!$I$10:$I$330)</f>
        <v>0</v>
      </c>
      <c r="M74" s="340">
        <f>+SUMIF('Mov_Analizados_Ene 26'!$H$10:$H$330,Resumen_Base!E74,'Mov_Analizados_Ene 26'!$J$10:$J$330)</f>
        <v>0</v>
      </c>
      <c r="N74" s="682">
        <f>+SUMIF('Mov_Analizados_Ene 26'!$H$10:$H$330,Resumen_Base!E74,'Mov_Analizados_Ene 26'!$J$10:$J$330)-M74</f>
        <v>0</v>
      </c>
      <c r="O74" s="339">
        <f>+SUMIF('Mov_Analizados_Feb - Mar 26'!$H$10:$H$1378,Resumen_Base!E74,'Mov_Analizados_Feb - Mar 26'!$I$10:$I$1378)</f>
        <v>727512.86</v>
      </c>
      <c r="P74" s="340">
        <f>+SUMIF('Mov_Analizados_Feb - Mar 26'!$H$10:$H$1378,Resumen_Base!E74,'Mov_Analizados_Feb - Mar 26'!$J$10:$J$1378)</f>
        <v>517.80274733096132</v>
      </c>
      <c r="R74" s="339">
        <f>+SUMIF('Mov_Analizados_Abr 26'!$I$10:$I$862,Resumen_Base!E74,'Mov_Analizados_Abr 26'!$J$10:$J$862)</f>
        <v>602969.80000000005</v>
      </c>
      <c r="S74" s="340">
        <f>+SUMIF('Mov_Analizados_Abr 26'!$I$10:$I$862,Resumen_Base!E74,'Mov_Analizados_Abr 26'!$K$10:$K$862)</f>
        <v>2575.5438461538461</v>
      </c>
      <c r="U74" s="339">
        <f>+SUMIF('Mov_Analizados_May 26'!$I$10:$I$1205,Resumen_Base!E74,'Mov_Analizados_May 26'!$J$10:$J$1205)</f>
        <v>3461568.1500000004</v>
      </c>
      <c r="V74" s="340">
        <f>+SUMIF('Mov_Analizados_May 26'!$I$10:$I$1205,Resumen_Base!E74,'Mov_Analizados_May 26'!$K$10:$K$1205)</f>
        <v>313.76401861483805</v>
      </c>
      <c r="X74" s="339">
        <f t="shared" ca="1" si="3"/>
        <v>4792050.8100000005</v>
      </c>
      <c r="Y74" s="340">
        <f t="shared" ca="1" si="4"/>
        <v>3407.1106120996456</v>
      </c>
    </row>
    <row r="75" spans="1:25">
      <c r="A75" s="4" t="str">
        <f>+VLOOKUP(C75,'Plan Cuentas Link Armado'!$A$3:$D$105,4,0)</f>
        <v>Licenses / Permits (Fishing and Shooting)</v>
      </c>
      <c r="C75" s="4" t="s">
        <v>62</v>
      </c>
      <c r="D75" s="4" t="s">
        <v>63</v>
      </c>
      <c r="E75" s="4" t="s">
        <v>680</v>
      </c>
      <c r="G75" s="4" t="str">
        <f>+VLOOKUP(C75,'Plan Cuentas Link Armado'!$A$3:$D$105,4,0)</f>
        <v>Licenses / Permits (Fishing and Shooting)</v>
      </c>
      <c r="I75" s="339">
        <f ca="1">+SUMIF('Mov_Analizados_Sept25 - Dic25'!$H$10:$I$1038,Resumen_Base!E75,'Mov_Analizados_Sept25 - Dic25'!$I$10:$I$1038)</f>
        <v>139160</v>
      </c>
      <c r="J75" s="340">
        <f ca="1">+SUMIF('Mov_Analizados_Sept25 - Dic25'!$H$10:$J$1038,Resumen_Base!E75,'Mov_Analizados_Sept25 - Dic25'!$J$10:$J$1038)</f>
        <v>98</v>
      </c>
      <c r="L75" s="339">
        <f>+SUMIF('Mov_Analizados_Ene 26'!$H$10:$H$330,Resumen_Base!E75,'Mov_Analizados_Ene 26'!$I$10:$I$330)</f>
        <v>0</v>
      </c>
      <c r="M75" s="340">
        <f>+SUMIF('Mov_Analizados_Ene 26'!$H$10:$H$330,Resumen_Base!E75,'Mov_Analizados_Ene 26'!$J$10:$J$330)</f>
        <v>0</v>
      </c>
      <c r="N75" s="682">
        <f>+SUMIF('Mov_Analizados_Ene 26'!$H$10:$H$330,Resumen_Base!E75,'Mov_Analizados_Ene 26'!$J$10:$J$330)-M75</f>
        <v>0</v>
      </c>
      <c r="O75" s="339">
        <f>+SUMIF('Mov_Analizados_Feb - Mar 26'!$H$10:$H$1378,Resumen_Base!E75,'Mov_Analizados_Feb - Mar 26'!$I$10:$I$1378)</f>
        <v>0</v>
      </c>
      <c r="P75" s="340">
        <f>+SUMIF('Mov_Analizados_Feb - Mar 26'!$H$10:$H$1378,Resumen_Base!E75,'Mov_Analizados_Feb - Mar 26'!$J$10:$J$1378)</f>
        <v>0</v>
      </c>
      <c r="R75" s="339">
        <f>+SUMIF('Mov_Analizados_Abr 26'!$I$10:$I$862,Resumen_Base!E75,'Mov_Analizados_Abr 26'!$J$10:$J$862)</f>
        <v>426291.05</v>
      </c>
      <c r="S75" s="340">
        <f>+SUMIF('Mov_Analizados_Abr 26'!$I$10:$I$862,Resumen_Base!E75,'Mov_Analizados_Abr 26'!$K$10:$K$862)</f>
        <v>329.05102564102566</v>
      </c>
      <c r="U75" s="339">
        <f>+SUMIF('Mov_Analizados_May 26'!$I$10:$I$1205,Resumen_Base!E75,'Mov_Analizados_May 26'!$J$10:$J$1205)</f>
        <v>15233171.35</v>
      </c>
      <c r="V75" s="340">
        <f>+SUMIF('Mov_Analizados_May 26'!$I$10:$I$1205,Resumen_Base!E75,'Mov_Analizados_May 26'!$K$10:$K$1205)</f>
        <v>9882.5374358974368</v>
      </c>
      <c r="X75" s="339">
        <f t="shared" ca="1" si="3"/>
        <v>15798622.4</v>
      </c>
      <c r="Y75" s="340">
        <f t="shared" ca="1" si="4"/>
        <v>10309.588461538462</v>
      </c>
    </row>
    <row r="76" spans="1:25">
      <c r="A76" s="4" t="str">
        <f>+VLOOKUP(C76,'Plan Cuentas Link Armado'!$A$3:$D$105,4,0)</f>
        <v>Transfer to and from the airport (local taxi) - Vehicle Rental</v>
      </c>
      <c r="C76" s="4" t="s">
        <v>138</v>
      </c>
      <c r="D76" s="4" t="s">
        <v>202</v>
      </c>
      <c r="E76" s="4" t="s">
        <v>681</v>
      </c>
      <c r="G76" s="4" t="str">
        <f>+VLOOKUP(C76,'Plan Cuentas Link Armado'!$A$3:$D$105,4,0)</f>
        <v>Transfer to and from the airport (local taxi) - Vehicle Rental</v>
      </c>
      <c r="I76" s="339">
        <f ca="1">+SUMIF('Mov_Analizados_Sept25 - Dic25'!$H$10:$I$1038,Resumen_Base!E76,'Mov_Analizados_Sept25 - Dic25'!$I$10:$I$1038)</f>
        <v>26040</v>
      </c>
      <c r="J76" s="340">
        <f ca="1">+SUMIF('Mov_Analizados_Sept25 - Dic25'!$H$10:$J$1038,Resumen_Base!E76,'Mov_Analizados_Sept25 - Dic25'!$J$10:$J$1038)</f>
        <v>0</v>
      </c>
      <c r="L76" s="339">
        <f>+SUMIF('Mov_Analizados_Ene 26'!$H$10:$H$330,Resumen_Base!E76,'Mov_Analizados_Ene 26'!$I$10:$I$330)</f>
        <v>0</v>
      </c>
      <c r="M76" s="340">
        <f>+SUMIF('Mov_Analizados_Ene 26'!$H$10:$H$330,Resumen_Base!E76,'Mov_Analizados_Ene 26'!$J$10:$J$330)</f>
        <v>0</v>
      </c>
      <c r="N76" s="682">
        <f>+SUMIF('Mov_Analizados_Ene 26'!$H$10:$H$330,Resumen_Base!E76,'Mov_Analizados_Ene 26'!$J$10:$J$330)-M76</f>
        <v>0</v>
      </c>
      <c r="O76" s="339">
        <f>+SUMIF('Mov_Analizados_Feb - Mar 26'!$H$10:$H$1378,Resumen_Base!E76,'Mov_Analizados_Feb - Mar 26'!$I$10:$I$1378)</f>
        <v>0</v>
      </c>
      <c r="P76" s="340">
        <f>+SUMIF('Mov_Analizados_Feb - Mar 26'!$H$10:$H$1378,Resumen_Base!E76,'Mov_Analizados_Feb - Mar 26'!$J$10:$J$1378)</f>
        <v>0</v>
      </c>
      <c r="R76" s="339">
        <f>+SUMIF('Mov_Analizados_Abr 26'!$I$10:$I$862,Resumen_Base!E76,'Mov_Analizados_Abr 26'!$J$10:$J$862)</f>
        <v>0</v>
      </c>
      <c r="S76" s="340">
        <f>+SUMIF('Mov_Analizados_Abr 26'!$I$10:$I$862,Resumen_Base!E76,'Mov_Analizados_Abr 26'!$K$10:$K$862)</f>
        <v>4142.8999999999996</v>
      </c>
      <c r="U76" s="339">
        <f>+SUMIF('Mov_Analizados_May 26'!$I$10:$I$1205,Resumen_Base!E76,'Mov_Analizados_May 26'!$J$10:$J$1205)</f>
        <v>5820774.5</v>
      </c>
      <c r="V76" s="340">
        <f>+SUMIF('Mov_Analizados_May 26'!$I$10:$I$1205,Resumen_Base!E76,'Mov_Analizados_May 26'!$K$10:$K$1205)</f>
        <v>7680</v>
      </c>
      <c r="X76" s="339">
        <f t="shared" ca="1" si="3"/>
        <v>5846814.5</v>
      </c>
      <c r="Y76" s="340">
        <f t="shared" ca="1" si="4"/>
        <v>11822.9</v>
      </c>
    </row>
    <row r="77" spans="1:25">
      <c r="A77" s="4" t="str">
        <f>+VLOOKUP(C77,'Plan Cuentas Link Armado'!$A$3:$D$105,4,0)</f>
        <v>Electricity - Gas for Boats &amp; Vehicles</v>
      </c>
      <c r="C77" s="4" t="s">
        <v>64</v>
      </c>
      <c r="D77" s="4" t="s">
        <v>65</v>
      </c>
      <c r="E77" s="4" t="s">
        <v>682</v>
      </c>
      <c r="G77" s="4" t="str">
        <f>+VLOOKUP(C77,'Plan Cuentas Link Armado'!$A$3:$D$105,4,0)</f>
        <v>Electricity - Gas for Boats &amp; Vehicles</v>
      </c>
      <c r="I77" s="339">
        <f ca="1">+SUMIF('Mov_Analizados_Sept25 - Dic25'!$H$10:$I$1038,Resumen_Base!E77,'Mov_Analizados_Sept25 - Dic25'!$I$10:$I$1038)</f>
        <v>5536373.2000000011</v>
      </c>
      <c r="J77" s="340">
        <f ca="1">+SUMIF('Mov_Analizados_Sept25 - Dic25'!$H$10:$J$1038,Resumen_Base!E77,'Mov_Analizados_Sept25 - Dic25'!$J$10:$J$1038)</f>
        <v>3222.88</v>
      </c>
      <c r="L77" s="339">
        <f>+SUMIF('Mov_Analizados_Ene 26'!$H$10:$H$330,Resumen_Base!E77,'Mov_Analizados_Ene 26'!$I$10:$I$330)</f>
        <v>0</v>
      </c>
      <c r="M77" s="340">
        <f>+SUMIF('Mov_Analizados_Ene 26'!$H$10:$H$330,Resumen_Base!E77,'Mov_Analizados_Ene 26'!$J$10:$J$330)</f>
        <v>0</v>
      </c>
      <c r="N77" s="682">
        <f>+SUMIF('Mov_Analizados_Ene 26'!$H$10:$H$330,Resumen_Base!E77,'Mov_Analizados_Ene 26'!$J$10:$J$330)-M77</f>
        <v>0</v>
      </c>
      <c r="O77" s="339">
        <f>+SUMIF('Mov_Analizados_Feb - Mar 26'!$H$10:$H$1378,Resumen_Base!E77,'Mov_Analizados_Feb - Mar 26'!$I$10:$I$1378)</f>
        <v>1352485.65</v>
      </c>
      <c r="P77" s="340">
        <f>+SUMIF('Mov_Analizados_Feb - Mar 26'!$H$10:$H$1378,Resumen_Base!E77,'Mov_Analizados_Feb - Mar 26'!$J$10:$J$1378)</f>
        <v>1052.0954999999999</v>
      </c>
      <c r="R77" s="339">
        <f>+SUMIF('Mov_Analizados_Abr 26'!$I$10:$I$862,Resumen_Base!E77,'Mov_Analizados_Abr 26'!$J$10:$J$862)</f>
        <v>774646.75</v>
      </c>
      <c r="S77" s="340">
        <f>+SUMIF('Mov_Analizados_Abr 26'!$I$10:$I$862,Resumen_Base!E77,'Mov_Analizados_Abr 26'!$K$10:$K$862)</f>
        <v>7232.5221923076915</v>
      </c>
      <c r="U77" s="339">
        <f>+SUMIF('Mov_Analizados_May 26'!$I$10:$I$1205,Resumen_Base!E77,'Mov_Analizados_May 26'!$J$10:$J$1205)</f>
        <v>9786340.75</v>
      </c>
      <c r="V77" s="340">
        <f>+SUMIF('Mov_Analizados_May 26'!$I$10:$I$1205,Resumen_Base!E77,'Mov_Analizados_May 26'!$K$10:$K$1205)</f>
        <v>12882.482307692306</v>
      </c>
      <c r="X77" s="339">
        <f t="shared" ca="1" si="3"/>
        <v>17449846.350000001</v>
      </c>
      <c r="Y77" s="340">
        <f t="shared" ca="1" si="4"/>
        <v>24389.979999999996</v>
      </c>
    </row>
    <row r="78" spans="1:25">
      <c r="A78" s="4" t="str">
        <f>+VLOOKUP(C78,'Plan Cuentas Link Armado'!$A$3:$D$105,4,0)</f>
        <v>Electricity - Gas for Boats &amp; Vehicles</v>
      </c>
      <c r="C78" s="607" t="s">
        <v>163</v>
      </c>
      <c r="D78" s="597" t="s">
        <v>164</v>
      </c>
      <c r="E78" s="152" t="s">
        <v>7076</v>
      </c>
      <c r="G78" s="4" t="str">
        <f>+VLOOKUP(C78,'Plan Cuentas Link Armado'!$A$3:$D$105,4,0)</f>
        <v>Electricity - Gas for Boats &amp; Vehicles</v>
      </c>
      <c r="I78" s="339">
        <f ca="1">+SUMIF('Mov_Analizados_Sept25 - Dic25'!$H$10:$I$1038,Resumen_Base!E78,'Mov_Analizados_Sept25 - Dic25'!$I$10:$I$1038)</f>
        <v>0</v>
      </c>
      <c r="J78" s="340">
        <f ca="1">+SUMIF('Mov_Analizados_Sept25 - Dic25'!$H$10:$J$1038,Resumen_Base!E78,'Mov_Analizados_Sept25 - Dic25'!$J$10:$J$1038)</f>
        <v>0</v>
      </c>
      <c r="L78" s="339">
        <f>+SUMIF('Mov_Analizados_Ene 26'!$H$10:$H$330,Resumen_Base!E78,'Mov_Analizados_Ene 26'!$I$10:$I$330)</f>
        <v>0</v>
      </c>
      <c r="M78" s="340">
        <f>+SUMIF('Mov_Analizados_Ene 26'!$H$10:$H$330,Resumen_Base!E78,'Mov_Analizados_Ene 26'!$J$10:$J$330)</f>
        <v>0</v>
      </c>
      <c r="N78" s="682">
        <f>+SUMIF('Mov_Analizados_Ene 26'!$H$10:$H$330,Resumen_Base!E78,'Mov_Analizados_Ene 26'!$J$10:$J$330)-M78</f>
        <v>0</v>
      </c>
      <c r="O78" s="339">
        <f>+SUMIF('Mov_Analizados_Feb - Mar 26'!$H$10:$H$1378,Resumen_Base!E78,'Mov_Analizados_Feb - Mar 26'!$I$10:$I$1378)</f>
        <v>0</v>
      </c>
      <c r="P78" s="340">
        <f>+SUMIF('Mov_Analizados_Feb - Mar 26'!$H$10:$H$1378,Resumen_Base!E78,'Mov_Analizados_Feb - Mar 26'!$J$10:$J$1378)</f>
        <v>0</v>
      </c>
      <c r="R78" s="339">
        <f>+SUMIF('Mov_Analizados_Abr 26'!$I$10:$I$862,Resumen_Base!E78,'Mov_Analizados_Abr 26'!$J$10:$J$862)</f>
        <v>0</v>
      </c>
      <c r="S78" s="340">
        <f>+SUMIF('Mov_Analizados_Abr 26'!$I$10:$I$862,Resumen_Base!E78,'Mov_Analizados_Abr 26'!$K$10:$K$862)</f>
        <v>0</v>
      </c>
      <c r="U78" s="339">
        <f>+SUMIF('Mov_Analizados_May 26'!$I$10:$I$1205,Resumen_Base!E78,'Mov_Analizados_May 26'!$J$10:$J$1205)</f>
        <v>143077.65000000002</v>
      </c>
      <c r="V78" s="340">
        <f>+SUMIF('Mov_Analizados_May 26'!$I$10:$I$1205,Resumen_Base!E78,'Mov_Analizados_May 26'!$K$10:$K$1205)</f>
        <v>101.7</v>
      </c>
      <c r="X78" s="339">
        <f t="shared" ca="1" si="3"/>
        <v>143077.65000000002</v>
      </c>
      <c r="Y78" s="340">
        <f t="shared" ca="1" si="4"/>
        <v>101.7</v>
      </c>
    </row>
    <row r="79" spans="1:25">
      <c r="A79" s="4" t="str">
        <f>+VLOOKUP(C79,'Plan Cuentas Link Armado'!$A$3:$D$105,4,0)</f>
        <v>Maintenance  Boats / Vehicles</v>
      </c>
      <c r="C79" s="4" t="s">
        <v>66</v>
      </c>
      <c r="D79" s="4" t="s">
        <v>67</v>
      </c>
      <c r="E79" s="4" t="s">
        <v>683</v>
      </c>
      <c r="G79" s="4" t="str">
        <f>+VLOOKUP(C79,'Plan Cuentas Link Armado'!$A$3:$D$105,4,0)</f>
        <v>Maintenance  Boats / Vehicles</v>
      </c>
      <c r="I79" s="339">
        <f ca="1">+SUMIF('Mov_Analizados_Sept25 - Dic25'!$H$10:$I$1038,Resumen_Base!E79,'Mov_Analizados_Sept25 - Dic25'!$I$10:$I$1038)</f>
        <v>0</v>
      </c>
      <c r="J79" s="340">
        <f ca="1">+SUMIF('Mov_Analizados_Sept25 - Dic25'!$H$10:$J$1038,Resumen_Base!E79,'Mov_Analizados_Sept25 - Dic25'!$J$10:$J$1038)</f>
        <v>0</v>
      </c>
      <c r="L79" s="339">
        <f>+SUMIF('Mov_Analizados_Ene 26'!$H$10:$H$330,Resumen_Base!E79,'Mov_Analizados_Ene 26'!$I$10:$I$330)</f>
        <v>0</v>
      </c>
      <c r="M79" s="340">
        <f>+SUMIF('Mov_Analizados_Ene 26'!$H$10:$H$330,Resumen_Base!E79,'Mov_Analizados_Ene 26'!$J$10:$J$330)</f>
        <v>0</v>
      </c>
      <c r="N79" s="682">
        <f>+SUMIF('Mov_Analizados_Ene 26'!$H$10:$H$330,Resumen_Base!E79,'Mov_Analizados_Ene 26'!$J$10:$J$330)-M79</f>
        <v>0</v>
      </c>
      <c r="O79" s="339">
        <f>+SUMIF('Mov_Analizados_Feb - Mar 26'!$H$10:$H$1378,Resumen_Base!E79,'Mov_Analizados_Feb - Mar 26'!$I$10:$I$1378)</f>
        <v>0</v>
      </c>
      <c r="P79" s="340">
        <f>+SUMIF('Mov_Analizados_Feb - Mar 26'!$H$10:$H$1378,Resumen_Base!E79,'Mov_Analizados_Feb - Mar 26'!$J$10:$J$1378)</f>
        <v>0</v>
      </c>
      <c r="R79" s="339">
        <f>+SUMIF('Mov_Analizados_Abr 26'!$I$10:$I$862,Resumen_Base!E79,'Mov_Analizados_Abr 26'!$J$10:$J$862)</f>
        <v>710494.45</v>
      </c>
      <c r="S79" s="340">
        <f>+SUMIF('Mov_Analizados_Abr 26'!$I$10:$I$862,Resumen_Base!E79,'Mov_Analizados_Abr 26'!$K$10:$K$862)</f>
        <v>513.2541025641026</v>
      </c>
      <c r="U79" s="339">
        <f>+SUMIF('Mov_Analizados_May 26'!$I$10:$I$1205,Resumen_Base!E79,'Mov_Analizados_May 26'!$J$10:$J$1205)</f>
        <v>115462.9</v>
      </c>
      <c r="V79" s="340">
        <f>+SUMIF('Mov_Analizados_May 26'!$I$10:$I$1205,Resumen_Base!E79,'Mov_Analizados_May 26'!$K$10:$K$1205)</f>
        <v>74.615897435897423</v>
      </c>
      <c r="X79" s="339">
        <f t="shared" ca="1" si="3"/>
        <v>825957.35</v>
      </c>
      <c r="Y79" s="340">
        <f t="shared" ca="1" si="4"/>
        <v>587.87</v>
      </c>
    </row>
    <row r="80" spans="1:25">
      <c r="A80" s="4" t="str">
        <f>+VLOOKUP(C80,'Plan Cuentas Link Armado'!$A$3:$D$105,4,0)</f>
        <v>Maintenance  Equipment</v>
      </c>
      <c r="C80" s="4" t="s">
        <v>31</v>
      </c>
      <c r="D80" s="4" t="s">
        <v>335</v>
      </c>
      <c r="E80" s="4" t="s">
        <v>684</v>
      </c>
      <c r="G80" s="4" t="str">
        <f>+VLOOKUP(C80,'Plan Cuentas Link Armado'!$A$3:$D$105,4,0)</f>
        <v>Maintenance  Equipment</v>
      </c>
      <c r="I80" s="339">
        <f ca="1">+SUMIF('Mov_Analizados_Sept25 - Dic25'!$H$10:$I$1038,Resumen_Base!E80,'Mov_Analizados_Sept25 - Dic25'!$I$10:$I$1038)</f>
        <v>362678.60000000003</v>
      </c>
      <c r="J80" s="340">
        <f ca="1">+SUMIF('Mov_Analizados_Sept25 - Dic25'!$H$10:$J$1038,Resumen_Base!E80,'Mov_Analizados_Sept25 - Dic25'!$J$10:$J$1038)</f>
        <v>248.41</v>
      </c>
      <c r="L80" s="339">
        <f>+SUMIF('Mov_Analizados_Ene 26'!$H$10:$H$330,Resumen_Base!E80,'Mov_Analizados_Ene 26'!$I$10:$I$330)</f>
        <v>539741.19999999995</v>
      </c>
      <c r="M80" s="340">
        <f>+SUMIF('Mov_Analizados_Ene 26'!$H$10:$H$330,Resumen_Base!E80,'Mov_Analizados_Ene 26'!$J$10:$J$330)</f>
        <v>364.69000000000005</v>
      </c>
      <c r="N80" s="682">
        <f>+SUMIF('Mov_Analizados_Ene 26'!$H$10:$H$330,Resumen_Base!E80,'Mov_Analizados_Ene 26'!$J$10:$J$330)-M80</f>
        <v>0</v>
      </c>
      <c r="O80" s="339">
        <f>+SUMIF('Mov_Analizados_Feb - Mar 26'!$H$10:$H$1378,Resumen_Base!E80,'Mov_Analizados_Feb - Mar 26'!$I$10:$I$1378)</f>
        <v>2664.9</v>
      </c>
      <c r="P80" s="340">
        <f>+SUMIF('Mov_Analizados_Feb - Mar 26'!$H$10:$H$1378,Resumen_Base!E80,'Mov_Analizados_Feb - Mar 26'!$J$10:$J$1378)</f>
        <v>1.89</v>
      </c>
      <c r="R80" s="339">
        <f>+SUMIF('Mov_Analizados_Abr 26'!$I$10:$I$862,Resumen_Base!E80,'Mov_Analizados_Abr 26'!$J$10:$J$862)</f>
        <v>390379.25</v>
      </c>
      <c r="S80" s="340">
        <f>+SUMIF('Mov_Analizados_Abr 26'!$I$10:$I$862,Resumen_Base!E80,'Mov_Analizados_Abr 26'!$K$10:$K$862)</f>
        <v>1337.2325641025643</v>
      </c>
      <c r="U80" s="339">
        <f>+SUMIF('Mov_Analizados_May 26'!$I$10:$I$1205,Resumen_Base!E80,'Mov_Analizados_May 26'!$J$10:$J$1205)</f>
        <v>2471437.1500000004</v>
      </c>
      <c r="V80" s="340">
        <f>+SUMIF('Mov_Analizados_May 26'!$I$10:$I$1205,Resumen_Base!E80,'Mov_Analizados_May 26'!$K$10:$K$1205)</f>
        <v>1586.4474358974358</v>
      </c>
      <c r="X80" s="339">
        <f t="shared" ca="1" si="3"/>
        <v>3766901.1000000006</v>
      </c>
      <c r="Y80" s="340">
        <f t="shared" ca="1" si="4"/>
        <v>3538.67</v>
      </c>
    </row>
    <row r="81" spans="1:27">
      <c r="A81" s="4" t="str">
        <f>+VLOOKUP(C81,'Plan Cuentas Link Armado'!$A$3:$D$105,4,0)</f>
        <v>Maintenance Lodge</v>
      </c>
      <c r="C81" s="4" t="s">
        <v>236</v>
      </c>
      <c r="D81" s="4" t="s">
        <v>237</v>
      </c>
      <c r="E81" s="4" t="s">
        <v>685</v>
      </c>
      <c r="G81" s="4" t="str">
        <f>+VLOOKUP(C81,'Plan Cuentas Link Armado'!$A$3:$D$105,4,0)</f>
        <v>Maintenance Lodge</v>
      </c>
      <c r="I81" s="339">
        <f ca="1">+SUMIF('Mov_Analizados_Sept25 - Dic25'!$H$10:$I$1038,Resumen_Base!E81,'Mov_Analizados_Sept25 - Dic25'!$I$10:$I$1038)</f>
        <v>0</v>
      </c>
      <c r="J81" s="340">
        <f ca="1">+SUMIF('Mov_Analizados_Sept25 - Dic25'!$H$10:$J$1038,Resumen_Base!E81,'Mov_Analizados_Sept25 - Dic25'!$J$10:$J$1038)</f>
        <v>0</v>
      </c>
      <c r="L81" s="339">
        <f>+SUMIF('Mov_Analizados_Ene 26'!$H$10:$H$330,Resumen_Base!E81,'Mov_Analizados_Ene 26'!$I$10:$I$330)</f>
        <v>0</v>
      </c>
      <c r="M81" s="340">
        <f>+SUMIF('Mov_Analizados_Ene 26'!$H$10:$H$330,Resumen_Base!E81,'Mov_Analizados_Ene 26'!$J$10:$J$330)</f>
        <v>0</v>
      </c>
      <c r="N81" s="682">
        <f>+SUMIF('Mov_Analizados_Ene 26'!$H$10:$H$330,Resumen_Base!E81,'Mov_Analizados_Ene 26'!$J$10:$J$330)-M81</f>
        <v>0</v>
      </c>
      <c r="O81" s="339">
        <f>+SUMIF('Mov_Analizados_Feb - Mar 26'!$H$10:$H$1378,Resumen_Base!E81,'Mov_Analizados_Feb - Mar 26'!$I$10:$I$1378)</f>
        <v>2224439.5499999998</v>
      </c>
      <c r="P81" s="340">
        <f>+SUMIF('Mov_Analizados_Feb - Mar 26'!$H$10:$H$1378,Resumen_Base!E81,'Mov_Analizados_Feb - Mar 26'!$J$10:$J$1378)</f>
        <v>1565.05</v>
      </c>
      <c r="R81" s="339">
        <f>+SUMIF('Mov_Analizados_Abr 26'!$I$10:$I$862,Resumen_Base!E81,'Mov_Analizados_Abr 26'!$J$10:$J$862)</f>
        <v>537848.05000000005</v>
      </c>
      <c r="S81" s="340">
        <f>+SUMIF('Mov_Analizados_Abr 26'!$I$10:$I$862,Resumen_Base!E81,'Mov_Analizados_Abr 26'!$K$10:$K$862)</f>
        <v>382.81</v>
      </c>
      <c r="U81" s="339">
        <f>+SUMIF('Mov_Analizados_May 26'!$I$10:$I$1205,Resumen_Base!E81,'Mov_Analizados_May 26'!$J$10:$J$1205)</f>
        <v>541262.19999999995</v>
      </c>
      <c r="V81" s="340">
        <f>+SUMIF('Mov_Analizados_May 26'!$I$10:$I$1205,Resumen_Base!E81,'Mov_Analizados_May 26'!$K$10:$K$1205)</f>
        <v>385.24</v>
      </c>
      <c r="X81" s="339">
        <f t="shared" ca="1" si="3"/>
        <v>3303549.8</v>
      </c>
      <c r="Y81" s="340">
        <f t="shared" ca="1" si="4"/>
        <v>2333.1</v>
      </c>
    </row>
    <row r="82" spans="1:27">
      <c r="A82" s="4" t="str">
        <f>+VLOOKUP(C82,'Plan Cuentas Link Armado'!$A$3:$D$105,4,0)</f>
        <v>Baiting/Maize:</v>
      </c>
      <c r="C82" s="4" t="s">
        <v>238</v>
      </c>
      <c r="D82" s="4" t="s">
        <v>239</v>
      </c>
      <c r="E82" s="4" t="s">
        <v>686</v>
      </c>
      <c r="G82" s="4" t="str">
        <f>+VLOOKUP(C82,'Plan Cuentas Link Armado'!$A$3:$D$105,4,0)</f>
        <v>Baiting/Maize:</v>
      </c>
      <c r="I82" s="339">
        <f ca="1">+SUMIF('Mov_Analizados_Sept25 - Dic25'!$H$10:$I$1038,Resumen_Base!E82,'Mov_Analizados_Sept25 - Dic25'!$I$10:$I$1038)</f>
        <v>0</v>
      </c>
      <c r="J82" s="340">
        <f ca="1">+SUMIF('Mov_Analizados_Sept25 - Dic25'!$H$10:$J$1038,Resumen_Base!E82,'Mov_Analizados_Sept25 - Dic25'!$J$10:$J$1038)</f>
        <v>0</v>
      </c>
      <c r="L82" s="339">
        <f>+SUMIF('Mov_Analizados_Ene 26'!$H$10:$H$330,Resumen_Base!E82,'Mov_Analizados_Ene 26'!$I$10:$I$330)</f>
        <v>0</v>
      </c>
      <c r="M82" s="340">
        <f>+SUMIF('Mov_Analizados_Ene 26'!$H$10:$H$330,Resumen_Base!E82,'Mov_Analizados_Ene 26'!$J$10:$J$330)</f>
        <v>0</v>
      </c>
      <c r="N82" s="682">
        <f>+SUMIF('Mov_Analizados_Ene 26'!$H$10:$H$330,Resumen_Base!E82,'Mov_Analizados_Ene 26'!$J$10:$J$330)-M82</f>
        <v>0</v>
      </c>
      <c r="O82" s="339">
        <f>+SUMIF('Mov_Analizados_Feb - Mar 26'!$H$10:$H$1378,Resumen_Base!E82,'Mov_Analizados_Feb - Mar 26'!$I$10:$I$1378)</f>
        <v>0</v>
      </c>
      <c r="P82" s="340">
        <f>+SUMIF('Mov_Analizados_Feb - Mar 26'!$H$10:$H$1378,Resumen_Base!E82,'Mov_Analizados_Feb - Mar 26'!$J$10:$J$1378)</f>
        <v>0</v>
      </c>
      <c r="R82" s="339">
        <f>+SUMIF('Mov_Analizados_Abr 26'!$I$10:$I$862,Resumen_Base!E82,'Mov_Analizados_Abr 26'!$J$10:$J$862)</f>
        <v>0</v>
      </c>
      <c r="S82" s="340">
        <f>+SUMIF('Mov_Analizados_Abr 26'!$I$10:$I$862,Resumen_Base!E82,'Mov_Analizados_Abr 26'!$K$10:$K$862)</f>
        <v>0</v>
      </c>
      <c r="U82" s="339">
        <f>+SUMIF('Mov_Analizados_May 26'!$I$10:$I$1205,Resumen_Base!E82,'Mov_Analizados_May 26'!$J$10:$J$1205)</f>
        <v>0</v>
      </c>
      <c r="V82" s="340">
        <f>+SUMIF('Mov_Analizados_May 26'!$I$10:$I$1205,Resumen_Base!E82,'Mov_Analizados_May 26'!$K$10:$K$1205)</f>
        <v>3714.9</v>
      </c>
      <c r="X82" s="339">
        <f t="shared" ca="1" si="3"/>
        <v>0</v>
      </c>
      <c r="Y82" s="340">
        <f t="shared" ca="1" si="4"/>
        <v>3714.9</v>
      </c>
    </row>
    <row r="83" spans="1:27">
      <c r="A83" s="4" t="str">
        <f>+VLOOKUP(C83,'Plan Cuentas Link Armado'!$A$3:$D$105,4,0)</f>
        <v>Fixed Asset's Sales</v>
      </c>
      <c r="C83" s="4" t="s">
        <v>26</v>
      </c>
      <c r="D83" s="4" t="s">
        <v>25</v>
      </c>
      <c r="E83" s="4" t="s">
        <v>687</v>
      </c>
      <c r="G83" s="4" t="str">
        <f>+VLOOKUP(C83,'Plan Cuentas Link Armado'!$A$3:$D$105,4,0)</f>
        <v>Fixed Asset's Sales</v>
      </c>
      <c r="I83" s="339">
        <f ca="1">+SUMIF('Mov_Analizados_Sept25 - Dic25'!$H$10:$I$1038,Resumen_Base!E83,'Mov_Analizados_Sept25 - Dic25'!$I$10:$I$1038)</f>
        <v>0</v>
      </c>
      <c r="J83" s="340">
        <f ca="1">+SUMIF('Mov_Analizados_Sept25 - Dic25'!$H$10:$J$1038,Resumen_Base!E83,'Mov_Analizados_Sept25 - Dic25'!$J$10:$J$1038)</f>
        <v>0</v>
      </c>
      <c r="L83" s="339">
        <f>+SUMIF('Mov_Analizados_Ene 26'!$H$10:$H$330,Resumen_Base!E83,'Mov_Analizados_Ene 26'!$I$10:$I$330)</f>
        <v>0</v>
      </c>
      <c r="M83" s="340">
        <f>+SUMIF('Mov_Analizados_Ene 26'!$H$10:$H$330,Resumen_Base!E83,'Mov_Analizados_Ene 26'!$J$10:$J$330)</f>
        <v>0</v>
      </c>
      <c r="N83" s="682">
        <f>+SUMIF('Mov_Analizados_Ene 26'!$H$10:$H$330,Resumen_Base!E83,'Mov_Analizados_Ene 26'!$J$10:$J$330)-M83</f>
        <v>0</v>
      </c>
      <c r="O83" s="339">
        <f>+SUMIF('Mov_Analizados_Feb - Mar 26'!$H$10:$H$1378,Resumen_Base!E83,'Mov_Analizados_Feb - Mar 26'!$I$10:$I$1378)</f>
        <v>0</v>
      </c>
      <c r="P83" s="340">
        <f>+SUMIF('Mov_Analizados_Feb - Mar 26'!$H$10:$H$1378,Resumen_Base!E83,'Mov_Analizados_Feb - Mar 26'!$J$10:$J$1378)</f>
        <v>0</v>
      </c>
      <c r="R83" s="339">
        <f>+SUMIF('Mov_Analizados_Abr 26'!$I$10:$I$862,Resumen_Base!E83,'Mov_Analizados_Abr 26'!$J$10:$J$862)</f>
        <v>0</v>
      </c>
      <c r="S83" s="340">
        <f>+SUMIF('Mov_Analizados_Abr 26'!$I$10:$I$862,Resumen_Base!E83,'Mov_Analizados_Abr 26'!$K$10:$K$862)</f>
        <v>0</v>
      </c>
      <c r="U83" s="339">
        <f>+SUMIF('Mov_Analizados_May 26'!$I$10:$I$1205,Resumen_Base!E83,'Mov_Analizados_May 26'!$J$10:$J$1205)</f>
        <v>0</v>
      </c>
      <c r="V83" s="340">
        <f>+SUMIF('Mov_Analizados_May 26'!$I$10:$I$1205,Resumen_Base!E83,'Mov_Analizados_May 26'!$K$10:$K$1205)</f>
        <v>0</v>
      </c>
      <c r="X83" s="339">
        <f t="shared" ca="1" si="3"/>
        <v>0</v>
      </c>
      <c r="Y83" s="340">
        <f t="shared" ca="1" si="4"/>
        <v>0</v>
      </c>
    </row>
    <row r="84" spans="1:27">
      <c r="A84" s="4" t="str">
        <f>+VLOOKUP(C84,'Plan Cuentas Link Armado'!$A$3:$D$105,4,0)</f>
        <v>Fixed Asset's Payments (Investments) Armas</v>
      </c>
      <c r="C84" s="4" t="s">
        <v>4</v>
      </c>
      <c r="D84" s="4" t="s">
        <v>3</v>
      </c>
      <c r="E84" s="4" t="s">
        <v>688</v>
      </c>
      <c r="G84" s="4" t="str">
        <f>+VLOOKUP(C84,'Plan Cuentas Link Armado'!$A$3:$D$105,4,0)</f>
        <v>Fixed Asset's Payments (Investments) Armas</v>
      </c>
      <c r="I84" s="339">
        <f ca="1">+SUMIF('Mov_Analizados_Sept25 - Dic25'!$H$10:$I$1038,Resumen_Base!E84,'Mov_Analizados_Sept25 - Dic25'!$I$10:$I$1038)</f>
        <v>0</v>
      </c>
      <c r="J84" s="340">
        <f ca="1">+SUMIF('Mov_Analizados_Sept25 - Dic25'!$H$10:$J$1038,Resumen_Base!E84,'Mov_Analizados_Sept25 - Dic25'!$J$10:$J$1038)</f>
        <v>0</v>
      </c>
      <c r="L84" s="339">
        <f>+SUMIF('Mov_Analizados_Ene 26'!$H$10:$H$330,Resumen_Base!E84,'Mov_Analizados_Ene 26'!$I$10:$I$330)</f>
        <v>0</v>
      </c>
      <c r="M84" s="340">
        <f>+SUMIF('Mov_Analizados_Ene 26'!$H$10:$H$330,Resumen_Base!E84,'Mov_Analizados_Ene 26'!$J$10:$J$330)</f>
        <v>0</v>
      </c>
      <c r="N84" s="682">
        <f>+SUMIF('Mov_Analizados_Ene 26'!$H$10:$H$330,Resumen_Base!E84,'Mov_Analizados_Ene 26'!$J$10:$J$330)-M84</f>
        <v>0</v>
      </c>
      <c r="O84" s="339">
        <f>+SUMIF('Mov_Analizados_Feb - Mar 26'!$H$10:$H$1378,Resumen_Base!E84,'Mov_Analizados_Feb - Mar 26'!$I$10:$I$1378)</f>
        <v>0</v>
      </c>
      <c r="P84" s="340">
        <f>+SUMIF('Mov_Analizados_Feb - Mar 26'!$H$10:$H$1378,Resumen_Base!E84,'Mov_Analizados_Feb - Mar 26'!$J$10:$J$1378)</f>
        <v>0</v>
      </c>
      <c r="R84" s="339">
        <f>+SUMIF('Mov_Analizados_Abr 26'!$I$10:$I$862,Resumen_Base!E84,'Mov_Analizados_Abr 26'!$J$10:$J$862)</f>
        <v>0</v>
      </c>
      <c r="S84" s="340">
        <f>+SUMIF('Mov_Analizados_Abr 26'!$I$10:$I$862,Resumen_Base!E84,'Mov_Analizados_Abr 26'!$K$10:$K$862)</f>
        <v>0</v>
      </c>
      <c r="U84" s="339">
        <f>+SUMIF('Mov_Analizados_May 26'!$I$10:$I$1205,Resumen_Base!E84,'Mov_Analizados_May 26'!$J$10:$J$1205)</f>
        <v>0</v>
      </c>
      <c r="V84" s="340">
        <f>+SUMIF('Mov_Analizados_May 26'!$I$10:$I$1205,Resumen_Base!E84,'Mov_Analizados_May 26'!$K$10:$K$1205)</f>
        <v>3.8</v>
      </c>
      <c r="X84" s="339">
        <f t="shared" ca="1" si="3"/>
        <v>0</v>
      </c>
      <c r="Y84" s="340">
        <f t="shared" ca="1" si="4"/>
        <v>3.8</v>
      </c>
    </row>
    <row r="85" spans="1:27">
      <c r="A85" s="4" t="str">
        <f>+VLOOKUP(C85,'Plan Cuentas Link Armado'!$A$3:$D$105,4,0)</f>
        <v>Tips</v>
      </c>
      <c r="B85" s="346">
        <f ca="1">+Y85</f>
        <v>0</v>
      </c>
      <c r="C85" s="607" t="s">
        <v>668</v>
      </c>
      <c r="D85" s="597" t="s">
        <v>669</v>
      </c>
      <c r="E85" s="4" t="s">
        <v>734</v>
      </c>
      <c r="G85" s="4" t="str">
        <f>+VLOOKUP(C85,'Plan Cuentas Link Armado'!$A$3:$D$105,4,0)</f>
        <v>Tips</v>
      </c>
      <c r="I85" s="339">
        <f ca="1">+SUMIF('Mov_Analizados_Sept25 - Dic25'!$H$10:$I$1038,Resumen_Base!E85,'Mov_Analizados_Sept25 - Dic25'!$I$10:$I$1038)</f>
        <v>0</v>
      </c>
      <c r="J85" s="340">
        <f ca="1">+SUMIF('Mov_Analizados_Sept25 - Dic25'!$H$10:$J$1038,Resumen_Base!E85,'Mov_Analizados_Sept25 - Dic25'!$J$10:$J$1038)</f>
        <v>0</v>
      </c>
      <c r="L85" s="339">
        <f>+SUMIF('Mov_Analizados_Ene 26'!$H$10:$H$330,Resumen_Base!E85,'Mov_Analizados_Ene 26'!$I$10:$I$330)</f>
        <v>0</v>
      </c>
      <c r="M85" s="340">
        <f>+SUMIF('Mov_Analizados_Ene 26'!$H$10:$H$330,Resumen_Base!E85,'Mov_Analizados_Ene 26'!$J$10:$J$330)</f>
        <v>0</v>
      </c>
      <c r="N85" s="682">
        <f>+SUMIF('Mov_Analizados_Ene 26'!$H$10:$H$330,Resumen_Base!E85,'Mov_Analizados_Ene 26'!$J$10:$J$330)-M85</f>
        <v>0</v>
      </c>
      <c r="O85" s="339">
        <f>+SUMIF('Mov_Analizados_Feb - Mar 26'!$H$10:$H$1378,Resumen_Base!E85,'Mov_Analizados_Feb - Mar 26'!$I$10:$I$1378)</f>
        <v>0</v>
      </c>
      <c r="P85" s="340">
        <f>+SUMIF('Mov_Analizados_Feb - Mar 26'!$H$10:$H$1378,Resumen_Base!E85,'Mov_Analizados_Feb - Mar 26'!$J$10:$J$1378)</f>
        <v>0</v>
      </c>
      <c r="R85" s="339">
        <f>+SUMIF('Mov_Analizados_Abr 26'!$I$10:$I$862,Resumen_Base!E85,'Mov_Analizados_Abr 26'!$J$10:$J$862)</f>
        <v>0</v>
      </c>
      <c r="S85" s="340">
        <f>+SUMIF('Mov_Analizados_Abr 26'!$I$10:$I$862,Resumen_Base!E85,'Mov_Analizados_Abr 26'!$K$10:$K$862)</f>
        <v>0</v>
      </c>
      <c r="U85" s="339">
        <f>+SUMIF('Mov_Analizados_May 26'!$I$10:$I$1205,Resumen_Base!E85,'Mov_Analizados_May 26'!$J$10:$J$1205)</f>
        <v>0</v>
      </c>
      <c r="V85" s="340">
        <f>+SUMIF('Mov_Analizados_May 26'!$I$10:$I$1205,Resumen_Base!E85,'Mov_Analizados_May 26'!$K$10:$K$1205)</f>
        <v>0</v>
      </c>
      <c r="X85" s="339">
        <f t="shared" ca="1" si="3"/>
        <v>0</v>
      </c>
      <c r="Y85" s="340">
        <f t="shared" ca="1" si="4"/>
        <v>0</v>
      </c>
    </row>
    <row r="86" spans="1:27">
      <c r="A86" s="4" t="str">
        <f>+VLOOKUP(C86,'Plan Cuentas Link Armado'!$A$3:$D$105,4,0)</f>
        <v>Tips</v>
      </c>
      <c r="B86" s="346">
        <f ca="1">+Y86</f>
        <v>-39310</v>
      </c>
      <c r="C86" s="607" t="s">
        <v>366</v>
      </c>
      <c r="D86" s="597" t="s">
        <v>367</v>
      </c>
      <c r="E86" s="4" t="s">
        <v>735</v>
      </c>
      <c r="G86" s="4" t="str">
        <f>+VLOOKUP(C86,'Plan Cuentas Link Armado'!$A$3:$D$105,4,0)</f>
        <v>Tips</v>
      </c>
      <c r="I86" s="339">
        <f ca="1">+SUMIF('Mov_Analizados_Sept25 - Dic25'!$H$10:$I$1038,Resumen_Base!E86,'Mov_Analizados_Sept25 - Dic25'!$I$10:$I$1038)</f>
        <v>0</v>
      </c>
      <c r="J86" s="340">
        <f ca="1">+SUMIF('Mov_Analizados_Sept25 - Dic25'!$H$10:$J$1038,Resumen_Base!E86,'Mov_Analizados_Sept25 - Dic25'!$J$10:$J$1038)</f>
        <v>0</v>
      </c>
      <c r="L86" s="339">
        <f>+SUMIF('Mov_Analizados_Ene 26'!$H$10:$H$330,Resumen_Base!E86,'Mov_Analizados_Ene 26'!$I$10:$I$330)</f>
        <v>0</v>
      </c>
      <c r="M86" s="340">
        <f>+SUMIF('Mov_Analizados_Ene 26'!$H$10:$H$330,Resumen_Base!E86,'Mov_Analizados_Ene 26'!$J$10:$J$330)</f>
        <v>0</v>
      </c>
      <c r="N86" s="682">
        <f>+SUMIF('Mov_Analizados_Ene 26'!$H$10:$H$330,Resumen_Base!E86,'Mov_Analizados_Ene 26'!$J$10:$J$330)-M86</f>
        <v>0</v>
      </c>
      <c r="O86" s="339">
        <f>+SUMIF('Mov_Analizados_Feb - Mar 26'!$H$10:$H$1378,Resumen_Base!E86,'Mov_Analizados_Feb - Mar 26'!$I$10:$I$1378)</f>
        <v>0</v>
      </c>
      <c r="P86" s="340">
        <f>+SUMIF('Mov_Analizados_Feb - Mar 26'!$H$10:$H$1378,Resumen_Base!E86,'Mov_Analizados_Feb - Mar 26'!$J$10:$J$1378)</f>
        <v>0</v>
      </c>
      <c r="R86" s="339">
        <f>+SUMIF('Mov_Analizados_Abr 26'!$I$10:$I$862,Resumen_Base!E86,'Mov_Analizados_Abr 26'!$J$10:$J$862)</f>
        <v>0</v>
      </c>
      <c r="S86" s="340">
        <f>+SUMIF('Mov_Analizados_Abr 26'!$I$10:$I$862,Resumen_Base!E86,'Mov_Analizados_Abr 26'!$K$10:$K$862)</f>
        <v>0</v>
      </c>
      <c r="U86" s="339">
        <f>+SUMIF('Mov_Analizados_May 26'!$I$10:$I$1205,Resumen_Base!E86,'Mov_Analizados_May 26'!$J$10:$J$1205)</f>
        <v>-55305550</v>
      </c>
      <c r="V86" s="340">
        <f>+SUMIF('Mov_Analizados_May 26'!$I$10:$I$1205,Resumen_Base!E86,'Mov_Analizados_May 26'!$K$10:$K$1205)</f>
        <v>-39310</v>
      </c>
      <c r="X86" s="339">
        <f t="shared" ca="1" si="3"/>
        <v>-55305550</v>
      </c>
      <c r="Y86" s="340">
        <f t="shared" ca="1" si="4"/>
        <v>-39310</v>
      </c>
    </row>
    <row r="87" spans="1:27">
      <c r="A87" s="4" t="str">
        <f>+VLOOKUP(C87,'Plan Cuentas Link Armado'!$A$3:$D$105,4,0)</f>
        <v>Insurance for lodge and boats</v>
      </c>
      <c r="B87" s="346"/>
      <c r="C87" s="607" t="s">
        <v>316</v>
      </c>
      <c r="D87" s="597" t="s">
        <v>317</v>
      </c>
      <c r="E87" s="4" t="s">
        <v>773</v>
      </c>
      <c r="G87" s="4" t="str">
        <f>+VLOOKUP(C87,'Plan Cuentas Link Armado'!$A$3:$D$105,4,0)</f>
        <v>Insurance for lodge and boats</v>
      </c>
      <c r="I87" s="339">
        <f ca="1">+SUMIF('Mov_Analizados_Sept25 - Dic25'!$H$10:$I$1038,Resumen_Base!E87,'Mov_Analizados_Sept25 - Dic25'!$I$10:$I$1038)</f>
        <v>3028420.9999999995</v>
      </c>
      <c r="J87" s="340">
        <f ca="1">+SUMIF('Mov_Analizados_Sept25 - Dic25'!$H$10:$J$1038,Resumen_Base!E87,'Mov_Analizados_Sept25 - Dic25'!$J$10:$J$1038)</f>
        <v>2104.0500000000002</v>
      </c>
      <c r="L87" s="339">
        <f>+SUMIF('Mov_Analizados_Ene 26'!$H$10:$H$330,Resumen_Base!E87,'Mov_Analizados_Ene 26'!$I$10:$I$330)</f>
        <v>752876</v>
      </c>
      <c r="M87" s="340">
        <f>+SUMIF('Mov_Analizados_Ene 26'!$H$10:$H$330,Resumen_Base!E87,'Mov_Analizados_Ene 26'!$J$10:$J$330)</f>
        <v>508.7</v>
      </c>
      <c r="N87" s="682">
        <f>+SUMIF('Mov_Analizados_Ene 26'!$H$10:$H$330,Resumen_Base!E87,'Mov_Analizados_Ene 26'!$J$10:$J$330)-M87</f>
        <v>0</v>
      </c>
      <c r="O87" s="339">
        <f>+SUMIF('Mov_Analizados_Feb - Mar 26'!$H$10:$H$1378,Resumen_Base!E87,'Mov_Analizados_Feb - Mar 26'!$I$10:$I$1378)</f>
        <v>1449581.25</v>
      </c>
      <c r="P87" s="340">
        <f>+SUMIF('Mov_Analizados_Feb - Mar 26'!$H$10:$H$1378,Resumen_Base!E87,'Mov_Analizados_Feb - Mar 26'!$J$10:$J$1378)</f>
        <v>1017.25</v>
      </c>
      <c r="R87" s="339">
        <f>+SUMIF('Mov_Analizados_Abr 26'!$I$10:$I$862,Resumen_Base!E87,'Mov_Analizados_Abr 26'!$J$10:$J$862)</f>
        <v>0</v>
      </c>
      <c r="S87" s="340">
        <f>+SUMIF('Mov_Analizados_Abr 26'!$I$10:$I$862,Resumen_Base!E87,'Mov_Analizados_Abr 26'!$K$10:$K$862)</f>
        <v>0</v>
      </c>
      <c r="U87" s="339">
        <f>+SUMIF('Mov_Analizados_May 26'!$I$10:$I$1205,Resumen_Base!E87,'Mov_Analizados_May 26'!$J$10:$J$1205)</f>
        <v>0</v>
      </c>
      <c r="V87" s="340">
        <f>+SUMIF('Mov_Analizados_May 26'!$I$10:$I$1205,Resumen_Base!E87,'Mov_Analizados_May 26'!$K$10:$K$1205)</f>
        <v>0</v>
      </c>
      <c r="X87" s="339">
        <f t="shared" ca="1" si="3"/>
        <v>5230878.25</v>
      </c>
      <c r="Y87" s="340">
        <f t="shared" ca="1" si="4"/>
        <v>3630</v>
      </c>
    </row>
    <row r="88" spans="1:27">
      <c r="A88" s="4" t="str">
        <f>+VLOOKUP(C88,'Plan Cuentas Link Armado'!$A$3:$D$105,4,0)</f>
        <v>Baiting/Maize:</v>
      </c>
      <c r="B88" s="346"/>
      <c r="C88" s="607" t="s">
        <v>265</v>
      </c>
      <c r="D88" s="597" t="s">
        <v>266</v>
      </c>
      <c r="E88" s="4" t="s">
        <v>2762</v>
      </c>
      <c r="G88" s="4" t="str">
        <f>+VLOOKUP(C88,'Plan Cuentas Link Armado'!$A$3:$D$105,4,0)</f>
        <v>Baiting/Maize:</v>
      </c>
      <c r="I88" s="339">
        <f ca="1">+SUMIF('Mov_Analizados_Sept25 - Dic25'!$H$10:$I$1038,Resumen_Base!E88,'Mov_Analizados_Sept25 - Dic25'!$I$10:$I$1038)</f>
        <v>0</v>
      </c>
      <c r="J88" s="340">
        <f ca="1">+SUMIF('Mov_Analizados_Sept25 - Dic25'!$H$10:$J$1038,Resumen_Base!E88,'Mov_Analizados_Sept25 - Dic25'!$J$10:$J$1038)</f>
        <v>0</v>
      </c>
      <c r="L88" s="339">
        <f>+SUMIF('Mov_Analizados_Ene 26'!$H$10:$H$330,Resumen_Base!E88,'Mov_Analizados_Ene 26'!$I$10:$I$330)</f>
        <v>0</v>
      </c>
      <c r="M88" s="340">
        <f>+SUMIF('Mov_Analizados_Ene 26'!$H$10:$H$330,Resumen_Base!E88,'Mov_Analizados_Ene 26'!$J$10:$J$330)</f>
        <v>0</v>
      </c>
      <c r="N88" s="682">
        <f>+SUMIF('Mov_Analizados_Ene 26'!$H$10:$H$330,Resumen_Base!E88,'Mov_Analizados_Ene 26'!$J$10:$J$330)-M88</f>
        <v>0</v>
      </c>
      <c r="O88" s="339">
        <f>+SUMIF('Mov_Analizados_Feb - Mar 26'!$H$10:$H$1378,Resumen_Base!E88,'Mov_Analizados_Feb - Mar 26'!$I$10:$I$1378)</f>
        <v>0</v>
      </c>
      <c r="P88" s="340">
        <f>+SUMIF('Mov_Analizados_Feb - Mar 26'!$H$10:$H$1378,Resumen_Base!E88,'Mov_Analizados_Feb - Mar 26'!$J$10:$J$1378)</f>
        <v>0</v>
      </c>
      <c r="R88" s="339">
        <f>+SUMIF('Mov_Analizados_Abr 26'!$I$10:$I$862,Resumen_Base!E88,'Mov_Analizados_Abr 26'!$J$10:$J$862)</f>
        <v>0</v>
      </c>
      <c r="S88" s="340">
        <f>+SUMIF('Mov_Analizados_Abr 26'!$I$10:$I$862,Resumen_Base!E88,'Mov_Analizados_Abr 26'!$K$10:$K$862)</f>
        <v>0</v>
      </c>
      <c r="U88" s="339">
        <f>+SUMIF('Mov_Analizados_May 26'!$I$10:$I$1205,Resumen_Base!E88,'Mov_Analizados_May 26'!$J$10:$J$1205)</f>
        <v>0</v>
      </c>
      <c r="V88" s="340">
        <f>+SUMIF('Mov_Analizados_May 26'!$I$10:$I$1205,Resumen_Base!E88,'Mov_Analizados_May 26'!$K$10:$K$1205)</f>
        <v>0</v>
      </c>
      <c r="X88" s="339">
        <f t="shared" ca="1" si="3"/>
        <v>0</v>
      </c>
      <c r="Y88" s="340">
        <f t="shared" ca="1" si="4"/>
        <v>0</v>
      </c>
    </row>
    <row r="89" spans="1:27" ht="14.5">
      <c r="A89" s="4" t="s">
        <v>419</v>
      </c>
      <c r="C89" s="686" t="s">
        <v>777</v>
      </c>
      <c r="D89" s="681" t="s">
        <v>778</v>
      </c>
      <c r="E89" s="152" t="s">
        <v>2766</v>
      </c>
      <c r="G89" s="4" t="s">
        <v>419</v>
      </c>
      <c r="I89" s="339">
        <f ca="1">+SUMIF('Mov_Analizados_Sept25 - Dic25'!$H$10:$I$1038,Resumen_Base!E89,'Mov_Analizados_Sept25 - Dic25'!$I$10:$I$1038)</f>
        <v>11217375.199999999</v>
      </c>
      <c r="J89" s="340">
        <f ca="1">+SUMIF('Mov_Analizados_Sept25 - Dic25'!$H$10:$J$1038,Resumen_Base!E89,'Mov_Analizados_Sept25 - Dic25'!$J$10:$J$1038)</f>
        <v>7974.920000000001</v>
      </c>
      <c r="L89" s="339">
        <f>+SUMIF('Mov_Analizados_Ene 26'!$H$10:$H$330,Resumen_Base!E89,'Mov_Analizados_Ene 26'!$I$10:$I$330)</f>
        <v>0</v>
      </c>
      <c r="M89" s="340">
        <f>+SUMIF('Mov_Analizados_Ene 26'!$H$10:$H$330,Resumen_Base!E89,'Mov_Analizados_Ene 26'!$J$10:$J$330)</f>
        <v>0</v>
      </c>
      <c r="N89" s="682">
        <f>+SUMIF('Mov_Analizados_Ene 26'!$H$10:$H$330,Resumen_Base!E89,'Mov_Analizados_Ene 26'!$J$10:$J$330)-M89</f>
        <v>0</v>
      </c>
      <c r="O89" s="339">
        <f>+SUMIF('Mov_Analizados_Feb - Mar 26'!$H$10:$H$1378,Resumen_Base!E89,'Mov_Analizados_Feb - Mar 26'!$I$10:$I$1378)</f>
        <v>496179</v>
      </c>
      <c r="P89" s="340">
        <f>+SUMIF('Mov_Analizados_Feb - Mar 26'!$H$10:$H$1378,Resumen_Base!E89,'Mov_Analizados_Feb - Mar 26'!$J$10:$J$1378)</f>
        <v>351.9</v>
      </c>
      <c r="R89" s="339">
        <f>+SUMIF('Mov_Analizados_Abr 26'!$I$10:$I$862,Resumen_Base!E89,'Mov_Analizados_Abr 26'!$J$10:$J$862)</f>
        <v>422047.95</v>
      </c>
      <c r="S89" s="340">
        <f>+SUMIF('Mov_Analizados_Abr 26'!$I$10:$I$862,Resumen_Base!E89,'Mov_Analizados_Abr 26'!$K$10:$K$862)</f>
        <v>300.39</v>
      </c>
      <c r="U89" s="339">
        <f>+SUMIF('Mov_Analizados_May 26'!$I$10:$I$1205,Resumen_Base!E89,'Mov_Analizados_May 26'!$J$10:$J$1205)</f>
        <v>906056.4</v>
      </c>
      <c r="V89" s="340">
        <f>+SUMIF('Mov_Analizados_May 26'!$I$10:$I$1205,Resumen_Base!E89,'Mov_Analizados_May 26'!$K$10:$K$1205)</f>
        <v>644.88</v>
      </c>
      <c r="X89" s="339">
        <f t="shared" ca="1" si="3"/>
        <v>13041658.549999999</v>
      </c>
      <c r="Y89" s="340">
        <f t="shared" ca="1" si="4"/>
        <v>9272.09</v>
      </c>
    </row>
    <row r="90" spans="1:27" ht="13" thickBot="1">
      <c r="J90" s="340"/>
      <c r="M90" s="340"/>
      <c r="P90" s="340"/>
      <c r="S90" s="340"/>
      <c r="V90" s="340"/>
      <c r="Y90" s="340"/>
    </row>
    <row r="91" spans="1:27" s="345" customFormat="1" ht="13" thickBot="1">
      <c r="A91" s="616" t="s">
        <v>84</v>
      </c>
      <c r="B91" s="616" t="s">
        <v>84</v>
      </c>
      <c r="C91" s="616" t="s">
        <v>84</v>
      </c>
      <c r="D91" s="616" t="s">
        <v>84</v>
      </c>
      <c r="E91" s="616" t="s">
        <v>84</v>
      </c>
      <c r="F91" s="616" t="s">
        <v>84</v>
      </c>
      <c r="G91" s="616" t="s">
        <v>84</v>
      </c>
      <c r="H91" s="616" t="s">
        <v>84</v>
      </c>
      <c r="I91" s="616" t="s">
        <v>84</v>
      </c>
      <c r="J91" s="616" t="s">
        <v>84</v>
      </c>
      <c r="K91" s="616" t="s">
        <v>84</v>
      </c>
      <c r="L91" s="616" t="s">
        <v>84</v>
      </c>
      <c r="M91" s="616" t="s">
        <v>84</v>
      </c>
      <c r="N91" s="616" t="s">
        <v>84</v>
      </c>
      <c r="O91" s="616" t="s">
        <v>84</v>
      </c>
      <c r="P91" s="616" t="s">
        <v>84</v>
      </c>
      <c r="Q91" s="616" t="s">
        <v>84</v>
      </c>
      <c r="R91" s="616" t="s">
        <v>84</v>
      </c>
      <c r="S91" s="616" t="s">
        <v>84</v>
      </c>
      <c r="T91" s="616" t="s">
        <v>84</v>
      </c>
      <c r="U91" s="616" t="s">
        <v>84</v>
      </c>
      <c r="V91" s="616" t="s">
        <v>84</v>
      </c>
      <c r="W91" s="616" t="s">
        <v>84</v>
      </c>
      <c r="X91" s="616" t="s">
        <v>84</v>
      </c>
      <c r="Y91" s="616" t="s">
        <v>84</v>
      </c>
    </row>
    <row r="92" spans="1:27" ht="13.5" thickBot="1">
      <c r="C92" s="617" t="s">
        <v>675</v>
      </c>
      <c r="D92" s="133"/>
      <c r="E92" s="133"/>
      <c r="J92" s="340"/>
      <c r="M92" s="340"/>
      <c r="P92" s="340"/>
      <c r="S92" s="340"/>
      <c r="V92" s="340"/>
      <c r="Y92" s="340"/>
    </row>
    <row r="93" spans="1:27" ht="13.5" thickBot="1">
      <c r="C93" s="342" t="s">
        <v>24</v>
      </c>
      <c r="D93" s="343" t="s">
        <v>23</v>
      </c>
      <c r="E93" s="344" t="s">
        <v>82</v>
      </c>
      <c r="I93" s="337">
        <f ca="1">SUM(I95:I156)</f>
        <v>39539372.200000003</v>
      </c>
      <c r="J93" s="338">
        <f ca="1">SUM(J95:J156)</f>
        <v>27762.715641025643</v>
      </c>
      <c r="L93" s="337">
        <f>SUM(L95:L156)</f>
        <v>262552</v>
      </c>
      <c r="M93" s="338">
        <f>SUM(M95:M156)</f>
        <v>116.74435897435896</v>
      </c>
      <c r="O93" s="337">
        <f>SUM(O95:O156)</f>
        <v>7487490.6600000001</v>
      </c>
      <c r="P93" s="338">
        <f>SUM(P95:P156)</f>
        <v>5266.9327473309613</v>
      </c>
      <c r="R93" s="337">
        <f>SUM(R95:R156)</f>
        <v>604112.44999999995</v>
      </c>
      <c r="S93" s="338">
        <f>SUM(S95:S156)</f>
        <v>429.97327402135204</v>
      </c>
      <c r="U93" s="337">
        <f>SUM(U95:U156)</f>
        <v>18262</v>
      </c>
      <c r="V93" s="338">
        <f>SUM(V95:V156)</f>
        <v>12.9978647686833</v>
      </c>
      <c r="X93" s="337">
        <f ca="1">SUM(X95:X156)</f>
        <v>47911789.310000002</v>
      </c>
      <c r="Y93" s="338">
        <f ca="1">ROUND(SUM(Y95:Y156),0)</f>
        <v>33589</v>
      </c>
      <c r="Z93" s="822">
        <f ca="1">SUM(H93:W93)-X93-Y93</f>
        <v>0.36388613283634186</v>
      </c>
      <c r="AA93" s="346">
        <f ca="1">+Y93</f>
        <v>33589</v>
      </c>
    </row>
    <row r="94" spans="1:27" s="345" customFormat="1" ht="13" thickBot="1">
      <c r="A94" s="616" t="s">
        <v>84</v>
      </c>
      <c r="B94" s="616" t="s">
        <v>84</v>
      </c>
      <c r="C94" s="616" t="s">
        <v>84</v>
      </c>
      <c r="D94" s="616" t="s">
        <v>84</v>
      </c>
      <c r="E94" s="616" t="s">
        <v>84</v>
      </c>
      <c r="F94" s="616" t="s">
        <v>84</v>
      </c>
      <c r="G94" s="616" t="s">
        <v>84</v>
      </c>
      <c r="H94" s="616" t="s">
        <v>84</v>
      </c>
      <c r="I94" s="616" t="s">
        <v>84</v>
      </c>
      <c r="J94" s="616" t="s">
        <v>84</v>
      </c>
      <c r="K94" s="616" t="s">
        <v>84</v>
      </c>
      <c r="L94" s="616" t="s">
        <v>84</v>
      </c>
      <c r="M94" s="616" t="s">
        <v>84</v>
      </c>
      <c r="N94" s="616" t="s">
        <v>84</v>
      </c>
      <c r="O94" s="616" t="s">
        <v>84</v>
      </c>
      <c r="P94" s="616" t="s">
        <v>84</v>
      </c>
      <c r="Q94" s="616" t="s">
        <v>84</v>
      </c>
      <c r="R94" s="616" t="s">
        <v>84</v>
      </c>
      <c r="S94" s="616" t="s">
        <v>84</v>
      </c>
      <c r="T94" s="616" t="s">
        <v>84</v>
      </c>
      <c r="U94" s="616" t="s">
        <v>84</v>
      </c>
      <c r="V94" s="616" t="s">
        <v>84</v>
      </c>
      <c r="W94" s="616" t="s">
        <v>84</v>
      </c>
      <c r="X94" s="616" t="s">
        <v>84</v>
      </c>
      <c r="Y94" s="616" t="s">
        <v>84</v>
      </c>
    </row>
    <row r="95" spans="1:27">
      <c r="A95" s="4" t="str">
        <f>+VLOOKUP(C95,'Plan Cuentas Link Armado'!$A$3:$D$105,4,0)</f>
        <v>Fixed Asset's Payments (Investments) Mejoras/equipamiento Lodge</v>
      </c>
      <c r="B95" s="346">
        <f t="shared" ref="B95:B100" ca="1" si="6">+Y95</f>
        <v>31731.65</v>
      </c>
      <c r="C95" s="347" t="s">
        <v>50</v>
      </c>
      <c r="D95" s="4" t="s">
        <v>51</v>
      </c>
      <c r="E95" s="4" t="s">
        <v>578</v>
      </c>
      <c r="G95" s="4" t="str">
        <f>+VLOOKUP(C95,'Plan Cuentas Link Armado'!$A$3:$D$105,4,0)</f>
        <v>Fixed Asset's Payments (Investments) Mejoras/equipamiento Lodge</v>
      </c>
      <c r="I95" s="339">
        <f ca="1">+SUMIF('Mov_Analizados_Sept25 - Dic25'!$H$10:$I$1038,Resumen_Base!E95,'Mov_Analizados_Sept25 - Dic25'!$I$10:$I$1038)</f>
        <v>38980654.399999999</v>
      </c>
      <c r="J95" s="340">
        <f ca="1">+SUMIF('Mov_Analizados_Sept25 - Dic25'!$H$10:$J$1038,Resumen_Base!E95,'Mov_Analizados_Sept25 - Dic25'!$J$10:$J$1038)</f>
        <v>27310.32</v>
      </c>
      <c r="L95" s="339">
        <f>+SUMIF('Mov_Analizados_Ene 26'!$H$10:$H$330,Resumen_Base!E95,'Mov_Analizados_Ene 26'!$I$10:$I$330)</f>
        <v>0</v>
      </c>
      <c r="M95" s="340">
        <f>+SUMIF('Mov_Analizados_Ene 26'!$H$10:$H$330,Resumen_Base!E95,'Mov_Analizados_Ene 26'!$J$10:$J$330)</f>
        <v>0</v>
      </c>
      <c r="N95" s="682">
        <f>+SUMIF('Mov_Analizados_Ene 26'!$H$10:$H$330,Resumen_Base!E95,'Mov_Analizados_Ene 26'!$J$10:$J$330)-M95</f>
        <v>0</v>
      </c>
      <c r="O95" s="339">
        <f>+SUMIF('Mov_Analizados_Feb - Mar 26'!$H$10:$H$1378,Resumen_Base!E95,'Mov_Analizados_Feb - Mar 26'!$I$10:$I$1378)</f>
        <v>6300395.25</v>
      </c>
      <c r="P95" s="340">
        <f>+SUMIF('Mov_Analizados_Feb - Mar 26'!$H$10:$H$1378,Resumen_Base!E95,'Mov_Analizados_Feb - Mar 26'!$J$10:$J$1378)</f>
        <v>4421.33</v>
      </c>
      <c r="R95" s="339">
        <f>+SUMIF('Mov_Analizados_Abr 26'!$I$10:$I$862,Resumen_Base!E95,'Mov_Analizados_Abr 26'!$J$10:$J$862)</f>
        <v>0</v>
      </c>
      <c r="S95" s="340">
        <f>+SUMIF('Mov_Analizados_Abr 26'!$I$10:$I$862,Resumen_Base!E95,'Mov_Analizados_Abr 26'!$K$10:$K$862)</f>
        <v>0</v>
      </c>
      <c r="U95" s="339">
        <f>+SUMIF('Mov_Analizados_May 26'!$I$10:$I$1205,Resumen_Base!E95,'Mov_Analizados_May 26'!$J$10:$J$1205)</f>
        <v>0</v>
      </c>
      <c r="V95" s="340">
        <f>+SUMIF('Mov_Analizados_May 26'!$I$10:$I$1205,Resumen_Base!E95,'Mov_Analizados_May 26'!$K$10:$K$1205)</f>
        <v>0</v>
      </c>
      <c r="X95" s="339">
        <f t="shared" ref="X95:X153" ca="1" si="7">+I95+L95+O95+R95+U95</f>
        <v>45281049.649999999</v>
      </c>
      <c r="Y95" s="340">
        <f t="shared" ref="Y95:Y153" ca="1" si="8">+J95+M95+P95+S95+V95</f>
        <v>31731.65</v>
      </c>
    </row>
    <row r="96" spans="1:27">
      <c r="A96" s="219" t="s">
        <v>3408</v>
      </c>
      <c r="B96" s="757">
        <f ca="1">+Y96</f>
        <v>0</v>
      </c>
      <c r="C96" s="758" t="s">
        <v>3409</v>
      </c>
      <c r="D96" s="219" t="s">
        <v>51</v>
      </c>
      <c r="E96" s="360" t="s">
        <v>3411</v>
      </c>
      <c r="G96" s="4" t="str">
        <f>+VLOOKUP(C96,'Plan Cuentas Link Armado'!$A$3:$D$105,4,0)</f>
        <v>Fixed Asset's Payments (Investments) Mejoras/equipamiento Lodge</v>
      </c>
      <c r="I96" s="339">
        <f ca="1">+SUMIF('Mov_Analizados_Sept25 - Dic25'!$H$10:$I$1038,Resumen_Base!E96,'Mov_Analizados_Sept25 - Dic25'!$I$10:$I$1038)</f>
        <v>0</v>
      </c>
      <c r="J96" s="340">
        <f ca="1">+SUMIF('Mov_Analizados_Sept25 - Dic25'!$H$10:$J$1038,Resumen_Base!E96,'Mov_Analizados_Sept25 - Dic25'!$J$10:$J$1038)</f>
        <v>0</v>
      </c>
      <c r="L96" s="339">
        <f>+SUMIF('Mov_Analizados_Ene 26'!$H$10:$H$330,Resumen_Base!E96,'Mov_Analizados_Ene 26'!$I$10:$I$330)</f>
        <v>0</v>
      </c>
      <c r="M96" s="340">
        <f>+SUMIF('Mov_Analizados_Ene 26'!$H$10:$H$330,Resumen_Base!E96,'Mov_Analizados_Ene 26'!$J$10:$J$330)</f>
        <v>0</v>
      </c>
      <c r="N96" s="682">
        <f>+SUMIF('Mov_Analizados_Ene 26'!$H$10:$H$330,Resumen_Base!E96,'Mov_Analizados_Ene 26'!$J$10:$J$330)-M96</f>
        <v>0</v>
      </c>
      <c r="O96" s="339">
        <f>+SUMIF('Mov_Analizados_Feb - Mar 26'!$H$10:$H$1378,Resumen_Base!E96,'Mov_Analizados_Feb - Mar 26'!$I$10:$I$1378)</f>
        <v>0</v>
      </c>
      <c r="P96" s="340">
        <f>+SUMIF('Mov_Analizados_Feb - Mar 26'!$H$10:$H$1378,Resumen_Base!E96,'Mov_Analizados_Feb - Mar 26'!$J$10:$J$1378)</f>
        <v>0</v>
      </c>
      <c r="R96" s="339">
        <f>+SUMIF('Mov_Analizados_Abr 26'!$I$10:$I$862,Resumen_Base!E96,'Mov_Analizados_Abr 26'!$J$10:$J$862)</f>
        <v>0</v>
      </c>
      <c r="S96" s="340">
        <f>+SUMIF('Mov_Analizados_Abr 26'!$I$10:$I$862,Resumen_Base!E96,'Mov_Analizados_Abr 26'!$K$10:$K$862)</f>
        <v>0</v>
      </c>
      <c r="U96" s="339">
        <f>+SUMIF('Mov_Analizados_May 26'!$I$10:$I$1205,Resumen_Base!E96,'Mov_Analizados_May 26'!$J$10:$J$1205)</f>
        <v>0</v>
      </c>
      <c r="V96" s="340">
        <f>+SUMIF('Mov_Analizados_May 26'!$I$10:$I$1205,Resumen_Base!E96,'Mov_Analizados_May 26'!$K$10:$K$1205)</f>
        <v>0</v>
      </c>
      <c r="X96" s="339">
        <f t="shared" ca="1" si="7"/>
        <v>0</v>
      </c>
      <c r="Y96" s="340">
        <f t="shared" ca="1" si="8"/>
        <v>0</v>
      </c>
    </row>
    <row r="97" spans="1:26">
      <c r="A97" s="4" t="str">
        <f>+VLOOKUP(C97,'Plan Cuentas Link Armado'!$A$3:$D$105,4,0)</f>
        <v>Fixed Asset's Payments (Investments) Mejoras/equipamiento Lodge</v>
      </c>
      <c r="B97" s="346">
        <f t="shared" ca="1" si="6"/>
        <v>0</v>
      </c>
      <c r="C97" s="347" t="s">
        <v>52</v>
      </c>
      <c r="D97" s="4" t="s">
        <v>53</v>
      </c>
      <c r="E97" s="4" t="s">
        <v>579</v>
      </c>
      <c r="G97" s="4" t="str">
        <f>+VLOOKUP(C97,'Plan Cuentas Link Armado'!$A$3:$D$105,4,0)</f>
        <v>Fixed Asset's Payments (Investments) Mejoras/equipamiento Lodge</v>
      </c>
      <c r="I97" s="339">
        <f ca="1">+SUMIF('Mov_Analizados_Sept25 - Dic25'!$H$10:$I$1038,Resumen_Base!E97,'Mov_Analizados_Sept25 - Dic25'!$I$10:$I$1038)</f>
        <v>0</v>
      </c>
      <c r="J97" s="340">
        <f ca="1">+SUMIF('Mov_Analizados_Sept25 - Dic25'!$H$10:$J$1038,Resumen_Base!E97,'Mov_Analizados_Sept25 - Dic25'!$J$10:$J$1038)</f>
        <v>0</v>
      </c>
      <c r="L97" s="339">
        <f>+SUMIF('Mov_Analizados_Ene 26'!$H$10:$H$330,Resumen_Base!E97,'Mov_Analizados_Ene 26'!$I$10:$I$330)</f>
        <v>0</v>
      </c>
      <c r="M97" s="340">
        <f>+SUMIF('Mov_Analizados_Ene 26'!$H$10:$H$330,Resumen_Base!E97,'Mov_Analizados_Ene 26'!$J$10:$J$330)</f>
        <v>0</v>
      </c>
      <c r="N97" s="682">
        <f>+SUMIF('Mov_Analizados_Ene 26'!$H$10:$H$330,Resumen_Base!E97,'Mov_Analizados_Ene 26'!$J$10:$J$330)-M97</f>
        <v>0</v>
      </c>
      <c r="O97" s="339">
        <f>+SUMIF('Mov_Analizados_Feb - Mar 26'!$H$10:$H$1378,Resumen_Base!E97,'Mov_Analizados_Feb - Mar 26'!$I$10:$I$1378)</f>
        <v>0</v>
      </c>
      <c r="P97" s="340">
        <f>+SUMIF('Mov_Analizados_Feb - Mar 26'!$H$10:$H$1378,Resumen_Base!E97,'Mov_Analizados_Feb - Mar 26'!$J$10:$J$1378)</f>
        <v>0</v>
      </c>
      <c r="R97" s="339">
        <f>+SUMIF('Mov_Analizados_Abr 26'!$I$10:$I$862,Resumen_Base!E97,'Mov_Analizados_Abr 26'!$J$10:$J$862)</f>
        <v>0</v>
      </c>
      <c r="S97" s="340">
        <f>+SUMIF('Mov_Analizados_Abr 26'!$I$10:$I$862,Resumen_Base!E97,'Mov_Analizados_Abr 26'!$K$10:$K$862)</f>
        <v>0</v>
      </c>
      <c r="U97" s="339">
        <f>+SUMIF('Mov_Analizados_May 26'!$I$10:$I$1205,Resumen_Base!E97,'Mov_Analizados_May 26'!$J$10:$J$1205)</f>
        <v>0</v>
      </c>
      <c r="V97" s="340">
        <f>+SUMIF('Mov_Analizados_May 26'!$I$10:$I$1205,Resumen_Base!E97,'Mov_Analizados_May 26'!$K$10:$K$1205)</f>
        <v>0</v>
      </c>
      <c r="X97" s="339">
        <f t="shared" ca="1" si="7"/>
        <v>0</v>
      </c>
      <c r="Y97" s="340">
        <f t="shared" ca="1" si="8"/>
        <v>0</v>
      </c>
    </row>
    <row r="98" spans="1:26" ht="14.5">
      <c r="A98" s="4" t="str">
        <f>+VLOOKUP(C98,'Plan Cuentas Link Armado'!$A$3:$D$105,4,0)</f>
        <v>Fixed Asset's Payments (Investments) Mejoras/equipamiento Lodge</v>
      </c>
      <c r="B98" s="346">
        <f t="shared" ca="1" si="6"/>
        <v>0</v>
      </c>
      <c r="C98" s="211" t="s">
        <v>129</v>
      </c>
      <c r="D98" s="4" t="s">
        <v>130</v>
      </c>
      <c r="E98" s="4" t="s">
        <v>580</v>
      </c>
      <c r="G98" s="4" t="str">
        <f>+VLOOKUP(C98,'Plan Cuentas Link Armado'!$A$3:$D$105,4,0)</f>
        <v>Fixed Asset's Payments (Investments) Mejoras/equipamiento Lodge</v>
      </c>
      <c r="I98" s="339">
        <f ca="1">+SUMIF('Mov_Analizados_Sept25 - Dic25'!$H$10:$I$1038,Resumen_Base!E98,'Mov_Analizados_Sept25 - Dic25'!$I$10:$I$1038)</f>
        <v>0</v>
      </c>
      <c r="J98" s="340">
        <f ca="1">+SUMIF('Mov_Analizados_Sept25 - Dic25'!$H$10:$J$1038,Resumen_Base!E98,'Mov_Analizados_Sept25 - Dic25'!$J$10:$J$1038)</f>
        <v>0</v>
      </c>
      <c r="L98" s="339">
        <f>+SUMIF('Mov_Analizados_Ene 26'!$H$10:$H$330,Resumen_Base!E98,'Mov_Analizados_Ene 26'!$I$10:$I$330)</f>
        <v>0</v>
      </c>
      <c r="M98" s="340">
        <f>+SUMIF('Mov_Analizados_Ene 26'!$H$10:$H$330,Resumen_Base!E98,'Mov_Analizados_Ene 26'!$J$10:$J$330)</f>
        <v>0</v>
      </c>
      <c r="N98" s="682">
        <f>+SUMIF('Mov_Analizados_Ene 26'!$H$10:$H$330,Resumen_Base!E98,'Mov_Analizados_Ene 26'!$J$10:$J$330)-M98</f>
        <v>0</v>
      </c>
      <c r="O98" s="339">
        <f>+SUMIF('Mov_Analizados_Feb - Mar 26'!$H$10:$H$1378,Resumen_Base!E98,'Mov_Analizados_Feb - Mar 26'!$I$10:$I$1378)</f>
        <v>0</v>
      </c>
      <c r="P98" s="340">
        <f>+SUMIF('Mov_Analizados_Feb - Mar 26'!$H$10:$H$1378,Resumen_Base!E98,'Mov_Analizados_Feb - Mar 26'!$J$10:$J$1378)</f>
        <v>0</v>
      </c>
      <c r="R98" s="339">
        <f>+SUMIF('Mov_Analizados_Abr 26'!$I$10:$I$862,Resumen_Base!E98,'Mov_Analizados_Abr 26'!$J$10:$J$862)</f>
        <v>0</v>
      </c>
      <c r="S98" s="340">
        <f>+SUMIF('Mov_Analizados_Abr 26'!$I$10:$I$862,Resumen_Base!E98,'Mov_Analizados_Abr 26'!$K$10:$K$862)</f>
        <v>0</v>
      </c>
      <c r="U98" s="339">
        <f>+SUMIF('Mov_Analizados_May 26'!$I$10:$I$1205,Resumen_Base!E98,'Mov_Analizados_May 26'!$J$10:$J$1205)</f>
        <v>0</v>
      </c>
      <c r="V98" s="340">
        <f>+SUMIF('Mov_Analizados_May 26'!$I$10:$I$1205,Resumen_Base!E98,'Mov_Analizados_May 26'!$K$10:$K$1205)</f>
        <v>0</v>
      </c>
      <c r="X98" s="339">
        <f t="shared" ca="1" si="7"/>
        <v>0</v>
      </c>
      <c r="Y98" s="340">
        <f t="shared" ca="1" si="8"/>
        <v>0</v>
      </c>
    </row>
    <row r="99" spans="1:26" ht="14.5">
      <c r="A99" s="4" t="str">
        <f>+VLOOKUP(C99,'Plan Cuentas Link Armado'!$A$3:$D$105,4,0)</f>
        <v>Fixed Asset's Payments (Investments) Mejoras/equipamiento Lodge</v>
      </c>
      <c r="B99" s="346">
        <f t="shared" ca="1" si="6"/>
        <v>400.44839857651215</v>
      </c>
      <c r="C99" s="211" t="s">
        <v>6</v>
      </c>
      <c r="D99" s="4" t="s">
        <v>5</v>
      </c>
      <c r="E99" s="4" t="s">
        <v>581</v>
      </c>
      <c r="G99" s="4" t="str">
        <f>+VLOOKUP(C99,'Plan Cuentas Link Armado'!$A$3:$D$105,4,0)</f>
        <v>Fixed Asset's Payments (Investments) Mejoras/equipamiento Lodge</v>
      </c>
      <c r="I99" s="339">
        <f ca="1">+SUMIF('Mov_Analizados_Sept25 - Dic25'!$H$10:$I$1038,Resumen_Base!E99,'Mov_Analizados_Sept25 - Dic25'!$I$10:$I$1038)</f>
        <v>0</v>
      </c>
      <c r="J99" s="340">
        <f ca="1">+SUMIF('Mov_Analizados_Sept25 - Dic25'!$H$10:$J$1038,Resumen_Base!E99,'Mov_Analizados_Sept25 - Dic25'!$J$10:$J$1038)</f>
        <v>0</v>
      </c>
      <c r="L99" s="339">
        <f>+SUMIF('Mov_Analizados_Ene 26'!$H$10:$H$330,Resumen_Base!E99,'Mov_Analizados_Ene 26'!$I$10:$I$330)</f>
        <v>0</v>
      </c>
      <c r="M99" s="340">
        <f>+SUMIF('Mov_Analizados_Ene 26'!$H$10:$H$330,Resumen_Base!E99,'Mov_Analizados_Ene 26'!$J$10:$J$330)</f>
        <v>0</v>
      </c>
      <c r="N99" s="682">
        <f>+SUMIF('Mov_Analizados_Ene 26'!$H$10:$H$330,Resumen_Base!E99,'Mov_Analizados_Ene 26'!$J$10:$J$330)-M99</f>
        <v>0</v>
      </c>
      <c r="O99" s="339">
        <f>+SUMIF('Mov_Analizados_Feb - Mar 26'!$H$10:$H$1378,Resumen_Base!E99,'Mov_Analizados_Feb - Mar 26'!$I$10:$I$1378)</f>
        <v>177030</v>
      </c>
      <c r="P99" s="340">
        <f>+SUMIF('Mov_Analizados_Feb - Mar 26'!$H$10:$H$1378,Resumen_Base!E99,'Mov_Analizados_Feb - Mar 26'!$J$10:$J$1378)</f>
        <v>126</v>
      </c>
      <c r="R99" s="339">
        <f>+SUMIF('Mov_Analizados_Abr 26'!$I$10:$I$862,Resumen_Base!E99,'Mov_Analizados_Abr 26'!$J$10:$J$862)</f>
        <v>385600</v>
      </c>
      <c r="S99" s="340">
        <f>+SUMIF('Mov_Analizados_Abr 26'!$I$10:$I$862,Resumen_Base!E99,'Mov_Analizados_Abr 26'!$K$10:$K$862)</f>
        <v>274.44839857651215</v>
      </c>
      <c r="U99" s="339">
        <f>+SUMIF('Mov_Analizados_May 26'!$I$10:$I$1205,Resumen_Base!E99,'Mov_Analizados_May 26'!$J$10:$J$1205)</f>
        <v>0</v>
      </c>
      <c r="V99" s="340">
        <f>+SUMIF('Mov_Analizados_May 26'!$I$10:$I$1205,Resumen_Base!E99,'Mov_Analizados_May 26'!$K$10:$K$1205)</f>
        <v>0</v>
      </c>
      <c r="X99" s="339">
        <f t="shared" ca="1" si="7"/>
        <v>562630</v>
      </c>
      <c r="Y99" s="340">
        <f t="shared" ca="1" si="8"/>
        <v>400.44839857651215</v>
      </c>
    </row>
    <row r="100" spans="1:26">
      <c r="A100" s="4" t="str">
        <f>+VLOOKUP(C100,'Plan Cuentas Link Armado'!$A$3:$D$105,4,0)</f>
        <v>Fixed Asset's Payments (Investments) Mejoras/equipamiento Lodge</v>
      </c>
      <c r="B100" s="346">
        <f t="shared" ca="1" si="6"/>
        <v>0</v>
      </c>
      <c r="C100" s="308" t="s">
        <v>131</v>
      </c>
      <c r="D100" s="4" t="s">
        <v>132</v>
      </c>
      <c r="E100" s="4" t="s">
        <v>582</v>
      </c>
      <c r="G100" s="4" t="str">
        <f>+VLOOKUP(C100,'Plan Cuentas Link Armado'!$A$3:$D$105,4,0)</f>
        <v>Fixed Asset's Payments (Investments) Mejoras/equipamiento Lodge</v>
      </c>
      <c r="I100" s="339">
        <f ca="1">+SUMIF('Mov_Analizados_Sept25 - Dic25'!$H$10:$I$1038,Resumen_Base!E100,'Mov_Analizados_Sept25 - Dic25'!$I$10:$I$1038)</f>
        <v>0</v>
      </c>
      <c r="J100" s="340">
        <f ca="1">+SUMIF('Mov_Analizados_Sept25 - Dic25'!$H$10:$J$1038,Resumen_Base!E100,'Mov_Analizados_Sept25 - Dic25'!$J$10:$J$1038)</f>
        <v>0</v>
      </c>
      <c r="L100" s="339">
        <f>+SUMIF('Mov_Analizados_Ene 26'!$H$10:$H$330,Resumen_Base!E100,'Mov_Analizados_Ene 26'!$I$10:$I$330)</f>
        <v>0</v>
      </c>
      <c r="M100" s="340">
        <f>+SUMIF('Mov_Analizados_Ene 26'!$H$10:$H$330,Resumen_Base!E100,'Mov_Analizados_Ene 26'!$J$10:$J$330)</f>
        <v>0</v>
      </c>
      <c r="N100" s="682">
        <f>+SUMIF('Mov_Analizados_Ene 26'!$H$10:$H$330,Resumen_Base!E100,'Mov_Analizados_Ene 26'!$J$10:$J$330)-M100</f>
        <v>0</v>
      </c>
      <c r="O100" s="339">
        <f>+SUMIF('Mov_Analizados_Feb - Mar 26'!$H$10:$H$1378,Resumen_Base!E100,'Mov_Analizados_Feb - Mar 26'!$I$10:$I$1378)</f>
        <v>0</v>
      </c>
      <c r="P100" s="340">
        <f>+SUMIF('Mov_Analizados_Feb - Mar 26'!$H$10:$H$1378,Resumen_Base!E100,'Mov_Analizados_Feb - Mar 26'!$J$10:$J$1378)</f>
        <v>0</v>
      </c>
      <c r="R100" s="339">
        <f>+SUMIF('Mov_Analizados_Abr 26'!$I$10:$I$862,Resumen_Base!E100,'Mov_Analizados_Abr 26'!$J$10:$J$862)</f>
        <v>0</v>
      </c>
      <c r="S100" s="340">
        <f>+SUMIF('Mov_Analizados_Abr 26'!$I$10:$I$862,Resumen_Base!E100,'Mov_Analizados_Abr 26'!$K$10:$K$862)</f>
        <v>0</v>
      </c>
      <c r="U100" s="339">
        <f>+SUMIF('Mov_Analizados_May 26'!$I$10:$I$1205,Resumen_Base!E100,'Mov_Analizados_May 26'!$J$10:$J$1205)</f>
        <v>0</v>
      </c>
      <c r="V100" s="340">
        <f>+SUMIF('Mov_Analizados_May 26'!$I$10:$I$1205,Resumen_Base!E100,'Mov_Analizados_May 26'!$K$10:$K$1205)</f>
        <v>0</v>
      </c>
      <c r="X100" s="339">
        <f t="shared" ca="1" si="7"/>
        <v>0</v>
      </c>
      <c r="Y100" s="340">
        <f t="shared" ca="1" si="8"/>
        <v>0</v>
      </c>
    </row>
    <row r="101" spans="1:26">
      <c r="A101" s="4" t="str">
        <f>+VLOOKUP(C101,'Plan Cuentas Link Armado'!$A$3:$D$105,4,0)</f>
        <v>Fixed Asset's Payments (Investments) Mejoras/equipamiento Lodge</v>
      </c>
      <c r="C101" s="4" t="s">
        <v>54</v>
      </c>
      <c r="D101" s="4" t="s">
        <v>55</v>
      </c>
      <c r="E101" s="152" t="s">
        <v>583</v>
      </c>
      <c r="G101" s="4" t="str">
        <f>+VLOOKUP(C101,'Plan Cuentas Link Armado'!$A$3:$D$105,4,0)</f>
        <v>Fixed Asset's Payments (Investments) Mejoras/equipamiento Lodge</v>
      </c>
      <c r="I101" s="339">
        <f ca="1">+SUMIF('Mov_Analizados_Sept25 - Dic25'!$H$10:$I$1038,Resumen_Base!E101,'Mov_Analizados_Sept25 - Dic25'!$I$10:$I$1038)</f>
        <v>0</v>
      </c>
      <c r="J101" s="340">
        <f ca="1">+SUMIF('Mov_Analizados_Sept25 - Dic25'!$H$10:$J$1038,Resumen_Base!E101,'Mov_Analizados_Sept25 - Dic25'!$J$10:$J$1038)</f>
        <v>0</v>
      </c>
      <c r="L101" s="339">
        <f>+SUMIF('Mov_Analizados_Ene 26'!$H$10:$H$330,Resumen_Base!E101,'Mov_Analizados_Ene 26'!$I$10:$I$330)</f>
        <v>0</v>
      </c>
      <c r="M101" s="340">
        <f>+SUMIF('Mov_Analizados_Ene 26'!$H$10:$H$330,Resumen_Base!E101,'Mov_Analizados_Ene 26'!$J$10:$J$330)</f>
        <v>0</v>
      </c>
      <c r="N101" s="682">
        <f>+SUMIF('Mov_Analizados_Ene 26'!$H$10:$H$330,Resumen_Base!E101,'Mov_Analizados_Ene 26'!$J$10:$J$330)-M101</f>
        <v>0</v>
      </c>
      <c r="O101" s="339">
        <f>+SUMIF('Mov_Analizados_Feb - Mar 26'!$H$10:$H$1378,Resumen_Base!E101,'Mov_Analizados_Feb - Mar 26'!$I$10:$I$1378)</f>
        <v>0</v>
      </c>
      <c r="P101" s="340">
        <f>+SUMIF('Mov_Analizados_Feb - Mar 26'!$H$10:$H$1378,Resumen_Base!E101,'Mov_Analizados_Feb - Mar 26'!$J$10:$J$1378)</f>
        <v>0</v>
      </c>
      <c r="R101" s="339">
        <f>+SUMIF('Mov_Analizados_Abr 26'!$I$10:$I$862,Resumen_Base!E101,'Mov_Analizados_Abr 26'!$J$10:$J$862)</f>
        <v>0</v>
      </c>
      <c r="S101" s="340">
        <f>+SUMIF('Mov_Analizados_Abr 26'!$I$10:$I$862,Resumen_Base!E101,'Mov_Analizados_Abr 26'!$K$10:$K$862)</f>
        <v>0</v>
      </c>
      <c r="U101" s="339">
        <f>+SUMIF('Mov_Analizados_May 26'!$I$10:$I$1205,Resumen_Base!E101,'Mov_Analizados_May 26'!$J$10:$J$1205)</f>
        <v>0</v>
      </c>
      <c r="V101" s="340">
        <f>+SUMIF('Mov_Analizados_May 26'!$I$10:$I$1205,Resumen_Base!E101,'Mov_Analizados_May 26'!$K$10:$K$1205)</f>
        <v>0</v>
      </c>
      <c r="X101" s="339">
        <f t="shared" ca="1" si="7"/>
        <v>0</v>
      </c>
      <c r="Y101" s="340">
        <f t="shared" ca="1" si="8"/>
        <v>0</v>
      </c>
    </row>
    <row r="102" spans="1:26">
      <c r="A102" s="4" t="str">
        <f>+VLOOKUP(C102,'Plan Cuentas Link Armado'!$A$3:$D$105,4,0)</f>
        <v>Communications - Phone, internet and satellite TV</v>
      </c>
      <c r="C102" s="308" t="s">
        <v>56</v>
      </c>
      <c r="D102" s="4" t="s">
        <v>57</v>
      </c>
      <c r="E102" s="4" t="s">
        <v>584</v>
      </c>
      <c r="G102" s="4" t="str">
        <f>+VLOOKUP(C102,'Plan Cuentas Link Armado'!$A$3:$D$105,4,0)</f>
        <v>Communications - Phone, internet and satellite TV</v>
      </c>
      <c r="I102" s="339">
        <f ca="1">+SUMIF('Mov_Analizados_Sept25 - Dic25'!$H$10:$I$1038,Resumen_Base!E102,'Mov_Analizados_Sept25 - Dic25'!$I$10:$I$1038)</f>
        <v>393387.19999999995</v>
      </c>
      <c r="J102" s="340">
        <f ca="1">+SUMIF('Mov_Analizados_Sept25 - Dic25'!$H$10:$J$1038,Resumen_Base!E102,'Mov_Analizados_Sept25 - Dic25'!$J$10:$J$1038)</f>
        <v>275.31</v>
      </c>
      <c r="L102" s="339">
        <f>+SUMIF('Mov_Analizados_Ene 26'!$H$10:$H$330,Resumen_Base!E102,'Mov_Analizados_Ene 26'!$I$10:$I$330)</f>
        <v>91034.8</v>
      </c>
      <c r="M102" s="340">
        <f>+SUMIF('Mov_Analizados_Ene 26'!$H$10:$H$330,Resumen_Base!E102,'Mov_Analizados_Ene 26'!$J$10:$J$330)</f>
        <v>61.510000000000005</v>
      </c>
      <c r="N102" s="682">
        <f>+SUMIF('Mov_Analizados_Ene 26'!$H$10:$H$330,Resumen_Base!E102,'Mov_Analizados_Ene 26'!$J$10:$J$330)-M102</f>
        <v>0</v>
      </c>
      <c r="O102" s="339">
        <f>+SUMIF('Mov_Analizados_Feb - Mar 26'!$H$10:$H$1378,Resumen_Base!E102,'Mov_Analizados_Feb - Mar 26'!$I$10:$I$1378)</f>
        <v>-2627</v>
      </c>
      <c r="P102" s="340">
        <f>+SUMIF('Mov_Analizados_Feb - Mar 26'!$H$10:$H$1378,Resumen_Base!E102,'Mov_Analizados_Feb - Mar 26'!$J$10:$J$1378)</f>
        <v>-1.8599999999999999</v>
      </c>
      <c r="R102" s="339">
        <f>+SUMIF('Mov_Analizados_Abr 26'!$I$10:$I$862,Resumen_Base!E102,'Mov_Analizados_Abr 26'!$J$10:$J$862)</f>
        <v>-1292.5999999999999</v>
      </c>
      <c r="S102" s="340">
        <f>+SUMIF('Mov_Analizados_Abr 26'!$I$10:$I$862,Resumen_Base!E102,'Mov_Analizados_Abr 26'!$K$10:$K$862)</f>
        <v>-0.92</v>
      </c>
      <c r="U102" s="339">
        <f>+SUMIF('Mov_Analizados_May 26'!$I$10:$I$1205,Resumen_Base!E102,'Mov_Analizados_May 26'!$J$10:$J$1205)</f>
        <v>0</v>
      </c>
      <c r="V102" s="340">
        <f>+SUMIF('Mov_Analizados_May 26'!$I$10:$I$1205,Resumen_Base!E102,'Mov_Analizados_May 26'!$K$10:$K$1205)</f>
        <v>0</v>
      </c>
      <c r="X102" s="339">
        <f t="shared" ca="1" si="7"/>
        <v>480502.39999999997</v>
      </c>
      <c r="Y102" s="340">
        <f t="shared" ca="1" si="8"/>
        <v>334.03999999999996</v>
      </c>
    </row>
    <row r="103" spans="1:26">
      <c r="A103" s="4" t="str">
        <f>+VLOOKUP(C103,'Plan Cuentas Link Armado'!$A$3:$D$105,4,0)</f>
        <v>Communications - Phone, internet and satellite TV</v>
      </c>
      <c r="C103" s="308" t="s">
        <v>72</v>
      </c>
      <c r="D103" s="4" t="s">
        <v>73</v>
      </c>
      <c r="E103" s="4" t="s">
        <v>585</v>
      </c>
      <c r="G103" s="4" t="str">
        <f>+VLOOKUP(C103,'Plan Cuentas Link Armado'!$A$3:$D$105,4,0)</f>
        <v>Communications - Phone, internet and satellite TV</v>
      </c>
      <c r="I103" s="339">
        <f ca="1">+SUMIF('Mov_Analizados_Sept25 - Dic25'!$H$10:$I$1038,Resumen_Base!E103,'Mov_Analizados_Sept25 - Dic25'!$I$10:$I$1038)</f>
        <v>0</v>
      </c>
      <c r="J103" s="340">
        <f ca="1">+SUMIF('Mov_Analizados_Sept25 - Dic25'!$H$10:$J$1038,Resumen_Base!E103,'Mov_Analizados_Sept25 - Dic25'!$J$10:$J$1038)</f>
        <v>60.655641025641032</v>
      </c>
      <c r="L103" s="339">
        <f>+SUMIF('Mov_Analizados_Ene 26'!$H$10:$H$330,Resumen_Base!E103,'Mov_Analizados_Ene 26'!$I$10:$I$330)</f>
        <v>171517.2</v>
      </c>
      <c r="M103" s="340">
        <f>+SUMIF('Mov_Analizados_Ene 26'!$H$10:$H$330,Resumen_Base!E103,'Mov_Analizados_Ene 26'!$J$10:$J$330)</f>
        <v>55.234358974358955</v>
      </c>
      <c r="N103" s="682">
        <f>+SUMIF('Mov_Analizados_Ene 26'!$H$10:$H$330,Resumen_Base!E103,'Mov_Analizados_Ene 26'!$J$10:$J$330)-M103</f>
        <v>0</v>
      </c>
      <c r="O103" s="339">
        <f>+SUMIF('Mov_Analizados_Feb - Mar 26'!$H$10:$H$1378,Resumen_Base!E103,'Mov_Analizados_Feb - Mar 26'!$I$10:$I$1378)</f>
        <v>0</v>
      </c>
      <c r="P103" s="340">
        <f>+SUMIF('Mov_Analizados_Feb - Mar 26'!$H$10:$H$1378,Resumen_Base!E103,'Mov_Analizados_Feb - Mar 26'!$J$10:$J$1378)</f>
        <v>0</v>
      </c>
      <c r="R103" s="339">
        <f>+SUMIF('Mov_Analizados_Abr 26'!$I$10:$I$862,Resumen_Base!E103,'Mov_Analizados_Abr 26'!$J$10:$J$862)</f>
        <v>78750.25</v>
      </c>
      <c r="S103" s="340">
        <f>+SUMIF('Mov_Analizados_Abr 26'!$I$10:$I$862,Resumen_Base!E103,'Mov_Analizados_Abr 26'!$K$10:$K$862)</f>
        <v>56.05</v>
      </c>
      <c r="U103" s="339">
        <f>+SUMIF('Mov_Analizados_May 26'!$I$10:$I$1205,Resumen_Base!E103,'Mov_Analizados_May 26'!$J$10:$J$1205)</f>
        <v>0</v>
      </c>
      <c r="V103" s="340">
        <f>+SUMIF('Mov_Analizados_May 26'!$I$10:$I$1205,Resumen_Base!E103,'Mov_Analizados_May 26'!$K$10:$K$1205)</f>
        <v>0</v>
      </c>
      <c r="X103" s="339">
        <f t="shared" ca="1" si="7"/>
        <v>250267.45</v>
      </c>
      <c r="Y103" s="340">
        <f t="shared" ca="1" si="8"/>
        <v>171.94</v>
      </c>
    </row>
    <row r="104" spans="1:26">
      <c r="A104" s="4" t="str">
        <f>+VLOOKUP(C104,'Plan Cuentas Link Armado'!$A$3:$D$105,4,0)</f>
        <v>Electricity</v>
      </c>
      <c r="C104" s="308" t="s">
        <v>41</v>
      </c>
      <c r="D104" s="4" t="s">
        <v>40</v>
      </c>
      <c r="E104" s="4" t="s">
        <v>586</v>
      </c>
      <c r="G104" s="4" t="str">
        <f>+VLOOKUP(C104,'Plan Cuentas Link Armado'!$A$3:$D$105,4,0)</f>
        <v>Electricity</v>
      </c>
      <c r="I104" s="339">
        <f ca="1">+SUMIF('Mov_Analizados_Sept25 - Dic25'!$H$10:$I$1038,Resumen_Base!E104,'Mov_Analizados_Sept25 - Dic25'!$I$10:$I$1038)</f>
        <v>0</v>
      </c>
      <c r="J104" s="340">
        <f ca="1">+SUMIF('Mov_Analizados_Sept25 - Dic25'!$H$10:$J$1038,Resumen_Base!E104,'Mov_Analizados_Sept25 - Dic25'!$J$10:$J$1038)</f>
        <v>0</v>
      </c>
      <c r="L104" s="339">
        <f>+SUMIF('Mov_Analizados_Ene 26'!$H$10:$H$330,Resumen_Base!E104,'Mov_Analizados_Ene 26'!$I$10:$I$330)</f>
        <v>0</v>
      </c>
      <c r="M104" s="340">
        <f>+SUMIF('Mov_Analizados_Ene 26'!$H$10:$H$330,Resumen_Base!E104,'Mov_Analizados_Ene 26'!$J$10:$J$330)</f>
        <v>0</v>
      </c>
      <c r="N104" s="682">
        <f>+SUMIF('Mov_Analizados_Ene 26'!$H$10:$H$330,Resumen_Base!E104,'Mov_Analizados_Ene 26'!$J$10:$J$330)-M104</f>
        <v>0</v>
      </c>
      <c r="O104" s="339">
        <f>+SUMIF('Mov_Analizados_Feb - Mar 26'!$H$10:$H$1378,Resumen_Base!E104,'Mov_Analizados_Feb - Mar 26'!$I$10:$I$1378)</f>
        <v>0</v>
      </c>
      <c r="P104" s="340">
        <f>+SUMIF('Mov_Analizados_Feb - Mar 26'!$H$10:$H$1378,Resumen_Base!E104,'Mov_Analizados_Feb - Mar 26'!$J$10:$J$1378)</f>
        <v>0</v>
      </c>
      <c r="R104" s="339">
        <f>+SUMIF('Mov_Analizados_Abr 26'!$I$10:$I$862,Resumen_Base!E104,'Mov_Analizados_Abr 26'!$J$10:$J$862)</f>
        <v>0</v>
      </c>
      <c r="S104" s="340">
        <f>+SUMIF('Mov_Analizados_Abr 26'!$I$10:$I$862,Resumen_Base!E104,'Mov_Analizados_Abr 26'!$K$10:$K$862)</f>
        <v>0</v>
      </c>
      <c r="U104" s="339">
        <f>+SUMIF('Mov_Analizados_May 26'!$I$10:$I$1205,Resumen_Base!E104,'Mov_Analizados_May 26'!$J$10:$J$1205)</f>
        <v>0</v>
      </c>
      <c r="V104" s="340">
        <f>+SUMIF('Mov_Analizados_May 26'!$I$10:$I$1205,Resumen_Base!E104,'Mov_Analizados_May 26'!$K$10:$K$1205)</f>
        <v>0</v>
      </c>
      <c r="X104" s="339">
        <f t="shared" ca="1" si="7"/>
        <v>0</v>
      </c>
      <c r="Y104" s="340">
        <f t="shared" ca="1" si="8"/>
        <v>0</v>
      </c>
    </row>
    <row r="105" spans="1:26">
      <c r="A105" s="4" t="str">
        <f>+VLOOKUP(C105,'Plan Cuentas Link Armado'!$A$3:$D$105,4,0)</f>
        <v>Propane</v>
      </c>
      <c r="C105" s="308" t="s">
        <v>39</v>
      </c>
      <c r="D105" s="4" t="s">
        <v>38</v>
      </c>
      <c r="E105" s="4" t="s">
        <v>587</v>
      </c>
      <c r="G105" s="4" t="str">
        <f>+VLOOKUP(C105,'Plan Cuentas Link Armado'!$A$3:$D$105,4,0)</f>
        <v>Propane</v>
      </c>
      <c r="I105" s="339">
        <f ca="1">+SUMIF('Mov_Analizados_Sept25 - Dic25'!$H$10:$I$1038,Resumen_Base!E105,'Mov_Analizados_Sept25 - Dic25'!$I$10:$I$1038)</f>
        <v>0</v>
      </c>
      <c r="J105" s="340">
        <f ca="1">+SUMIF('Mov_Analizados_Sept25 - Dic25'!$H$10:$J$1038,Resumen_Base!E105,'Mov_Analizados_Sept25 - Dic25'!$J$10:$J$1038)</f>
        <v>0</v>
      </c>
      <c r="L105" s="339">
        <f>+SUMIF('Mov_Analizados_Ene 26'!$H$10:$H$330,Resumen_Base!E105,'Mov_Analizados_Ene 26'!$I$10:$I$330)</f>
        <v>0</v>
      </c>
      <c r="M105" s="340">
        <f>+SUMIF('Mov_Analizados_Ene 26'!$H$10:$H$330,Resumen_Base!E105,'Mov_Analizados_Ene 26'!$J$10:$J$330)</f>
        <v>0</v>
      </c>
      <c r="N105" s="682">
        <f>+SUMIF('Mov_Analizados_Ene 26'!$H$10:$H$330,Resumen_Base!E105,'Mov_Analizados_Ene 26'!$J$10:$J$330)-M105</f>
        <v>0</v>
      </c>
      <c r="O105" s="339">
        <f>+SUMIF('Mov_Analizados_Feb - Mar 26'!$H$10:$H$1378,Resumen_Base!E105,'Mov_Analizados_Feb - Mar 26'!$I$10:$I$1378)</f>
        <v>0</v>
      </c>
      <c r="P105" s="340">
        <f>+SUMIF('Mov_Analizados_Feb - Mar 26'!$H$10:$H$1378,Resumen_Base!E105,'Mov_Analizados_Feb - Mar 26'!$J$10:$J$1378)</f>
        <v>0</v>
      </c>
      <c r="R105" s="339">
        <f>+SUMIF('Mov_Analizados_Abr 26'!$I$10:$I$862,Resumen_Base!E105,'Mov_Analizados_Abr 26'!$J$10:$J$862)</f>
        <v>0</v>
      </c>
      <c r="S105" s="340">
        <f>+SUMIF('Mov_Analizados_Abr 26'!$I$10:$I$862,Resumen_Base!E105,'Mov_Analizados_Abr 26'!$K$10:$K$862)</f>
        <v>0</v>
      </c>
      <c r="U105" s="339">
        <f>+SUMIF('Mov_Analizados_May 26'!$I$10:$I$1205,Resumen_Base!E105,'Mov_Analizados_May 26'!$J$10:$J$1205)</f>
        <v>0</v>
      </c>
      <c r="V105" s="340">
        <f>+SUMIF('Mov_Analizados_May 26'!$I$10:$I$1205,Resumen_Base!E105,'Mov_Analizados_May 26'!$K$10:$K$1205)</f>
        <v>0</v>
      </c>
      <c r="X105" s="339">
        <f t="shared" ca="1" si="7"/>
        <v>0</v>
      </c>
      <c r="Y105" s="340">
        <f t="shared" ca="1" si="8"/>
        <v>0</v>
      </c>
    </row>
    <row r="106" spans="1:26">
      <c r="A106" s="4" t="str">
        <f>+VLOOKUP(C106,'Plan Cuentas Link Armado'!$A$3:$D$105,4,0)</f>
        <v>Food &amp; Wine</v>
      </c>
      <c r="C106" s="308" t="s">
        <v>45</v>
      </c>
      <c r="D106" s="4" t="s">
        <v>44</v>
      </c>
      <c r="E106" s="4" t="s">
        <v>588</v>
      </c>
      <c r="G106" s="4" t="str">
        <f>+VLOOKUP(C106,'Plan Cuentas Link Armado'!$A$3:$D$105,4,0)</f>
        <v>Food &amp; Wine</v>
      </c>
      <c r="I106" s="339">
        <f ca="1">+SUMIF('Mov_Analizados_Sept25 - Dic25'!$H$10:$I$1038,Resumen_Base!E106,'Mov_Analizados_Sept25 - Dic25'!$I$10:$I$1038)</f>
        <v>0</v>
      </c>
      <c r="J106" s="340">
        <f ca="1">+SUMIF('Mov_Analizados_Sept25 - Dic25'!$H$10:$J$1038,Resumen_Base!E106,'Mov_Analizados_Sept25 - Dic25'!$J$10:$J$1038)</f>
        <v>0</v>
      </c>
      <c r="L106" s="339">
        <f>+SUMIF('Mov_Analizados_Ene 26'!$H$10:$H$330,Resumen_Base!E106,'Mov_Analizados_Ene 26'!$I$10:$I$330)</f>
        <v>0</v>
      </c>
      <c r="M106" s="340">
        <f>+SUMIF('Mov_Analizados_Ene 26'!$H$10:$H$330,Resumen_Base!E106,'Mov_Analizados_Ene 26'!$J$10:$J$330)</f>
        <v>0</v>
      </c>
      <c r="N106" s="682">
        <f>+SUMIF('Mov_Analizados_Ene 26'!$H$10:$H$330,Resumen_Base!E106,'Mov_Analizados_Ene 26'!$J$10:$J$330)-M106</f>
        <v>0</v>
      </c>
      <c r="O106" s="339">
        <f>+SUMIF('Mov_Analizados_Feb - Mar 26'!$H$10:$H$1378,Resumen_Base!E106,'Mov_Analizados_Feb - Mar 26'!$I$10:$I$1378)</f>
        <v>0</v>
      </c>
      <c r="P106" s="340">
        <f>+SUMIF('Mov_Analizados_Feb - Mar 26'!$H$10:$H$1378,Resumen_Base!E106,'Mov_Analizados_Feb - Mar 26'!$J$10:$J$1378)</f>
        <v>0</v>
      </c>
      <c r="R106" s="339">
        <f>+SUMIF('Mov_Analizados_Abr 26'!$I$10:$I$862,Resumen_Base!E106,'Mov_Analizados_Abr 26'!$J$10:$J$862)</f>
        <v>0</v>
      </c>
      <c r="S106" s="340">
        <f>+SUMIF('Mov_Analizados_Abr 26'!$I$10:$I$862,Resumen_Base!E106,'Mov_Analizados_Abr 26'!$K$10:$K$862)</f>
        <v>0</v>
      </c>
      <c r="U106" s="339">
        <f>+SUMIF('Mov_Analizados_May 26'!$I$10:$I$1205,Resumen_Base!E106,'Mov_Analizados_May 26'!$J$10:$J$1205)</f>
        <v>0</v>
      </c>
      <c r="V106" s="340">
        <f>+SUMIF('Mov_Analizados_May 26'!$I$10:$I$1205,Resumen_Base!E106,'Mov_Analizados_May 26'!$K$10:$K$1205)</f>
        <v>0</v>
      </c>
      <c r="X106" s="339">
        <f t="shared" ca="1" si="7"/>
        <v>0</v>
      </c>
      <c r="Y106" s="340">
        <f t="shared" ca="1" si="8"/>
        <v>0</v>
      </c>
      <c r="Z106" s="346">
        <f ca="1">+Y106+Y107+Y111+Y110</f>
        <v>13.62</v>
      </c>
    </row>
    <row r="107" spans="1:26">
      <c r="A107" s="4" t="str">
        <f>+VLOOKUP(C107,'Plan Cuentas Link Armado'!$A$3:$D$105,4,0)</f>
        <v>Food &amp; Wine</v>
      </c>
      <c r="C107" s="308" t="s">
        <v>37</v>
      </c>
      <c r="D107" s="4" t="s">
        <v>36</v>
      </c>
      <c r="E107" s="4" t="s">
        <v>589</v>
      </c>
      <c r="G107" s="4" t="str">
        <f>+VLOOKUP(C107,'Plan Cuentas Link Armado'!$A$3:$D$105,4,0)</f>
        <v>Food &amp; Wine</v>
      </c>
      <c r="I107" s="339">
        <f ca="1">+SUMIF('Mov_Analizados_Sept25 - Dic25'!$H$10:$I$1038,Resumen_Base!E107,'Mov_Analizados_Sept25 - Dic25'!$I$10:$I$1038)</f>
        <v>0</v>
      </c>
      <c r="J107" s="340">
        <f ca="1">+SUMIF('Mov_Analizados_Sept25 - Dic25'!$H$10:$J$1038,Resumen_Base!E107,'Mov_Analizados_Sept25 - Dic25'!$J$10:$J$1038)</f>
        <v>0</v>
      </c>
      <c r="L107" s="339">
        <f>+SUMIF('Mov_Analizados_Ene 26'!$H$10:$H$330,Resumen_Base!E107,'Mov_Analizados_Ene 26'!$I$10:$I$330)</f>
        <v>0</v>
      </c>
      <c r="M107" s="340">
        <f>+SUMIF('Mov_Analizados_Ene 26'!$H$10:$H$330,Resumen_Base!E107,'Mov_Analizados_Ene 26'!$J$10:$J$330)</f>
        <v>0</v>
      </c>
      <c r="N107" s="682">
        <f>+SUMIF('Mov_Analizados_Ene 26'!$H$10:$H$330,Resumen_Base!E107,'Mov_Analizados_Ene 26'!$J$10:$J$330)-M107</f>
        <v>0</v>
      </c>
      <c r="O107" s="339">
        <f>+SUMIF('Mov_Analizados_Feb - Mar 26'!$H$10:$H$1378,Resumen_Base!E107,'Mov_Analizados_Feb - Mar 26'!$I$10:$I$1378)</f>
        <v>0</v>
      </c>
      <c r="P107" s="340">
        <f>+SUMIF('Mov_Analizados_Feb - Mar 26'!$H$10:$H$1378,Resumen_Base!E107,'Mov_Analizados_Feb - Mar 26'!$J$10:$J$1378)</f>
        <v>0</v>
      </c>
      <c r="R107" s="339">
        <f>+SUMIF('Mov_Analizados_Abr 26'!$I$10:$I$862,Resumen_Base!E107,'Mov_Analizados_Abr 26'!$J$10:$J$862)</f>
        <v>19136.099999999999</v>
      </c>
      <c r="S107" s="340">
        <f>+SUMIF('Mov_Analizados_Abr 26'!$I$10:$I$862,Resumen_Base!E107,'Mov_Analizados_Abr 26'!$K$10:$K$862)</f>
        <v>13.62</v>
      </c>
      <c r="U107" s="339">
        <f>+SUMIF('Mov_Analizados_May 26'!$I$10:$I$1205,Resumen_Base!E107,'Mov_Analizados_May 26'!$J$10:$J$1205)</f>
        <v>0</v>
      </c>
      <c r="V107" s="340">
        <f>+SUMIF('Mov_Analizados_May 26'!$I$10:$I$1205,Resumen_Base!E107,'Mov_Analizados_May 26'!$K$10:$K$1205)</f>
        <v>0</v>
      </c>
      <c r="X107" s="339">
        <f t="shared" ca="1" si="7"/>
        <v>19136.099999999999</v>
      </c>
      <c r="Y107" s="340">
        <f t="shared" ca="1" si="8"/>
        <v>13.62</v>
      </c>
    </row>
    <row r="108" spans="1:26">
      <c r="A108" s="4" t="str">
        <f>+VLOOKUP(C108,'Plan Cuentas Link Armado'!$A$3:$D$105,4,0)</f>
        <v>Food &amp; Wine</v>
      </c>
      <c r="C108" s="607" t="s">
        <v>1718</v>
      </c>
      <c r="D108" s="597" t="s">
        <v>1719</v>
      </c>
      <c r="E108" s="152" t="s">
        <v>3319</v>
      </c>
      <c r="G108" s="4" t="str">
        <f>+VLOOKUP(C108,'Plan Cuentas Link Armado'!$A$3:$D$105,4,0)</f>
        <v>Food &amp; Wine</v>
      </c>
      <c r="I108" s="339">
        <f ca="1">+SUMIF('Mov_Analizados_Sept25 - Dic25'!$H$10:$I$1038,Resumen_Base!E108,'Mov_Analizados_Sept25 - Dic25'!$I$10:$I$1038)</f>
        <v>0</v>
      </c>
      <c r="J108" s="340">
        <f ca="1">+SUMIF('Mov_Analizados_Sept25 - Dic25'!$H$10:$J$1038,Resumen_Base!E108,'Mov_Analizados_Sept25 - Dic25'!$J$10:$J$1038)</f>
        <v>0</v>
      </c>
      <c r="L108" s="339">
        <f>+SUMIF('Mov_Analizados_Ene 26'!$H$10:$H$330,Resumen_Base!E108,'Mov_Analizados_Ene 26'!$I$10:$I$330)</f>
        <v>0</v>
      </c>
      <c r="M108" s="340">
        <f>+SUMIF('Mov_Analizados_Ene 26'!$H$10:$H$330,Resumen_Base!E108,'Mov_Analizados_Ene 26'!$J$10:$J$330)</f>
        <v>0</v>
      </c>
      <c r="N108" s="682">
        <f>+SUMIF('Mov_Analizados_Ene 26'!$H$10:$H$330,Resumen_Base!E108,'Mov_Analizados_Ene 26'!$J$10:$J$330)-M108</f>
        <v>0</v>
      </c>
      <c r="O108" s="339">
        <f>+SUMIF('Mov_Analizados_Feb - Mar 26'!$H$10:$H$1378,Resumen_Base!E108,'Mov_Analizados_Feb - Mar 26'!$I$10:$I$1378)</f>
        <v>0</v>
      </c>
      <c r="P108" s="340">
        <f>+SUMIF('Mov_Analizados_Feb - Mar 26'!$H$10:$H$1378,Resumen_Base!E108,'Mov_Analizados_Feb - Mar 26'!$J$10:$J$1378)</f>
        <v>0</v>
      </c>
      <c r="R108" s="339">
        <f>+SUMIF('Mov_Analizados_Abr 26'!$I$10:$I$862,Resumen_Base!E108,'Mov_Analizados_Abr 26'!$J$10:$J$862)</f>
        <v>0</v>
      </c>
      <c r="S108" s="340">
        <f>+SUMIF('Mov_Analizados_Abr 26'!$I$10:$I$862,Resumen_Base!E108,'Mov_Analizados_Abr 26'!$K$10:$K$862)</f>
        <v>0</v>
      </c>
      <c r="U108" s="339">
        <f>+SUMIF('Mov_Analizados_May 26'!$I$10:$I$1205,Resumen_Base!E108,'Mov_Analizados_May 26'!$J$10:$J$1205)</f>
        <v>0</v>
      </c>
      <c r="V108" s="340">
        <f>+SUMIF('Mov_Analizados_May 26'!$I$10:$I$1205,Resumen_Base!E108,'Mov_Analizados_May 26'!$K$10:$K$1205)</f>
        <v>0</v>
      </c>
      <c r="X108" s="339">
        <f t="shared" ca="1" si="7"/>
        <v>0</v>
      </c>
      <c r="Y108" s="340">
        <f t="shared" ca="1" si="8"/>
        <v>0</v>
      </c>
    </row>
    <row r="109" spans="1:26">
      <c r="A109" s="4" t="str">
        <f>+VLOOKUP(C109,'Plan Cuentas Link Armado'!$A$3:$D$105,4,0)</f>
        <v>Food &amp; Wine</v>
      </c>
      <c r="C109" s="308" t="s">
        <v>248</v>
      </c>
      <c r="D109" s="4" t="s">
        <v>249</v>
      </c>
      <c r="E109" s="152" t="s">
        <v>590</v>
      </c>
      <c r="G109" s="4" t="str">
        <f>+VLOOKUP(C109,'Plan Cuentas Link Armado'!$A$3:$D$105,4,0)</f>
        <v>Food &amp; Wine</v>
      </c>
      <c r="I109" s="339">
        <f ca="1">+SUMIF('Mov_Analizados_Sept25 - Dic25'!$H$10:$I$1038,Resumen_Base!E109,'Mov_Analizados_Sept25 - Dic25'!$I$10:$I$1038)</f>
        <v>0</v>
      </c>
      <c r="J109" s="340">
        <f ca="1">+SUMIF('Mov_Analizados_Sept25 - Dic25'!$H$10:$J$1038,Resumen_Base!E109,'Mov_Analizados_Sept25 - Dic25'!$J$10:$J$1038)</f>
        <v>0</v>
      </c>
      <c r="L109" s="339">
        <f>+SUMIF('Mov_Analizados_Ene 26'!$H$10:$H$330,Resumen_Base!E109,'Mov_Analizados_Ene 26'!$I$10:$I$330)</f>
        <v>0</v>
      </c>
      <c r="M109" s="340">
        <f>+SUMIF('Mov_Analizados_Ene 26'!$H$10:$H$330,Resumen_Base!E109,'Mov_Analizados_Ene 26'!$J$10:$J$330)</f>
        <v>0</v>
      </c>
      <c r="N109" s="682">
        <f>+SUMIF('Mov_Analizados_Ene 26'!$H$10:$H$330,Resumen_Base!E109,'Mov_Analizados_Ene 26'!$J$10:$J$330)-M109</f>
        <v>0</v>
      </c>
      <c r="O109" s="339">
        <f>+SUMIF('Mov_Analizados_Feb - Mar 26'!$H$10:$H$1378,Resumen_Base!E109,'Mov_Analizados_Feb - Mar 26'!$I$10:$I$1378)</f>
        <v>0</v>
      </c>
      <c r="P109" s="340">
        <f>+SUMIF('Mov_Analizados_Feb - Mar 26'!$H$10:$H$1378,Resumen_Base!E109,'Mov_Analizados_Feb - Mar 26'!$J$10:$J$1378)</f>
        <v>0</v>
      </c>
      <c r="R109" s="339">
        <f>+SUMIF('Mov_Analizados_Abr 26'!$I$10:$I$862,Resumen_Base!E109,'Mov_Analizados_Abr 26'!$J$10:$J$862)</f>
        <v>0</v>
      </c>
      <c r="S109" s="340">
        <f>+SUMIF('Mov_Analizados_Abr 26'!$I$10:$I$862,Resumen_Base!E109,'Mov_Analizados_Abr 26'!$K$10:$K$862)</f>
        <v>0</v>
      </c>
      <c r="U109" s="339">
        <f>+SUMIF('Mov_Analizados_May 26'!$I$10:$I$1205,Resumen_Base!E109,'Mov_Analizados_May 26'!$J$10:$J$1205)</f>
        <v>0</v>
      </c>
      <c r="V109" s="340">
        <f>+SUMIF('Mov_Analizados_May 26'!$I$10:$I$1205,Resumen_Base!E109,'Mov_Analizados_May 26'!$K$10:$K$1205)</f>
        <v>0</v>
      </c>
      <c r="X109" s="339">
        <f t="shared" ca="1" si="7"/>
        <v>0</v>
      </c>
      <c r="Y109" s="340">
        <f t="shared" ca="1" si="8"/>
        <v>0</v>
      </c>
    </row>
    <row r="110" spans="1:26">
      <c r="A110" s="4" t="str">
        <f>+VLOOKUP(C110,'Plan Cuentas Link Armado'!$A$3:$D$105,4,0)</f>
        <v>Food &amp; Wine</v>
      </c>
      <c r="C110" s="308" t="s">
        <v>231</v>
      </c>
      <c r="D110" s="4" t="s">
        <v>232</v>
      </c>
      <c r="E110" s="4" t="s">
        <v>591</v>
      </c>
      <c r="G110" s="4" t="str">
        <f>+VLOOKUP(C110,'Plan Cuentas Link Armado'!$A$3:$D$105,4,0)</f>
        <v>Food &amp; Wine</v>
      </c>
      <c r="I110" s="339">
        <f ca="1">+SUMIF('Mov_Analizados_Sept25 - Dic25'!$H$10:$I$1038,Resumen_Base!E110,'Mov_Analizados_Sept25 - Dic25'!$I$10:$I$1038)</f>
        <v>0</v>
      </c>
      <c r="J110" s="340">
        <f ca="1">+SUMIF('Mov_Analizados_Sept25 - Dic25'!$H$10:$J$1038,Resumen_Base!E110,'Mov_Analizados_Sept25 - Dic25'!$J$10:$J$1038)</f>
        <v>0</v>
      </c>
      <c r="L110" s="339">
        <f>+SUMIF('Mov_Analizados_Ene 26'!$H$10:$H$330,Resumen_Base!E110,'Mov_Analizados_Ene 26'!$I$10:$I$330)</f>
        <v>0</v>
      </c>
      <c r="M110" s="340">
        <f>+SUMIF('Mov_Analizados_Ene 26'!$H$10:$H$330,Resumen_Base!E110,'Mov_Analizados_Ene 26'!$J$10:$J$330)</f>
        <v>0</v>
      </c>
      <c r="N110" s="682">
        <f>+SUMIF('Mov_Analizados_Ene 26'!$H$10:$H$330,Resumen_Base!E110,'Mov_Analizados_Ene 26'!$J$10:$J$330)-M110</f>
        <v>0</v>
      </c>
      <c r="O110" s="339">
        <f>+SUMIF('Mov_Analizados_Feb - Mar 26'!$H$10:$H$1378,Resumen_Base!E110,'Mov_Analizados_Feb - Mar 26'!$I$10:$I$1378)</f>
        <v>0</v>
      </c>
      <c r="P110" s="340">
        <f>+SUMIF('Mov_Analizados_Feb - Mar 26'!$H$10:$H$1378,Resumen_Base!E110,'Mov_Analizados_Feb - Mar 26'!$J$10:$J$1378)</f>
        <v>0</v>
      </c>
      <c r="R110" s="339">
        <f>+SUMIF('Mov_Analizados_Abr 26'!$I$10:$I$862,Resumen_Base!E110,'Mov_Analizados_Abr 26'!$J$10:$J$862)</f>
        <v>0</v>
      </c>
      <c r="S110" s="340">
        <f>+SUMIF('Mov_Analizados_Abr 26'!$I$10:$I$862,Resumen_Base!E110,'Mov_Analizados_Abr 26'!$K$10:$K$862)</f>
        <v>0</v>
      </c>
      <c r="U110" s="339">
        <f>+SUMIF('Mov_Analizados_May 26'!$I$10:$I$1205,Resumen_Base!E110,'Mov_Analizados_May 26'!$J$10:$J$1205)</f>
        <v>0</v>
      </c>
      <c r="V110" s="340">
        <f>+SUMIF('Mov_Analizados_May 26'!$I$10:$I$1205,Resumen_Base!E110,'Mov_Analizados_May 26'!$K$10:$K$1205)</f>
        <v>0</v>
      </c>
      <c r="X110" s="339">
        <f t="shared" ca="1" si="7"/>
        <v>0</v>
      </c>
      <c r="Y110" s="340">
        <f t="shared" ca="1" si="8"/>
        <v>0</v>
      </c>
    </row>
    <row r="111" spans="1:26">
      <c r="A111" s="4" t="str">
        <f>+VLOOKUP(C111,'Plan Cuentas Link Armado'!$A$3:$D$105,4,0)</f>
        <v>Food &amp; Wine</v>
      </c>
      <c r="C111" s="308" t="s">
        <v>35</v>
      </c>
      <c r="D111" s="4" t="s">
        <v>34</v>
      </c>
      <c r="E111" s="4" t="s">
        <v>592</v>
      </c>
      <c r="G111" s="4" t="str">
        <f>+VLOOKUP(C111,'Plan Cuentas Link Armado'!$A$3:$D$105,4,0)</f>
        <v>Food &amp; Wine</v>
      </c>
      <c r="I111" s="339">
        <f ca="1">+SUMIF('Mov_Analizados_Sept25 - Dic25'!$H$10:$I$1038,Resumen_Base!E111,'Mov_Analizados_Sept25 - Dic25'!$I$10:$I$1038)</f>
        <v>0</v>
      </c>
      <c r="J111" s="340">
        <f ca="1">+SUMIF('Mov_Analizados_Sept25 - Dic25'!$H$10:$J$1038,Resumen_Base!E111,'Mov_Analizados_Sept25 - Dic25'!$J$10:$J$1038)</f>
        <v>0</v>
      </c>
      <c r="L111" s="339">
        <f>+SUMIF('Mov_Analizados_Ene 26'!$H$10:$H$330,Resumen_Base!E111,'Mov_Analizados_Ene 26'!$I$10:$I$330)</f>
        <v>0</v>
      </c>
      <c r="M111" s="340">
        <f>+SUMIF('Mov_Analizados_Ene 26'!$H$10:$H$330,Resumen_Base!E111,'Mov_Analizados_Ene 26'!$J$10:$J$330)</f>
        <v>0</v>
      </c>
      <c r="N111" s="682">
        <f>+SUMIF('Mov_Analizados_Ene 26'!$H$10:$H$330,Resumen_Base!E111,'Mov_Analizados_Ene 26'!$J$10:$J$330)-M111</f>
        <v>0</v>
      </c>
      <c r="O111" s="339">
        <f>+SUMIF('Mov_Analizados_Feb - Mar 26'!$H$10:$H$1378,Resumen_Base!E111,'Mov_Analizados_Feb - Mar 26'!$I$10:$I$1378)</f>
        <v>0</v>
      </c>
      <c r="P111" s="340">
        <f>+SUMIF('Mov_Analizados_Feb - Mar 26'!$H$10:$H$1378,Resumen_Base!E111,'Mov_Analizados_Feb - Mar 26'!$J$10:$J$1378)</f>
        <v>0</v>
      </c>
      <c r="R111" s="339">
        <f>+SUMIF('Mov_Analizados_Abr 26'!$I$10:$I$862,Resumen_Base!E111,'Mov_Analizados_Abr 26'!$J$10:$J$862)</f>
        <v>0</v>
      </c>
      <c r="S111" s="340">
        <f>+SUMIF('Mov_Analizados_Abr 26'!$I$10:$I$862,Resumen_Base!E111,'Mov_Analizados_Abr 26'!$K$10:$K$862)</f>
        <v>0</v>
      </c>
      <c r="U111" s="339">
        <f>+SUMIF('Mov_Analizados_May 26'!$I$10:$I$1205,Resumen_Base!E111,'Mov_Analizados_May 26'!$J$10:$J$1205)</f>
        <v>0</v>
      </c>
      <c r="V111" s="340">
        <f>+SUMIF('Mov_Analizados_May 26'!$I$10:$I$1205,Resumen_Base!E111,'Mov_Analizados_May 26'!$K$10:$K$1205)</f>
        <v>0</v>
      </c>
      <c r="X111" s="339">
        <f t="shared" ca="1" si="7"/>
        <v>0</v>
      </c>
      <c r="Y111" s="340">
        <f t="shared" ca="1" si="8"/>
        <v>0</v>
      </c>
    </row>
    <row r="112" spans="1:26">
      <c r="A112" s="4" t="str">
        <f>+VLOOKUP(C112,'Plan Cuentas Link Armado'!$A$3:$D$105,4,0)</f>
        <v>Maintenance Lodge</v>
      </c>
      <c r="C112" s="308" t="s">
        <v>33</v>
      </c>
      <c r="D112" s="4" t="s">
        <v>32</v>
      </c>
      <c r="E112" s="4" t="s">
        <v>593</v>
      </c>
      <c r="G112" s="4" t="str">
        <f>+VLOOKUP(C112,'Plan Cuentas Link Armado'!$A$3:$D$105,4,0)</f>
        <v>Maintenance Lodge</v>
      </c>
      <c r="I112" s="339">
        <f ca="1">+SUMIF('Mov_Analizados_Sept25 - Dic25'!$H$10:$I$1038,Resumen_Base!E112,'Mov_Analizados_Sept25 - Dic25'!$I$10:$I$1038)</f>
        <v>165330.6</v>
      </c>
      <c r="J112" s="340">
        <f ca="1">+SUMIF('Mov_Analizados_Sept25 - Dic25'!$H$10:$J$1038,Resumen_Base!E112,'Mov_Analizados_Sept25 - Dic25'!$J$10:$J$1038)</f>
        <v>116.43</v>
      </c>
      <c r="L112" s="339">
        <f>+SUMIF('Mov_Analizados_Ene 26'!$H$10:$H$330,Resumen_Base!E112,'Mov_Analizados_Ene 26'!$I$10:$I$330)</f>
        <v>0</v>
      </c>
      <c r="M112" s="340">
        <f>+SUMIF('Mov_Analizados_Ene 26'!$H$10:$H$330,Resumen_Base!E112,'Mov_Analizados_Ene 26'!$J$10:$J$330)</f>
        <v>0</v>
      </c>
      <c r="N112" s="682">
        <f>+SUMIF('Mov_Analizados_Ene 26'!$H$10:$H$330,Resumen_Base!E112,'Mov_Analizados_Ene 26'!$J$10:$J$330)-M112</f>
        <v>0</v>
      </c>
      <c r="O112" s="339">
        <f>+SUMIF('Mov_Analizados_Feb - Mar 26'!$H$10:$H$1378,Resumen_Base!E112,'Mov_Analizados_Feb - Mar 26'!$I$10:$I$1378)</f>
        <v>0</v>
      </c>
      <c r="P112" s="340">
        <f>+SUMIF('Mov_Analizados_Feb - Mar 26'!$H$10:$H$1378,Resumen_Base!E112,'Mov_Analizados_Feb - Mar 26'!$J$10:$J$1378)</f>
        <v>0</v>
      </c>
      <c r="R112" s="339">
        <f>+SUMIF('Mov_Analizados_Abr 26'!$I$10:$I$862,Resumen_Base!E112,'Mov_Analizados_Abr 26'!$J$10:$J$862)</f>
        <v>0</v>
      </c>
      <c r="S112" s="340">
        <f>+SUMIF('Mov_Analizados_Abr 26'!$I$10:$I$862,Resumen_Base!E112,'Mov_Analizados_Abr 26'!$K$10:$K$862)</f>
        <v>0</v>
      </c>
      <c r="U112" s="339">
        <f>+SUMIF('Mov_Analizados_May 26'!$I$10:$I$1205,Resumen_Base!E112,'Mov_Analizados_May 26'!$J$10:$J$1205)</f>
        <v>0</v>
      </c>
      <c r="V112" s="340">
        <f>+SUMIF('Mov_Analizados_May 26'!$I$10:$I$1205,Resumen_Base!E112,'Mov_Analizados_May 26'!$K$10:$K$1205)</f>
        <v>0</v>
      </c>
      <c r="X112" s="339">
        <f t="shared" ca="1" si="7"/>
        <v>165330.6</v>
      </c>
      <c r="Y112" s="340">
        <f t="shared" ca="1" si="8"/>
        <v>116.43</v>
      </c>
    </row>
    <row r="113" spans="1:25">
      <c r="A113" s="4" t="str">
        <f>+VLOOKUP(C113,'Plan Cuentas Link Armado'!$A$3:$D$105,4,0)</f>
        <v>Maintenance Lodge</v>
      </c>
      <c r="C113" s="308" t="s">
        <v>261</v>
      </c>
      <c r="D113" s="4" t="s">
        <v>262</v>
      </c>
      <c r="E113" s="152" t="s">
        <v>594</v>
      </c>
      <c r="G113" s="4" t="str">
        <f>+VLOOKUP(C113,'Plan Cuentas Link Armado'!$A$3:$D$105,4,0)</f>
        <v>Maintenance Lodge</v>
      </c>
      <c r="I113" s="339">
        <f ca="1">+SUMIF('Mov_Analizados_Sept25 - Dic25'!$H$10:$I$1038,Resumen_Base!E113,'Mov_Analizados_Sept25 - Dic25'!$I$10:$I$1038)</f>
        <v>0</v>
      </c>
      <c r="J113" s="340">
        <f ca="1">+SUMIF('Mov_Analizados_Sept25 - Dic25'!$H$10:$J$1038,Resumen_Base!E113,'Mov_Analizados_Sept25 - Dic25'!$J$10:$J$1038)</f>
        <v>0</v>
      </c>
      <c r="L113" s="339">
        <f>+SUMIF('Mov_Analizados_Ene 26'!$H$10:$H$330,Resumen_Base!E113,'Mov_Analizados_Ene 26'!$I$10:$I$330)</f>
        <v>0</v>
      </c>
      <c r="M113" s="340">
        <f>+SUMIF('Mov_Analizados_Ene 26'!$H$10:$H$330,Resumen_Base!E113,'Mov_Analizados_Ene 26'!$J$10:$J$330)</f>
        <v>0</v>
      </c>
      <c r="N113" s="682">
        <f>+SUMIF('Mov_Analizados_Ene 26'!$H$10:$H$330,Resumen_Base!E113,'Mov_Analizados_Ene 26'!$J$10:$J$330)-M113</f>
        <v>0</v>
      </c>
      <c r="O113" s="339">
        <f>+SUMIF('Mov_Analizados_Feb - Mar 26'!$H$10:$H$1378,Resumen_Base!E113,'Mov_Analizados_Feb - Mar 26'!$I$10:$I$1378)</f>
        <v>0</v>
      </c>
      <c r="P113" s="340">
        <f>+SUMIF('Mov_Analizados_Feb - Mar 26'!$H$10:$H$1378,Resumen_Base!E113,'Mov_Analizados_Feb - Mar 26'!$J$10:$J$1378)</f>
        <v>0</v>
      </c>
      <c r="R113" s="339">
        <f>+SUMIF('Mov_Analizados_Abr 26'!$I$10:$I$862,Resumen_Base!E113,'Mov_Analizados_Abr 26'!$J$10:$J$862)</f>
        <v>0</v>
      </c>
      <c r="S113" s="340">
        <f>+SUMIF('Mov_Analizados_Abr 26'!$I$10:$I$862,Resumen_Base!E113,'Mov_Analizados_Abr 26'!$K$10:$K$862)</f>
        <v>0</v>
      </c>
      <c r="U113" s="339">
        <f>+SUMIF('Mov_Analizados_May 26'!$I$10:$I$1205,Resumen_Base!E113,'Mov_Analizados_May 26'!$J$10:$J$1205)</f>
        <v>0</v>
      </c>
      <c r="V113" s="340">
        <f>+SUMIF('Mov_Analizados_May 26'!$I$10:$I$1205,Resumen_Base!E113,'Mov_Analizados_May 26'!$K$10:$K$1205)</f>
        <v>0</v>
      </c>
      <c r="X113" s="339">
        <f t="shared" ca="1" si="7"/>
        <v>0</v>
      </c>
      <c r="Y113" s="340">
        <f t="shared" ca="1" si="8"/>
        <v>0</v>
      </c>
    </row>
    <row r="114" spans="1:25">
      <c r="A114" s="4" t="str">
        <f>+VLOOKUP(C114,'Plan Cuentas Link Armado'!$A$3:$D$105,4,0)</f>
        <v>Electricity</v>
      </c>
      <c r="C114" s="308" t="s">
        <v>70</v>
      </c>
      <c r="D114" s="4" t="s">
        <v>71</v>
      </c>
      <c r="E114" s="4" t="s">
        <v>595</v>
      </c>
      <c r="G114" s="4" t="str">
        <f>+VLOOKUP(C114,'Plan Cuentas Link Armado'!$A$3:$D$105,4,0)</f>
        <v>Electricity</v>
      </c>
      <c r="I114" s="339">
        <f ca="1">+SUMIF('Mov_Analizados_Sept25 - Dic25'!$H$10:$I$1038,Resumen_Base!E114,'Mov_Analizados_Sept25 - Dic25'!$I$10:$I$1038)</f>
        <v>0</v>
      </c>
      <c r="J114" s="340">
        <f ca="1">+SUMIF('Mov_Analizados_Sept25 - Dic25'!$H$10:$J$1038,Resumen_Base!E114,'Mov_Analizados_Sept25 - Dic25'!$J$10:$J$1038)</f>
        <v>0</v>
      </c>
      <c r="L114" s="339">
        <f>+SUMIF('Mov_Analizados_Ene 26'!$H$10:$H$330,Resumen_Base!E114,'Mov_Analizados_Ene 26'!$I$10:$I$330)</f>
        <v>0</v>
      </c>
      <c r="M114" s="340">
        <f>+SUMIF('Mov_Analizados_Ene 26'!$H$10:$H$330,Resumen_Base!E114,'Mov_Analizados_Ene 26'!$J$10:$J$330)</f>
        <v>0</v>
      </c>
      <c r="N114" s="682">
        <f>+SUMIF('Mov_Analizados_Ene 26'!$H$10:$H$330,Resumen_Base!E114,'Mov_Analizados_Ene 26'!$J$10:$J$330)-M114</f>
        <v>0</v>
      </c>
      <c r="O114" s="339">
        <f>+SUMIF('Mov_Analizados_Feb - Mar 26'!$H$10:$H$1378,Resumen_Base!E114,'Mov_Analizados_Feb - Mar 26'!$I$10:$I$1378)</f>
        <v>0</v>
      </c>
      <c r="P114" s="340">
        <f>+SUMIF('Mov_Analizados_Feb - Mar 26'!$H$10:$H$1378,Resumen_Base!E114,'Mov_Analizados_Feb - Mar 26'!$J$10:$J$1378)</f>
        <v>0</v>
      </c>
      <c r="R114" s="339">
        <f>+SUMIF('Mov_Analizados_Abr 26'!$I$10:$I$862,Resumen_Base!E114,'Mov_Analizados_Abr 26'!$J$10:$J$862)</f>
        <v>0</v>
      </c>
      <c r="S114" s="340">
        <f>+SUMIF('Mov_Analizados_Abr 26'!$I$10:$I$862,Resumen_Base!E114,'Mov_Analizados_Abr 26'!$K$10:$K$862)</f>
        <v>0</v>
      </c>
      <c r="U114" s="339">
        <f>+SUMIF('Mov_Analizados_May 26'!$I$10:$I$1205,Resumen_Base!E114,'Mov_Analizados_May 26'!$J$10:$J$1205)</f>
        <v>0</v>
      </c>
      <c r="V114" s="340">
        <f>+SUMIF('Mov_Analizados_May 26'!$I$10:$I$1205,Resumen_Base!E114,'Mov_Analizados_May 26'!$K$10:$K$1205)</f>
        <v>0</v>
      </c>
      <c r="X114" s="339">
        <f t="shared" ca="1" si="7"/>
        <v>0</v>
      </c>
      <c r="Y114" s="340">
        <f t="shared" ca="1" si="8"/>
        <v>0</v>
      </c>
    </row>
    <row r="115" spans="1:25">
      <c r="A115" s="4" t="str">
        <f>+VLOOKUP(C115,'Plan Cuentas Link Armado'!$A$3:$D$105,4,0)</f>
        <v>Electricity - Gas for Boats &amp; Vehicles</v>
      </c>
      <c r="C115" s="308" t="s">
        <v>163</v>
      </c>
      <c r="D115" s="4" t="s">
        <v>164</v>
      </c>
      <c r="E115" s="152" t="s">
        <v>6887</v>
      </c>
      <c r="F115" s="152"/>
      <c r="G115" s="4" t="str">
        <f>+VLOOKUP(C115,'Plan Cuentas Link Armado'!$A$3:$D$105,4,0)</f>
        <v>Electricity - Gas for Boats &amp; Vehicles</v>
      </c>
      <c r="I115" s="339">
        <f ca="1">+SUMIF('Mov_Analizados_Sept25 - Dic25'!$H$10:$I$1038,Resumen_Base!E115,'Mov_Analizados_Sept25 - Dic25'!$I$10:$I$1038)</f>
        <v>0</v>
      </c>
      <c r="J115" s="340">
        <f ca="1">+SUMIF('Mov_Analizados_Sept25 - Dic25'!$H$10:$J$1038,Resumen_Base!E115,'Mov_Analizados_Sept25 - Dic25'!$J$10:$J$1038)</f>
        <v>0</v>
      </c>
      <c r="L115" s="339">
        <f>+SUMIF('Mov_Analizados_Ene 26'!$H$10:$H$330,Resumen_Base!E115,'Mov_Analizados_Ene 26'!$I$10:$I$330)</f>
        <v>0</v>
      </c>
      <c r="M115" s="340">
        <f>+SUMIF('Mov_Analizados_Ene 26'!$H$10:$H$330,Resumen_Base!E115,'Mov_Analizados_Ene 26'!$J$10:$J$330)</f>
        <v>0</v>
      </c>
      <c r="N115" s="682">
        <f>+SUMIF('Mov_Analizados_Ene 26'!$H$10:$H$330,Resumen_Base!E115,'Mov_Analizados_Ene 26'!$J$10:$J$330)-M115</f>
        <v>0</v>
      </c>
      <c r="O115" s="339">
        <f>+SUMIF('Mov_Analizados_Feb - Mar 26'!$H$10:$H$1378,Resumen_Base!E115,'Mov_Analizados_Feb - Mar 26'!$I$10:$I$1378)</f>
        <v>0</v>
      </c>
      <c r="P115" s="340">
        <f>+SUMIF('Mov_Analizados_Feb - Mar 26'!$H$10:$H$1378,Resumen_Base!E115,'Mov_Analizados_Feb - Mar 26'!$J$10:$J$1378)</f>
        <v>0</v>
      </c>
      <c r="R115" s="339">
        <f>+SUMIF('Mov_Analizados_Abr 26'!$I$10:$I$862,Resumen_Base!E115,'Mov_Analizados_Abr 26'!$J$10:$J$862)</f>
        <v>-1700.05</v>
      </c>
      <c r="S115" s="340">
        <f>+SUMIF('Mov_Analizados_Abr 26'!$I$10:$I$862,Resumen_Base!E115,'Mov_Analizados_Abr 26'!$K$10:$K$862)</f>
        <v>-1.21</v>
      </c>
      <c r="U115" s="339">
        <f>+SUMIF('Mov_Analizados_May 26'!$I$10:$I$1205,Resumen_Base!E115,'Mov_Analizados_May 26'!$J$10:$J$1205)</f>
        <v>0</v>
      </c>
      <c r="V115" s="340">
        <f>+SUMIF('Mov_Analizados_May 26'!$I$10:$I$1205,Resumen_Base!E115,'Mov_Analizados_May 26'!$K$10:$K$1205)</f>
        <v>0</v>
      </c>
      <c r="X115" s="339">
        <f t="shared" ca="1" si="7"/>
        <v>-1700.05</v>
      </c>
      <c r="Y115" s="340">
        <f t="shared" ca="1" si="8"/>
        <v>-1.21</v>
      </c>
    </row>
    <row r="116" spans="1:25">
      <c r="A116" s="4" t="str">
        <f>+VLOOKUP(C116,'Plan Cuentas Link Armado'!$A$3:$D$105,4,0)</f>
        <v>Miscellaneous &amp; Shipping</v>
      </c>
      <c r="C116" s="308" t="s">
        <v>28</v>
      </c>
      <c r="D116" s="4" t="s">
        <v>27</v>
      </c>
      <c r="E116" s="4" t="s">
        <v>596</v>
      </c>
      <c r="G116" s="4" t="str">
        <f>+VLOOKUP(C116,'Plan Cuentas Link Armado'!$A$3:$D$105,4,0)</f>
        <v>Miscellaneous &amp; Shipping</v>
      </c>
      <c r="I116" s="339">
        <f ca="1">+SUMIF('Mov_Analizados_Sept25 - Dic25'!$H$10:$I$1038,Resumen_Base!E116,'Mov_Analizados_Sept25 - Dic25'!$I$10:$I$1038)</f>
        <v>0</v>
      </c>
      <c r="J116" s="340">
        <f ca="1">+SUMIF('Mov_Analizados_Sept25 - Dic25'!$H$10:$J$1038,Resumen_Base!E116,'Mov_Analizados_Sept25 - Dic25'!$J$10:$J$1038)</f>
        <v>0</v>
      </c>
      <c r="L116" s="339">
        <f>+SUMIF('Mov_Analizados_Ene 26'!$H$10:$H$330,Resumen_Base!E116,'Mov_Analizados_Ene 26'!$I$10:$I$330)</f>
        <v>0</v>
      </c>
      <c r="M116" s="340">
        <f>+SUMIF('Mov_Analizados_Ene 26'!$H$10:$H$330,Resumen_Base!E116,'Mov_Analizados_Ene 26'!$J$10:$J$330)</f>
        <v>0</v>
      </c>
      <c r="N116" s="682">
        <f>+SUMIF('Mov_Analizados_Ene 26'!$H$10:$H$330,Resumen_Base!E116,'Mov_Analizados_Ene 26'!$J$10:$J$330)-M116</f>
        <v>0</v>
      </c>
      <c r="O116" s="339">
        <f>+SUMIF('Mov_Analizados_Feb - Mar 26'!$H$10:$H$1378,Resumen_Base!E116,'Mov_Analizados_Feb - Mar 26'!$I$10:$I$1378)</f>
        <v>0</v>
      </c>
      <c r="P116" s="340">
        <f>+SUMIF('Mov_Analizados_Feb - Mar 26'!$H$10:$H$1378,Resumen_Base!E116,'Mov_Analizados_Feb - Mar 26'!$J$10:$J$1378)</f>
        <v>0</v>
      </c>
      <c r="R116" s="339">
        <f>+SUMIF('Mov_Analizados_Abr 26'!$I$10:$I$862,Resumen_Base!E116,'Mov_Analizados_Abr 26'!$J$10:$J$862)</f>
        <v>0</v>
      </c>
      <c r="S116" s="340">
        <f>+SUMIF('Mov_Analizados_Abr 26'!$I$10:$I$862,Resumen_Base!E116,'Mov_Analizados_Abr 26'!$K$10:$K$862)</f>
        <v>0</v>
      </c>
      <c r="U116" s="339">
        <f>+SUMIF('Mov_Analizados_May 26'!$I$10:$I$1205,Resumen_Base!E116,'Mov_Analizados_May 26'!$J$10:$J$1205)</f>
        <v>0</v>
      </c>
      <c r="V116" s="340">
        <f>+SUMIF('Mov_Analizados_May 26'!$I$10:$I$1205,Resumen_Base!E116,'Mov_Analizados_May 26'!$K$10:$K$1205)</f>
        <v>0</v>
      </c>
      <c r="X116" s="339">
        <f t="shared" ca="1" si="7"/>
        <v>0</v>
      </c>
      <c r="Y116" s="340">
        <f t="shared" ca="1" si="8"/>
        <v>0</v>
      </c>
    </row>
    <row r="117" spans="1:25">
      <c r="A117" s="4" t="str">
        <f>+VLOOKUP(C117,'Plan Cuentas Link Armado'!$A$3:$D$105,4,0)</f>
        <v>Miscellaneous &amp; Shipping</v>
      </c>
      <c r="C117" s="308" t="s">
        <v>43</v>
      </c>
      <c r="D117" s="4" t="s">
        <v>42</v>
      </c>
      <c r="E117" s="4" t="s">
        <v>597</v>
      </c>
      <c r="G117" s="4" t="str">
        <f>+VLOOKUP(C117,'Plan Cuentas Link Armado'!$A$3:$D$105,4,0)</f>
        <v>Miscellaneous &amp; Shipping</v>
      </c>
      <c r="I117" s="339">
        <f ca="1">+SUMIF('Mov_Analizados_Sept25 - Dic25'!$H$10:$I$1038,Resumen_Base!E117,'Mov_Analizados_Sept25 - Dic25'!$I$10:$I$1038)</f>
        <v>0</v>
      </c>
      <c r="J117" s="340">
        <f ca="1">+SUMIF('Mov_Analizados_Sept25 - Dic25'!$H$10:$J$1038,Resumen_Base!E117,'Mov_Analizados_Sept25 - Dic25'!$J$10:$J$1038)</f>
        <v>0</v>
      </c>
      <c r="L117" s="339">
        <f>+SUMIF('Mov_Analizados_Ene 26'!$H$10:$H$330,Resumen_Base!E117,'Mov_Analizados_Ene 26'!$I$10:$I$330)</f>
        <v>0</v>
      </c>
      <c r="M117" s="340">
        <f>+SUMIF('Mov_Analizados_Ene 26'!$H$10:$H$330,Resumen_Base!E117,'Mov_Analizados_Ene 26'!$J$10:$J$330)</f>
        <v>0</v>
      </c>
      <c r="N117" s="682">
        <f>+SUMIF('Mov_Analizados_Ene 26'!$H$10:$H$330,Resumen_Base!E117,'Mov_Analizados_Ene 26'!$J$10:$J$330)-M117</f>
        <v>0</v>
      </c>
      <c r="O117" s="339">
        <f>+SUMIF('Mov_Analizados_Feb - Mar 26'!$H$10:$H$1378,Resumen_Base!E117,'Mov_Analizados_Feb - Mar 26'!$I$10:$I$1378)</f>
        <v>0</v>
      </c>
      <c r="P117" s="340">
        <f>+SUMIF('Mov_Analizados_Feb - Mar 26'!$H$10:$H$1378,Resumen_Base!E117,'Mov_Analizados_Feb - Mar 26'!$J$10:$J$1378)</f>
        <v>0</v>
      </c>
      <c r="R117" s="339">
        <f>+SUMIF('Mov_Analizados_Abr 26'!$I$10:$I$862,Resumen_Base!E117,'Mov_Analizados_Abr 26'!$J$10:$J$862)</f>
        <v>0</v>
      </c>
      <c r="S117" s="340">
        <f>+SUMIF('Mov_Analizados_Abr 26'!$I$10:$I$862,Resumen_Base!E117,'Mov_Analizados_Abr 26'!$K$10:$K$862)</f>
        <v>0</v>
      </c>
      <c r="U117" s="339">
        <f>+SUMIF('Mov_Analizados_May 26'!$I$10:$I$1205,Resumen_Base!E117,'Mov_Analizados_May 26'!$J$10:$J$1205)</f>
        <v>0</v>
      </c>
      <c r="V117" s="340">
        <f>+SUMIF('Mov_Analizados_May 26'!$I$10:$I$1205,Resumen_Base!E117,'Mov_Analizados_May 26'!$K$10:$K$1205)</f>
        <v>0</v>
      </c>
      <c r="X117" s="339">
        <f t="shared" ca="1" si="7"/>
        <v>0</v>
      </c>
      <c r="Y117" s="340">
        <f t="shared" ca="1" si="8"/>
        <v>0</v>
      </c>
    </row>
    <row r="118" spans="1:25">
      <c r="A118" s="4" t="str">
        <f>+VLOOKUP(C118,'Plan Cuentas Link Armado'!$A$3:$D$105,4,0)</f>
        <v>Miscellaneous &amp; Shipping</v>
      </c>
      <c r="C118" s="308" t="s">
        <v>58</v>
      </c>
      <c r="D118" s="4" t="s">
        <v>59</v>
      </c>
      <c r="E118" s="4" t="s">
        <v>598</v>
      </c>
      <c r="G118" s="4" t="str">
        <f>+VLOOKUP(C118,'Plan Cuentas Link Armado'!$A$3:$D$105,4,0)</f>
        <v>Miscellaneous &amp; Shipping</v>
      </c>
      <c r="I118" s="339">
        <f ca="1">+SUMIF('Mov_Analizados_Sept25 - Dic25'!$H$10:$I$1038,Resumen_Base!E118,'Mov_Analizados_Sept25 - Dic25'!$I$10:$I$1038)</f>
        <v>0</v>
      </c>
      <c r="J118" s="340">
        <f ca="1">+SUMIF('Mov_Analizados_Sept25 - Dic25'!$H$10:$J$1038,Resumen_Base!E118,'Mov_Analizados_Sept25 - Dic25'!$J$10:$J$1038)</f>
        <v>0</v>
      </c>
      <c r="L118" s="339">
        <f>+SUMIF('Mov_Analizados_Ene 26'!$H$10:$H$330,Resumen_Base!E118,'Mov_Analizados_Ene 26'!$I$10:$I$330)</f>
        <v>0</v>
      </c>
      <c r="M118" s="340">
        <f>+SUMIF('Mov_Analizados_Ene 26'!$H$10:$H$330,Resumen_Base!E118,'Mov_Analizados_Ene 26'!$J$10:$J$330)</f>
        <v>0</v>
      </c>
      <c r="N118" s="682">
        <f>+SUMIF('Mov_Analizados_Ene 26'!$H$10:$H$330,Resumen_Base!E118,'Mov_Analizados_Ene 26'!$J$10:$J$330)-M118</f>
        <v>0</v>
      </c>
      <c r="O118" s="339">
        <f>+SUMIF('Mov_Analizados_Feb - Mar 26'!$H$10:$H$1378,Resumen_Base!E118,'Mov_Analizados_Feb - Mar 26'!$I$10:$I$1378)</f>
        <v>15609.55</v>
      </c>
      <c r="P118" s="340">
        <f>+SUMIF('Mov_Analizados_Feb - Mar 26'!$H$10:$H$1378,Resumen_Base!E118,'Mov_Analizados_Feb - Mar 26'!$J$10:$J$1378)</f>
        <v>11.11</v>
      </c>
      <c r="R118" s="339">
        <f>+SUMIF('Mov_Analizados_Abr 26'!$I$10:$I$862,Resumen_Base!E118,'Mov_Analizados_Abr 26'!$J$10:$J$862)</f>
        <v>0</v>
      </c>
      <c r="S118" s="340">
        <f>+SUMIF('Mov_Analizados_Abr 26'!$I$10:$I$862,Resumen_Base!E118,'Mov_Analizados_Abr 26'!$K$10:$K$862)</f>
        <v>0</v>
      </c>
      <c r="U118" s="339">
        <f>+SUMIF('Mov_Analizados_May 26'!$I$10:$I$1205,Resumen_Base!E118,'Mov_Analizados_May 26'!$J$10:$J$1205)</f>
        <v>0</v>
      </c>
      <c r="V118" s="340">
        <f>+SUMIF('Mov_Analizados_May 26'!$I$10:$I$1205,Resumen_Base!E118,'Mov_Analizados_May 26'!$K$10:$K$1205)</f>
        <v>0</v>
      </c>
      <c r="X118" s="339">
        <f t="shared" ca="1" si="7"/>
        <v>15609.55</v>
      </c>
      <c r="Y118" s="340">
        <f t="shared" ca="1" si="8"/>
        <v>11.11</v>
      </c>
    </row>
    <row r="119" spans="1:25">
      <c r="A119" s="4" t="str">
        <f>+VLOOKUP(C119,'Plan Cuentas Link Armado'!$A$3:$D$105,4,0)</f>
        <v>Miscellaneous &amp; Shipping</v>
      </c>
      <c r="C119" s="308" t="s">
        <v>244</v>
      </c>
      <c r="D119" s="4" t="s">
        <v>245</v>
      </c>
      <c r="E119" s="152" t="s">
        <v>599</v>
      </c>
      <c r="G119" s="4" t="str">
        <f>+VLOOKUP(C119,'Plan Cuentas Link Armado'!$A$3:$D$105,4,0)</f>
        <v>Miscellaneous &amp; Shipping</v>
      </c>
      <c r="I119" s="339">
        <f ca="1">+SUMIF('Mov_Analizados_Sept25 - Dic25'!$H$10:$I$1038,Resumen_Base!E119,'Mov_Analizados_Sept25 - Dic25'!$I$10:$I$1038)</f>
        <v>0</v>
      </c>
      <c r="J119" s="340">
        <f ca="1">+SUMIF('Mov_Analizados_Sept25 - Dic25'!$H$10:$J$1038,Resumen_Base!E119,'Mov_Analizados_Sept25 - Dic25'!$J$10:$J$1038)</f>
        <v>0</v>
      </c>
      <c r="L119" s="339">
        <f>+SUMIF('Mov_Analizados_Ene 26'!$H$10:$H$330,Resumen_Base!E119,'Mov_Analizados_Ene 26'!$I$10:$I$330)</f>
        <v>0</v>
      </c>
      <c r="M119" s="340">
        <f>+SUMIF('Mov_Analizados_Ene 26'!$H$10:$H$330,Resumen_Base!E119,'Mov_Analizados_Ene 26'!$J$10:$J$330)</f>
        <v>0</v>
      </c>
      <c r="N119" s="682">
        <f>+SUMIF('Mov_Analizados_Ene 26'!$H$10:$H$330,Resumen_Base!E119,'Mov_Analizados_Ene 26'!$J$10:$J$330)-M119</f>
        <v>0</v>
      </c>
      <c r="O119" s="339">
        <f>+SUMIF('Mov_Analizados_Feb - Mar 26'!$H$10:$H$1378,Resumen_Base!E119,'Mov_Analizados_Feb - Mar 26'!$I$10:$I$1378)</f>
        <v>0</v>
      </c>
      <c r="P119" s="340">
        <f>+SUMIF('Mov_Analizados_Feb - Mar 26'!$H$10:$H$1378,Resumen_Base!E119,'Mov_Analizados_Feb - Mar 26'!$J$10:$J$1378)</f>
        <v>0</v>
      </c>
      <c r="R119" s="339">
        <f>+SUMIF('Mov_Analizados_Abr 26'!$I$10:$I$862,Resumen_Base!E119,'Mov_Analizados_Abr 26'!$J$10:$J$862)</f>
        <v>0</v>
      </c>
      <c r="S119" s="340">
        <f>+SUMIF('Mov_Analizados_Abr 26'!$I$10:$I$862,Resumen_Base!E119,'Mov_Analizados_Abr 26'!$K$10:$K$862)</f>
        <v>0</v>
      </c>
      <c r="U119" s="339">
        <f>+SUMIF('Mov_Analizados_May 26'!$I$10:$I$1205,Resumen_Base!E119,'Mov_Analizados_May 26'!$J$10:$J$1205)</f>
        <v>0</v>
      </c>
      <c r="V119" s="340">
        <f>+SUMIF('Mov_Analizados_May 26'!$I$10:$I$1205,Resumen_Base!E119,'Mov_Analizados_May 26'!$K$10:$K$1205)</f>
        <v>0</v>
      </c>
      <c r="X119" s="339">
        <f t="shared" ca="1" si="7"/>
        <v>0</v>
      </c>
      <c r="Y119" s="340">
        <f t="shared" ca="1" si="8"/>
        <v>0</v>
      </c>
    </row>
    <row r="120" spans="1:25">
      <c r="A120" s="4" t="str">
        <f>+VLOOKUP(C120,'Plan Cuentas Link Armado'!$A$3:$D$105,4,0)</f>
        <v>Travel for personnel (employees)</v>
      </c>
      <c r="C120" s="308" t="s">
        <v>68</v>
      </c>
      <c r="D120" s="4" t="s">
        <v>69</v>
      </c>
      <c r="E120" s="152" t="s">
        <v>600</v>
      </c>
      <c r="G120" s="4" t="str">
        <f>+VLOOKUP(C120,'Plan Cuentas Link Armado'!$A$3:$D$105,4,0)</f>
        <v>Travel for personnel (employees)</v>
      </c>
      <c r="I120" s="339">
        <f ca="1">+SUMIF('Mov_Analizados_Sept25 - Dic25'!$H$10:$I$1038,Resumen_Base!E120,'Mov_Analizados_Sept25 - Dic25'!$I$10:$I$1038)</f>
        <v>0</v>
      </c>
      <c r="J120" s="340">
        <f ca="1">+SUMIF('Mov_Analizados_Sept25 - Dic25'!$H$10:$J$1038,Resumen_Base!E120,'Mov_Analizados_Sept25 - Dic25'!$J$10:$J$1038)</f>
        <v>0</v>
      </c>
      <c r="L120" s="339">
        <f>+SUMIF('Mov_Analizados_Ene 26'!$H$10:$H$330,Resumen_Base!E120,'Mov_Analizados_Ene 26'!$I$10:$I$330)</f>
        <v>0</v>
      </c>
      <c r="M120" s="340">
        <f>+SUMIF('Mov_Analizados_Ene 26'!$H$10:$H$330,Resumen_Base!E120,'Mov_Analizados_Ene 26'!$J$10:$J$330)</f>
        <v>0</v>
      </c>
      <c r="N120" s="682">
        <f>+SUMIF('Mov_Analizados_Ene 26'!$H$10:$H$330,Resumen_Base!E120,'Mov_Analizados_Ene 26'!$J$10:$J$330)-M120</f>
        <v>0</v>
      </c>
      <c r="O120" s="339">
        <f>+SUMIF('Mov_Analizados_Feb - Mar 26'!$H$10:$H$1378,Resumen_Base!E120,'Mov_Analizados_Feb - Mar 26'!$I$10:$I$1378)</f>
        <v>0</v>
      </c>
      <c r="P120" s="340">
        <f>+SUMIF('Mov_Analizados_Feb - Mar 26'!$H$10:$H$1378,Resumen_Base!E120,'Mov_Analizados_Feb - Mar 26'!$J$10:$J$1378)</f>
        <v>0</v>
      </c>
      <c r="R120" s="339">
        <f>+SUMIF('Mov_Analizados_Abr 26'!$I$10:$I$862,Resumen_Base!E120,'Mov_Analizados_Abr 26'!$J$10:$J$862)</f>
        <v>0</v>
      </c>
      <c r="S120" s="340">
        <f>+SUMIF('Mov_Analizados_Abr 26'!$I$10:$I$862,Resumen_Base!E120,'Mov_Analizados_Abr 26'!$K$10:$K$862)</f>
        <v>0</v>
      </c>
      <c r="U120" s="339">
        <f>+SUMIF('Mov_Analizados_May 26'!$I$10:$I$1205,Resumen_Base!E120,'Mov_Analizados_May 26'!$J$10:$J$1205)</f>
        <v>0</v>
      </c>
      <c r="V120" s="340">
        <f>+SUMIF('Mov_Analizados_May 26'!$I$10:$I$1205,Resumen_Base!E120,'Mov_Analizados_May 26'!$K$10:$K$1205)</f>
        <v>0</v>
      </c>
      <c r="X120" s="339">
        <f t="shared" ca="1" si="7"/>
        <v>0</v>
      </c>
      <c r="Y120" s="340">
        <f t="shared" ca="1" si="8"/>
        <v>0</v>
      </c>
    </row>
    <row r="121" spans="1:25">
      <c r="A121" s="4" t="str">
        <f>+VLOOKUP(C121,'Plan Cuentas Link Armado'!$A$3:$D$105,4,0)</f>
        <v>Shop</v>
      </c>
      <c r="B121" s="346">
        <f t="shared" ref="B121:B131" ca="1" si="9">+Y121</f>
        <v>0</v>
      </c>
      <c r="C121" s="4" t="s">
        <v>293</v>
      </c>
      <c r="D121" s="4" t="s">
        <v>294</v>
      </c>
      <c r="E121" s="4" t="s">
        <v>601</v>
      </c>
      <c r="G121" s="4" t="str">
        <f>+VLOOKUP(C121,'Plan Cuentas Link Armado'!$A$3:$D$105,4,0)</f>
        <v>Shop</v>
      </c>
      <c r="I121" s="339">
        <f ca="1">+SUMIF('Mov_Analizados_Sept25 - Dic25'!$H$10:$I$1038,Resumen_Base!E121,'Mov_Analizados_Sept25 - Dic25'!$I$10:$I$1038)</f>
        <v>0</v>
      </c>
      <c r="J121" s="340">
        <f ca="1">+SUMIF('Mov_Analizados_Sept25 - Dic25'!$H$10:$J$1038,Resumen_Base!E121,'Mov_Analizados_Sept25 - Dic25'!$J$10:$J$1038)</f>
        <v>0</v>
      </c>
      <c r="L121" s="339">
        <f>+SUMIF('Mov_Analizados_Ene 26'!$H$10:$H$330,Resumen_Base!E121,'Mov_Analizados_Ene 26'!$I$10:$I$330)</f>
        <v>0</v>
      </c>
      <c r="M121" s="340">
        <f>+SUMIF('Mov_Analizados_Ene 26'!$H$10:$H$330,Resumen_Base!E121,'Mov_Analizados_Ene 26'!$J$10:$J$330)</f>
        <v>0</v>
      </c>
      <c r="N121" s="682">
        <f>+SUMIF('Mov_Analizados_Ene 26'!$H$10:$H$330,Resumen_Base!E121,'Mov_Analizados_Ene 26'!$J$10:$J$330)-M121</f>
        <v>0</v>
      </c>
      <c r="O121" s="339">
        <f>+SUMIF('Mov_Analizados_Feb - Mar 26'!$H$10:$H$1378,Resumen_Base!E121,'Mov_Analizados_Feb - Mar 26'!$I$10:$I$1378)</f>
        <v>0</v>
      </c>
      <c r="P121" s="340">
        <f>+SUMIF('Mov_Analizados_Feb - Mar 26'!$H$10:$H$1378,Resumen_Base!E121,'Mov_Analizados_Feb - Mar 26'!$J$10:$J$1378)</f>
        <v>0</v>
      </c>
      <c r="R121" s="339">
        <f>+SUMIF('Mov_Analizados_Abr 26'!$I$10:$I$862,Resumen_Base!E121,'Mov_Analizados_Abr 26'!$J$10:$J$862)</f>
        <v>0</v>
      </c>
      <c r="S121" s="340">
        <f>+SUMIF('Mov_Analizados_Abr 26'!$I$10:$I$862,Resumen_Base!E121,'Mov_Analizados_Abr 26'!$K$10:$K$862)</f>
        <v>0</v>
      </c>
      <c r="U121" s="339">
        <f>+SUMIF('Mov_Analizados_May 26'!$I$10:$I$1205,Resumen_Base!E121,'Mov_Analizados_May 26'!$J$10:$J$1205)</f>
        <v>0</v>
      </c>
      <c r="V121" s="340">
        <f>+SUMIF('Mov_Analizados_May 26'!$I$10:$I$1205,Resumen_Base!E121,'Mov_Analizados_May 26'!$K$10:$K$1205)</f>
        <v>0</v>
      </c>
      <c r="X121" s="339">
        <f t="shared" ca="1" si="7"/>
        <v>0</v>
      </c>
      <c r="Y121" s="340">
        <f t="shared" ca="1" si="8"/>
        <v>0</v>
      </c>
    </row>
    <row r="122" spans="1:25">
      <c r="A122" s="4" t="str">
        <f>+VLOOKUP(C122,'Plan Cuentas Link Armado'!$A$3:$D$105,4,0)</f>
        <v>Extras</v>
      </c>
      <c r="B122" s="346">
        <f ca="1">+Y122</f>
        <v>0</v>
      </c>
      <c r="C122" s="4" t="s">
        <v>301</v>
      </c>
      <c r="D122" s="4" t="s">
        <v>302</v>
      </c>
      <c r="E122" s="4" t="s">
        <v>602</v>
      </c>
      <c r="G122" s="4" t="str">
        <f>+VLOOKUP(C122,'Plan Cuentas Link Armado'!$A$3:$D$105,4,0)</f>
        <v>Extras</v>
      </c>
      <c r="I122" s="339">
        <f ca="1">+SUMIF('Mov_Analizados_Sept25 - Dic25'!$H$10:$I$1038,Resumen_Base!E122,'Mov_Analizados_Sept25 - Dic25'!$I$10:$I$1038)</f>
        <v>0</v>
      </c>
      <c r="J122" s="340">
        <f ca="1">+SUMIF('Mov_Analizados_Sept25 - Dic25'!$H$10:$J$1038,Resumen_Base!E122,'Mov_Analizados_Sept25 - Dic25'!$J$10:$J$1038)</f>
        <v>0</v>
      </c>
      <c r="L122" s="339">
        <f>+SUMIF('Mov_Analizados_Ene 26'!$H$10:$H$330,Resumen_Base!E122,'Mov_Analizados_Ene 26'!$I$10:$I$330)</f>
        <v>0</v>
      </c>
      <c r="M122" s="340">
        <f>+SUMIF('Mov_Analizados_Ene 26'!$H$10:$H$330,Resumen_Base!E122,'Mov_Analizados_Ene 26'!$J$10:$J$330)</f>
        <v>0</v>
      </c>
      <c r="N122" s="682">
        <f>+SUMIF('Mov_Analizados_Ene 26'!$H$10:$H$330,Resumen_Base!E122,'Mov_Analizados_Ene 26'!$J$10:$J$330)-M122</f>
        <v>0</v>
      </c>
      <c r="O122" s="339">
        <f>+SUMIF('Mov_Analizados_Feb - Mar 26'!$H$10:$H$1378,Resumen_Base!E122,'Mov_Analizados_Feb - Mar 26'!$I$10:$I$1378)</f>
        <v>0</v>
      </c>
      <c r="P122" s="340">
        <f>+SUMIF('Mov_Analizados_Feb - Mar 26'!$H$10:$H$1378,Resumen_Base!E122,'Mov_Analizados_Feb - Mar 26'!$J$10:$J$1378)</f>
        <v>0</v>
      </c>
      <c r="R122" s="339">
        <f>+SUMIF('Mov_Analizados_Abr 26'!$I$10:$I$862,Resumen_Base!E122,'Mov_Analizados_Abr 26'!$J$10:$J$862)</f>
        <v>0</v>
      </c>
      <c r="S122" s="340">
        <f>+SUMIF('Mov_Analizados_Abr 26'!$I$10:$I$862,Resumen_Base!E122,'Mov_Analizados_Abr 26'!$K$10:$K$862)</f>
        <v>0</v>
      </c>
      <c r="U122" s="339">
        <f>+SUMIF('Mov_Analizados_May 26'!$I$10:$I$1205,Resumen_Base!E122,'Mov_Analizados_May 26'!$J$10:$J$1205)</f>
        <v>0</v>
      </c>
      <c r="V122" s="340">
        <f>+SUMIF('Mov_Analizados_May 26'!$I$10:$I$1205,Resumen_Base!E122,'Mov_Analizados_May 26'!$K$10:$K$1205)</f>
        <v>0</v>
      </c>
      <c r="X122" s="339">
        <f t="shared" ca="1" si="7"/>
        <v>0</v>
      </c>
      <c r="Y122" s="340">
        <f t="shared" ca="1" si="8"/>
        <v>0</v>
      </c>
    </row>
    <row r="123" spans="1:25">
      <c r="A123" s="4" t="str">
        <f>+VLOOKUP(C123,'Plan Cuentas Link Armado'!$A$3:$D$105,4,0)</f>
        <v>Extras</v>
      </c>
      <c r="B123" s="346">
        <f ca="1">+Y123</f>
        <v>0</v>
      </c>
      <c r="C123" s="4" t="s">
        <v>299</v>
      </c>
      <c r="D123" s="4" t="s">
        <v>300</v>
      </c>
      <c r="E123" s="4" t="s">
        <v>603</v>
      </c>
      <c r="G123" s="4" t="str">
        <f>+VLOOKUP(C123,'Plan Cuentas Link Armado'!$A$3:$D$105,4,0)</f>
        <v>Extras</v>
      </c>
      <c r="I123" s="339">
        <f ca="1">+SUMIF('Mov_Analizados_Sept25 - Dic25'!$H$10:$I$1038,Resumen_Base!E123,'Mov_Analizados_Sept25 - Dic25'!$I$10:$I$1038)</f>
        <v>0</v>
      </c>
      <c r="J123" s="340">
        <f ca="1">+SUMIF('Mov_Analizados_Sept25 - Dic25'!$H$10:$J$1038,Resumen_Base!E123,'Mov_Analizados_Sept25 - Dic25'!$J$10:$J$1038)</f>
        <v>0</v>
      </c>
      <c r="L123" s="339">
        <f>+SUMIF('Mov_Analizados_Ene 26'!$H$10:$H$330,Resumen_Base!E123,'Mov_Analizados_Ene 26'!$I$10:$I$330)</f>
        <v>0</v>
      </c>
      <c r="M123" s="340">
        <f>+SUMIF('Mov_Analizados_Ene 26'!$H$10:$H$330,Resumen_Base!E123,'Mov_Analizados_Ene 26'!$J$10:$J$330)</f>
        <v>0</v>
      </c>
      <c r="N123" s="682">
        <f>+SUMIF('Mov_Analizados_Ene 26'!$H$10:$H$330,Resumen_Base!E123,'Mov_Analizados_Ene 26'!$J$10:$J$330)-M123</f>
        <v>0</v>
      </c>
      <c r="O123" s="339">
        <f>+SUMIF('Mov_Analizados_Feb - Mar 26'!$H$10:$H$1378,Resumen_Base!E123,'Mov_Analizados_Feb - Mar 26'!$I$10:$I$1378)</f>
        <v>0</v>
      </c>
      <c r="P123" s="340">
        <f>+SUMIF('Mov_Analizados_Feb - Mar 26'!$H$10:$H$1378,Resumen_Base!E123,'Mov_Analizados_Feb - Mar 26'!$J$10:$J$1378)</f>
        <v>0</v>
      </c>
      <c r="R123" s="339">
        <f>+SUMIF('Mov_Analizados_Abr 26'!$I$10:$I$862,Resumen_Base!E123,'Mov_Analizados_Abr 26'!$J$10:$J$862)</f>
        <v>0</v>
      </c>
      <c r="S123" s="340">
        <f>+SUMIF('Mov_Analizados_Abr 26'!$I$10:$I$862,Resumen_Base!E123,'Mov_Analizados_Abr 26'!$K$10:$K$862)</f>
        <v>0</v>
      </c>
      <c r="U123" s="339">
        <f>+SUMIF('Mov_Analizados_May 26'!$I$10:$I$1205,Resumen_Base!E123,'Mov_Analizados_May 26'!$J$10:$J$1205)</f>
        <v>0</v>
      </c>
      <c r="V123" s="340">
        <f>+SUMIF('Mov_Analizados_May 26'!$I$10:$I$1205,Resumen_Base!E123,'Mov_Analizados_May 26'!$K$10:$K$1205)</f>
        <v>0</v>
      </c>
      <c r="X123" s="339">
        <f t="shared" ca="1" si="7"/>
        <v>0</v>
      </c>
      <c r="Y123" s="340">
        <f t="shared" ca="1" si="8"/>
        <v>0</v>
      </c>
    </row>
    <row r="124" spans="1:25">
      <c r="A124" s="4" t="str">
        <f>+VLOOKUP(C124,'Plan Cuentas Link Armado'!$A$3:$D$105,4,0)</f>
        <v>Extras</v>
      </c>
      <c r="B124" s="346">
        <f t="shared" ca="1" si="9"/>
        <v>0</v>
      </c>
      <c r="C124" s="4" t="s">
        <v>297</v>
      </c>
      <c r="D124" s="4" t="s">
        <v>298</v>
      </c>
      <c r="E124" s="4" t="s">
        <v>604</v>
      </c>
      <c r="G124" s="4" t="str">
        <f>+VLOOKUP(C124,'Plan Cuentas Link Armado'!$A$3:$D$105,4,0)</f>
        <v>Extras</v>
      </c>
      <c r="I124" s="339">
        <f ca="1">+SUMIF('Mov_Analizados_Sept25 - Dic25'!$H$10:$I$1038,Resumen_Base!E124,'Mov_Analizados_Sept25 - Dic25'!$I$10:$I$1038)</f>
        <v>0</v>
      </c>
      <c r="J124" s="340">
        <f ca="1">+SUMIF('Mov_Analizados_Sept25 - Dic25'!$H$10:$J$1038,Resumen_Base!E124,'Mov_Analizados_Sept25 - Dic25'!$J$10:$J$1038)</f>
        <v>0</v>
      </c>
      <c r="L124" s="339">
        <f>+SUMIF('Mov_Analizados_Ene 26'!$H$10:$H$330,Resumen_Base!E124,'Mov_Analizados_Ene 26'!$I$10:$I$330)</f>
        <v>0</v>
      </c>
      <c r="M124" s="340">
        <f>+SUMIF('Mov_Analizados_Ene 26'!$H$10:$H$330,Resumen_Base!E124,'Mov_Analizados_Ene 26'!$J$10:$J$330)</f>
        <v>0</v>
      </c>
      <c r="N124" s="682">
        <f>+SUMIF('Mov_Analizados_Ene 26'!$H$10:$H$330,Resumen_Base!E124,'Mov_Analizados_Ene 26'!$J$10:$J$330)-M124</f>
        <v>0</v>
      </c>
      <c r="O124" s="339">
        <f>+SUMIF('Mov_Analizados_Feb - Mar 26'!$H$10:$H$1378,Resumen_Base!E124,'Mov_Analizados_Feb - Mar 26'!$I$10:$I$1378)</f>
        <v>0</v>
      </c>
      <c r="P124" s="340">
        <f>+SUMIF('Mov_Analizados_Feb - Mar 26'!$H$10:$H$1378,Resumen_Base!E124,'Mov_Analizados_Feb - Mar 26'!$J$10:$J$1378)</f>
        <v>0</v>
      </c>
      <c r="R124" s="339">
        <f>+SUMIF('Mov_Analizados_Abr 26'!$I$10:$I$862,Resumen_Base!E124,'Mov_Analizados_Abr 26'!$J$10:$J$862)</f>
        <v>0</v>
      </c>
      <c r="S124" s="340">
        <f>+SUMIF('Mov_Analizados_Abr 26'!$I$10:$I$862,Resumen_Base!E124,'Mov_Analizados_Abr 26'!$K$10:$K$862)</f>
        <v>0</v>
      </c>
      <c r="U124" s="339">
        <f>+SUMIF('Mov_Analizados_May 26'!$I$10:$I$1205,Resumen_Base!E124,'Mov_Analizados_May 26'!$J$10:$J$1205)</f>
        <v>0</v>
      </c>
      <c r="V124" s="340">
        <f>+SUMIF('Mov_Analizados_May 26'!$I$10:$I$1205,Resumen_Base!E124,'Mov_Analizados_May 26'!$K$10:$K$1205)</f>
        <v>0</v>
      </c>
      <c r="X124" s="339">
        <f t="shared" ca="1" si="7"/>
        <v>0</v>
      </c>
      <c r="Y124" s="340">
        <f t="shared" ca="1" si="8"/>
        <v>0</v>
      </c>
    </row>
    <row r="125" spans="1:25">
      <c r="A125" s="4" t="str">
        <f>+VLOOKUP(C125,'Plan Cuentas Link Armado'!$A$3:$D$105,4,0)</f>
        <v>Gun Rental</v>
      </c>
      <c r="B125" s="346">
        <f ca="1">+Y125</f>
        <v>0</v>
      </c>
      <c r="C125" s="4" t="s">
        <v>303</v>
      </c>
      <c r="D125" s="4" t="s">
        <v>304</v>
      </c>
      <c r="E125" s="4" t="s">
        <v>605</v>
      </c>
      <c r="G125" s="4" t="str">
        <f>+VLOOKUP(C125,'Plan Cuentas Link Armado'!$A$3:$D$105,4,0)</f>
        <v>Gun Rental</v>
      </c>
      <c r="I125" s="339">
        <f ca="1">+SUMIF('Mov_Analizados_Sept25 - Dic25'!$H$10:$I$1038,Resumen_Base!E125,'Mov_Analizados_Sept25 - Dic25'!$I$10:$I$1038)</f>
        <v>0</v>
      </c>
      <c r="J125" s="340">
        <f ca="1">+SUMIF('Mov_Analizados_Sept25 - Dic25'!$H$10:$J$1038,Resumen_Base!E125,'Mov_Analizados_Sept25 - Dic25'!$J$10:$J$1038)</f>
        <v>0</v>
      </c>
      <c r="L125" s="339">
        <f>+SUMIF('Mov_Analizados_Ene 26'!$H$10:$H$330,Resumen_Base!E125,'Mov_Analizados_Ene 26'!$I$10:$I$330)</f>
        <v>0</v>
      </c>
      <c r="M125" s="340">
        <f>+SUMIF('Mov_Analizados_Ene 26'!$H$10:$H$330,Resumen_Base!E125,'Mov_Analizados_Ene 26'!$J$10:$J$330)</f>
        <v>0</v>
      </c>
      <c r="N125" s="682">
        <f>+SUMIF('Mov_Analizados_Ene 26'!$H$10:$H$330,Resumen_Base!E125,'Mov_Analizados_Ene 26'!$J$10:$J$330)-M125</f>
        <v>0</v>
      </c>
      <c r="O125" s="339">
        <f>+SUMIF('Mov_Analizados_Feb - Mar 26'!$H$10:$H$1378,Resumen_Base!E125,'Mov_Analizados_Feb - Mar 26'!$I$10:$I$1378)</f>
        <v>0</v>
      </c>
      <c r="P125" s="340">
        <f>+SUMIF('Mov_Analizados_Feb - Mar 26'!$H$10:$H$1378,Resumen_Base!E125,'Mov_Analizados_Feb - Mar 26'!$J$10:$J$1378)</f>
        <v>0</v>
      </c>
      <c r="R125" s="339">
        <f>+SUMIF('Mov_Analizados_Abr 26'!$I$10:$I$862,Resumen_Base!E125,'Mov_Analizados_Abr 26'!$J$10:$J$862)</f>
        <v>0</v>
      </c>
      <c r="S125" s="340">
        <f>+SUMIF('Mov_Analizados_Abr 26'!$I$10:$I$862,Resumen_Base!E125,'Mov_Analizados_Abr 26'!$K$10:$K$862)</f>
        <v>0</v>
      </c>
      <c r="U125" s="339">
        <f>+SUMIF('Mov_Analizados_May 26'!$I$10:$I$1205,Resumen_Base!E125,'Mov_Analizados_May 26'!$J$10:$J$1205)</f>
        <v>0</v>
      </c>
      <c r="V125" s="340">
        <f>+SUMIF('Mov_Analizados_May 26'!$I$10:$I$1205,Resumen_Base!E125,'Mov_Analizados_May 26'!$K$10:$K$1205)</f>
        <v>0</v>
      </c>
      <c r="X125" s="339">
        <f t="shared" ca="1" si="7"/>
        <v>0</v>
      </c>
      <c r="Y125" s="340">
        <f t="shared" ca="1" si="8"/>
        <v>0</v>
      </c>
    </row>
    <row r="126" spans="1:25">
      <c r="A126" s="4" t="str">
        <f>+VLOOKUP(C126,'Plan Cuentas Link Armado'!$A$3:$D$105,4,0)</f>
        <v>Gun Rental</v>
      </c>
      <c r="B126" s="346">
        <f ca="1">+Y126</f>
        <v>0</v>
      </c>
      <c r="C126" s="607" t="s">
        <v>486</v>
      </c>
      <c r="D126" s="597" t="s">
        <v>450</v>
      </c>
      <c r="E126" s="152" t="s">
        <v>742</v>
      </c>
      <c r="G126" s="4" t="str">
        <f>+VLOOKUP(C126,'Plan Cuentas Link Armado'!$A$3:$D$105,4,0)</f>
        <v>Gun Rental</v>
      </c>
      <c r="I126" s="339">
        <f ca="1">+SUMIF('Mov_Analizados_Sept25 - Dic25'!$H$10:$I$1038,Resumen_Base!E126,'Mov_Analizados_Sept25 - Dic25'!$I$10:$I$1038)</f>
        <v>0</v>
      </c>
      <c r="J126" s="340">
        <f ca="1">+SUMIF('Mov_Analizados_Sept25 - Dic25'!$H$10:$J$1038,Resumen_Base!E126,'Mov_Analizados_Sept25 - Dic25'!$J$10:$J$1038)</f>
        <v>0</v>
      </c>
      <c r="L126" s="339">
        <f>+SUMIF('Mov_Analizados_Ene 26'!$H$10:$H$330,Resumen_Base!E126,'Mov_Analizados_Ene 26'!$I$10:$I$330)</f>
        <v>0</v>
      </c>
      <c r="M126" s="340">
        <f>+SUMIF('Mov_Analizados_Ene 26'!$H$10:$H$330,Resumen_Base!E126,'Mov_Analizados_Ene 26'!$J$10:$J$330)</f>
        <v>0</v>
      </c>
      <c r="N126" s="682">
        <f>+SUMIF('Mov_Analizados_Ene 26'!$H$10:$H$330,Resumen_Base!E126,'Mov_Analizados_Ene 26'!$J$10:$J$330)-M126</f>
        <v>0</v>
      </c>
      <c r="O126" s="339">
        <f>+SUMIF('Mov_Analizados_Feb - Mar 26'!$H$10:$H$1378,Resumen_Base!E126,'Mov_Analizados_Feb - Mar 26'!$I$10:$I$1378)</f>
        <v>0</v>
      </c>
      <c r="P126" s="340">
        <f>+SUMIF('Mov_Analizados_Feb - Mar 26'!$H$10:$H$1378,Resumen_Base!E126,'Mov_Analizados_Feb - Mar 26'!$J$10:$J$1378)</f>
        <v>0</v>
      </c>
      <c r="R126" s="339">
        <f>+SUMIF('Mov_Analizados_Abr 26'!$I$10:$I$862,Resumen_Base!E126,'Mov_Analizados_Abr 26'!$J$10:$J$862)</f>
        <v>0</v>
      </c>
      <c r="S126" s="340">
        <f>+SUMIF('Mov_Analizados_Abr 26'!$I$10:$I$862,Resumen_Base!E126,'Mov_Analizados_Abr 26'!$K$10:$K$862)</f>
        <v>0</v>
      </c>
      <c r="U126" s="339">
        <f>+SUMIF('Mov_Analizados_May 26'!$I$10:$I$1205,Resumen_Base!E126,'Mov_Analizados_May 26'!$J$10:$J$1205)</f>
        <v>0</v>
      </c>
      <c r="V126" s="340">
        <f>+SUMIF('Mov_Analizados_May 26'!$I$10:$I$1205,Resumen_Base!E126,'Mov_Analizados_May 26'!$K$10:$K$1205)</f>
        <v>0</v>
      </c>
      <c r="X126" s="339">
        <f t="shared" ca="1" si="7"/>
        <v>0</v>
      </c>
      <c r="Y126" s="340">
        <f t="shared" ca="1" si="8"/>
        <v>0</v>
      </c>
    </row>
    <row r="127" spans="1:25">
      <c r="A127" s="4" t="str">
        <f>+VLOOKUP(C127,'Plan Cuentas Link Armado'!$A$3:$D$105,4,0)</f>
        <v>Extras</v>
      </c>
      <c r="B127" s="346">
        <f ca="1">+Y127</f>
        <v>0</v>
      </c>
      <c r="C127" s="4" t="s">
        <v>291</v>
      </c>
      <c r="D127" s="4" t="s">
        <v>292</v>
      </c>
      <c r="E127" s="4" t="s">
        <v>606</v>
      </c>
      <c r="G127" s="4" t="str">
        <f>+VLOOKUP(C127,'Plan Cuentas Link Armado'!$A$3:$D$105,4,0)</f>
        <v>Extras</v>
      </c>
      <c r="I127" s="339">
        <f ca="1">+SUMIF('Mov_Analizados_Sept25 - Dic25'!$H$10:$I$1038,Resumen_Base!E127,'Mov_Analizados_Sept25 - Dic25'!$I$10:$I$1038)</f>
        <v>0</v>
      </c>
      <c r="J127" s="340">
        <f ca="1">+SUMIF('Mov_Analizados_Sept25 - Dic25'!$H$10:$J$1038,Resumen_Base!E127,'Mov_Analizados_Sept25 - Dic25'!$J$10:$J$1038)</f>
        <v>0</v>
      </c>
      <c r="L127" s="339">
        <f>+SUMIF('Mov_Analizados_Ene 26'!$H$10:$H$330,Resumen_Base!E127,'Mov_Analizados_Ene 26'!$I$10:$I$330)</f>
        <v>0</v>
      </c>
      <c r="M127" s="340">
        <f>+SUMIF('Mov_Analizados_Ene 26'!$H$10:$H$330,Resumen_Base!E127,'Mov_Analizados_Ene 26'!$J$10:$J$330)</f>
        <v>0</v>
      </c>
      <c r="N127" s="682">
        <f>+SUMIF('Mov_Analizados_Ene 26'!$H$10:$H$330,Resumen_Base!E127,'Mov_Analizados_Ene 26'!$J$10:$J$330)-M127</f>
        <v>0</v>
      </c>
      <c r="O127" s="339">
        <f>+SUMIF('Mov_Analizados_Feb - Mar 26'!$H$10:$H$1378,Resumen_Base!E127,'Mov_Analizados_Feb - Mar 26'!$I$10:$I$1378)</f>
        <v>0</v>
      </c>
      <c r="P127" s="340">
        <f>+SUMIF('Mov_Analizados_Feb - Mar 26'!$H$10:$H$1378,Resumen_Base!E127,'Mov_Analizados_Feb - Mar 26'!$J$10:$J$1378)</f>
        <v>0</v>
      </c>
      <c r="R127" s="339">
        <f>+SUMIF('Mov_Analizados_Abr 26'!$I$10:$I$862,Resumen_Base!E127,'Mov_Analizados_Abr 26'!$J$10:$J$862)</f>
        <v>0</v>
      </c>
      <c r="S127" s="340">
        <f>+SUMIF('Mov_Analizados_Abr 26'!$I$10:$I$862,Resumen_Base!E127,'Mov_Analizados_Abr 26'!$K$10:$K$862)</f>
        <v>0</v>
      </c>
      <c r="U127" s="339">
        <f>+SUMIF('Mov_Analizados_May 26'!$I$10:$I$1205,Resumen_Base!E127,'Mov_Analizados_May 26'!$J$10:$J$1205)</f>
        <v>0</v>
      </c>
      <c r="V127" s="340">
        <f>+SUMIF('Mov_Analizados_May 26'!$I$10:$I$1205,Resumen_Base!E127,'Mov_Analizados_May 26'!$K$10:$K$1205)</f>
        <v>0</v>
      </c>
      <c r="X127" s="339">
        <f t="shared" ca="1" si="7"/>
        <v>0</v>
      </c>
      <c r="Y127" s="340">
        <f t="shared" ca="1" si="8"/>
        <v>0</v>
      </c>
    </row>
    <row r="128" spans="1:25">
      <c r="A128" s="4" t="str">
        <f>+VLOOKUP(C128,'Plan Cuentas Link Armado'!$A$3:$D$105,4,0)</f>
        <v>Extras</v>
      </c>
      <c r="B128" s="346">
        <f t="shared" ca="1" si="9"/>
        <v>0</v>
      </c>
      <c r="C128" s="4" t="s">
        <v>307</v>
      </c>
      <c r="D128" s="4" t="s">
        <v>308</v>
      </c>
      <c r="E128" s="4" t="s">
        <v>607</v>
      </c>
      <c r="G128" s="4" t="str">
        <f>+VLOOKUP(C128,'Plan Cuentas Link Armado'!$A$3:$D$105,4,0)</f>
        <v>Extras</v>
      </c>
      <c r="I128" s="339">
        <f ca="1">+SUMIF('Mov_Analizados_Sept25 - Dic25'!$H$10:$I$1038,Resumen_Base!E128,'Mov_Analizados_Sept25 - Dic25'!$I$10:$I$1038)</f>
        <v>0</v>
      </c>
      <c r="J128" s="340">
        <f ca="1">+SUMIF('Mov_Analizados_Sept25 - Dic25'!$H$10:$J$1038,Resumen_Base!E128,'Mov_Analizados_Sept25 - Dic25'!$J$10:$J$1038)</f>
        <v>0</v>
      </c>
      <c r="L128" s="339">
        <f>+SUMIF('Mov_Analizados_Ene 26'!$H$10:$H$330,Resumen_Base!E128,'Mov_Analizados_Ene 26'!$I$10:$I$330)</f>
        <v>0</v>
      </c>
      <c r="M128" s="340">
        <f>+SUMIF('Mov_Analizados_Ene 26'!$H$10:$H$330,Resumen_Base!E128,'Mov_Analizados_Ene 26'!$J$10:$J$330)</f>
        <v>0</v>
      </c>
      <c r="N128" s="682">
        <f>+SUMIF('Mov_Analizados_Ene 26'!$H$10:$H$330,Resumen_Base!E128,'Mov_Analizados_Ene 26'!$J$10:$J$330)-M128</f>
        <v>0</v>
      </c>
      <c r="O128" s="339">
        <f>+SUMIF('Mov_Analizados_Feb - Mar 26'!$H$10:$H$1378,Resumen_Base!E128,'Mov_Analizados_Feb - Mar 26'!$I$10:$I$1378)</f>
        <v>0</v>
      </c>
      <c r="P128" s="340">
        <f>+SUMIF('Mov_Analizados_Feb - Mar 26'!$H$10:$H$1378,Resumen_Base!E128,'Mov_Analizados_Feb - Mar 26'!$J$10:$J$1378)</f>
        <v>0</v>
      </c>
      <c r="R128" s="339">
        <f>+SUMIF('Mov_Analizados_Abr 26'!$I$10:$I$862,Resumen_Base!E128,'Mov_Analizados_Abr 26'!$J$10:$J$862)</f>
        <v>0</v>
      </c>
      <c r="S128" s="340">
        <f>+SUMIF('Mov_Analizados_Abr 26'!$I$10:$I$862,Resumen_Base!E128,'Mov_Analizados_Abr 26'!$K$10:$K$862)</f>
        <v>0</v>
      </c>
      <c r="U128" s="339">
        <f>+SUMIF('Mov_Analizados_May 26'!$I$10:$I$1205,Resumen_Base!E128,'Mov_Analizados_May 26'!$J$10:$J$1205)</f>
        <v>0</v>
      </c>
      <c r="V128" s="340">
        <f>+SUMIF('Mov_Analizados_May 26'!$I$10:$I$1205,Resumen_Base!E128,'Mov_Analizados_May 26'!$K$10:$K$1205)</f>
        <v>0</v>
      </c>
      <c r="X128" s="339">
        <f t="shared" ca="1" si="7"/>
        <v>0</v>
      </c>
      <c r="Y128" s="340">
        <f t="shared" ca="1" si="8"/>
        <v>0</v>
      </c>
    </row>
    <row r="129" spans="1:25">
      <c r="A129" s="4" t="str">
        <f>+VLOOKUP(C129,'Plan Cuentas Link Armado'!$A$3:$D$105,4,0)</f>
        <v>Extras</v>
      </c>
      <c r="B129" s="346">
        <f t="shared" ca="1" si="9"/>
        <v>0</v>
      </c>
      <c r="C129" s="4" t="s">
        <v>310</v>
      </c>
      <c r="D129" s="4" t="s">
        <v>311</v>
      </c>
      <c r="E129" s="4" t="s">
        <v>608</v>
      </c>
      <c r="G129" s="4" t="str">
        <f>+VLOOKUP(C129,'Plan Cuentas Link Armado'!$A$3:$D$105,4,0)</f>
        <v>Extras</v>
      </c>
      <c r="I129" s="339">
        <f ca="1">+SUMIF('Mov_Analizados_Sept25 - Dic25'!$H$10:$I$1038,Resumen_Base!E129,'Mov_Analizados_Sept25 - Dic25'!$I$10:$I$1038)</f>
        <v>0</v>
      </c>
      <c r="J129" s="340">
        <f ca="1">+SUMIF('Mov_Analizados_Sept25 - Dic25'!$H$10:$J$1038,Resumen_Base!E129,'Mov_Analizados_Sept25 - Dic25'!$J$10:$J$1038)</f>
        <v>0</v>
      </c>
      <c r="L129" s="339">
        <f>+SUMIF('Mov_Analizados_Ene 26'!$H$10:$H$330,Resumen_Base!E129,'Mov_Analizados_Ene 26'!$I$10:$I$330)</f>
        <v>0</v>
      </c>
      <c r="M129" s="340">
        <f>+SUMIF('Mov_Analizados_Ene 26'!$H$10:$H$330,Resumen_Base!E129,'Mov_Analizados_Ene 26'!$J$10:$J$330)</f>
        <v>0</v>
      </c>
      <c r="N129" s="682">
        <f>+SUMIF('Mov_Analizados_Ene 26'!$H$10:$H$330,Resumen_Base!E129,'Mov_Analizados_Ene 26'!$J$10:$J$330)-M129</f>
        <v>0</v>
      </c>
      <c r="O129" s="339">
        <f>+SUMIF('Mov_Analizados_Feb - Mar 26'!$H$10:$H$1378,Resumen_Base!E129,'Mov_Analizados_Feb - Mar 26'!$I$10:$I$1378)</f>
        <v>0</v>
      </c>
      <c r="P129" s="340">
        <f>+SUMIF('Mov_Analizados_Feb - Mar 26'!$H$10:$H$1378,Resumen_Base!E129,'Mov_Analizados_Feb - Mar 26'!$J$10:$J$1378)</f>
        <v>0</v>
      </c>
      <c r="R129" s="339">
        <f>+SUMIF('Mov_Analizados_Abr 26'!$I$10:$I$862,Resumen_Base!E129,'Mov_Analizados_Abr 26'!$J$10:$J$862)</f>
        <v>0</v>
      </c>
      <c r="S129" s="340">
        <f>+SUMIF('Mov_Analizados_Abr 26'!$I$10:$I$862,Resumen_Base!E129,'Mov_Analizados_Abr 26'!$K$10:$K$862)</f>
        <v>0</v>
      </c>
      <c r="U129" s="339">
        <f>+SUMIF('Mov_Analizados_May 26'!$I$10:$I$1205,Resumen_Base!E129,'Mov_Analizados_May 26'!$J$10:$J$1205)</f>
        <v>0</v>
      </c>
      <c r="V129" s="340">
        <f>+SUMIF('Mov_Analizados_May 26'!$I$10:$I$1205,Resumen_Base!E129,'Mov_Analizados_May 26'!$K$10:$K$1205)</f>
        <v>0</v>
      </c>
      <c r="X129" s="339">
        <f t="shared" ca="1" si="7"/>
        <v>0</v>
      </c>
      <c r="Y129" s="340">
        <f t="shared" ca="1" si="8"/>
        <v>0</v>
      </c>
    </row>
    <row r="130" spans="1:25">
      <c r="A130" s="4" t="str">
        <f>+VLOOKUP(C130,'Plan Cuentas Link Armado'!$A$3:$D$105,4,0)</f>
        <v>Extras</v>
      </c>
      <c r="B130" s="346">
        <f t="shared" ca="1" si="9"/>
        <v>0</v>
      </c>
      <c r="C130" s="4" t="s">
        <v>337</v>
      </c>
      <c r="D130" s="4" t="s">
        <v>338</v>
      </c>
      <c r="E130" s="152" t="s">
        <v>609</v>
      </c>
      <c r="G130" s="4" t="str">
        <f>+VLOOKUP(C130,'Plan Cuentas Link Armado'!$A$3:$D$105,4,0)</f>
        <v>Extras</v>
      </c>
      <c r="I130" s="339">
        <f ca="1">+SUMIF('Mov_Analizados_Sept25 - Dic25'!$H$10:$I$1038,Resumen_Base!E130,'Mov_Analizados_Sept25 - Dic25'!$I$10:$I$1038)</f>
        <v>0</v>
      </c>
      <c r="J130" s="340">
        <f ca="1">+SUMIF('Mov_Analizados_Sept25 - Dic25'!$H$10:$J$1038,Resumen_Base!E130,'Mov_Analizados_Sept25 - Dic25'!$J$10:$J$1038)</f>
        <v>0</v>
      </c>
      <c r="L130" s="339">
        <f>+SUMIF('Mov_Analizados_Ene 26'!$H$10:$H$330,Resumen_Base!E130,'Mov_Analizados_Ene 26'!$I$10:$I$330)</f>
        <v>0</v>
      </c>
      <c r="M130" s="340">
        <f>+SUMIF('Mov_Analizados_Ene 26'!$H$10:$H$330,Resumen_Base!E130,'Mov_Analizados_Ene 26'!$J$10:$J$330)</f>
        <v>0</v>
      </c>
      <c r="N130" s="682">
        <f>+SUMIF('Mov_Analizados_Ene 26'!$H$10:$H$330,Resumen_Base!E130,'Mov_Analizados_Ene 26'!$J$10:$J$330)-M130</f>
        <v>0</v>
      </c>
      <c r="O130" s="339">
        <f>+SUMIF('Mov_Analizados_Feb - Mar 26'!$H$10:$H$1378,Resumen_Base!E130,'Mov_Analizados_Feb - Mar 26'!$I$10:$I$1378)</f>
        <v>0</v>
      </c>
      <c r="P130" s="340">
        <f>+SUMIF('Mov_Analizados_Feb - Mar 26'!$H$10:$H$1378,Resumen_Base!E130,'Mov_Analizados_Feb - Mar 26'!$J$10:$J$1378)</f>
        <v>0</v>
      </c>
      <c r="R130" s="339">
        <f>+SUMIF('Mov_Analizados_Abr 26'!$I$10:$I$862,Resumen_Base!E130,'Mov_Analizados_Abr 26'!$J$10:$J$862)</f>
        <v>0</v>
      </c>
      <c r="S130" s="340">
        <f>+SUMIF('Mov_Analizados_Abr 26'!$I$10:$I$862,Resumen_Base!E130,'Mov_Analizados_Abr 26'!$K$10:$K$862)</f>
        <v>0</v>
      </c>
      <c r="U130" s="339">
        <f>+SUMIF('Mov_Analizados_May 26'!$I$10:$I$1205,Resumen_Base!E130,'Mov_Analizados_May 26'!$J$10:$J$1205)</f>
        <v>0</v>
      </c>
      <c r="V130" s="340">
        <f>+SUMIF('Mov_Analizados_May 26'!$I$10:$I$1205,Resumen_Base!E130,'Mov_Analizados_May 26'!$K$10:$K$1205)</f>
        <v>0</v>
      </c>
      <c r="X130" s="339">
        <f t="shared" ca="1" si="7"/>
        <v>0</v>
      </c>
      <c r="Y130" s="340">
        <f t="shared" ca="1" si="8"/>
        <v>0</v>
      </c>
    </row>
    <row r="131" spans="1:25">
      <c r="A131" s="4" t="str">
        <f>+VLOOKUP(C131,'Plan Cuentas Link Armado'!$A$3:$D$105,4,0)</f>
        <v>Extras</v>
      </c>
      <c r="B131" s="346">
        <f t="shared" ca="1" si="9"/>
        <v>0</v>
      </c>
      <c r="C131" s="4" t="s">
        <v>664</v>
      </c>
      <c r="D131" s="4" t="s">
        <v>665</v>
      </c>
      <c r="E131" s="4" t="s">
        <v>704</v>
      </c>
      <c r="G131" s="4" t="str">
        <f>+VLOOKUP(C131,'Plan Cuentas Link Armado'!$A$3:$D$105,4,0)</f>
        <v>Extras</v>
      </c>
      <c r="I131" s="339">
        <f ca="1">+SUMIF('Mov_Analizados_Sept25 - Dic25'!$H$10:$I$1038,Resumen_Base!E131,'Mov_Analizados_Sept25 - Dic25'!$I$10:$I$1038)</f>
        <v>0</v>
      </c>
      <c r="J131" s="340">
        <f ca="1">+SUMIF('Mov_Analizados_Sept25 - Dic25'!$H$10:$J$1038,Resumen_Base!E131,'Mov_Analizados_Sept25 - Dic25'!$J$10:$J$1038)</f>
        <v>0</v>
      </c>
      <c r="L131" s="339">
        <f>+SUMIF('Mov_Analizados_Ene 26'!$H$10:$H$330,Resumen_Base!E131,'Mov_Analizados_Ene 26'!$I$10:$I$330)</f>
        <v>0</v>
      </c>
      <c r="M131" s="340">
        <f>+SUMIF('Mov_Analizados_Ene 26'!$H$10:$H$330,Resumen_Base!E131,'Mov_Analizados_Ene 26'!$J$10:$J$330)</f>
        <v>0</v>
      </c>
      <c r="N131" s="682">
        <f>+SUMIF('Mov_Analizados_Ene 26'!$H$10:$H$330,Resumen_Base!E131,'Mov_Analizados_Ene 26'!$J$10:$J$330)-M131</f>
        <v>0</v>
      </c>
      <c r="O131" s="339">
        <f>+SUMIF('Mov_Analizados_Feb - Mar 26'!$H$10:$H$1378,Resumen_Base!E131,'Mov_Analizados_Feb - Mar 26'!$I$10:$I$1378)</f>
        <v>0</v>
      </c>
      <c r="P131" s="340">
        <f>+SUMIF('Mov_Analizados_Feb - Mar 26'!$H$10:$H$1378,Resumen_Base!E131,'Mov_Analizados_Feb - Mar 26'!$J$10:$J$1378)</f>
        <v>0</v>
      </c>
      <c r="R131" s="339">
        <f>+SUMIF('Mov_Analizados_Abr 26'!$I$10:$I$862,Resumen_Base!E131,'Mov_Analizados_Abr 26'!$J$10:$J$862)</f>
        <v>0</v>
      </c>
      <c r="S131" s="340">
        <f>+SUMIF('Mov_Analizados_Abr 26'!$I$10:$I$862,Resumen_Base!E131,'Mov_Analizados_Abr 26'!$K$10:$K$862)</f>
        <v>0</v>
      </c>
      <c r="U131" s="339">
        <f>+SUMIF('Mov_Analizados_May 26'!$I$10:$I$1205,Resumen_Base!E131,'Mov_Analizados_May 26'!$J$10:$J$1205)</f>
        <v>0</v>
      </c>
      <c r="V131" s="340">
        <f>+SUMIF('Mov_Analizados_May 26'!$I$10:$I$1205,Resumen_Base!E131,'Mov_Analizados_May 26'!$K$10:$K$1205)</f>
        <v>0</v>
      </c>
      <c r="X131" s="339">
        <f t="shared" ca="1" si="7"/>
        <v>0</v>
      </c>
      <c r="Y131" s="340">
        <f t="shared" ca="1" si="8"/>
        <v>0</v>
      </c>
    </row>
    <row r="132" spans="1:25">
      <c r="A132" s="4" t="str">
        <f>+VLOOKUP(C132,'Plan Cuentas Link Armado'!$A$3:$D$105,4,0)</f>
        <v>Canon Lodge/Labor Permits:</v>
      </c>
      <c r="C132" s="4" t="s">
        <v>313</v>
      </c>
      <c r="D132" s="4" t="s">
        <v>314</v>
      </c>
      <c r="E132" s="4" t="s">
        <v>610</v>
      </c>
      <c r="G132" s="4" t="str">
        <f>+VLOOKUP(C132,'Plan Cuentas Link Armado'!$A$3:$D$105,4,0)</f>
        <v>Canon Lodge/Labor Permits:</v>
      </c>
      <c r="I132" s="339">
        <f ca="1">+SUMIF('Mov_Analizados_Sept25 - Dic25'!$H$10:$I$1038,Resumen_Base!E132,'Mov_Analizados_Sept25 - Dic25'!$I$10:$I$1038)</f>
        <v>0</v>
      </c>
      <c r="J132" s="340">
        <f ca="1">+SUMIF('Mov_Analizados_Sept25 - Dic25'!$H$10:$J$1038,Resumen_Base!E132,'Mov_Analizados_Sept25 - Dic25'!$J$10:$J$1038)</f>
        <v>0</v>
      </c>
      <c r="L132" s="339">
        <f>+SUMIF('Mov_Analizados_Ene 26'!$H$10:$H$330,Resumen_Base!E132,'Mov_Analizados_Ene 26'!$I$10:$I$330)</f>
        <v>0</v>
      </c>
      <c r="M132" s="340">
        <f>+SUMIF('Mov_Analizados_Ene 26'!$H$10:$H$330,Resumen_Base!E132,'Mov_Analizados_Ene 26'!$J$10:$J$330)</f>
        <v>0</v>
      </c>
      <c r="N132" s="682">
        <f>+SUMIF('Mov_Analizados_Ene 26'!$H$10:$H$330,Resumen_Base!E132,'Mov_Analizados_Ene 26'!$J$10:$J$330)-M132</f>
        <v>0</v>
      </c>
      <c r="O132" s="339">
        <f>+SUMIF('Mov_Analizados_Feb - Mar 26'!$H$10:$H$1378,Resumen_Base!E132,'Mov_Analizados_Feb - Mar 26'!$I$10:$I$1378)</f>
        <v>0</v>
      </c>
      <c r="P132" s="340">
        <f>+SUMIF('Mov_Analizados_Feb - Mar 26'!$H$10:$H$1378,Resumen_Base!E132,'Mov_Analizados_Feb - Mar 26'!$J$10:$J$1378)</f>
        <v>0</v>
      </c>
      <c r="R132" s="339">
        <f>+SUMIF('Mov_Analizados_Abr 26'!$I$10:$I$862,Resumen_Base!E132,'Mov_Analizados_Abr 26'!$J$10:$J$862)</f>
        <v>0</v>
      </c>
      <c r="S132" s="340">
        <f>+SUMIF('Mov_Analizados_Abr 26'!$I$10:$I$862,Resumen_Base!E132,'Mov_Analizados_Abr 26'!$K$10:$K$862)</f>
        <v>0</v>
      </c>
      <c r="U132" s="339">
        <f>+SUMIF('Mov_Analizados_May 26'!$I$10:$I$1205,Resumen_Base!E132,'Mov_Analizados_May 26'!$J$10:$J$1205)</f>
        <v>0</v>
      </c>
      <c r="V132" s="340">
        <f>+SUMIF('Mov_Analizados_May 26'!$I$10:$I$1205,Resumen_Base!E132,'Mov_Analizados_May 26'!$K$10:$K$1205)</f>
        <v>0</v>
      </c>
      <c r="X132" s="339">
        <f t="shared" ca="1" si="7"/>
        <v>0</v>
      </c>
      <c r="Y132" s="340">
        <f t="shared" ca="1" si="8"/>
        <v>0</v>
      </c>
    </row>
    <row r="133" spans="1:25">
      <c r="A133" s="4" t="str">
        <f>+VLOOKUP(C133,'Plan Cuentas Link Armado'!$A$3:$D$105,4,0)</f>
        <v>Transfer to and from the airport (local taxi) - Vehicle Rental</v>
      </c>
      <c r="C133" s="607" t="s">
        <v>138</v>
      </c>
      <c r="D133" s="597" t="s">
        <v>202</v>
      </c>
      <c r="E133" s="152" t="s">
        <v>744</v>
      </c>
      <c r="G133" s="4" t="str">
        <f>+VLOOKUP(C133,'Plan Cuentas Link Armado'!$A$3:$D$105,4,0)</f>
        <v>Transfer to and from the airport (local taxi) - Vehicle Rental</v>
      </c>
      <c r="I133" s="339">
        <f ca="1">+SUMIF('Mov_Analizados_Sept25 - Dic25'!$H$10:$I$1038,Resumen_Base!E133,'Mov_Analizados_Sept25 - Dic25'!$I$10:$I$1038)</f>
        <v>0</v>
      </c>
      <c r="J133" s="340">
        <f ca="1">+SUMIF('Mov_Analizados_Sept25 - Dic25'!$H$10:$J$1038,Resumen_Base!E133,'Mov_Analizados_Sept25 - Dic25'!$J$10:$J$1038)</f>
        <v>0</v>
      </c>
      <c r="L133" s="339">
        <f>+SUMIF('Mov_Analizados_Ene 26'!$H$10:$H$330,Resumen_Base!E133,'Mov_Analizados_Ene 26'!$I$10:$I$330)</f>
        <v>0</v>
      </c>
      <c r="M133" s="340">
        <f>+SUMIF('Mov_Analizados_Ene 26'!$H$10:$H$330,Resumen_Base!E133,'Mov_Analizados_Ene 26'!$J$10:$J$330)</f>
        <v>0</v>
      </c>
      <c r="N133" s="682">
        <f>+SUMIF('Mov_Analizados_Ene 26'!$H$10:$H$330,Resumen_Base!E133,'Mov_Analizados_Ene 26'!$J$10:$J$330)-M133</f>
        <v>0</v>
      </c>
      <c r="O133" s="339">
        <f>+SUMIF('Mov_Analizados_Feb - Mar 26'!$H$10:$H$1378,Resumen_Base!E133,'Mov_Analizados_Feb - Mar 26'!$I$10:$I$1378)</f>
        <v>0</v>
      </c>
      <c r="P133" s="340">
        <f>+SUMIF('Mov_Analizados_Feb - Mar 26'!$H$10:$H$1378,Resumen_Base!E133,'Mov_Analizados_Feb - Mar 26'!$J$10:$J$1378)</f>
        <v>0</v>
      </c>
      <c r="R133" s="339">
        <f>+SUMIF('Mov_Analizados_Abr 26'!$I$10:$I$862,Resumen_Base!E133,'Mov_Analizados_Abr 26'!$J$10:$J$862)</f>
        <v>0</v>
      </c>
      <c r="S133" s="340">
        <f>+SUMIF('Mov_Analizados_Abr 26'!$I$10:$I$862,Resumen_Base!E133,'Mov_Analizados_Abr 26'!$K$10:$K$862)</f>
        <v>0</v>
      </c>
      <c r="U133" s="339">
        <f>+SUMIF('Mov_Analizados_May 26'!$I$10:$I$1205,Resumen_Base!E133,'Mov_Analizados_May 26'!$J$10:$J$1205)</f>
        <v>0</v>
      </c>
      <c r="V133" s="340">
        <f>+SUMIF('Mov_Analizados_May 26'!$I$10:$I$1205,Resumen_Base!E133,'Mov_Analizados_May 26'!$K$10:$K$1205)</f>
        <v>0</v>
      </c>
      <c r="X133" s="339">
        <f t="shared" ca="1" si="7"/>
        <v>0</v>
      </c>
      <c r="Y133" s="340">
        <f t="shared" ca="1" si="8"/>
        <v>0</v>
      </c>
    </row>
    <row r="134" spans="1:25">
      <c r="A134" s="4" t="str">
        <f>+VLOOKUP(C134,'Plan Cuentas Link Armado'!$A$3:$D$105,4,0)</f>
        <v>Services/House</v>
      </c>
      <c r="C134" s="4" t="s">
        <v>321</v>
      </c>
      <c r="D134" s="4" t="s">
        <v>322</v>
      </c>
      <c r="E134" s="4" t="s">
        <v>611</v>
      </c>
      <c r="G134" s="4" t="str">
        <f>+VLOOKUP(C134,'Plan Cuentas Link Armado'!$A$3:$D$105,4,0)</f>
        <v>Services/House</v>
      </c>
      <c r="I134" s="339">
        <f ca="1">+SUMIF('Mov_Analizados_Sept25 - Dic25'!$H$10:$I$1038,Resumen_Base!E134,'Mov_Analizados_Sept25 - Dic25'!$I$10:$I$1038)</f>
        <v>0</v>
      </c>
      <c r="J134" s="340">
        <f ca="1">+SUMIF('Mov_Analizados_Sept25 - Dic25'!$H$10:$J$1038,Resumen_Base!E134,'Mov_Analizados_Sept25 - Dic25'!$J$10:$J$1038)</f>
        <v>0</v>
      </c>
      <c r="L134" s="339">
        <f>+SUMIF('Mov_Analizados_Ene 26'!$H$10:$H$330,Resumen_Base!E134,'Mov_Analizados_Ene 26'!$I$10:$I$330)</f>
        <v>0</v>
      </c>
      <c r="M134" s="340">
        <f>+SUMIF('Mov_Analizados_Ene 26'!$H$10:$H$330,Resumen_Base!E134,'Mov_Analizados_Ene 26'!$J$10:$J$330)</f>
        <v>0</v>
      </c>
      <c r="N134" s="682">
        <f>+SUMIF('Mov_Analizados_Ene 26'!$H$10:$H$330,Resumen_Base!E134,'Mov_Analizados_Ene 26'!$J$10:$J$330)-M134</f>
        <v>0</v>
      </c>
      <c r="O134" s="339">
        <f>+SUMIF('Mov_Analizados_Feb - Mar 26'!$H$10:$H$1378,Resumen_Base!E134,'Mov_Analizados_Feb - Mar 26'!$I$10:$I$1378)</f>
        <v>0</v>
      </c>
      <c r="P134" s="340">
        <f>+SUMIF('Mov_Analizados_Feb - Mar 26'!$H$10:$H$1378,Resumen_Base!E134,'Mov_Analizados_Feb - Mar 26'!$J$10:$J$1378)</f>
        <v>0</v>
      </c>
      <c r="R134" s="339">
        <f>+SUMIF('Mov_Analizados_Abr 26'!$I$10:$I$862,Resumen_Base!E134,'Mov_Analizados_Abr 26'!$J$10:$J$862)</f>
        <v>0</v>
      </c>
      <c r="S134" s="340">
        <f>+SUMIF('Mov_Analizados_Abr 26'!$I$10:$I$862,Resumen_Base!E134,'Mov_Analizados_Abr 26'!$K$10:$K$862)</f>
        <v>0</v>
      </c>
      <c r="U134" s="339">
        <f>+SUMIF('Mov_Analizados_May 26'!$I$10:$I$1205,Resumen_Base!E134,'Mov_Analizados_May 26'!$J$10:$J$1205)</f>
        <v>0</v>
      </c>
      <c r="V134" s="340">
        <f>+SUMIF('Mov_Analizados_May 26'!$I$10:$I$1205,Resumen_Base!E134,'Mov_Analizados_May 26'!$K$10:$K$1205)</f>
        <v>0</v>
      </c>
      <c r="X134" s="339">
        <f t="shared" ca="1" si="7"/>
        <v>0</v>
      </c>
      <c r="Y134" s="340">
        <f t="shared" ca="1" si="8"/>
        <v>0</v>
      </c>
    </row>
    <row r="135" spans="1:25">
      <c r="A135" s="4" t="str">
        <f>+VLOOKUP(C135,'Plan Cuentas Link Armado'!$A$3:$D$105,4,0)</f>
        <v>Guides</v>
      </c>
      <c r="C135" s="4" t="s">
        <v>323</v>
      </c>
      <c r="D135" s="4" t="s">
        <v>324</v>
      </c>
      <c r="E135" s="4" t="s">
        <v>612</v>
      </c>
      <c r="G135" s="4" t="str">
        <f>+VLOOKUP(C135,'Plan Cuentas Link Armado'!$A$3:$D$105,4,0)</f>
        <v>Guides</v>
      </c>
      <c r="I135" s="339">
        <f ca="1">+SUMIF('Mov_Analizados_Sept25 - Dic25'!$H$10:$I$1038,Resumen_Base!E135,'Mov_Analizados_Sept25 - Dic25'!$I$10:$I$1038)</f>
        <v>0</v>
      </c>
      <c r="J135" s="340">
        <f ca="1">+SUMIF('Mov_Analizados_Sept25 - Dic25'!$H$10:$J$1038,Resumen_Base!E135,'Mov_Analizados_Sept25 - Dic25'!$J$10:$J$1038)</f>
        <v>0</v>
      </c>
      <c r="L135" s="339">
        <f>+SUMIF('Mov_Analizados_Ene 26'!$H$10:$H$330,Resumen_Base!E135,'Mov_Analizados_Ene 26'!$I$10:$I$330)</f>
        <v>0</v>
      </c>
      <c r="M135" s="340">
        <f>+SUMIF('Mov_Analizados_Ene 26'!$H$10:$H$330,Resumen_Base!E135,'Mov_Analizados_Ene 26'!$J$10:$J$330)</f>
        <v>0</v>
      </c>
      <c r="N135" s="682">
        <f>+SUMIF('Mov_Analizados_Ene 26'!$H$10:$H$330,Resumen_Base!E135,'Mov_Analizados_Ene 26'!$J$10:$J$330)-M135</f>
        <v>0</v>
      </c>
      <c r="O135" s="339">
        <f>+SUMIF('Mov_Analizados_Feb - Mar 26'!$H$10:$H$1378,Resumen_Base!E135,'Mov_Analizados_Feb - Mar 26'!$I$10:$I$1378)</f>
        <v>0</v>
      </c>
      <c r="P135" s="340">
        <f>+SUMIF('Mov_Analizados_Feb - Mar 26'!$H$10:$H$1378,Resumen_Base!E135,'Mov_Analizados_Feb - Mar 26'!$J$10:$J$1378)</f>
        <v>0</v>
      </c>
      <c r="R135" s="339">
        <f>+SUMIF('Mov_Analizados_Abr 26'!$I$10:$I$862,Resumen_Base!E135,'Mov_Analizados_Abr 26'!$J$10:$J$862)</f>
        <v>0</v>
      </c>
      <c r="S135" s="340">
        <f>+SUMIF('Mov_Analizados_Abr 26'!$I$10:$I$862,Resumen_Base!E135,'Mov_Analizados_Abr 26'!$K$10:$K$862)</f>
        <v>0</v>
      </c>
      <c r="U135" s="339">
        <f>+SUMIF('Mov_Analizados_May 26'!$I$10:$I$1205,Resumen_Base!E135,'Mov_Analizados_May 26'!$J$10:$J$1205)</f>
        <v>0</v>
      </c>
      <c r="V135" s="340">
        <f>+SUMIF('Mov_Analizados_May 26'!$I$10:$I$1205,Resumen_Base!E135,'Mov_Analizados_May 26'!$K$10:$K$1205)</f>
        <v>0</v>
      </c>
      <c r="X135" s="339">
        <f t="shared" ca="1" si="7"/>
        <v>0</v>
      </c>
      <c r="Y135" s="340">
        <f t="shared" ca="1" si="8"/>
        <v>0</v>
      </c>
    </row>
    <row r="136" spans="1:25">
      <c r="A136" s="4" t="str">
        <f>+VLOOKUP(C136,'Plan Cuentas Link Armado'!$A$3:$D$105,4,0)</f>
        <v>Manager</v>
      </c>
      <c r="C136" s="4" t="s">
        <v>325</v>
      </c>
      <c r="D136" s="4" t="s">
        <v>326</v>
      </c>
      <c r="E136" s="4" t="s">
        <v>613</v>
      </c>
      <c r="G136" s="4" t="str">
        <f>+VLOOKUP(C136,'Plan Cuentas Link Armado'!$A$3:$D$105,4,0)</f>
        <v>Manager</v>
      </c>
      <c r="I136" s="339">
        <f ca="1">+SUMIF('Mov_Analizados_Sept25 - Dic25'!$H$10:$I$1038,Resumen_Base!E136,'Mov_Analizados_Sept25 - Dic25'!$I$10:$I$1038)</f>
        <v>0</v>
      </c>
      <c r="J136" s="340">
        <f ca="1">+SUMIF('Mov_Analizados_Sept25 - Dic25'!$H$10:$J$1038,Resumen_Base!E136,'Mov_Analizados_Sept25 - Dic25'!$J$10:$J$1038)</f>
        <v>0</v>
      </c>
      <c r="L136" s="339">
        <f>+SUMIF('Mov_Analizados_Ene 26'!$H$10:$H$330,Resumen_Base!E136,'Mov_Analizados_Ene 26'!$I$10:$I$330)</f>
        <v>0</v>
      </c>
      <c r="M136" s="340">
        <f>+SUMIF('Mov_Analizados_Ene 26'!$H$10:$H$330,Resumen_Base!E136,'Mov_Analizados_Ene 26'!$J$10:$J$330)</f>
        <v>0</v>
      </c>
      <c r="N136" s="682">
        <f>+SUMIF('Mov_Analizados_Ene 26'!$H$10:$H$330,Resumen_Base!E136,'Mov_Analizados_Ene 26'!$J$10:$J$330)-M136</f>
        <v>0</v>
      </c>
      <c r="O136" s="339">
        <f>+SUMIF('Mov_Analizados_Feb - Mar 26'!$H$10:$H$1378,Resumen_Base!E136,'Mov_Analizados_Feb - Mar 26'!$I$10:$I$1378)</f>
        <v>0</v>
      </c>
      <c r="P136" s="340">
        <f>+SUMIF('Mov_Analizados_Feb - Mar 26'!$H$10:$H$1378,Resumen_Base!E136,'Mov_Analizados_Feb - Mar 26'!$J$10:$J$1378)</f>
        <v>0</v>
      </c>
      <c r="R136" s="339">
        <f>+SUMIF('Mov_Analizados_Abr 26'!$I$10:$I$862,Resumen_Base!E136,'Mov_Analizados_Abr 26'!$J$10:$J$862)</f>
        <v>0</v>
      </c>
      <c r="S136" s="340">
        <f>+SUMIF('Mov_Analizados_Abr 26'!$I$10:$I$862,Resumen_Base!E136,'Mov_Analizados_Abr 26'!$K$10:$K$862)</f>
        <v>0</v>
      </c>
      <c r="U136" s="339">
        <f>+SUMIF('Mov_Analizados_May 26'!$I$10:$I$1205,Resumen_Base!E136,'Mov_Analizados_May 26'!$J$10:$J$1205)</f>
        <v>0</v>
      </c>
      <c r="V136" s="340">
        <f>+SUMIF('Mov_Analizados_May 26'!$I$10:$I$1205,Resumen_Base!E136,'Mov_Analizados_May 26'!$K$10:$K$1205)</f>
        <v>0</v>
      </c>
      <c r="X136" s="339">
        <f t="shared" ca="1" si="7"/>
        <v>0</v>
      </c>
      <c r="Y136" s="340">
        <f t="shared" ca="1" si="8"/>
        <v>0</v>
      </c>
    </row>
    <row r="137" spans="1:25">
      <c r="A137" s="4" t="str">
        <f>+VLOOKUP(C137,'Plan Cuentas Link Armado'!$A$3:$D$105,4,0)</f>
        <v>Social Security Contributions</v>
      </c>
      <c r="C137" s="4" t="s">
        <v>329</v>
      </c>
      <c r="D137" s="4" t="s">
        <v>330</v>
      </c>
      <c r="E137" s="4" t="s">
        <v>614</v>
      </c>
      <c r="G137" s="4" t="str">
        <f>+VLOOKUP(C137,'Plan Cuentas Link Armado'!$A$3:$D$105,4,0)</f>
        <v>Social Security Contributions</v>
      </c>
      <c r="I137" s="339">
        <f ca="1">+SUMIF('Mov_Analizados_Sept25 - Dic25'!$H$10:$I$1038,Resumen_Base!E137,'Mov_Analizados_Sept25 - Dic25'!$I$10:$I$1038)</f>
        <v>0</v>
      </c>
      <c r="J137" s="340">
        <f ca="1">+SUMIF('Mov_Analizados_Sept25 - Dic25'!$H$10:$J$1038,Resumen_Base!E137,'Mov_Analizados_Sept25 - Dic25'!$J$10:$J$1038)</f>
        <v>0</v>
      </c>
      <c r="L137" s="339">
        <f>+SUMIF('Mov_Analizados_Ene 26'!$H$10:$H$330,Resumen_Base!E137,'Mov_Analizados_Ene 26'!$I$10:$I$330)</f>
        <v>0</v>
      </c>
      <c r="M137" s="340">
        <f>+SUMIF('Mov_Analizados_Ene 26'!$H$10:$H$330,Resumen_Base!E137,'Mov_Analizados_Ene 26'!$J$10:$J$330)</f>
        <v>0</v>
      </c>
      <c r="N137" s="682">
        <f>+SUMIF('Mov_Analizados_Ene 26'!$H$10:$H$330,Resumen_Base!E137,'Mov_Analizados_Ene 26'!$J$10:$J$330)-M137</f>
        <v>0</v>
      </c>
      <c r="O137" s="339">
        <f>+SUMIF('Mov_Analizados_Feb - Mar 26'!$H$10:$H$1378,Resumen_Base!E137,'Mov_Analizados_Feb - Mar 26'!$I$10:$I$1378)</f>
        <v>0</v>
      </c>
      <c r="P137" s="340">
        <f>+SUMIF('Mov_Analizados_Feb - Mar 26'!$H$10:$H$1378,Resumen_Base!E137,'Mov_Analizados_Feb - Mar 26'!$J$10:$J$1378)</f>
        <v>0</v>
      </c>
      <c r="R137" s="339">
        <f>+SUMIF('Mov_Analizados_Abr 26'!$I$10:$I$862,Resumen_Base!E137,'Mov_Analizados_Abr 26'!$J$10:$J$862)</f>
        <v>0</v>
      </c>
      <c r="S137" s="340">
        <f>+SUMIF('Mov_Analizados_Abr 26'!$I$10:$I$862,Resumen_Base!E137,'Mov_Analizados_Abr 26'!$K$10:$K$862)</f>
        <v>0</v>
      </c>
      <c r="U137" s="339">
        <f>+SUMIF('Mov_Analizados_May 26'!$I$10:$I$1205,Resumen_Base!E137,'Mov_Analizados_May 26'!$J$10:$J$1205)</f>
        <v>0</v>
      </c>
      <c r="V137" s="340">
        <f>+SUMIF('Mov_Analizados_May 26'!$I$10:$I$1205,Resumen_Base!E137,'Mov_Analizados_May 26'!$K$10:$K$1205)</f>
        <v>0</v>
      </c>
      <c r="X137" s="339">
        <f t="shared" ca="1" si="7"/>
        <v>0</v>
      </c>
      <c r="Y137" s="340">
        <f t="shared" ca="1" si="8"/>
        <v>0</v>
      </c>
    </row>
    <row r="138" spans="1:25">
      <c r="A138" s="4" t="str">
        <f>+VLOOKUP(C138,'Plan Cuentas Link Armado'!$A$3:$D$105,4,0)</f>
        <v>Social Security Contributions</v>
      </c>
      <c r="C138" s="4" t="s">
        <v>331</v>
      </c>
      <c r="D138" s="4" t="s">
        <v>332</v>
      </c>
      <c r="E138" s="4" t="s">
        <v>615</v>
      </c>
      <c r="G138" s="4" t="str">
        <f>+VLOOKUP(C138,'Plan Cuentas Link Armado'!$A$3:$D$105,4,0)</f>
        <v>Social Security Contributions</v>
      </c>
      <c r="I138" s="339">
        <f ca="1">+SUMIF('Mov_Analizados_Sept25 - Dic25'!$H$10:$I$1038,Resumen_Base!E138,'Mov_Analizados_Sept25 - Dic25'!$I$10:$I$1038)</f>
        <v>0</v>
      </c>
      <c r="J138" s="340">
        <f ca="1">+SUMIF('Mov_Analizados_Sept25 - Dic25'!$H$10:$J$1038,Resumen_Base!E138,'Mov_Analizados_Sept25 - Dic25'!$J$10:$J$1038)</f>
        <v>0</v>
      </c>
      <c r="L138" s="339">
        <f>+SUMIF('Mov_Analizados_Ene 26'!$H$10:$H$330,Resumen_Base!E138,'Mov_Analizados_Ene 26'!$I$10:$I$330)</f>
        <v>0</v>
      </c>
      <c r="M138" s="340">
        <f>+SUMIF('Mov_Analizados_Ene 26'!$H$10:$H$330,Resumen_Base!E138,'Mov_Analizados_Ene 26'!$J$10:$J$330)</f>
        <v>0</v>
      </c>
      <c r="N138" s="682">
        <f>+SUMIF('Mov_Analizados_Ene 26'!$H$10:$H$330,Resumen_Base!E138,'Mov_Analizados_Ene 26'!$J$10:$J$330)-M138</f>
        <v>0</v>
      </c>
      <c r="O138" s="339">
        <f>+SUMIF('Mov_Analizados_Feb - Mar 26'!$H$10:$H$1378,Resumen_Base!E138,'Mov_Analizados_Feb - Mar 26'!$I$10:$I$1378)</f>
        <v>0</v>
      </c>
      <c r="P138" s="340">
        <f>+SUMIF('Mov_Analizados_Feb - Mar 26'!$H$10:$H$1378,Resumen_Base!E138,'Mov_Analizados_Feb - Mar 26'!$J$10:$J$1378)</f>
        <v>0</v>
      </c>
      <c r="R138" s="339">
        <f>+SUMIF('Mov_Analizados_Abr 26'!$I$10:$I$862,Resumen_Base!E138,'Mov_Analizados_Abr 26'!$J$10:$J$862)</f>
        <v>0</v>
      </c>
      <c r="S138" s="340">
        <f>+SUMIF('Mov_Analizados_Abr 26'!$I$10:$I$862,Resumen_Base!E138,'Mov_Analizados_Abr 26'!$K$10:$K$862)</f>
        <v>0</v>
      </c>
      <c r="U138" s="339">
        <f>+SUMIF('Mov_Analizados_May 26'!$I$10:$I$1205,Resumen_Base!E138,'Mov_Analizados_May 26'!$J$10:$J$1205)</f>
        <v>0</v>
      </c>
      <c r="V138" s="340">
        <f>+SUMIF('Mov_Analizados_May 26'!$I$10:$I$1205,Resumen_Base!E138,'Mov_Analizados_May 26'!$K$10:$K$1205)</f>
        <v>0</v>
      </c>
      <c r="X138" s="339">
        <f t="shared" ca="1" si="7"/>
        <v>0</v>
      </c>
      <c r="Y138" s="340">
        <f t="shared" ca="1" si="8"/>
        <v>0</v>
      </c>
    </row>
    <row r="139" spans="1:25">
      <c r="A139" s="4" t="str">
        <f>+VLOOKUP(C139,'Plan Cuentas Link Armado'!$A$3:$D$105,4,0)</f>
        <v>Social Security Contributions</v>
      </c>
      <c r="C139" s="4" t="s">
        <v>333</v>
      </c>
      <c r="D139" s="4" t="s">
        <v>334</v>
      </c>
      <c r="E139" s="4" t="s">
        <v>616</v>
      </c>
      <c r="G139" s="4" t="str">
        <f>+VLOOKUP(C139,'Plan Cuentas Link Armado'!$A$3:$D$105,4,0)</f>
        <v>Social Security Contributions</v>
      </c>
      <c r="I139" s="339">
        <f ca="1">+SUMIF('Mov_Analizados_Sept25 - Dic25'!$H$10:$I$1038,Resumen_Base!E139,'Mov_Analizados_Sept25 - Dic25'!$I$10:$I$1038)</f>
        <v>0</v>
      </c>
      <c r="J139" s="340">
        <f ca="1">+SUMIF('Mov_Analizados_Sept25 - Dic25'!$H$10:$J$1038,Resumen_Base!E139,'Mov_Analizados_Sept25 - Dic25'!$J$10:$J$1038)</f>
        <v>0</v>
      </c>
      <c r="L139" s="339">
        <f>+SUMIF('Mov_Analizados_Ene 26'!$H$10:$H$330,Resumen_Base!E139,'Mov_Analizados_Ene 26'!$I$10:$I$330)</f>
        <v>0</v>
      </c>
      <c r="M139" s="340">
        <f>+SUMIF('Mov_Analizados_Ene 26'!$H$10:$H$330,Resumen_Base!E139,'Mov_Analizados_Ene 26'!$J$10:$J$330)</f>
        <v>0</v>
      </c>
      <c r="N139" s="682">
        <f>+SUMIF('Mov_Analizados_Ene 26'!$H$10:$H$330,Resumen_Base!E139,'Mov_Analizados_Ene 26'!$J$10:$J$330)-M139</f>
        <v>0</v>
      </c>
      <c r="O139" s="339">
        <f>+SUMIF('Mov_Analizados_Feb - Mar 26'!$H$10:$H$1378,Resumen_Base!E139,'Mov_Analizados_Feb - Mar 26'!$I$10:$I$1378)</f>
        <v>0</v>
      </c>
      <c r="P139" s="340">
        <f>+SUMIF('Mov_Analizados_Feb - Mar 26'!$H$10:$H$1378,Resumen_Base!E139,'Mov_Analizados_Feb - Mar 26'!$J$10:$J$1378)</f>
        <v>0</v>
      </c>
      <c r="R139" s="339">
        <f>+SUMIF('Mov_Analizados_Abr 26'!$I$10:$I$862,Resumen_Base!E139,'Mov_Analizados_Abr 26'!$J$10:$J$862)</f>
        <v>0</v>
      </c>
      <c r="S139" s="340">
        <f>+SUMIF('Mov_Analizados_Abr 26'!$I$10:$I$862,Resumen_Base!E139,'Mov_Analizados_Abr 26'!$K$10:$K$862)</f>
        <v>0</v>
      </c>
      <c r="U139" s="339">
        <f>+SUMIF('Mov_Analizados_May 26'!$I$10:$I$1205,Resumen_Base!E139,'Mov_Analizados_May 26'!$J$10:$J$1205)</f>
        <v>0</v>
      </c>
      <c r="V139" s="340">
        <f>+SUMIF('Mov_Analizados_May 26'!$I$10:$I$1205,Resumen_Base!E139,'Mov_Analizados_May 26'!$K$10:$K$1205)</f>
        <v>0</v>
      </c>
      <c r="X139" s="339">
        <f t="shared" ca="1" si="7"/>
        <v>0</v>
      </c>
      <c r="Y139" s="340">
        <f t="shared" ca="1" si="8"/>
        <v>0</v>
      </c>
    </row>
    <row r="140" spans="1:25">
      <c r="A140" s="4" t="str">
        <f>+VLOOKUP(C140,'Plan Cuentas Link Armado'!$A$3:$D$105,4,0)</f>
        <v>Field:</v>
      </c>
      <c r="C140" s="4" t="s">
        <v>133</v>
      </c>
      <c r="D140" s="4" t="s">
        <v>312</v>
      </c>
      <c r="E140" s="4" t="s">
        <v>689</v>
      </c>
      <c r="G140" s="4" t="str">
        <f>+VLOOKUP(C140,'Plan Cuentas Link Armado'!$A$3:$D$105,4,0)</f>
        <v>Field:</v>
      </c>
      <c r="I140" s="339">
        <f ca="1">+SUMIF('Mov_Analizados_Sept25 - Dic25'!$H$10:$I$1038,Resumen_Base!E140,'Mov_Analizados_Sept25 - Dic25'!$I$10:$I$1038)</f>
        <v>0</v>
      </c>
      <c r="J140" s="340">
        <f ca="1">+SUMIF('Mov_Analizados_Sept25 - Dic25'!$H$10:$J$1038,Resumen_Base!E140,'Mov_Analizados_Sept25 - Dic25'!$J$10:$J$1038)</f>
        <v>0</v>
      </c>
      <c r="L140" s="339">
        <f>+SUMIF('Mov_Analizados_Ene 26'!$H$10:$H$330,Resumen_Base!E140,'Mov_Analizados_Ene 26'!$I$10:$I$330)</f>
        <v>0</v>
      </c>
      <c r="M140" s="340">
        <f>+SUMIF('Mov_Analizados_Ene 26'!$H$10:$H$330,Resumen_Base!E140,'Mov_Analizados_Ene 26'!$J$10:$J$330)</f>
        <v>0</v>
      </c>
      <c r="N140" s="682">
        <f>+SUMIF('Mov_Analizados_Ene 26'!$H$10:$H$330,Resumen_Base!E140,'Mov_Analizados_Ene 26'!$J$10:$J$330)-M140</f>
        <v>0</v>
      </c>
      <c r="O140" s="339">
        <f>+SUMIF('Mov_Analizados_Feb - Mar 26'!$H$10:$H$1378,Resumen_Base!E140,'Mov_Analizados_Feb - Mar 26'!$I$10:$I$1378)</f>
        <v>0</v>
      </c>
      <c r="P140" s="340">
        <f>+SUMIF('Mov_Analizados_Feb - Mar 26'!$H$10:$H$1378,Resumen_Base!E140,'Mov_Analizados_Feb - Mar 26'!$J$10:$J$1378)</f>
        <v>0</v>
      </c>
      <c r="R140" s="339">
        <f>+SUMIF('Mov_Analizados_Abr 26'!$I$10:$I$862,Resumen_Base!E140,'Mov_Analizados_Abr 26'!$J$10:$J$862)</f>
        <v>0</v>
      </c>
      <c r="S140" s="340">
        <f>+SUMIF('Mov_Analizados_Abr 26'!$I$10:$I$862,Resumen_Base!E140,'Mov_Analizados_Abr 26'!$K$10:$K$862)</f>
        <v>0</v>
      </c>
      <c r="U140" s="339">
        <f>+SUMIF('Mov_Analizados_May 26'!$I$10:$I$1205,Resumen_Base!E140,'Mov_Analizados_May 26'!$J$10:$J$1205)</f>
        <v>0</v>
      </c>
      <c r="V140" s="340">
        <f>+SUMIF('Mov_Analizados_May 26'!$I$10:$I$1205,Resumen_Base!E140,'Mov_Analizados_May 26'!$K$10:$K$1205)</f>
        <v>0</v>
      </c>
      <c r="X140" s="339">
        <f t="shared" ca="1" si="7"/>
        <v>0</v>
      </c>
      <c r="Y140" s="340">
        <f t="shared" ca="1" si="8"/>
        <v>0</v>
      </c>
    </row>
    <row r="141" spans="1:25">
      <c r="A141" s="4" t="str">
        <f>+VLOOKUP(C141,'Plan Cuentas Link Armado'!$A$3:$D$105,4,0)</f>
        <v>Work uniforms for personnel (employees)</v>
      </c>
      <c r="C141" s="4" t="s">
        <v>60</v>
      </c>
      <c r="D141" s="4" t="s">
        <v>61</v>
      </c>
      <c r="E141" s="4" t="s">
        <v>690</v>
      </c>
      <c r="G141" s="4" t="str">
        <f>+VLOOKUP(C141,'Plan Cuentas Link Armado'!$A$3:$D$105,4,0)</f>
        <v>Work uniforms for personnel (employees)</v>
      </c>
      <c r="I141" s="339">
        <f ca="1">+SUMIF('Mov_Analizados_Sept25 - Dic25'!$H$10:$I$1038,Resumen_Base!E141,'Mov_Analizados_Sept25 - Dic25'!$I$10:$I$1038)</f>
        <v>0</v>
      </c>
      <c r="J141" s="340">
        <f ca="1">+SUMIF('Mov_Analizados_Sept25 - Dic25'!$H$10:$J$1038,Resumen_Base!E141,'Mov_Analizados_Sept25 - Dic25'!$J$10:$J$1038)</f>
        <v>0</v>
      </c>
      <c r="L141" s="339">
        <f>+SUMIF('Mov_Analizados_Ene 26'!$H$10:$H$330,Resumen_Base!E141,'Mov_Analizados_Ene 26'!$I$10:$I$330)</f>
        <v>0</v>
      </c>
      <c r="M141" s="340">
        <f>+SUMIF('Mov_Analizados_Ene 26'!$H$10:$H$330,Resumen_Base!E141,'Mov_Analizados_Ene 26'!$J$10:$J$330)</f>
        <v>0</v>
      </c>
      <c r="N141" s="682">
        <f>+SUMIF('Mov_Analizados_Ene 26'!$H$10:$H$330,Resumen_Base!E141,'Mov_Analizados_Ene 26'!$J$10:$J$330)-M141</f>
        <v>0</v>
      </c>
      <c r="O141" s="339">
        <f>+SUMIF('Mov_Analizados_Feb - Mar 26'!$H$10:$H$1378,Resumen_Base!E141,'Mov_Analizados_Feb - Mar 26'!$I$10:$I$1378)</f>
        <v>727512.86</v>
      </c>
      <c r="P141" s="340">
        <f>+SUMIF('Mov_Analizados_Feb - Mar 26'!$H$10:$H$1378,Resumen_Base!E141,'Mov_Analizados_Feb - Mar 26'!$J$10:$J$1378)</f>
        <v>517.80274733096132</v>
      </c>
      <c r="R141" s="339">
        <f>+SUMIF('Mov_Analizados_Abr 26'!$I$10:$I$862,Resumen_Base!E141,'Mov_Analizados_Abr 26'!$J$10:$J$862)</f>
        <v>0</v>
      </c>
      <c r="S141" s="340">
        <f>+SUMIF('Mov_Analizados_Abr 26'!$I$10:$I$862,Resumen_Base!E141,'Mov_Analizados_Abr 26'!$K$10:$K$862)</f>
        <v>0</v>
      </c>
      <c r="U141" s="339">
        <f>+SUMIF('Mov_Analizados_May 26'!$I$10:$I$1205,Resumen_Base!E141,'Mov_Analizados_May 26'!$J$10:$J$1205)</f>
        <v>18262</v>
      </c>
      <c r="V141" s="340">
        <f>+SUMIF('Mov_Analizados_May 26'!$I$10:$I$1205,Resumen_Base!E141,'Mov_Analizados_May 26'!$K$10:$K$1205)</f>
        <v>12.9978647686833</v>
      </c>
      <c r="X141" s="339">
        <f t="shared" ca="1" si="7"/>
        <v>745774.86</v>
      </c>
      <c r="Y141" s="340">
        <f t="shared" ca="1" si="8"/>
        <v>530.80061209964458</v>
      </c>
    </row>
    <row r="142" spans="1:25">
      <c r="A142" s="4" t="str">
        <f>+VLOOKUP(C142,'Plan Cuentas Link Armado'!$A$3:$D$105,4,0)</f>
        <v>Licenses / Permits (Fishing and Shooting)</v>
      </c>
      <c r="C142" s="4" t="s">
        <v>62</v>
      </c>
      <c r="D142" s="4" t="s">
        <v>63</v>
      </c>
      <c r="E142" s="4" t="s">
        <v>691</v>
      </c>
      <c r="G142" s="4" t="str">
        <f>+VLOOKUP(C142,'Plan Cuentas Link Armado'!$A$3:$D$105,4,0)</f>
        <v>Licenses / Permits (Fishing and Shooting)</v>
      </c>
      <c r="I142" s="339">
        <f ca="1">+SUMIF('Mov_Analizados_Sept25 - Dic25'!$H$10:$I$1038,Resumen_Base!E142,'Mov_Analizados_Sept25 - Dic25'!$I$10:$I$1038)</f>
        <v>0</v>
      </c>
      <c r="J142" s="340">
        <f ca="1">+SUMIF('Mov_Analizados_Sept25 - Dic25'!$H$10:$J$1038,Resumen_Base!E142,'Mov_Analizados_Sept25 - Dic25'!$J$10:$J$1038)</f>
        <v>0</v>
      </c>
      <c r="L142" s="339">
        <f>+SUMIF('Mov_Analizados_Ene 26'!$H$10:$H$330,Resumen_Base!E142,'Mov_Analizados_Ene 26'!$I$10:$I$330)</f>
        <v>0</v>
      </c>
      <c r="M142" s="340">
        <f>+SUMIF('Mov_Analizados_Ene 26'!$H$10:$H$330,Resumen_Base!E142,'Mov_Analizados_Ene 26'!$J$10:$J$330)</f>
        <v>0</v>
      </c>
      <c r="N142" s="682">
        <f>+SUMIF('Mov_Analizados_Ene 26'!$H$10:$H$330,Resumen_Base!E142,'Mov_Analizados_Ene 26'!$J$10:$J$330)-M142</f>
        <v>0</v>
      </c>
      <c r="O142" s="339">
        <f>+SUMIF('Mov_Analizados_Feb - Mar 26'!$H$10:$H$1378,Resumen_Base!E142,'Mov_Analizados_Feb - Mar 26'!$I$10:$I$1378)</f>
        <v>0</v>
      </c>
      <c r="P142" s="340">
        <f>+SUMIF('Mov_Analizados_Feb - Mar 26'!$H$10:$H$1378,Resumen_Base!E142,'Mov_Analizados_Feb - Mar 26'!$J$10:$J$1378)</f>
        <v>0</v>
      </c>
      <c r="R142" s="339">
        <f>+SUMIF('Mov_Analizados_Abr 26'!$I$10:$I$862,Resumen_Base!E142,'Mov_Analizados_Abr 26'!$J$10:$J$862)</f>
        <v>0</v>
      </c>
      <c r="S142" s="340">
        <f>+SUMIF('Mov_Analizados_Abr 26'!$I$10:$I$862,Resumen_Base!E142,'Mov_Analizados_Abr 26'!$K$10:$K$862)</f>
        <v>0</v>
      </c>
      <c r="U142" s="339">
        <f>+SUMIF('Mov_Analizados_May 26'!$I$10:$I$1205,Resumen_Base!E142,'Mov_Analizados_May 26'!$J$10:$J$1205)</f>
        <v>0</v>
      </c>
      <c r="V142" s="340">
        <f>+SUMIF('Mov_Analizados_May 26'!$I$10:$I$1205,Resumen_Base!E142,'Mov_Analizados_May 26'!$K$10:$K$1205)</f>
        <v>0</v>
      </c>
      <c r="X142" s="339">
        <f t="shared" ca="1" si="7"/>
        <v>0</v>
      </c>
      <c r="Y142" s="340">
        <f t="shared" ca="1" si="8"/>
        <v>0</v>
      </c>
    </row>
    <row r="143" spans="1:25">
      <c r="A143" s="4" t="str">
        <f>+VLOOKUP(C143,'Plan Cuentas Link Armado'!$A$3:$D$105,4,0)</f>
        <v>Electricity - Gas for Boats &amp; Vehicles</v>
      </c>
      <c r="C143" s="4" t="s">
        <v>64</v>
      </c>
      <c r="D143" s="4" t="s">
        <v>65</v>
      </c>
      <c r="E143" s="4" t="s">
        <v>692</v>
      </c>
      <c r="G143" s="4" t="str">
        <f>+VLOOKUP(C143,'Plan Cuentas Link Armado'!$A$3:$D$105,4,0)</f>
        <v>Electricity - Gas for Boats &amp; Vehicles</v>
      </c>
      <c r="I143" s="339">
        <f ca="1">+SUMIF('Mov_Analizados_Sept25 - Dic25'!$H$10:$I$1038,Resumen_Base!E143,'Mov_Analizados_Sept25 - Dic25'!$I$10:$I$1038)</f>
        <v>0</v>
      </c>
      <c r="J143" s="340">
        <f ca="1">+SUMIF('Mov_Analizados_Sept25 - Dic25'!$H$10:$J$1038,Resumen_Base!E143,'Mov_Analizados_Sept25 - Dic25'!$J$10:$J$1038)</f>
        <v>0</v>
      </c>
      <c r="L143" s="339">
        <f>+SUMIF('Mov_Analizados_Ene 26'!$H$10:$H$330,Resumen_Base!E143,'Mov_Analizados_Ene 26'!$I$10:$I$330)</f>
        <v>0</v>
      </c>
      <c r="M143" s="340">
        <f>+SUMIF('Mov_Analizados_Ene 26'!$H$10:$H$330,Resumen_Base!E143,'Mov_Analizados_Ene 26'!$J$10:$J$330)</f>
        <v>0</v>
      </c>
      <c r="N143" s="682">
        <f>+SUMIF('Mov_Analizados_Ene 26'!$H$10:$H$330,Resumen_Base!E143,'Mov_Analizados_Ene 26'!$J$10:$J$330)-M143</f>
        <v>0</v>
      </c>
      <c r="O143" s="339">
        <f>+SUMIF('Mov_Analizados_Feb - Mar 26'!$H$10:$H$1378,Resumen_Base!E143,'Mov_Analizados_Feb - Mar 26'!$I$10:$I$1378)</f>
        <v>269570</v>
      </c>
      <c r="P143" s="340">
        <f>+SUMIF('Mov_Analizados_Feb - Mar 26'!$H$10:$H$1378,Resumen_Base!E143,'Mov_Analizados_Feb - Mar 26'!$J$10:$J$1378)</f>
        <v>192.55</v>
      </c>
      <c r="R143" s="339">
        <f>+SUMIF('Mov_Analizados_Abr 26'!$I$10:$I$862,Resumen_Base!E143,'Mov_Analizados_Abr 26'!$J$10:$J$862)</f>
        <v>103618.75</v>
      </c>
      <c r="S143" s="340">
        <f>+SUMIF('Mov_Analizados_Abr 26'!$I$10:$I$862,Resumen_Base!E143,'Mov_Analizados_Abr 26'!$K$10:$K$862)</f>
        <v>73.75</v>
      </c>
      <c r="U143" s="339">
        <f>+SUMIF('Mov_Analizados_May 26'!$I$10:$I$1205,Resumen_Base!E143,'Mov_Analizados_May 26'!$J$10:$J$1205)</f>
        <v>0</v>
      </c>
      <c r="V143" s="340">
        <f>+SUMIF('Mov_Analizados_May 26'!$I$10:$I$1205,Resumen_Base!E143,'Mov_Analizados_May 26'!$K$10:$K$1205)</f>
        <v>0</v>
      </c>
      <c r="X143" s="339">
        <f t="shared" ca="1" si="7"/>
        <v>373188.75</v>
      </c>
      <c r="Y143" s="340">
        <f t="shared" ca="1" si="8"/>
        <v>266.3</v>
      </c>
    </row>
    <row r="144" spans="1:25">
      <c r="A144" s="4" t="str">
        <f>+VLOOKUP(C144,'Plan Cuentas Link Armado'!$A$3:$D$105,4,0)</f>
        <v>Maintenance  Equipment</v>
      </c>
      <c r="C144" s="4" t="s">
        <v>31</v>
      </c>
      <c r="D144" s="4" t="s">
        <v>335</v>
      </c>
      <c r="E144" s="4" t="s">
        <v>693</v>
      </c>
      <c r="G144" s="4" t="str">
        <f>+VLOOKUP(C144,'Plan Cuentas Link Armado'!$A$3:$D$105,4,0)</f>
        <v>Maintenance  Equipment</v>
      </c>
      <c r="I144" s="339">
        <f ca="1">+SUMIF('Mov_Analizados_Sept25 - Dic25'!$H$10:$I$1038,Resumen_Base!E144,'Mov_Analizados_Sept25 - Dic25'!$I$10:$I$1038)</f>
        <v>0</v>
      </c>
      <c r="J144" s="340">
        <f ca="1">+SUMIF('Mov_Analizados_Sept25 - Dic25'!$H$10:$J$1038,Resumen_Base!E144,'Mov_Analizados_Sept25 - Dic25'!$J$10:$J$1038)</f>
        <v>0</v>
      </c>
      <c r="L144" s="339">
        <f>+SUMIF('Mov_Analizados_Ene 26'!$H$10:$H$330,Resumen_Base!E144,'Mov_Analizados_Ene 26'!$I$10:$I$330)</f>
        <v>0</v>
      </c>
      <c r="M144" s="340">
        <f>+SUMIF('Mov_Analizados_Ene 26'!$H$10:$H$330,Resumen_Base!E144,'Mov_Analizados_Ene 26'!$J$10:$J$330)</f>
        <v>0</v>
      </c>
      <c r="N144" s="682">
        <f>+SUMIF('Mov_Analizados_Ene 26'!$H$10:$H$330,Resumen_Base!E144,'Mov_Analizados_Ene 26'!$J$10:$J$330)-M144</f>
        <v>0</v>
      </c>
      <c r="O144" s="339">
        <f>+SUMIF('Mov_Analizados_Feb - Mar 26'!$H$10:$H$1378,Resumen_Base!E144,'Mov_Analizados_Feb - Mar 26'!$I$10:$I$1378)</f>
        <v>0</v>
      </c>
      <c r="P144" s="340">
        <f>+SUMIF('Mov_Analizados_Feb - Mar 26'!$H$10:$H$1378,Resumen_Base!E144,'Mov_Analizados_Feb - Mar 26'!$J$10:$J$1378)</f>
        <v>0</v>
      </c>
      <c r="R144" s="339">
        <f>+SUMIF('Mov_Analizados_Abr 26'!$I$10:$I$862,Resumen_Base!E144,'Mov_Analizados_Abr 26'!$J$10:$J$862)</f>
        <v>20000</v>
      </c>
      <c r="S144" s="340">
        <f>+SUMIF('Mov_Analizados_Abr 26'!$I$10:$I$862,Resumen_Base!E144,'Mov_Analizados_Abr 26'!$K$10:$K$862)</f>
        <v>14.234875444839901</v>
      </c>
      <c r="U144" s="339">
        <f>+SUMIF('Mov_Analizados_May 26'!$I$10:$I$1205,Resumen_Base!E144,'Mov_Analizados_May 26'!$J$10:$J$1205)</f>
        <v>0</v>
      </c>
      <c r="V144" s="340">
        <f>+SUMIF('Mov_Analizados_May 26'!$I$10:$I$1205,Resumen_Base!E144,'Mov_Analizados_May 26'!$K$10:$K$1205)</f>
        <v>0</v>
      </c>
      <c r="X144" s="339">
        <f t="shared" ca="1" si="7"/>
        <v>20000</v>
      </c>
      <c r="Y144" s="340">
        <f t="shared" ca="1" si="8"/>
        <v>14.234875444839901</v>
      </c>
    </row>
    <row r="145" spans="1:27">
      <c r="A145" s="4" t="str">
        <f>+VLOOKUP(C145,'Plan Cuentas Link Armado'!$A$3:$D$105,4,0)</f>
        <v>Baiting/Maize:</v>
      </c>
      <c r="C145" s="4" t="s">
        <v>238</v>
      </c>
      <c r="D145" s="4" t="s">
        <v>239</v>
      </c>
      <c r="E145" s="4" t="s">
        <v>694</v>
      </c>
      <c r="G145" s="4" t="str">
        <f>+VLOOKUP(C145,'Plan Cuentas Link Armado'!$A$3:$D$105,4,0)</f>
        <v>Baiting/Maize:</v>
      </c>
      <c r="I145" s="339">
        <f ca="1">+SUMIF('Mov_Analizados_Sept25 - Dic25'!$H$10:$I$1038,Resumen_Base!E145,'Mov_Analizados_Sept25 - Dic25'!$I$10:$I$1038)</f>
        <v>0</v>
      </c>
      <c r="J145" s="340">
        <f ca="1">+SUMIF('Mov_Analizados_Sept25 - Dic25'!$H$10:$J$1038,Resumen_Base!E145,'Mov_Analizados_Sept25 - Dic25'!$J$10:$J$1038)</f>
        <v>0</v>
      </c>
      <c r="L145" s="339">
        <f>+SUMIF('Mov_Analizados_Ene 26'!$H$10:$H$330,Resumen_Base!E145,'Mov_Analizados_Ene 26'!$I$10:$I$330)</f>
        <v>0</v>
      </c>
      <c r="M145" s="340">
        <f>+SUMIF('Mov_Analizados_Ene 26'!$H$10:$H$330,Resumen_Base!E145,'Mov_Analizados_Ene 26'!$J$10:$J$330)</f>
        <v>0</v>
      </c>
      <c r="N145" s="682">
        <f>+SUMIF('Mov_Analizados_Ene 26'!$H$10:$H$330,Resumen_Base!E145,'Mov_Analizados_Ene 26'!$J$10:$J$330)-M145</f>
        <v>0</v>
      </c>
      <c r="O145" s="339">
        <f>+SUMIF('Mov_Analizados_Feb - Mar 26'!$H$10:$H$1378,Resumen_Base!E145,'Mov_Analizados_Feb - Mar 26'!$I$10:$I$1378)</f>
        <v>0</v>
      </c>
      <c r="P145" s="340">
        <f>+SUMIF('Mov_Analizados_Feb - Mar 26'!$H$10:$H$1378,Resumen_Base!E145,'Mov_Analizados_Feb - Mar 26'!$J$10:$J$1378)</f>
        <v>0</v>
      </c>
      <c r="R145" s="339">
        <f>+SUMIF('Mov_Analizados_Abr 26'!$I$10:$I$862,Resumen_Base!E145,'Mov_Analizados_Abr 26'!$J$10:$J$862)</f>
        <v>0</v>
      </c>
      <c r="S145" s="340">
        <f>+SUMIF('Mov_Analizados_Abr 26'!$I$10:$I$862,Resumen_Base!E145,'Mov_Analizados_Abr 26'!$K$10:$K$862)</f>
        <v>0</v>
      </c>
      <c r="U145" s="339">
        <f>+SUMIF('Mov_Analizados_May 26'!$I$10:$I$1205,Resumen_Base!E145,'Mov_Analizados_May 26'!$J$10:$J$1205)</f>
        <v>0</v>
      </c>
      <c r="V145" s="340">
        <f>+SUMIF('Mov_Analizados_May 26'!$I$10:$I$1205,Resumen_Base!E145,'Mov_Analizados_May 26'!$K$10:$K$1205)</f>
        <v>0</v>
      </c>
      <c r="X145" s="339">
        <f t="shared" ca="1" si="7"/>
        <v>0</v>
      </c>
      <c r="Y145" s="340">
        <f t="shared" ca="1" si="8"/>
        <v>0</v>
      </c>
    </row>
    <row r="146" spans="1:27">
      <c r="A146" s="4" t="str">
        <f>+VLOOKUP(C146,'Plan Cuentas Link Armado'!$A$3:$D$105,4,0)</f>
        <v>Fixed Asset's Payments (Investments) Armas</v>
      </c>
      <c r="C146" s="4" t="s">
        <v>4</v>
      </c>
      <c r="D146" s="4" t="s">
        <v>3</v>
      </c>
      <c r="E146" s="4" t="s">
        <v>695</v>
      </c>
      <c r="G146" s="4" t="str">
        <f>+VLOOKUP(C146,'Plan Cuentas Link Armado'!$A$3:$D$105,4,0)</f>
        <v>Fixed Asset's Payments (Investments) Armas</v>
      </c>
      <c r="I146" s="339">
        <f ca="1">+SUMIF('Mov_Analizados_Sept25 - Dic25'!$H$10:$I$1038,Resumen_Base!E146,'Mov_Analizados_Sept25 - Dic25'!$I$10:$I$1038)</f>
        <v>0</v>
      </c>
      <c r="J146" s="340">
        <f ca="1">+SUMIF('Mov_Analizados_Sept25 - Dic25'!$H$10:$J$1038,Resumen_Base!E146,'Mov_Analizados_Sept25 - Dic25'!$J$10:$J$1038)</f>
        <v>0</v>
      </c>
      <c r="L146" s="339">
        <f>+SUMIF('Mov_Analizados_Ene 26'!$H$10:$H$330,Resumen_Base!E146,'Mov_Analizados_Ene 26'!$I$10:$I$330)</f>
        <v>0</v>
      </c>
      <c r="M146" s="340">
        <f>+SUMIF('Mov_Analizados_Ene 26'!$H$10:$H$330,Resumen_Base!E146,'Mov_Analizados_Ene 26'!$J$10:$J$330)</f>
        <v>0</v>
      </c>
      <c r="N146" s="682">
        <f>+SUMIF('Mov_Analizados_Ene 26'!$H$10:$H$330,Resumen_Base!E146,'Mov_Analizados_Ene 26'!$J$10:$J$330)-M146</f>
        <v>0</v>
      </c>
      <c r="O146" s="339">
        <f>+SUMIF('Mov_Analizados_Feb - Mar 26'!$H$10:$H$1378,Resumen_Base!E146,'Mov_Analizados_Feb - Mar 26'!$I$10:$I$1378)</f>
        <v>0</v>
      </c>
      <c r="P146" s="340">
        <f>+SUMIF('Mov_Analizados_Feb - Mar 26'!$H$10:$H$1378,Resumen_Base!E146,'Mov_Analizados_Feb - Mar 26'!$J$10:$J$1378)</f>
        <v>0</v>
      </c>
      <c r="R146" s="339">
        <f>+SUMIF('Mov_Analizados_Abr 26'!$I$10:$I$862,Resumen_Base!E146,'Mov_Analizados_Abr 26'!$J$10:$J$862)</f>
        <v>0</v>
      </c>
      <c r="S146" s="340">
        <f>+SUMIF('Mov_Analizados_Abr 26'!$I$10:$I$862,Resumen_Base!E146,'Mov_Analizados_Abr 26'!$K$10:$K$862)</f>
        <v>0</v>
      </c>
      <c r="U146" s="339">
        <f>+SUMIF('Mov_Analizados_May 26'!$I$10:$I$1205,Resumen_Base!E146,'Mov_Analizados_May 26'!$J$10:$J$1205)</f>
        <v>0</v>
      </c>
      <c r="V146" s="340">
        <f>+SUMIF('Mov_Analizados_May 26'!$I$10:$I$1205,Resumen_Base!E146,'Mov_Analizados_May 26'!$K$10:$K$1205)</f>
        <v>0</v>
      </c>
      <c r="X146" s="339">
        <f t="shared" ca="1" si="7"/>
        <v>0</v>
      </c>
      <c r="Y146" s="340">
        <f t="shared" ca="1" si="8"/>
        <v>0</v>
      </c>
    </row>
    <row r="147" spans="1:27">
      <c r="A147" s="4" t="str">
        <f>+VLOOKUP(C147,'Plan Cuentas Link Armado'!$A$3:$D$105,4,0)</f>
        <v>Fixed Asset's Payments (Investments) Rodados/Lanchas</v>
      </c>
      <c r="C147" s="4" t="s">
        <v>0</v>
      </c>
      <c r="D147" s="4" t="s">
        <v>1</v>
      </c>
      <c r="E147" s="4" t="s">
        <v>696</v>
      </c>
      <c r="G147" s="4" t="str">
        <f>+VLOOKUP(C147,'Plan Cuentas Link Armado'!$A$3:$D$105,4,0)</f>
        <v>Fixed Asset's Payments (Investments) Rodados/Lanchas</v>
      </c>
      <c r="I147" s="339">
        <f ca="1">+SUMIF('Mov_Analizados_Sept25 - Dic25'!$H$10:$I$1038,Resumen_Base!E147,'Mov_Analizados_Sept25 - Dic25'!$I$10:$I$1038)</f>
        <v>0</v>
      </c>
      <c r="J147" s="340">
        <f ca="1">+SUMIF('Mov_Analizados_Sept25 - Dic25'!$H$10:$J$1038,Resumen_Base!E147,'Mov_Analizados_Sept25 - Dic25'!$J$10:$J$1038)</f>
        <v>0</v>
      </c>
      <c r="L147" s="339">
        <f>+SUMIF('Mov_Analizados_Ene 26'!$H$10:$H$330,Resumen_Base!E147,'Mov_Analizados_Ene 26'!$I$10:$I$330)</f>
        <v>0</v>
      </c>
      <c r="M147" s="340">
        <f>+SUMIF('Mov_Analizados_Ene 26'!$H$10:$H$330,Resumen_Base!E147,'Mov_Analizados_Ene 26'!$J$10:$J$330)</f>
        <v>0</v>
      </c>
      <c r="N147" s="682">
        <f>+SUMIF('Mov_Analizados_Ene 26'!$H$10:$H$330,Resumen_Base!E147,'Mov_Analizados_Ene 26'!$J$10:$J$330)-M147</f>
        <v>0</v>
      </c>
      <c r="O147" s="339">
        <f>+SUMIF('Mov_Analizados_Feb - Mar 26'!$H$10:$H$1378,Resumen_Base!E147,'Mov_Analizados_Feb - Mar 26'!$I$10:$I$1378)</f>
        <v>0</v>
      </c>
      <c r="P147" s="340">
        <f>+SUMIF('Mov_Analizados_Feb - Mar 26'!$H$10:$H$1378,Resumen_Base!E147,'Mov_Analizados_Feb - Mar 26'!$J$10:$J$1378)</f>
        <v>0</v>
      </c>
      <c r="R147" s="339">
        <f>+SUMIF('Mov_Analizados_Abr 26'!$I$10:$I$862,Resumen_Base!E147,'Mov_Analizados_Abr 26'!$J$10:$J$862)</f>
        <v>0</v>
      </c>
      <c r="S147" s="340">
        <f>+SUMIF('Mov_Analizados_Abr 26'!$I$10:$I$862,Resumen_Base!E147,'Mov_Analizados_Abr 26'!$K$10:$K$862)</f>
        <v>0</v>
      </c>
      <c r="U147" s="339">
        <f>+SUMIF('Mov_Analizados_May 26'!$I$10:$I$1205,Resumen_Base!E147,'Mov_Analizados_May 26'!$J$10:$J$1205)</f>
        <v>0</v>
      </c>
      <c r="V147" s="340">
        <f>+SUMIF('Mov_Analizados_May 26'!$I$10:$I$1205,Resumen_Base!E147,'Mov_Analizados_May 26'!$K$10:$K$1205)</f>
        <v>0</v>
      </c>
      <c r="X147" s="339">
        <f t="shared" ca="1" si="7"/>
        <v>0</v>
      </c>
      <c r="Y147" s="340">
        <f t="shared" ca="1" si="8"/>
        <v>0</v>
      </c>
    </row>
    <row r="148" spans="1:27">
      <c r="A148" s="4" t="str">
        <f>+VLOOKUP(C148,'Plan Cuentas Link Armado'!$A$3:$D$105,4,0)</f>
        <v>Tips</v>
      </c>
      <c r="B148" s="346">
        <f ca="1">+Y148</f>
        <v>0</v>
      </c>
      <c r="C148" s="607" t="s">
        <v>668</v>
      </c>
      <c r="D148" s="597" t="s">
        <v>669</v>
      </c>
      <c r="E148" s="4" t="s">
        <v>736</v>
      </c>
      <c r="G148" s="4" t="str">
        <f>+VLOOKUP(C148,'Plan Cuentas Link Armado'!$A$3:$D$105,4,0)</f>
        <v>Tips</v>
      </c>
      <c r="I148" s="339">
        <f ca="1">+SUMIF('Mov_Analizados_Sept25 - Dic25'!$H$10:$I$1038,Resumen_Base!E148,'Mov_Analizados_Sept25 - Dic25'!$I$10:$I$1038)</f>
        <v>0</v>
      </c>
      <c r="J148" s="340">
        <f ca="1">+SUMIF('Mov_Analizados_Sept25 - Dic25'!$H$10:$J$1038,Resumen_Base!E148,'Mov_Analizados_Sept25 - Dic25'!$J$10:$J$1038)</f>
        <v>0</v>
      </c>
      <c r="L148" s="339">
        <f>+SUMIF('Mov_Analizados_Ene 26'!$H$10:$H$330,Resumen_Base!E148,'Mov_Analizados_Ene 26'!$I$10:$I$330)</f>
        <v>0</v>
      </c>
      <c r="M148" s="340">
        <f>+SUMIF('Mov_Analizados_Ene 26'!$H$10:$H$330,Resumen_Base!E148,'Mov_Analizados_Ene 26'!$J$10:$J$330)</f>
        <v>0</v>
      </c>
      <c r="N148" s="682">
        <f>+SUMIF('Mov_Analizados_Ene 26'!$H$10:$H$330,Resumen_Base!E148,'Mov_Analizados_Ene 26'!$J$10:$J$330)-M148</f>
        <v>0</v>
      </c>
      <c r="O148" s="339">
        <f>+SUMIF('Mov_Analizados_Feb - Mar 26'!$H$10:$H$1378,Resumen_Base!E148,'Mov_Analizados_Feb - Mar 26'!$I$10:$I$1378)</f>
        <v>0</v>
      </c>
      <c r="P148" s="340">
        <f>+SUMIF('Mov_Analizados_Feb - Mar 26'!$H$10:$H$1378,Resumen_Base!E148,'Mov_Analizados_Feb - Mar 26'!$J$10:$J$1378)</f>
        <v>0</v>
      </c>
      <c r="R148" s="339">
        <f>+SUMIF('Mov_Analizados_Abr 26'!$I$10:$I$862,Resumen_Base!E148,'Mov_Analizados_Abr 26'!$J$10:$J$862)</f>
        <v>0</v>
      </c>
      <c r="S148" s="340">
        <f>+SUMIF('Mov_Analizados_Abr 26'!$I$10:$I$862,Resumen_Base!E148,'Mov_Analizados_Abr 26'!$K$10:$K$862)</f>
        <v>0</v>
      </c>
      <c r="U148" s="339">
        <f>+SUMIF('Mov_Analizados_May 26'!$I$10:$I$1205,Resumen_Base!E148,'Mov_Analizados_May 26'!$J$10:$J$1205)</f>
        <v>0</v>
      </c>
      <c r="V148" s="340">
        <f>+SUMIF('Mov_Analizados_May 26'!$I$10:$I$1205,Resumen_Base!E148,'Mov_Analizados_May 26'!$K$10:$K$1205)</f>
        <v>0</v>
      </c>
      <c r="X148" s="339">
        <f t="shared" ca="1" si="7"/>
        <v>0</v>
      </c>
      <c r="Y148" s="340">
        <f t="shared" ca="1" si="8"/>
        <v>0</v>
      </c>
    </row>
    <row r="149" spans="1:27">
      <c r="A149" s="4" t="str">
        <f>+VLOOKUP(C149,'Plan Cuentas Link Armado'!$A$3:$D$105,4,0)</f>
        <v>Tips</v>
      </c>
      <c r="B149" s="346">
        <f ca="1">+Y149</f>
        <v>0</v>
      </c>
      <c r="C149" s="607" t="s">
        <v>366</v>
      </c>
      <c r="D149" s="597" t="s">
        <v>367</v>
      </c>
      <c r="E149" s="4" t="s">
        <v>737</v>
      </c>
      <c r="G149" s="4" t="str">
        <f>+VLOOKUP(C149,'Plan Cuentas Link Armado'!$A$3:$D$105,4,0)</f>
        <v>Tips</v>
      </c>
      <c r="I149" s="339">
        <f ca="1">+SUMIF('Mov_Analizados_Sept25 - Dic25'!$H$10:$I$1038,Resumen_Base!E149,'Mov_Analizados_Sept25 - Dic25'!$I$10:$I$1038)</f>
        <v>0</v>
      </c>
      <c r="J149" s="340">
        <f ca="1">+SUMIF('Mov_Analizados_Sept25 - Dic25'!$H$10:$J$1038,Resumen_Base!E149,'Mov_Analizados_Sept25 - Dic25'!$J$10:$J$1038)</f>
        <v>0</v>
      </c>
      <c r="L149" s="339">
        <f>+SUMIF('Mov_Analizados_Ene 26'!$H$10:$H$330,Resumen_Base!E149,'Mov_Analizados_Ene 26'!$I$10:$I$330)</f>
        <v>0</v>
      </c>
      <c r="M149" s="340">
        <f>+SUMIF('Mov_Analizados_Ene 26'!$H$10:$H$330,Resumen_Base!E149,'Mov_Analizados_Ene 26'!$J$10:$J$330)</f>
        <v>0</v>
      </c>
      <c r="N149" s="682">
        <f>+SUMIF('Mov_Analizados_Ene 26'!$H$10:$H$330,Resumen_Base!E149,'Mov_Analizados_Ene 26'!$J$10:$J$330)-M149</f>
        <v>0</v>
      </c>
      <c r="O149" s="339">
        <f>+SUMIF('Mov_Analizados_Feb - Mar 26'!$H$10:$H$1378,Resumen_Base!E149,'Mov_Analizados_Feb - Mar 26'!$I$10:$I$1378)</f>
        <v>0</v>
      </c>
      <c r="P149" s="340">
        <f>+SUMIF('Mov_Analizados_Feb - Mar 26'!$H$10:$H$1378,Resumen_Base!E149,'Mov_Analizados_Feb - Mar 26'!$J$10:$J$1378)</f>
        <v>0</v>
      </c>
      <c r="R149" s="339">
        <f>+SUMIF('Mov_Analizados_Abr 26'!$I$10:$I$862,Resumen_Base!E149,'Mov_Analizados_Abr 26'!$J$10:$J$862)</f>
        <v>0</v>
      </c>
      <c r="S149" s="340">
        <f>+SUMIF('Mov_Analizados_Abr 26'!$I$10:$I$862,Resumen_Base!E149,'Mov_Analizados_Abr 26'!$K$10:$K$862)</f>
        <v>0</v>
      </c>
      <c r="U149" s="339">
        <f>+SUMIF('Mov_Analizados_May 26'!$I$10:$I$1205,Resumen_Base!E149,'Mov_Analizados_May 26'!$J$10:$J$1205)</f>
        <v>0</v>
      </c>
      <c r="V149" s="340">
        <f>+SUMIF('Mov_Analizados_May 26'!$I$10:$I$1205,Resumen_Base!E149,'Mov_Analizados_May 26'!$K$10:$K$1205)</f>
        <v>0</v>
      </c>
      <c r="X149" s="339">
        <f t="shared" ca="1" si="7"/>
        <v>0</v>
      </c>
      <c r="Y149" s="340">
        <f t="shared" ca="1" si="8"/>
        <v>0</v>
      </c>
    </row>
    <row r="150" spans="1:27">
      <c r="A150" s="4" t="str">
        <f>+VLOOKUP(C150,'Plan Cuentas Link Armado'!$A$3:$D$105,4,0)</f>
        <v>Insurance for lodge and boats</v>
      </c>
      <c r="C150" s="607" t="s">
        <v>316</v>
      </c>
      <c r="D150" s="597" t="s">
        <v>317</v>
      </c>
      <c r="E150" s="152" t="s">
        <v>769</v>
      </c>
      <c r="G150" s="4" t="str">
        <f>+VLOOKUP(C150,'Plan Cuentas Link Armado'!$A$3:$D$105,4,0)</f>
        <v>Insurance for lodge and boats</v>
      </c>
      <c r="I150" s="339">
        <f ca="1">+SUMIF('Mov_Analizados_Sept25 - Dic25'!$H$10:$I$1038,Resumen_Base!E150,'Mov_Analizados_Sept25 - Dic25'!$I$10:$I$1038)</f>
        <v>0</v>
      </c>
      <c r="J150" s="340">
        <f ca="1">+SUMIF('Mov_Analizados_Sept25 - Dic25'!$H$10:$J$1038,Resumen_Base!E150,'Mov_Analizados_Sept25 - Dic25'!$J$10:$J$1038)</f>
        <v>0</v>
      </c>
      <c r="L150" s="339">
        <f>+SUMIF('Mov_Analizados_Ene 26'!$H$10:$H$330,Resumen_Base!E150,'Mov_Analizados_Ene 26'!$I$10:$I$330)</f>
        <v>0</v>
      </c>
      <c r="M150" s="340">
        <f>+SUMIF('Mov_Analizados_Ene 26'!$H$10:$H$330,Resumen_Base!E150,'Mov_Analizados_Ene 26'!$J$10:$J$330)</f>
        <v>0</v>
      </c>
      <c r="N150" s="682">
        <f>+SUMIF('Mov_Analizados_Ene 26'!$H$10:$H$330,Resumen_Base!E150,'Mov_Analizados_Ene 26'!$J$10:$J$330)-M150</f>
        <v>0</v>
      </c>
      <c r="O150" s="339">
        <f>+SUMIF('Mov_Analizados_Feb - Mar 26'!$H$10:$H$1378,Resumen_Base!E150,'Mov_Analizados_Feb - Mar 26'!$I$10:$I$1378)</f>
        <v>0</v>
      </c>
      <c r="P150" s="340">
        <f>+SUMIF('Mov_Analizados_Feb - Mar 26'!$H$10:$H$1378,Resumen_Base!E150,'Mov_Analizados_Feb - Mar 26'!$J$10:$J$1378)</f>
        <v>0</v>
      </c>
      <c r="R150" s="339">
        <f>+SUMIF('Mov_Analizados_Abr 26'!$I$10:$I$862,Resumen_Base!E150,'Mov_Analizados_Abr 26'!$J$10:$J$862)</f>
        <v>0</v>
      </c>
      <c r="S150" s="340">
        <f>+SUMIF('Mov_Analizados_Abr 26'!$I$10:$I$862,Resumen_Base!E150,'Mov_Analizados_Abr 26'!$K$10:$K$862)</f>
        <v>0</v>
      </c>
      <c r="U150" s="339">
        <f>+SUMIF('Mov_Analizados_May 26'!$I$10:$I$1205,Resumen_Base!E150,'Mov_Analizados_May 26'!$J$10:$J$1205)</f>
        <v>0</v>
      </c>
      <c r="V150" s="340">
        <f>+SUMIF('Mov_Analizados_May 26'!$I$10:$I$1205,Resumen_Base!E150,'Mov_Analizados_May 26'!$K$10:$K$1205)</f>
        <v>0</v>
      </c>
      <c r="X150" s="339">
        <f t="shared" ca="1" si="7"/>
        <v>0</v>
      </c>
      <c r="Y150" s="340">
        <f t="shared" ca="1" si="8"/>
        <v>0</v>
      </c>
    </row>
    <row r="151" spans="1:27">
      <c r="A151" s="4" t="str">
        <f>+VLOOKUP(C151,'Plan Cuentas Link Armado'!$A$3:$D$105,4,0)</f>
        <v>Maintenance  Boats / Vehicles</v>
      </c>
      <c r="C151" s="4" t="s">
        <v>66</v>
      </c>
      <c r="D151" s="4" t="s">
        <v>67</v>
      </c>
      <c r="E151" s="152" t="s">
        <v>770</v>
      </c>
      <c r="G151" s="4" t="str">
        <f>+VLOOKUP(C151,'Plan Cuentas Link Armado'!$A$3:$D$105,4,0)</f>
        <v>Maintenance  Boats / Vehicles</v>
      </c>
      <c r="I151" s="339">
        <f ca="1">+SUMIF('Mov_Analizados_Sept25 - Dic25'!$H$10:$I$1038,Resumen_Base!E151,'Mov_Analizados_Sept25 - Dic25'!$I$10:$I$1038)</f>
        <v>0</v>
      </c>
      <c r="J151" s="340">
        <f ca="1">+SUMIF('Mov_Analizados_Sept25 - Dic25'!$H$10:$J$1038,Resumen_Base!E151,'Mov_Analizados_Sept25 - Dic25'!$J$10:$J$1038)</f>
        <v>0</v>
      </c>
      <c r="L151" s="339">
        <f>+SUMIF('Mov_Analizados_Ene 26'!$H$10:$H$330,Resumen_Base!E151,'Mov_Analizados_Ene 26'!$I$10:$I$330)</f>
        <v>0</v>
      </c>
      <c r="M151" s="340">
        <f>+SUMIF('Mov_Analizados_Ene 26'!$H$10:$H$330,Resumen_Base!E151,'Mov_Analizados_Ene 26'!$J$10:$J$330)</f>
        <v>0</v>
      </c>
      <c r="N151" s="682">
        <f>+SUMIF('Mov_Analizados_Ene 26'!$H$10:$H$330,Resumen_Base!E151,'Mov_Analizados_Ene 26'!$J$10:$J$330)-M151</f>
        <v>0</v>
      </c>
      <c r="O151" s="339">
        <f>+SUMIF('Mov_Analizados_Feb - Mar 26'!$H$10:$H$1378,Resumen_Base!E151,'Mov_Analizados_Feb - Mar 26'!$I$10:$I$1378)</f>
        <v>0</v>
      </c>
      <c r="P151" s="340">
        <f>+SUMIF('Mov_Analizados_Feb - Mar 26'!$H$10:$H$1378,Resumen_Base!E151,'Mov_Analizados_Feb - Mar 26'!$J$10:$J$1378)</f>
        <v>0</v>
      </c>
      <c r="R151" s="339">
        <f>+SUMIF('Mov_Analizados_Abr 26'!$I$10:$I$862,Resumen_Base!E151,'Mov_Analizados_Abr 26'!$J$10:$J$862)</f>
        <v>0</v>
      </c>
      <c r="S151" s="340">
        <f>+SUMIF('Mov_Analizados_Abr 26'!$I$10:$I$862,Resumen_Base!E151,'Mov_Analizados_Abr 26'!$K$10:$K$862)</f>
        <v>0</v>
      </c>
      <c r="U151" s="339">
        <f>+SUMIF('Mov_Analizados_May 26'!$I$10:$I$1205,Resumen_Base!E151,'Mov_Analizados_May 26'!$J$10:$J$1205)</f>
        <v>0</v>
      </c>
      <c r="V151" s="340">
        <f>+SUMIF('Mov_Analizados_May 26'!$I$10:$I$1205,Resumen_Base!E151,'Mov_Analizados_May 26'!$K$10:$K$1205)</f>
        <v>0</v>
      </c>
      <c r="X151" s="339">
        <f t="shared" ca="1" si="7"/>
        <v>0</v>
      </c>
      <c r="Y151" s="340">
        <f t="shared" ca="1" si="8"/>
        <v>0</v>
      </c>
    </row>
    <row r="152" spans="1:27">
      <c r="A152" s="4" t="str">
        <f>+VLOOKUP(C152,'Plan Cuentas Link Armado'!$A$3:$D$105,4,0)</f>
        <v>Maintenance Lodge</v>
      </c>
      <c r="C152" s="4" t="s">
        <v>236</v>
      </c>
      <c r="D152" s="4" t="s">
        <v>237</v>
      </c>
      <c r="E152" s="152" t="s">
        <v>771</v>
      </c>
      <c r="G152" s="4" t="str">
        <f>+VLOOKUP(C152,'Plan Cuentas Link Armado'!$A$3:$D$105,4,0)</f>
        <v>Maintenance Lodge</v>
      </c>
      <c r="I152" s="339">
        <f ca="1">+SUMIF('Mov_Analizados_Sept25 - Dic25'!$H$10:$I$1038,Resumen_Base!E152,'Mov_Analizados_Sept25 - Dic25'!$I$10:$I$1038)</f>
        <v>0</v>
      </c>
      <c r="J152" s="340">
        <f ca="1">+SUMIF('Mov_Analizados_Sept25 - Dic25'!$H$10:$J$1038,Resumen_Base!E152,'Mov_Analizados_Sept25 - Dic25'!$J$10:$J$1038)</f>
        <v>0</v>
      </c>
      <c r="L152" s="339">
        <f>+SUMIF('Mov_Analizados_Ene 26'!$H$10:$H$330,Resumen_Base!E152,'Mov_Analizados_Ene 26'!$I$10:$I$330)</f>
        <v>0</v>
      </c>
      <c r="M152" s="340">
        <f>+SUMIF('Mov_Analizados_Ene 26'!$H$10:$H$330,Resumen_Base!E152,'Mov_Analizados_Ene 26'!$J$10:$J$330)</f>
        <v>0</v>
      </c>
      <c r="N152" s="682">
        <f>+SUMIF('Mov_Analizados_Ene 26'!$H$10:$H$330,Resumen_Base!E152,'Mov_Analizados_Ene 26'!$J$10:$J$330)-M152</f>
        <v>0</v>
      </c>
      <c r="O152" s="339">
        <f>+SUMIF('Mov_Analizados_Feb - Mar 26'!$H$10:$H$1378,Resumen_Base!E152,'Mov_Analizados_Feb - Mar 26'!$I$10:$I$1378)</f>
        <v>0</v>
      </c>
      <c r="P152" s="340">
        <f>+SUMIF('Mov_Analizados_Feb - Mar 26'!$H$10:$H$1378,Resumen_Base!E152,'Mov_Analizados_Feb - Mar 26'!$J$10:$J$1378)</f>
        <v>0</v>
      </c>
      <c r="R152" s="339">
        <f>+SUMIF('Mov_Analizados_Abr 26'!$I$10:$I$862,Resumen_Base!E152,'Mov_Analizados_Abr 26'!$J$10:$J$862)</f>
        <v>0</v>
      </c>
      <c r="S152" s="340">
        <f>+SUMIF('Mov_Analizados_Abr 26'!$I$10:$I$862,Resumen_Base!E152,'Mov_Analizados_Abr 26'!$K$10:$K$862)</f>
        <v>0</v>
      </c>
      <c r="U152" s="339">
        <f>+SUMIF('Mov_Analizados_May 26'!$I$10:$I$1205,Resumen_Base!E152,'Mov_Analizados_May 26'!$J$10:$J$1205)</f>
        <v>0</v>
      </c>
      <c r="V152" s="340">
        <f>+SUMIF('Mov_Analizados_May 26'!$I$10:$I$1205,Resumen_Base!E152,'Mov_Analizados_May 26'!$K$10:$K$1205)</f>
        <v>0</v>
      </c>
      <c r="X152" s="339">
        <f t="shared" ca="1" si="7"/>
        <v>0</v>
      </c>
      <c r="Y152" s="340">
        <f t="shared" ca="1" si="8"/>
        <v>0</v>
      </c>
    </row>
    <row r="153" spans="1:27" ht="14.5">
      <c r="A153" s="4" t="s">
        <v>419</v>
      </c>
      <c r="C153" s="686" t="s">
        <v>777</v>
      </c>
      <c r="D153" s="681" t="s">
        <v>778</v>
      </c>
      <c r="E153" s="152" t="s">
        <v>2767</v>
      </c>
      <c r="G153" s="4" t="s">
        <v>419</v>
      </c>
      <c r="I153" s="339">
        <f ca="1">+SUMIF('Mov_Analizados_Sept25 - Dic25'!$H$10:$I$1038,Resumen_Base!E153,'Mov_Analizados_Sept25 - Dic25'!$I$10:$I$1038)</f>
        <v>0</v>
      </c>
      <c r="J153" s="340">
        <f ca="1">+SUMIF('Mov_Analizados_Sept25 - Dic25'!$H$10:$J$1038,Resumen_Base!E153,'Mov_Analizados_Sept25 - Dic25'!$J$10:$J$1038)</f>
        <v>0</v>
      </c>
      <c r="L153" s="339">
        <f>+SUMIF('Mov_Analizados_Ene 26'!$H$10:$H$330,Resumen_Base!E153,'Mov_Analizados_Ene 26'!$I$10:$I$330)</f>
        <v>0</v>
      </c>
      <c r="M153" s="340">
        <f>+SUMIF('Mov_Analizados_Ene 26'!$H$10:$H$330,Resumen_Base!E153,'Mov_Analizados_Ene 26'!$J$10:$J$330)</f>
        <v>0</v>
      </c>
      <c r="N153" s="682">
        <f>+SUMIF('Mov_Analizados_Ene 26'!$H$10:$H$330,Resumen_Base!E153,'Mov_Analizados_Ene 26'!$J$10:$J$330)-M153</f>
        <v>0</v>
      </c>
      <c r="O153" s="339">
        <f>+SUMIF('Mov_Analizados_Feb - Mar 26'!$H$10:$H$1378,Resumen_Base!E153,'Mov_Analizados_Feb - Mar 26'!$I$10:$I$1378)</f>
        <v>0</v>
      </c>
      <c r="P153" s="340">
        <f>+SUMIF('Mov_Analizados_Feb - Mar 26'!$H$10:$H$1378,Resumen_Base!E153,'Mov_Analizados_Feb - Mar 26'!$J$10:$J$1378)</f>
        <v>0</v>
      </c>
      <c r="R153" s="339">
        <f>+SUMIF('Mov_Analizados_Abr 26'!$I$10:$I$862,Resumen_Base!E153,'Mov_Analizados_Abr 26'!$J$10:$J$862)</f>
        <v>0</v>
      </c>
      <c r="S153" s="340">
        <f>+SUMIF('Mov_Analizados_Abr 26'!$I$10:$I$862,Resumen_Base!E153,'Mov_Analizados_Abr 26'!$K$10:$K$862)</f>
        <v>0</v>
      </c>
      <c r="U153" s="339">
        <f>+SUMIF('Mov_Analizados_May 26'!$I$10:$I$1205,Resumen_Base!E153,'Mov_Analizados_May 26'!$J$10:$J$1205)</f>
        <v>0</v>
      </c>
      <c r="V153" s="340">
        <f>+SUMIF('Mov_Analizados_May 26'!$I$10:$I$1205,Resumen_Base!E153,'Mov_Analizados_May 26'!$K$10:$K$1205)</f>
        <v>0</v>
      </c>
      <c r="X153" s="339">
        <f t="shared" ca="1" si="7"/>
        <v>0</v>
      </c>
      <c r="Y153" s="340">
        <f t="shared" ca="1" si="8"/>
        <v>0</v>
      </c>
    </row>
    <row r="154" spans="1:27">
      <c r="J154" s="340"/>
      <c r="M154" s="340"/>
      <c r="N154" s="682">
        <f>+SUMIF('Mov_Analizados_Ene 26'!$H$10:$H$330,Resumen_Base!E154,'Mov_Analizados_Ene 26'!$J$10:$J$330)-M154</f>
        <v>0</v>
      </c>
      <c r="P154" s="340"/>
      <c r="S154" s="340"/>
      <c r="V154" s="340"/>
      <c r="Y154" s="340"/>
    </row>
    <row r="155" spans="1:27" ht="13" thickBot="1">
      <c r="C155" s="308"/>
      <c r="E155" s="152"/>
      <c r="J155" s="340"/>
      <c r="M155" s="340"/>
      <c r="P155" s="340"/>
      <c r="S155" s="340"/>
      <c r="V155" s="340"/>
      <c r="Y155" s="340"/>
    </row>
    <row r="156" spans="1:27" s="345" customFormat="1" ht="13" thickBot="1">
      <c r="A156" s="616" t="s">
        <v>84</v>
      </c>
      <c r="B156" s="616" t="s">
        <v>84</v>
      </c>
      <c r="C156" s="616" t="s">
        <v>84</v>
      </c>
      <c r="D156" s="616" t="s">
        <v>84</v>
      </c>
      <c r="E156" s="616" t="s">
        <v>84</v>
      </c>
      <c r="F156" s="616" t="s">
        <v>84</v>
      </c>
      <c r="G156" s="616" t="s">
        <v>84</v>
      </c>
      <c r="H156" s="616" t="s">
        <v>84</v>
      </c>
      <c r="I156" s="616" t="s">
        <v>84</v>
      </c>
      <c r="J156" s="616" t="s">
        <v>84</v>
      </c>
      <c r="K156" s="616" t="s">
        <v>84</v>
      </c>
      <c r="L156" s="616" t="s">
        <v>84</v>
      </c>
      <c r="M156" s="616" t="s">
        <v>84</v>
      </c>
      <c r="N156" s="616" t="s">
        <v>84</v>
      </c>
      <c r="O156" s="616" t="s">
        <v>84</v>
      </c>
      <c r="P156" s="616" t="s">
        <v>84</v>
      </c>
      <c r="Q156" s="616" t="s">
        <v>84</v>
      </c>
      <c r="R156" s="616" t="s">
        <v>84</v>
      </c>
      <c r="S156" s="616" t="s">
        <v>84</v>
      </c>
      <c r="T156" s="616" t="s">
        <v>84</v>
      </c>
      <c r="U156" s="616" t="s">
        <v>84</v>
      </c>
      <c r="V156" s="616" t="s">
        <v>84</v>
      </c>
      <c r="W156" s="616" t="s">
        <v>84</v>
      </c>
      <c r="X156" s="616" t="s">
        <v>84</v>
      </c>
      <c r="Y156" s="616" t="s">
        <v>84</v>
      </c>
    </row>
    <row r="157" spans="1:27" ht="13.5" thickBot="1">
      <c r="C157" s="617" t="s">
        <v>169</v>
      </c>
      <c r="D157" s="133"/>
      <c r="E157" s="133"/>
      <c r="J157" s="340"/>
      <c r="M157" s="340"/>
      <c r="P157" s="340"/>
      <c r="S157" s="340"/>
      <c r="V157" s="340"/>
      <c r="Y157" s="340"/>
    </row>
    <row r="158" spans="1:27" ht="13.5" thickBot="1">
      <c r="C158" s="342" t="s">
        <v>24</v>
      </c>
      <c r="D158" s="343" t="s">
        <v>23</v>
      </c>
      <c r="E158" s="344" t="s">
        <v>82</v>
      </c>
      <c r="I158" s="337">
        <f ca="1">SUM(I160:I217)</f>
        <v>0</v>
      </c>
      <c r="J158" s="338">
        <f ca="1">SUM(J160:J217)</f>
        <v>0</v>
      </c>
      <c r="L158" s="337">
        <f>SUM(L160:L217)</f>
        <v>0</v>
      </c>
      <c r="M158" s="338">
        <f>SUM(M160:M217)</f>
        <v>0</v>
      </c>
      <c r="O158" s="337">
        <f>SUM(O160:O217)</f>
        <v>0</v>
      </c>
      <c r="P158" s="338">
        <f>SUM(P160:P217)</f>
        <v>0</v>
      </c>
      <c r="R158" s="337">
        <f>SUM(R160:R290)</f>
        <v>149256352.40000004</v>
      </c>
      <c r="S158" s="338">
        <f>SUM(S160:S290)</f>
        <v>65589.341890820331</v>
      </c>
      <c r="U158" s="337">
        <f>SUM(U160:U290)</f>
        <v>148979659.60000002</v>
      </c>
      <c r="V158" s="338">
        <f>SUM(V160:V290)</f>
        <v>119416.02251300297</v>
      </c>
      <c r="X158" s="337">
        <f ca="1">SUM(X160:X218)</f>
        <v>0</v>
      </c>
      <c r="Y158" s="338">
        <f ca="1">ROUND(SUM(Y160:Y218),0)</f>
        <v>0</v>
      </c>
      <c r="AA158" s="346">
        <f ca="1">+Y158</f>
        <v>0</v>
      </c>
    </row>
    <row r="159" spans="1:27" s="345" customFormat="1" ht="13" thickBot="1">
      <c r="A159" s="616" t="s">
        <v>84</v>
      </c>
      <c r="B159" s="616" t="s">
        <v>84</v>
      </c>
      <c r="C159" s="616" t="s">
        <v>84</v>
      </c>
      <c r="D159" s="616" t="s">
        <v>84</v>
      </c>
      <c r="E159" s="616" t="s">
        <v>84</v>
      </c>
      <c r="F159" s="616" t="s">
        <v>84</v>
      </c>
      <c r="G159" s="616" t="s">
        <v>84</v>
      </c>
      <c r="H159" s="616" t="s">
        <v>84</v>
      </c>
      <c r="I159" s="616" t="s">
        <v>84</v>
      </c>
      <c r="J159" s="616" t="s">
        <v>84</v>
      </c>
      <c r="K159" s="616" t="s">
        <v>84</v>
      </c>
      <c r="L159" s="616" t="s">
        <v>84</v>
      </c>
      <c r="M159" s="616" t="s">
        <v>84</v>
      </c>
      <c r="N159" s="616" t="s">
        <v>84</v>
      </c>
      <c r="O159" s="616" t="s">
        <v>84</v>
      </c>
      <c r="P159" s="616" t="s">
        <v>84</v>
      </c>
      <c r="Q159" s="616" t="s">
        <v>84</v>
      </c>
      <c r="R159" s="616" t="s">
        <v>84</v>
      </c>
      <c r="S159" s="616" t="s">
        <v>84</v>
      </c>
      <c r="T159" s="616" t="s">
        <v>84</v>
      </c>
      <c r="U159" s="616" t="s">
        <v>84</v>
      </c>
      <c r="V159" s="616" t="s">
        <v>84</v>
      </c>
      <c r="W159" s="616" t="s">
        <v>84</v>
      </c>
      <c r="X159" s="616" t="s">
        <v>84</v>
      </c>
      <c r="Y159" s="616" t="s">
        <v>84</v>
      </c>
    </row>
    <row r="160" spans="1:27">
      <c r="A160" s="4" t="str">
        <f>+VLOOKUP(C160,'Plan Cuentas Link Armado'!$A$3:$D$105,4,0)</f>
        <v>Fixed Asset's Payments (Investments) Mejoras/equipamiento Lodge</v>
      </c>
      <c r="B160" s="346">
        <f t="shared" ref="B160:B167" ca="1" si="10">+Y160</f>
        <v>0</v>
      </c>
      <c r="C160" s="308" t="s">
        <v>52</v>
      </c>
      <c r="D160" s="4" t="s">
        <v>53</v>
      </c>
      <c r="E160" s="4" t="s">
        <v>171</v>
      </c>
      <c r="G160" s="4" t="str">
        <f>+VLOOKUP(C160,'Plan Cuentas Link Armado'!$A$3:$D$105,4,0)</f>
        <v>Fixed Asset's Payments (Investments) Mejoras/equipamiento Lodge</v>
      </c>
      <c r="I160" s="339">
        <f ca="1">+SUMIF('Mov_Analizados_Sept25 - Dic25'!$H$10:$I$1051,Resumen_Base!E160,'Mov_Analizados_Sept25 - Dic25'!$I$10:$I$1051)</f>
        <v>0</v>
      </c>
      <c r="J160" s="340">
        <f ca="1">+SUMIF('Mov_Analizados_Sept25 - Dic25'!$H$10:$J$1051,Resumen_Base!E160,'Mov_Analizados_Sept25 - Dic25'!$J$10:$J$1051)</f>
        <v>0</v>
      </c>
      <c r="L160" s="339">
        <f>+SUMIF('Mov_Analizados_Ene 26'!$H$10:$H$330,Resumen_Base!E160,'Mov_Analizados_Ene 26'!$I$10:$I$330)</f>
        <v>0</v>
      </c>
      <c r="M160" s="340">
        <f>+SUMIF('Mov_Analizados_Ene 26'!$H$10:$H$330,Resumen_Base!E160,'Mov_Analizados_Ene 26'!$J$10:$J$330)</f>
        <v>0</v>
      </c>
      <c r="O160" s="339">
        <f>+SUMIF('Mov_Analizados_Feb - Mar 26'!$H$10:$H$1378,Resumen_Base!E160,'Mov_Analizados_Feb - Mar 26'!$I$10:$I$1378)</f>
        <v>0</v>
      </c>
      <c r="P160" s="340">
        <f>+SUMIF('Mov_Analizados_Feb - Mar 26'!$H$10:$H$1378,Resumen_Base!E160,'Mov_Analizados_Feb - Mar 26'!$J$10:$J$1378)</f>
        <v>0</v>
      </c>
      <c r="R160" s="339">
        <f>+SUMIF('Mov_Analizados_Abr 26'!$I$10:$I$862,Resumen_Base!E160,'Mov_Analizados_Abr 26'!$J$10:$J$862)</f>
        <v>0</v>
      </c>
      <c r="S160" s="340">
        <f>+SUMIF('Mov_Analizados_Abr 26'!$I$10:$I$862,Resumen_Base!E160,'Mov_Analizados_Abr 26'!$K$10:$K$862)</f>
        <v>0</v>
      </c>
      <c r="U160" s="339">
        <f>+SUMIF('Mov_Analizados_May 26'!$I$10:$I$1205,Resumen_Base!E160,'Mov_Analizados_May 26'!$J$10:$J$1205)</f>
        <v>0</v>
      </c>
      <c r="V160" s="340">
        <f>+SUMIF('Mov_Analizados_May 26'!$I$10:$I$1205,Resumen_Base!E160,'Mov_Analizados_May 26'!$K$10:$K$1205)</f>
        <v>0</v>
      </c>
      <c r="X160" s="339">
        <f t="shared" ref="X160:X215" ca="1" si="11">+I160+L160+O160+R160+U160</f>
        <v>0</v>
      </c>
      <c r="Y160" s="340">
        <f t="shared" ref="Y160:Y215" ca="1" si="12">+J160+M160+P160+S160+V160</f>
        <v>0</v>
      </c>
    </row>
    <row r="161" spans="1:26">
      <c r="A161" s="4" t="str">
        <f>+VLOOKUP(C161,'Plan Cuentas Link Armado'!$A$3:$D$105,4,0)</f>
        <v>Fixed Asset's Payments (Investments) Mejoras/equipamiento Lodge</v>
      </c>
      <c r="B161" s="346">
        <f t="shared" ca="1" si="10"/>
        <v>0</v>
      </c>
      <c r="C161" s="308" t="s">
        <v>50</v>
      </c>
      <c r="D161" s="4" t="s">
        <v>51</v>
      </c>
      <c r="E161" s="4" t="s">
        <v>172</v>
      </c>
      <c r="G161" s="4" t="str">
        <f>+VLOOKUP(C161,'Plan Cuentas Link Armado'!$A$3:$D$105,4,0)</f>
        <v>Fixed Asset's Payments (Investments) Mejoras/equipamiento Lodge</v>
      </c>
      <c r="I161" s="339">
        <f ca="1">+SUMIF('Mov_Analizados_Sept25 - Dic25'!$H$10:$I$1051,Resumen_Base!E161,'Mov_Analizados_Sept25 - Dic25'!$I$10:$I$1051)</f>
        <v>0</v>
      </c>
      <c r="J161" s="340">
        <f ca="1">+SUMIF('Mov_Analizados_Sept25 - Dic25'!$H$10:$J$1051,Resumen_Base!E161,'Mov_Analizados_Sept25 - Dic25'!$J$10:$J$1051)</f>
        <v>0</v>
      </c>
      <c r="L161" s="339">
        <f>+SUMIF('Mov_Analizados_Ene 26'!$H$10:$H$330,Resumen_Base!E161,'Mov_Analizados_Ene 26'!$I$10:$I$330)</f>
        <v>0</v>
      </c>
      <c r="M161" s="340">
        <f>+SUMIF('Mov_Analizados_Ene 26'!$H$10:$H$330,Resumen_Base!E161,'Mov_Analizados_Ene 26'!$J$10:$J$330)</f>
        <v>0</v>
      </c>
      <c r="O161" s="339">
        <f>+SUMIF('Mov_Analizados_Feb - Mar 26'!$H$10:$H$1378,Resumen_Base!E161,'Mov_Analizados_Feb - Mar 26'!$I$10:$I$1378)</f>
        <v>0</v>
      </c>
      <c r="P161" s="340">
        <f>+SUMIF('Mov_Analizados_Feb - Mar 26'!$H$10:$H$1378,Resumen_Base!E161,'Mov_Analizados_Feb - Mar 26'!$J$10:$J$1378)</f>
        <v>0</v>
      </c>
      <c r="R161" s="339">
        <f>+SUMIF('Mov_Analizados_Abr 26'!$I$10:$I$862,Resumen_Base!E161,'Mov_Analizados_Abr 26'!$J$10:$J$862)</f>
        <v>0</v>
      </c>
      <c r="S161" s="340">
        <f>+SUMIF('Mov_Analizados_Abr 26'!$I$10:$I$862,Resumen_Base!E161,'Mov_Analizados_Abr 26'!$K$10:$K$862)</f>
        <v>0</v>
      </c>
      <c r="U161" s="339">
        <f>+SUMIF('Mov_Analizados_May 26'!$I$10:$I$1205,Resumen_Base!E161,'Mov_Analizados_May 26'!$J$10:$J$1205)</f>
        <v>0</v>
      </c>
      <c r="V161" s="340">
        <f>+SUMIF('Mov_Analizados_May 26'!$I$10:$I$1205,Resumen_Base!E161,'Mov_Analizados_May 26'!$K$10:$K$1205)</f>
        <v>0</v>
      </c>
      <c r="X161" s="339">
        <f t="shared" ca="1" si="11"/>
        <v>0</v>
      </c>
      <c r="Y161" s="340">
        <f t="shared" ca="1" si="12"/>
        <v>0</v>
      </c>
    </row>
    <row r="162" spans="1:26">
      <c r="A162" s="4" t="str">
        <f>+VLOOKUP(C162,'Plan Cuentas Link Armado'!$A$3:$D$105,4,0)</f>
        <v>Fixed Asset's Payments (Investments) Mejoras/equipamiento Lodge</v>
      </c>
      <c r="B162" s="346">
        <f t="shared" ca="1" si="10"/>
        <v>0</v>
      </c>
      <c r="C162" s="308" t="s">
        <v>54</v>
      </c>
      <c r="D162" s="4" t="s">
        <v>55</v>
      </c>
      <c r="E162" s="4" t="s">
        <v>191</v>
      </c>
      <c r="G162" s="4" t="str">
        <f>+VLOOKUP(C162,'Plan Cuentas Link Armado'!$A$3:$D$105,4,0)</f>
        <v>Fixed Asset's Payments (Investments) Mejoras/equipamiento Lodge</v>
      </c>
      <c r="I162" s="339">
        <f ca="1">+SUMIF('Mov_Analizados_Sept25 - Dic25'!$H$10:$I$1051,Resumen_Base!E162,'Mov_Analizados_Sept25 - Dic25'!$I$10:$I$1051)</f>
        <v>0</v>
      </c>
      <c r="J162" s="340">
        <f ca="1">+SUMIF('Mov_Analizados_Sept25 - Dic25'!$H$10:$J$1051,Resumen_Base!E162,'Mov_Analizados_Sept25 - Dic25'!$J$10:$J$1051)</f>
        <v>0</v>
      </c>
      <c r="L162" s="339">
        <f>+SUMIF('Mov_Analizados_Ene 26'!$H$10:$H$330,Resumen_Base!E162,'Mov_Analizados_Ene 26'!$I$10:$I$330)</f>
        <v>0</v>
      </c>
      <c r="M162" s="340">
        <f>+SUMIF('Mov_Analizados_Ene 26'!$H$10:$H$330,Resumen_Base!E162,'Mov_Analizados_Ene 26'!$J$10:$J$330)</f>
        <v>0</v>
      </c>
      <c r="O162" s="339">
        <f>+SUMIF('Mov_Analizados_Feb - Mar 26'!$H$10:$H$1378,Resumen_Base!E162,'Mov_Analizados_Feb - Mar 26'!$I$10:$I$1378)</f>
        <v>0</v>
      </c>
      <c r="P162" s="340">
        <f>+SUMIF('Mov_Analizados_Feb - Mar 26'!$H$10:$H$1378,Resumen_Base!E162,'Mov_Analizados_Feb - Mar 26'!$J$10:$J$1378)</f>
        <v>0</v>
      </c>
      <c r="R162" s="339">
        <f>+SUMIF('Mov_Analizados_Abr 26'!$I$10:$I$862,Resumen_Base!E162,'Mov_Analizados_Abr 26'!$J$10:$J$862)</f>
        <v>0</v>
      </c>
      <c r="S162" s="340">
        <f>+SUMIF('Mov_Analizados_Abr 26'!$I$10:$I$862,Resumen_Base!E162,'Mov_Analizados_Abr 26'!$K$10:$K$862)</f>
        <v>0</v>
      </c>
      <c r="U162" s="339">
        <f>+SUMIF('Mov_Analizados_May 26'!$I$10:$I$1205,Resumen_Base!E162,'Mov_Analizados_May 26'!$J$10:$J$1205)</f>
        <v>0</v>
      </c>
      <c r="V162" s="340">
        <f>+SUMIF('Mov_Analizados_May 26'!$I$10:$I$1205,Resumen_Base!E162,'Mov_Analizados_May 26'!$K$10:$K$1205)</f>
        <v>0</v>
      </c>
      <c r="X162" s="339">
        <f t="shared" ca="1" si="11"/>
        <v>0</v>
      </c>
      <c r="Y162" s="340">
        <f t="shared" ca="1" si="12"/>
        <v>0</v>
      </c>
    </row>
    <row r="163" spans="1:26">
      <c r="A163" s="4" t="str">
        <f>+VLOOKUP(C163,'Plan Cuentas Link Armado'!$A$3:$D$105,4,0)</f>
        <v>Fixed Asset's Payments (Investments) Armas</v>
      </c>
      <c r="B163" s="346">
        <f t="shared" ca="1" si="10"/>
        <v>0</v>
      </c>
      <c r="C163" s="308" t="s">
        <v>4</v>
      </c>
      <c r="D163" s="4" t="s">
        <v>3</v>
      </c>
      <c r="E163" s="4" t="s">
        <v>192</v>
      </c>
      <c r="G163" s="4" t="str">
        <f>+VLOOKUP(C163,'Plan Cuentas Link Armado'!$A$3:$D$105,4,0)</f>
        <v>Fixed Asset's Payments (Investments) Armas</v>
      </c>
      <c r="I163" s="339">
        <f ca="1">+SUMIF('Mov_Analizados_Sept25 - Dic25'!$H$10:$I$1051,Resumen_Base!E163,'Mov_Analizados_Sept25 - Dic25'!$I$10:$I$1051)</f>
        <v>0</v>
      </c>
      <c r="J163" s="340">
        <f ca="1">+SUMIF('Mov_Analizados_Sept25 - Dic25'!$H$10:$J$1051,Resumen_Base!E163,'Mov_Analizados_Sept25 - Dic25'!$J$10:$J$1051)</f>
        <v>0</v>
      </c>
      <c r="L163" s="339">
        <f>+SUMIF('Mov_Analizados_Ene 26'!$H$10:$H$330,Resumen_Base!E163,'Mov_Analizados_Ene 26'!$I$10:$I$330)</f>
        <v>0</v>
      </c>
      <c r="M163" s="340">
        <f>+SUMIF('Mov_Analizados_Ene 26'!$H$10:$H$330,Resumen_Base!E163,'Mov_Analizados_Ene 26'!$J$10:$J$330)</f>
        <v>0</v>
      </c>
      <c r="O163" s="339">
        <f>+SUMIF('Mov_Analizados_Feb - Mar 26'!$H$10:$H$1378,Resumen_Base!E163,'Mov_Analizados_Feb - Mar 26'!$I$10:$I$1378)</f>
        <v>0</v>
      </c>
      <c r="P163" s="340">
        <f>+SUMIF('Mov_Analizados_Feb - Mar 26'!$H$10:$H$1378,Resumen_Base!E163,'Mov_Analizados_Feb - Mar 26'!$J$10:$J$1378)</f>
        <v>0</v>
      </c>
      <c r="R163" s="339">
        <f>+SUMIF('Mov_Analizados_Abr 26'!$I$10:$I$862,Resumen_Base!E163,'Mov_Analizados_Abr 26'!$J$10:$J$862)</f>
        <v>0</v>
      </c>
      <c r="S163" s="340">
        <f>+SUMIF('Mov_Analizados_Abr 26'!$I$10:$I$862,Resumen_Base!E163,'Mov_Analizados_Abr 26'!$K$10:$K$862)</f>
        <v>0</v>
      </c>
      <c r="U163" s="339">
        <f>+SUMIF('Mov_Analizados_May 26'!$I$10:$I$1205,Resumen_Base!E163,'Mov_Analizados_May 26'!$J$10:$J$1205)</f>
        <v>0</v>
      </c>
      <c r="V163" s="340">
        <f>+SUMIF('Mov_Analizados_May 26'!$I$10:$I$1205,Resumen_Base!E163,'Mov_Analizados_May 26'!$K$10:$K$1205)</f>
        <v>0</v>
      </c>
      <c r="X163" s="339">
        <f t="shared" ca="1" si="11"/>
        <v>0</v>
      </c>
      <c r="Y163" s="340">
        <f t="shared" ca="1" si="12"/>
        <v>0</v>
      </c>
    </row>
    <row r="164" spans="1:26">
      <c r="A164" s="4" t="str">
        <f>+VLOOKUP(C164,'Plan Cuentas Link Armado'!$A$3:$D$105,4,0)</f>
        <v>Fixed Asset's Payments (Investments) Rodados/Lanchas</v>
      </c>
      <c r="B164" s="346">
        <f t="shared" ca="1" si="10"/>
        <v>0</v>
      </c>
      <c r="C164" s="308" t="s">
        <v>0</v>
      </c>
      <c r="D164" s="4" t="s">
        <v>1</v>
      </c>
      <c r="E164" s="4" t="s">
        <v>173</v>
      </c>
      <c r="G164" s="4" t="str">
        <f>+VLOOKUP(C164,'Plan Cuentas Link Armado'!$A$3:$D$105,4,0)</f>
        <v>Fixed Asset's Payments (Investments) Rodados/Lanchas</v>
      </c>
      <c r="I164" s="339">
        <f ca="1">+SUMIF('Mov_Analizados_Sept25 - Dic25'!$H$10:$I$1051,Resumen_Base!E164,'Mov_Analizados_Sept25 - Dic25'!$I$10:$I$1051)</f>
        <v>0</v>
      </c>
      <c r="J164" s="340">
        <f ca="1">+SUMIF('Mov_Analizados_Sept25 - Dic25'!$H$10:$J$1051,Resumen_Base!E164,'Mov_Analizados_Sept25 - Dic25'!$J$10:$J$1051)</f>
        <v>0</v>
      </c>
      <c r="L164" s="339">
        <f>+SUMIF('Mov_Analizados_Ene 26'!$H$10:$H$330,Resumen_Base!E164,'Mov_Analizados_Ene 26'!$I$10:$I$330)</f>
        <v>0</v>
      </c>
      <c r="M164" s="340">
        <f>+SUMIF('Mov_Analizados_Ene 26'!$H$10:$H$330,Resumen_Base!E164,'Mov_Analizados_Ene 26'!$J$10:$J$330)</f>
        <v>0</v>
      </c>
      <c r="O164" s="339">
        <f>+SUMIF('Mov_Analizados_Feb - Mar 26'!$H$10:$H$1378,Resumen_Base!E164,'Mov_Analizados_Feb - Mar 26'!$I$10:$I$1378)</f>
        <v>0</v>
      </c>
      <c r="P164" s="340">
        <f>+SUMIF('Mov_Analizados_Feb - Mar 26'!$H$10:$H$1378,Resumen_Base!E164,'Mov_Analizados_Feb - Mar 26'!$J$10:$J$1378)</f>
        <v>0</v>
      </c>
      <c r="R164" s="339">
        <f>+SUMIF('Mov_Analizados_Abr 26'!$I$10:$I$862,Resumen_Base!E164,'Mov_Analizados_Abr 26'!$J$10:$J$862)</f>
        <v>0</v>
      </c>
      <c r="S164" s="340">
        <f>+SUMIF('Mov_Analizados_Abr 26'!$I$10:$I$862,Resumen_Base!E164,'Mov_Analizados_Abr 26'!$K$10:$K$862)</f>
        <v>0</v>
      </c>
      <c r="U164" s="339">
        <f>+SUMIF('Mov_Analizados_May 26'!$I$10:$I$1205,Resumen_Base!E164,'Mov_Analizados_May 26'!$J$10:$J$1205)</f>
        <v>0</v>
      </c>
      <c r="V164" s="340">
        <f>+SUMIF('Mov_Analizados_May 26'!$I$10:$I$1205,Resumen_Base!E164,'Mov_Analizados_May 26'!$K$10:$K$1205)</f>
        <v>0</v>
      </c>
      <c r="X164" s="339">
        <f t="shared" ca="1" si="11"/>
        <v>0</v>
      </c>
      <c r="Y164" s="340">
        <f t="shared" ca="1" si="12"/>
        <v>0</v>
      </c>
    </row>
    <row r="165" spans="1:26">
      <c r="A165" s="4" t="str">
        <f>+VLOOKUP(C165,'Plan Cuentas Link Armado'!$A$3:$D$105,4,0)</f>
        <v>Fixed Asset's Payments (Investments) Mejoras/equipamiento Lodge</v>
      </c>
      <c r="B165" s="346">
        <f t="shared" ca="1" si="10"/>
        <v>0</v>
      </c>
      <c r="C165" s="308" t="s">
        <v>6</v>
      </c>
      <c r="D165" s="4" t="s">
        <v>5</v>
      </c>
      <c r="E165" s="4" t="s">
        <v>174</v>
      </c>
      <c r="G165" s="4" t="str">
        <f>+VLOOKUP(C165,'Plan Cuentas Link Armado'!$A$3:$D$105,4,0)</f>
        <v>Fixed Asset's Payments (Investments) Mejoras/equipamiento Lodge</v>
      </c>
      <c r="I165" s="339">
        <f ca="1">+SUMIF('Mov_Analizados_Sept25 - Dic25'!$H$10:$I$1051,Resumen_Base!E165,'Mov_Analizados_Sept25 - Dic25'!$I$10:$I$1051)</f>
        <v>0</v>
      </c>
      <c r="J165" s="340">
        <f ca="1">+SUMIF('Mov_Analizados_Sept25 - Dic25'!$H$10:$J$1051,Resumen_Base!E165,'Mov_Analizados_Sept25 - Dic25'!$J$10:$J$1051)</f>
        <v>0</v>
      </c>
      <c r="L165" s="339">
        <f>+SUMIF('Mov_Analizados_Ene 26'!$H$10:$H$330,Resumen_Base!E165,'Mov_Analizados_Ene 26'!$I$10:$I$330)</f>
        <v>0</v>
      </c>
      <c r="M165" s="340">
        <f>+SUMIF('Mov_Analizados_Ene 26'!$H$10:$H$330,Resumen_Base!E165,'Mov_Analizados_Ene 26'!$J$10:$J$330)</f>
        <v>0</v>
      </c>
      <c r="O165" s="339">
        <f>+SUMIF('Mov_Analizados_Feb - Mar 26'!$H$10:$H$1378,Resumen_Base!E165,'Mov_Analizados_Feb - Mar 26'!$I$10:$I$1378)</f>
        <v>0</v>
      </c>
      <c r="P165" s="340">
        <f>+SUMIF('Mov_Analizados_Feb - Mar 26'!$H$10:$H$1378,Resumen_Base!E165,'Mov_Analizados_Feb - Mar 26'!$J$10:$J$1378)</f>
        <v>0</v>
      </c>
      <c r="R165" s="339">
        <f>+SUMIF('Mov_Analizados_Abr 26'!$I$10:$I$862,Resumen_Base!E165,'Mov_Analizados_Abr 26'!$J$10:$J$862)</f>
        <v>0</v>
      </c>
      <c r="S165" s="340">
        <f>+SUMIF('Mov_Analizados_Abr 26'!$I$10:$I$862,Resumen_Base!E165,'Mov_Analizados_Abr 26'!$K$10:$K$862)</f>
        <v>0</v>
      </c>
      <c r="U165" s="339">
        <f>+SUMIF('Mov_Analizados_May 26'!$I$10:$I$1205,Resumen_Base!E165,'Mov_Analizados_May 26'!$J$10:$J$1205)</f>
        <v>0</v>
      </c>
      <c r="V165" s="340">
        <f>+SUMIF('Mov_Analizados_May 26'!$I$10:$I$1205,Resumen_Base!E165,'Mov_Analizados_May 26'!$K$10:$K$1205)</f>
        <v>0</v>
      </c>
      <c r="X165" s="339">
        <f t="shared" ca="1" si="11"/>
        <v>0</v>
      </c>
      <c r="Y165" s="340">
        <f t="shared" ca="1" si="12"/>
        <v>0</v>
      </c>
    </row>
    <row r="166" spans="1:26">
      <c r="A166" s="4" t="str">
        <f>+VLOOKUP(C166,'Plan Cuentas Link Armado'!$A$3:$D$105,4,0)</f>
        <v>Fixed Asset's Payments (Investments) Mejoras/equipamiento Lodge</v>
      </c>
      <c r="B166" s="346">
        <f t="shared" ca="1" si="10"/>
        <v>0</v>
      </c>
      <c r="C166" s="308" t="s">
        <v>129</v>
      </c>
      <c r="D166" s="4" t="s">
        <v>130</v>
      </c>
      <c r="E166" s="4" t="s">
        <v>175</v>
      </c>
      <c r="G166" s="4" t="str">
        <f>+VLOOKUP(C166,'Plan Cuentas Link Armado'!$A$3:$D$105,4,0)</f>
        <v>Fixed Asset's Payments (Investments) Mejoras/equipamiento Lodge</v>
      </c>
      <c r="I166" s="339">
        <f ca="1">+SUMIF('Mov_Analizados_Sept25 - Dic25'!$H$10:$I$1051,Resumen_Base!E166,'Mov_Analizados_Sept25 - Dic25'!$I$10:$I$1051)</f>
        <v>0</v>
      </c>
      <c r="J166" s="340">
        <f ca="1">+SUMIF('Mov_Analizados_Sept25 - Dic25'!$H$10:$J$1051,Resumen_Base!E166,'Mov_Analizados_Sept25 - Dic25'!$J$10:$J$1051)</f>
        <v>0</v>
      </c>
      <c r="L166" s="339">
        <f>+SUMIF('Mov_Analizados_Ene 26'!$H$10:$H$330,Resumen_Base!E166,'Mov_Analizados_Ene 26'!$I$10:$I$330)</f>
        <v>0</v>
      </c>
      <c r="M166" s="340">
        <f>+SUMIF('Mov_Analizados_Ene 26'!$H$10:$H$330,Resumen_Base!E166,'Mov_Analizados_Ene 26'!$J$10:$J$330)</f>
        <v>0</v>
      </c>
      <c r="O166" s="339">
        <f>+SUMIF('Mov_Analizados_Feb - Mar 26'!$H$10:$H$1378,Resumen_Base!E166,'Mov_Analizados_Feb - Mar 26'!$I$10:$I$1378)</f>
        <v>0</v>
      </c>
      <c r="P166" s="340">
        <f>+SUMIF('Mov_Analizados_Feb - Mar 26'!$H$10:$H$1378,Resumen_Base!E166,'Mov_Analizados_Feb - Mar 26'!$J$10:$J$1378)</f>
        <v>0</v>
      </c>
      <c r="R166" s="339">
        <f>+SUMIF('Mov_Analizados_Abr 26'!$I$10:$I$862,Resumen_Base!E166,'Mov_Analizados_Abr 26'!$J$10:$J$862)</f>
        <v>0</v>
      </c>
      <c r="S166" s="340">
        <f>+SUMIF('Mov_Analizados_Abr 26'!$I$10:$I$862,Resumen_Base!E166,'Mov_Analizados_Abr 26'!$K$10:$K$862)</f>
        <v>0</v>
      </c>
      <c r="U166" s="339">
        <f>+SUMIF('Mov_Analizados_May 26'!$I$10:$I$1205,Resumen_Base!E166,'Mov_Analizados_May 26'!$J$10:$J$1205)</f>
        <v>0</v>
      </c>
      <c r="V166" s="340">
        <f>+SUMIF('Mov_Analizados_May 26'!$I$10:$I$1205,Resumen_Base!E166,'Mov_Analizados_May 26'!$K$10:$K$1205)</f>
        <v>0</v>
      </c>
      <c r="X166" s="339">
        <f t="shared" ca="1" si="11"/>
        <v>0</v>
      </c>
      <c r="Y166" s="340">
        <f t="shared" ca="1" si="12"/>
        <v>0</v>
      </c>
    </row>
    <row r="167" spans="1:26">
      <c r="A167" s="4" t="str">
        <f>+VLOOKUP(C167,'Plan Cuentas Link Armado'!$A$3:$D$105,4,0)</f>
        <v>Fixed Asset's Payments (Investments) Mejoras/equipamiento Lodge</v>
      </c>
      <c r="B167" s="346">
        <f t="shared" ca="1" si="10"/>
        <v>0</v>
      </c>
      <c r="C167" s="308" t="s">
        <v>131</v>
      </c>
      <c r="D167" s="4" t="s">
        <v>132</v>
      </c>
      <c r="E167" s="4" t="s">
        <v>176</v>
      </c>
      <c r="G167" s="4" t="str">
        <f>+VLOOKUP(C167,'Plan Cuentas Link Armado'!$A$3:$D$105,4,0)</f>
        <v>Fixed Asset's Payments (Investments) Mejoras/equipamiento Lodge</v>
      </c>
      <c r="I167" s="339">
        <f ca="1">+SUMIF('Mov_Analizados_Sept25 - Dic25'!$H$10:$I$1051,Resumen_Base!E167,'Mov_Analizados_Sept25 - Dic25'!$I$10:$I$1051)</f>
        <v>0</v>
      </c>
      <c r="J167" s="340">
        <f ca="1">+SUMIF('Mov_Analizados_Sept25 - Dic25'!$H$10:$J$1051,Resumen_Base!E167,'Mov_Analizados_Sept25 - Dic25'!$J$10:$J$1051)</f>
        <v>0</v>
      </c>
      <c r="L167" s="339">
        <f>+SUMIF('Mov_Analizados_Ene 26'!$H$10:$H$330,Resumen_Base!E167,'Mov_Analizados_Ene 26'!$I$10:$I$330)</f>
        <v>0</v>
      </c>
      <c r="M167" s="340">
        <f>+SUMIF('Mov_Analizados_Ene 26'!$H$10:$H$330,Resumen_Base!E167,'Mov_Analizados_Ene 26'!$J$10:$J$330)</f>
        <v>0</v>
      </c>
      <c r="O167" s="339">
        <f>+SUMIF('Mov_Analizados_Feb - Mar 26'!$H$10:$H$1378,Resumen_Base!E167,'Mov_Analizados_Feb - Mar 26'!$I$10:$I$1378)</f>
        <v>0</v>
      </c>
      <c r="P167" s="340">
        <f>+SUMIF('Mov_Analizados_Feb - Mar 26'!$H$10:$H$1378,Resumen_Base!E167,'Mov_Analizados_Feb - Mar 26'!$J$10:$J$1378)</f>
        <v>0</v>
      </c>
      <c r="R167" s="339">
        <f>+SUMIF('Mov_Analizados_Abr 26'!$I$10:$I$862,Resumen_Base!E167,'Mov_Analizados_Abr 26'!$J$10:$J$862)</f>
        <v>0</v>
      </c>
      <c r="S167" s="340">
        <f>+SUMIF('Mov_Analizados_Abr 26'!$I$10:$I$862,Resumen_Base!E167,'Mov_Analizados_Abr 26'!$K$10:$K$862)</f>
        <v>0</v>
      </c>
      <c r="U167" s="339">
        <f>+SUMIF('Mov_Analizados_May 26'!$I$10:$I$1205,Resumen_Base!E167,'Mov_Analizados_May 26'!$J$10:$J$1205)</f>
        <v>0</v>
      </c>
      <c r="V167" s="340">
        <f>+SUMIF('Mov_Analizados_May 26'!$I$10:$I$1205,Resumen_Base!E167,'Mov_Analizados_May 26'!$K$10:$K$1205)</f>
        <v>0</v>
      </c>
      <c r="X167" s="339">
        <f t="shared" ca="1" si="11"/>
        <v>0</v>
      </c>
      <c r="Y167" s="340">
        <f t="shared" ca="1" si="12"/>
        <v>0</v>
      </c>
    </row>
    <row r="168" spans="1:26">
      <c r="A168" s="4" t="str">
        <f>+VLOOKUP(C168,'Plan Cuentas Link Armado'!$A$3:$D$105,4,0)</f>
        <v>Food &amp; Wine</v>
      </c>
      <c r="C168" s="308" t="s">
        <v>45</v>
      </c>
      <c r="D168" s="4" t="s">
        <v>44</v>
      </c>
      <c r="E168" s="4" t="s">
        <v>177</v>
      </c>
      <c r="G168" s="4" t="str">
        <f>+VLOOKUP(C168,'Plan Cuentas Link Armado'!$A$3:$D$105,4,0)</f>
        <v>Food &amp; Wine</v>
      </c>
      <c r="I168" s="339">
        <f ca="1">+SUMIF('Mov_Analizados_Sept25 - Dic25'!$H$10:$I$1051,Resumen_Base!E168,'Mov_Analizados_Sept25 - Dic25'!$I$10:$I$1051)</f>
        <v>0</v>
      </c>
      <c r="J168" s="340">
        <f ca="1">+SUMIF('Mov_Analizados_Sept25 - Dic25'!$H$10:$J$1051,Resumen_Base!E168,'Mov_Analizados_Sept25 - Dic25'!$J$10:$J$1051)</f>
        <v>0</v>
      </c>
      <c r="L168" s="339">
        <f>+SUMIF('Mov_Analizados_Ene 26'!$H$10:$H$330,Resumen_Base!E168,'Mov_Analizados_Ene 26'!$I$10:$I$330)</f>
        <v>0</v>
      </c>
      <c r="M168" s="340">
        <f>+SUMIF('Mov_Analizados_Ene 26'!$H$10:$H$330,Resumen_Base!E168,'Mov_Analizados_Ene 26'!$J$10:$J$330)</f>
        <v>0</v>
      </c>
      <c r="O168" s="339">
        <f>+SUMIF('Mov_Analizados_Feb - Mar 26'!$H$10:$H$1378,Resumen_Base!E168,'Mov_Analizados_Feb - Mar 26'!$I$10:$I$1378)</f>
        <v>0</v>
      </c>
      <c r="P168" s="340">
        <f>+SUMIF('Mov_Analizados_Feb - Mar 26'!$H$10:$H$1378,Resumen_Base!E168,'Mov_Analizados_Feb - Mar 26'!$J$10:$J$1378)</f>
        <v>0</v>
      </c>
      <c r="R168" s="339">
        <f>+SUMIF('Mov_Analizados_Abr 26'!$I$10:$I$862,Resumen_Base!E168,'Mov_Analizados_Abr 26'!$J$10:$J$862)</f>
        <v>0</v>
      </c>
      <c r="S168" s="340">
        <f>+SUMIF('Mov_Analizados_Abr 26'!$I$10:$I$862,Resumen_Base!E168,'Mov_Analizados_Abr 26'!$K$10:$K$862)</f>
        <v>0</v>
      </c>
      <c r="U168" s="339">
        <f>+SUMIF('Mov_Analizados_May 26'!$I$10:$I$1205,Resumen_Base!E168,'Mov_Analizados_May 26'!$J$10:$J$1205)</f>
        <v>0</v>
      </c>
      <c r="V168" s="340">
        <f>+SUMIF('Mov_Analizados_May 26'!$I$10:$I$1205,Resumen_Base!E168,'Mov_Analizados_May 26'!$K$10:$K$1205)</f>
        <v>0</v>
      </c>
      <c r="X168" s="339">
        <f t="shared" ca="1" si="11"/>
        <v>0</v>
      </c>
      <c r="Y168" s="340">
        <f t="shared" ca="1" si="12"/>
        <v>0</v>
      </c>
      <c r="Z168" s="346">
        <f ca="1">+Y168+Y169+Y171</f>
        <v>0</v>
      </c>
    </row>
    <row r="169" spans="1:26">
      <c r="A169" s="4" t="str">
        <f>+VLOOKUP(C169,'Plan Cuentas Link Armado'!$A$3:$D$105,4,0)</f>
        <v>Food &amp; Wine</v>
      </c>
      <c r="C169" s="308" t="s">
        <v>37</v>
      </c>
      <c r="D169" s="4" t="s">
        <v>36</v>
      </c>
      <c r="E169" s="4" t="s">
        <v>178</v>
      </c>
      <c r="G169" s="4" t="str">
        <f>+VLOOKUP(C169,'Plan Cuentas Link Armado'!$A$3:$D$105,4,0)</f>
        <v>Food &amp; Wine</v>
      </c>
      <c r="I169" s="339">
        <f ca="1">+SUMIF('Mov_Analizados_Sept25 - Dic25'!$H$10:$I$1051,Resumen_Base!E169,'Mov_Analizados_Sept25 - Dic25'!$I$10:$I$1051)</f>
        <v>0</v>
      </c>
      <c r="J169" s="340">
        <f ca="1">+SUMIF('Mov_Analizados_Sept25 - Dic25'!$H$10:$J$1051,Resumen_Base!E169,'Mov_Analizados_Sept25 - Dic25'!$J$10:$J$1051)</f>
        <v>0</v>
      </c>
      <c r="L169" s="339">
        <f>+SUMIF('Mov_Analizados_Ene 26'!$H$10:$H$330,Resumen_Base!E169,'Mov_Analizados_Ene 26'!$I$10:$I$330)</f>
        <v>0</v>
      </c>
      <c r="M169" s="340">
        <f>+SUMIF('Mov_Analizados_Ene 26'!$H$10:$H$330,Resumen_Base!E169,'Mov_Analizados_Ene 26'!$J$10:$J$330)</f>
        <v>0</v>
      </c>
      <c r="O169" s="339">
        <f>+SUMIF('Mov_Analizados_Feb - Mar 26'!$H$10:$H$1378,Resumen_Base!E169,'Mov_Analizados_Feb - Mar 26'!$I$10:$I$1378)</f>
        <v>0</v>
      </c>
      <c r="P169" s="340">
        <f>+SUMIF('Mov_Analizados_Feb - Mar 26'!$H$10:$H$1378,Resumen_Base!E169,'Mov_Analizados_Feb - Mar 26'!$J$10:$J$1378)</f>
        <v>0</v>
      </c>
      <c r="R169" s="339">
        <f>+SUMIF('Mov_Analizados_Abr 26'!$I$10:$I$862,Resumen_Base!E169,'Mov_Analizados_Abr 26'!$J$10:$J$862)</f>
        <v>0</v>
      </c>
      <c r="S169" s="340">
        <f>+SUMIF('Mov_Analizados_Abr 26'!$I$10:$I$862,Resumen_Base!E169,'Mov_Analizados_Abr 26'!$K$10:$K$862)</f>
        <v>0</v>
      </c>
      <c r="U169" s="339">
        <f>+SUMIF('Mov_Analizados_May 26'!$I$10:$I$1205,Resumen_Base!E169,'Mov_Analizados_May 26'!$J$10:$J$1205)</f>
        <v>0</v>
      </c>
      <c r="V169" s="340">
        <f>+SUMIF('Mov_Analizados_May 26'!$I$10:$I$1205,Resumen_Base!E169,'Mov_Analizados_May 26'!$K$10:$K$1205)</f>
        <v>0</v>
      </c>
      <c r="X169" s="339">
        <f t="shared" ca="1" si="11"/>
        <v>0</v>
      </c>
      <c r="Y169" s="340">
        <f t="shared" ca="1" si="12"/>
        <v>0</v>
      </c>
    </row>
    <row r="170" spans="1:26">
      <c r="A170" s="4" t="str">
        <f>+VLOOKUP(C170,'Plan Cuentas Link Armado'!$A$3:$D$105,4,0)</f>
        <v>Food &amp; Wine</v>
      </c>
      <c r="C170" s="308" t="s">
        <v>248</v>
      </c>
      <c r="D170" s="4" t="s">
        <v>249</v>
      </c>
      <c r="E170" s="152" t="s">
        <v>250</v>
      </c>
      <c r="G170" s="4" t="str">
        <f>+VLOOKUP(C170,'Plan Cuentas Link Armado'!$A$3:$D$105,4,0)</f>
        <v>Food &amp; Wine</v>
      </c>
      <c r="I170" s="339">
        <f ca="1">+SUMIF('Mov_Analizados_Sept25 - Dic25'!$H$10:$I$1051,Resumen_Base!E170,'Mov_Analizados_Sept25 - Dic25'!$I$10:$I$1051)</f>
        <v>0</v>
      </c>
      <c r="J170" s="340">
        <f ca="1">+SUMIF('Mov_Analizados_Sept25 - Dic25'!$H$10:$J$1051,Resumen_Base!E170,'Mov_Analizados_Sept25 - Dic25'!$J$10:$J$1051)</f>
        <v>0</v>
      </c>
      <c r="L170" s="339">
        <f>+SUMIF('Mov_Analizados_Ene 26'!$H$10:$H$330,Resumen_Base!E170,'Mov_Analizados_Ene 26'!$I$10:$I$330)</f>
        <v>0</v>
      </c>
      <c r="M170" s="340">
        <f>+SUMIF('Mov_Analizados_Ene 26'!$H$10:$H$330,Resumen_Base!E170,'Mov_Analizados_Ene 26'!$J$10:$J$330)</f>
        <v>0</v>
      </c>
      <c r="O170" s="339">
        <f>+SUMIF('Mov_Analizados_Feb - Mar 26'!$H$10:$H$1378,Resumen_Base!E170,'Mov_Analizados_Feb - Mar 26'!$I$10:$I$1378)</f>
        <v>0</v>
      </c>
      <c r="P170" s="340">
        <f>+SUMIF('Mov_Analizados_Feb - Mar 26'!$H$10:$H$1378,Resumen_Base!E170,'Mov_Analizados_Feb - Mar 26'!$J$10:$J$1378)</f>
        <v>0</v>
      </c>
      <c r="R170" s="339">
        <f>+SUMIF('Mov_Analizados_Abr 26'!$I$10:$I$862,Resumen_Base!E170,'Mov_Analizados_Abr 26'!$J$10:$J$862)</f>
        <v>0</v>
      </c>
      <c r="S170" s="340">
        <f>+SUMIF('Mov_Analizados_Abr 26'!$I$10:$I$862,Resumen_Base!E170,'Mov_Analizados_Abr 26'!$K$10:$K$862)</f>
        <v>0</v>
      </c>
      <c r="U170" s="339">
        <f>+SUMIF('Mov_Analizados_May 26'!$I$10:$I$1205,Resumen_Base!E170,'Mov_Analizados_May 26'!$J$10:$J$1205)</f>
        <v>0</v>
      </c>
      <c r="V170" s="340">
        <f>+SUMIF('Mov_Analizados_May 26'!$I$10:$I$1205,Resumen_Base!E170,'Mov_Analizados_May 26'!$K$10:$K$1205)</f>
        <v>0</v>
      </c>
      <c r="X170" s="339">
        <f t="shared" ca="1" si="11"/>
        <v>0</v>
      </c>
      <c r="Y170" s="340">
        <f t="shared" ca="1" si="12"/>
        <v>0</v>
      </c>
    </row>
    <row r="171" spans="1:26">
      <c r="A171" s="4" t="str">
        <f>+VLOOKUP(C171,'Plan Cuentas Link Armado'!$A$3:$D$105,4,0)</f>
        <v>Food &amp; Wine</v>
      </c>
      <c r="C171" s="308" t="s">
        <v>35</v>
      </c>
      <c r="D171" s="4" t="s">
        <v>34</v>
      </c>
      <c r="E171" s="4" t="s">
        <v>179</v>
      </c>
      <c r="G171" s="4" t="str">
        <f>+VLOOKUP(C171,'Plan Cuentas Link Armado'!$A$3:$D$105,4,0)</f>
        <v>Food &amp; Wine</v>
      </c>
      <c r="I171" s="339">
        <f ca="1">+SUMIF('Mov_Analizados_Sept25 - Dic25'!$H$10:$I$1051,Resumen_Base!E171,'Mov_Analizados_Sept25 - Dic25'!$I$10:$I$1051)</f>
        <v>0</v>
      </c>
      <c r="J171" s="340">
        <f ca="1">+SUMIF('Mov_Analizados_Sept25 - Dic25'!$H$10:$J$1051,Resumen_Base!E171,'Mov_Analizados_Sept25 - Dic25'!$J$10:$J$1051)</f>
        <v>0</v>
      </c>
      <c r="L171" s="339">
        <f>+SUMIF('Mov_Analizados_Ene 26'!$H$10:$H$330,Resumen_Base!E171,'Mov_Analizados_Ene 26'!$I$10:$I$330)</f>
        <v>0</v>
      </c>
      <c r="M171" s="340">
        <f>+SUMIF('Mov_Analizados_Ene 26'!$H$10:$H$330,Resumen_Base!E171,'Mov_Analizados_Ene 26'!$J$10:$J$330)</f>
        <v>0</v>
      </c>
      <c r="O171" s="339">
        <f>+SUMIF('Mov_Analizados_Feb - Mar 26'!$H$10:$H$1378,Resumen_Base!E171,'Mov_Analizados_Feb - Mar 26'!$I$10:$I$1378)</f>
        <v>0</v>
      </c>
      <c r="P171" s="340">
        <f>+SUMIF('Mov_Analizados_Feb - Mar 26'!$H$10:$H$1378,Resumen_Base!E171,'Mov_Analizados_Feb - Mar 26'!$J$10:$J$1378)</f>
        <v>0</v>
      </c>
      <c r="R171" s="339">
        <f>+SUMIF('Mov_Analizados_Abr 26'!$I$10:$I$862,Resumen_Base!E171,'Mov_Analizados_Abr 26'!$J$10:$J$862)</f>
        <v>0</v>
      </c>
      <c r="S171" s="340">
        <f>+SUMIF('Mov_Analizados_Abr 26'!$I$10:$I$862,Resumen_Base!E171,'Mov_Analizados_Abr 26'!$K$10:$K$862)</f>
        <v>0</v>
      </c>
      <c r="U171" s="339">
        <f>+SUMIF('Mov_Analizados_May 26'!$I$10:$I$1205,Resumen_Base!E171,'Mov_Analizados_May 26'!$J$10:$J$1205)</f>
        <v>0</v>
      </c>
      <c r="V171" s="340">
        <f>+SUMIF('Mov_Analizados_May 26'!$I$10:$I$1205,Resumen_Base!E171,'Mov_Analizados_May 26'!$K$10:$K$1205)</f>
        <v>0</v>
      </c>
      <c r="X171" s="339">
        <f t="shared" ca="1" si="11"/>
        <v>0</v>
      </c>
      <c r="Y171" s="340">
        <f t="shared" ca="1" si="12"/>
        <v>0</v>
      </c>
    </row>
    <row r="172" spans="1:26">
      <c r="A172" s="4" t="str">
        <f>+VLOOKUP(C172,'Plan Cuentas Link Armado'!$A$3:$D$105,4,0)</f>
        <v>Communications - Phone, internet and satellite TV</v>
      </c>
      <c r="C172" s="308" t="s">
        <v>56</v>
      </c>
      <c r="D172" s="4" t="s">
        <v>57</v>
      </c>
      <c r="E172" s="4" t="s">
        <v>180</v>
      </c>
      <c r="G172" s="4" t="str">
        <f>+VLOOKUP(C172,'Plan Cuentas Link Armado'!$A$3:$D$105,4,0)</f>
        <v>Communications - Phone, internet and satellite TV</v>
      </c>
      <c r="I172" s="339">
        <f ca="1">+SUMIF('Mov_Analizados_Sept25 - Dic25'!$H$10:$I$1051,Resumen_Base!E172,'Mov_Analizados_Sept25 - Dic25'!$I$10:$I$1051)</f>
        <v>0</v>
      </c>
      <c r="J172" s="340">
        <f ca="1">+SUMIF('Mov_Analizados_Sept25 - Dic25'!$H$10:$J$1051,Resumen_Base!E172,'Mov_Analizados_Sept25 - Dic25'!$J$10:$J$1051)</f>
        <v>0</v>
      </c>
      <c r="L172" s="339">
        <f>+SUMIF('Mov_Analizados_Ene 26'!$H$10:$H$330,Resumen_Base!E172,'Mov_Analizados_Ene 26'!$I$10:$I$330)</f>
        <v>0</v>
      </c>
      <c r="M172" s="340">
        <f>+SUMIF('Mov_Analizados_Ene 26'!$H$10:$H$330,Resumen_Base!E172,'Mov_Analizados_Ene 26'!$J$10:$J$330)</f>
        <v>0</v>
      </c>
      <c r="O172" s="339">
        <f>+SUMIF('Mov_Analizados_Feb - Mar 26'!$H$10:$H$1378,Resumen_Base!E172,'Mov_Analizados_Feb - Mar 26'!$I$10:$I$1378)</f>
        <v>0</v>
      </c>
      <c r="P172" s="340">
        <f>+SUMIF('Mov_Analizados_Feb - Mar 26'!$H$10:$H$1378,Resumen_Base!E172,'Mov_Analizados_Feb - Mar 26'!$J$10:$J$1378)</f>
        <v>0</v>
      </c>
      <c r="R172" s="339">
        <f>+SUMIF('Mov_Analizados_Abr 26'!$I$10:$I$862,Resumen_Base!E172,'Mov_Analizados_Abr 26'!$J$10:$J$862)</f>
        <v>0</v>
      </c>
      <c r="S172" s="340">
        <f>+SUMIF('Mov_Analizados_Abr 26'!$I$10:$I$862,Resumen_Base!E172,'Mov_Analizados_Abr 26'!$K$10:$K$862)</f>
        <v>0</v>
      </c>
      <c r="U172" s="339">
        <f>+SUMIF('Mov_Analizados_May 26'!$I$10:$I$1205,Resumen_Base!E172,'Mov_Analizados_May 26'!$J$10:$J$1205)</f>
        <v>0</v>
      </c>
      <c r="V172" s="340">
        <f>+SUMIF('Mov_Analizados_May 26'!$I$10:$I$1205,Resumen_Base!E172,'Mov_Analizados_May 26'!$K$10:$K$1205)</f>
        <v>0</v>
      </c>
      <c r="X172" s="339">
        <f t="shared" ca="1" si="11"/>
        <v>0</v>
      </c>
      <c r="Y172" s="340">
        <f t="shared" ca="1" si="12"/>
        <v>0</v>
      </c>
    </row>
    <row r="173" spans="1:26">
      <c r="A173" s="4" t="str">
        <f>+VLOOKUP(C173,'Plan Cuentas Link Armado'!$A$3:$D$105,4,0)</f>
        <v>Communications - Phone, internet and satellite TV</v>
      </c>
      <c r="C173" s="308" t="s">
        <v>72</v>
      </c>
      <c r="D173" s="4" t="s">
        <v>73</v>
      </c>
      <c r="E173" s="4" t="s">
        <v>181</v>
      </c>
      <c r="G173" s="4" t="str">
        <f>+VLOOKUP(C173,'Plan Cuentas Link Armado'!$A$3:$D$105,4,0)</f>
        <v>Communications - Phone, internet and satellite TV</v>
      </c>
      <c r="I173" s="339">
        <f ca="1">+SUMIF('Mov_Analizados_Sept25 - Dic25'!$H$10:$I$1051,Resumen_Base!E173,'Mov_Analizados_Sept25 - Dic25'!$I$10:$I$1051)</f>
        <v>0</v>
      </c>
      <c r="J173" s="340">
        <f ca="1">+SUMIF('Mov_Analizados_Sept25 - Dic25'!$H$10:$J$1051,Resumen_Base!E173,'Mov_Analizados_Sept25 - Dic25'!$J$10:$J$1051)</f>
        <v>0</v>
      </c>
      <c r="L173" s="339">
        <f>+SUMIF('Mov_Analizados_Ene 26'!$H$10:$H$330,Resumen_Base!E173,'Mov_Analizados_Ene 26'!$I$10:$I$330)</f>
        <v>0</v>
      </c>
      <c r="M173" s="340">
        <f>+SUMIF('Mov_Analizados_Ene 26'!$H$10:$H$330,Resumen_Base!E173,'Mov_Analizados_Ene 26'!$J$10:$J$330)</f>
        <v>0</v>
      </c>
      <c r="O173" s="339">
        <f>+SUMIF('Mov_Analizados_Feb - Mar 26'!$H$10:$H$1378,Resumen_Base!E173,'Mov_Analizados_Feb - Mar 26'!$I$10:$I$1378)</f>
        <v>0</v>
      </c>
      <c r="P173" s="340">
        <f>+SUMIF('Mov_Analizados_Feb - Mar 26'!$H$10:$H$1378,Resumen_Base!E173,'Mov_Analizados_Feb - Mar 26'!$J$10:$J$1378)</f>
        <v>0</v>
      </c>
      <c r="R173" s="339">
        <f>+SUMIF('Mov_Analizados_Abr 26'!$I$10:$I$862,Resumen_Base!E173,'Mov_Analizados_Abr 26'!$J$10:$J$862)</f>
        <v>0</v>
      </c>
      <c r="S173" s="340">
        <f>+SUMIF('Mov_Analizados_Abr 26'!$I$10:$I$862,Resumen_Base!E173,'Mov_Analizados_Abr 26'!$K$10:$K$862)</f>
        <v>0</v>
      </c>
      <c r="U173" s="339">
        <f>+SUMIF('Mov_Analizados_May 26'!$I$10:$I$1205,Resumen_Base!E173,'Mov_Analizados_May 26'!$J$10:$J$1205)</f>
        <v>0</v>
      </c>
      <c r="V173" s="340">
        <f>+SUMIF('Mov_Analizados_May 26'!$I$10:$I$1205,Resumen_Base!E173,'Mov_Analizados_May 26'!$K$10:$K$1205)</f>
        <v>0</v>
      </c>
      <c r="X173" s="339">
        <f t="shared" ca="1" si="11"/>
        <v>0</v>
      </c>
      <c r="Y173" s="340">
        <f t="shared" ca="1" si="12"/>
        <v>0</v>
      </c>
    </row>
    <row r="174" spans="1:26">
      <c r="A174" s="4" t="str">
        <f>+VLOOKUP(C174,'Plan Cuentas Link Armado'!$A$3:$D$105,4,0)</f>
        <v>Electricity</v>
      </c>
      <c r="C174" s="308" t="s">
        <v>41</v>
      </c>
      <c r="D174" s="4" t="s">
        <v>40</v>
      </c>
      <c r="E174" s="4" t="s">
        <v>182</v>
      </c>
      <c r="G174" s="4" t="str">
        <f>+VLOOKUP(C174,'Plan Cuentas Link Armado'!$A$3:$D$105,4,0)</f>
        <v>Electricity</v>
      </c>
      <c r="I174" s="339">
        <f ca="1">+SUMIF('Mov_Analizados_Sept25 - Dic25'!$H$10:$I$1051,Resumen_Base!E174,'Mov_Analizados_Sept25 - Dic25'!$I$10:$I$1051)</f>
        <v>0</v>
      </c>
      <c r="J174" s="340">
        <f ca="1">+SUMIF('Mov_Analizados_Sept25 - Dic25'!$H$10:$J$1051,Resumen_Base!E174,'Mov_Analizados_Sept25 - Dic25'!$J$10:$J$1051)</f>
        <v>0</v>
      </c>
      <c r="L174" s="339">
        <f>+SUMIF('Mov_Analizados_Ene 26'!$H$10:$H$330,Resumen_Base!E174,'Mov_Analizados_Ene 26'!$I$10:$I$330)</f>
        <v>0</v>
      </c>
      <c r="M174" s="340">
        <f>+SUMIF('Mov_Analizados_Ene 26'!$H$10:$H$330,Resumen_Base!E174,'Mov_Analizados_Ene 26'!$J$10:$J$330)</f>
        <v>0</v>
      </c>
      <c r="O174" s="339">
        <f>+SUMIF('Mov_Analizados_Feb - Mar 26'!$H$10:$H$1378,Resumen_Base!E174,'Mov_Analizados_Feb - Mar 26'!$I$10:$I$1378)</f>
        <v>0</v>
      </c>
      <c r="P174" s="340">
        <f>+SUMIF('Mov_Analizados_Feb - Mar 26'!$H$10:$H$1378,Resumen_Base!E174,'Mov_Analizados_Feb - Mar 26'!$J$10:$J$1378)</f>
        <v>0</v>
      </c>
      <c r="R174" s="339">
        <f>+SUMIF('Mov_Analizados_Abr 26'!$I$10:$I$862,Resumen_Base!E174,'Mov_Analizados_Abr 26'!$J$10:$J$862)</f>
        <v>0</v>
      </c>
      <c r="S174" s="340">
        <f>+SUMIF('Mov_Analizados_Abr 26'!$I$10:$I$862,Resumen_Base!E174,'Mov_Analizados_Abr 26'!$K$10:$K$862)</f>
        <v>0</v>
      </c>
      <c r="U174" s="339">
        <f>+SUMIF('Mov_Analizados_May 26'!$I$10:$I$1205,Resumen_Base!E174,'Mov_Analizados_May 26'!$J$10:$J$1205)</f>
        <v>0</v>
      </c>
      <c r="V174" s="340">
        <f>+SUMIF('Mov_Analizados_May 26'!$I$10:$I$1205,Resumen_Base!E174,'Mov_Analizados_May 26'!$K$10:$K$1205)</f>
        <v>0</v>
      </c>
      <c r="X174" s="339">
        <f t="shared" ca="1" si="11"/>
        <v>0</v>
      </c>
      <c r="Y174" s="340">
        <f t="shared" ca="1" si="12"/>
        <v>0</v>
      </c>
    </row>
    <row r="175" spans="1:26">
      <c r="A175" s="4" t="str">
        <f>+VLOOKUP(C175,'Plan Cuentas Link Armado'!$A$3:$D$105,4,0)</f>
        <v>Propane</v>
      </c>
      <c r="C175" s="308" t="s">
        <v>39</v>
      </c>
      <c r="D175" s="4" t="s">
        <v>38</v>
      </c>
      <c r="E175" s="4" t="s">
        <v>183</v>
      </c>
      <c r="G175" s="4" t="str">
        <f>+VLOOKUP(C175,'Plan Cuentas Link Armado'!$A$3:$D$105,4,0)</f>
        <v>Propane</v>
      </c>
      <c r="I175" s="339">
        <f ca="1">+SUMIF('Mov_Analizados_Sept25 - Dic25'!$H$10:$I$1051,Resumen_Base!E175,'Mov_Analizados_Sept25 - Dic25'!$I$10:$I$1051)</f>
        <v>0</v>
      </c>
      <c r="J175" s="340">
        <f ca="1">+SUMIF('Mov_Analizados_Sept25 - Dic25'!$H$10:$J$1051,Resumen_Base!E175,'Mov_Analizados_Sept25 - Dic25'!$J$10:$J$1051)</f>
        <v>0</v>
      </c>
      <c r="L175" s="339">
        <f>+SUMIF('Mov_Analizados_Ene 26'!$H$10:$H$330,Resumen_Base!E175,'Mov_Analizados_Ene 26'!$I$10:$I$330)</f>
        <v>0</v>
      </c>
      <c r="M175" s="340">
        <f>+SUMIF('Mov_Analizados_Ene 26'!$H$10:$H$330,Resumen_Base!E175,'Mov_Analizados_Ene 26'!$J$10:$J$330)</f>
        <v>0</v>
      </c>
      <c r="O175" s="339">
        <f>+SUMIF('Mov_Analizados_Feb - Mar 26'!$H$10:$H$1378,Resumen_Base!E175,'Mov_Analizados_Feb - Mar 26'!$I$10:$I$1378)</f>
        <v>0</v>
      </c>
      <c r="P175" s="340">
        <f>+SUMIF('Mov_Analizados_Feb - Mar 26'!$H$10:$H$1378,Resumen_Base!E175,'Mov_Analizados_Feb - Mar 26'!$J$10:$J$1378)</f>
        <v>0</v>
      </c>
      <c r="R175" s="339">
        <f>+SUMIF('Mov_Analizados_Abr 26'!$I$10:$I$862,Resumen_Base!E175,'Mov_Analizados_Abr 26'!$J$10:$J$862)</f>
        <v>0</v>
      </c>
      <c r="S175" s="340">
        <f>+SUMIF('Mov_Analizados_Abr 26'!$I$10:$I$862,Resumen_Base!E175,'Mov_Analizados_Abr 26'!$K$10:$K$862)</f>
        <v>0</v>
      </c>
      <c r="U175" s="339">
        <f>+SUMIF('Mov_Analizados_May 26'!$I$10:$I$1205,Resumen_Base!E175,'Mov_Analizados_May 26'!$J$10:$J$1205)</f>
        <v>0</v>
      </c>
      <c r="V175" s="340">
        <f>+SUMIF('Mov_Analizados_May 26'!$I$10:$I$1205,Resumen_Base!E175,'Mov_Analizados_May 26'!$K$10:$K$1205)</f>
        <v>0</v>
      </c>
      <c r="X175" s="339">
        <f t="shared" ca="1" si="11"/>
        <v>0</v>
      </c>
      <c r="Y175" s="340">
        <f t="shared" ca="1" si="12"/>
        <v>0</v>
      </c>
    </row>
    <row r="176" spans="1:26">
      <c r="A176" s="4" t="str">
        <f>+VLOOKUP(C176,'Plan Cuentas Link Armado'!$A$3:$D$105,4,0)</f>
        <v>Maintenance Lodge</v>
      </c>
      <c r="C176" s="308" t="s">
        <v>33</v>
      </c>
      <c r="D176" s="4" t="s">
        <v>32</v>
      </c>
      <c r="E176" s="4" t="s">
        <v>184</v>
      </c>
      <c r="G176" s="4" t="str">
        <f>+VLOOKUP(C176,'Plan Cuentas Link Armado'!$A$3:$D$105,4,0)</f>
        <v>Maintenance Lodge</v>
      </c>
      <c r="I176" s="339">
        <f ca="1">+SUMIF('Mov_Analizados_Sept25 - Dic25'!$H$10:$I$1051,Resumen_Base!E176,'Mov_Analizados_Sept25 - Dic25'!$I$10:$I$1051)</f>
        <v>0</v>
      </c>
      <c r="J176" s="340">
        <f ca="1">+SUMIF('Mov_Analizados_Sept25 - Dic25'!$H$10:$J$1051,Resumen_Base!E176,'Mov_Analizados_Sept25 - Dic25'!$J$10:$J$1051)</f>
        <v>0</v>
      </c>
      <c r="L176" s="339">
        <f>+SUMIF('Mov_Analizados_Ene 26'!$H$10:$H$330,Resumen_Base!E176,'Mov_Analizados_Ene 26'!$I$10:$I$330)</f>
        <v>0</v>
      </c>
      <c r="M176" s="340">
        <f>+SUMIF('Mov_Analizados_Ene 26'!$H$10:$H$330,Resumen_Base!E176,'Mov_Analizados_Ene 26'!$J$10:$J$330)</f>
        <v>0</v>
      </c>
      <c r="O176" s="339">
        <f>+SUMIF('Mov_Analizados_Feb - Mar 26'!$H$10:$H$1378,Resumen_Base!E176,'Mov_Analizados_Feb - Mar 26'!$I$10:$I$1378)</f>
        <v>0</v>
      </c>
      <c r="P176" s="340">
        <f>+SUMIF('Mov_Analizados_Feb - Mar 26'!$H$10:$H$1378,Resumen_Base!E176,'Mov_Analizados_Feb - Mar 26'!$J$10:$J$1378)</f>
        <v>0</v>
      </c>
      <c r="R176" s="339">
        <f>+SUMIF('Mov_Analizados_Abr 26'!$I$10:$I$862,Resumen_Base!E176,'Mov_Analizados_Abr 26'!$J$10:$J$862)</f>
        <v>0</v>
      </c>
      <c r="S176" s="340">
        <f>+SUMIF('Mov_Analizados_Abr 26'!$I$10:$I$862,Resumen_Base!E176,'Mov_Analizados_Abr 26'!$K$10:$K$862)</f>
        <v>0</v>
      </c>
      <c r="U176" s="339">
        <f>+SUMIF('Mov_Analizados_May 26'!$I$10:$I$1205,Resumen_Base!E176,'Mov_Analizados_May 26'!$J$10:$J$1205)</f>
        <v>0</v>
      </c>
      <c r="V176" s="340">
        <f>+SUMIF('Mov_Analizados_May 26'!$I$10:$I$1205,Resumen_Base!E176,'Mov_Analizados_May 26'!$K$10:$K$1205)</f>
        <v>0</v>
      </c>
      <c r="X176" s="339">
        <f t="shared" ca="1" si="11"/>
        <v>0</v>
      </c>
      <c r="Y176" s="340">
        <f t="shared" ca="1" si="12"/>
        <v>0</v>
      </c>
    </row>
    <row r="177" spans="1:25">
      <c r="A177" s="4" t="str">
        <f>+VLOOKUP(C177,'Plan Cuentas Link Armado'!$A$3:$D$105,4,0)</f>
        <v>Maintenance Lodge</v>
      </c>
      <c r="C177" s="308" t="s">
        <v>261</v>
      </c>
      <c r="D177" s="4" t="s">
        <v>262</v>
      </c>
      <c r="E177" s="152" t="s">
        <v>263</v>
      </c>
      <c r="G177" s="4" t="str">
        <f>+VLOOKUP(C177,'Plan Cuentas Link Armado'!$A$3:$D$105,4,0)</f>
        <v>Maintenance Lodge</v>
      </c>
      <c r="I177" s="339">
        <f ca="1">+SUMIF('Mov_Analizados_Sept25 - Dic25'!$H$10:$I$1051,Resumen_Base!E177,'Mov_Analizados_Sept25 - Dic25'!$I$10:$I$1051)</f>
        <v>0</v>
      </c>
      <c r="J177" s="340">
        <f ca="1">+SUMIF('Mov_Analizados_Sept25 - Dic25'!$H$10:$J$1051,Resumen_Base!E177,'Mov_Analizados_Sept25 - Dic25'!$J$10:$J$1051)</f>
        <v>0</v>
      </c>
      <c r="L177" s="339">
        <f>+SUMIF('Mov_Analizados_Ene 26'!$H$10:$H$330,Resumen_Base!E177,'Mov_Analizados_Ene 26'!$I$10:$I$330)</f>
        <v>0</v>
      </c>
      <c r="M177" s="340">
        <f>+SUMIF('Mov_Analizados_Ene 26'!$H$10:$H$330,Resumen_Base!E177,'Mov_Analizados_Ene 26'!$J$10:$J$330)</f>
        <v>0</v>
      </c>
      <c r="O177" s="339">
        <f>+SUMIF('Mov_Analizados_Feb - Mar 26'!$H$10:$H$1378,Resumen_Base!E177,'Mov_Analizados_Feb - Mar 26'!$I$10:$I$1378)</f>
        <v>0</v>
      </c>
      <c r="P177" s="340">
        <f>+SUMIF('Mov_Analizados_Feb - Mar 26'!$H$10:$H$1378,Resumen_Base!E177,'Mov_Analizados_Feb - Mar 26'!$J$10:$J$1378)</f>
        <v>0</v>
      </c>
      <c r="R177" s="339">
        <f>+SUMIF('Mov_Analizados_Abr 26'!$I$10:$I$862,Resumen_Base!E177,'Mov_Analizados_Abr 26'!$J$10:$J$862)</f>
        <v>0</v>
      </c>
      <c r="S177" s="340">
        <f>+SUMIF('Mov_Analizados_Abr 26'!$I$10:$I$862,Resumen_Base!E177,'Mov_Analizados_Abr 26'!$K$10:$K$862)</f>
        <v>0</v>
      </c>
      <c r="U177" s="339">
        <f>+SUMIF('Mov_Analizados_May 26'!$I$10:$I$1205,Resumen_Base!E177,'Mov_Analizados_May 26'!$J$10:$J$1205)</f>
        <v>0</v>
      </c>
      <c r="V177" s="340">
        <f>+SUMIF('Mov_Analizados_May 26'!$I$10:$I$1205,Resumen_Base!E177,'Mov_Analizados_May 26'!$K$10:$K$1205)</f>
        <v>0</v>
      </c>
      <c r="X177" s="339">
        <f t="shared" ca="1" si="11"/>
        <v>0</v>
      </c>
      <c r="Y177" s="340">
        <f t="shared" ca="1" si="12"/>
        <v>0</v>
      </c>
    </row>
    <row r="178" spans="1:25">
      <c r="A178" s="4" t="str">
        <f>+VLOOKUP(C178,'Plan Cuentas Link Armado'!$A$3:$D$105,4,0)</f>
        <v>Miscellaneous &amp; Shipping</v>
      </c>
      <c r="C178" s="308" t="s">
        <v>43</v>
      </c>
      <c r="D178" s="4" t="s">
        <v>42</v>
      </c>
      <c r="E178" s="4" t="s">
        <v>185</v>
      </c>
      <c r="G178" s="4" t="str">
        <f>+VLOOKUP(C178,'Plan Cuentas Link Armado'!$A$3:$D$105,4,0)</f>
        <v>Miscellaneous &amp; Shipping</v>
      </c>
      <c r="I178" s="339">
        <f ca="1">+SUMIF('Mov_Analizados_Sept25 - Dic25'!$H$10:$I$1051,Resumen_Base!E178,'Mov_Analizados_Sept25 - Dic25'!$I$10:$I$1051)</f>
        <v>0</v>
      </c>
      <c r="J178" s="340">
        <f ca="1">+SUMIF('Mov_Analizados_Sept25 - Dic25'!$H$10:$J$1051,Resumen_Base!E178,'Mov_Analizados_Sept25 - Dic25'!$J$10:$J$1051)</f>
        <v>0</v>
      </c>
      <c r="L178" s="339">
        <f>+SUMIF('Mov_Analizados_Ene 26'!$H$10:$H$330,Resumen_Base!E178,'Mov_Analizados_Ene 26'!$I$10:$I$330)</f>
        <v>0</v>
      </c>
      <c r="M178" s="340">
        <f>+SUMIF('Mov_Analizados_Ene 26'!$H$10:$H$330,Resumen_Base!E178,'Mov_Analizados_Ene 26'!$J$10:$J$330)</f>
        <v>0</v>
      </c>
      <c r="O178" s="339">
        <f>+SUMIF('Mov_Analizados_Feb - Mar 26'!$H$10:$H$1378,Resumen_Base!E178,'Mov_Analizados_Feb - Mar 26'!$I$10:$I$1378)</f>
        <v>0</v>
      </c>
      <c r="P178" s="340">
        <f>+SUMIF('Mov_Analizados_Feb - Mar 26'!$H$10:$H$1378,Resumen_Base!E178,'Mov_Analizados_Feb - Mar 26'!$J$10:$J$1378)</f>
        <v>0</v>
      </c>
      <c r="R178" s="339">
        <f>+SUMIF('Mov_Analizados_Abr 26'!$I$10:$I$862,Resumen_Base!E178,'Mov_Analizados_Abr 26'!$J$10:$J$862)</f>
        <v>0</v>
      </c>
      <c r="S178" s="340">
        <f>+SUMIF('Mov_Analizados_Abr 26'!$I$10:$I$862,Resumen_Base!E178,'Mov_Analizados_Abr 26'!$K$10:$K$862)</f>
        <v>0</v>
      </c>
      <c r="U178" s="339">
        <f>+SUMIF('Mov_Analizados_May 26'!$I$10:$I$1205,Resumen_Base!E178,'Mov_Analizados_May 26'!$J$10:$J$1205)</f>
        <v>0</v>
      </c>
      <c r="V178" s="340">
        <f>+SUMIF('Mov_Analizados_May 26'!$I$10:$I$1205,Resumen_Base!E178,'Mov_Analizados_May 26'!$K$10:$K$1205)</f>
        <v>0</v>
      </c>
      <c r="X178" s="339">
        <f t="shared" ca="1" si="11"/>
        <v>0</v>
      </c>
      <c r="Y178" s="340">
        <f t="shared" ca="1" si="12"/>
        <v>0</v>
      </c>
    </row>
    <row r="179" spans="1:25">
      <c r="A179" s="4" t="str">
        <f>+VLOOKUP(C179,'Plan Cuentas Link Armado'!$A$3:$D$105,4,0)</f>
        <v>Miscellaneous &amp; Shipping</v>
      </c>
      <c r="C179" s="308" t="s">
        <v>58</v>
      </c>
      <c r="D179" s="4" t="s">
        <v>59</v>
      </c>
      <c r="E179" s="4" t="s">
        <v>186</v>
      </c>
      <c r="G179" s="4" t="str">
        <f>+VLOOKUP(C179,'Plan Cuentas Link Armado'!$A$3:$D$105,4,0)</f>
        <v>Miscellaneous &amp; Shipping</v>
      </c>
      <c r="I179" s="339">
        <f ca="1">+SUMIF('Mov_Analizados_Sept25 - Dic25'!$H$10:$I$1051,Resumen_Base!E179,'Mov_Analizados_Sept25 - Dic25'!$I$10:$I$1051)</f>
        <v>0</v>
      </c>
      <c r="J179" s="340">
        <f ca="1">+SUMIF('Mov_Analizados_Sept25 - Dic25'!$H$10:$J$1051,Resumen_Base!E179,'Mov_Analizados_Sept25 - Dic25'!$J$10:$J$1051)</f>
        <v>0</v>
      </c>
      <c r="L179" s="339">
        <f>+SUMIF('Mov_Analizados_Ene 26'!$H$10:$H$330,Resumen_Base!E179,'Mov_Analizados_Ene 26'!$I$10:$I$330)</f>
        <v>0</v>
      </c>
      <c r="M179" s="340">
        <f>+SUMIF('Mov_Analizados_Ene 26'!$H$10:$H$330,Resumen_Base!E179,'Mov_Analizados_Ene 26'!$J$10:$J$330)</f>
        <v>0</v>
      </c>
      <c r="O179" s="339">
        <f>+SUMIF('Mov_Analizados_Feb - Mar 26'!$H$10:$H$1378,Resumen_Base!E179,'Mov_Analizados_Feb - Mar 26'!$I$10:$I$1378)</f>
        <v>0</v>
      </c>
      <c r="P179" s="340">
        <f>+SUMIF('Mov_Analizados_Feb - Mar 26'!$H$10:$H$1378,Resumen_Base!E179,'Mov_Analizados_Feb - Mar 26'!$J$10:$J$1378)</f>
        <v>0</v>
      </c>
      <c r="R179" s="339">
        <f>+SUMIF('Mov_Analizados_Abr 26'!$I$10:$I$862,Resumen_Base!E179,'Mov_Analizados_Abr 26'!$J$10:$J$862)</f>
        <v>0</v>
      </c>
      <c r="S179" s="340">
        <f>+SUMIF('Mov_Analizados_Abr 26'!$I$10:$I$862,Resumen_Base!E179,'Mov_Analizados_Abr 26'!$K$10:$K$862)</f>
        <v>0</v>
      </c>
      <c r="U179" s="339">
        <f>+SUMIF('Mov_Analizados_May 26'!$I$10:$I$1205,Resumen_Base!E179,'Mov_Analizados_May 26'!$J$10:$J$1205)</f>
        <v>0</v>
      </c>
      <c r="V179" s="340">
        <f>+SUMIF('Mov_Analizados_May 26'!$I$10:$I$1205,Resumen_Base!E179,'Mov_Analizados_May 26'!$K$10:$K$1205)</f>
        <v>0</v>
      </c>
      <c r="X179" s="339">
        <f t="shared" ca="1" si="11"/>
        <v>0</v>
      </c>
      <c r="Y179" s="340">
        <f t="shared" ca="1" si="12"/>
        <v>0</v>
      </c>
    </row>
    <row r="180" spans="1:25">
      <c r="A180" s="4" t="str">
        <f>+VLOOKUP(C180,'Plan Cuentas Link Armado'!$A$3:$D$105,4,0)</f>
        <v>Miscellaneous &amp; Shipping</v>
      </c>
      <c r="C180" s="308" t="s">
        <v>244</v>
      </c>
      <c r="D180" s="4" t="s">
        <v>245</v>
      </c>
      <c r="E180" s="152" t="s">
        <v>251</v>
      </c>
      <c r="G180" s="4" t="str">
        <f>+VLOOKUP(C180,'Plan Cuentas Link Armado'!$A$3:$D$105,4,0)</f>
        <v>Miscellaneous &amp; Shipping</v>
      </c>
      <c r="I180" s="339">
        <f ca="1">+SUMIF('Mov_Analizados_Sept25 - Dic25'!$H$10:$I$1051,Resumen_Base!E180,'Mov_Analizados_Sept25 - Dic25'!$I$10:$I$1051)</f>
        <v>0</v>
      </c>
      <c r="J180" s="340">
        <f ca="1">+SUMIF('Mov_Analizados_Sept25 - Dic25'!$H$10:$J$1051,Resumen_Base!E180,'Mov_Analizados_Sept25 - Dic25'!$J$10:$J$1051)</f>
        <v>0</v>
      </c>
      <c r="L180" s="339">
        <f>+SUMIF('Mov_Analizados_Ene 26'!$H$10:$H$330,Resumen_Base!E180,'Mov_Analizados_Ene 26'!$I$10:$I$330)</f>
        <v>0</v>
      </c>
      <c r="M180" s="340">
        <f>+SUMIF('Mov_Analizados_Ene 26'!$H$10:$H$330,Resumen_Base!E180,'Mov_Analizados_Ene 26'!$J$10:$J$330)</f>
        <v>0</v>
      </c>
      <c r="O180" s="339">
        <f>+SUMIF('Mov_Analizados_Feb - Mar 26'!$H$10:$H$1378,Resumen_Base!E180,'Mov_Analizados_Feb - Mar 26'!$I$10:$I$1378)</f>
        <v>0</v>
      </c>
      <c r="P180" s="340">
        <f>+SUMIF('Mov_Analizados_Feb - Mar 26'!$H$10:$H$1378,Resumen_Base!E180,'Mov_Analizados_Feb - Mar 26'!$J$10:$J$1378)</f>
        <v>0</v>
      </c>
      <c r="R180" s="339">
        <f>+SUMIF('Mov_Analizados_Abr 26'!$I$10:$I$862,Resumen_Base!E180,'Mov_Analizados_Abr 26'!$J$10:$J$862)</f>
        <v>0</v>
      </c>
      <c r="S180" s="340">
        <f>+SUMIF('Mov_Analizados_Abr 26'!$I$10:$I$862,Resumen_Base!E180,'Mov_Analizados_Abr 26'!$K$10:$K$862)</f>
        <v>0</v>
      </c>
      <c r="U180" s="339">
        <f>+SUMIF('Mov_Analizados_May 26'!$I$10:$I$1205,Resumen_Base!E180,'Mov_Analizados_May 26'!$J$10:$J$1205)</f>
        <v>0</v>
      </c>
      <c r="V180" s="340">
        <f>+SUMIF('Mov_Analizados_May 26'!$I$10:$I$1205,Resumen_Base!E180,'Mov_Analizados_May 26'!$K$10:$K$1205)</f>
        <v>0</v>
      </c>
      <c r="X180" s="339">
        <f t="shared" ca="1" si="11"/>
        <v>0</v>
      </c>
      <c r="Y180" s="340">
        <f t="shared" ca="1" si="12"/>
        <v>0</v>
      </c>
    </row>
    <row r="181" spans="1:25">
      <c r="A181" s="4" t="str">
        <f>+VLOOKUP(C181,'Plan Cuentas Link Armado'!$A$3:$D$105,4,0)</f>
        <v>Vehicles Taxes</v>
      </c>
      <c r="C181" s="308" t="s">
        <v>29</v>
      </c>
      <c r="D181" s="4" t="s">
        <v>85</v>
      </c>
      <c r="E181" s="4" t="s">
        <v>187</v>
      </c>
      <c r="G181" s="4" t="str">
        <f>+VLOOKUP(C181,'Plan Cuentas Link Armado'!$A$3:$D$105,4,0)</f>
        <v>Vehicles Taxes</v>
      </c>
      <c r="I181" s="339">
        <f ca="1">+SUMIF('Mov_Analizados_Sept25 - Dic25'!$H$10:$I$1051,Resumen_Base!E181,'Mov_Analizados_Sept25 - Dic25'!$I$10:$I$1051)</f>
        <v>0</v>
      </c>
      <c r="J181" s="340">
        <f ca="1">+SUMIF('Mov_Analizados_Sept25 - Dic25'!$H$10:$J$1051,Resumen_Base!E181,'Mov_Analizados_Sept25 - Dic25'!$J$10:$J$1051)</f>
        <v>0</v>
      </c>
      <c r="L181" s="339">
        <f>+SUMIF('Mov_Analizados_Ene 26'!$H$10:$H$330,Resumen_Base!E181,'Mov_Analizados_Ene 26'!$I$10:$I$330)</f>
        <v>0</v>
      </c>
      <c r="M181" s="340">
        <f>+SUMIF('Mov_Analizados_Ene 26'!$H$10:$H$330,Resumen_Base!E181,'Mov_Analizados_Ene 26'!$J$10:$J$330)</f>
        <v>0</v>
      </c>
      <c r="O181" s="339">
        <f>+SUMIF('Mov_Analizados_Feb - Mar 26'!$H$10:$H$1378,Resumen_Base!E181,'Mov_Analizados_Feb - Mar 26'!$I$10:$I$1378)</f>
        <v>0</v>
      </c>
      <c r="P181" s="340">
        <f>+SUMIF('Mov_Analizados_Feb - Mar 26'!$H$10:$H$1378,Resumen_Base!E181,'Mov_Analizados_Feb - Mar 26'!$J$10:$J$1378)</f>
        <v>0</v>
      </c>
      <c r="R181" s="339">
        <f>+SUMIF('Mov_Analizados_Abr 26'!$I$10:$I$862,Resumen_Base!E181,'Mov_Analizados_Abr 26'!$J$10:$J$862)</f>
        <v>0</v>
      </c>
      <c r="S181" s="340">
        <f>+SUMIF('Mov_Analizados_Abr 26'!$I$10:$I$862,Resumen_Base!E181,'Mov_Analizados_Abr 26'!$K$10:$K$862)</f>
        <v>0</v>
      </c>
      <c r="U181" s="339">
        <f>+SUMIF('Mov_Analizados_May 26'!$I$10:$I$1205,Resumen_Base!E181,'Mov_Analizados_May 26'!$J$10:$J$1205)</f>
        <v>0</v>
      </c>
      <c r="V181" s="340">
        <f>+SUMIF('Mov_Analizados_May 26'!$I$10:$I$1205,Resumen_Base!E181,'Mov_Analizados_May 26'!$K$10:$K$1205)</f>
        <v>0</v>
      </c>
      <c r="X181" s="339">
        <f t="shared" ca="1" si="11"/>
        <v>0</v>
      </c>
      <c r="Y181" s="340">
        <f t="shared" ca="1" si="12"/>
        <v>0</v>
      </c>
    </row>
    <row r="182" spans="1:25">
      <c r="A182" s="4" t="str">
        <f>+VLOOKUP(C182,'Plan Cuentas Link Armado'!$A$3:$D$105,4,0)</f>
        <v>Miscellaneous &amp; Shipping</v>
      </c>
      <c r="C182" s="308" t="s">
        <v>28</v>
      </c>
      <c r="D182" s="4" t="s">
        <v>27</v>
      </c>
      <c r="E182" s="4" t="s">
        <v>188</v>
      </c>
      <c r="G182" s="4" t="str">
        <f>+VLOOKUP(C182,'Plan Cuentas Link Armado'!$A$3:$D$105,4,0)</f>
        <v>Miscellaneous &amp; Shipping</v>
      </c>
      <c r="I182" s="339">
        <f ca="1">+SUMIF('Mov_Analizados_Sept25 - Dic25'!$H$10:$I$1051,Resumen_Base!E182,'Mov_Analizados_Sept25 - Dic25'!$I$10:$I$1051)</f>
        <v>0</v>
      </c>
      <c r="J182" s="340">
        <f ca="1">+SUMIF('Mov_Analizados_Sept25 - Dic25'!$H$10:$J$1051,Resumen_Base!E182,'Mov_Analizados_Sept25 - Dic25'!$J$10:$J$1051)</f>
        <v>0</v>
      </c>
      <c r="L182" s="339">
        <f>+SUMIF('Mov_Analizados_Ene 26'!$H$10:$H$330,Resumen_Base!E182,'Mov_Analizados_Ene 26'!$I$10:$I$330)</f>
        <v>0</v>
      </c>
      <c r="M182" s="340">
        <f>+SUMIF('Mov_Analizados_Ene 26'!$H$10:$H$330,Resumen_Base!E182,'Mov_Analizados_Ene 26'!$J$10:$J$330)</f>
        <v>0</v>
      </c>
      <c r="O182" s="339">
        <f>+SUMIF('Mov_Analizados_Feb - Mar 26'!$H$10:$H$1378,Resumen_Base!E182,'Mov_Analizados_Feb - Mar 26'!$I$10:$I$1378)</f>
        <v>0</v>
      </c>
      <c r="P182" s="340">
        <f>+SUMIF('Mov_Analizados_Feb - Mar 26'!$H$10:$H$1378,Resumen_Base!E182,'Mov_Analizados_Feb - Mar 26'!$J$10:$J$1378)</f>
        <v>0</v>
      </c>
      <c r="R182" s="339">
        <f>+SUMIF('Mov_Analizados_Abr 26'!$I$10:$I$862,Resumen_Base!E182,'Mov_Analizados_Abr 26'!$J$10:$J$862)</f>
        <v>0</v>
      </c>
      <c r="S182" s="340">
        <f>+SUMIF('Mov_Analizados_Abr 26'!$I$10:$I$862,Resumen_Base!E182,'Mov_Analizados_Abr 26'!$K$10:$K$862)</f>
        <v>0</v>
      </c>
      <c r="U182" s="339">
        <f>+SUMIF('Mov_Analizados_May 26'!$I$10:$I$1205,Resumen_Base!E182,'Mov_Analizados_May 26'!$J$10:$J$1205)</f>
        <v>0</v>
      </c>
      <c r="V182" s="340">
        <f>+SUMIF('Mov_Analizados_May 26'!$I$10:$I$1205,Resumen_Base!E182,'Mov_Analizados_May 26'!$K$10:$K$1205)</f>
        <v>0</v>
      </c>
      <c r="X182" s="339">
        <f t="shared" ca="1" si="11"/>
        <v>0</v>
      </c>
      <c r="Y182" s="340">
        <f t="shared" ca="1" si="12"/>
        <v>0</v>
      </c>
    </row>
    <row r="183" spans="1:25">
      <c r="A183" s="4" t="str">
        <f>+VLOOKUP(C183,'Plan Cuentas Link Armado'!$A$3:$D$105,4,0)</f>
        <v>Electricity</v>
      </c>
      <c r="C183" s="308" t="s">
        <v>70</v>
      </c>
      <c r="D183" s="4" t="s">
        <v>71</v>
      </c>
      <c r="E183" s="4" t="s">
        <v>189</v>
      </c>
      <c r="G183" s="4" t="str">
        <f>+VLOOKUP(C183,'Plan Cuentas Link Armado'!$A$3:$D$105,4,0)</f>
        <v>Electricity</v>
      </c>
      <c r="I183" s="339">
        <f ca="1">+SUMIF('Mov_Analizados_Sept25 - Dic25'!$H$10:$I$1051,Resumen_Base!E183,'Mov_Analizados_Sept25 - Dic25'!$I$10:$I$1051)</f>
        <v>0</v>
      </c>
      <c r="J183" s="340">
        <f ca="1">+SUMIF('Mov_Analizados_Sept25 - Dic25'!$H$10:$J$1051,Resumen_Base!E183,'Mov_Analizados_Sept25 - Dic25'!$J$10:$J$1051)</f>
        <v>0</v>
      </c>
      <c r="L183" s="339">
        <f>+SUMIF('Mov_Analizados_Ene 26'!$H$10:$H$330,Resumen_Base!E183,'Mov_Analizados_Ene 26'!$I$10:$I$330)</f>
        <v>0</v>
      </c>
      <c r="M183" s="340">
        <f>+SUMIF('Mov_Analizados_Ene 26'!$H$10:$H$330,Resumen_Base!E183,'Mov_Analizados_Ene 26'!$J$10:$J$330)</f>
        <v>0</v>
      </c>
      <c r="O183" s="339">
        <f>+SUMIF('Mov_Analizados_Feb - Mar 26'!$H$10:$H$1378,Resumen_Base!E183,'Mov_Analizados_Feb - Mar 26'!$I$10:$I$1378)</f>
        <v>0</v>
      </c>
      <c r="P183" s="340">
        <f>+SUMIF('Mov_Analizados_Feb - Mar 26'!$H$10:$H$1378,Resumen_Base!E183,'Mov_Analizados_Feb - Mar 26'!$J$10:$J$1378)</f>
        <v>0</v>
      </c>
      <c r="R183" s="339">
        <f>+SUMIF('Mov_Analizados_Abr 26'!$I$10:$I$862,Resumen_Base!E183,'Mov_Analizados_Abr 26'!$J$10:$J$862)</f>
        <v>0</v>
      </c>
      <c r="S183" s="340">
        <f>+SUMIF('Mov_Analizados_Abr 26'!$I$10:$I$862,Resumen_Base!E183,'Mov_Analizados_Abr 26'!$K$10:$K$862)</f>
        <v>0</v>
      </c>
      <c r="U183" s="339">
        <f>+SUMIF('Mov_Analizados_May 26'!$I$10:$I$1205,Resumen_Base!E183,'Mov_Analizados_May 26'!$J$10:$J$1205)</f>
        <v>0</v>
      </c>
      <c r="V183" s="340">
        <f>+SUMIF('Mov_Analizados_May 26'!$I$10:$I$1205,Resumen_Base!E183,'Mov_Analizados_May 26'!$K$10:$K$1205)</f>
        <v>0</v>
      </c>
      <c r="X183" s="339">
        <f t="shared" ca="1" si="11"/>
        <v>0</v>
      </c>
      <c r="Y183" s="340">
        <f t="shared" ca="1" si="12"/>
        <v>0</v>
      </c>
    </row>
    <row r="184" spans="1:25">
      <c r="A184" s="4" t="str">
        <f>+VLOOKUP(C184,'Plan Cuentas Link Armado'!$A$3:$D$105,4,0)</f>
        <v>Travel for personnel (employees)</v>
      </c>
      <c r="C184" s="308" t="s">
        <v>68</v>
      </c>
      <c r="D184" s="4" t="s">
        <v>69</v>
      </c>
      <c r="E184" s="4" t="s">
        <v>190</v>
      </c>
      <c r="G184" s="4" t="str">
        <f>+VLOOKUP(C184,'Plan Cuentas Link Armado'!$A$3:$D$105,4,0)</f>
        <v>Travel for personnel (employees)</v>
      </c>
      <c r="I184" s="339">
        <f ca="1">+SUMIF('Mov_Analizados_Sept25 - Dic25'!$H$10:$I$1051,Resumen_Base!E184,'Mov_Analizados_Sept25 - Dic25'!$I$10:$I$1051)</f>
        <v>0</v>
      </c>
      <c r="J184" s="340">
        <f ca="1">+SUMIF('Mov_Analizados_Sept25 - Dic25'!$H$10:$J$1051,Resumen_Base!E184,'Mov_Analizados_Sept25 - Dic25'!$J$10:$J$1051)</f>
        <v>0</v>
      </c>
      <c r="L184" s="339">
        <f>+SUMIF('Mov_Analizados_Ene 26'!$H$10:$H$330,Resumen_Base!E184,'Mov_Analizados_Ene 26'!$I$10:$I$330)</f>
        <v>0</v>
      </c>
      <c r="M184" s="340">
        <f>+SUMIF('Mov_Analizados_Ene 26'!$H$10:$H$330,Resumen_Base!E184,'Mov_Analizados_Ene 26'!$J$10:$J$330)</f>
        <v>0</v>
      </c>
      <c r="O184" s="339">
        <f>+SUMIF('Mov_Analizados_Feb - Mar 26'!$H$10:$H$1378,Resumen_Base!E184,'Mov_Analizados_Feb - Mar 26'!$I$10:$I$1378)</f>
        <v>0</v>
      </c>
      <c r="P184" s="340">
        <f>+SUMIF('Mov_Analizados_Feb - Mar 26'!$H$10:$H$1378,Resumen_Base!E184,'Mov_Analizados_Feb - Mar 26'!$J$10:$J$1378)</f>
        <v>0</v>
      </c>
      <c r="R184" s="339">
        <f>+SUMIF('Mov_Analizados_Abr 26'!$I$10:$I$862,Resumen_Base!E184,'Mov_Analizados_Abr 26'!$J$10:$J$862)</f>
        <v>0</v>
      </c>
      <c r="S184" s="340">
        <f>+SUMIF('Mov_Analizados_Abr 26'!$I$10:$I$862,Resumen_Base!E184,'Mov_Analizados_Abr 26'!$K$10:$K$862)</f>
        <v>0</v>
      </c>
      <c r="U184" s="339">
        <f>+SUMIF('Mov_Analizados_May 26'!$I$10:$I$1205,Resumen_Base!E184,'Mov_Analizados_May 26'!$J$10:$J$1205)</f>
        <v>0</v>
      </c>
      <c r="V184" s="340">
        <f>+SUMIF('Mov_Analizados_May 26'!$I$10:$I$1205,Resumen_Base!E184,'Mov_Analizados_May 26'!$K$10:$K$1205)</f>
        <v>0</v>
      </c>
      <c r="X184" s="339">
        <f t="shared" ca="1" si="11"/>
        <v>0</v>
      </c>
      <c r="Y184" s="340">
        <f t="shared" ca="1" si="12"/>
        <v>0</v>
      </c>
    </row>
    <row r="185" spans="1:25">
      <c r="A185" s="4" t="str">
        <f>+VLOOKUP(C185,'Plan Cuentas Link Armado'!$A$3:$D$105,4,0)</f>
        <v>Field:</v>
      </c>
      <c r="C185" s="308" t="s">
        <v>133</v>
      </c>
      <c r="D185" s="4" t="s">
        <v>134</v>
      </c>
      <c r="E185" s="4" t="s">
        <v>193</v>
      </c>
      <c r="G185" s="4" t="str">
        <f>+VLOOKUP(C185,'Plan Cuentas Link Armado'!$A$3:$D$105,4,0)</f>
        <v>Field:</v>
      </c>
      <c r="I185" s="339">
        <f ca="1">+SUMIF('Mov_Analizados_Sept25 - Dic25'!$H$10:$I$1051,Resumen_Base!E185,'Mov_Analizados_Sept25 - Dic25'!$I$10:$I$1051)</f>
        <v>0</v>
      </c>
      <c r="J185" s="340">
        <f ca="1">+SUMIF('Mov_Analizados_Sept25 - Dic25'!$H$10:$J$1051,Resumen_Base!E185,'Mov_Analizados_Sept25 - Dic25'!$J$10:$J$1051)</f>
        <v>0</v>
      </c>
      <c r="L185" s="339">
        <f>+SUMIF('Mov_Analizados_Ene 26'!$H$10:$H$330,Resumen_Base!E185,'Mov_Analizados_Ene 26'!$I$10:$I$330)</f>
        <v>0</v>
      </c>
      <c r="M185" s="340">
        <f>+SUMIF('Mov_Analizados_Ene 26'!$H$10:$H$330,Resumen_Base!E185,'Mov_Analizados_Ene 26'!$J$10:$J$330)</f>
        <v>0</v>
      </c>
      <c r="O185" s="339">
        <f>+SUMIF('Mov_Analizados_Feb - Mar 26'!$H$10:$H$1378,Resumen_Base!E185,'Mov_Analizados_Feb - Mar 26'!$I$10:$I$1378)</f>
        <v>0</v>
      </c>
      <c r="P185" s="340">
        <f>+SUMIF('Mov_Analizados_Feb - Mar 26'!$H$10:$H$1378,Resumen_Base!E185,'Mov_Analizados_Feb - Mar 26'!$J$10:$J$1378)</f>
        <v>0</v>
      </c>
      <c r="R185" s="339">
        <f>+SUMIF('Mov_Analizados_Abr 26'!$I$10:$I$862,Resumen_Base!E185,'Mov_Analizados_Abr 26'!$J$10:$J$862)</f>
        <v>0</v>
      </c>
      <c r="S185" s="340">
        <f>+SUMIF('Mov_Analizados_Abr 26'!$I$10:$I$862,Resumen_Base!E185,'Mov_Analizados_Abr 26'!$K$10:$K$862)</f>
        <v>0</v>
      </c>
      <c r="U185" s="339">
        <f>+SUMIF('Mov_Analizados_May 26'!$I$10:$I$1205,Resumen_Base!E185,'Mov_Analizados_May 26'!$J$10:$J$1205)</f>
        <v>0</v>
      </c>
      <c r="V185" s="340">
        <f>+SUMIF('Mov_Analizados_May 26'!$I$10:$I$1205,Resumen_Base!E185,'Mov_Analizados_May 26'!$K$10:$K$1205)</f>
        <v>0</v>
      </c>
      <c r="X185" s="339">
        <f t="shared" ca="1" si="11"/>
        <v>0</v>
      </c>
      <c r="Y185" s="340">
        <f t="shared" ca="1" si="12"/>
        <v>0</v>
      </c>
    </row>
    <row r="186" spans="1:25">
      <c r="A186" s="4" t="str">
        <f>+VLOOKUP(C186,'Plan Cuentas Link Armado'!$A$3:$D$105,4,0)</f>
        <v>Baiting/Maize:</v>
      </c>
      <c r="C186" s="666" t="s">
        <v>265</v>
      </c>
      <c r="D186" s="667" t="s">
        <v>266</v>
      </c>
      <c r="E186" s="152" t="s">
        <v>267</v>
      </c>
      <c r="G186" s="4" t="str">
        <f>+VLOOKUP(C186,'Plan Cuentas Link Armado'!$A$3:$D$105,4,0)</f>
        <v>Baiting/Maize:</v>
      </c>
      <c r="I186" s="339">
        <f ca="1">+SUMIF('Mov_Analizados_Sept25 - Dic25'!$H$10:$I$1051,Resumen_Base!E186,'Mov_Analizados_Sept25 - Dic25'!$I$10:$I$1051)</f>
        <v>0</v>
      </c>
      <c r="J186" s="340">
        <f ca="1">+SUMIF('Mov_Analizados_Sept25 - Dic25'!$H$10:$J$1051,Resumen_Base!E186,'Mov_Analizados_Sept25 - Dic25'!$J$10:$J$1051)</f>
        <v>0</v>
      </c>
      <c r="L186" s="339">
        <f>+SUMIF('Mov_Analizados_Ene 26'!$H$10:$H$330,Resumen_Base!E186,'Mov_Analizados_Ene 26'!$I$10:$I$330)</f>
        <v>0</v>
      </c>
      <c r="M186" s="340">
        <f>+SUMIF('Mov_Analizados_Ene 26'!$H$10:$H$330,Resumen_Base!E186,'Mov_Analizados_Ene 26'!$J$10:$J$330)</f>
        <v>0</v>
      </c>
      <c r="O186" s="339">
        <f>+SUMIF('Mov_Analizados_Feb - Mar 26'!$H$10:$H$1378,Resumen_Base!E186,'Mov_Analizados_Feb - Mar 26'!$I$10:$I$1378)</f>
        <v>0</v>
      </c>
      <c r="P186" s="340">
        <f>+SUMIF('Mov_Analizados_Feb - Mar 26'!$H$10:$H$1378,Resumen_Base!E186,'Mov_Analizados_Feb - Mar 26'!$J$10:$J$1378)</f>
        <v>0</v>
      </c>
      <c r="R186" s="339">
        <f>+SUMIF('Mov_Analizados_Abr 26'!$I$10:$I$862,Resumen_Base!E186,'Mov_Analizados_Abr 26'!$J$10:$J$862)</f>
        <v>0</v>
      </c>
      <c r="S186" s="340">
        <f>+SUMIF('Mov_Analizados_Abr 26'!$I$10:$I$862,Resumen_Base!E186,'Mov_Analizados_Abr 26'!$K$10:$K$862)</f>
        <v>0</v>
      </c>
      <c r="U186" s="339">
        <f>+SUMIF('Mov_Analizados_May 26'!$I$10:$I$1205,Resumen_Base!E186,'Mov_Analizados_May 26'!$J$10:$J$1205)</f>
        <v>0</v>
      </c>
      <c r="V186" s="340">
        <f>+SUMIF('Mov_Analizados_May 26'!$I$10:$I$1205,Resumen_Base!E186,'Mov_Analizados_May 26'!$K$10:$K$1205)</f>
        <v>0</v>
      </c>
      <c r="X186" s="339">
        <f t="shared" ca="1" si="11"/>
        <v>0</v>
      </c>
      <c r="Y186" s="340">
        <f t="shared" ca="1" si="12"/>
        <v>0</v>
      </c>
    </row>
    <row r="187" spans="1:25">
      <c r="A187" s="4" t="e">
        <f>+VLOOKUP(C187,'Plan Cuentas Link Armado'!$A$3:$D$105,4,0)</f>
        <v>#N/A</v>
      </c>
      <c r="C187" s="308" t="s">
        <v>47</v>
      </c>
      <c r="D187" s="4" t="s">
        <v>46</v>
      </c>
      <c r="E187" s="4" t="s">
        <v>194</v>
      </c>
      <c r="G187" s="4" t="e">
        <f>+VLOOKUP(C187,'Plan Cuentas Link Armado'!$A$3:$D$105,4,0)</f>
        <v>#N/A</v>
      </c>
      <c r="I187" s="339">
        <f ca="1">+SUMIF('Mov_Analizados_Sept25 - Dic25'!$H$10:$I$1051,Resumen_Base!E187,'Mov_Analizados_Sept25 - Dic25'!$I$10:$I$1051)</f>
        <v>0</v>
      </c>
      <c r="J187" s="340">
        <f ca="1">+SUMIF('Mov_Analizados_Sept25 - Dic25'!$H$10:$J$1051,Resumen_Base!E187,'Mov_Analizados_Sept25 - Dic25'!$J$10:$J$1051)</f>
        <v>0</v>
      </c>
      <c r="L187" s="339">
        <f>+SUMIF('Mov_Analizados_Ene 26'!$H$10:$H$330,Resumen_Base!E187,'Mov_Analizados_Ene 26'!$I$10:$I$330)</f>
        <v>0</v>
      </c>
      <c r="M187" s="340">
        <f>+SUMIF('Mov_Analizados_Ene 26'!$H$10:$H$330,Resumen_Base!E187,'Mov_Analizados_Ene 26'!$J$10:$J$330)</f>
        <v>0</v>
      </c>
      <c r="O187" s="339">
        <f>+SUMIF('Mov_Analizados_Feb - Mar 26'!$H$10:$H$1378,Resumen_Base!E187,'Mov_Analizados_Feb - Mar 26'!$I$10:$I$1378)</f>
        <v>0</v>
      </c>
      <c r="P187" s="340">
        <f>+SUMIF('Mov_Analizados_Feb - Mar 26'!$H$10:$H$1378,Resumen_Base!E187,'Mov_Analizados_Feb - Mar 26'!$J$10:$J$1378)</f>
        <v>0</v>
      </c>
      <c r="R187" s="339">
        <f>+SUMIF('Mov_Analizados_Abr 26'!$I$10:$I$862,Resumen_Base!E187,'Mov_Analizados_Abr 26'!$J$10:$J$862)</f>
        <v>0</v>
      </c>
      <c r="S187" s="340">
        <f>+SUMIF('Mov_Analizados_Abr 26'!$I$10:$I$862,Resumen_Base!E187,'Mov_Analizados_Abr 26'!$K$10:$K$862)</f>
        <v>0</v>
      </c>
      <c r="U187" s="339">
        <f>+SUMIF('Mov_Analizados_May 26'!$I$10:$I$1205,Resumen_Base!E187,'Mov_Analizados_May 26'!$J$10:$J$1205)</f>
        <v>0</v>
      </c>
      <c r="V187" s="340">
        <f>+SUMIF('Mov_Analizados_May 26'!$I$10:$I$1205,Resumen_Base!E187,'Mov_Analizados_May 26'!$K$10:$K$1205)</f>
        <v>0</v>
      </c>
      <c r="X187" s="339">
        <f t="shared" ca="1" si="11"/>
        <v>0</v>
      </c>
      <c r="Y187" s="340">
        <f t="shared" ca="1" si="12"/>
        <v>0</v>
      </c>
    </row>
    <row r="188" spans="1:25">
      <c r="A188" s="4" t="str">
        <f>+VLOOKUP(C188,'Plan Cuentas Link Armado'!$A$3:$D$105,4,0)</f>
        <v>Transfer to and from the airport (local taxi) - Vehicle Rental</v>
      </c>
      <c r="C188" s="308" t="s">
        <v>138</v>
      </c>
      <c r="D188" s="4" t="s">
        <v>202</v>
      </c>
      <c r="E188" s="4" t="s">
        <v>203</v>
      </c>
      <c r="G188" s="4" t="str">
        <f>+VLOOKUP(C188,'Plan Cuentas Link Armado'!$A$3:$D$105,4,0)</f>
        <v>Transfer to and from the airport (local taxi) - Vehicle Rental</v>
      </c>
      <c r="I188" s="339">
        <f ca="1">+SUMIF('Mov_Analizados_Sept25 - Dic25'!$H$10:$I$1051,Resumen_Base!E188,'Mov_Analizados_Sept25 - Dic25'!$I$10:$I$1051)</f>
        <v>0</v>
      </c>
      <c r="J188" s="340">
        <f ca="1">+SUMIF('Mov_Analizados_Sept25 - Dic25'!$H$10:$J$1051,Resumen_Base!E188,'Mov_Analizados_Sept25 - Dic25'!$J$10:$J$1051)</f>
        <v>0</v>
      </c>
      <c r="L188" s="339">
        <f>+SUMIF('Mov_Analizados_Ene 26'!$H$10:$H$330,Resumen_Base!E188,'Mov_Analizados_Ene 26'!$I$10:$I$330)</f>
        <v>0</v>
      </c>
      <c r="M188" s="340">
        <f>+SUMIF('Mov_Analizados_Ene 26'!$H$10:$H$330,Resumen_Base!E188,'Mov_Analizados_Ene 26'!$J$10:$J$330)</f>
        <v>0</v>
      </c>
      <c r="O188" s="339">
        <f>+SUMIF('Mov_Analizados_Feb - Mar 26'!$H$10:$H$1378,Resumen_Base!E188,'Mov_Analizados_Feb - Mar 26'!$I$10:$I$1378)</f>
        <v>0</v>
      </c>
      <c r="P188" s="340">
        <f>+SUMIF('Mov_Analizados_Feb - Mar 26'!$H$10:$H$1378,Resumen_Base!E188,'Mov_Analizados_Feb - Mar 26'!$J$10:$J$1378)</f>
        <v>0</v>
      </c>
      <c r="R188" s="339">
        <f>+SUMIF('Mov_Analizados_Abr 26'!$I$10:$I$862,Resumen_Base!E188,'Mov_Analizados_Abr 26'!$J$10:$J$862)</f>
        <v>0</v>
      </c>
      <c r="S188" s="340">
        <f>+SUMIF('Mov_Analizados_Abr 26'!$I$10:$I$862,Resumen_Base!E188,'Mov_Analizados_Abr 26'!$K$10:$K$862)</f>
        <v>0</v>
      </c>
      <c r="U188" s="339">
        <f>+SUMIF('Mov_Analizados_May 26'!$I$10:$I$1205,Resumen_Base!E188,'Mov_Analizados_May 26'!$J$10:$J$1205)</f>
        <v>0</v>
      </c>
      <c r="V188" s="340">
        <f>+SUMIF('Mov_Analizados_May 26'!$I$10:$I$1205,Resumen_Base!E188,'Mov_Analizados_May 26'!$K$10:$K$1205)</f>
        <v>0</v>
      </c>
      <c r="X188" s="339">
        <f t="shared" ca="1" si="11"/>
        <v>0</v>
      </c>
      <c r="Y188" s="340">
        <f t="shared" ca="1" si="12"/>
        <v>0</v>
      </c>
    </row>
    <row r="189" spans="1:25">
      <c r="A189" s="4" t="str">
        <f>+VLOOKUP(C189,'Plan Cuentas Link Armado'!$A$3:$D$105,4,0)</f>
        <v>Licenses / Permits (Fishing and Shooting)</v>
      </c>
      <c r="C189" s="308" t="s">
        <v>62</v>
      </c>
      <c r="D189" s="4" t="s">
        <v>63</v>
      </c>
      <c r="E189" s="4" t="s">
        <v>195</v>
      </c>
      <c r="G189" s="4" t="str">
        <f>+VLOOKUP(C189,'Plan Cuentas Link Armado'!$A$3:$D$105,4,0)</f>
        <v>Licenses / Permits (Fishing and Shooting)</v>
      </c>
      <c r="I189" s="339">
        <f ca="1">+SUMIF('Mov_Analizados_Sept25 - Dic25'!$H$10:$I$1051,Resumen_Base!E189,'Mov_Analizados_Sept25 - Dic25'!$I$10:$I$1051)</f>
        <v>0</v>
      </c>
      <c r="J189" s="340">
        <f ca="1">+SUMIF('Mov_Analizados_Sept25 - Dic25'!$H$10:$J$1051,Resumen_Base!E189,'Mov_Analizados_Sept25 - Dic25'!$J$10:$J$1051)</f>
        <v>0</v>
      </c>
      <c r="L189" s="339">
        <f>+SUMIF('Mov_Analizados_Ene 26'!$H$10:$H$330,Resumen_Base!E189,'Mov_Analizados_Ene 26'!$I$10:$I$330)</f>
        <v>0</v>
      </c>
      <c r="M189" s="340">
        <f>+SUMIF('Mov_Analizados_Ene 26'!$H$10:$H$330,Resumen_Base!E189,'Mov_Analizados_Ene 26'!$J$10:$J$330)</f>
        <v>0</v>
      </c>
      <c r="O189" s="339">
        <f>+SUMIF('Mov_Analizados_Feb - Mar 26'!$H$10:$H$1378,Resumen_Base!E189,'Mov_Analizados_Feb - Mar 26'!$I$10:$I$1378)</f>
        <v>0</v>
      </c>
      <c r="P189" s="340">
        <f>+SUMIF('Mov_Analizados_Feb - Mar 26'!$H$10:$H$1378,Resumen_Base!E189,'Mov_Analizados_Feb - Mar 26'!$J$10:$J$1378)</f>
        <v>0</v>
      </c>
      <c r="R189" s="339">
        <f>+SUMIF('Mov_Analizados_Abr 26'!$I$10:$I$862,Resumen_Base!E189,'Mov_Analizados_Abr 26'!$J$10:$J$862)</f>
        <v>0</v>
      </c>
      <c r="S189" s="340">
        <f>+SUMIF('Mov_Analizados_Abr 26'!$I$10:$I$862,Resumen_Base!E189,'Mov_Analizados_Abr 26'!$K$10:$K$862)</f>
        <v>0</v>
      </c>
      <c r="U189" s="339">
        <f>+SUMIF('Mov_Analizados_May 26'!$I$10:$I$1205,Resumen_Base!E189,'Mov_Analizados_May 26'!$J$10:$J$1205)</f>
        <v>0</v>
      </c>
      <c r="V189" s="340">
        <f>+SUMIF('Mov_Analizados_May 26'!$I$10:$I$1205,Resumen_Base!E189,'Mov_Analizados_May 26'!$K$10:$K$1205)</f>
        <v>0</v>
      </c>
      <c r="X189" s="339">
        <f t="shared" ca="1" si="11"/>
        <v>0</v>
      </c>
      <c r="Y189" s="340">
        <f t="shared" ca="1" si="12"/>
        <v>0</v>
      </c>
    </row>
    <row r="190" spans="1:25">
      <c r="A190" s="4" t="str">
        <f>+VLOOKUP(C190,'Plan Cuentas Link Armado'!$A$3:$D$105,4,0)</f>
        <v>Electricity - Gas for Boats &amp; Vehicles</v>
      </c>
      <c r="C190" s="308" t="s">
        <v>64</v>
      </c>
      <c r="D190" s="4" t="s">
        <v>65</v>
      </c>
      <c r="E190" s="4" t="s">
        <v>196</v>
      </c>
      <c r="G190" s="4" t="str">
        <f>+VLOOKUP(C190,'Plan Cuentas Link Armado'!$A$3:$D$105,4,0)</f>
        <v>Electricity - Gas for Boats &amp; Vehicles</v>
      </c>
      <c r="I190" s="339">
        <f ca="1">+SUMIF('Mov_Analizados_Sept25 - Dic25'!$H$10:$I$1051,Resumen_Base!E190,'Mov_Analizados_Sept25 - Dic25'!$I$10:$I$1051)</f>
        <v>0</v>
      </c>
      <c r="J190" s="340">
        <f ca="1">+SUMIF('Mov_Analizados_Sept25 - Dic25'!$H$10:$J$1051,Resumen_Base!E190,'Mov_Analizados_Sept25 - Dic25'!$J$10:$J$1051)</f>
        <v>0</v>
      </c>
      <c r="L190" s="339">
        <f>+SUMIF('Mov_Analizados_Ene 26'!$H$10:$H$330,Resumen_Base!E190,'Mov_Analizados_Ene 26'!$I$10:$I$330)</f>
        <v>0</v>
      </c>
      <c r="M190" s="340">
        <f>+SUMIF('Mov_Analizados_Ene 26'!$H$10:$H$330,Resumen_Base!E190,'Mov_Analizados_Ene 26'!$J$10:$J$330)</f>
        <v>0</v>
      </c>
      <c r="O190" s="339">
        <f>+SUMIF('Mov_Analizados_Feb - Mar 26'!$H$10:$H$1378,Resumen_Base!E190,'Mov_Analizados_Feb - Mar 26'!$I$10:$I$1378)</f>
        <v>0</v>
      </c>
      <c r="P190" s="340">
        <f>+SUMIF('Mov_Analizados_Feb - Mar 26'!$H$10:$H$1378,Resumen_Base!E190,'Mov_Analizados_Feb - Mar 26'!$J$10:$J$1378)</f>
        <v>0</v>
      </c>
      <c r="R190" s="339">
        <f>+SUMIF('Mov_Analizados_Abr 26'!$I$10:$I$862,Resumen_Base!E190,'Mov_Analizados_Abr 26'!$J$10:$J$862)</f>
        <v>0</v>
      </c>
      <c r="S190" s="340">
        <f>+SUMIF('Mov_Analizados_Abr 26'!$I$10:$I$862,Resumen_Base!E190,'Mov_Analizados_Abr 26'!$K$10:$K$862)</f>
        <v>0</v>
      </c>
      <c r="U190" s="339">
        <f>+SUMIF('Mov_Analizados_May 26'!$I$10:$I$1205,Resumen_Base!E190,'Mov_Analizados_May 26'!$J$10:$J$1205)</f>
        <v>0</v>
      </c>
      <c r="V190" s="340">
        <f>+SUMIF('Mov_Analizados_May 26'!$I$10:$I$1205,Resumen_Base!E190,'Mov_Analizados_May 26'!$K$10:$K$1205)</f>
        <v>0</v>
      </c>
      <c r="X190" s="339">
        <f t="shared" ca="1" si="11"/>
        <v>0</v>
      </c>
      <c r="Y190" s="340">
        <f t="shared" ca="1" si="12"/>
        <v>0</v>
      </c>
    </row>
    <row r="191" spans="1:25">
      <c r="A191" s="4" t="str">
        <f>+VLOOKUP(C191,'Plan Cuentas Link Armado'!$A$3:$D$105,4,0)</f>
        <v>Maintenance  Boats / Vehicles</v>
      </c>
      <c r="C191" s="308" t="s">
        <v>66</v>
      </c>
      <c r="D191" s="4" t="s">
        <v>67</v>
      </c>
      <c r="E191" s="4" t="s">
        <v>197</v>
      </c>
      <c r="G191" s="4" t="str">
        <f>+VLOOKUP(C191,'Plan Cuentas Link Armado'!$A$3:$D$105,4,0)</f>
        <v>Maintenance  Boats / Vehicles</v>
      </c>
      <c r="I191" s="339">
        <f ca="1">+SUMIF('Mov_Analizados_Sept25 - Dic25'!$H$10:$I$1051,Resumen_Base!E191,'Mov_Analizados_Sept25 - Dic25'!$I$10:$I$1051)</f>
        <v>0</v>
      </c>
      <c r="J191" s="340">
        <f ca="1">+SUMIF('Mov_Analizados_Sept25 - Dic25'!$H$10:$J$1051,Resumen_Base!E191,'Mov_Analizados_Sept25 - Dic25'!$J$10:$J$1051)</f>
        <v>0</v>
      </c>
      <c r="L191" s="339">
        <f>+SUMIF('Mov_Analizados_Ene 26'!$H$10:$H$330,Resumen_Base!E191,'Mov_Analizados_Ene 26'!$I$10:$I$330)</f>
        <v>0</v>
      </c>
      <c r="M191" s="340">
        <f>+SUMIF('Mov_Analizados_Ene 26'!$H$10:$H$330,Resumen_Base!E191,'Mov_Analizados_Ene 26'!$J$10:$J$330)</f>
        <v>0</v>
      </c>
      <c r="O191" s="339">
        <f>+SUMIF('Mov_Analizados_Feb - Mar 26'!$H$10:$H$1378,Resumen_Base!E191,'Mov_Analizados_Feb - Mar 26'!$I$10:$I$1378)</f>
        <v>0</v>
      </c>
      <c r="P191" s="340">
        <f>+SUMIF('Mov_Analizados_Feb - Mar 26'!$H$10:$H$1378,Resumen_Base!E191,'Mov_Analizados_Feb - Mar 26'!$J$10:$J$1378)</f>
        <v>0</v>
      </c>
      <c r="R191" s="339">
        <f>+SUMIF('Mov_Analizados_Abr 26'!$I$10:$I$862,Resumen_Base!E191,'Mov_Analizados_Abr 26'!$J$10:$J$862)</f>
        <v>0</v>
      </c>
      <c r="S191" s="340">
        <f>+SUMIF('Mov_Analizados_Abr 26'!$I$10:$I$862,Resumen_Base!E191,'Mov_Analizados_Abr 26'!$K$10:$K$862)</f>
        <v>0</v>
      </c>
      <c r="U191" s="339">
        <f>+SUMIF('Mov_Analizados_May 26'!$I$10:$I$1205,Resumen_Base!E191,'Mov_Analizados_May 26'!$J$10:$J$1205)</f>
        <v>0</v>
      </c>
      <c r="V191" s="340">
        <f>+SUMIF('Mov_Analizados_May 26'!$I$10:$I$1205,Resumen_Base!E191,'Mov_Analizados_May 26'!$K$10:$K$1205)</f>
        <v>0</v>
      </c>
      <c r="X191" s="339">
        <f t="shared" ca="1" si="11"/>
        <v>0</v>
      </c>
      <c r="Y191" s="340">
        <f t="shared" ca="1" si="12"/>
        <v>0</v>
      </c>
    </row>
    <row r="192" spans="1:25">
      <c r="A192" s="4" t="str">
        <f>+VLOOKUP(C192,'Plan Cuentas Link Armado'!$A$3:$D$105,4,0)</f>
        <v>Electricity - Gas for Boats &amp; Vehicles</v>
      </c>
      <c r="C192" s="308" t="s">
        <v>163</v>
      </c>
      <c r="D192" s="4" t="s">
        <v>164</v>
      </c>
      <c r="E192" s="152" t="s">
        <v>246</v>
      </c>
      <c r="F192" s="152"/>
      <c r="G192" s="4" t="str">
        <f>+VLOOKUP(C192,'Plan Cuentas Link Armado'!$A$3:$D$105,4,0)</f>
        <v>Electricity - Gas for Boats &amp; Vehicles</v>
      </c>
      <c r="I192" s="339">
        <f ca="1">+SUMIF('Mov_Analizados_Sept25 - Dic25'!$H$10:$I$1051,Resumen_Base!E192,'Mov_Analizados_Sept25 - Dic25'!$I$10:$I$1051)</f>
        <v>0</v>
      </c>
      <c r="J192" s="340">
        <f ca="1">+SUMIF('Mov_Analizados_Sept25 - Dic25'!$H$10:$J$1051,Resumen_Base!E192,'Mov_Analizados_Sept25 - Dic25'!$J$10:$J$1051)</f>
        <v>0</v>
      </c>
      <c r="L192" s="339">
        <f>+SUMIF('Mov_Analizados_Ene 26'!$H$10:$H$330,Resumen_Base!E192,'Mov_Analizados_Ene 26'!$I$10:$I$330)</f>
        <v>0</v>
      </c>
      <c r="M192" s="340">
        <f>+SUMIF('Mov_Analizados_Ene 26'!$H$10:$H$330,Resumen_Base!E192,'Mov_Analizados_Ene 26'!$J$10:$J$330)</f>
        <v>0</v>
      </c>
      <c r="O192" s="339">
        <f>+SUMIF('Mov_Analizados_Feb - Mar 26'!$H$10:$H$1378,Resumen_Base!E192,'Mov_Analizados_Feb - Mar 26'!$I$10:$I$1378)</f>
        <v>0</v>
      </c>
      <c r="P192" s="340">
        <f>+SUMIF('Mov_Analizados_Feb - Mar 26'!$H$10:$H$1378,Resumen_Base!E192,'Mov_Analizados_Feb - Mar 26'!$J$10:$J$1378)</f>
        <v>0</v>
      </c>
      <c r="R192" s="339">
        <f>+SUMIF('Mov_Analizados_Abr 26'!$I$10:$I$862,Resumen_Base!E192,'Mov_Analizados_Abr 26'!$J$10:$J$862)</f>
        <v>0</v>
      </c>
      <c r="S192" s="340">
        <f>+SUMIF('Mov_Analizados_Abr 26'!$I$10:$I$862,Resumen_Base!E192,'Mov_Analizados_Abr 26'!$K$10:$K$862)</f>
        <v>0</v>
      </c>
      <c r="U192" s="339">
        <f>+SUMIF('Mov_Analizados_May 26'!$I$10:$I$1205,Resumen_Base!E192,'Mov_Analizados_May 26'!$J$10:$J$1205)</f>
        <v>0</v>
      </c>
      <c r="V192" s="340">
        <f>+SUMIF('Mov_Analizados_May 26'!$I$10:$I$1205,Resumen_Base!E192,'Mov_Analizados_May 26'!$K$10:$K$1205)</f>
        <v>0</v>
      </c>
      <c r="X192" s="339">
        <f t="shared" ca="1" si="11"/>
        <v>0</v>
      </c>
      <c r="Y192" s="340">
        <f t="shared" ca="1" si="12"/>
        <v>0</v>
      </c>
    </row>
    <row r="193" spans="1:25">
      <c r="A193" s="4" t="str">
        <f>+VLOOKUP(C193,'Plan Cuentas Link Armado'!$A$3:$D$105,4,0)</f>
        <v>Maintenance  Equipment</v>
      </c>
      <c r="C193" s="308" t="s">
        <v>31</v>
      </c>
      <c r="D193" s="4" t="s">
        <v>30</v>
      </c>
      <c r="E193" s="4" t="s">
        <v>198</v>
      </c>
      <c r="G193" s="4" t="str">
        <f>+VLOOKUP(C193,'Plan Cuentas Link Armado'!$A$3:$D$105,4,0)</f>
        <v>Maintenance  Equipment</v>
      </c>
      <c r="I193" s="339">
        <f ca="1">+SUMIF('Mov_Analizados_Sept25 - Dic25'!$H$10:$I$1051,Resumen_Base!E193,'Mov_Analizados_Sept25 - Dic25'!$I$10:$I$1051)</f>
        <v>0</v>
      </c>
      <c r="J193" s="340">
        <f ca="1">+SUMIF('Mov_Analizados_Sept25 - Dic25'!$H$10:$J$1051,Resumen_Base!E193,'Mov_Analizados_Sept25 - Dic25'!$J$10:$J$1051)</f>
        <v>0</v>
      </c>
      <c r="L193" s="339">
        <f>+SUMIF('Mov_Analizados_Ene 26'!$H$10:$H$330,Resumen_Base!E193,'Mov_Analizados_Ene 26'!$I$10:$I$330)</f>
        <v>0</v>
      </c>
      <c r="M193" s="340">
        <f>+SUMIF('Mov_Analizados_Ene 26'!$H$10:$H$330,Resumen_Base!E193,'Mov_Analizados_Ene 26'!$J$10:$J$330)</f>
        <v>0</v>
      </c>
      <c r="O193" s="339">
        <f>+SUMIF('Mov_Analizados_Feb - Mar 26'!$H$10:$H$1378,Resumen_Base!E193,'Mov_Analizados_Feb - Mar 26'!$I$10:$I$1378)</f>
        <v>0</v>
      </c>
      <c r="P193" s="340">
        <f>+SUMIF('Mov_Analizados_Feb - Mar 26'!$H$10:$H$1378,Resumen_Base!E193,'Mov_Analizados_Feb - Mar 26'!$J$10:$J$1378)</f>
        <v>0</v>
      </c>
      <c r="R193" s="339">
        <f>+SUMIF('Mov_Analizados_Abr 26'!$I$10:$I$862,Resumen_Base!E193,'Mov_Analizados_Abr 26'!$J$10:$J$862)</f>
        <v>0</v>
      </c>
      <c r="S193" s="340">
        <f>+SUMIF('Mov_Analizados_Abr 26'!$I$10:$I$862,Resumen_Base!E193,'Mov_Analizados_Abr 26'!$K$10:$K$862)</f>
        <v>0</v>
      </c>
      <c r="U193" s="339">
        <f>+SUMIF('Mov_Analizados_May 26'!$I$10:$I$1205,Resumen_Base!E193,'Mov_Analizados_May 26'!$J$10:$J$1205)</f>
        <v>0</v>
      </c>
      <c r="V193" s="340">
        <f>+SUMIF('Mov_Analizados_May 26'!$I$10:$I$1205,Resumen_Base!E193,'Mov_Analizados_May 26'!$K$10:$K$1205)</f>
        <v>0</v>
      </c>
      <c r="X193" s="339">
        <f t="shared" ca="1" si="11"/>
        <v>0</v>
      </c>
      <c r="Y193" s="340">
        <f t="shared" ca="1" si="12"/>
        <v>0</v>
      </c>
    </row>
    <row r="194" spans="1:25">
      <c r="A194" s="4" t="str">
        <f>+VLOOKUP(C194,'Plan Cuentas Link Armado'!$A$3:$D$105,4,0)</f>
        <v>Fixed Asset's Sales</v>
      </c>
      <c r="C194" s="308" t="s">
        <v>26</v>
      </c>
      <c r="D194" s="4" t="s">
        <v>25</v>
      </c>
      <c r="E194" s="152" t="s">
        <v>264</v>
      </c>
      <c r="G194" s="4" t="str">
        <f>+VLOOKUP(C194,'Plan Cuentas Link Armado'!$A$3:$D$105,4,0)</f>
        <v>Fixed Asset's Sales</v>
      </c>
      <c r="I194" s="339">
        <f ca="1">+SUMIF('Mov_Analizados_Sept25 - Dic25'!$H$10:$I$1051,Resumen_Base!E194,'Mov_Analizados_Sept25 - Dic25'!$I$10:$I$1051)</f>
        <v>0</v>
      </c>
      <c r="J194" s="340">
        <f ca="1">+SUMIF('Mov_Analizados_Sept25 - Dic25'!$H$10:$J$1051,Resumen_Base!E194,'Mov_Analizados_Sept25 - Dic25'!$J$10:$J$1051)</f>
        <v>0</v>
      </c>
      <c r="L194" s="339">
        <f>+SUMIF('Mov_Analizados_Ene 26'!$H$10:$H$330,Resumen_Base!E194,'Mov_Analizados_Ene 26'!$I$10:$I$330)</f>
        <v>0</v>
      </c>
      <c r="M194" s="340">
        <f>+SUMIF('Mov_Analizados_Ene 26'!$H$10:$H$330,Resumen_Base!E194,'Mov_Analizados_Ene 26'!$J$10:$J$330)</f>
        <v>0</v>
      </c>
      <c r="O194" s="339">
        <f>+SUMIF('Mov_Analizados_Feb - Mar 26'!$H$10:$H$1378,Resumen_Base!E194,'Mov_Analizados_Feb - Mar 26'!$I$10:$I$1378)</f>
        <v>0</v>
      </c>
      <c r="P194" s="340">
        <f>+SUMIF('Mov_Analizados_Feb - Mar 26'!$H$10:$H$1378,Resumen_Base!E194,'Mov_Analizados_Feb - Mar 26'!$J$10:$J$1378)</f>
        <v>0</v>
      </c>
      <c r="R194" s="339">
        <f>+SUMIF('Mov_Analizados_Abr 26'!$I$10:$I$862,Resumen_Base!E194,'Mov_Analizados_Abr 26'!$J$10:$J$862)</f>
        <v>0</v>
      </c>
      <c r="S194" s="340">
        <f>+SUMIF('Mov_Analizados_Abr 26'!$I$10:$I$862,Resumen_Base!E194,'Mov_Analizados_Abr 26'!$K$10:$K$862)</f>
        <v>0</v>
      </c>
      <c r="U194" s="339">
        <f>+SUMIF('Mov_Analizados_May 26'!$I$10:$I$1205,Resumen_Base!E194,'Mov_Analizados_May 26'!$J$10:$J$1205)</f>
        <v>0</v>
      </c>
      <c r="V194" s="340">
        <f>+SUMIF('Mov_Analizados_May 26'!$I$10:$I$1205,Resumen_Base!E194,'Mov_Analizados_May 26'!$K$10:$K$1205)</f>
        <v>0</v>
      </c>
      <c r="X194" s="339">
        <f t="shared" ca="1" si="11"/>
        <v>0</v>
      </c>
      <c r="Y194" s="340">
        <f t="shared" ca="1" si="12"/>
        <v>0</v>
      </c>
    </row>
    <row r="195" spans="1:25">
      <c r="A195" s="4" t="str">
        <f>+VLOOKUP(C195,'Plan Cuentas Link Armado'!$A$3:$D$105,4,0)</f>
        <v>Food &amp; Wine</v>
      </c>
      <c r="C195" s="308" t="s">
        <v>231</v>
      </c>
      <c r="D195" s="4" t="s">
        <v>232</v>
      </c>
      <c r="E195" s="4" t="s">
        <v>252</v>
      </c>
      <c r="G195" s="4" t="str">
        <f>+VLOOKUP(C195,'Plan Cuentas Link Armado'!$A$3:$D$105,4,0)</f>
        <v>Food &amp; Wine</v>
      </c>
      <c r="I195" s="339">
        <f ca="1">+SUMIF('Mov_Analizados_Sept25 - Dic25'!$H$10:$I$1051,Resumen_Base!E195,'Mov_Analizados_Sept25 - Dic25'!$I$10:$I$1051)</f>
        <v>0</v>
      </c>
      <c r="J195" s="340">
        <f ca="1">+SUMIF('Mov_Analizados_Sept25 - Dic25'!$H$10:$J$1051,Resumen_Base!E195,'Mov_Analizados_Sept25 - Dic25'!$J$10:$J$1051)</f>
        <v>0</v>
      </c>
      <c r="L195" s="339">
        <f>+SUMIF('Mov_Analizados_Ene 26'!$H$10:$H$330,Resumen_Base!E195,'Mov_Analizados_Ene 26'!$I$10:$I$330)</f>
        <v>0</v>
      </c>
      <c r="M195" s="340">
        <f>+SUMIF('Mov_Analizados_Ene 26'!$H$10:$H$330,Resumen_Base!E195,'Mov_Analizados_Ene 26'!$J$10:$J$330)</f>
        <v>0</v>
      </c>
      <c r="O195" s="339">
        <f>+SUMIF('Mov_Analizados_Feb - Mar 26'!$H$10:$H$1378,Resumen_Base!E195,'Mov_Analizados_Feb - Mar 26'!$I$10:$I$1378)</f>
        <v>0</v>
      </c>
      <c r="P195" s="340">
        <f>+SUMIF('Mov_Analizados_Feb - Mar 26'!$H$10:$H$1378,Resumen_Base!E195,'Mov_Analizados_Feb - Mar 26'!$J$10:$J$1378)</f>
        <v>0</v>
      </c>
      <c r="R195" s="339">
        <f>+SUMIF('Mov_Analizados_Abr 26'!$I$10:$I$862,Resumen_Base!E195,'Mov_Analizados_Abr 26'!$J$10:$J$862)</f>
        <v>0</v>
      </c>
      <c r="S195" s="340">
        <f>+SUMIF('Mov_Analizados_Abr 26'!$I$10:$I$862,Resumen_Base!E195,'Mov_Analizados_Abr 26'!$K$10:$K$862)</f>
        <v>0</v>
      </c>
      <c r="U195" s="339">
        <f>+SUMIF('Mov_Analizados_May 26'!$I$10:$I$1205,Resumen_Base!E195,'Mov_Analizados_May 26'!$J$10:$J$1205)</f>
        <v>0</v>
      </c>
      <c r="V195" s="340">
        <f>+SUMIF('Mov_Analizados_May 26'!$I$10:$I$1205,Resumen_Base!E195,'Mov_Analizados_May 26'!$K$10:$K$1205)</f>
        <v>0</v>
      </c>
      <c r="X195" s="339">
        <f t="shared" ca="1" si="11"/>
        <v>0</v>
      </c>
      <c r="Y195" s="340">
        <f t="shared" ca="1" si="12"/>
        <v>0</v>
      </c>
    </row>
    <row r="196" spans="1:25">
      <c r="A196" s="4" t="str">
        <f>+VLOOKUP(C196,'Plan Cuentas Link Armado'!$A$3:$D$105,4,0)</f>
        <v>Baiting/Maize:</v>
      </c>
      <c r="C196" s="308" t="s">
        <v>238</v>
      </c>
      <c r="D196" s="4" t="s">
        <v>239</v>
      </c>
      <c r="E196" s="4" t="s">
        <v>259</v>
      </c>
      <c r="G196" s="4" t="str">
        <f>+VLOOKUP(C196,'Plan Cuentas Link Armado'!$A$3:$D$105,4,0)</f>
        <v>Baiting/Maize:</v>
      </c>
      <c r="I196" s="339">
        <f ca="1">+SUMIF('Mov_Analizados_Sept25 - Dic25'!$H$10:$I$1051,Resumen_Base!E196,'Mov_Analizados_Sept25 - Dic25'!$I$10:$I$1051)</f>
        <v>0</v>
      </c>
      <c r="J196" s="340">
        <f ca="1">+SUMIF('Mov_Analizados_Sept25 - Dic25'!$H$10:$J$1051,Resumen_Base!E196,'Mov_Analizados_Sept25 - Dic25'!$J$10:$J$1051)</f>
        <v>0</v>
      </c>
      <c r="L196" s="339">
        <f>+SUMIF('Mov_Analizados_Ene 26'!$H$10:$H$330,Resumen_Base!E196,'Mov_Analizados_Ene 26'!$I$10:$I$330)</f>
        <v>0</v>
      </c>
      <c r="M196" s="340">
        <f>+SUMIF('Mov_Analizados_Ene 26'!$H$10:$H$330,Resumen_Base!E196,'Mov_Analizados_Ene 26'!$J$10:$J$330)</f>
        <v>0</v>
      </c>
      <c r="O196" s="339">
        <f>+SUMIF('Mov_Analizados_Feb - Mar 26'!$H$10:$H$1378,Resumen_Base!E196,'Mov_Analizados_Feb - Mar 26'!$I$10:$I$1378)</f>
        <v>0</v>
      </c>
      <c r="P196" s="340">
        <f>+SUMIF('Mov_Analizados_Feb - Mar 26'!$H$10:$H$1378,Resumen_Base!E196,'Mov_Analizados_Feb - Mar 26'!$J$10:$J$1378)</f>
        <v>0</v>
      </c>
      <c r="R196" s="339">
        <f>+SUMIF('Mov_Analizados_Abr 26'!$I$10:$I$862,Resumen_Base!E196,'Mov_Analizados_Abr 26'!$J$10:$J$862)</f>
        <v>0</v>
      </c>
      <c r="S196" s="340">
        <f>+SUMIF('Mov_Analizados_Abr 26'!$I$10:$I$862,Resumen_Base!E196,'Mov_Analizados_Abr 26'!$K$10:$K$862)</f>
        <v>0</v>
      </c>
      <c r="U196" s="339">
        <f>+SUMIF('Mov_Analizados_May 26'!$I$10:$I$1205,Resumen_Base!E196,'Mov_Analizados_May 26'!$J$10:$J$1205)</f>
        <v>0</v>
      </c>
      <c r="V196" s="340">
        <f>+SUMIF('Mov_Analizados_May 26'!$I$10:$I$1205,Resumen_Base!E196,'Mov_Analizados_May 26'!$K$10:$K$1205)</f>
        <v>0</v>
      </c>
      <c r="X196" s="339">
        <f t="shared" ca="1" si="11"/>
        <v>0</v>
      </c>
      <c r="Y196" s="340">
        <f t="shared" ca="1" si="12"/>
        <v>0</v>
      </c>
    </row>
    <row r="197" spans="1:25">
      <c r="A197" s="4" t="str">
        <f>+VLOOKUP(C197,'Plan Cuentas Link Armado'!$A$3:$D$105,4,0)</f>
        <v>Shop</v>
      </c>
      <c r="B197" s="346">
        <f t="shared" ref="B197:B206" ca="1" si="13">+Y197</f>
        <v>0</v>
      </c>
      <c r="C197" s="4" t="s">
        <v>293</v>
      </c>
      <c r="D197" s="4" t="s">
        <v>294</v>
      </c>
      <c r="E197" s="4" t="s">
        <v>499</v>
      </c>
      <c r="G197" s="4" t="str">
        <f>+VLOOKUP(C197,'Plan Cuentas Link Armado'!$A$3:$D$105,4,0)</f>
        <v>Shop</v>
      </c>
      <c r="I197" s="339">
        <f ca="1">+SUMIF('Mov_Analizados_Sept25 - Dic25'!$H$10:$I$1051,Resumen_Base!E197,'Mov_Analizados_Sept25 - Dic25'!$I$10:$I$1051)</f>
        <v>0</v>
      </c>
      <c r="J197" s="340">
        <f ca="1">+SUMIF('Mov_Analizados_Sept25 - Dic25'!$H$10:$J$1051,Resumen_Base!E197,'Mov_Analizados_Sept25 - Dic25'!$J$10:$J$1051)</f>
        <v>0</v>
      </c>
      <c r="L197" s="339">
        <f>+SUMIF('Mov_Analizados_Ene 26'!$H$10:$H$330,Resumen_Base!E197,'Mov_Analizados_Ene 26'!$I$10:$I$330)</f>
        <v>0</v>
      </c>
      <c r="M197" s="340">
        <f>+SUMIF('Mov_Analizados_Ene 26'!$H$10:$H$330,Resumen_Base!E197,'Mov_Analizados_Ene 26'!$J$10:$J$330)</f>
        <v>0</v>
      </c>
      <c r="O197" s="339">
        <f>+SUMIF('Mov_Analizados_Feb - Mar 26'!$H$10:$H$1378,Resumen_Base!E197,'Mov_Analizados_Feb - Mar 26'!$I$10:$I$1378)</f>
        <v>0</v>
      </c>
      <c r="P197" s="340">
        <f>+SUMIF('Mov_Analizados_Feb - Mar 26'!$H$10:$H$1378,Resumen_Base!E197,'Mov_Analizados_Feb - Mar 26'!$J$10:$J$1378)</f>
        <v>0</v>
      </c>
      <c r="R197" s="339">
        <f>+SUMIF('Mov_Analizados_Abr 26'!$I$10:$I$862,Resumen_Base!E197,'Mov_Analizados_Abr 26'!$J$10:$J$862)</f>
        <v>0</v>
      </c>
      <c r="S197" s="340">
        <f>+SUMIF('Mov_Analizados_Abr 26'!$I$10:$I$862,Resumen_Base!E197,'Mov_Analizados_Abr 26'!$K$10:$K$862)</f>
        <v>0</v>
      </c>
      <c r="U197" s="339">
        <f>+SUMIF('Mov_Analizados_May 26'!$I$10:$I$1205,Resumen_Base!E197,'Mov_Analizados_May 26'!$J$10:$J$1205)</f>
        <v>0</v>
      </c>
      <c r="V197" s="340">
        <f>+SUMIF('Mov_Analizados_May 26'!$I$10:$I$1205,Resumen_Base!E197,'Mov_Analizados_May 26'!$K$10:$K$1205)</f>
        <v>0</v>
      </c>
      <c r="X197" s="339">
        <f t="shared" ca="1" si="11"/>
        <v>0</v>
      </c>
      <c r="Y197" s="340">
        <f t="shared" ca="1" si="12"/>
        <v>0</v>
      </c>
    </row>
    <row r="198" spans="1:25">
      <c r="A198" s="4" t="str">
        <f>+VLOOKUP(C198,'Plan Cuentas Link Armado'!$A$3:$D$105,4,0)</f>
        <v>Extras</v>
      </c>
      <c r="B198" s="346">
        <f ca="1">+Y198</f>
        <v>0</v>
      </c>
      <c r="C198" s="4" t="s">
        <v>301</v>
      </c>
      <c r="D198" s="4" t="s">
        <v>302</v>
      </c>
      <c r="E198" s="4" t="s">
        <v>502</v>
      </c>
      <c r="G198" s="4" t="str">
        <f>+VLOOKUP(C198,'Plan Cuentas Link Armado'!$A$3:$D$105,4,0)</f>
        <v>Extras</v>
      </c>
      <c r="I198" s="339">
        <f ca="1">+SUMIF('Mov_Analizados_Sept25 - Dic25'!$H$10:$I$1051,Resumen_Base!E198,'Mov_Analizados_Sept25 - Dic25'!$I$10:$I$1051)</f>
        <v>0</v>
      </c>
      <c r="J198" s="340">
        <f ca="1">+SUMIF('Mov_Analizados_Sept25 - Dic25'!$H$10:$J$1051,Resumen_Base!E198,'Mov_Analizados_Sept25 - Dic25'!$J$10:$J$1051)</f>
        <v>0</v>
      </c>
      <c r="L198" s="339">
        <f>+SUMIF('Mov_Analizados_Ene 26'!$H$10:$H$330,Resumen_Base!E198,'Mov_Analizados_Ene 26'!$I$10:$I$330)</f>
        <v>0</v>
      </c>
      <c r="M198" s="340">
        <f>+SUMIF('Mov_Analizados_Ene 26'!$H$10:$H$330,Resumen_Base!E198,'Mov_Analizados_Ene 26'!$J$10:$J$330)</f>
        <v>0</v>
      </c>
      <c r="O198" s="339">
        <f>+SUMIF('Mov_Analizados_Feb - Mar 26'!$H$10:$H$1378,Resumen_Base!E198,'Mov_Analizados_Feb - Mar 26'!$I$10:$I$1378)</f>
        <v>0</v>
      </c>
      <c r="P198" s="340">
        <f>+SUMIF('Mov_Analizados_Feb - Mar 26'!$H$10:$H$1378,Resumen_Base!E198,'Mov_Analizados_Feb - Mar 26'!$J$10:$J$1378)</f>
        <v>0</v>
      </c>
      <c r="R198" s="339">
        <f>+SUMIF('Mov_Analizados_Abr 26'!$I$10:$I$862,Resumen_Base!E198,'Mov_Analizados_Abr 26'!$J$10:$J$862)</f>
        <v>0</v>
      </c>
      <c r="S198" s="340">
        <f>+SUMIF('Mov_Analizados_Abr 26'!$I$10:$I$862,Resumen_Base!E198,'Mov_Analizados_Abr 26'!$K$10:$K$862)</f>
        <v>0</v>
      </c>
      <c r="U198" s="339">
        <f>+SUMIF('Mov_Analizados_May 26'!$I$10:$I$1205,Resumen_Base!E198,'Mov_Analizados_May 26'!$J$10:$J$1205)</f>
        <v>0</v>
      </c>
      <c r="V198" s="340">
        <f>+SUMIF('Mov_Analizados_May 26'!$I$10:$I$1205,Resumen_Base!E198,'Mov_Analizados_May 26'!$K$10:$K$1205)</f>
        <v>0</v>
      </c>
      <c r="X198" s="339">
        <f t="shared" ca="1" si="11"/>
        <v>0</v>
      </c>
      <c r="Y198" s="340">
        <f t="shared" ca="1" si="12"/>
        <v>0</v>
      </c>
    </row>
    <row r="199" spans="1:25">
      <c r="A199" s="4" t="str">
        <f>+VLOOKUP(C199,'Plan Cuentas Link Armado'!$A$3:$D$105,4,0)</f>
        <v>Extras</v>
      </c>
      <c r="B199" s="346">
        <f ca="1">+Y199</f>
        <v>0</v>
      </c>
      <c r="C199" s="4" t="s">
        <v>299</v>
      </c>
      <c r="D199" s="4" t="s">
        <v>300</v>
      </c>
      <c r="E199" s="4" t="s">
        <v>501</v>
      </c>
      <c r="G199" s="4" t="str">
        <f>+VLOOKUP(C199,'Plan Cuentas Link Armado'!$A$3:$D$105,4,0)</f>
        <v>Extras</v>
      </c>
      <c r="I199" s="339">
        <f ca="1">+SUMIF('Mov_Analizados_Sept25 - Dic25'!$H$10:$I$1051,Resumen_Base!E199,'Mov_Analizados_Sept25 - Dic25'!$I$10:$I$1051)</f>
        <v>0</v>
      </c>
      <c r="J199" s="340">
        <f ca="1">+SUMIF('Mov_Analizados_Sept25 - Dic25'!$H$10:$J$1051,Resumen_Base!E199,'Mov_Analizados_Sept25 - Dic25'!$J$10:$J$1051)</f>
        <v>0</v>
      </c>
      <c r="L199" s="339">
        <f>+SUMIF('Mov_Analizados_Ene 26'!$H$10:$H$330,Resumen_Base!E199,'Mov_Analizados_Ene 26'!$I$10:$I$330)</f>
        <v>0</v>
      </c>
      <c r="M199" s="340">
        <f>+SUMIF('Mov_Analizados_Ene 26'!$H$10:$H$330,Resumen_Base!E199,'Mov_Analizados_Ene 26'!$J$10:$J$330)</f>
        <v>0</v>
      </c>
      <c r="O199" s="339">
        <f>+SUMIF('Mov_Analizados_Feb - Mar 26'!$H$10:$H$1378,Resumen_Base!E199,'Mov_Analizados_Feb - Mar 26'!$I$10:$I$1378)</f>
        <v>0</v>
      </c>
      <c r="P199" s="340">
        <f>+SUMIF('Mov_Analizados_Feb - Mar 26'!$H$10:$H$1378,Resumen_Base!E199,'Mov_Analizados_Feb - Mar 26'!$J$10:$J$1378)</f>
        <v>0</v>
      </c>
      <c r="R199" s="339">
        <f>+SUMIF('Mov_Analizados_Abr 26'!$I$10:$I$862,Resumen_Base!E199,'Mov_Analizados_Abr 26'!$J$10:$J$862)</f>
        <v>0</v>
      </c>
      <c r="S199" s="340">
        <f>+SUMIF('Mov_Analizados_Abr 26'!$I$10:$I$862,Resumen_Base!E199,'Mov_Analizados_Abr 26'!$K$10:$K$862)</f>
        <v>0</v>
      </c>
      <c r="U199" s="339">
        <f>+SUMIF('Mov_Analizados_May 26'!$I$10:$I$1205,Resumen_Base!E199,'Mov_Analizados_May 26'!$J$10:$J$1205)</f>
        <v>0</v>
      </c>
      <c r="V199" s="340">
        <f>+SUMIF('Mov_Analizados_May 26'!$I$10:$I$1205,Resumen_Base!E199,'Mov_Analizados_May 26'!$K$10:$K$1205)</f>
        <v>0</v>
      </c>
      <c r="X199" s="339">
        <f t="shared" ca="1" si="11"/>
        <v>0</v>
      </c>
      <c r="Y199" s="340">
        <f t="shared" ca="1" si="12"/>
        <v>0</v>
      </c>
    </row>
    <row r="200" spans="1:25">
      <c r="A200" s="4" t="str">
        <f>+VLOOKUP(C200,'Plan Cuentas Link Armado'!$A$3:$D$105,4,0)</f>
        <v>Extras</v>
      </c>
      <c r="B200" s="346">
        <f ca="1">+Y200</f>
        <v>0</v>
      </c>
      <c r="C200" s="4" t="s">
        <v>297</v>
      </c>
      <c r="D200" s="4" t="s">
        <v>298</v>
      </c>
      <c r="E200" s="4" t="s">
        <v>500</v>
      </c>
      <c r="G200" s="4" t="str">
        <f>+VLOOKUP(C200,'Plan Cuentas Link Armado'!$A$3:$D$105,4,0)</f>
        <v>Extras</v>
      </c>
      <c r="I200" s="339">
        <f ca="1">+SUMIF('Mov_Analizados_Sept25 - Dic25'!$H$10:$I$1051,Resumen_Base!E200,'Mov_Analizados_Sept25 - Dic25'!$I$10:$I$1051)</f>
        <v>0</v>
      </c>
      <c r="J200" s="340">
        <f ca="1">+SUMIF('Mov_Analizados_Sept25 - Dic25'!$H$10:$J$1051,Resumen_Base!E200,'Mov_Analizados_Sept25 - Dic25'!$J$10:$J$1051)</f>
        <v>0</v>
      </c>
      <c r="L200" s="339">
        <f>+SUMIF('Mov_Analizados_Ene 26'!$H$10:$H$330,Resumen_Base!E200,'Mov_Analizados_Ene 26'!$I$10:$I$330)</f>
        <v>0</v>
      </c>
      <c r="M200" s="340">
        <f>+SUMIF('Mov_Analizados_Ene 26'!$H$10:$H$330,Resumen_Base!E200,'Mov_Analizados_Ene 26'!$J$10:$J$330)</f>
        <v>0</v>
      </c>
      <c r="O200" s="339">
        <f>+SUMIF('Mov_Analizados_Feb - Mar 26'!$H$10:$H$1378,Resumen_Base!E200,'Mov_Analizados_Feb - Mar 26'!$I$10:$I$1378)</f>
        <v>0</v>
      </c>
      <c r="P200" s="340">
        <f>+SUMIF('Mov_Analizados_Feb - Mar 26'!$H$10:$H$1378,Resumen_Base!E200,'Mov_Analizados_Feb - Mar 26'!$J$10:$J$1378)</f>
        <v>0</v>
      </c>
      <c r="R200" s="339">
        <f>+SUMIF('Mov_Analizados_Abr 26'!$I$10:$I$862,Resumen_Base!E200,'Mov_Analizados_Abr 26'!$J$10:$J$862)</f>
        <v>0</v>
      </c>
      <c r="S200" s="340">
        <f>+SUMIF('Mov_Analizados_Abr 26'!$I$10:$I$862,Resumen_Base!E200,'Mov_Analizados_Abr 26'!$K$10:$K$862)</f>
        <v>0</v>
      </c>
      <c r="U200" s="339">
        <f>+SUMIF('Mov_Analizados_May 26'!$I$10:$I$1205,Resumen_Base!E200,'Mov_Analizados_May 26'!$J$10:$J$1205)</f>
        <v>0</v>
      </c>
      <c r="V200" s="340">
        <f>+SUMIF('Mov_Analizados_May 26'!$I$10:$I$1205,Resumen_Base!E200,'Mov_Analizados_May 26'!$K$10:$K$1205)</f>
        <v>0</v>
      </c>
      <c r="X200" s="339">
        <f t="shared" ca="1" si="11"/>
        <v>0</v>
      </c>
      <c r="Y200" s="340">
        <f t="shared" ca="1" si="12"/>
        <v>0</v>
      </c>
    </row>
    <row r="201" spans="1:25">
      <c r="A201" s="4" t="str">
        <f>+VLOOKUP(C201,'Plan Cuentas Link Armado'!$A$3:$D$105,4,0)</f>
        <v>Gun Rental</v>
      </c>
      <c r="B201" s="346">
        <f ca="1">+Y201</f>
        <v>0</v>
      </c>
      <c r="C201" s="4" t="s">
        <v>303</v>
      </c>
      <c r="D201" s="4" t="s">
        <v>304</v>
      </c>
      <c r="E201" s="4" t="s">
        <v>503</v>
      </c>
      <c r="G201" s="4" t="str">
        <f>+VLOOKUP(C201,'Plan Cuentas Link Armado'!$A$3:$D$105,4,0)</f>
        <v>Gun Rental</v>
      </c>
      <c r="I201" s="339">
        <f ca="1">+SUMIF('Mov_Analizados_Sept25 - Dic25'!$H$10:$I$1051,Resumen_Base!E201,'Mov_Analizados_Sept25 - Dic25'!$I$10:$I$1051)</f>
        <v>0</v>
      </c>
      <c r="J201" s="340">
        <f ca="1">+SUMIF('Mov_Analizados_Sept25 - Dic25'!$H$10:$J$1051,Resumen_Base!E201,'Mov_Analizados_Sept25 - Dic25'!$J$10:$J$1051)</f>
        <v>0</v>
      </c>
      <c r="L201" s="339">
        <f>+SUMIF('Mov_Analizados_Ene 26'!$H$10:$H$330,Resumen_Base!E201,'Mov_Analizados_Ene 26'!$I$10:$I$330)</f>
        <v>0</v>
      </c>
      <c r="M201" s="340">
        <f>+SUMIF('Mov_Analizados_Ene 26'!$H$10:$H$330,Resumen_Base!E201,'Mov_Analizados_Ene 26'!$J$10:$J$330)</f>
        <v>0</v>
      </c>
      <c r="O201" s="339">
        <f>+SUMIF('Mov_Analizados_Feb - Mar 26'!$H$10:$H$1378,Resumen_Base!E201,'Mov_Analizados_Feb - Mar 26'!$I$10:$I$1378)</f>
        <v>0</v>
      </c>
      <c r="P201" s="340">
        <f>+SUMIF('Mov_Analizados_Feb - Mar 26'!$H$10:$H$1378,Resumen_Base!E201,'Mov_Analizados_Feb - Mar 26'!$J$10:$J$1378)</f>
        <v>0</v>
      </c>
      <c r="R201" s="339">
        <f>+SUMIF('Mov_Analizados_Abr 26'!$I$10:$I$862,Resumen_Base!E201,'Mov_Analizados_Abr 26'!$J$10:$J$862)</f>
        <v>0</v>
      </c>
      <c r="S201" s="340">
        <f>+SUMIF('Mov_Analizados_Abr 26'!$I$10:$I$862,Resumen_Base!E201,'Mov_Analizados_Abr 26'!$K$10:$K$862)</f>
        <v>0</v>
      </c>
      <c r="U201" s="339">
        <f>+SUMIF('Mov_Analizados_May 26'!$I$10:$I$1205,Resumen_Base!E201,'Mov_Analizados_May 26'!$J$10:$J$1205)</f>
        <v>0</v>
      </c>
      <c r="V201" s="340">
        <f>+SUMIF('Mov_Analizados_May 26'!$I$10:$I$1205,Resumen_Base!E201,'Mov_Analizados_May 26'!$K$10:$K$1205)</f>
        <v>0</v>
      </c>
      <c r="X201" s="339">
        <f t="shared" ca="1" si="11"/>
        <v>0</v>
      </c>
      <c r="Y201" s="340">
        <f t="shared" ca="1" si="12"/>
        <v>0</v>
      </c>
    </row>
    <row r="202" spans="1:25">
      <c r="A202" s="4" t="str">
        <f>+VLOOKUP(C202,'Plan Cuentas Link Armado'!$A$3:$D$105,4,0)</f>
        <v>Extras</v>
      </c>
      <c r="B202" s="346">
        <f t="shared" ca="1" si="13"/>
        <v>0</v>
      </c>
      <c r="C202" s="4" t="s">
        <v>291</v>
      </c>
      <c r="D202" s="4" t="s">
        <v>292</v>
      </c>
      <c r="E202" s="4" t="s">
        <v>498</v>
      </c>
      <c r="G202" s="4" t="str">
        <f>+VLOOKUP(C202,'Plan Cuentas Link Armado'!$A$3:$D$105,4,0)</f>
        <v>Extras</v>
      </c>
      <c r="I202" s="339">
        <f ca="1">+SUMIF('Mov_Analizados_Sept25 - Dic25'!$H$10:$I$1051,Resumen_Base!E202,'Mov_Analizados_Sept25 - Dic25'!$I$10:$I$1051)</f>
        <v>0</v>
      </c>
      <c r="J202" s="340">
        <f ca="1">+SUMIF('Mov_Analizados_Sept25 - Dic25'!$H$10:$J$1051,Resumen_Base!E202,'Mov_Analizados_Sept25 - Dic25'!$J$10:$J$1051)</f>
        <v>0</v>
      </c>
      <c r="L202" s="339">
        <f>+SUMIF('Mov_Analizados_Ene 26'!$H$10:$H$330,Resumen_Base!E202,'Mov_Analizados_Ene 26'!$I$10:$I$330)</f>
        <v>0</v>
      </c>
      <c r="M202" s="340">
        <f>+SUMIF('Mov_Analizados_Ene 26'!$H$10:$H$330,Resumen_Base!E202,'Mov_Analizados_Ene 26'!$J$10:$J$330)</f>
        <v>0</v>
      </c>
      <c r="O202" s="339">
        <f>+SUMIF('Mov_Analizados_Feb - Mar 26'!$H$10:$H$1378,Resumen_Base!E202,'Mov_Analizados_Feb - Mar 26'!$I$10:$I$1378)</f>
        <v>0</v>
      </c>
      <c r="P202" s="340">
        <f>+SUMIF('Mov_Analizados_Feb - Mar 26'!$H$10:$H$1378,Resumen_Base!E202,'Mov_Analizados_Feb - Mar 26'!$J$10:$J$1378)</f>
        <v>0</v>
      </c>
      <c r="R202" s="339">
        <f>+SUMIF('Mov_Analizados_Abr 26'!$I$10:$I$862,Resumen_Base!E202,'Mov_Analizados_Abr 26'!$J$10:$J$862)</f>
        <v>0</v>
      </c>
      <c r="S202" s="340">
        <f>+SUMIF('Mov_Analizados_Abr 26'!$I$10:$I$862,Resumen_Base!E202,'Mov_Analizados_Abr 26'!$K$10:$K$862)</f>
        <v>0</v>
      </c>
      <c r="U202" s="339">
        <f>+SUMIF('Mov_Analizados_May 26'!$I$10:$I$1205,Resumen_Base!E202,'Mov_Analizados_May 26'!$J$10:$J$1205)</f>
        <v>0</v>
      </c>
      <c r="V202" s="340">
        <f>+SUMIF('Mov_Analizados_May 26'!$I$10:$I$1205,Resumen_Base!E202,'Mov_Analizados_May 26'!$K$10:$K$1205)</f>
        <v>0</v>
      </c>
      <c r="X202" s="339">
        <f t="shared" ca="1" si="11"/>
        <v>0</v>
      </c>
      <c r="Y202" s="340">
        <f t="shared" ca="1" si="12"/>
        <v>0</v>
      </c>
    </row>
    <row r="203" spans="1:25">
      <c r="A203" s="4" t="str">
        <f>+VLOOKUP(C203,'Plan Cuentas Link Armado'!$A$3:$D$105,4,0)</f>
        <v>Extras</v>
      </c>
      <c r="B203" s="346">
        <f t="shared" ca="1" si="13"/>
        <v>0</v>
      </c>
      <c r="C203" s="4" t="s">
        <v>307</v>
      </c>
      <c r="D203" s="4" t="s">
        <v>308</v>
      </c>
      <c r="E203" s="4" t="s">
        <v>504</v>
      </c>
      <c r="G203" s="4" t="str">
        <f>+VLOOKUP(C203,'Plan Cuentas Link Armado'!$A$3:$D$105,4,0)</f>
        <v>Extras</v>
      </c>
      <c r="I203" s="339">
        <f ca="1">+SUMIF('Mov_Analizados_Sept25 - Dic25'!$H$10:$I$1051,Resumen_Base!E203,'Mov_Analizados_Sept25 - Dic25'!$I$10:$I$1051)</f>
        <v>0</v>
      </c>
      <c r="J203" s="340">
        <f ca="1">+SUMIF('Mov_Analizados_Sept25 - Dic25'!$H$10:$J$1051,Resumen_Base!E203,'Mov_Analizados_Sept25 - Dic25'!$J$10:$J$1051)</f>
        <v>0</v>
      </c>
      <c r="L203" s="339">
        <f>+SUMIF('Mov_Analizados_Ene 26'!$H$10:$H$330,Resumen_Base!E203,'Mov_Analizados_Ene 26'!$I$10:$I$330)</f>
        <v>0</v>
      </c>
      <c r="M203" s="340">
        <f>+SUMIF('Mov_Analizados_Ene 26'!$H$10:$H$330,Resumen_Base!E203,'Mov_Analizados_Ene 26'!$J$10:$J$330)</f>
        <v>0</v>
      </c>
      <c r="O203" s="339">
        <f>+SUMIF('Mov_Analizados_Feb - Mar 26'!$H$10:$H$1378,Resumen_Base!E203,'Mov_Analizados_Feb - Mar 26'!$I$10:$I$1378)</f>
        <v>0</v>
      </c>
      <c r="P203" s="340">
        <f>+SUMIF('Mov_Analizados_Feb - Mar 26'!$H$10:$H$1378,Resumen_Base!E203,'Mov_Analizados_Feb - Mar 26'!$J$10:$J$1378)</f>
        <v>0</v>
      </c>
      <c r="R203" s="339">
        <f>+SUMIF('Mov_Analizados_Abr 26'!$I$10:$I$862,Resumen_Base!E203,'Mov_Analizados_Abr 26'!$J$10:$J$862)</f>
        <v>0</v>
      </c>
      <c r="S203" s="340">
        <f>+SUMIF('Mov_Analizados_Abr 26'!$I$10:$I$862,Resumen_Base!E203,'Mov_Analizados_Abr 26'!$K$10:$K$862)</f>
        <v>0</v>
      </c>
      <c r="U203" s="339">
        <f>+SUMIF('Mov_Analizados_May 26'!$I$10:$I$1205,Resumen_Base!E203,'Mov_Analizados_May 26'!$J$10:$J$1205)</f>
        <v>0</v>
      </c>
      <c r="V203" s="340">
        <f>+SUMIF('Mov_Analizados_May 26'!$I$10:$I$1205,Resumen_Base!E203,'Mov_Analizados_May 26'!$K$10:$K$1205)</f>
        <v>0</v>
      </c>
      <c r="X203" s="339">
        <f t="shared" ca="1" si="11"/>
        <v>0</v>
      </c>
      <c r="Y203" s="340">
        <f t="shared" ca="1" si="12"/>
        <v>0</v>
      </c>
    </row>
    <row r="204" spans="1:25">
      <c r="A204" s="4" t="str">
        <f>+VLOOKUP(C204,'Plan Cuentas Link Armado'!$A$3:$D$105,4,0)</f>
        <v>Extras</v>
      </c>
      <c r="B204" s="346">
        <f t="shared" ca="1" si="13"/>
        <v>0</v>
      </c>
      <c r="C204" s="4" t="s">
        <v>310</v>
      </c>
      <c r="D204" s="4" t="s">
        <v>311</v>
      </c>
      <c r="E204" s="4" t="s">
        <v>505</v>
      </c>
      <c r="G204" s="4" t="str">
        <f>+VLOOKUP(C204,'Plan Cuentas Link Armado'!$A$3:$D$105,4,0)</f>
        <v>Extras</v>
      </c>
      <c r="I204" s="339">
        <f ca="1">+SUMIF('Mov_Analizados_Sept25 - Dic25'!$H$10:$I$1051,Resumen_Base!E204,'Mov_Analizados_Sept25 - Dic25'!$I$10:$I$1051)</f>
        <v>0</v>
      </c>
      <c r="J204" s="340">
        <f ca="1">+SUMIF('Mov_Analizados_Sept25 - Dic25'!$H$10:$J$1051,Resumen_Base!E204,'Mov_Analizados_Sept25 - Dic25'!$J$10:$J$1051)</f>
        <v>0</v>
      </c>
      <c r="L204" s="339">
        <f>+SUMIF('Mov_Analizados_Ene 26'!$H$10:$H$330,Resumen_Base!E204,'Mov_Analizados_Ene 26'!$I$10:$I$330)</f>
        <v>0</v>
      </c>
      <c r="M204" s="340">
        <f>+SUMIF('Mov_Analizados_Ene 26'!$H$10:$H$330,Resumen_Base!E204,'Mov_Analizados_Ene 26'!$J$10:$J$330)</f>
        <v>0</v>
      </c>
      <c r="O204" s="339">
        <f>+SUMIF('Mov_Analizados_Feb - Mar 26'!$H$10:$H$1378,Resumen_Base!E204,'Mov_Analizados_Feb - Mar 26'!$I$10:$I$1378)</f>
        <v>0</v>
      </c>
      <c r="P204" s="340">
        <f>+SUMIF('Mov_Analizados_Feb - Mar 26'!$H$10:$H$1378,Resumen_Base!E204,'Mov_Analizados_Feb - Mar 26'!$J$10:$J$1378)</f>
        <v>0</v>
      </c>
      <c r="R204" s="339">
        <f>+SUMIF('Mov_Analizados_Abr 26'!$I$10:$I$862,Resumen_Base!E204,'Mov_Analizados_Abr 26'!$J$10:$J$862)</f>
        <v>0</v>
      </c>
      <c r="S204" s="340">
        <f>+SUMIF('Mov_Analizados_Abr 26'!$I$10:$I$862,Resumen_Base!E204,'Mov_Analizados_Abr 26'!$K$10:$K$862)</f>
        <v>0</v>
      </c>
      <c r="U204" s="339">
        <f>+SUMIF('Mov_Analizados_May 26'!$I$10:$I$1205,Resumen_Base!E204,'Mov_Analizados_May 26'!$J$10:$J$1205)</f>
        <v>0</v>
      </c>
      <c r="V204" s="340">
        <f>+SUMIF('Mov_Analizados_May 26'!$I$10:$I$1205,Resumen_Base!E204,'Mov_Analizados_May 26'!$K$10:$K$1205)</f>
        <v>0</v>
      </c>
      <c r="X204" s="339">
        <f t="shared" ca="1" si="11"/>
        <v>0</v>
      </c>
      <c r="Y204" s="340">
        <f t="shared" ca="1" si="12"/>
        <v>0</v>
      </c>
    </row>
    <row r="205" spans="1:25">
      <c r="A205" s="4" t="str">
        <f>+VLOOKUP(C205,'Plan Cuentas Link Armado'!$A$3:$D$105,4,0)</f>
        <v>Extras</v>
      </c>
      <c r="B205" s="346">
        <f t="shared" ca="1" si="13"/>
        <v>0</v>
      </c>
      <c r="C205" s="4" t="s">
        <v>337</v>
      </c>
      <c r="D205" s="4" t="s">
        <v>338</v>
      </c>
      <c r="E205" s="4" t="s">
        <v>508</v>
      </c>
      <c r="G205" s="4" t="str">
        <f>+VLOOKUP(C205,'Plan Cuentas Link Armado'!$A$3:$D$105,4,0)</f>
        <v>Extras</v>
      </c>
      <c r="I205" s="339">
        <f ca="1">+SUMIF('Mov_Analizados_Sept25 - Dic25'!$H$10:$I$1051,Resumen_Base!E205,'Mov_Analizados_Sept25 - Dic25'!$I$10:$I$1051)</f>
        <v>0</v>
      </c>
      <c r="J205" s="340">
        <f ca="1">+SUMIF('Mov_Analizados_Sept25 - Dic25'!$H$10:$J$1051,Resumen_Base!E205,'Mov_Analizados_Sept25 - Dic25'!$J$10:$J$1051)</f>
        <v>0</v>
      </c>
      <c r="L205" s="339">
        <f>+SUMIF('Mov_Analizados_Ene 26'!$H$10:$H$330,Resumen_Base!E205,'Mov_Analizados_Ene 26'!$I$10:$I$330)</f>
        <v>0</v>
      </c>
      <c r="M205" s="340">
        <f>+SUMIF('Mov_Analizados_Ene 26'!$H$10:$H$330,Resumen_Base!E205,'Mov_Analizados_Ene 26'!$J$10:$J$330)</f>
        <v>0</v>
      </c>
      <c r="O205" s="339">
        <f>+SUMIF('Mov_Analizados_Feb - Mar 26'!$H$10:$H$1378,Resumen_Base!E205,'Mov_Analizados_Feb - Mar 26'!$I$10:$I$1378)</f>
        <v>0</v>
      </c>
      <c r="P205" s="340">
        <f>+SUMIF('Mov_Analizados_Feb - Mar 26'!$H$10:$H$1378,Resumen_Base!E205,'Mov_Analizados_Feb - Mar 26'!$J$10:$J$1378)</f>
        <v>0</v>
      </c>
      <c r="R205" s="339">
        <f>+SUMIF('Mov_Analizados_Abr 26'!$I$10:$I$862,Resumen_Base!E205,'Mov_Analizados_Abr 26'!$J$10:$J$862)</f>
        <v>0</v>
      </c>
      <c r="S205" s="340">
        <f>+SUMIF('Mov_Analizados_Abr 26'!$I$10:$I$862,Resumen_Base!E205,'Mov_Analizados_Abr 26'!$K$10:$K$862)</f>
        <v>0</v>
      </c>
      <c r="U205" s="339">
        <f>+SUMIF('Mov_Analizados_May 26'!$I$10:$I$1205,Resumen_Base!E205,'Mov_Analizados_May 26'!$J$10:$J$1205)</f>
        <v>0</v>
      </c>
      <c r="V205" s="340">
        <f>+SUMIF('Mov_Analizados_May 26'!$I$10:$I$1205,Resumen_Base!E205,'Mov_Analizados_May 26'!$K$10:$K$1205)</f>
        <v>0</v>
      </c>
      <c r="X205" s="339">
        <f t="shared" ca="1" si="11"/>
        <v>0</v>
      </c>
      <c r="Y205" s="340">
        <f t="shared" ca="1" si="12"/>
        <v>0</v>
      </c>
    </row>
    <row r="206" spans="1:25">
      <c r="A206" s="4" t="str">
        <f>+VLOOKUP(C206,'Plan Cuentas Link Armado'!$A$3:$D$105,4,0)</f>
        <v>Gun Rental</v>
      </c>
      <c r="B206" s="346">
        <f t="shared" ca="1" si="13"/>
        <v>0</v>
      </c>
      <c r="C206" s="4" t="s">
        <v>327</v>
      </c>
      <c r="D206" s="4" t="s">
        <v>328</v>
      </c>
      <c r="E206" s="4" t="s">
        <v>507</v>
      </c>
      <c r="G206" s="4" t="str">
        <f>+VLOOKUP(C206,'Plan Cuentas Link Armado'!$A$3:$D$105,4,0)</f>
        <v>Gun Rental</v>
      </c>
      <c r="I206" s="339">
        <f ca="1">+SUMIF('Mov_Analizados_Sept25 - Dic25'!$H$10:$I$1051,Resumen_Base!E206,'Mov_Analizados_Sept25 - Dic25'!$I$10:$I$1051)</f>
        <v>0</v>
      </c>
      <c r="J206" s="340">
        <f ca="1">+SUMIF('Mov_Analizados_Sept25 - Dic25'!$H$10:$J$1051,Resumen_Base!E206,'Mov_Analizados_Sept25 - Dic25'!$J$10:$J$1051)</f>
        <v>0</v>
      </c>
      <c r="L206" s="339">
        <f>+SUMIF('Mov_Analizados_Ene 26'!$H$10:$H$330,Resumen_Base!E206,'Mov_Analizados_Ene 26'!$I$10:$I$330)</f>
        <v>0</v>
      </c>
      <c r="M206" s="340">
        <f>+SUMIF('Mov_Analizados_Ene 26'!$H$10:$H$330,Resumen_Base!E206,'Mov_Analizados_Ene 26'!$J$10:$J$330)</f>
        <v>0</v>
      </c>
      <c r="O206" s="339">
        <f>+SUMIF('Mov_Analizados_Feb - Mar 26'!$H$10:$H$1378,Resumen_Base!E206,'Mov_Analizados_Feb - Mar 26'!$I$10:$I$1378)</f>
        <v>0</v>
      </c>
      <c r="P206" s="340">
        <f>+SUMIF('Mov_Analizados_Feb - Mar 26'!$H$10:$H$1378,Resumen_Base!E206,'Mov_Analizados_Feb - Mar 26'!$J$10:$J$1378)</f>
        <v>0</v>
      </c>
      <c r="R206" s="339">
        <f>+SUMIF('Mov_Analizados_Abr 26'!$I$10:$I$862,Resumen_Base!E206,'Mov_Analizados_Abr 26'!$J$10:$J$862)</f>
        <v>0</v>
      </c>
      <c r="S206" s="340">
        <f>+SUMIF('Mov_Analizados_Abr 26'!$I$10:$I$862,Resumen_Base!E206,'Mov_Analizados_Abr 26'!$K$10:$K$862)</f>
        <v>0</v>
      </c>
      <c r="U206" s="339">
        <f>+SUMIF('Mov_Analizados_May 26'!$I$10:$I$1205,Resumen_Base!E206,'Mov_Analizados_May 26'!$J$10:$J$1205)</f>
        <v>0</v>
      </c>
      <c r="V206" s="340">
        <f>+SUMIF('Mov_Analizados_May 26'!$I$10:$I$1205,Resumen_Base!E206,'Mov_Analizados_May 26'!$K$10:$K$1205)</f>
        <v>0</v>
      </c>
      <c r="X206" s="339">
        <f t="shared" ca="1" si="11"/>
        <v>0</v>
      </c>
      <c r="Y206" s="340">
        <f t="shared" ca="1" si="12"/>
        <v>0</v>
      </c>
    </row>
    <row r="207" spans="1:25">
      <c r="A207" s="4" t="str">
        <f>+VLOOKUP(C207,'Plan Cuentas Link Armado'!$A$3:$D$105,4,0)</f>
        <v>Canon Lodge/Labor Permits:</v>
      </c>
      <c r="C207" s="4" t="s">
        <v>313</v>
      </c>
      <c r="D207" s="4" t="s">
        <v>314</v>
      </c>
      <c r="E207" s="152" t="s">
        <v>511</v>
      </c>
      <c r="G207" s="4" t="str">
        <f>+VLOOKUP(C207,'Plan Cuentas Link Armado'!$A$3:$D$105,4,0)</f>
        <v>Canon Lodge/Labor Permits:</v>
      </c>
      <c r="I207" s="339">
        <f ca="1">+SUMIF('Mov_Analizados_Sept25 - Dic25'!$H$10:$I$1051,Resumen_Base!E207,'Mov_Analizados_Sept25 - Dic25'!$I$10:$I$1051)</f>
        <v>0</v>
      </c>
      <c r="J207" s="340">
        <f ca="1">+SUMIF('Mov_Analizados_Sept25 - Dic25'!$H$10:$J$1051,Resumen_Base!E207,'Mov_Analizados_Sept25 - Dic25'!$J$10:$J$1051)</f>
        <v>0</v>
      </c>
      <c r="L207" s="339">
        <f>+SUMIF('Mov_Analizados_Ene 26'!$H$10:$H$330,Resumen_Base!E207,'Mov_Analizados_Ene 26'!$I$10:$I$330)</f>
        <v>0</v>
      </c>
      <c r="M207" s="340">
        <f>+SUMIF('Mov_Analizados_Ene 26'!$H$10:$H$330,Resumen_Base!E207,'Mov_Analizados_Ene 26'!$J$10:$J$330)</f>
        <v>0</v>
      </c>
      <c r="O207" s="339">
        <f>+SUMIF('Mov_Analizados_Feb - Mar 26'!$H$10:$H$1378,Resumen_Base!E207,'Mov_Analizados_Feb - Mar 26'!$I$10:$I$1378)</f>
        <v>0</v>
      </c>
      <c r="P207" s="340">
        <f>+SUMIF('Mov_Analizados_Feb - Mar 26'!$H$10:$H$1378,Resumen_Base!E207,'Mov_Analizados_Feb - Mar 26'!$J$10:$J$1378)</f>
        <v>0</v>
      </c>
      <c r="R207" s="339">
        <f>+SUMIF('Mov_Analizados_Abr 26'!$I$10:$I$862,Resumen_Base!E207,'Mov_Analizados_Abr 26'!$J$10:$J$862)</f>
        <v>0</v>
      </c>
      <c r="S207" s="340">
        <f>+SUMIF('Mov_Analizados_Abr 26'!$I$10:$I$862,Resumen_Base!E207,'Mov_Analizados_Abr 26'!$K$10:$K$862)</f>
        <v>0</v>
      </c>
      <c r="U207" s="339">
        <f>+SUMIF('Mov_Analizados_May 26'!$I$10:$I$1205,Resumen_Base!E207,'Mov_Analizados_May 26'!$J$10:$J$1205)</f>
        <v>0</v>
      </c>
      <c r="V207" s="340">
        <f>+SUMIF('Mov_Analizados_May 26'!$I$10:$I$1205,Resumen_Base!E207,'Mov_Analizados_May 26'!$K$10:$K$1205)</f>
        <v>0</v>
      </c>
      <c r="X207" s="339">
        <f t="shared" ca="1" si="11"/>
        <v>0</v>
      </c>
      <c r="Y207" s="340">
        <f t="shared" ca="1" si="12"/>
        <v>0</v>
      </c>
    </row>
    <row r="208" spans="1:25">
      <c r="A208" s="4" t="str">
        <f>+VLOOKUP(C208,'Plan Cuentas Link Armado'!$A$3:$D$105,4,0)</f>
        <v>Insurance for lodge and boats</v>
      </c>
      <c r="C208" s="4" t="s">
        <v>316</v>
      </c>
      <c r="D208" s="4" t="s">
        <v>317</v>
      </c>
      <c r="E208" s="4" t="s">
        <v>506</v>
      </c>
      <c r="G208" s="4" t="str">
        <f>+VLOOKUP(C208,'Plan Cuentas Link Armado'!$A$3:$D$105,4,0)</f>
        <v>Insurance for lodge and boats</v>
      </c>
      <c r="I208" s="339">
        <f ca="1">+SUMIF('Mov_Analizados_Sept25 - Dic25'!$H$10:$I$1051,Resumen_Base!E208,'Mov_Analizados_Sept25 - Dic25'!$I$10:$I$1051)</f>
        <v>0</v>
      </c>
      <c r="J208" s="340">
        <f ca="1">+SUMIF('Mov_Analizados_Sept25 - Dic25'!$H$10:$J$1051,Resumen_Base!E208,'Mov_Analizados_Sept25 - Dic25'!$J$10:$J$1051)</f>
        <v>0</v>
      </c>
      <c r="L208" s="339">
        <f>+SUMIF('Mov_Analizados_Ene 26'!$H$10:$H$330,Resumen_Base!E208,'Mov_Analizados_Ene 26'!$I$10:$I$330)</f>
        <v>0</v>
      </c>
      <c r="M208" s="340">
        <f>+SUMIF('Mov_Analizados_Ene 26'!$H$10:$H$330,Resumen_Base!E208,'Mov_Analizados_Ene 26'!$J$10:$J$330)</f>
        <v>0</v>
      </c>
      <c r="O208" s="339">
        <f>+SUMIF('Mov_Analizados_Feb - Mar 26'!$H$10:$H$1378,Resumen_Base!E208,'Mov_Analizados_Feb - Mar 26'!$I$10:$I$1378)</f>
        <v>0</v>
      </c>
      <c r="P208" s="340">
        <f>+SUMIF('Mov_Analizados_Feb - Mar 26'!$H$10:$H$1378,Resumen_Base!E208,'Mov_Analizados_Feb - Mar 26'!$J$10:$J$1378)</f>
        <v>0</v>
      </c>
      <c r="R208" s="339">
        <f>+SUMIF('Mov_Analizados_Abr 26'!$I$10:$I$862,Resumen_Base!E208,'Mov_Analizados_Abr 26'!$J$10:$J$862)</f>
        <v>0</v>
      </c>
      <c r="S208" s="340">
        <f>+SUMIF('Mov_Analizados_Abr 26'!$I$10:$I$862,Resumen_Base!E208,'Mov_Analizados_Abr 26'!$K$10:$K$862)</f>
        <v>0</v>
      </c>
      <c r="U208" s="339">
        <f>+SUMIF('Mov_Analizados_May 26'!$I$10:$I$1205,Resumen_Base!E208,'Mov_Analizados_May 26'!$J$10:$J$1205)</f>
        <v>0</v>
      </c>
      <c r="V208" s="340">
        <f>+SUMIF('Mov_Analizados_May 26'!$I$10:$I$1205,Resumen_Base!E208,'Mov_Analizados_May 26'!$K$10:$K$1205)</f>
        <v>0</v>
      </c>
      <c r="X208" s="339">
        <f t="shared" ca="1" si="11"/>
        <v>0</v>
      </c>
      <c r="Y208" s="340">
        <f t="shared" ca="1" si="12"/>
        <v>0</v>
      </c>
    </row>
    <row r="209" spans="1:27">
      <c r="A209" s="4" t="str">
        <f>+VLOOKUP(C209,'Plan Cuentas Link Armado'!$A$3:$D$105,4,0)</f>
        <v>Services/House</v>
      </c>
      <c r="C209" s="4" t="s">
        <v>321</v>
      </c>
      <c r="D209" s="4" t="s">
        <v>322</v>
      </c>
      <c r="E209" s="4" t="s">
        <v>509</v>
      </c>
      <c r="G209" s="4" t="str">
        <f>+VLOOKUP(C209,'Plan Cuentas Link Armado'!$A$3:$D$105,4,0)</f>
        <v>Services/House</v>
      </c>
      <c r="I209" s="339">
        <f ca="1">+SUMIF('Mov_Analizados_Sept25 - Dic25'!$H$10:$I$1051,Resumen_Base!E209,'Mov_Analizados_Sept25 - Dic25'!$I$10:$I$1051)</f>
        <v>0</v>
      </c>
      <c r="J209" s="340">
        <f ca="1">+SUMIF('Mov_Analizados_Sept25 - Dic25'!$H$10:$J$1051,Resumen_Base!E209,'Mov_Analizados_Sept25 - Dic25'!$J$10:$J$1051)</f>
        <v>0</v>
      </c>
      <c r="L209" s="339">
        <f>+SUMIF('Mov_Analizados_Ene 26'!$H$10:$H$330,Resumen_Base!E209,'Mov_Analizados_Ene 26'!$I$10:$I$330)</f>
        <v>0</v>
      </c>
      <c r="M209" s="340">
        <f>+SUMIF('Mov_Analizados_Ene 26'!$H$10:$H$330,Resumen_Base!E209,'Mov_Analizados_Ene 26'!$J$10:$J$330)</f>
        <v>0</v>
      </c>
      <c r="O209" s="339">
        <f>+SUMIF('Mov_Analizados_Feb - Mar 26'!$H$10:$H$1378,Resumen_Base!E209,'Mov_Analizados_Feb - Mar 26'!$I$10:$I$1378)</f>
        <v>0</v>
      </c>
      <c r="P209" s="340">
        <f>+SUMIF('Mov_Analizados_Feb - Mar 26'!$H$10:$H$1378,Resumen_Base!E209,'Mov_Analizados_Feb - Mar 26'!$J$10:$J$1378)</f>
        <v>0</v>
      </c>
      <c r="R209" s="339">
        <f>+SUMIF('Mov_Analizados_Abr 26'!$I$10:$I$862,Resumen_Base!E209,'Mov_Analizados_Abr 26'!$J$10:$J$862)</f>
        <v>0</v>
      </c>
      <c r="S209" s="340">
        <f>+SUMIF('Mov_Analizados_Abr 26'!$I$10:$I$862,Resumen_Base!E209,'Mov_Analizados_Abr 26'!$K$10:$K$862)</f>
        <v>0</v>
      </c>
      <c r="U209" s="339">
        <f>+SUMIF('Mov_Analizados_May 26'!$I$10:$I$1205,Resumen_Base!E209,'Mov_Analizados_May 26'!$J$10:$J$1205)</f>
        <v>0</v>
      </c>
      <c r="V209" s="340">
        <f>+SUMIF('Mov_Analizados_May 26'!$I$10:$I$1205,Resumen_Base!E209,'Mov_Analizados_May 26'!$K$10:$K$1205)</f>
        <v>0</v>
      </c>
      <c r="X209" s="339">
        <f t="shared" ca="1" si="11"/>
        <v>0</v>
      </c>
      <c r="Y209" s="340">
        <f t="shared" ca="1" si="12"/>
        <v>0</v>
      </c>
    </row>
    <row r="210" spans="1:27">
      <c r="A210" s="4" t="str">
        <f>+VLOOKUP(C210,'Plan Cuentas Link Armado'!$A$3:$D$105,4,0)</f>
        <v>Guides</v>
      </c>
      <c r="C210" s="4" t="s">
        <v>323</v>
      </c>
      <c r="D210" s="4" t="s">
        <v>324</v>
      </c>
      <c r="E210" s="152" t="s">
        <v>513</v>
      </c>
      <c r="G210" s="4" t="str">
        <f>+VLOOKUP(C210,'Plan Cuentas Link Armado'!$A$3:$D$105,4,0)</f>
        <v>Guides</v>
      </c>
      <c r="I210" s="339">
        <f ca="1">+SUMIF('Mov_Analizados_Sept25 - Dic25'!$H$10:$I$1051,Resumen_Base!E210,'Mov_Analizados_Sept25 - Dic25'!$I$10:$I$1051)</f>
        <v>0</v>
      </c>
      <c r="J210" s="340">
        <f ca="1">+SUMIF('Mov_Analizados_Sept25 - Dic25'!$H$10:$J$1051,Resumen_Base!E210,'Mov_Analizados_Sept25 - Dic25'!$J$10:$J$1051)</f>
        <v>0</v>
      </c>
      <c r="L210" s="339">
        <f>+SUMIF('Mov_Analizados_Ene 26'!$H$10:$H$330,Resumen_Base!E210,'Mov_Analizados_Ene 26'!$I$10:$I$330)</f>
        <v>0</v>
      </c>
      <c r="M210" s="340">
        <f>+SUMIF('Mov_Analizados_Ene 26'!$H$10:$H$330,Resumen_Base!E210,'Mov_Analizados_Ene 26'!$J$10:$J$330)</f>
        <v>0</v>
      </c>
      <c r="O210" s="339">
        <f>+SUMIF('Mov_Analizados_Feb - Mar 26'!$H$10:$H$1378,Resumen_Base!E210,'Mov_Analizados_Feb - Mar 26'!$I$10:$I$1378)</f>
        <v>0</v>
      </c>
      <c r="P210" s="340">
        <f>+SUMIF('Mov_Analizados_Feb - Mar 26'!$H$10:$H$1378,Resumen_Base!E210,'Mov_Analizados_Feb - Mar 26'!$J$10:$J$1378)</f>
        <v>0</v>
      </c>
      <c r="R210" s="339">
        <f>+SUMIF('Mov_Analizados_Abr 26'!$I$10:$I$862,Resumen_Base!E210,'Mov_Analizados_Abr 26'!$J$10:$J$862)</f>
        <v>0</v>
      </c>
      <c r="S210" s="340">
        <f>+SUMIF('Mov_Analizados_Abr 26'!$I$10:$I$862,Resumen_Base!E210,'Mov_Analizados_Abr 26'!$K$10:$K$862)</f>
        <v>0</v>
      </c>
      <c r="U210" s="339">
        <f>+SUMIF('Mov_Analizados_May 26'!$I$10:$I$1205,Resumen_Base!E210,'Mov_Analizados_May 26'!$J$10:$J$1205)</f>
        <v>0</v>
      </c>
      <c r="V210" s="340">
        <f>+SUMIF('Mov_Analizados_May 26'!$I$10:$I$1205,Resumen_Base!E210,'Mov_Analizados_May 26'!$K$10:$K$1205)</f>
        <v>0</v>
      </c>
      <c r="X210" s="339">
        <f t="shared" ca="1" si="11"/>
        <v>0</v>
      </c>
      <c r="Y210" s="340">
        <f t="shared" ca="1" si="12"/>
        <v>0</v>
      </c>
    </row>
    <row r="211" spans="1:27">
      <c r="A211" s="4" t="str">
        <f>+VLOOKUP(C211,'Plan Cuentas Link Armado'!$A$3:$D$105,4,0)</f>
        <v>Manager</v>
      </c>
      <c r="C211" s="4" t="s">
        <v>325</v>
      </c>
      <c r="D211" s="4" t="s">
        <v>326</v>
      </c>
      <c r="E211" s="152" t="s">
        <v>514</v>
      </c>
      <c r="G211" s="4" t="str">
        <f>+VLOOKUP(C211,'Plan Cuentas Link Armado'!$A$3:$D$105,4,0)</f>
        <v>Manager</v>
      </c>
      <c r="I211" s="339">
        <f ca="1">+SUMIF('Mov_Analizados_Sept25 - Dic25'!$H$10:$I$1051,Resumen_Base!E211,'Mov_Analizados_Sept25 - Dic25'!$I$10:$I$1051)</f>
        <v>0</v>
      </c>
      <c r="J211" s="340">
        <f ca="1">+SUMIF('Mov_Analizados_Sept25 - Dic25'!$H$10:$J$1051,Resumen_Base!E211,'Mov_Analizados_Sept25 - Dic25'!$J$10:$J$1051)</f>
        <v>0</v>
      </c>
      <c r="L211" s="339">
        <f>+SUMIF('Mov_Analizados_Ene 26'!$H$10:$H$330,Resumen_Base!E211,'Mov_Analizados_Ene 26'!$I$10:$I$330)</f>
        <v>0</v>
      </c>
      <c r="M211" s="340">
        <f>+SUMIF('Mov_Analizados_Ene 26'!$H$10:$H$330,Resumen_Base!E211,'Mov_Analizados_Ene 26'!$J$10:$J$330)</f>
        <v>0</v>
      </c>
      <c r="O211" s="339">
        <f>+SUMIF('Mov_Analizados_Feb - Mar 26'!$H$10:$H$1378,Resumen_Base!E211,'Mov_Analizados_Feb - Mar 26'!$I$10:$I$1378)</f>
        <v>0</v>
      </c>
      <c r="P211" s="340">
        <f>+SUMIF('Mov_Analizados_Feb - Mar 26'!$H$10:$H$1378,Resumen_Base!E211,'Mov_Analizados_Feb - Mar 26'!$J$10:$J$1378)</f>
        <v>0</v>
      </c>
      <c r="R211" s="339">
        <f>+SUMIF('Mov_Analizados_Abr 26'!$I$10:$I$862,Resumen_Base!E211,'Mov_Analizados_Abr 26'!$J$10:$J$862)</f>
        <v>0</v>
      </c>
      <c r="S211" s="340">
        <f>+SUMIF('Mov_Analizados_Abr 26'!$I$10:$I$862,Resumen_Base!E211,'Mov_Analizados_Abr 26'!$K$10:$K$862)</f>
        <v>0</v>
      </c>
      <c r="U211" s="339">
        <f>+SUMIF('Mov_Analizados_May 26'!$I$10:$I$1205,Resumen_Base!E211,'Mov_Analizados_May 26'!$J$10:$J$1205)</f>
        <v>0</v>
      </c>
      <c r="V211" s="340">
        <f>+SUMIF('Mov_Analizados_May 26'!$I$10:$I$1205,Resumen_Base!E211,'Mov_Analizados_May 26'!$K$10:$K$1205)</f>
        <v>0</v>
      </c>
      <c r="X211" s="339">
        <f t="shared" ca="1" si="11"/>
        <v>0</v>
      </c>
      <c r="Y211" s="340">
        <f t="shared" ca="1" si="12"/>
        <v>0</v>
      </c>
    </row>
    <row r="212" spans="1:27">
      <c r="A212" s="4" t="str">
        <f>+VLOOKUP(C212,'Plan Cuentas Link Armado'!$A$3:$D$105,4,0)</f>
        <v>Social Security Contributions</v>
      </c>
      <c r="C212" s="4" t="s">
        <v>329</v>
      </c>
      <c r="D212" s="4" t="s">
        <v>330</v>
      </c>
      <c r="E212" s="4" t="s">
        <v>510</v>
      </c>
      <c r="G212" s="4" t="str">
        <f>+VLOOKUP(C212,'Plan Cuentas Link Armado'!$A$3:$D$105,4,0)</f>
        <v>Social Security Contributions</v>
      </c>
      <c r="I212" s="339">
        <f ca="1">+SUMIF('Mov_Analizados_Sept25 - Dic25'!$H$10:$I$1051,Resumen_Base!E212,'Mov_Analizados_Sept25 - Dic25'!$I$10:$I$1051)</f>
        <v>0</v>
      </c>
      <c r="J212" s="340">
        <f ca="1">+SUMIF('Mov_Analizados_Sept25 - Dic25'!$H$10:$J$1051,Resumen_Base!E212,'Mov_Analizados_Sept25 - Dic25'!$J$10:$J$1051)</f>
        <v>0</v>
      </c>
      <c r="L212" s="339">
        <f>+SUMIF('Mov_Analizados_Ene 26'!$H$10:$H$330,Resumen_Base!E212,'Mov_Analizados_Ene 26'!$I$10:$I$330)</f>
        <v>0</v>
      </c>
      <c r="M212" s="340">
        <f>+SUMIF('Mov_Analizados_Ene 26'!$H$10:$H$330,Resumen_Base!E212,'Mov_Analizados_Ene 26'!$J$10:$J$330)</f>
        <v>0</v>
      </c>
      <c r="O212" s="339">
        <f>+SUMIF('Mov_Analizados_Feb - Mar 26'!$H$10:$H$1378,Resumen_Base!E212,'Mov_Analizados_Feb - Mar 26'!$I$10:$I$1378)</f>
        <v>0</v>
      </c>
      <c r="P212" s="340">
        <f>+SUMIF('Mov_Analizados_Feb - Mar 26'!$H$10:$H$1378,Resumen_Base!E212,'Mov_Analizados_Feb - Mar 26'!$J$10:$J$1378)</f>
        <v>0</v>
      </c>
      <c r="R212" s="339">
        <f>+SUMIF('Mov_Analizados_Abr 26'!$I$10:$I$862,Resumen_Base!E212,'Mov_Analizados_Abr 26'!$J$10:$J$862)</f>
        <v>0</v>
      </c>
      <c r="S212" s="340">
        <f>+SUMIF('Mov_Analizados_Abr 26'!$I$10:$I$862,Resumen_Base!E212,'Mov_Analizados_Abr 26'!$K$10:$K$862)</f>
        <v>0</v>
      </c>
      <c r="U212" s="339">
        <f>+SUMIF('Mov_Analizados_May 26'!$I$10:$I$1205,Resumen_Base!E212,'Mov_Analizados_May 26'!$J$10:$J$1205)</f>
        <v>0</v>
      </c>
      <c r="V212" s="340">
        <f>+SUMIF('Mov_Analizados_May 26'!$I$10:$I$1205,Resumen_Base!E212,'Mov_Analizados_May 26'!$K$10:$K$1205)</f>
        <v>0</v>
      </c>
      <c r="X212" s="339">
        <f t="shared" ca="1" si="11"/>
        <v>0</v>
      </c>
      <c r="Y212" s="340">
        <f t="shared" ca="1" si="12"/>
        <v>0</v>
      </c>
    </row>
    <row r="213" spans="1:27">
      <c r="A213" s="4" t="str">
        <f>+VLOOKUP(C213,'Plan Cuentas Link Armado'!$A$3:$D$105,4,0)</f>
        <v>Work uniforms for personnel (employees)</v>
      </c>
      <c r="C213" s="308" t="s">
        <v>60</v>
      </c>
      <c r="D213" s="4" t="s">
        <v>61</v>
      </c>
      <c r="E213" s="4" t="s">
        <v>523</v>
      </c>
      <c r="G213" s="4" t="str">
        <f>+VLOOKUP(C213,'Plan Cuentas Link Armado'!$A$3:$D$105,4,0)</f>
        <v>Work uniforms for personnel (employees)</v>
      </c>
      <c r="I213" s="339">
        <f ca="1">+SUMIF('Mov_Analizados_Sept25 - Dic25'!$H$10:$I$1051,Resumen_Base!E213,'Mov_Analizados_Sept25 - Dic25'!$I$10:$I$1051)</f>
        <v>0</v>
      </c>
      <c r="J213" s="340">
        <f ca="1">+SUMIF('Mov_Analizados_Sept25 - Dic25'!$H$10:$J$1051,Resumen_Base!E213,'Mov_Analizados_Sept25 - Dic25'!$J$10:$J$1051)</f>
        <v>0</v>
      </c>
      <c r="L213" s="339">
        <f>+SUMIF('Mov_Analizados_Ene 26'!$H$10:$H$330,Resumen_Base!E213,'Mov_Analizados_Ene 26'!$I$10:$I$330)</f>
        <v>0</v>
      </c>
      <c r="M213" s="340">
        <f>+SUMIF('Mov_Analizados_Ene 26'!$H$10:$H$330,Resumen_Base!E213,'Mov_Analizados_Ene 26'!$J$10:$J$330)</f>
        <v>0</v>
      </c>
      <c r="O213" s="339">
        <f>+SUMIF('Mov_Analizados_Feb - Mar 26'!$H$10:$H$1378,Resumen_Base!E213,'Mov_Analizados_Feb - Mar 26'!$I$10:$I$1378)</f>
        <v>0</v>
      </c>
      <c r="P213" s="340">
        <f>+SUMIF('Mov_Analizados_Feb - Mar 26'!$H$10:$H$1378,Resumen_Base!E213,'Mov_Analizados_Feb - Mar 26'!$J$10:$J$1378)</f>
        <v>0</v>
      </c>
      <c r="R213" s="339">
        <f>+SUMIF('Mov_Analizados_Abr 26'!$I$10:$I$862,Resumen_Base!E213,'Mov_Analizados_Abr 26'!$J$10:$J$862)</f>
        <v>0</v>
      </c>
      <c r="S213" s="340">
        <f>+SUMIF('Mov_Analizados_Abr 26'!$I$10:$I$862,Resumen_Base!E213,'Mov_Analizados_Abr 26'!$K$10:$K$862)</f>
        <v>0</v>
      </c>
      <c r="U213" s="339">
        <f>+SUMIF('Mov_Analizados_May 26'!$I$10:$I$1205,Resumen_Base!E213,'Mov_Analizados_May 26'!$J$10:$J$1205)</f>
        <v>0</v>
      </c>
      <c r="V213" s="340">
        <f>+SUMIF('Mov_Analizados_May 26'!$I$10:$I$1205,Resumen_Base!E213,'Mov_Analizados_May 26'!$K$10:$K$1205)</f>
        <v>0</v>
      </c>
      <c r="X213" s="339">
        <f t="shared" ca="1" si="11"/>
        <v>0</v>
      </c>
      <c r="Y213" s="340">
        <f t="shared" ca="1" si="12"/>
        <v>0</v>
      </c>
    </row>
    <row r="214" spans="1:27">
      <c r="A214" s="4" t="str">
        <f>+VLOOKUP(C214,'Plan Cuentas Link Armado'!$A$3:$D$105,4,0)</f>
        <v>Maintenance Lodge</v>
      </c>
      <c r="C214" s="308" t="s">
        <v>236</v>
      </c>
      <c r="D214" s="4" t="s">
        <v>237</v>
      </c>
      <c r="E214" s="4" t="s">
        <v>524</v>
      </c>
      <c r="F214" s="152" t="s">
        <v>77</v>
      </c>
      <c r="G214" s="4" t="str">
        <f>+VLOOKUP(C214,'Plan Cuentas Link Armado'!$A$3:$D$105,4,0)</f>
        <v>Maintenance Lodge</v>
      </c>
      <c r="I214" s="339">
        <f ca="1">+SUMIF('Mov_Analizados_Sept25 - Dic25'!$H$10:$I$1051,Resumen_Base!E214,'Mov_Analizados_Sept25 - Dic25'!$I$10:$I$1051)</f>
        <v>0</v>
      </c>
      <c r="J214" s="340">
        <f ca="1">+SUMIF('Mov_Analizados_Sept25 - Dic25'!$H$10:$J$1051,Resumen_Base!E214,'Mov_Analizados_Sept25 - Dic25'!$J$10:$J$1051)</f>
        <v>0</v>
      </c>
      <c r="L214" s="339">
        <f>+SUMIF('Mov_Analizados_Ene 26'!$H$10:$H$330,Resumen_Base!E214,'Mov_Analizados_Ene 26'!$I$10:$I$330)</f>
        <v>0</v>
      </c>
      <c r="M214" s="340">
        <f>+SUMIF('Mov_Analizados_Ene 26'!$H$10:$H$330,Resumen_Base!E214,'Mov_Analizados_Ene 26'!$J$10:$J$330)</f>
        <v>0</v>
      </c>
      <c r="O214" s="339">
        <f>+SUMIF('Mov_Analizados_Feb - Mar 26'!$H$10:$H$1378,Resumen_Base!E214,'Mov_Analizados_Feb - Mar 26'!$I$10:$I$1378)</f>
        <v>0</v>
      </c>
      <c r="P214" s="340">
        <f>+SUMIF('Mov_Analizados_Feb - Mar 26'!$H$10:$H$1378,Resumen_Base!E214,'Mov_Analizados_Feb - Mar 26'!$J$10:$J$1378)</f>
        <v>0</v>
      </c>
      <c r="R214" s="339">
        <f>+SUMIF('Mov_Analizados_Abr 26'!$I$10:$I$862,Resumen_Base!E214,'Mov_Analizados_Abr 26'!$J$10:$J$862)</f>
        <v>0</v>
      </c>
      <c r="S214" s="340">
        <f>+SUMIF('Mov_Analizados_Abr 26'!$I$10:$I$862,Resumen_Base!E214,'Mov_Analizados_Abr 26'!$K$10:$K$862)</f>
        <v>0</v>
      </c>
      <c r="U214" s="339">
        <f>+SUMIF('Mov_Analizados_May 26'!$I$10:$I$1205,Resumen_Base!E214,'Mov_Analizados_May 26'!$J$10:$J$1205)</f>
        <v>0</v>
      </c>
      <c r="V214" s="340">
        <f>+SUMIF('Mov_Analizados_May 26'!$I$10:$I$1205,Resumen_Base!E214,'Mov_Analizados_May 26'!$K$10:$K$1205)</f>
        <v>0</v>
      </c>
      <c r="X214" s="339">
        <f t="shared" ca="1" si="11"/>
        <v>0</v>
      </c>
      <c r="Y214" s="340">
        <f t="shared" ca="1" si="12"/>
        <v>0</v>
      </c>
    </row>
    <row r="215" spans="1:27">
      <c r="A215" s="4" t="str">
        <f>+VLOOKUP(C215,'Plan Cuentas Link Armado'!$A$3:$D$105,4,0)</f>
        <v>Vehicles Taxes</v>
      </c>
      <c r="C215" s="4" t="s">
        <v>318</v>
      </c>
      <c r="D215" s="4" t="s">
        <v>319</v>
      </c>
      <c r="E215" s="4" t="s">
        <v>527</v>
      </c>
      <c r="G215" s="4" t="str">
        <f>+VLOOKUP(C215,'Plan Cuentas Link Armado'!$A$3:$D$105,4,0)</f>
        <v>Vehicles Taxes</v>
      </c>
      <c r="I215" s="339">
        <f ca="1">+SUMIF('Mov_Analizados_Sept25 - Dic25'!$H$10:$I$1051,Resumen_Base!E215,'Mov_Analizados_Sept25 - Dic25'!$I$10:$I$1051)</f>
        <v>0</v>
      </c>
      <c r="J215" s="340">
        <f ca="1">+SUMIF('Mov_Analizados_Sept25 - Dic25'!$H$10:$J$1051,Resumen_Base!E215,'Mov_Analizados_Sept25 - Dic25'!$J$10:$J$1051)</f>
        <v>0</v>
      </c>
      <c r="L215" s="339">
        <f>+SUMIF('Mov_Analizados_Ene 26'!$H$10:$H$330,Resumen_Base!E215,'Mov_Analizados_Ene 26'!$I$10:$I$330)</f>
        <v>0</v>
      </c>
      <c r="M215" s="340">
        <f>+SUMIF('Mov_Analizados_Ene 26'!$H$10:$H$330,Resumen_Base!E215,'Mov_Analizados_Ene 26'!$J$10:$J$330)</f>
        <v>0</v>
      </c>
      <c r="O215" s="339">
        <f>+SUMIF('Mov_Analizados_Feb - Mar 26'!$H$10:$H$1378,Resumen_Base!E215,'Mov_Analizados_Feb - Mar 26'!$I$10:$I$1378)</f>
        <v>0</v>
      </c>
      <c r="P215" s="340">
        <f>+SUMIF('Mov_Analizados_Feb - Mar 26'!$H$10:$H$1378,Resumen_Base!E215,'Mov_Analizados_Feb - Mar 26'!$J$10:$J$1378)</f>
        <v>0</v>
      </c>
      <c r="R215" s="339">
        <f>+SUMIF('Mov_Analizados_Abr 26'!$I$10:$I$862,Resumen_Base!E215,'Mov_Analizados_Abr 26'!$J$10:$J$862)</f>
        <v>0</v>
      </c>
      <c r="S215" s="340">
        <f>+SUMIF('Mov_Analizados_Abr 26'!$I$10:$I$862,Resumen_Base!E215,'Mov_Analizados_Abr 26'!$K$10:$K$862)</f>
        <v>0</v>
      </c>
      <c r="U215" s="339">
        <f>+SUMIF('Mov_Analizados_May 26'!$I$10:$I$1205,Resumen_Base!E215,'Mov_Analizados_May 26'!$J$10:$J$1205)</f>
        <v>0</v>
      </c>
      <c r="V215" s="340">
        <f>+SUMIF('Mov_Analizados_May 26'!$I$10:$I$1205,Resumen_Base!E215,'Mov_Analizados_May 26'!$K$10:$K$1205)</f>
        <v>0</v>
      </c>
      <c r="X215" s="339">
        <f t="shared" ca="1" si="11"/>
        <v>0</v>
      </c>
      <c r="Y215" s="340">
        <f t="shared" ca="1" si="12"/>
        <v>0</v>
      </c>
    </row>
    <row r="216" spans="1:27">
      <c r="C216" s="308"/>
      <c r="J216" s="340"/>
      <c r="M216" s="340"/>
      <c r="P216" s="340"/>
      <c r="S216" s="340"/>
      <c r="V216" s="340"/>
      <c r="Y216" s="340"/>
    </row>
    <row r="217" spans="1:27" ht="13" thickBot="1"/>
    <row r="218" spans="1:27" s="345" customFormat="1" ht="13" thickBot="1">
      <c r="A218" s="616" t="s">
        <v>84</v>
      </c>
      <c r="B218" s="616" t="s">
        <v>84</v>
      </c>
      <c r="C218" s="616" t="s">
        <v>84</v>
      </c>
      <c r="D218" s="616" t="s">
        <v>84</v>
      </c>
      <c r="E218" s="616" t="s">
        <v>84</v>
      </c>
      <c r="F218" s="616" t="s">
        <v>84</v>
      </c>
      <c r="G218" s="616" t="s">
        <v>84</v>
      </c>
      <c r="H218" s="616" t="s">
        <v>84</v>
      </c>
      <c r="I218" s="616" t="s">
        <v>84</v>
      </c>
      <c r="J218" s="616" t="s">
        <v>84</v>
      </c>
      <c r="K218" s="616" t="s">
        <v>84</v>
      </c>
      <c r="L218" s="616" t="s">
        <v>84</v>
      </c>
      <c r="M218" s="616" t="s">
        <v>84</v>
      </c>
      <c r="N218" s="616" t="s">
        <v>84</v>
      </c>
      <c r="O218" s="616" t="s">
        <v>84</v>
      </c>
      <c r="P218" s="616" t="s">
        <v>84</v>
      </c>
      <c r="Q218" s="616" t="s">
        <v>84</v>
      </c>
      <c r="R218" s="616" t="s">
        <v>84</v>
      </c>
      <c r="S218" s="616" t="s">
        <v>84</v>
      </c>
      <c r="T218" s="616" t="s">
        <v>84</v>
      </c>
      <c r="U218" s="616" t="s">
        <v>84</v>
      </c>
      <c r="V218" s="616" t="s">
        <v>84</v>
      </c>
      <c r="W218" s="616" t="s">
        <v>84</v>
      </c>
      <c r="X218" s="616" t="s">
        <v>84</v>
      </c>
      <c r="Y218" s="616" t="s">
        <v>84</v>
      </c>
    </row>
    <row r="219" spans="1:27" ht="13.5" thickBot="1">
      <c r="C219" s="617" t="s">
        <v>676</v>
      </c>
      <c r="D219" s="133"/>
      <c r="E219" s="133"/>
      <c r="J219" s="340"/>
      <c r="M219" s="340"/>
      <c r="P219" s="340"/>
      <c r="S219" s="340"/>
      <c r="V219" s="340"/>
      <c r="Y219" s="340"/>
    </row>
    <row r="220" spans="1:27" ht="13.5" thickBot="1">
      <c r="C220" s="342" t="s">
        <v>24</v>
      </c>
      <c r="D220" s="343" t="s">
        <v>23</v>
      </c>
      <c r="E220" s="344" t="s">
        <v>82</v>
      </c>
      <c r="I220" s="337">
        <f ca="1">SUM(I222:I287)</f>
        <v>235753759.19</v>
      </c>
      <c r="J220" s="338">
        <f ca="1">SUM(J222:J287)</f>
        <v>148947.59930306315</v>
      </c>
      <c r="L220" s="337">
        <f>SUM(L222:L286)</f>
        <v>89384592.390000015</v>
      </c>
      <c r="M220" s="338">
        <f>SUM(M222:M286)</f>
        <v>72992.165872499143</v>
      </c>
      <c r="O220" s="337">
        <f>SUM(O222:O286)</f>
        <v>69416295.060000002</v>
      </c>
      <c r="P220" s="338">
        <f>SUM(P222:P286)</f>
        <v>79036.626501380568</v>
      </c>
      <c r="R220" s="337">
        <f>SUM(R222:R348)</f>
        <v>74628176.199999988</v>
      </c>
      <c r="S220" s="338">
        <f>SUM(S222:S348)</f>
        <v>32794.670945410151</v>
      </c>
      <c r="U220" s="337">
        <f>SUM(U222:U348)</f>
        <v>74489829.800000027</v>
      </c>
      <c r="V220" s="338">
        <f>SUM(V222:V348)</f>
        <v>59708.011256501493</v>
      </c>
      <c r="X220" s="337">
        <f ca="1">SUM(X222:X287)</f>
        <v>543672652.63999999</v>
      </c>
      <c r="Y220" s="338">
        <f ca="1">ROUND(SUM(Y222:Y287),0)</f>
        <v>393479</v>
      </c>
      <c r="AA220" s="346">
        <f ca="1">+Y220</f>
        <v>393479</v>
      </c>
    </row>
    <row r="221" spans="1:27" s="345" customFormat="1" ht="13" thickBot="1">
      <c r="A221" s="616" t="s">
        <v>84</v>
      </c>
      <c r="B221" s="616" t="s">
        <v>84</v>
      </c>
      <c r="C221" s="616" t="s">
        <v>84</v>
      </c>
      <c r="D221" s="616" t="s">
        <v>84</v>
      </c>
      <c r="E221" s="616" t="s">
        <v>84</v>
      </c>
      <c r="F221" s="616" t="s">
        <v>84</v>
      </c>
      <c r="G221" s="616" t="s">
        <v>84</v>
      </c>
      <c r="H221" s="616" t="s">
        <v>84</v>
      </c>
      <c r="I221" s="616" t="s">
        <v>84</v>
      </c>
      <c r="J221" s="616" t="s">
        <v>84</v>
      </c>
      <c r="K221" s="616" t="s">
        <v>84</v>
      </c>
      <c r="L221" s="616" t="s">
        <v>84</v>
      </c>
      <c r="M221" s="616" t="s">
        <v>84</v>
      </c>
      <c r="N221" s="616" t="s">
        <v>84</v>
      </c>
      <c r="O221" s="616" t="s">
        <v>84</v>
      </c>
      <c r="P221" s="616" t="s">
        <v>84</v>
      </c>
      <c r="Q221" s="616" t="s">
        <v>84</v>
      </c>
      <c r="R221" s="616" t="s">
        <v>84</v>
      </c>
      <c r="S221" s="616" t="s">
        <v>84</v>
      </c>
      <c r="T221" s="616" t="s">
        <v>84</v>
      </c>
      <c r="U221" s="616" t="s">
        <v>84</v>
      </c>
      <c r="V221" s="616" t="s">
        <v>84</v>
      </c>
      <c r="W221" s="616" t="s">
        <v>84</v>
      </c>
      <c r="X221" s="616" t="s">
        <v>84</v>
      </c>
      <c r="Y221" s="616" t="s">
        <v>84</v>
      </c>
    </row>
    <row r="222" spans="1:27">
      <c r="A222" s="4" t="str">
        <f>+VLOOKUP(C222,'Plan Cuentas Link Armado'!$A$3:$D$105,4,0)</f>
        <v>Fixed Asset's Payments (Investments) Mejoras/equipamiento Lodge</v>
      </c>
      <c r="B222" s="346">
        <f t="shared" ref="B222:B229" ca="1" si="14">+Y222</f>
        <v>0</v>
      </c>
      <c r="C222" s="308" t="s">
        <v>52</v>
      </c>
      <c r="D222" s="4" t="s">
        <v>53</v>
      </c>
      <c r="E222" s="4" t="s">
        <v>617</v>
      </c>
      <c r="G222" s="4" t="str">
        <f>+VLOOKUP(C222,'Plan Cuentas Link Armado'!$A$3:$D$105,4,0)</f>
        <v>Fixed Asset's Payments (Investments) Mejoras/equipamiento Lodge</v>
      </c>
      <c r="I222" s="339">
        <f ca="1">+SUMIF('Mov_Analizados_Sept25 - Dic25'!$H$10:$I$1038,Resumen_Base!E222,'Mov_Analizados_Sept25 - Dic25'!$I$10:$I$1038)</f>
        <v>0</v>
      </c>
      <c r="J222" s="340">
        <f ca="1">+SUMIF('Mov_Analizados_Sept25 - Dic25'!$H$10:$J$1038,Resumen_Base!E222,'Mov_Analizados_Sept25 - Dic25'!$J$10:$J$1038)</f>
        <v>0</v>
      </c>
      <c r="L222" s="339">
        <f>+SUMIF('Mov_Analizados_Ene 26'!$H$10:$H$330,Resumen_Base!E222,'Mov_Analizados_Ene 26'!$I$10:$I$330)</f>
        <v>0</v>
      </c>
      <c r="M222" s="340">
        <f>+SUMIF('Mov_Analizados_Ene 26'!$H$10:$H$330,Resumen_Base!E222,'Mov_Analizados_Ene 26'!$J$10:$J$330)</f>
        <v>0</v>
      </c>
      <c r="N222" s="682">
        <f>+SUMIF('Mov_Analizados_Ene 26'!$H$10:$H$330,Resumen_Base!E222,'Mov_Analizados_Ene 26'!$J$10:$J$330)-M222</f>
        <v>0</v>
      </c>
      <c r="O222" s="339">
        <f>+SUMIF('Mov_Analizados_Feb - Mar 26'!$H$10:$H$1378,Resumen_Base!E222,'Mov_Analizados_Feb - Mar 26'!$I$10:$I$1378)</f>
        <v>0</v>
      </c>
      <c r="P222" s="340">
        <f>+SUMIF('Mov_Analizados_Feb - Mar 26'!$H$10:$H$1378,Resumen_Base!E222,'Mov_Analizados_Feb - Mar 26'!$J$10:$J$1378)</f>
        <v>0</v>
      </c>
      <c r="R222" s="339">
        <f>+SUMIF('Mov_Analizados_Abr 26'!$I$10:$I$862,Resumen_Base!E222,'Mov_Analizados_Abr 26'!$J$10:$J$862)</f>
        <v>0</v>
      </c>
      <c r="S222" s="340">
        <f>+SUMIF('Mov_Analizados_Abr 26'!$I$10:$I$862,Resumen_Base!E222,'Mov_Analizados_Abr 26'!$K$10:$K$862)</f>
        <v>0</v>
      </c>
      <c r="U222" s="339">
        <f>+SUMIF('Mov_Analizados_May 26'!$I$10:$I$1205,Resumen_Base!E222,'Mov_Analizados_May 26'!$J$10:$J$1205)</f>
        <v>0</v>
      </c>
      <c r="V222" s="340">
        <f>+SUMIF('Mov_Analizados_May 26'!$I$10:$I$1205,Resumen_Base!E222,'Mov_Analizados_May 26'!$K$10:$K$1205)</f>
        <v>0</v>
      </c>
      <c r="X222" s="339">
        <f t="shared" ref="X222:X284" ca="1" si="15">+I222+L222+O222+R222+U222</f>
        <v>0</v>
      </c>
      <c r="Y222" s="340">
        <f t="shared" ref="Y222:Y284" ca="1" si="16">+J222+M222+P222+S222+V222</f>
        <v>0</v>
      </c>
    </row>
    <row r="223" spans="1:27">
      <c r="A223" s="4" t="str">
        <f>+VLOOKUP(C223,'Plan Cuentas Link Armado'!$A$3:$D$105,4,0)</f>
        <v>Fixed Asset's Payments (Investments) Mejoras/equipamiento Lodge</v>
      </c>
      <c r="B223" s="346">
        <f ca="1">+Y223</f>
        <v>-49650.729999999996</v>
      </c>
      <c r="C223" s="308" t="s">
        <v>50</v>
      </c>
      <c r="D223" s="4" t="s">
        <v>51</v>
      </c>
      <c r="E223" s="4" t="s">
        <v>618</v>
      </c>
      <c r="G223" s="4" t="str">
        <f>+VLOOKUP(C223,'Plan Cuentas Link Armado'!$A$3:$D$105,4,0)</f>
        <v>Fixed Asset's Payments (Investments) Mejoras/equipamiento Lodge</v>
      </c>
      <c r="I223" s="339">
        <f ca="1">+SUMIF('Mov_Analizados_Sept25 - Dic25'!$H$10:$I$1038,Resumen_Base!E223,'Mov_Analizados_Sept25 - Dic25'!$I$10:$I$1038)</f>
        <v>28131180.600000001</v>
      </c>
      <c r="J223" s="340">
        <f ca="1">+SUMIF('Mov_Analizados_Sept25 - Dic25'!$H$10:$J$1038,Resumen_Base!E223,'Mov_Analizados_Sept25 - Dic25'!$J$10:$J$1038)</f>
        <v>-920.06999999999971</v>
      </c>
      <c r="L223" s="339">
        <f>+SUMIF('Mov_Analizados_Ene 26'!$H$10:$H$330,Resumen_Base!E223,'Mov_Analizados_Ene 26'!$I$10:$I$330)</f>
        <v>0</v>
      </c>
      <c r="M223" s="340">
        <f>+SUMIF('Mov_Analizados_Ene 26'!$H$10:$H$330,Resumen_Base!E223,'Mov_Analizados_Ene 26'!$J$10:$J$330)</f>
        <v>0</v>
      </c>
      <c r="N223" s="682">
        <f>+SUMIF('Mov_Analizados_Ene 26'!$H$10:$H$330,Resumen_Base!E223,'Mov_Analizados_Ene 26'!$J$10:$J$330)-M223</f>
        <v>0</v>
      </c>
      <c r="O223" s="339">
        <f>+SUMIF('Mov_Analizados_Feb - Mar 26'!$H$10:$H$1378,Resumen_Base!E223,'Mov_Analizados_Feb - Mar 26'!$I$10:$I$1378)</f>
        <v>-62067397.200000003</v>
      </c>
      <c r="P223" s="340">
        <f>+SUMIF('Mov_Analizados_Feb - Mar 26'!$H$10:$H$1378,Resumen_Base!E223,'Mov_Analizados_Feb - Mar 26'!$J$10:$J$1378)</f>
        <v>-58047.7</v>
      </c>
      <c r="R223" s="339">
        <f>+SUMIF('Mov_Analizados_Abr 26'!$I$10:$I$862,Resumen_Base!E223,'Mov_Analizados_Abr 26'!$J$10:$J$862)</f>
        <v>11685441.199999999</v>
      </c>
      <c r="S223" s="340">
        <f>+SUMIF('Mov_Analizados_Abr 26'!$I$10:$I$862,Resumen_Base!E223,'Mov_Analizados_Abr 26'!$K$10:$K$862)</f>
        <v>8317.0400000000009</v>
      </c>
      <c r="U223" s="339">
        <f>+SUMIF('Mov_Analizados_May 26'!$I$10:$I$1205,Resumen_Base!E223,'Mov_Analizados_May 26'!$J$10:$J$1205)</f>
        <v>1405000</v>
      </c>
      <c r="V223" s="340">
        <f>+SUMIF('Mov_Analizados_May 26'!$I$10:$I$1205,Resumen_Base!E223,'Mov_Analizados_May 26'!$K$10:$K$1205)</f>
        <v>1000</v>
      </c>
      <c r="X223" s="339">
        <f t="shared" ca="1" si="15"/>
        <v>-20845775.400000002</v>
      </c>
      <c r="Y223" s="340">
        <f t="shared" ca="1" si="16"/>
        <v>-49650.729999999996</v>
      </c>
    </row>
    <row r="224" spans="1:27">
      <c r="A224" s="219" t="s">
        <v>3408</v>
      </c>
      <c r="B224" s="757">
        <f ca="1">+Y224</f>
        <v>0</v>
      </c>
      <c r="C224" s="758" t="s">
        <v>3409</v>
      </c>
      <c r="D224" s="219" t="s">
        <v>51</v>
      </c>
      <c r="E224" s="360" t="s">
        <v>3410</v>
      </c>
      <c r="G224" s="4" t="str">
        <f>+VLOOKUP(C224,'Plan Cuentas Link Armado'!$A$3:$D$105,4,0)</f>
        <v>Fixed Asset's Payments (Investments) Mejoras/equipamiento Lodge</v>
      </c>
      <c r="I224" s="339">
        <f ca="1">+SUMIF('Mov_Analizados_Sept25 - Dic25'!$H$10:$I$1038,Resumen_Base!E224,'Mov_Analizados_Sept25 - Dic25'!$I$10:$I$1038)</f>
        <v>0</v>
      </c>
      <c r="J224" s="340">
        <f ca="1">+SUMIF('Mov_Analizados_Sept25 - Dic25'!$H$10:$J$1038,Resumen_Base!E224,'Mov_Analizados_Sept25 - Dic25'!$J$10:$J$1038)</f>
        <v>0</v>
      </c>
      <c r="L224" s="339">
        <f>+SUMIF('Mov_Analizados_Ene 26'!$H$10:$H$330,Resumen_Base!E224,'Mov_Analizados_Ene 26'!$I$10:$I$330)</f>
        <v>0</v>
      </c>
      <c r="M224" s="340">
        <f>+SUMIF('Mov_Analizados_Ene 26'!$H$10:$H$330,Resumen_Base!E224,'Mov_Analizados_Ene 26'!$J$10:$J$330)</f>
        <v>0</v>
      </c>
      <c r="N224" s="682">
        <f>+SUMIF('Mov_Analizados_Ene 26'!$H$10:$H$330,Resumen_Base!E224,'Mov_Analizados_Ene 26'!$J$10:$J$330)-M224</f>
        <v>0</v>
      </c>
      <c r="O224" s="339">
        <f>+SUMIF('Mov_Analizados_Feb - Mar 26'!$H$10:$H$1378,Resumen_Base!E224,'Mov_Analizados_Feb - Mar 26'!$I$10:$I$1378)</f>
        <v>0</v>
      </c>
      <c r="P224" s="340">
        <f>+SUMIF('Mov_Analizados_Feb - Mar 26'!$H$10:$H$1378,Resumen_Base!E224,'Mov_Analizados_Feb - Mar 26'!$J$10:$J$1378)</f>
        <v>0</v>
      </c>
      <c r="R224" s="339">
        <f>+SUMIF('Mov_Analizados_Abr 26'!$I$10:$I$862,Resumen_Base!E224,'Mov_Analizados_Abr 26'!$J$10:$J$862)</f>
        <v>0</v>
      </c>
      <c r="S224" s="340">
        <f>+SUMIF('Mov_Analizados_Abr 26'!$I$10:$I$862,Resumen_Base!E224,'Mov_Analizados_Abr 26'!$K$10:$K$862)</f>
        <v>0</v>
      </c>
      <c r="U224" s="339">
        <f>+SUMIF('Mov_Analizados_May 26'!$I$10:$I$1205,Resumen_Base!E224,'Mov_Analizados_May 26'!$J$10:$J$1205)</f>
        <v>0</v>
      </c>
      <c r="V224" s="340">
        <f>+SUMIF('Mov_Analizados_May 26'!$I$10:$I$1205,Resumen_Base!E224,'Mov_Analizados_May 26'!$K$10:$K$1205)</f>
        <v>0</v>
      </c>
      <c r="X224" s="339">
        <f t="shared" ca="1" si="15"/>
        <v>0</v>
      </c>
      <c r="Y224" s="340">
        <f t="shared" ca="1" si="16"/>
        <v>0</v>
      </c>
    </row>
    <row r="225" spans="1:26">
      <c r="A225" s="4" t="str">
        <f>+VLOOKUP(C225,'Plan Cuentas Link Armado'!$A$3:$D$105,4,0)</f>
        <v>Fixed Asset's Payments (Investments) Mejoras/equipamiento Lodge</v>
      </c>
      <c r="B225" s="346">
        <f t="shared" ca="1" si="14"/>
        <v>0</v>
      </c>
      <c r="C225" s="308" t="s">
        <v>54</v>
      </c>
      <c r="D225" s="4" t="s">
        <v>55</v>
      </c>
      <c r="E225" s="4" t="s">
        <v>619</v>
      </c>
      <c r="G225" s="4" t="str">
        <f>+VLOOKUP(C225,'Plan Cuentas Link Armado'!$A$3:$D$105,4,0)</f>
        <v>Fixed Asset's Payments (Investments) Mejoras/equipamiento Lodge</v>
      </c>
      <c r="I225" s="339">
        <f ca="1">+SUMIF('Mov_Analizados_Sept25 - Dic25'!$H$10:$I$1038,Resumen_Base!E225,'Mov_Analizados_Sept25 - Dic25'!$I$10:$I$1038)</f>
        <v>0</v>
      </c>
      <c r="J225" s="340">
        <f ca="1">+SUMIF('Mov_Analizados_Sept25 - Dic25'!$H$10:$J$1038,Resumen_Base!E225,'Mov_Analizados_Sept25 - Dic25'!$J$10:$J$1038)</f>
        <v>0</v>
      </c>
      <c r="L225" s="339">
        <f>+SUMIF('Mov_Analizados_Ene 26'!$H$10:$H$330,Resumen_Base!E225,'Mov_Analizados_Ene 26'!$I$10:$I$330)</f>
        <v>0</v>
      </c>
      <c r="M225" s="340">
        <f>+SUMIF('Mov_Analizados_Ene 26'!$H$10:$H$330,Resumen_Base!E225,'Mov_Analizados_Ene 26'!$J$10:$J$330)</f>
        <v>0</v>
      </c>
      <c r="N225" s="682">
        <f>+SUMIF('Mov_Analizados_Ene 26'!$H$10:$H$330,Resumen_Base!E225,'Mov_Analizados_Ene 26'!$J$10:$J$330)-M225</f>
        <v>0</v>
      </c>
      <c r="O225" s="339">
        <f>+SUMIF('Mov_Analizados_Feb - Mar 26'!$H$10:$H$1378,Resumen_Base!E225,'Mov_Analizados_Feb - Mar 26'!$I$10:$I$1378)</f>
        <v>0</v>
      </c>
      <c r="P225" s="340">
        <f>+SUMIF('Mov_Analizados_Feb - Mar 26'!$H$10:$H$1378,Resumen_Base!E225,'Mov_Analizados_Feb - Mar 26'!$J$10:$J$1378)</f>
        <v>0</v>
      </c>
      <c r="R225" s="339">
        <f>+SUMIF('Mov_Analizados_Abr 26'!$I$10:$I$862,Resumen_Base!E225,'Mov_Analizados_Abr 26'!$J$10:$J$862)</f>
        <v>0</v>
      </c>
      <c r="S225" s="340">
        <f>+SUMIF('Mov_Analizados_Abr 26'!$I$10:$I$862,Resumen_Base!E225,'Mov_Analizados_Abr 26'!$K$10:$K$862)</f>
        <v>0</v>
      </c>
      <c r="U225" s="339">
        <f>+SUMIF('Mov_Analizados_May 26'!$I$10:$I$1205,Resumen_Base!E225,'Mov_Analizados_May 26'!$J$10:$J$1205)</f>
        <v>0</v>
      </c>
      <c r="V225" s="340">
        <f>+SUMIF('Mov_Analizados_May 26'!$I$10:$I$1205,Resumen_Base!E225,'Mov_Analizados_May 26'!$K$10:$K$1205)</f>
        <v>0</v>
      </c>
      <c r="X225" s="339">
        <f t="shared" ca="1" si="15"/>
        <v>0</v>
      </c>
      <c r="Y225" s="340">
        <f t="shared" ca="1" si="16"/>
        <v>0</v>
      </c>
    </row>
    <row r="226" spans="1:26">
      <c r="A226" s="4" t="str">
        <f>+VLOOKUP(C226,'Plan Cuentas Link Armado'!$A$3:$D$105,4,0)</f>
        <v>Fixed Asset's Payments (Investments) Rodados/Lanchas</v>
      </c>
      <c r="B226" s="346">
        <f t="shared" ca="1" si="14"/>
        <v>0</v>
      </c>
      <c r="C226" s="308" t="s">
        <v>0</v>
      </c>
      <c r="D226" s="4" t="s">
        <v>1</v>
      </c>
      <c r="E226" s="4" t="s">
        <v>620</v>
      </c>
      <c r="G226" s="4" t="str">
        <f>+VLOOKUP(C226,'Plan Cuentas Link Armado'!$A$3:$D$105,4,0)</f>
        <v>Fixed Asset's Payments (Investments) Rodados/Lanchas</v>
      </c>
      <c r="I226" s="339">
        <f ca="1">+SUMIF('Mov_Analizados_Sept25 - Dic25'!$H$10:$I$1038,Resumen_Base!E226,'Mov_Analizados_Sept25 - Dic25'!$I$10:$I$1038)</f>
        <v>0</v>
      </c>
      <c r="J226" s="340">
        <f ca="1">+SUMIF('Mov_Analizados_Sept25 - Dic25'!$H$10:$J$1038,Resumen_Base!E226,'Mov_Analizados_Sept25 - Dic25'!$J$10:$J$1038)</f>
        <v>0</v>
      </c>
      <c r="L226" s="339">
        <f>+SUMIF('Mov_Analizados_Ene 26'!$H$10:$H$330,Resumen_Base!E226,'Mov_Analizados_Ene 26'!$I$10:$I$330)</f>
        <v>0</v>
      </c>
      <c r="M226" s="340">
        <f>+SUMIF('Mov_Analizados_Ene 26'!$H$10:$H$330,Resumen_Base!E226,'Mov_Analizados_Ene 26'!$J$10:$J$330)</f>
        <v>0</v>
      </c>
      <c r="N226" s="682">
        <f>+SUMIF('Mov_Analizados_Ene 26'!$H$10:$H$330,Resumen_Base!E226,'Mov_Analizados_Ene 26'!$J$10:$J$330)-M226</f>
        <v>0</v>
      </c>
      <c r="O226" s="339">
        <f>+SUMIF('Mov_Analizados_Feb - Mar 26'!$H$10:$H$1378,Resumen_Base!E226,'Mov_Analizados_Feb - Mar 26'!$I$10:$I$1378)</f>
        <v>0</v>
      </c>
      <c r="P226" s="340">
        <f>+SUMIF('Mov_Analizados_Feb - Mar 26'!$H$10:$H$1378,Resumen_Base!E226,'Mov_Analizados_Feb - Mar 26'!$J$10:$J$1378)</f>
        <v>0</v>
      </c>
      <c r="R226" s="339">
        <f>+SUMIF('Mov_Analizados_Abr 26'!$I$10:$I$862,Resumen_Base!E226,'Mov_Analizados_Abr 26'!$J$10:$J$862)</f>
        <v>0</v>
      </c>
      <c r="S226" s="340">
        <f>+SUMIF('Mov_Analizados_Abr 26'!$I$10:$I$862,Resumen_Base!E226,'Mov_Analizados_Abr 26'!$K$10:$K$862)</f>
        <v>0</v>
      </c>
      <c r="U226" s="339">
        <f>+SUMIF('Mov_Analizados_May 26'!$I$10:$I$1205,Resumen_Base!E226,'Mov_Analizados_May 26'!$J$10:$J$1205)</f>
        <v>0</v>
      </c>
      <c r="V226" s="340">
        <f>+SUMIF('Mov_Analizados_May 26'!$I$10:$I$1205,Resumen_Base!E226,'Mov_Analizados_May 26'!$K$10:$K$1205)</f>
        <v>0</v>
      </c>
      <c r="X226" s="339">
        <f t="shared" ca="1" si="15"/>
        <v>0</v>
      </c>
      <c r="Y226" s="340">
        <f t="shared" ca="1" si="16"/>
        <v>0</v>
      </c>
    </row>
    <row r="227" spans="1:26">
      <c r="A227" s="4" t="str">
        <f>+VLOOKUP(C227,'Plan Cuentas Link Armado'!$A$3:$D$105,4,0)</f>
        <v>Fixed Asset's Payments (Investments) Mejoras/equipamiento Lodge</v>
      </c>
      <c r="B227" s="346">
        <f t="shared" ca="1" si="14"/>
        <v>10629.55599754128</v>
      </c>
      <c r="C227" s="308" t="s">
        <v>6</v>
      </c>
      <c r="D227" s="4" t="s">
        <v>5</v>
      </c>
      <c r="E227" s="4" t="s">
        <v>621</v>
      </c>
      <c r="G227" s="4" t="str">
        <f>+VLOOKUP(C227,'Plan Cuentas Link Armado'!$A$3:$D$105,4,0)</f>
        <v>Fixed Asset's Payments (Investments) Mejoras/equipamiento Lodge</v>
      </c>
      <c r="I227" s="339">
        <f ca="1">+SUMIF('Mov_Analizados_Sept25 - Dic25'!$H$10:$I$1038,Resumen_Base!E227,'Mov_Analizados_Sept25 - Dic25'!$I$10:$I$1038)</f>
        <v>1289531.99</v>
      </c>
      <c r="J227" s="340">
        <f ca="1">+SUMIF('Mov_Analizados_Sept25 - Dic25'!$H$10:$J$1038,Resumen_Base!E227,'Mov_Analizados_Sept25 - Dic25'!$J$10:$J$1038)</f>
        <v>886.08799333333332</v>
      </c>
      <c r="L227" s="339">
        <f>+SUMIF('Mov_Analizados_Ene 26'!$H$10:$H$330,Resumen_Base!E227,'Mov_Analizados_Ene 26'!$I$10:$I$330)</f>
        <v>2312787.9900000002</v>
      </c>
      <c r="M227" s="340">
        <f>+SUMIF('Mov_Analizados_Ene 26'!$H$10:$H$330,Resumen_Base!E227,'Mov_Analizados_Ene 26'!$J$10:$J$330)</f>
        <v>1562.6945878378376</v>
      </c>
      <c r="N227" s="682">
        <f>+SUMIF('Mov_Analizados_Ene 26'!$H$10:$H$330,Resumen_Base!E227,'Mov_Analizados_Ene 26'!$J$10:$J$330)-M227</f>
        <v>0</v>
      </c>
      <c r="O227" s="339">
        <f>+SUMIF('Mov_Analizados_Feb - Mar 26'!$H$10:$H$1378,Resumen_Base!E227,'Mov_Analizados_Feb - Mar 26'!$I$10:$I$1378)</f>
        <v>8737902.75</v>
      </c>
      <c r="P227" s="340">
        <f>+SUMIF('Mov_Analizados_Feb - Mar 26'!$H$10:$H$1378,Resumen_Base!E227,'Mov_Analizados_Feb - Mar 26'!$J$10:$J$1378)</f>
        <v>6169.5300000000007</v>
      </c>
      <c r="R227" s="339">
        <f>+SUMIF('Mov_Analizados_Abr 26'!$I$10:$I$862,Resumen_Base!E227,'Mov_Analizados_Abr 26'!$J$10:$J$862)</f>
        <v>2825797</v>
      </c>
      <c r="S227" s="340">
        <f>+SUMIF('Mov_Analizados_Abr 26'!$I$10:$I$862,Resumen_Base!E227,'Mov_Analizados_Abr 26'!$K$10:$K$862)</f>
        <v>2223.961365088056</v>
      </c>
      <c r="U227" s="339">
        <f>+SUMIF('Mov_Analizados_May 26'!$I$10:$I$1205,Resumen_Base!E227,'Mov_Analizados_May 26'!$J$10:$J$1205)</f>
        <v>0</v>
      </c>
      <c r="V227" s="340">
        <f>+SUMIF('Mov_Analizados_May 26'!$I$10:$I$1205,Resumen_Base!E227,'Mov_Analizados_May 26'!$K$10:$K$1205)</f>
        <v>-212.71794871794873</v>
      </c>
      <c r="X227" s="339">
        <f t="shared" ca="1" si="15"/>
        <v>15166019.73</v>
      </c>
      <c r="Y227" s="340">
        <f t="shared" ca="1" si="16"/>
        <v>10629.55599754128</v>
      </c>
    </row>
    <row r="228" spans="1:26">
      <c r="A228" s="4" t="str">
        <f>+VLOOKUP(C228,'Plan Cuentas Link Armado'!$A$3:$D$105,4,0)</f>
        <v>Fixed Asset's Payments (Investments) Mejoras/equipamiento Lodge</v>
      </c>
      <c r="B228" s="346">
        <f t="shared" ca="1" si="14"/>
        <v>327.32</v>
      </c>
      <c r="C228" s="308" t="s">
        <v>129</v>
      </c>
      <c r="D228" s="4" t="s">
        <v>130</v>
      </c>
      <c r="E228" s="4" t="s">
        <v>622</v>
      </c>
      <c r="G228" s="4" t="str">
        <f>+VLOOKUP(C228,'Plan Cuentas Link Armado'!$A$3:$D$105,4,0)</f>
        <v>Fixed Asset's Payments (Investments) Mejoras/equipamiento Lodge</v>
      </c>
      <c r="I228" s="339">
        <f ca="1">+SUMIF('Mov_Analizados_Sept25 - Dic25'!$H$10:$I$1038,Resumen_Base!E228,'Mov_Analizados_Sept25 - Dic25'!$I$10:$I$1038)</f>
        <v>27888.799999999999</v>
      </c>
      <c r="J228" s="340">
        <f ca="1">+SUMIF('Mov_Analizados_Sept25 - Dic25'!$H$10:$J$1038,Resumen_Base!E228,'Mov_Analizados_Sept25 - Dic25'!$J$10:$J$1038)</f>
        <v>19.64</v>
      </c>
      <c r="L228" s="339">
        <f>+SUMIF('Mov_Analizados_Ene 26'!$H$10:$H$330,Resumen_Base!E228,'Mov_Analizados_Ene 26'!$I$10:$I$330)</f>
        <v>331520</v>
      </c>
      <c r="M228" s="340">
        <f>+SUMIF('Mov_Analizados_Ene 26'!$H$10:$H$330,Resumen_Base!E228,'Mov_Analizados_Ene 26'!$J$10:$J$330)</f>
        <v>224</v>
      </c>
      <c r="N228" s="682">
        <f>+SUMIF('Mov_Analizados_Ene 26'!$H$10:$H$330,Resumen_Base!E228,'Mov_Analizados_Ene 26'!$J$10:$J$330)-M228</f>
        <v>0</v>
      </c>
      <c r="O228" s="339">
        <f>+SUMIF('Mov_Analizados_Feb - Mar 26'!$H$10:$H$1378,Resumen_Base!E228,'Mov_Analizados_Feb - Mar 26'!$I$10:$I$1378)</f>
        <v>120499.2</v>
      </c>
      <c r="P228" s="340">
        <f>+SUMIF('Mov_Analizados_Feb - Mar 26'!$H$10:$H$1378,Resumen_Base!E228,'Mov_Analizados_Feb - Mar 26'!$J$10:$J$1378)</f>
        <v>83.68</v>
      </c>
      <c r="R228" s="339">
        <f>+SUMIF('Mov_Analizados_Abr 26'!$I$10:$I$862,Resumen_Base!E228,'Mov_Analizados_Abr 26'!$J$10:$J$862)</f>
        <v>0</v>
      </c>
      <c r="S228" s="340">
        <f>+SUMIF('Mov_Analizados_Abr 26'!$I$10:$I$862,Resumen_Base!E228,'Mov_Analizados_Abr 26'!$K$10:$K$862)</f>
        <v>0</v>
      </c>
      <c r="U228" s="339">
        <f>+SUMIF('Mov_Analizados_May 26'!$I$10:$I$1205,Resumen_Base!E228,'Mov_Analizados_May 26'!$J$10:$J$1205)</f>
        <v>0</v>
      </c>
      <c r="V228" s="340">
        <f>+SUMIF('Mov_Analizados_May 26'!$I$10:$I$1205,Resumen_Base!E228,'Mov_Analizados_May 26'!$K$10:$K$1205)</f>
        <v>0</v>
      </c>
      <c r="X228" s="339">
        <f t="shared" ca="1" si="15"/>
        <v>479908</v>
      </c>
      <c r="Y228" s="340">
        <f t="shared" ca="1" si="16"/>
        <v>327.32</v>
      </c>
    </row>
    <row r="229" spans="1:26">
      <c r="A229" s="4" t="str">
        <f>+VLOOKUP(C229,'Plan Cuentas Link Armado'!$A$3:$D$105,4,0)</f>
        <v>Fixed Asset's Payments (Investments) Mejoras/equipamiento Lodge</v>
      </c>
      <c r="B229" s="346">
        <f t="shared" ca="1" si="14"/>
        <v>1806.75</v>
      </c>
      <c r="C229" s="308" t="s">
        <v>131</v>
      </c>
      <c r="D229" s="4" t="s">
        <v>132</v>
      </c>
      <c r="E229" s="4" t="s">
        <v>623</v>
      </c>
      <c r="G229" s="4" t="str">
        <f>+VLOOKUP(C229,'Plan Cuentas Link Armado'!$A$3:$D$105,4,0)</f>
        <v>Fixed Asset's Payments (Investments) Mejoras/equipamiento Lodge</v>
      </c>
      <c r="I229" s="339">
        <f ca="1">+SUMIF('Mov_Analizados_Sept25 - Dic25'!$H$10:$I$1038,Resumen_Base!E229,'Mov_Analizados_Sept25 - Dic25'!$I$10:$I$1038)</f>
        <v>0</v>
      </c>
      <c r="J229" s="340">
        <f ca="1">+SUMIF('Mov_Analizados_Sept25 - Dic25'!$H$10:$J$1038,Resumen_Base!E229,'Mov_Analizados_Sept25 - Dic25'!$J$10:$J$1038)</f>
        <v>0</v>
      </c>
      <c r="L229" s="339">
        <f>+SUMIF('Mov_Analizados_Ene 26'!$H$10:$H$330,Resumen_Base!E229,'Mov_Analizados_Ene 26'!$I$10:$I$330)</f>
        <v>78543.600000000006</v>
      </c>
      <c r="M229" s="340">
        <f>+SUMIF('Mov_Analizados_Ene 26'!$H$10:$H$330,Resumen_Base!E229,'Mov_Analizados_Ene 26'!$J$10:$J$330)</f>
        <v>53.07</v>
      </c>
      <c r="N229" s="682">
        <f>+SUMIF('Mov_Analizados_Ene 26'!$H$10:$H$330,Resumen_Base!E229,'Mov_Analizados_Ene 26'!$J$10:$J$330)-M229</f>
        <v>0</v>
      </c>
      <c r="O229" s="339">
        <f>+SUMIF('Mov_Analizados_Feb - Mar 26'!$H$10:$H$1378,Resumen_Base!E229,'Mov_Analizados_Feb - Mar 26'!$I$10:$I$1378)</f>
        <v>2525154.7000000002</v>
      </c>
      <c r="P229" s="340">
        <f>+SUMIF('Mov_Analizados_Feb - Mar 26'!$H$10:$H$1378,Resumen_Base!E229,'Mov_Analizados_Feb - Mar 26'!$J$10:$J$1378)</f>
        <v>1753.68</v>
      </c>
      <c r="R229" s="339">
        <f>+SUMIF('Mov_Analizados_Abr 26'!$I$10:$I$862,Resumen_Base!E229,'Mov_Analizados_Abr 26'!$J$10:$J$862)</f>
        <v>0</v>
      </c>
      <c r="S229" s="340">
        <f>+SUMIF('Mov_Analizados_Abr 26'!$I$10:$I$862,Resumen_Base!E229,'Mov_Analizados_Abr 26'!$K$10:$K$862)</f>
        <v>0</v>
      </c>
      <c r="U229" s="339">
        <f>+SUMIF('Mov_Analizados_May 26'!$I$10:$I$1205,Resumen_Base!E229,'Mov_Analizados_May 26'!$J$10:$J$1205)</f>
        <v>0</v>
      </c>
      <c r="V229" s="340">
        <f>+SUMIF('Mov_Analizados_May 26'!$I$10:$I$1205,Resumen_Base!E229,'Mov_Analizados_May 26'!$K$10:$K$1205)</f>
        <v>0</v>
      </c>
      <c r="X229" s="339">
        <f t="shared" ca="1" si="15"/>
        <v>2603698.3000000003</v>
      </c>
      <c r="Y229" s="340">
        <f t="shared" ca="1" si="16"/>
        <v>1806.75</v>
      </c>
    </row>
    <row r="230" spans="1:26">
      <c r="A230" s="4" t="str">
        <f>+VLOOKUP(C230,'Plan Cuentas Link Armado'!$A$3:$D$105,4,0)</f>
        <v>Fixed Asset's Payments (Investments) Armas</v>
      </c>
      <c r="C230" s="4" t="s">
        <v>4</v>
      </c>
      <c r="D230" s="4" t="s">
        <v>3</v>
      </c>
      <c r="E230" s="152" t="s">
        <v>745</v>
      </c>
      <c r="G230" s="4" t="str">
        <f>+VLOOKUP(C230,'Plan Cuentas Link Armado'!$A$3:$D$105,4,0)</f>
        <v>Fixed Asset's Payments (Investments) Armas</v>
      </c>
      <c r="I230" s="339">
        <f ca="1">+SUMIF('Mov_Analizados_Sept25 - Dic25'!$H$10:$I$1038,Resumen_Base!E230,'Mov_Analizados_Sept25 - Dic25'!$I$10:$I$1038)</f>
        <v>408761.19999999995</v>
      </c>
      <c r="J230" s="340">
        <f ca="1">+SUMIF('Mov_Analizados_Sept25 - Dic25'!$H$10:$J$1038,Resumen_Base!E230,'Mov_Analizados_Sept25 - Dic25'!$J$10:$J$1038)</f>
        <v>287.86</v>
      </c>
      <c r="L230" s="339">
        <f>+SUMIF('Mov_Analizados_Ene 26'!$H$10:$H$330,Resumen_Base!E230,'Mov_Analizados_Ene 26'!$I$10:$I$330)</f>
        <v>1292617.2</v>
      </c>
      <c r="M230" s="340">
        <f>+SUMIF('Mov_Analizados_Ene 26'!$H$10:$H$330,Resumen_Base!E230,'Mov_Analizados_Ene 26'!$J$10:$J$330)</f>
        <v>873.39</v>
      </c>
      <c r="N230" s="682">
        <f>+SUMIF('Mov_Analizados_Ene 26'!$H$10:$H$330,Resumen_Base!E230,'Mov_Analizados_Ene 26'!$J$10:$J$330)-M230</f>
        <v>0</v>
      </c>
      <c r="O230" s="339">
        <f>+SUMIF('Mov_Analizados_Feb - Mar 26'!$H$10:$H$1378,Resumen_Base!E230,'Mov_Analizados_Feb - Mar 26'!$I$10:$I$1378)</f>
        <v>0</v>
      </c>
      <c r="P230" s="340">
        <f>+SUMIF('Mov_Analizados_Feb - Mar 26'!$H$10:$H$1378,Resumen_Base!E230,'Mov_Analizados_Feb - Mar 26'!$J$10:$J$1378)</f>
        <v>0</v>
      </c>
      <c r="R230" s="339">
        <f>+SUMIF('Mov_Analizados_Abr 26'!$I$10:$I$862,Resumen_Base!E230,'Mov_Analizados_Abr 26'!$J$10:$J$862)</f>
        <v>0</v>
      </c>
      <c r="S230" s="340">
        <f>+SUMIF('Mov_Analizados_Abr 26'!$I$10:$I$862,Resumen_Base!E230,'Mov_Analizados_Abr 26'!$K$10:$K$862)</f>
        <v>0</v>
      </c>
      <c r="U230" s="339">
        <f>+SUMIF('Mov_Analizados_May 26'!$I$10:$I$1205,Resumen_Base!E230,'Mov_Analizados_May 26'!$J$10:$J$1205)</f>
        <v>0</v>
      </c>
      <c r="V230" s="340">
        <f>+SUMIF('Mov_Analizados_May 26'!$I$10:$I$1205,Resumen_Base!E230,'Mov_Analizados_May 26'!$K$10:$K$1205)</f>
        <v>0</v>
      </c>
      <c r="X230" s="339">
        <f t="shared" ca="1" si="15"/>
        <v>1701378.4</v>
      </c>
      <c r="Y230" s="340">
        <f t="shared" ca="1" si="16"/>
        <v>1161.25</v>
      </c>
    </row>
    <row r="231" spans="1:26">
      <c r="A231" s="4" t="str">
        <f>+VLOOKUP(C231,'Plan Cuentas Link Armado'!$A$3:$D$105,4,0)</f>
        <v>Food &amp; Wine</v>
      </c>
      <c r="C231" s="308" t="s">
        <v>45</v>
      </c>
      <c r="D231" s="4" t="s">
        <v>44</v>
      </c>
      <c r="E231" s="4" t="s">
        <v>624</v>
      </c>
      <c r="G231" s="4" t="str">
        <f>+VLOOKUP(C231,'Plan Cuentas Link Armado'!$A$3:$D$105,4,0)</f>
        <v>Food &amp; Wine</v>
      </c>
      <c r="I231" s="339">
        <f ca="1">+SUMIF('Mov_Analizados_Sept25 - Dic25'!$H$10:$I$1038,Resumen_Base!E231,'Mov_Analizados_Sept25 - Dic25'!$I$10:$I$1038)</f>
        <v>2087142.9999999998</v>
      </c>
      <c r="J231" s="340">
        <f ca="1">+SUMIF('Mov_Analizados_Sept25 - Dic25'!$H$10:$J$1038,Resumen_Base!E231,'Mov_Analizados_Sept25 - Dic25'!$J$10:$J$1038)</f>
        <v>1510.5500000000002</v>
      </c>
      <c r="L231" s="339">
        <f>+SUMIF('Mov_Analizados_Ene 26'!$H$10:$H$330,Resumen_Base!E231,'Mov_Analizados_Ene 26'!$I$10:$I$330)</f>
        <v>276005.2</v>
      </c>
      <c r="M231" s="340">
        <f>+SUMIF('Mov_Analizados_Ene 26'!$H$10:$H$330,Resumen_Base!E231,'Mov_Analizados_Ene 26'!$J$10:$J$330)</f>
        <v>186.49</v>
      </c>
      <c r="N231" s="682">
        <f>+SUMIF('Mov_Analizados_Ene 26'!$H$10:$H$330,Resumen_Base!E231,'Mov_Analizados_Ene 26'!$J$10:$J$330)-M231</f>
        <v>0</v>
      </c>
      <c r="O231" s="339">
        <f>+SUMIF('Mov_Analizados_Feb - Mar 26'!$H$10:$H$1378,Resumen_Base!E231,'Mov_Analizados_Feb - Mar 26'!$I$10:$I$1378)</f>
        <v>5605570.6499999994</v>
      </c>
      <c r="P231" s="340">
        <f>+SUMIF('Mov_Analizados_Feb - Mar 26'!$H$10:$H$1378,Resumen_Base!E231,'Mov_Analizados_Feb - Mar 26'!$J$10:$J$1378)</f>
        <v>3947.4399999999996</v>
      </c>
      <c r="R231" s="339">
        <f>+SUMIF('Mov_Analizados_Abr 26'!$I$10:$I$862,Resumen_Base!E231,'Mov_Analizados_Abr 26'!$J$10:$J$862)</f>
        <v>0</v>
      </c>
      <c r="S231" s="340">
        <f>+SUMIF('Mov_Analizados_Abr 26'!$I$10:$I$862,Resumen_Base!E231,'Mov_Analizados_Abr 26'!$K$10:$K$862)</f>
        <v>0</v>
      </c>
      <c r="U231" s="339">
        <f>+SUMIF('Mov_Analizados_May 26'!$I$10:$I$1205,Resumen_Base!E231,'Mov_Analizados_May 26'!$J$10:$J$1205)</f>
        <v>1261254.45</v>
      </c>
      <c r="V231" s="340">
        <f>+SUMIF('Mov_Analizados_May 26'!$I$10:$I$1205,Resumen_Base!E231,'Mov_Analizados_May 26'!$K$10:$K$1205)</f>
        <v>897.69</v>
      </c>
      <c r="X231" s="339">
        <f t="shared" ca="1" si="15"/>
        <v>9229973.2999999989</v>
      </c>
      <c r="Y231" s="340">
        <f t="shared" ca="1" si="16"/>
        <v>6542.17</v>
      </c>
      <c r="Z231" s="346">
        <f ca="1">+Y231+Y232+Y235</f>
        <v>109605.71256410258</v>
      </c>
    </row>
    <row r="232" spans="1:26">
      <c r="A232" s="4" t="str">
        <f>+VLOOKUP(C232,'Plan Cuentas Link Armado'!$A$3:$D$105,4,0)</f>
        <v>Food &amp; Wine</v>
      </c>
      <c r="C232" s="308" t="s">
        <v>37</v>
      </c>
      <c r="D232" s="4" t="s">
        <v>36</v>
      </c>
      <c r="E232" s="4" t="s">
        <v>625</v>
      </c>
      <c r="G232" s="4" t="str">
        <f>+VLOOKUP(C232,'Plan Cuentas Link Armado'!$A$3:$D$105,4,0)</f>
        <v>Food &amp; Wine</v>
      </c>
      <c r="I232" s="339">
        <f ca="1">+SUMIF('Mov_Analizados_Sept25 - Dic25'!$H$10:$I$1038,Resumen_Base!E232,'Mov_Analizados_Sept25 - Dic25'!$I$10:$I$1038)</f>
        <v>18595099.500000004</v>
      </c>
      <c r="J232" s="340">
        <f ca="1">+SUMIF('Mov_Analizados_Sept25 - Dic25'!$H$10:$J$1038,Resumen_Base!E232,'Mov_Analizados_Sept25 - Dic25'!$J$10:$J$1038)</f>
        <v>12760.759999999995</v>
      </c>
      <c r="L232" s="339">
        <f>+SUMIF('Mov_Analizados_Ene 26'!$H$10:$H$330,Resumen_Base!E232,'Mov_Analizados_Ene 26'!$I$10:$I$330)</f>
        <v>23859173.600000001</v>
      </c>
      <c r="M232" s="340">
        <f>+SUMIF('Mov_Analizados_Ene 26'!$H$10:$H$330,Resumen_Base!E232,'Mov_Analizados_Ene 26'!$J$10:$J$330)</f>
        <v>16124.789999999999</v>
      </c>
      <c r="N232" s="682">
        <f>+SUMIF('Mov_Analizados_Ene 26'!$H$10:$H$330,Resumen_Base!E232,'Mov_Analizados_Ene 26'!$J$10:$J$330)-M232</f>
        <v>0</v>
      </c>
      <c r="O232" s="339">
        <f>+SUMIF('Mov_Analizados_Feb - Mar 26'!$H$10:$H$1378,Resumen_Base!E232,'Mov_Analizados_Feb - Mar 26'!$I$10:$I$1378)</f>
        <v>37818544.200000003</v>
      </c>
      <c r="P232" s="340">
        <f>+SUMIF('Mov_Analizados_Feb - Mar 26'!$H$10:$H$1378,Resumen_Base!E232,'Mov_Analizados_Feb - Mar 26'!$J$10:$J$1378)</f>
        <v>38415.022000000004</v>
      </c>
      <c r="R232" s="339">
        <f>+SUMIF('Mov_Analizados_Abr 26'!$I$10:$I$862,Resumen_Base!E232,'Mov_Analizados_Abr 26'!$J$10:$J$862)</f>
        <v>31825160.800000001</v>
      </c>
      <c r="S232" s="340">
        <f>+SUMIF('Mov_Analizados_Abr 26'!$I$10:$I$862,Resumen_Base!E232,'Mov_Analizados_Abr 26'!$K$10:$K$862)</f>
        <v>16875.118000000002</v>
      </c>
      <c r="U232" s="339">
        <f>+SUMIF('Mov_Analizados_May 26'!$I$10:$I$1205,Resumen_Base!E232,'Mov_Analizados_May 26'!$J$10:$J$1205)</f>
        <v>22872501.300000001</v>
      </c>
      <c r="V232" s="340">
        <f>+SUMIF('Mov_Analizados_May 26'!$I$10:$I$1205,Resumen_Base!E232,'Mov_Analizados_May 26'!$K$10:$K$1205)</f>
        <v>17334.132307692307</v>
      </c>
      <c r="X232" s="339">
        <f t="shared" ca="1" si="15"/>
        <v>134970479.40000001</v>
      </c>
      <c r="Y232" s="340">
        <f t="shared" ca="1" si="16"/>
        <v>101509.82230769232</v>
      </c>
    </row>
    <row r="233" spans="1:26">
      <c r="A233" s="4" t="str">
        <f>+VLOOKUP(C233,'Plan Cuentas Link Armado'!$A$3:$D$105,4,0)</f>
        <v>Food &amp; Wine</v>
      </c>
      <c r="C233" s="607" t="s">
        <v>1718</v>
      </c>
      <c r="D233" s="597" t="s">
        <v>1719</v>
      </c>
      <c r="E233" s="152" t="s">
        <v>3321</v>
      </c>
      <c r="G233" s="4" t="str">
        <f>+VLOOKUP(C233,'Plan Cuentas Link Armado'!$A$3:$D$105,4,0)</f>
        <v>Food &amp; Wine</v>
      </c>
      <c r="I233" s="339">
        <f ca="1">+SUMIF('Mov_Analizados_Sept25 - Dic25'!$H$10:$I$1038,Resumen_Base!E233,'Mov_Analizados_Sept25 - Dic25'!$I$10:$I$1038)</f>
        <v>2434890.5999999996</v>
      </c>
      <c r="J233" s="340">
        <f ca="1">+SUMIF('Mov_Analizados_Sept25 - Dic25'!$H$10:$J$1038,Resumen_Base!E233,'Mov_Analizados_Sept25 - Dic25'!$J$10:$J$1038)</f>
        <v>1714.12</v>
      </c>
      <c r="L233" s="339">
        <f>+SUMIF('Mov_Analizados_Ene 26'!$H$10:$H$330,Resumen_Base!E233,'Mov_Analizados_Ene 26'!$I$10:$I$330)</f>
        <v>3859958.4</v>
      </c>
      <c r="M233" s="340">
        <f>+SUMIF('Mov_Analizados_Ene 26'!$H$10:$H$330,Resumen_Base!E233,'Mov_Analizados_Ene 26'!$J$10:$J$330)</f>
        <v>2608.08</v>
      </c>
      <c r="N233" s="682">
        <f>+SUMIF('Mov_Analizados_Ene 26'!$H$10:$H$330,Resumen_Base!E233,'Mov_Analizados_Ene 26'!$J$10:$J$330)-M233</f>
        <v>0</v>
      </c>
      <c r="O233" s="339">
        <f>+SUMIF('Mov_Analizados_Feb - Mar 26'!$H$10:$H$1378,Resumen_Base!E233,'Mov_Analizados_Feb - Mar 26'!$I$10:$I$1378)</f>
        <v>2327707.35</v>
      </c>
      <c r="P233" s="340">
        <f>+SUMIF('Mov_Analizados_Feb - Mar 26'!$H$10:$H$1378,Resumen_Base!E233,'Mov_Analizados_Feb - Mar 26'!$J$10:$J$1378)</f>
        <v>1649.99</v>
      </c>
      <c r="R233" s="339">
        <f>+SUMIF('Mov_Analizados_Abr 26'!$I$10:$I$862,Resumen_Base!E233,'Mov_Analizados_Abr 26'!$J$10:$J$862)</f>
        <v>525722.9</v>
      </c>
      <c r="S233" s="340">
        <f>+SUMIF('Mov_Analizados_Abr 26'!$I$10:$I$862,Resumen_Base!E233,'Mov_Analizados_Abr 26'!$K$10:$K$862)</f>
        <v>374.18</v>
      </c>
      <c r="U233" s="339">
        <f>+SUMIF('Mov_Analizados_May 26'!$I$10:$I$1205,Resumen_Base!E233,'Mov_Analizados_May 26'!$J$10:$J$1205)</f>
        <v>0</v>
      </c>
      <c r="V233" s="340">
        <f>+SUMIF('Mov_Analizados_May 26'!$I$10:$I$1205,Resumen_Base!E233,'Mov_Analizados_May 26'!$K$10:$K$1205)</f>
        <v>0</v>
      </c>
      <c r="X233" s="339">
        <f t="shared" ca="1" si="15"/>
        <v>9148279.25</v>
      </c>
      <c r="Y233" s="340">
        <f t="shared" ca="1" si="16"/>
        <v>6346.37</v>
      </c>
    </row>
    <row r="234" spans="1:26">
      <c r="A234" s="4" t="str">
        <f>+VLOOKUP(C234,'Plan Cuentas Link Armado'!$A$3:$D$105,4,0)</f>
        <v>Food &amp; Wine</v>
      </c>
      <c r="C234" s="308" t="s">
        <v>248</v>
      </c>
      <c r="D234" s="4" t="s">
        <v>249</v>
      </c>
      <c r="E234" s="152" t="s">
        <v>626</v>
      </c>
      <c r="G234" s="4" t="str">
        <f>+VLOOKUP(C234,'Plan Cuentas Link Armado'!$A$3:$D$105,4,0)</f>
        <v>Food &amp; Wine</v>
      </c>
      <c r="I234" s="339">
        <f ca="1">+SUMIF('Mov_Analizados_Sept25 - Dic25'!$H$10:$I$1038,Resumen_Base!E234,'Mov_Analizados_Sept25 - Dic25'!$I$10:$I$1038)</f>
        <v>199353.8</v>
      </c>
      <c r="J234" s="340">
        <f ca="1">+SUMIF('Mov_Analizados_Sept25 - Dic25'!$H$10:$J$1038,Resumen_Base!E234,'Mov_Analizados_Sept25 - Dic25'!$J$10:$J$1038)</f>
        <v>140.39000000000001</v>
      </c>
      <c r="L234" s="339">
        <f>+SUMIF('Mov_Analizados_Ene 26'!$H$10:$H$330,Resumen_Base!E234,'Mov_Analizados_Ene 26'!$I$10:$I$330)</f>
        <v>97931.4</v>
      </c>
      <c r="M234" s="340">
        <f>+SUMIF('Mov_Analizados_Ene 26'!$H$10:$H$330,Resumen_Base!E234,'Mov_Analizados_Ene 26'!$J$10:$J$330)</f>
        <v>66.62</v>
      </c>
      <c r="N234" s="682">
        <f>+SUMIF('Mov_Analizados_Ene 26'!$H$10:$H$330,Resumen_Base!E234,'Mov_Analizados_Ene 26'!$J$10:$J$330)-M234</f>
        <v>0</v>
      </c>
      <c r="O234" s="339">
        <f>+SUMIF('Mov_Analizados_Feb - Mar 26'!$H$10:$H$1378,Resumen_Base!E234,'Mov_Analizados_Feb - Mar 26'!$I$10:$I$1378)</f>
        <v>0</v>
      </c>
      <c r="P234" s="340">
        <f>+SUMIF('Mov_Analizados_Feb - Mar 26'!$H$10:$H$1378,Resumen_Base!E234,'Mov_Analizados_Feb - Mar 26'!$J$10:$J$1378)</f>
        <v>0</v>
      </c>
      <c r="R234" s="339">
        <f>+SUMIF('Mov_Analizados_Abr 26'!$I$10:$I$862,Resumen_Base!E234,'Mov_Analizados_Abr 26'!$J$10:$J$862)</f>
        <v>0</v>
      </c>
      <c r="S234" s="340">
        <f>+SUMIF('Mov_Analizados_Abr 26'!$I$10:$I$862,Resumen_Base!E234,'Mov_Analizados_Abr 26'!$K$10:$K$862)</f>
        <v>0</v>
      </c>
      <c r="U234" s="339">
        <f>+SUMIF('Mov_Analizados_May 26'!$I$10:$I$1205,Resumen_Base!E234,'Mov_Analizados_May 26'!$J$10:$J$1205)</f>
        <v>0</v>
      </c>
      <c r="V234" s="340">
        <f>+SUMIF('Mov_Analizados_May 26'!$I$10:$I$1205,Resumen_Base!E234,'Mov_Analizados_May 26'!$K$10:$K$1205)</f>
        <v>0</v>
      </c>
      <c r="X234" s="339">
        <f t="shared" ca="1" si="15"/>
        <v>297285.19999999995</v>
      </c>
      <c r="Y234" s="340">
        <f t="shared" ca="1" si="16"/>
        <v>207.01000000000002</v>
      </c>
    </row>
    <row r="235" spans="1:26">
      <c r="A235" s="4" t="str">
        <f>+VLOOKUP(C235,'Plan Cuentas Link Armado'!$A$3:$D$105,4,0)</f>
        <v>Food &amp; Wine</v>
      </c>
      <c r="C235" s="308" t="s">
        <v>35</v>
      </c>
      <c r="D235" s="4" t="s">
        <v>34</v>
      </c>
      <c r="E235" s="4" t="s">
        <v>627</v>
      </c>
      <c r="G235" s="4" t="str">
        <f>+VLOOKUP(C235,'Plan Cuentas Link Armado'!$A$3:$D$105,4,0)</f>
        <v>Food &amp; Wine</v>
      </c>
      <c r="I235" s="339">
        <f ca="1">+SUMIF('Mov_Analizados_Sept25 - Dic25'!$H$10:$I$1038,Resumen_Base!E235,'Mov_Analizados_Sept25 - Dic25'!$I$10:$I$1038)</f>
        <v>480588</v>
      </c>
      <c r="J235" s="340">
        <f ca="1">+SUMIF('Mov_Analizados_Sept25 - Dic25'!$H$10:$J$1038,Resumen_Base!E235,'Mov_Analizados_Sept25 - Dic25'!$J$10:$J$1038)</f>
        <v>334.68</v>
      </c>
      <c r="L235" s="339">
        <f>+SUMIF('Mov_Analizados_Ene 26'!$H$10:$H$330,Resumen_Base!E235,'Mov_Analizados_Ene 26'!$I$10:$I$330)</f>
        <v>1224855.9000000001</v>
      </c>
      <c r="M235" s="340">
        <f>+SUMIF('Mov_Analizados_Ene 26'!$H$10:$H$330,Resumen_Base!E235,'Mov_Analizados_Ene 26'!$J$10:$J$330)</f>
        <v>828.21</v>
      </c>
      <c r="N235" s="682">
        <f>+SUMIF('Mov_Analizados_Ene 26'!$H$10:$H$330,Resumen_Base!E235,'Mov_Analizados_Ene 26'!$J$10:$J$330)-M235</f>
        <v>0</v>
      </c>
      <c r="O235" s="339">
        <f>+SUMIF('Mov_Analizados_Feb - Mar 26'!$H$10:$H$1378,Resumen_Base!E235,'Mov_Analizados_Feb - Mar 26'!$I$10:$I$1378)</f>
        <v>302259.25</v>
      </c>
      <c r="P235" s="340">
        <f>+SUMIF('Mov_Analizados_Feb - Mar 26'!$H$10:$H$1378,Resumen_Base!E235,'Mov_Analizados_Feb - Mar 26'!$J$10:$J$1378)</f>
        <v>214.63000000000002</v>
      </c>
      <c r="R235" s="339">
        <f>+SUMIF('Mov_Analizados_Abr 26'!$I$10:$I$862,Resumen_Base!E235,'Mov_Analizados_Abr 26'!$J$10:$J$862)</f>
        <v>108325.5</v>
      </c>
      <c r="S235" s="340">
        <f>+SUMIF('Mov_Analizados_Abr 26'!$I$10:$I$862,Resumen_Base!E235,'Mov_Analizados_Abr 26'!$K$10:$K$862)</f>
        <v>77.099999999999994</v>
      </c>
      <c r="U235" s="339">
        <f>+SUMIF('Mov_Analizados_May 26'!$I$10:$I$1205,Resumen_Base!E235,'Mov_Analizados_May 26'!$J$10:$J$1205)</f>
        <v>68302</v>
      </c>
      <c r="V235" s="340">
        <f>+SUMIF('Mov_Analizados_May 26'!$I$10:$I$1205,Resumen_Base!E235,'Mov_Analizados_May 26'!$K$10:$K$1205)</f>
        <v>99.100256410256407</v>
      </c>
      <c r="X235" s="339">
        <f t="shared" ca="1" si="15"/>
        <v>2184330.6500000004</v>
      </c>
      <c r="Y235" s="340">
        <f t="shared" ca="1" si="16"/>
        <v>1553.7202564102565</v>
      </c>
    </row>
    <row r="236" spans="1:26">
      <c r="A236" s="4" t="str">
        <f>+VLOOKUP(C236,'Plan Cuentas Link Armado'!$A$3:$D$105,4,0)</f>
        <v>Communications - Phone, internet and satellite TV</v>
      </c>
      <c r="C236" s="308" t="s">
        <v>56</v>
      </c>
      <c r="D236" s="4" t="s">
        <v>57</v>
      </c>
      <c r="E236" s="4" t="s">
        <v>628</v>
      </c>
      <c r="G236" s="4" t="str">
        <f>+VLOOKUP(C236,'Plan Cuentas Link Armado'!$A$3:$D$105,4,0)</f>
        <v>Communications - Phone, internet and satellite TV</v>
      </c>
      <c r="I236" s="339">
        <f ca="1">+SUMIF('Mov_Analizados_Sept25 - Dic25'!$H$10:$I$1038,Resumen_Base!E236,'Mov_Analizados_Sept25 - Dic25'!$I$10:$I$1038)</f>
        <v>126578.8</v>
      </c>
      <c r="J236" s="340">
        <f ca="1">+SUMIF('Mov_Analizados_Sept25 - Dic25'!$H$10:$J$1038,Resumen_Base!E236,'Mov_Analizados_Sept25 - Dic25'!$J$10:$J$1038)</f>
        <v>89.14</v>
      </c>
      <c r="L236" s="339">
        <f>+SUMIF('Mov_Analizados_Ene 26'!$H$10:$H$330,Resumen_Base!E236,'Mov_Analizados_Ene 26'!$I$10:$I$330)</f>
        <v>0</v>
      </c>
      <c r="M236" s="340">
        <f>+SUMIF('Mov_Analizados_Ene 26'!$H$10:$H$330,Resumen_Base!E236,'Mov_Analizados_Ene 26'!$J$10:$J$330)</f>
        <v>0</v>
      </c>
      <c r="N236" s="682">
        <f>+SUMIF('Mov_Analizados_Ene 26'!$H$10:$H$330,Resumen_Base!E236,'Mov_Analizados_Ene 26'!$J$10:$J$330)-M236</f>
        <v>0</v>
      </c>
      <c r="O236" s="339">
        <f>+SUMIF('Mov_Analizados_Feb - Mar 26'!$H$10:$H$1378,Resumen_Base!E236,'Mov_Analizados_Feb - Mar 26'!$I$10:$I$1378)</f>
        <v>-13503</v>
      </c>
      <c r="P236" s="340">
        <f>+SUMIF('Mov_Analizados_Feb - Mar 26'!$H$10:$H$1378,Resumen_Base!E236,'Mov_Analizados_Feb - Mar 26'!$J$10:$J$1378)</f>
        <v>-9.58</v>
      </c>
      <c r="R236" s="339">
        <f>+SUMIF('Mov_Analizados_Abr 26'!$I$10:$I$862,Resumen_Base!E236,'Mov_Analizados_Abr 26'!$J$10:$J$862)</f>
        <v>0</v>
      </c>
      <c r="S236" s="340">
        <f>+SUMIF('Mov_Analizados_Abr 26'!$I$10:$I$862,Resumen_Base!E236,'Mov_Analizados_Abr 26'!$K$10:$K$862)</f>
        <v>0</v>
      </c>
      <c r="U236" s="339">
        <f>+SUMIF('Mov_Analizados_May 26'!$I$10:$I$1205,Resumen_Base!E236,'Mov_Analizados_May 26'!$J$10:$J$1205)</f>
        <v>0</v>
      </c>
      <c r="V236" s="340">
        <f>+SUMIF('Mov_Analizados_May 26'!$I$10:$I$1205,Resumen_Base!E236,'Mov_Analizados_May 26'!$K$10:$K$1205)</f>
        <v>0</v>
      </c>
      <c r="X236" s="339">
        <f t="shared" ca="1" si="15"/>
        <v>113075.8</v>
      </c>
      <c r="Y236" s="340">
        <f t="shared" ca="1" si="16"/>
        <v>79.56</v>
      </c>
    </row>
    <row r="237" spans="1:26">
      <c r="A237" s="4" t="str">
        <f>+VLOOKUP(C237,'Plan Cuentas Link Armado'!$A$3:$D$105,4,0)</f>
        <v>Communications - Phone, internet and satellite TV</v>
      </c>
      <c r="C237" s="308" t="s">
        <v>72</v>
      </c>
      <c r="D237" s="4" t="s">
        <v>73</v>
      </c>
      <c r="E237" s="4" t="s">
        <v>629</v>
      </c>
      <c r="G237" s="4" t="str">
        <f>+VLOOKUP(C237,'Plan Cuentas Link Armado'!$A$3:$D$105,4,0)</f>
        <v>Communications - Phone, internet and satellite TV</v>
      </c>
      <c r="I237" s="339">
        <f ca="1">+SUMIF('Mov_Analizados_Sept25 - Dic25'!$H$10:$I$1038,Resumen_Base!E237,'Mov_Analizados_Sept25 - Dic25'!$I$10:$I$1038)</f>
        <v>850552.5</v>
      </c>
      <c r="J237" s="340">
        <f ca="1">+SUMIF('Mov_Analizados_Sept25 - Dic25'!$H$10:$J$1038,Resumen_Base!E237,'Mov_Analizados_Sept25 - Dic25'!$J$10:$J$1038)</f>
        <v>605.61</v>
      </c>
      <c r="L237" s="339">
        <f>+SUMIF('Mov_Analizados_Ene 26'!$H$10:$H$330,Resumen_Base!E237,'Mov_Analizados_Ene 26'!$I$10:$I$330)</f>
        <v>122455.2</v>
      </c>
      <c r="M237" s="340">
        <f>+SUMIF('Mov_Analizados_Ene 26'!$H$10:$H$330,Resumen_Base!E237,'Mov_Analizados_Ene 26'!$J$10:$J$330)</f>
        <v>82.74</v>
      </c>
      <c r="N237" s="682">
        <f>+SUMIF('Mov_Analizados_Ene 26'!$H$10:$H$330,Resumen_Base!E237,'Mov_Analizados_Ene 26'!$J$10:$J$330)-M237</f>
        <v>0</v>
      </c>
      <c r="O237" s="339">
        <f>+SUMIF('Mov_Analizados_Feb - Mar 26'!$H$10:$H$1378,Resumen_Base!E237,'Mov_Analizados_Feb - Mar 26'!$I$10:$I$1378)</f>
        <v>1791434.1</v>
      </c>
      <c r="P237" s="340">
        <f>+SUMIF('Mov_Analizados_Feb - Mar 26'!$H$10:$H$1378,Resumen_Base!E237,'Mov_Analizados_Feb - Mar 26'!$J$10:$J$1378)</f>
        <v>1260.03</v>
      </c>
      <c r="R237" s="339">
        <f>+SUMIF('Mov_Analizados_Abr 26'!$I$10:$I$862,Resumen_Base!E237,'Mov_Analizados_Abr 26'!$J$10:$J$862)</f>
        <v>114774.45</v>
      </c>
      <c r="S237" s="340">
        <f>+SUMIF('Mov_Analizados_Abr 26'!$I$10:$I$862,Resumen_Base!E237,'Mov_Analizados_Abr 26'!$K$10:$K$862)</f>
        <v>81.69</v>
      </c>
      <c r="U237" s="339">
        <f>+SUMIF('Mov_Analizados_May 26'!$I$10:$I$1205,Resumen_Base!E237,'Mov_Analizados_May 26'!$J$10:$J$1205)</f>
        <v>110952.85</v>
      </c>
      <c r="V237" s="340">
        <f>+SUMIF('Mov_Analizados_May 26'!$I$10:$I$1205,Resumen_Base!E237,'Mov_Analizados_May 26'!$K$10:$K$1205)</f>
        <v>161.81615384615384</v>
      </c>
      <c r="X237" s="339">
        <f t="shared" ca="1" si="15"/>
        <v>2990169.1</v>
      </c>
      <c r="Y237" s="340">
        <f t="shared" ca="1" si="16"/>
        <v>2191.8861538461542</v>
      </c>
    </row>
    <row r="238" spans="1:26">
      <c r="A238" s="4" t="str">
        <f>+VLOOKUP(C238,'Plan Cuentas Link Armado'!$A$3:$D$105,4,0)</f>
        <v>Electricity</v>
      </c>
      <c r="C238" s="308" t="s">
        <v>41</v>
      </c>
      <c r="D238" s="4" t="s">
        <v>40</v>
      </c>
      <c r="E238" s="4" t="s">
        <v>630</v>
      </c>
      <c r="G238" s="4" t="str">
        <f>+VLOOKUP(C238,'Plan Cuentas Link Armado'!$A$3:$D$105,4,0)</f>
        <v>Electricity</v>
      </c>
      <c r="I238" s="339">
        <f ca="1">+SUMIF('Mov_Analizados_Sept25 - Dic25'!$H$10:$I$1038,Resumen_Base!E238,'Mov_Analizados_Sept25 - Dic25'!$I$10:$I$1038)</f>
        <v>6107699.7000000002</v>
      </c>
      <c r="J238" s="340">
        <f ca="1">+SUMIF('Mov_Analizados_Sept25 - Dic25'!$H$10:$J$1038,Resumen_Base!E238,'Mov_Analizados_Sept25 - Dic25'!$J$10:$J$1038)</f>
        <v>4240.9799999999996</v>
      </c>
      <c r="L238" s="339">
        <f>+SUMIF('Mov_Analizados_Ene 26'!$H$10:$H$330,Resumen_Base!E238,'Mov_Analizados_Ene 26'!$I$10:$I$330)</f>
        <v>1284477.2</v>
      </c>
      <c r="M238" s="340">
        <f>+SUMIF('Mov_Analizados_Ene 26'!$H$10:$H$330,Resumen_Base!E238,'Mov_Analizados_Ene 26'!$J$10:$J$330)</f>
        <v>2619.7081818181814</v>
      </c>
      <c r="N238" s="682">
        <f>+SUMIF('Mov_Analizados_Ene 26'!$H$10:$H$330,Resumen_Base!E238,'Mov_Analizados_Ene 26'!$J$10:$J$330)-M238</f>
        <v>0</v>
      </c>
      <c r="O238" s="339">
        <f>+SUMIF('Mov_Analizados_Feb - Mar 26'!$H$10:$H$1378,Resumen_Base!E238,'Mov_Analizados_Feb - Mar 26'!$I$10:$I$1378)</f>
        <v>6077726.5</v>
      </c>
      <c r="P238" s="340">
        <f>+SUMIF('Mov_Analizados_Feb - Mar 26'!$H$10:$H$1378,Resumen_Base!E238,'Mov_Analizados_Feb - Mar 26'!$J$10:$J$1378)</f>
        <v>2558.0918181818179</v>
      </c>
      <c r="R238" s="339">
        <f>+SUMIF('Mov_Analizados_Abr 26'!$I$10:$I$862,Resumen_Base!E238,'Mov_Analizados_Abr 26'!$J$10:$J$862)</f>
        <v>3861881.3499999996</v>
      </c>
      <c r="S238" s="340">
        <f>+SUMIF('Mov_Analizados_Abr 26'!$I$10:$I$862,Resumen_Base!E238,'Mov_Analizados_Abr 26'!$K$10:$K$862)</f>
        <v>2748.67</v>
      </c>
      <c r="U238" s="339">
        <f>+SUMIF('Mov_Analizados_May 26'!$I$10:$I$1205,Resumen_Base!E238,'Mov_Analizados_May 26'!$J$10:$J$1205)</f>
        <v>2963454.1</v>
      </c>
      <c r="V238" s="340">
        <f>+SUMIF('Mov_Analizados_May 26'!$I$10:$I$1205,Resumen_Base!E238,'Mov_Analizados_May 26'!$K$10:$K$1205)</f>
        <v>4041.5533333333333</v>
      </c>
      <c r="X238" s="339">
        <f t="shared" ca="1" si="15"/>
        <v>20295238.850000001</v>
      </c>
      <c r="Y238" s="340">
        <f t="shared" ca="1" si="16"/>
        <v>16209.003333333332</v>
      </c>
    </row>
    <row r="239" spans="1:26">
      <c r="A239" s="4" t="str">
        <f>+VLOOKUP(C239,'Plan Cuentas Link Armado'!$A$3:$D$105,4,0)</f>
        <v>Propane</v>
      </c>
      <c r="C239" s="308" t="s">
        <v>39</v>
      </c>
      <c r="D239" s="4" t="s">
        <v>38</v>
      </c>
      <c r="E239" s="4" t="s">
        <v>631</v>
      </c>
      <c r="G239" s="4" t="str">
        <f>+VLOOKUP(C239,'Plan Cuentas Link Armado'!$A$3:$D$105,4,0)</f>
        <v>Propane</v>
      </c>
      <c r="I239" s="339">
        <f ca="1">+SUMIF('Mov_Analizados_Sept25 - Dic25'!$H$10:$I$1038,Resumen_Base!E239,'Mov_Analizados_Sept25 - Dic25'!$I$10:$I$1038)</f>
        <v>15549</v>
      </c>
      <c r="J239" s="340">
        <f ca="1">+SUMIF('Mov_Analizados_Sept25 - Dic25'!$H$10:$J$1038,Resumen_Base!E239,'Mov_Analizados_Sept25 - Dic25'!$J$10:$J$1038)</f>
        <v>10.95</v>
      </c>
      <c r="L239" s="339">
        <f>+SUMIF('Mov_Analizados_Ene 26'!$H$10:$H$330,Resumen_Base!E239,'Mov_Analizados_Ene 26'!$I$10:$I$330)</f>
        <v>0</v>
      </c>
      <c r="M239" s="340">
        <f>+SUMIF('Mov_Analizados_Ene 26'!$H$10:$H$330,Resumen_Base!E239,'Mov_Analizados_Ene 26'!$J$10:$J$330)</f>
        <v>0</v>
      </c>
      <c r="N239" s="682">
        <f>+SUMIF('Mov_Analizados_Ene 26'!$H$10:$H$330,Resumen_Base!E239,'Mov_Analizados_Ene 26'!$J$10:$J$330)-M239</f>
        <v>0</v>
      </c>
      <c r="O239" s="339">
        <f>+SUMIF('Mov_Analizados_Feb - Mar 26'!$H$10:$H$1378,Resumen_Base!E239,'Mov_Analizados_Feb - Mar 26'!$I$10:$I$1378)</f>
        <v>402616.4</v>
      </c>
      <c r="P239" s="340">
        <f>+SUMIF('Mov_Analizados_Feb - Mar 26'!$H$10:$H$1378,Resumen_Base!E239,'Mov_Analizados_Feb - Mar 26'!$J$10:$J$1378)</f>
        <v>281.81</v>
      </c>
      <c r="R239" s="339">
        <f>+SUMIF('Mov_Analizados_Abr 26'!$I$10:$I$862,Resumen_Base!E239,'Mov_Analizados_Abr 26'!$J$10:$J$862)</f>
        <v>43203.75</v>
      </c>
      <c r="S239" s="340">
        <f>+SUMIF('Mov_Analizados_Abr 26'!$I$10:$I$862,Resumen_Base!E239,'Mov_Analizados_Abr 26'!$K$10:$K$862)</f>
        <v>30.75</v>
      </c>
      <c r="U239" s="339">
        <f>+SUMIF('Mov_Analizados_May 26'!$I$10:$I$1205,Resumen_Base!E239,'Mov_Analizados_May 26'!$J$10:$J$1205)</f>
        <v>0</v>
      </c>
      <c r="V239" s="340">
        <f>+SUMIF('Mov_Analizados_May 26'!$I$10:$I$1205,Resumen_Base!E239,'Mov_Analizados_May 26'!$K$10:$K$1205)</f>
        <v>0</v>
      </c>
      <c r="X239" s="339">
        <f t="shared" ca="1" si="15"/>
        <v>461369.15</v>
      </c>
      <c r="Y239" s="340">
        <f t="shared" ca="1" si="16"/>
        <v>323.51</v>
      </c>
    </row>
    <row r="240" spans="1:26">
      <c r="A240" s="4" t="str">
        <f>+VLOOKUP(C240,'Plan Cuentas Link Armado'!$A$3:$D$105,4,0)</f>
        <v>Maintenance Lodge</v>
      </c>
      <c r="C240" s="308" t="s">
        <v>33</v>
      </c>
      <c r="D240" s="4" t="s">
        <v>32</v>
      </c>
      <c r="E240" s="4" t="s">
        <v>632</v>
      </c>
      <c r="G240" s="4" t="str">
        <f>+VLOOKUP(C240,'Plan Cuentas Link Armado'!$A$3:$D$105,4,0)</f>
        <v>Maintenance Lodge</v>
      </c>
      <c r="I240" s="339">
        <f ca="1">+SUMIF('Mov_Analizados_Sept25 - Dic25'!$H$10:$I$1038,Resumen_Base!E240,'Mov_Analizados_Sept25 - Dic25'!$I$10:$I$1038)</f>
        <v>1258809.7999999998</v>
      </c>
      <c r="J240" s="340">
        <f ca="1">+SUMIF('Mov_Analizados_Sept25 - Dic25'!$H$10:$J$1038,Resumen_Base!E240,'Mov_Analizados_Sept25 - Dic25'!$J$10:$J$1038)</f>
        <v>950.74</v>
      </c>
      <c r="L240" s="339">
        <f>+SUMIF('Mov_Analizados_Ene 26'!$H$10:$H$330,Resumen_Base!E240,'Mov_Analizados_Ene 26'!$I$10:$I$330)</f>
        <v>6267033.2000000002</v>
      </c>
      <c r="M240" s="340">
        <f>+SUMIF('Mov_Analizados_Ene 26'!$H$10:$H$330,Resumen_Base!E240,'Mov_Analizados_Ene 26'!$J$10:$J$330)</f>
        <v>4240.5599999999995</v>
      </c>
      <c r="N240" s="682">
        <f>+SUMIF('Mov_Analizados_Ene 26'!$H$10:$H$330,Resumen_Base!E240,'Mov_Analizados_Ene 26'!$J$10:$J$330)-M240</f>
        <v>0</v>
      </c>
      <c r="O240" s="339">
        <f>+SUMIF('Mov_Analizados_Feb - Mar 26'!$H$10:$H$1378,Resumen_Base!E240,'Mov_Analizados_Feb - Mar 26'!$I$10:$I$1378)</f>
        <v>6156455.2499999991</v>
      </c>
      <c r="P240" s="340">
        <f>+SUMIF('Mov_Analizados_Feb - Mar 26'!$H$10:$H$1378,Resumen_Base!E240,'Mov_Analizados_Feb - Mar 26'!$J$10:$J$1378)</f>
        <v>4462.6550000000007</v>
      </c>
      <c r="R240" s="339">
        <f>+SUMIF('Mov_Analizados_Abr 26'!$I$10:$I$862,Resumen_Base!E240,'Mov_Analizados_Abr 26'!$J$10:$J$862)</f>
        <v>2310697.8999999994</v>
      </c>
      <c r="S240" s="340">
        <f>+SUMIF('Mov_Analizados_Abr 26'!$I$10:$I$862,Resumen_Base!E240,'Mov_Analizados_Abr 26'!$K$10:$K$862)</f>
        <v>1810.0741988320101</v>
      </c>
      <c r="U240" s="339">
        <f>+SUMIF('Mov_Analizados_May 26'!$I$10:$I$1205,Resumen_Base!E240,'Mov_Analizados_May 26'!$J$10:$J$1205)</f>
        <v>12011380.050000001</v>
      </c>
      <c r="V240" s="340">
        <f>+SUMIF('Mov_Analizados_May 26'!$I$10:$I$1205,Resumen_Base!E240,'Mov_Analizados_May 26'!$K$10:$K$1205)</f>
        <v>8240.6194871794851</v>
      </c>
      <c r="X240" s="339">
        <f t="shared" ca="1" si="15"/>
        <v>28004376.199999999</v>
      </c>
      <c r="Y240" s="340">
        <f t="shared" ca="1" si="16"/>
        <v>19704.648686011496</v>
      </c>
    </row>
    <row r="241" spans="1:25">
      <c r="A241" s="4" t="str">
        <f>+VLOOKUP(C241,'Plan Cuentas Link Armado'!$A$3:$D$105,4,0)</f>
        <v>Maintenance Lodge</v>
      </c>
      <c r="C241" s="308" t="s">
        <v>261</v>
      </c>
      <c r="D241" s="4" t="s">
        <v>262</v>
      </c>
      <c r="E241" s="152" t="s">
        <v>633</v>
      </c>
      <c r="G241" s="4" t="str">
        <f>+VLOOKUP(C241,'Plan Cuentas Link Armado'!$A$3:$D$105,4,0)</f>
        <v>Maintenance Lodge</v>
      </c>
      <c r="I241" s="339">
        <f ca="1">+SUMIF('Mov_Analizados_Sept25 - Dic25'!$H$10:$I$1038,Resumen_Base!E241,'Mov_Analizados_Sept25 - Dic25'!$I$10:$I$1038)</f>
        <v>2423342.8000000003</v>
      </c>
      <c r="J241" s="340">
        <f ca="1">+SUMIF('Mov_Analizados_Sept25 - Dic25'!$H$10:$J$1038,Resumen_Base!E241,'Mov_Analizados_Sept25 - Dic25'!$J$10:$J$1038)</f>
        <v>1723.1299999999999</v>
      </c>
      <c r="L241" s="339">
        <f>+SUMIF('Mov_Analizados_Ene 26'!$H$10:$H$330,Resumen_Base!E241,'Mov_Analizados_Ene 26'!$I$10:$I$330)</f>
        <v>0</v>
      </c>
      <c r="M241" s="340">
        <f>+SUMIF('Mov_Analizados_Ene 26'!$H$10:$H$330,Resumen_Base!E241,'Mov_Analizados_Ene 26'!$J$10:$J$330)</f>
        <v>0</v>
      </c>
      <c r="N241" s="682">
        <f>+SUMIF('Mov_Analizados_Ene 26'!$H$10:$H$330,Resumen_Base!E241,'Mov_Analizados_Ene 26'!$J$10:$J$330)-M241</f>
        <v>0</v>
      </c>
      <c r="O241" s="339">
        <f>+SUMIF('Mov_Analizados_Feb - Mar 26'!$H$10:$H$1378,Resumen_Base!E241,'Mov_Analizados_Feb - Mar 26'!$I$10:$I$1378)</f>
        <v>0</v>
      </c>
      <c r="P241" s="340">
        <f>+SUMIF('Mov_Analizados_Feb - Mar 26'!$H$10:$H$1378,Resumen_Base!E241,'Mov_Analizados_Feb - Mar 26'!$J$10:$J$1378)</f>
        <v>0</v>
      </c>
      <c r="R241" s="339">
        <f>+SUMIF('Mov_Analizados_Abr 26'!$I$10:$I$862,Resumen_Base!E241,'Mov_Analizados_Abr 26'!$J$10:$J$862)</f>
        <v>0</v>
      </c>
      <c r="S241" s="340">
        <f>+SUMIF('Mov_Analizados_Abr 26'!$I$10:$I$862,Resumen_Base!E241,'Mov_Analizados_Abr 26'!$K$10:$K$862)</f>
        <v>0</v>
      </c>
      <c r="U241" s="339">
        <f>+SUMIF('Mov_Analizados_May 26'!$I$10:$I$1205,Resumen_Base!E241,'Mov_Analizados_May 26'!$J$10:$J$1205)</f>
        <v>0</v>
      </c>
      <c r="V241" s="340">
        <f>+SUMIF('Mov_Analizados_May 26'!$I$10:$I$1205,Resumen_Base!E241,'Mov_Analizados_May 26'!$K$10:$K$1205)</f>
        <v>0</v>
      </c>
      <c r="X241" s="339">
        <f t="shared" ca="1" si="15"/>
        <v>2423342.8000000003</v>
      </c>
      <c r="Y241" s="340">
        <f t="shared" ca="1" si="16"/>
        <v>1723.1299999999999</v>
      </c>
    </row>
    <row r="242" spans="1:25">
      <c r="A242" s="4" t="str">
        <f>+VLOOKUP(C242,'Plan Cuentas Link Armado'!$A$3:$D$105,4,0)</f>
        <v>Miscellaneous &amp; Shipping</v>
      </c>
      <c r="C242" s="308" t="s">
        <v>43</v>
      </c>
      <c r="D242" s="4" t="s">
        <v>42</v>
      </c>
      <c r="E242" s="4" t="s">
        <v>634</v>
      </c>
      <c r="G242" s="4" t="str">
        <f>+VLOOKUP(C242,'Plan Cuentas Link Armado'!$A$3:$D$105,4,0)</f>
        <v>Miscellaneous &amp; Shipping</v>
      </c>
      <c r="I242" s="339">
        <f ca="1">+SUMIF('Mov_Analizados_Sept25 - Dic25'!$H$10:$I$1038,Resumen_Base!E242,'Mov_Analizados_Sept25 - Dic25'!$I$10:$I$1038)</f>
        <v>5935.3</v>
      </c>
      <c r="J242" s="340">
        <f ca="1">+SUMIF('Mov_Analizados_Sept25 - Dic25'!$H$10:$J$1038,Resumen_Base!E242,'Mov_Analizados_Sept25 - Dic25'!$J$10:$J$1038)</f>
        <v>4.2699999999999996</v>
      </c>
      <c r="L242" s="339">
        <f>+SUMIF('Mov_Analizados_Ene 26'!$H$10:$H$330,Resumen_Base!E242,'Mov_Analizados_Ene 26'!$I$10:$I$330)</f>
        <v>0</v>
      </c>
      <c r="M242" s="340">
        <f>+SUMIF('Mov_Analizados_Ene 26'!$H$10:$H$330,Resumen_Base!E242,'Mov_Analizados_Ene 26'!$J$10:$J$330)</f>
        <v>0</v>
      </c>
      <c r="N242" s="682">
        <f>+SUMIF('Mov_Analizados_Ene 26'!$H$10:$H$330,Resumen_Base!E242,'Mov_Analizados_Ene 26'!$J$10:$J$330)-M242</f>
        <v>0</v>
      </c>
      <c r="O242" s="339">
        <f>+SUMIF('Mov_Analizados_Feb - Mar 26'!$H$10:$H$1378,Resumen_Base!E242,'Mov_Analizados_Feb - Mar 26'!$I$10:$I$1378)</f>
        <v>0</v>
      </c>
      <c r="P242" s="340">
        <f>+SUMIF('Mov_Analizados_Feb - Mar 26'!$H$10:$H$1378,Resumen_Base!E242,'Mov_Analizados_Feb - Mar 26'!$J$10:$J$1378)</f>
        <v>0</v>
      </c>
      <c r="R242" s="339">
        <f>+SUMIF('Mov_Analizados_Abr 26'!$I$10:$I$862,Resumen_Base!E242,'Mov_Analizados_Abr 26'!$J$10:$J$862)</f>
        <v>0</v>
      </c>
      <c r="S242" s="340">
        <f>+SUMIF('Mov_Analizados_Abr 26'!$I$10:$I$862,Resumen_Base!E242,'Mov_Analizados_Abr 26'!$K$10:$K$862)</f>
        <v>0</v>
      </c>
      <c r="U242" s="339">
        <f>+SUMIF('Mov_Analizados_May 26'!$I$10:$I$1205,Resumen_Base!E242,'Mov_Analizados_May 26'!$J$10:$J$1205)</f>
        <v>0</v>
      </c>
      <c r="V242" s="340">
        <f>+SUMIF('Mov_Analizados_May 26'!$I$10:$I$1205,Resumen_Base!E242,'Mov_Analizados_May 26'!$K$10:$K$1205)</f>
        <v>0</v>
      </c>
      <c r="X242" s="339">
        <f t="shared" ca="1" si="15"/>
        <v>5935.3</v>
      </c>
      <c r="Y242" s="340">
        <f t="shared" ca="1" si="16"/>
        <v>4.2699999999999996</v>
      </c>
    </row>
    <row r="243" spans="1:25">
      <c r="A243" s="4" t="str">
        <f>+VLOOKUP(C243,'Plan Cuentas Link Armado'!$A$3:$D$105,4,0)</f>
        <v>Miscellaneous &amp; Shipping</v>
      </c>
      <c r="C243" s="308" t="s">
        <v>58</v>
      </c>
      <c r="D243" s="4" t="s">
        <v>59</v>
      </c>
      <c r="E243" s="4" t="s">
        <v>635</v>
      </c>
      <c r="G243" s="4" t="str">
        <f>+VLOOKUP(C243,'Plan Cuentas Link Armado'!$A$3:$D$105,4,0)</f>
        <v>Miscellaneous &amp; Shipping</v>
      </c>
      <c r="I243" s="339">
        <f ca="1">+SUMIF('Mov_Analizados_Sept25 - Dic25'!$H$10:$I$1038,Resumen_Base!E243,'Mov_Analizados_Sept25 - Dic25'!$I$10:$I$1038)</f>
        <v>970172.60000000009</v>
      </c>
      <c r="J243" s="340">
        <f ca="1">+SUMIF('Mov_Analizados_Sept25 - Dic25'!$H$10:$J$1038,Resumen_Base!E243,'Mov_Analizados_Sept25 - Dic25'!$J$10:$J$1038)</f>
        <v>665.3299999999997</v>
      </c>
      <c r="L243" s="339">
        <f>+SUMIF('Mov_Analizados_Ene 26'!$H$10:$H$330,Resumen_Base!E243,'Mov_Analizados_Ene 26'!$I$10:$I$330)</f>
        <v>4786276</v>
      </c>
      <c r="M243" s="340">
        <f>+SUMIF('Mov_Analizados_Ene 26'!$H$10:$H$330,Resumen_Base!E243,'Mov_Analizados_Ene 26'!$J$10:$J$330)</f>
        <v>3233.9702702702707</v>
      </c>
      <c r="N243" s="682">
        <f>+SUMIF('Mov_Analizados_Ene 26'!$H$10:$H$330,Resumen_Base!E243,'Mov_Analizados_Ene 26'!$J$10:$J$330)-M243</f>
        <v>0</v>
      </c>
      <c r="O243" s="339">
        <f>+SUMIF('Mov_Analizados_Feb - Mar 26'!$H$10:$H$1378,Resumen_Base!E243,'Mov_Analizados_Feb - Mar 26'!$I$10:$I$1378)</f>
        <v>6336617.7499999991</v>
      </c>
      <c r="P243" s="340">
        <f>+SUMIF('Mov_Analizados_Feb - Mar 26'!$H$10:$H$1378,Resumen_Base!E243,'Mov_Analizados_Feb - Mar 26'!$J$10:$J$1378)</f>
        <v>4620.7593744568057</v>
      </c>
      <c r="R243" s="339">
        <f>+SUMIF('Mov_Analizados_Abr 26'!$I$10:$I$862,Resumen_Base!E243,'Mov_Analizados_Abr 26'!$J$10:$J$862)</f>
        <v>377354.9</v>
      </c>
      <c r="S243" s="340">
        <f>+SUMIF('Mov_Analizados_Abr 26'!$I$10:$I$862,Resumen_Base!E243,'Mov_Analizados_Abr 26'!$K$10:$K$862)</f>
        <v>140.40049999999999</v>
      </c>
      <c r="U243" s="339">
        <f>+SUMIF('Mov_Analizados_May 26'!$I$10:$I$1205,Resumen_Base!E243,'Mov_Analizados_May 26'!$J$10:$J$1205)</f>
        <v>0</v>
      </c>
      <c r="V243" s="340">
        <f>+SUMIF('Mov_Analizados_May 26'!$I$10:$I$1205,Resumen_Base!E243,'Mov_Analizados_May 26'!$K$10:$K$1205)</f>
        <v>846.15384615384619</v>
      </c>
      <c r="X243" s="339">
        <f t="shared" ca="1" si="15"/>
        <v>12470421.249999998</v>
      </c>
      <c r="Y243" s="340">
        <f t="shared" ca="1" si="16"/>
        <v>9506.6139908809218</v>
      </c>
    </row>
    <row r="244" spans="1:25">
      <c r="A244" s="4" t="str">
        <f>+VLOOKUP(C244,'Plan Cuentas Link Armado'!$A$3:$D$105,4,0)</f>
        <v>Miscellaneous &amp; Shipping</v>
      </c>
      <c r="C244" s="308" t="s">
        <v>244</v>
      </c>
      <c r="D244" s="4" t="s">
        <v>245</v>
      </c>
      <c r="E244" s="152" t="s">
        <v>636</v>
      </c>
      <c r="G244" s="4" t="str">
        <f>+VLOOKUP(C244,'Plan Cuentas Link Armado'!$A$3:$D$105,4,0)</f>
        <v>Miscellaneous &amp; Shipping</v>
      </c>
      <c r="I244" s="339">
        <f ca="1">+SUMIF('Mov_Analizados_Sept25 - Dic25'!$H$10:$I$1038,Resumen_Base!E244,'Mov_Analizados_Sept25 - Dic25'!$I$10:$I$1038)</f>
        <v>0</v>
      </c>
      <c r="J244" s="340">
        <f ca="1">+SUMIF('Mov_Analizados_Sept25 - Dic25'!$H$10:$J$1038,Resumen_Base!E244,'Mov_Analizados_Sept25 - Dic25'!$J$10:$J$1038)</f>
        <v>0</v>
      </c>
      <c r="L244" s="339">
        <f>+SUMIF('Mov_Analizados_Ene 26'!$H$10:$H$330,Resumen_Base!E244,'Mov_Analizados_Ene 26'!$I$10:$I$330)</f>
        <v>0</v>
      </c>
      <c r="M244" s="340">
        <f>+SUMIF('Mov_Analizados_Ene 26'!$H$10:$H$330,Resumen_Base!E244,'Mov_Analizados_Ene 26'!$J$10:$J$330)</f>
        <v>0</v>
      </c>
      <c r="N244" s="682">
        <f>+SUMIF('Mov_Analizados_Ene 26'!$H$10:$H$330,Resumen_Base!E244,'Mov_Analizados_Ene 26'!$J$10:$J$330)-M244</f>
        <v>0</v>
      </c>
      <c r="O244" s="339">
        <f>+SUMIF('Mov_Analizados_Feb - Mar 26'!$H$10:$H$1378,Resumen_Base!E244,'Mov_Analizados_Feb - Mar 26'!$I$10:$I$1378)</f>
        <v>0</v>
      </c>
      <c r="P244" s="340">
        <f>+SUMIF('Mov_Analizados_Feb - Mar 26'!$H$10:$H$1378,Resumen_Base!E244,'Mov_Analizados_Feb - Mar 26'!$J$10:$J$1378)</f>
        <v>0</v>
      </c>
      <c r="R244" s="339">
        <f>+SUMIF('Mov_Analizados_Abr 26'!$I$10:$I$862,Resumen_Base!E244,'Mov_Analizados_Abr 26'!$J$10:$J$862)</f>
        <v>0</v>
      </c>
      <c r="S244" s="340">
        <f>+SUMIF('Mov_Analizados_Abr 26'!$I$10:$I$862,Resumen_Base!E244,'Mov_Analizados_Abr 26'!$K$10:$K$862)</f>
        <v>0</v>
      </c>
      <c r="U244" s="339">
        <f>+SUMIF('Mov_Analizados_May 26'!$I$10:$I$1205,Resumen_Base!E244,'Mov_Analizados_May 26'!$J$10:$J$1205)</f>
        <v>0</v>
      </c>
      <c r="V244" s="340">
        <f>+SUMIF('Mov_Analizados_May 26'!$I$10:$I$1205,Resumen_Base!E244,'Mov_Analizados_May 26'!$K$10:$K$1205)</f>
        <v>0</v>
      </c>
      <c r="X244" s="339">
        <f t="shared" ca="1" si="15"/>
        <v>0</v>
      </c>
      <c r="Y244" s="340">
        <f t="shared" ca="1" si="16"/>
        <v>0</v>
      </c>
    </row>
    <row r="245" spans="1:25">
      <c r="A245" s="4" t="str">
        <f>+VLOOKUP(C245,'Plan Cuentas Link Armado'!$A$3:$D$105,4,0)</f>
        <v>Miscellaneous &amp; Shipping</v>
      </c>
      <c r="C245" s="308" t="s">
        <v>28</v>
      </c>
      <c r="D245" s="4" t="s">
        <v>27</v>
      </c>
      <c r="E245" s="4" t="s">
        <v>637</v>
      </c>
      <c r="G245" s="4" t="str">
        <f>+VLOOKUP(C245,'Plan Cuentas Link Armado'!$A$3:$D$105,4,0)</f>
        <v>Miscellaneous &amp; Shipping</v>
      </c>
      <c r="I245" s="339">
        <f ca="1">+SUMIF('Mov_Analizados_Sept25 - Dic25'!$H$10:$I$1038,Resumen_Base!E245,'Mov_Analizados_Sept25 - Dic25'!$I$10:$I$1038)</f>
        <v>611530.6</v>
      </c>
      <c r="J245" s="340">
        <f ca="1">+SUMIF('Mov_Analizados_Sept25 - Dic25'!$H$10:$J$1038,Resumen_Base!E245,'Mov_Analizados_Sept25 - Dic25'!$J$10:$J$1038)</f>
        <v>428.56739726027399</v>
      </c>
      <c r="L245" s="339">
        <f>+SUMIF('Mov_Analizados_Ene 26'!$H$10:$H$330,Resumen_Base!E245,'Mov_Analizados_Ene 26'!$I$10:$I$330)</f>
        <v>28000</v>
      </c>
      <c r="M245" s="340">
        <f>+SUMIF('Mov_Analizados_Ene 26'!$H$10:$H$330,Resumen_Base!E245,'Mov_Analizados_Ene 26'!$J$10:$J$330)</f>
        <v>18.918918918918902</v>
      </c>
      <c r="N245" s="682">
        <f>+SUMIF('Mov_Analizados_Ene 26'!$H$10:$H$330,Resumen_Base!E245,'Mov_Analizados_Ene 26'!$J$10:$J$330)-M245</f>
        <v>0</v>
      </c>
      <c r="O245" s="339">
        <f>+SUMIF('Mov_Analizados_Feb - Mar 26'!$H$10:$H$1378,Resumen_Base!E245,'Mov_Analizados_Feb - Mar 26'!$I$10:$I$1378)</f>
        <v>1249366.0499999998</v>
      </c>
      <c r="P245" s="340">
        <f>+SUMIF('Mov_Analizados_Feb - Mar 26'!$H$10:$H$1378,Resumen_Base!E245,'Mov_Analizados_Feb - Mar 26'!$J$10:$J$1378)</f>
        <v>884.68000000000006</v>
      </c>
      <c r="R245" s="339">
        <f>+SUMIF('Mov_Analizados_Abr 26'!$I$10:$I$862,Resumen_Base!E245,'Mov_Analizados_Abr 26'!$J$10:$J$862)</f>
        <v>393627.55</v>
      </c>
      <c r="S245" s="340">
        <f>+SUMIF('Mov_Analizados_Abr 26'!$I$10:$I$862,Resumen_Base!E245,'Mov_Analizados_Abr 26'!$K$10:$K$862)</f>
        <v>280.16195729537372</v>
      </c>
      <c r="U245" s="339">
        <f>+SUMIF('Mov_Analizados_May 26'!$I$10:$I$1205,Resumen_Base!E245,'Mov_Analizados_May 26'!$J$10:$J$1205)</f>
        <v>459749.8</v>
      </c>
      <c r="V245" s="340">
        <f>+SUMIF('Mov_Analizados_May 26'!$I$10:$I$1205,Resumen_Base!E245,'Mov_Analizados_May 26'!$K$10:$K$1205)</f>
        <v>592.60867232411738</v>
      </c>
      <c r="X245" s="339">
        <f t="shared" ca="1" si="15"/>
        <v>2742273.9999999995</v>
      </c>
      <c r="Y245" s="340">
        <f t="shared" ca="1" si="16"/>
        <v>2204.9369457986841</v>
      </c>
    </row>
    <row r="246" spans="1:25">
      <c r="A246" s="4" t="str">
        <f>+VLOOKUP(C246,'Plan Cuentas Link Armado'!$A$3:$D$105,4,0)</f>
        <v>Electricity</v>
      </c>
      <c r="C246" s="308" t="s">
        <v>70</v>
      </c>
      <c r="D246" s="4" t="s">
        <v>71</v>
      </c>
      <c r="E246" s="4" t="s">
        <v>638</v>
      </c>
      <c r="G246" s="4" t="str">
        <f>+VLOOKUP(C246,'Plan Cuentas Link Armado'!$A$3:$D$105,4,0)</f>
        <v>Electricity</v>
      </c>
      <c r="I246" s="339">
        <f ca="1">+SUMIF('Mov_Analizados_Sept25 - Dic25'!$H$10:$I$1038,Resumen_Base!E246,'Mov_Analizados_Sept25 - Dic25'!$I$10:$I$1038)</f>
        <v>639918.1</v>
      </c>
      <c r="J246" s="340">
        <f ca="1">+SUMIF('Mov_Analizados_Sept25 - Dic25'!$H$10:$J$1038,Resumen_Base!E246,'Mov_Analizados_Sept25 - Dic25'!$J$10:$J$1038)</f>
        <v>440.24</v>
      </c>
      <c r="L246" s="339">
        <f>+SUMIF('Mov_Analizados_Ene 26'!$H$10:$H$330,Resumen_Base!E246,'Mov_Analizados_Ene 26'!$I$10:$I$330)</f>
        <v>276094</v>
      </c>
      <c r="M246" s="340">
        <f>+SUMIF('Mov_Analizados_Ene 26'!$H$10:$H$330,Resumen_Base!E246,'Mov_Analizados_Ene 26'!$J$10:$J$330)</f>
        <v>186.55</v>
      </c>
      <c r="N246" s="682">
        <f>+SUMIF('Mov_Analizados_Ene 26'!$H$10:$H$330,Resumen_Base!E246,'Mov_Analizados_Ene 26'!$J$10:$J$330)-M246</f>
        <v>0</v>
      </c>
      <c r="O246" s="339">
        <f>+SUMIF('Mov_Analizados_Feb - Mar 26'!$H$10:$H$1378,Resumen_Base!E246,'Mov_Analizados_Feb - Mar 26'!$I$10:$I$1378)</f>
        <v>1721000</v>
      </c>
      <c r="P246" s="340">
        <f>+SUMIF('Mov_Analizados_Feb - Mar 26'!$H$10:$H$1378,Resumen_Base!E246,'Mov_Analizados_Feb - Mar 26'!$J$10:$J$1378)</f>
        <v>1200</v>
      </c>
      <c r="R246" s="339">
        <f>+SUMIF('Mov_Analizados_Abr 26'!$I$10:$I$862,Resumen_Base!E246,'Mov_Analizados_Abr 26'!$J$10:$J$862)</f>
        <v>1405000</v>
      </c>
      <c r="S246" s="340">
        <f>+SUMIF('Mov_Analizados_Abr 26'!$I$10:$I$862,Resumen_Base!E246,'Mov_Analizados_Abr 26'!$K$10:$K$862)</f>
        <v>1000</v>
      </c>
      <c r="U246" s="339">
        <f>+SUMIF('Mov_Analizados_May 26'!$I$10:$I$1205,Resumen_Base!E246,'Mov_Analizados_May 26'!$J$10:$J$1205)</f>
        <v>1423564.2</v>
      </c>
      <c r="V246" s="340">
        <f>+SUMIF('Mov_Analizados_May 26'!$I$10:$I$1205,Resumen_Base!E246,'Mov_Analizados_May 26'!$K$10:$K$1205)</f>
        <v>1002.51</v>
      </c>
      <c r="X246" s="339">
        <f t="shared" ca="1" si="15"/>
        <v>5465576.2999999998</v>
      </c>
      <c r="Y246" s="340">
        <f t="shared" ca="1" si="16"/>
        <v>3829.3</v>
      </c>
    </row>
    <row r="247" spans="1:25">
      <c r="A247" s="4" t="str">
        <f>+VLOOKUP(C247,'Plan Cuentas Link Armado'!$A$3:$D$105,4,0)</f>
        <v>Travel for personnel (employees)</v>
      </c>
      <c r="C247" s="308" t="s">
        <v>68</v>
      </c>
      <c r="D247" s="4" t="s">
        <v>69</v>
      </c>
      <c r="E247" s="4" t="s">
        <v>639</v>
      </c>
      <c r="G247" s="4" t="str">
        <f>+VLOOKUP(C247,'Plan Cuentas Link Armado'!$A$3:$D$105,4,0)</f>
        <v>Travel for personnel (employees)</v>
      </c>
      <c r="I247" s="339">
        <f ca="1">+SUMIF('Mov_Analizados_Sept25 - Dic25'!$H$10:$I$1038,Resumen_Base!E247,'Mov_Analizados_Sept25 - Dic25'!$I$10:$I$1038)</f>
        <v>3928589.2</v>
      </c>
      <c r="J247" s="340">
        <f ca="1">+SUMIF('Mov_Analizados_Sept25 - Dic25'!$H$10:$J$1038,Resumen_Base!E247,'Mov_Analizados_Sept25 - Dic25'!$J$10:$J$1038)</f>
        <v>2764.1774647887328</v>
      </c>
      <c r="L247" s="339">
        <f>+SUMIF('Mov_Analizados_Ene 26'!$H$10:$H$330,Resumen_Base!E247,'Mov_Analizados_Ene 26'!$I$10:$I$330)</f>
        <v>1064026.8</v>
      </c>
      <c r="M247" s="340">
        <f>+SUMIF('Mov_Analizados_Ene 26'!$H$10:$H$330,Resumen_Base!E247,'Mov_Analizados_Ene 26'!$J$10:$J$330)</f>
        <v>719.63</v>
      </c>
      <c r="N247" s="682">
        <f>+SUMIF('Mov_Analizados_Ene 26'!$H$10:$H$330,Resumen_Base!E247,'Mov_Analizados_Ene 26'!$J$10:$J$330)-M247</f>
        <v>0</v>
      </c>
      <c r="O247" s="339">
        <f>+SUMIF('Mov_Analizados_Feb - Mar 26'!$H$10:$H$1378,Resumen_Base!E247,'Mov_Analizados_Feb - Mar 26'!$I$10:$I$1378)</f>
        <v>287445</v>
      </c>
      <c r="P247" s="340">
        <f>+SUMIF('Mov_Analizados_Feb - Mar 26'!$H$10:$H$1378,Resumen_Base!E247,'Mov_Analizados_Feb - Mar 26'!$J$10:$J$1378)</f>
        <v>203.996441281139</v>
      </c>
      <c r="R247" s="339">
        <f>+SUMIF('Mov_Analizados_Abr 26'!$I$10:$I$862,Resumen_Base!E247,'Mov_Analizados_Abr 26'!$J$10:$J$862)</f>
        <v>1708349.95</v>
      </c>
      <c r="S247" s="340">
        <f>+SUMIF('Mov_Analizados_Abr 26'!$I$10:$I$862,Resumen_Base!E247,'Mov_Analizados_Abr 26'!$K$10:$K$862)</f>
        <v>1332.9074377224199</v>
      </c>
      <c r="U247" s="339">
        <f>+SUMIF('Mov_Analizados_May 26'!$I$10:$I$1205,Resumen_Base!E247,'Mov_Analizados_May 26'!$J$10:$J$1205)</f>
        <v>293818</v>
      </c>
      <c r="V247" s="340">
        <f>+SUMIF('Mov_Analizados_May 26'!$I$10:$I$1205,Resumen_Base!E247,'Mov_Analizados_May 26'!$K$10:$K$1205)</f>
        <v>574.53461538461534</v>
      </c>
      <c r="X247" s="339">
        <f t="shared" ca="1" si="15"/>
        <v>7282228.9500000002</v>
      </c>
      <c r="Y247" s="340">
        <f t="shared" ca="1" si="16"/>
        <v>5595.2459591769075</v>
      </c>
    </row>
    <row r="248" spans="1:25">
      <c r="A248" s="4" t="str">
        <f>+VLOOKUP(C248,'Plan Cuentas Link Armado'!$A$3:$D$105,4,0)</f>
        <v>Food &amp; Wine</v>
      </c>
      <c r="C248" s="308" t="s">
        <v>231</v>
      </c>
      <c r="D248" s="4" t="s">
        <v>232</v>
      </c>
      <c r="E248" s="4" t="s">
        <v>640</v>
      </c>
      <c r="G248" s="4" t="str">
        <f>+VLOOKUP(C248,'Plan Cuentas Link Armado'!$A$3:$D$105,4,0)</f>
        <v>Food &amp; Wine</v>
      </c>
      <c r="I248" s="339">
        <f ca="1">+SUMIF('Mov_Analizados_Sept25 - Dic25'!$H$10:$I$1038,Resumen_Base!E248,'Mov_Analizados_Sept25 - Dic25'!$I$10:$I$1038)</f>
        <v>0</v>
      </c>
      <c r="J248" s="340">
        <f ca="1">+SUMIF('Mov_Analizados_Sept25 - Dic25'!$H$10:$J$1038,Resumen_Base!E248,'Mov_Analizados_Sept25 - Dic25'!$J$10:$J$1038)</f>
        <v>0</v>
      </c>
      <c r="L248" s="339">
        <f>+SUMIF('Mov_Analizados_Ene 26'!$H$10:$H$330,Resumen_Base!E248,'Mov_Analizados_Ene 26'!$I$10:$I$330)</f>
        <v>0</v>
      </c>
      <c r="M248" s="340">
        <f>+SUMIF('Mov_Analizados_Ene 26'!$H$10:$H$330,Resumen_Base!E248,'Mov_Analizados_Ene 26'!$J$10:$J$330)</f>
        <v>0</v>
      </c>
      <c r="N248" s="682">
        <f>+SUMIF('Mov_Analizados_Ene 26'!$H$10:$H$330,Resumen_Base!E248,'Mov_Analizados_Ene 26'!$J$10:$J$330)-M248</f>
        <v>0</v>
      </c>
      <c r="O248" s="339">
        <f>+SUMIF('Mov_Analizados_Feb - Mar 26'!$H$10:$H$1378,Resumen_Base!E248,'Mov_Analizados_Feb - Mar 26'!$I$10:$I$1378)</f>
        <v>0</v>
      </c>
      <c r="P248" s="340">
        <f>+SUMIF('Mov_Analizados_Feb - Mar 26'!$H$10:$H$1378,Resumen_Base!E248,'Mov_Analizados_Feb - Mar 26'!$J$10:$J$1378)</f>
        <v>0</v>
      </c>
      <c r="R248" s="339">
        <f>+SUMIF('Mov_Analizados_Abr 26'!$I$10:$I$862,Resumen_Base!E248,'Mov_Analizados_Abr 26'!$J$10:$J$862)</f>
        <v>0</v>
      </c>
      <c r="S248" s="340">
        <f>+SUMIF('Mov_Analizados_Abr 26'!$I$10:$I$862,Resumen_Base!E248,'Mov_Analizados_Abr 26'!$K$10:$K$862)</f>
        <v>0</v>
      </c>
      <c r="U248" s="339">
        <f>+SUMIF('Mov_Analizados_May 26'!$I$10:$I$1205,Resumen_Base!E248,'Mov_Analizados_May 26'!$J$10:$J$1205)</f>
        <v>0</v>
      </c>
      <c r="V248" s="340">
        <f>+SUMIF('Mov_Analizados_May 26'!$I$10:$I$1205,Resumen_Base!E248,'Mov_Analizados_May 26'!$K$10:$K$1205)</f>
        <v>0</v>
      </c>
      <c r="X248" s="339">
        <f t="shared" ca="1" si="15"/>
        <v>0</v>
      </c>
      <c r="Y248" s="340">
        <f t="shared" ca="1" si="16"/>
        <v>0</v>
      </c>
    </row>
    <row r="249" spans="1:25">
      <c r="A249" s="4" t="str">
        <f>+VLOOKUP(C249,'Plan Cuentas Link Armado'!$A$3:$D$105,4,0)</f>
        <v>Shop</v>
      </c>
      <c r="B249" s="346">
        <f t="shared" ref="B249:B259" ca="1" si="17">+Y249</f>
        <v>-12780</v>
      </c>
      <c r="C249" s="4" t="s">
        <v>293</v>
      </c>
      <c r="D249" s="4" t="s">
        <v>294</v>
      </c>
      <c r="E249" s="4" t="s">
        <v>641</v>
      </c>
      <c r="G249" s="4" t="str">
        <f>+VLOOKUP(C249,'Plan Cuentas Link Armado'!$A$3:$D$105,4,0)</f>
        <v>Shop</v>
      </c>
      <c r="I249" s="339">
        <f ca="1">+SUMIF('Mov_Analizados_Sept25 - Dic25'!$H$10:$I$1038,Resumen_Base!E249,'Mov_Analizados_Sept25 - Dic25'!$I$10:$I$1038)</f>
        <v>-3266410</v>
      </c>
      <c r="J249" s="340">
        <f ca="1">+SUMIF('Mov_Analizados_Sept25 - Dic25'!$H$10:$J$1038,Resumen_Base!E249,'Mov_Analizados_Sept25 - Dic25'!$J$10:$J$1038)</f>
        <v>-2236</v>
      </c>
      <c r="L249" s="339">
        <f>+SUMIF('Mov_Analizados_Ene 26'!$H$10:$H$330,Resumen_Base!E249,'Mov_Analizados_Ene 26'!$I$10:$I$330)</f>
        <v>-285640</v>
      </c>
      <c r="M249" s="340">
        <f>+SUMIF('Mov_Analizados_Ene 26'!$H$10:$H$330,Resumen_Base!E249,'Mov_Analizados_Ene 26'!$J$10:$J$330)</f>
        <v>-193</v>
      </c>
      <c r="N249" s="682">
        <f>+SUMIF('Mov_Analizados_Ene 26'!$H$10:$H$330,Resumen_Base!E249,'Mov_Analizados_Ene 26'!$J$10:$J$330)-M249</f>
        <v>0</v>
      </c>
      <c r="O249" s="339">
        <f>+SUMIF('Mov_Analizados_Feb - Mar 26'!$H$10:$H$1378,Resumen_Base!E249,'Mov_Analizados_Feb - Mar 26'!$I$10:$I$1378)</f>
        <v>-8086450</v>
      </c>
      <c r="P249" s="340">
        <f>+SUMIF('Mov_Analizados_Feb - Mar 26'!$H$10:$H$1378,Resumen_Base!E249,'Mov_Analizados_Feb - Mar 26'!$J$10:$J$1378)</f>
        <v>-5685</v>
      </c>
      <c r="R249" s="339">
        <f>+SUMIF('Mov_Analizados_Abr 26'!$I$10:$I$862,Resumen_Base!E249,'Mov_Analizados_Abr 26'!$J$10:$J$862)</f>
        <v>-4196735</v>
      </c>
      <c r="S249" s="340">
        <f>+SUMIF('Mov_Analizados_Abr 26'!$I$10:$I$862,Resumen_Base!E249,'Mov_Analizados_Abr 26'!$K$10:$K$862)</f>
        <v>-2987</v>
      </c>
      <c r="U249" s="339">
        <f>+SUMIF('Mov_Analizados_May 26'!$I$10:$I$1205,Resumen_Base!E249,'Mov_Analizados_May 26'!$J$10:$J$1205)</f>
        <v>-2367725</v>
      </c>
      <c r="V249" s="340">
        <f>+SUMIF('Mov_Analizados_May 26'!$I$10:$I$1205,Resumen_Base!E249,'Mov_Analizados_May 26'!$K$10:$K$1205)</f>
        <v>-1679</v>
      </c>
      <c r="X249" s="339">
        <f t="shared" ca="1" si="15"/>
        <v>-18202960</v>
      </c>
      <c r="Y249" s="340">
        <f t="shared" ca="1" si="16"/>
        <v>-12780</v>
      </c>
    </row>
    <row r="250" spans="1:25">
      <c r="A250" s="4" t="str">
        <f>+VLOOKUP(C250,'Plan Cuentas Link Armado'!$A$3:$D$105,4,0)</f>
        <v>Extras</v>
      </c>
      <c r="B250" s="346">
        <f t="shared" ca="1" si="17"/>
        <v>-8106</v>
      </c>
      <c r="C250" s="4" t="s">
        <v>291</v>
      </c>
      <c r="D250" s="4" t="s">
        <v>292</v>
      </c>
      <c r="E250" s="4" t="s">
        <v>642</v>
      </c>
      <c r="G250" s="4" t="str">
        <f>+VLOOKUP(C250,'Plan Cuentas Link Armado'!$A$3:$D$105,4,0)</f>
        <v>Extras</v>
      </c>
      <c r="I250" s="339">
        <f ca="1">+SUMIF('Mov_Analizados_Sept25 - Dic25'!$H$10:$I$1038,Resumen_Base!E250,'Mov_Analizados_Sept25 - Dic25'!$I$10:$I$1038)</f>
        <v>-415500</v>
      </c>
      <c r="J250" s="340">
        <f ca="1">+SUMIF('Mov_Analizados_Sept25 - Dic25'!$H$10:$J$1038,Resumen_Base!E250,'Mov_Analizados_Sept25 - Dic25'!$J$10:$J$1038)</f>
        <v>-277</v>
      </c>
      <c r="L250" s="339">
        <f>+SUMIF('Mov_Analizados_Ene 26'!$H$10:$H$330,Resumen_Base!E250,'Mov_Analizados_Ene 26'!$I$10:$I$330)</f>
        <v>0</v>
      </c>
      <c r="M250" s="340">
        <f>+SUMIF('Mov_Analizados_Ene 26'!$H$10:$H$330,Resumen_Base!E250,'Mov_Analizados_Ene 26'!$J$10:$J$330)</f>
        <v>0</v>
      </c>
      <c r="N250" s="682">
        <f>+SUMIF('Mov_Analizados_Ene 26'!$H$10:$H$330,Resumen_Base!E250,'Mov_Analizados_Ene 26'!$J$10:$J$330)-M250</f>
        <v>0</v>
      </c>
      <c r="O250" s="339">
        <f>+SUMIF('Mov_Analizados_Feb - Mar 26'!$H$10:$H$1378,Resumen_Base!E250,'Mov_Analizados_Feb - Mar 26'!$I$10:$I$1378)</f>
        <v>-5479325</v>
      </c>
      <c r="P250" s="340">
        <f>+SUMIF('Mov_Analizados_Feb - Mar 26'!$H$10:$H$1378,Resumen_Base!E250,'Mov_Analizados_Feb - Mar 26'!$J$10:$J$1378)</f>
        <v>-3895</v>
      </c>
      <c r="R250" s="339">
        <f>+SUMIF('Mov_Analizados_Abr 26'!$I$10:$I$862,Resumen_Base!E250,'Mov_Analizados_Abr 26'!$J$10:$J$862)</f>
        <v>-2405360</v>
      </c>
      <c r="S250" s="340">
        <f>+SUMIF('Mov_Analizados_Abr 26'!$I$10:$I$862,Resumen_Base!E250,'Mov_Analizados_Abr 26'!$K$10:$K$862)</f>
        <v>-1712</v>
      </c>
      <c r="U250" s="339">
        <f>+SUMIF('Mov_Analizados_May 26'!$I$10:$I$1205,Resumen_Base!E250,'Mov_Analizados_May 26'!$J$10:$J$1205)</f>
        <v>-3126260</v>
      </c>
      <c r="V250" s="340">
        <f>+SUMIF('Mov_Analizados_May 26'!$I$10:$I$1205,Resumen_Base!E250,'Mov_Analizados_May 26'!$K$10:$K$1205)</f>
        <v>-2222</v>
      </c>
      <c r="X250" s="339">
        <f t="shared" ca="1" si="15"/>
        <v>-11426445</v>
      </c>
      <c r="Y250" s="340">
        <f t="shared" ca="1" si="16"/>
        <v>-8106</v>
      </c>
    </row>
    <row r="251" spans="1:25">
      <c r="A251" s="4" t="str">
        <f>+VLOOKUP(C251,'Plan Cuentas Link Armado'!$A$3:$D$105,4,0)</f>
        <v>Extras</v>
      </c>
      <c r="B251" s="346">
        <f t="shared" ca="1" si="17"/>
        <v>-2900</v>
      </c>
      <c r="C251" s="4" t="s">
        <v>297</v>
      </c>
      <c r="D251" s="4" t="s">
        <v>298</v>
      </c>
      <c r="E251" s="4" t="s">
        <v>643</v>
      </c>
      <c r="G251" s="4" t="str">
        <f>+VLOOKUP(C251,'Plan Cuentas Link Armado'!$A$3:$D$105,4,0)</f>
        <v>Extras</v>
      </c>
      <c r="I251" s="339">
        <f ca="1">+SUMIF('Mov_Analizados_Sept25 - Dic25'!$H$10:$I$1038,Resumen_Base!E251,'Mov_Analizados_Sept25 - Dic25'!$I$10:$I$1038)</f>
        <v>-465000</v>
      </c>
      <c r="J251" s="340">
        <f ca="1">+SUMIF('Mov_Analizados_Sept25 - Dic25'!$H$10:$J$1038,Resumen_Base!E251,'Mov_Analizados_Sept25 - Dic25'!$J$10:$J$1038)</f>
        <v>-310</v>
      </c>
      <c r="L251" s="339">
        <f>+SUMIF('Mov_Analizados_Ene 26'!$H$10:$H$330,Resumen_Base!E251,'Mov_Analizados_Ene 26'!$I$10:$I$330)</f>
        <v>-384800</v>
      </c>
      <c r="M251" s="340">
        <f>+SUMIF('Mov_Analizados_Ene 26'!$H$10:$H$330,Resumen_Base!E251,'Mov_Analizados_Ene 26'!$J$10:$J$330)</f>
        <v>-260</v>
      </c>
      <c r="N251" s="682">
        <f>+SUMIF('Mov_Analizados_Ene 26'!$H$10:$H$330,Resumen_Base!E251,'Mov_Analizados_Ene 26'!$J$10:$J$330)-M251</f>
        <v>0</v>
      </c>
      <c r="O251" s="339">
        <f>+SUMIF('Mov_Analizados_Feb - Mar 26'!$H$10:$H$1378,Resumen_Base!E251,'Mov_Analizados_Feb - Mar 26'!$I$10:$I$1378)</f>
        <v>-1252800</v>
      </c>
      <c r="P251" s="340">
        <f>+SUMIF('Mov_Analizados_Feb - Mar 26'!$H$10:$H$1378,Resumen_Base!E251,'Mov_Analizados_Feb - Mar 26'!$J$10:$J$1378)</f>
        <v>-885</v>
      </c>
      <c r="R251" s="339">
        <f>+SUMIF('Mov_Analizados_Abr 26'!$I$10:$I$862,Resumen_Base!E251,'Mov_Analizados_Abr 26'!$J$10:$J$862)</f>
        <v>-1152100</v>
      </c>
      <c r="S251" s="340">
        <f>+SUMIF('Mov_Analizados_Abr 26'!$I$10:$I$862,Resumen_Base!E251,'Mov_Analizados_Abr 26'!$K$10:$K$862)</f>
        <v>-820</v>
      </c>
      <c r="U251" s="339">
        <f>+SUMIF('Mov_Analizados_May 26'!$I$10:$I$1205,Resumen_Base!E251,'Mov_Analizados_May 26'!$J$10:$J$1205)</f>
        <v>-879400</v>
      </c>
      <c r="V251" s="340">
        <f>+SUMIF('Mov_Analizados_May 26'!$I$10:$I$1205,Resumen_Base!E251,'Mov_Analizados_May 26'!$K$10:$K$1205)</f>
        <v>-625</v>
      </c>
      <c r="X251" s="339">
        <f t="shared" ca="1" si="15"/>
        <v>-4134100</v>
      </c>
      <c r="Y251" s="340">
        <f t="shared" ca="1" si="16"/>
        <v>-2900</v>
      </c>
    </row>
    <row r="252" spans="1:25">
      <c r="A252" s="4" t="str">
        <f>+VLOOKUP(C252,'Plan Cuentas Link Armado'!$A$3:$D$105,4,0)</f>
        <v>Extras</v>
      </c>
      <c r="B252" s="346">
        <f t="shared" ca="1" si="17"/>
        <v>-18512.5</v>
      </c>
      <c r="C252" s="4" t="s">
        <v>299</v>
      </c>
      <c r="D252" s="4" t="s">
        <v>300</v>
      </c>
      <c r="E252" s="4" t="s">
        <v>644</v>
      </c>
      <c r="G252" s="4" t="str">
        <f>+VLOOKUP(C252,'Plan Cuentas Link Armado'!$A$3:$D$105,4,0)</f>
        <v>Extras</v>
      </c>
      <c r="I252" s="339">
        <f ca="1">+SUMIF('Mov_Analizados_Sept25 - Dic25'!$H$10:$I$1038,Resumen_Base!E252,'Mov_Analizados_Sept25 - Dic25'!$I$10:$I$1038)</f>
        <v>-2516300</v>
      </c>
      <c r="J252" s="340">
        <f ca="1">+SUMIF('Mov_Analizados_Sept25 - Dic25'!$H$10:$J$1038,Resumen_Base!E252,'Mov_Analizados_Sept25 - Dic25'!$J$10:$J$1038)</f>
        <v>-1742.5</v>
      </c>
      <c r="L252" s="339">
        <f>+SUMIF('Mov_Analizados_Ene 26'!$H$10:$H$330,Resumen_Base!E252,'Mov_Analizados_Ene 26'!$I$10:$I$330)</f>
        <v>-1850000</v>
      </c>
      <c r="M252" s="340">
        <f>+SUMIF('Mov_Analizados_Ene 26'!$H$10:$H$330,Resumen_Base!E252,'Mov_Analizados_Ene 26'!$J$10:$J$330)</f>
        <v>-1250</v>
      </c>
      <c r="N252" s="682">
        <f>+SUMIF('Mov_Analizados_Ene 26'!$H$10:$H$330,Resumen_Base!E252,'Mov_Analizados_Ene 26'!$J$10:$J$330)-M252</f>
        <v>0</v>
      </c>
      <c r="O252" s="339">
        <f>+SUMIF('Mov_Analizados_Feb - Mar 26'!$H$10:$H$1378,Resumen_Base!E252,'Mov_Analizados_Feb - Mar 26'!$I$10:$I$1378)</f>
        <v>-12419350</v>
      </c>
      <c r="P252" s="340">
        <f>+SUMIF('Mov_Analizados_Feb - Mar 26'!$H$10:$H$1378,Resumen_Base!E252,'Mov_Analizados_Feb - Mar 26'!$J$10:$J$1378)</f>
        <v>-8770</v>
      </c>
      <c r="R252" s="339">
        <f>+SUMIF('Mov_Analizados_Abr 26'!$I$10:$I$862,Resumen_Base!E252,'Mov_Analizados_Abr 26'!$J$10:$J$862)</f>
        <v>-4039375</v>
      </c>
      <c r="S252" s="340">
        <f>+SUMIF('Mov_Analizados_Abr 26'!$I$10:$I$862,Resumen_Base!E252,'Mov_Analizados_Abr 26'!$K$10:$K$862)</f>
        <v>-2875</v>
      </c>
      <c r="U252" s="339">
        <f>+SUMIF('Mov_Analizados_May 26'!$I$10:$I$1205,Resumen_Base!E252,'Mov_Analizados_May 26'!$J$10:$J$1205)</f>
        <v>-5457500</v>
      </c>
      <c r="V252" s="340">
        <f>+SUMIF('Mov_Analizados_May 26'!$I$10:$I$1205,Resumen_Base!E252,'Mov_Analizados_May 26'!$K$10:$K$1205)</f>
        <v>-3875</v>
      </c>
      <c r="X252" s="339">
        <f t="shared" ca="1" si="15"/>
        <v>-26282525</v>
      </c>
      <c r="Y252" s="340">
        <f t="shared" ca="1" si="16"/>
        <v>-18512.5</v>
      </c>
    </row>
    <row r="253" spans="1:25">
      <c r="A253" s="4" t="str">
        <f>+VLOOKUP(C253,'Plan Cuentas Link Armado'!$A$3:$D$105,4,0)</f>
        <v>Extras</v>
      </c>
      <c r="B253" s="346">
        <f t="shared" ca="1" si="17"/>
        <v>-15</v>
      </c>
      <c r="C253" s="4" t="s">
        <v>301</v>
      </c>
      <c r="D253" s="4" t="s">
        <v>302</v>
      </c>
      <c r="E253" s="4" t="s">
        <v>645</v>
      </c>
      <c r="G253" s="4" t="str">
        <f>+VLOOKUP(C253,'Plan Cuentas Link Armado'!$A$3:$D$105,4,0)</f>
        <v>Extras</v>
      </c>
      <c r="I253" s="339">
        <f ca="1">+SUMIF('Mov_Analizados_Sept25 - Dic25'!$H$10:$I$1038,Resumen_Base!E253,'Mov_Analizados_Sept25 - Dic25'!$I$10:$I$1038)</f>
        <v>0</v>
      </c>
      <c r="J253" s="340">
        <f ca="1">+SUMIF('Mov_Analizados_Sept25 - Dic25'!$H$10:$J$1038,Resumen_Base!E253,'Mov_Analizados_Sept25 - Dic25'!$J$10:$J$1038)</f>
        <v>0</v>
      </c>
      <c r="L253" s="339">
        <f>+SUMIF('Mov_Analizados_Ene 26'!$H$10:$H$330,Resumen_Base!E253,'Mov_Analizados_Ene 26'!$I$10:$I$330)</f>
        <v>0</v>
      </c>
      <c r="M253" s="340">
        <f>+SUMIF('Mov_Analizados_Ene 26'!$H$10:$H$330,Resumen_Base!E253,'Mov_Analizados_Ene 26'!$J$10:$J$330)</f>
        <v>0</v>
      </c>
      <c r="N253" s="682">
        <f>+SUMIF('Mov_Analizados_Ene 26'!$H$10:$H$330,Resumen_Base!E253,'Mov_Analizados_Ene 26'!$J$10:$J$330)-M253</f>
        <v>0</v>
      </c>
      <c r="O253" s="339">
        <f>+SUMIF('Mov_Analizados_Feb - Mar 26'!$H$10:$H$1378,Resumen_Base!E253,'Mov_Analizados_Feb - Mar 26'!$I$10:$I$1378)</f>
        <v>-21075</v>
      </c>
      <c r="P253" s="340">
        <f>+SUMIF('Mov_Analizados_Feb - Mar 26'!$H$10:$H$1378,Resumen_Base!E253,'Mov_Analizados_Feb - Mar 26'!$J$10:$J$1378)</f>
        <v>-15</v>
      </c>
      <c r="R253" s="339">
        <f>+SUMIF('Mov_Analizados_Abr 26'!$I$10:$I$862,Resumen_Base!E253,'Mov_Analizados_Abr 26'!$J$10:$J$862)</f>
        <v>0</v>
      </c>
      <c r="S253" s="340">
        <f>+SUMIF('Mov_Analizados_Abr 26'!$I$10:$I$862,Resumen_Base!E253,'Mov_Analizados_Abr 26'!$K$10:$K$862)</f>
        <v>0</v>
      </c>
      <c r="U253" s="339">
        <f>+SUMIF('Mov_Analizados_May 26'!$I$10:$I$1205,Resumen_Base!E253,'Mov_Analizados_May 26'!$J$10:$J$1205)</f>
        <v>0</v>
      </c>
      <c r="V253" s="340">
        <f>+SUMIF('Mov_Analizados_May 26'!$I$10:$I$1205,Resumen_Base!E253,'Mov_Analizados_May 26'!$K$10:$K$1205)</f>
        <v>0</v>
      </c>
      <c r="X253" s="339">
        <f t="shared" ca="1" si="15"/>
        <v>-21075</v>
      </c>
      <c r="Y253" s="340">
        <f t="shared" ca="1" si="16"/>
        <v>-15</v>
      </c>
    </row>
    <row r="254" spans="1:25">
      <c r="A254" s="4" t="str">
        <f>+VLOOKUP(C254,'Plan Cuentas Link Armado'!$A$3:$D$105,4,0)</f>
        <v>Extras</v>
      </c>
      <c r="B254" s="346">
        <f t="shared" ca="1" si="17"/>
        <v>-350</v>
      </c>
      <c r="C254" s="4" t="s">
        <v>664</v>
      </c>
      <c r="D254" s="4" t="s">
        <v>665</v>
      </c>
      <c r="E254" s="152" t="s">
        <v>732</v>
      </c>
      <c r="G254" s="4" t="str">
        <f>+VLOOKUP(C254,'Plan Cuentas Link Armado'!$A$3:$D$105,4,0)</f>
        <v>Extras</v>
      </c>
      <c r="I254" s="339">
        <f ca="1">+SUMIF('Mov_Analizados_Sept25 - Dic25'!$H$10:$I$1038,Resumen_Base!E254,'Mov_Analizados_Sept25 - Dic25'!$I$10:$I$1038)</f>
        <v>0</v>
      </c>
      <c r="J254" s="340">
        <f ca="1">+SUMIF('Mov_Analizados_Sept25 - Dic25'!$H$10:$J$1038,Resumen_Base!E254,'Mov_Analizados_Sept25 - Dic25'!$J$10:$J$1038)</f>
        <v>0</v>
      </c>
      <c r="L254" s="339">
        <f>+SUMIF('Mov_Analizados_Ene 26'!$H$10:$H$330,Resumen_Base!E254,'Mov_Analizados_Ene 26'!$I$10:$I$330)</f>
        <v>0</v>
      </c>
      <c r="M254" s="340">
        <f>+SUMIF('Mov_Analizados_Ene 26'!$H$10:$H$330,Resumen_Base!E254,'Mov_Analizados_Ene 26'!$J$10:$J$330)</f>
        <v>0</v>
      </c>
      <c r="N254" s="682">
        <f>+SUMIF('Mov_Analizados_Ene 26'!$H$10:$H$330,Resumen_Base!E254,'Mov_Analizados_Ene 26'!$J$10:$J$330)-M254</f>
        <v>0</v>
      </c>
      <c r="O254" s="339">
        <f>+SUMIF('Mov_Analizados_Feb - Mar 26'!$H$10:$H$1378,Resumen_Base!E254,'Mov_Analizados_Feb - Mar 26'!$I$10:$I$1378)</f>
        <v>0</v>
      </c>
      <c r="P254" s="340">
        <f>+SUMIF('Mov_Analizados_Feb - Mar 26'!$H$10:$H$1378,Resumen_Base!E254,'Mov_Analizados_Feb - Mar 26'!$J$10:$J$1378)</f>
        <v>0</v>
      </c>
      <c r="R254" s="339">
        <f>+SUMIF('Mov_Analizados_Abr 26'!$I$10:$I$862,Resumen_Base!E254,'Mov_Analizados_Abr 26'!$J$10:$J$862)</f>
        <v>0</v>
      </c>
      <c r="S254" s="340">
        <f>+SUMIF('Mov_Analizados_Abr 26'!$I$10:$I$862,Resumen_Base!E254,'Mov_Analizados_Abr 26'!$K$10:$K$862)</f>
        <v>0</v>
      </c>
      <c r="U254" s="339">
        <f>+SUMIF('Mov_Analizados_May 26'!$I$10:$I$1205,Resumen_Base!E254,'Mov_Analizados_May 26'!$J$10:$J$1205)</f>
        <v>-491750</v>
      </c>
      <c r="V254" s="340">
        <f>+SUMIF('Mov_Analizados_May 26'!$I$10:$I$1205,Resumen_Base!E254,'Mov_Analizados_May 26'!$K$10:$K$1205)</f>
        <v>-350</v>
      </c>
      <c r="X254" s="339">
        <f t="shared" ca="1" si="15"/>
        <v>-491750</v>
      </c>
      <c r="Y254" s="340">
        <f t="shared" ca="1" si="16"/>
        <v>-350</v>
      </c>
    </row>
    <row r="255" spans="1:25">
      <c r="A255" s="4" t="str">
        <f>+VLOOKUP(C255,'Plan Cuentas Link Armado'!$A$3:$D$105,4,0)</f>
        <v>Extras</v>
      </c>
      <c r="B255" s="346">
        <f t="shared" ca="1" si="17"/>
        <v>31.1</v>
      </c>
      <c r="C255" s="4" t="s">
        <v>307</v>
      </c>
      <c r="D255" s="4" t="s">
        <v>308</v>
      </c>
      <c r="E255" s="4" t="s">
        <v>646</v>
      </c>
      <c r="G255" s="4" t="str">
        <f>+VLOOKUP(C255,'Plan Cuentas Link Armado'!$A$3:$D$105,4,0)</f>
        <v>Extras</v>
      </c>
      <c r="I255" s="339">
        <f ca="1">+SUMIF('Mov_Analizados_Sept25 - Dic25'!$H$10:$I$1038,Resumen_Base!E255,'Mov_Analizados_Sept25 - Dic25'!$I$10:$I$1038)</f>
        <v>8400</v>
      </c>
      <c r="J255" s="340">
        <f ca="1">+SUMIF('Mov_Analizados_Sept25 - Dic25'!$H$10:$J$1038,Resumen_Base!E255,'Mov_Analizados_Sept25 - Dic25'!$J$10:$J$1038)</f>
        <v>0</v>
      </c>
      <c r="L255" s="339">
        <f>+SUMIF('Mov_Analizados_Ene 26'!$H$10:$H$330,Resumen_Base!E255,'Mov_Analizados_Ene 26'!$I$10:$I$330)</f>
        <v>0</v>
      </c>
      <c r="M255" s="340">
        <f>+SUMIF('Mov_Analizados_Ene 26'!$H$10:$H$330,Resumen_Base!E255,'Mov_Analizados_Ene 26'!$J$10:$J$330)</f>
        <v>0</v>
      </c>
      <c r="N255" s="682">
        <f>+SUMIF('Mov_Analizados_Ene 26'!$H$10:$H$330,Resumen_Base!E255,'Mov_Analizados_Ene 26'!$J$10:$J$330)-M255</f>
        <v>0</v>
      </c>
      <c r="O255" s="339">
        <f>+SUMIF('Mov_Analizados_Feb - Mar 26'!$H$10:$H$1378,Resumen_Base!E255,'Mov_Analizados_Feb - Mar 26'!$I$10:$I$1378)</f>
        <v>0</v>
      </c>
      <c r="P255" s="340">
        <f>+SUMIF('Mov_Analizados_Feb - Mar 26'!$H$10:$H$1378,Resumen_Base!E255,'Mov_Analizados_Feb - Mar 26'!$J$10:$J$1378)</f>
        <v>0</v>
      </c>
      <c r="R255" s="339">
        <f>+SUMIF('Mov_Analizados_Abr 26'!$I$10:$I$862,Resumen_Base!E255,'Mov_Analizados_Abr 26'!$J$10:$J$862)</f>
        <v>43695.5</v>
      </c>
      <c r="S255" s="340">
        <f>+SUMIF('Mov_Analizados_Abr 26'!$I$10:$I$862,Resumen_Base!E255,'Mov_Analizados_Abr 26'!$K$10:$K$862)</f>
        <v>31.1</v>
      </c>
      <c r="U255" s="339">
        <f>+SUMIF('Mov_Analizados_May 26'!$I$10:$I$1205,Resumen_Base!E255,'Mov_Analizados_May 26'!$J$10:$J$1205)</f>
        <v>0</v>
      </c>
      <c r="V255" s="340">
        <f>+SUMIF('Mov_Analizados_May 26'!$I$10:$I$1205,Resumen_Base!E255,'Mov_Analizados_May 26'!$K$10:$K$1205)</f>
        <v>0</v>
      </c>
      <c r="X255" s="339">
        <f t="shared" ca="1" si="15"/>
        <v>52095.5</v>
      </c>
      <c r="Y255" s="340">
        <f t="shared" ca="1" si="16"/>
        <v>31.1</v>
      </c>
    </row>
    <row r="256" spans="1:25">
      <c r="A256" s="4" t="str">
        <f>+VLOOKUP(C256,'Plan Cuentas Link Armado'!$A$3:$D$105,4,0)</f>
        <v>Extras</v>
      </c>
      <c r="B256" s="346">
        <f t="shared" ca="1" si="17"/>
        <v>7485</v>
      </c>
      <c r="C256" s="4" t="s">
        <v>310</v>
      </c>
      <c r="D256" s="4" t="s">
        <v>311</v>
      </c>
      <c r="E256" s="4" t="s">
        <v>647</v>
      </c>
      <c r="G256" s="4" t="str">
        <f>+VLOOKUP(C256,'Plan Cuentas Link Armado'!$A$3:$D$105,4,0)</f>
        <v>Extras</v>
      </c>
      <c r="I256" s="339">
        <f ca="1">+SUMIF('Mov_Analizados_Sept25 - Dic25'!$H$10:$I$1038,Resumen_Base!E256,'Mov_Analizados_Sept25 - Dic25'!$I$10:$I$1038)</f>
        <v>805900</v>
      </c>
      <c r="J256" s="340">
        <f ca="1">+SUMIF('Mov_Analizados_Sept25 - Dic25'!$H$10:$J$1038,Resumen_Base!E256,'Mov_Analizados_Sept25 - Dic25'!$J$10:$J$1038)</f>
        <v>560</v>
      </c>
      <c r="L256" s="339">
        <f>+SUMIF('Mov_Analizados_Ene 26'!$H$10:$H$330,Resumen_Base!E256,'Mov_Analizados_Ene 26'!$I$10:$I$330)</f>
        <v>488400</v>
      </c>
      <c r="M256" s="340">
        <f>+SUMIF('Mov_Analizados_Ene 26'!$H$10:$H$330,Resumen_Base!E256,'Mov_Analizados_Ene 26'!$J$10:$J$330)</f>
        <v>330</v>
      </c>
      <c r="N256" s="682">
        <f>+SUMIF('Mov_Analizados_Ene 26'!$H$10:$H$330,Resumen_Base!E256,'Mov_Analizados_Ene 26'!$J$10:$J$330)-M256</f>
        <v>0</v>
      </c>
      <c r="O256" s="339">
        <f>+SUMIF('Mov_Analizados_Feb - Mar 26'!$H$10:$H$1378,Resumen_Base!E256,'Mov_Analizados_Feb - Mar 26'!$I$10:$I$1378)</f>
        <v>5378750</v>
      </c>
      <c r="P256" s="340">
        <f>+SUMIF('Mov_Analizados_Feb - Mar 26'!$H$10:$H$1378,Resumen_Base!E256,'Mov_Analizados_Feb - Mar 26'!$J$10:$J$1378)</f>
        <v>3790</v>
      </c>
      <c r="R256" s="339">
        <f>+SUMIF('Mov_Analizados_Abr 26'!$I$10:$I$862,Resumen_Base!E256,'Mov_Analizados_Abr 26'!$J$10:$J$862)</f>
        <v>1777325</v>
      </c>
      <c r="S256" s="340">
        <f>+SUMIF('Mov_Analizados_Abr 26'!$I$10:$I$862,Resumen_Base!E256,'Mov_Analizados_Abr 26'!$K$10:$K$862)</f>
        <v>1265</v>
      </c>
      <c r="U256" s="339">
        <f>+SUMIF('Mov_Analizados_May 26'!$I$10:$I$1205,Resumen_Base!E256,'Mov_Analizados_May 26'!$J$10:$J$1205)</f>
        <v>2169475</v>
      </c>
      <c r="V256" s="340">
        <f>+SUMIF('Mov_Analizados_May 26'!$I$10:$I$1205,Resumen_Base!E256,'Mov_Analizados_May 26'!$K$10:$K$1205)</f>
        <v>1540</v>
      </c>
      <c r="X256" s="339">
        <f t="shared" ca="1" si="15"/>
        <v>10619850</v>
      </c>
      <c r="Y256" s="340">
        <f t="shared" ca="1" si="16"/>
        <v>7485</v>
      </c>
    </row>
    <row r="257" spans="1:25">
      <c r="A257" s="4" t="str">
        <f>+VLOOKUP(C257,'Plan Cuentas Link Armado'!$A$3:$D$105,4,0)</f>
        <v>Extras</v>
      </c>
      <c r="B257" s="346">
        <f t="shared" ca="1" si="17"/>
        <v>3520.56</v>
      </c>
      <c r="C257" s="4" t="s">
        <v>337</v>
      </c>
      <c r="D257" s="4" t="s">
        <v>338</v>
      </c>
      <c r="E257" s="4" t="s">
        <v>648</v>
      </c>
      <c r="G257" s="4" t="str">
        <f>+VLOOKUP(C257,'Plan Cuentas Link Armado'!$A$3:$D$105,4,0)</f>
        <v>Extras</v>
      </c>
      <c r="I257" s="339">
        <f ca="1">+SUMIF('Mov_Analizados_Sept25 - Dic25'!$H$10:$I$1038,Resumen_Base!E257,'Mov_Analizados_Sept25 - Dic25'!$I$10:$I$1038)</f>
        <v>233340</v>
      </c>
      <c r="J257" s="340">
        <f ca="1">+SUMIF('Mov_Analizados_Sept25 - Dic25'!$H$10:$J$1038,Resumen_Base!E257,'Mov_Analizados_Sept25 - Dic25'!$J$10:$J$1038)</f>
        <v>155.56</v>
      </c>
      <c r="L257" s="339">
        <f>+SUMIF('Mov_Analizados_Ene 26'!$H$10:$H$330,Resumen_Base!E257,'Mov_Analizados_Ene 26'!$I$10:$I$330)</f>
        <v>0</v>
      </c>
      <c r="M257" s="340">
        <f>+SUMIF('Mov_Analizados_Ene 26'!$H$10:$H$330,Resumen_Base!E257,'Mov_Analizados_Ene 26'!$J$10:$J$330)</f>
        <v>0</v>
      </c>
      <c r="N257" s="682">
        <f>+SUMIF('Mov_Analizados_Ene 26'!$H$10:$H$330,Resumen_Base!E257,'Mov_Analizados_Ene 26'!$J$10:$J$330)-M257</f>
        <v>0</v>
      </c>
      <c r="O257" s="339">
        <f>+SUMIF('Mov_Analizados_Feb - Mar 26'!$H$10:$H$1378,Resumen_Base!E257,'Mov_Analizados_Feb - Mar 26'!$I$10:$I$1378)</f>
        <v>3334700</v>
      </c>
      <c r="P257" s="340">
        <f>+SUMIF('Mov_Analizados_Feb - Mar 26'!$H$10:$H$1378,Resumen_Base!E257,'Mov_Analizados_Feb - Mar 26'!$J$10:$J$1378)</f>
        <v>2370</v>
      </c>
      <c r="R257" s="339">
        <f>+SUMIF('Mov_Analizados_Abr 26'!$I$10:$I$862,Resumen_Base!E257,'Mov_Analizados_Abr 26'!$J$10:$J$862)</f>
        <v>1397975</v>
      </c>
      <c r="S257" s="340">
        <f>+SUMIF('Mov_Analizados_Abr 26'!$I$10:$I$862,Resumen_Base!E257,'Mov_Analizados_Abr 26'!$K$10:$K$862)</f>
        <v>995</v>
      </c>
      <c r="U257" s="339">
        <f>+SUMIF('Mov_Analizados_May 26'!$I$10:$I$1205,Resumen_Base!E257,'Mov_Analizados_May 26'!$J$10:$J$1205)</f>
        <v>0</v>
      </c>
      <c r="V257" s="340">
        <f>+SUMIF('Mov_Analizados_May 26'!$I$10:$I$1205,Resumen_Base!E257,'Mov_Analizados_May 26'!$K$10:$K$1205)</f>
        <v>0</v>
      </c>
      <c r="X257" s="339">
        <f t="shared" ca="1" si="15"/>
        <v>4966015</v>
      </c>
      <c r="Y257" s="340">
        <f t="shared" ca="1" si="16"/>
        <v>3520.56</v>
      </c>
    </row>
    <row r="258" spans="1:25">
      <c r="A258" s="4" t="str">
        <f>+VLOOKUP(C258,'Plan Cuentas Link Armado'!$A$3:$D$105,4,0)</f>
        <v>Gun Rental</v>
      </c>
      <c r="B258" s="346">
        <f t="shared" ca="1" si="17"/>
        <v>-103759</v>
      </c>
      <c r="C258" s="4" t="s">
        <v>303</v>
      </c>
      <c r="D258" s="4" t="s">
        <v>304</v>
      </c>
      <c r="E258" s="4" t="s">
        <v>649</v>
      </c>
      <c r="G258" s="4" t="str">
        <f>+VLOOKUP(C258,'Plan Cuentas Link Armado'!$A$3:$D$105,4,0)</f>
        <v>Gun Rental</v>
      </c>
      <c r="I258" s="339">
        <f ca="1">+SUMIF('Mov_Analizados_Sept25 - Dic25'!$H$10:$I$1038,Resumen_Base!E258,'Mov_Analizados_Sept25 - Dic25'!$I$10:$I$1038)</f>
        <v>-15776970</v>
      </c>
      <c r="J258" s="340">
        <f ca="1">+SUMIF('Mov_Analizados_Sept25 - Dic25'!$H$10:$J$1038,Resumen_Base!E258,'Mov_Analizados_Sept25 - Dic25'!$J$10:$J$1038)</f>
        <v>-10957</v>
      </c>
      <c r="L258" s="339">
        <f>+SUMIF('Mov_Analizados_Ene 26'!$H$10:$H$330,Resumen_Base!E258,'Mov_Analizados_Ene 26'!$I$10:$I$330)</f>
        <v>-4425200</v>
      </c>
      <c r="M258" s="340">
        <f>+SUMIF('Mov_Analizados_Ene 26'!$H$10:$H$330,Resumen_Base!E258,'Mov_Analizados_Ene 26'!$J$10:$J$330)</f>
        <v>-2990</v>
      </c>
      <c r="N258" s="682">
        <f>+SUMIF('Mov_Analizados_Ene 26'!$H$10:$H$330,Resumen_Base!E258,'Mov_Analizados_Ene 26'!$J$10:$J$330)-M258</f>
        <v>0</v>
      </c>
      <c r="O258" s="339">
        <f>+SUMIF('Mov_Analizados_Feb - Mar 26'!$H$10:$H$1378,Resumen_Base!E258,'Mov_Analizados_Feb - Mar 26'!$I$10:$I$1378)</f>
        <v>-77153700</v>
      </c>
      <c r="P258" s="340">
        <f>+SUMIF('Mov_Analizados_Feb - Mar 26'!$H$10:$H$1378,Resumen_Base!E258,'Mov_Analizados_Feb - Mar 26'!$J$10:$J$1378)</f>
        <v>-54535</v>
      </c>
      <c r="R258" s="339">
        <f>+SUMIF('Mov_Analizados_Abr 26'!$I$10:$I$862,Resumen_Base!E258,'Mov_Analizados_Abr 26'!$J$10:$J$862)</f>
        <v>-25271735</v>
      </c>
      <c r="S258" s="340">
        <f>+SUMIF('Mov_Analizados_Abr 26'!$I$10:$I$862,Resumen_Base!E258,'Mov_Analizados_Abr 26'!$K$10:$K$862)</f>
        <v>-17987</v>
      </c>
      <c r="U258" s="339">
        <f>+SUMIF('Mov_Analizados_May 26'!$I$10:$I$1205,Resumen_Base!E258,'Mov_Analizados_May 26'!$J$10:$J$1205)</f>
        <v>-24362650</v>
      </c>
      <c r="V258" s="340">
        <f>+SUMIF('Mov_Analizados_May 26'!$I$10:$I$1205,Resumen_Base!E258,'Mov_Analizados_May 26'!$K$10:$K$1205)</f>
        <v>-17290</v>
      </c>
      <c r="X258" s="339">
        <f t="shared" ca="1" si="15"/>
        <v>-146990255</v>
      </c>
      <c r="Y258" s="340">
        <f t="shared" ca="1" si="16"/>
        <v>-103759</v>
      </c>
    </row>
    <row r="259" spans="1:25">
      <c r="A259" s="4" t="str">
        <f>+VLOOKUP(C259,'Plan Cuentas Link Armado'!$A$3:$D$105,4,0)</f>
        <v>Gun Rental</v>
      </c>
      <c r="B259" s="346">
        <f t="shared" ca="1" si="17"/>
        <v>0</v>
      </c>
      <c r="C259" s="607" t="s">
        <v>486</v>
      </c>
      <c r="D259" s="597" t="s">
        <v>450</v>
      </c>
      <c r="E259" s="152" t="s">
        <v>743</v>
      </c>
      <c r="G259" s="4" t="str">
        <f>+VLOOKUP(C259,'Plan Cuentas Link Armado'!$A$3:$D$105,4,0)</f>
        <v>Gun Rental</v>
      </c>
      <c r="I259" s="339">
        <f ca="1">+SUMIF('Mov_Analizados_Sept25 - Dic25'!$H$10:$I$1038,Resumen_Base!E259,'Mov_Analizados_Sept25 - Dic25'!$I$10:$I$1038)</f>
        <v>0</v>
      </c>
      <c r="J259" s="340">
        <f ca="1">+SUMIF('Mov_Analizados_Sept25 - Dic25'!$H$10:$J$1038,Resumen_Base!E259,'Mov_Analizados_Sept25 - Dic25'!$J$10:$J$1038)</f>
        <v>0</v>
      </c>
      <c r="L259" s="339">
        <f>+SUMIF('Mov_Analizados_Ene 26'!$H$10:$H$330,Resumen_Base!E259,'Mov_Analizados_Ene 26'!$I$10:$I$330)</f>
        <v>0</v>
      </c>
      <c r="M259" s="340">
        <f>+SUMIF('Mov_Analizados_Ene 26'!$H$10:$H$330,Resumen_Base!E259,'Mov_Analizados_Ene 26'!$J$10:$J$330)</f>
        <v>0</v>
      </c>
      <c r="N259" s="682">
        <f>+SUMIF('Mov_Analizados_Ene 26'!$H$10:$H$330,Resumen_Base!E259,'Mov_Analizados_Ene 26'!$J$10:$J$330)-M259</f>
        <v>0</v>
      </c>
      <c r="O259" s="339">
        <f>+SUMIF('Mov_Analizados_Feb - Mar 26'!$H$10:$H$1378,Resumen_Base!E259,'Mov_Analizados_Feb - Mar 26'!$I$10:$I$1378)</f>
        <v>0</v>
      </c>
      <c r="P259" s="340">
        <f>+SUMIF('Mov_Analizados_Feb - Mar 26'!$H$10:$H$1378,Resumen_Base!E259,'Mov_Analizados_Feb - Mar 26'!$J$10:$J$1378)</f>
        <v>0</v>
      </c>
      <c r="R259" s="339">
        <f>+SUMIF('Mov_Analizados_Abr 26'!$I$10:$I$862,Resumen_Base!E259,'Mov_Analizados_Abr 26'!$J$10:$J$862)</f>
        <v>0</v>
      </c>
      <c r="S259" s="340">
        <f>+SUMIF('Mov_Analizados_Abr 26'!$I$10:$I$862,Resumen_Base!E259,'Mov_Analizados_Abr 26'!$K$10:$K$862)</f>
        <v>0</v>
      </c>
      <c r="U259" s="339">
        <f>+SUMIF('Mov_Analizados_May 26'!$I$10:$I$1205,Resumen_Base!E259,'Mov_Analizados_May 26'!$J$10:$J$1205)</f>
        <v>0</v>
      </c>
      <c r="V259" s="340">
        <f>+SUMIF('Mov_Analizados_May 26'!$I$10:$I$1205,Resumen_Base!E259,'Mov_Analizados_May 26'!$K$10:$K$1205)</f>
        <v>0</v>
      </c>
      <c r="X259" s="339">
        <f t="shared" ca="1" si="15"/>
        <v>0</v>
      </c>
      <c r="Y259" s="340">
        <f t="shared" ca="1" si="16"/>
        <v>0</v>
      </c>
    </row>
    <row r="260" spans="1:25">
      <c r="A260" s="4" t="str">
        <f>+VLOOKUP(C260,'Plan Cuentas Link Armado'!$A$3:$D$105,4,0)</f>
        <v>Canon Lodge/Labor Permits:</v>
      </c>
      <c r="C260" s="4" t="s">
        <v>313</v>
      </c>
      <c r="D260" s="4" t="s">
        <v>314</v>
      </c>
      <c r="E260" s="152" t="s">
        <v>650</v>
      </c>
      <c r="G260" s="4" t="str">
        <f>+VLOOKUP(C260,'Plan Cuentas Link Armado'!$A$3:$D$105,4,0)</f>
        <v>Canon Lodge/Labor Permits:</v>
      </c>
      <c r="I260" s="339">
        <f ca="1">+SUMIF('Mov_Analizados_Sept25 - Dic25'!$H$10:$I$1038,Resumen_Base!E260,'Mov_Analizados_Sept25 - Dic25'!$I$10:$I$1038)</f>
        <v>0</v>
      </c>
      <c r="J260" s="340">
        <f ca="1">+SUMIF('Mov_Analizados_Sept25 - Dic25'!$H$10:$J$1038,Resumen_Base!E260,'Mov_Analizados_Sept25 - Dic25'!$J$10:$J$1038)</f>
        <v>0</v>
      </c>
      <c r="L260" s="339">
        <f>+SUMIF('Mov_Analizados_Ene 26'!$H$10:$H$330,Resumen_Base!E260,'Mov_Analizados_Ene 26'!$I$10:$I$330)</f>
        <v>0</v>
      </c>
      <c r="M260" s="340">
        <f>+SUMIF('Mov_Analizados_Ene 26'!$H$10:$H$330,Resumen_Base!E260,'Mov_Analizados_Ene 26'!$J$10:$J$330)</f>
        <v>0</v>
      </c>
      <c r="N260" s="682">
        <f>+SUMIF('Mov_Analizados_Ene 26'!$H$10:$H$330,Resumen_Base!E260,'Mov_Analizados_Ene 26'!$J$10:$J$330)-M260</f>
        <v>0</v>
      </c>
      <c r="O260" s="339">
        <f>+SUMIF('Mov_Analizados_Feb - Mar 26'!$H$10:$H$1378,Resumen_Base!E260,'Mov_Analizados_Feb - Mar 26'!$I$10:$I$1378)</f>
        <v>108392152.90000001</v>
      </c>
      <c r="P260" s="340">
        <f>+SUMIF('Mov_Analizados_Feb - Mar 26'!$H$10:$H$1378,Resumen_Base!E260,'Mov_Analizados_Feb - Mar 26'!$J$10:$J$1378)</f>
        <v>76588.63</v>
      </c>
      <c r="R260" s="339">
        <f>+SUMIF('Mov_Analizados_Abr 26'!$I$10:$I$862,Resumen_Base!E260,'Mov_Analizados_Abr 26'!$J$10:$J$862)</f>
        <v>715861.55</v>
      </c>
      <c r="S260" s="340">
        <f>+SUMIF('Mov_Analizados_Abr 26'!$I$10:$I$862,Resumen_Base!E260,'Mov_Analizados_Abr 26'!$K$10:$K$862)</f>
        <v>509.51000000000005</v>
      </c>
      <c r="U260" s="339">
        <f>+SUMIF('Mov_Analizados_May 26'!$I$10:$I$1205,Resumen_Base!E260,'Mov_Analizados_May 26'!$J$10:$J$1205)</f>
        <v>0</v>
      </c>
      <c r="V260" s="340">
        <f>+SUMIF('Mov_Analizados_May 26'!$I$10:$I$1205,Resumen_Base!E260,'Mov_Analizados_May 26'!$K$10:$K$1205)</f>
        <v>0</v>
      </c>
      <c r="X260" s="339">
        <f t="shared" ca="1" si="15"/>
        <v>109108014.45</v>
      </c>
      <c r="Y260" s="340">
        <f t="shared" ca="1" si="16"/>
        <v>77098.14</v>
      </c>
    </row>
    <row r="261" spans="1:25">
      <c r="A261" s="4" t="str">
        <f>+VLOOKUP(C261,'Plan Cuentas Link Armado'!$A$3:$D$105,4,0)</f>
        <v>Insurance for lodge and boats</v>
      </c>
      <c r="C261" s="607" t="s">
        <v>316</v>
      </c>
      <c r="D261" s="597" t="s">
        <v>317</v>
      </c>
      <c r="E261" s="152" t="s">
        <v>651</v>
      </c>
      <c r="G261" s="4" t="str">
        <f>+VLOOKUP(C261,'Plan Cuentas Link Armado'!$A$3:$D$105,4,0)</f>
        <v>Insurance for lodge and boats</v>
      </c>
      <c r="I261" s="339">
        <f ca="1">+SUMIF('Mov_Analizados_Sept25 - Dic25'!$H$10:$I$1038,Resumen_Base!E261,'Mov_Analizados_Sept25 - Dic25'!$I$10:$I$1038)</f>
        <v>4036220.1000000006</v>
      </c>
      <c r="J261" s="340">
        <f ca="1">+SUMIF('Mov_Analizados_Sept25 - Dic25'!$H$10:$J$1038,Resumen_Base!E261,'Mov_Analizados_Sept25 - Dic25'!$J$10:$J$1038)</f>
        <v>2792.1900000000005</v>
      </c>
      <c r="L261" s="339">
        <f>+SUMIF('Mov_Analizados_Ene 26'!$H$10:$H$330,Resumen_Base!E261,'Mov_Analizados_Ene 26'!$I$10:$I$330)</f>
        <v>287771.2</v>
      </c>
      <c r="M261" s="340">
        <f>+SUMIF('Mov_Analizados_Ene 26'!$H$10:$H$330,Resumen_Base!E261,'Mov_Analizados_Ene 26'!$J$10:$J$330)</f>
        <v>194.44</v>
      </c>
      <c r="N261" s="682">
        <f>+SUMIF('Mov_Analizados_Ene 26'!$H$10:$H$330,Resumen_Base!E261,'Mov_Analizados_Ene 26'!$J$10:$J$330)-M261</f>
        <v>0</v>
      </c>
      <c r="O261" s="339">
        <f>+SUMIF('Mov_Analizados_Feb - Mar 26'!$H$10:$H$1378,Resumen_Base!E261,'Mov_Analizados_Feb - Mar 26'!$I$10:$I$1378)</f>
        <v>662763.25</v>
      </c>
      <c r="P261" s="340">
        <f>+SUMIF('Mov_Analizados_Feb - Mar 26'!$H$10:$H$1378,Resumen_Base!E261,'Mov_Analizados_Feb - Mar 26'!$J$10:$J$1378)</f>
        <v>464.24</v>
      </c>
      <c r="R261" s="339">
        <f>+SUMIF('Mov_Analizados_Abr 26'!$I$10:$I$862,Resumen_Base!E261,'Mov_Analizados_Abr 26'!$J$10:$J$862)</f>
        <v>210539.25</v>
      </c>
      <c r="S261" s="340">
        <f>+SUMIF('Mov_Analizados_Abr 26'!$I$10:$I$862,Resumen_Base!E261,'Mov_Analizados_Abr 26'!$K$10:$K$862)</f>
        <v>149.85</v>
      </c>
      <c r="U261" s="339">
        <f>+SUMIF('Mov_Analizados_May 26'!$I$10:$I$1205,Resumen_Base!E261,'Mov_Analizados_May 26'!$J$10:$J$1205)</f>
        <v>492255.80000000005</v>
      </c>
      <c r="V261" s="340">
        <f>+SUMIF('Mov_Analizados_May 26'!$I$10:$I$1205,Resumen_Base!E261,'Mov_Analizados_May 26'!$K$10:$K$1205)</f>
        <v>350.36</v>
      </c>
      <c r="X261" s="339">
        <f t="shared" ca="1" si="15"/>
        <v>5689549.6000000006</v>
      </c>
      <c r="Y261" s="340">
        <f t="shared" ca="1" si="16"/>
        <v>3951.0800000000008</v>
      </c>
    </row>
    <row r="262" spans="1:25">
      <c r="A262" s="4" t="str">
        <f>+VLOOKUP(C262,'Plan Cuentas Link Armado'!$A$3:$D$105,4,0)</f>
        <v>Gun Rental</v>
      </c>
      <c r="C262" s="4" t="s">
        <v>327</v>
      </c>
      <c r="D262" s="4" t="s">
        <v>328</v>
      </c>
      <c r="E262" s="4" t="s">
        <v>652</v>
      </c>
      <c r="G262" s="4" t="str">
        <f>+VLOOKUP(C262,'Plan Cuentas Link Armado'!$A$3:$D$105,4,0)</f>
        <v>Gun Rental</v>
      </c>
      <c r="I262" s="339">
        <f ca="1">+SUMIF('Mov_Analizados_Sept25 - Dic25'!$H$10:$I$1038,Resumen_Base!E262,'Mov_Analizados_Sept25 - Dic25'!$I$10:$I$1038)</f>
        <v>0</v>
      </c>
      <c r="J262" s="340">
        <f ca="1">+SUMIF('Mov_Analizados_Sept25 - Dic25'!$H$10:$J$1038,Resumen_Base!E262,'Mov_Analizados_Sept25 - Dic25'!$J$10:$J$1038)</f>
        <v>0</v>
      </c>
      <c r="L262" s="339">
        <f>+SUMIF('Mov_Analizados_Ene 26'!$H$10:$H$330,Resumen_Base!E262,'Mov_Analizados_Ene 26'!$I$10:$I$330)</f>
        <v>2812</v>
      </c>
      <c r="M262" s="340">
        <f>+SUMIF('Mov_Analizados_Ene 26'!$H$10:$H$330,Resumen_Base!E262,'Mov_Analizados_Ene 26'!$J$10:$J$330)</f>
        <v>1.9</v>
      </c>
      <c r="N262" s="682">
        <f>+SUMIF('Mov_Analizados_Ene 26'!$H$10:$H$330,Resumen_Base!E262,'Mov_Analizados_Ene 26'!$J$10:$J$330)-M262</f>
        <v>0</v>
      </c>
      <c r="O262" s="339">
        <f>+SUMIF('Mov_Analizados_Feb - Mar 26'!$H$10:$H$1378,Resumen_Base!E262,'Mov_Analizados_Feb - Mar 26'!$I$10:$I$1378)</f>
        <v>0</v>
      </c>
      <c r="P262" s="340">
        <f>+SUMIF('Mov_Analizados_Feb - Mar 26'!$H$10:$H$1378,Resumen_Base!E262,'Mov_Analizados_Feb - Mar 26'!$J$10:$J$1378)</f>
        <v>0</v>
      </c>
      <c r="R262" s="339">
        <f>+SUMIF('Mov_Analizados_Abr 26'!$I$10:$I$862,Resumen_Base!E262,'Mov_Analizados_Abr 26'!$J$10:$J$862)</f>
        <v>0</v>
      </c>
      <c r="S262" s="340">
        <f>+SUMIF('Mov_Analizados_Abr 26'!$I$10:$I$862,Resumen_Base!E262,'Mov_Analizados_Abr 26'!$K$10:$K$862)</f>
        <v>0</v>
      </c>
      <c r="U262" s="339">
        <f>+SUMIF('Mov_Analizados_May 26'!$I$10:$I$1205,Resumen_Base!E262,'Mov_Analizados_May 26'!$J$10:$J$1205)</f>
        <v>0</v>
      </c>
      <c r="V262" s="340">
        <f>+SUMIF('Mov_Analizados_May 26'!$I$10:$I$1205,Resumen_Base!E262,'Mov_Analizados_May 26'!$K$10:$K$1205)</f>
        <v>0</v>
      </c>
      <c r="X262" s="339">
        <f t="shared" ca="1" si="15"/>
        <v>2812</v>
      </c>
      <c r="Y262" s="340">
        <f t="shared" ca="1" si="16"/>
        <v>1.9</v>
      </c>
    </row>
    <row r="263" spans="1:25">
      <c r="A263" s="4" t="str">
        <f>+VLOOKUP(C263,'Plan Cuentas Link Armado'!$A$3:$D$105,4,0)</f>
        <v>Services/House</v>
      </c>
      <c r="C263" s="4" t="s">
        <v>321</v>
      </c>
      <c r="D263" s="4" t="s">
        <v>322</v>
      </c>
      <c r="E263" s="4" t="s">
        <v>653</v>
      </c>
      <c r="G263" s="4" t="str">
        <f>+VLOOKUP(C263,'Plan Cuentas Link Armado'!$A$3:$D$105,4,0)</f>
        <v>Services/House</v>
      </c>
      <c r="I263" s="339">
        <f ca="1">+SUMIF('Mov_Analizados_Sept25 - Dic25'!$H$10:$I$1038,Resumen_Base!E263,'Mov_Analizados_Sept25 - Dic25'!$I$10:$I$1038)</f>
        <v>48909851.000000015</v>
      </c>
      <c r="J263" s="340">
        <f ca="1">+SUMIF('Mov_Analizados_Sept25 - Dic25'!$H$10:$J$1038,Resumen_Base!E263,'Mov_Analizados_Sept25 - Dic25'!$J$10:$J$1038)</f>
        <v>33979.870000000017</v>
      </c>
      <c r="L263" s="339">
        <f>+SUMIF('Mov_Analizados_Ene 26'!$H$10:$H$330,Resumen_Base!E263,'Mov_Analizados_Ene 26'!$I$10:$I$330)</f>
        <v>10462025.6</v>
      </c>
      <c r="M263" s="340">
        <f>+SUMIF('Mov_Analizados_Ene 26'!$H$10:$H$330,Resumen_Base!E263,'Mov_Analizados_Ene 26'!$J$10:$J$330)</f>
        <v>12899.661558441559</v>
      </c>
      <c r="N263" s="682">
        <f>+SUMIF('Mov_Analizados_Ene 26'!$H$10:$H$330,Resumen_Base!E263,'Mov_Analizados_Ene 26'!$J$10:$J$330)-M263</f>
        <v>0</v>
      </c>
      <c r="O263" s="339">
        <f>+SUMIF('Mov_Analizados_Feb - Mar 26'!$H$10:$H$1378,Resumen_Base!E263,'Mov_Analizados_Feb - Mar 26'!$I$10:$I$1378)</f>
        <v>43169992.850000001</v>
      </c>
      <c r="P263" s="340">
        <f>+SUMIF('Mov_Analizados_Feb - Mar 26'!$H$10:$H$1378,Resumen_Base!E263,'Mov_Analizados_Feb - Mar 26'!$J$10:$J$1378)</f>
        <v>40367.45844155844</v>
      </c>
      <c r="R263" s="339">
        <f>+SUMIF('Mov_Analizados_Abr 26'!$I$10:$I$862,Resumen_Base!E263,'Mov_Analizados_Abr 26'!$J$10:$J$862)</f>
        <v>20281484.099999998</v>
      </c>
      <c r="S263" s="340">
        <f>+SUMIF('Mov_Analizados_Abr 26'!$I$10:$I$862,Resumen_Base!E263,'Mov_Analizados_Abr 26'!$K$10:$K$862)</f>
        <v>2358.4943589743557</v>
      </c>
      <c r="U263" s="339">
        <f>+SUMIF('Mov_Analizados_May 26'!$I$10:$I$1205,Resumen_Base!E263,'Mov_Analizados_May 26'!$J$10:$J$1205)</f>
        <v>17119368.550000001</v>
      </c>
      <c r="V263" s="340">
        <f>+SUMIF('Mov_Analizados_May 26'!$I$10:$I$1205,Resumen_Base!E263,'Mov_Analizados_May 26'!$K$10:$K$1205)</f>
        <v>12182.039847613834</v>
      </c>
      <c r="X263" s="339">
        <f t="shared" ca="1" si="15"/>
        <v>139942722.10000002</v>
      </c>
      <c r="Y263" s="340">
        <f t="shared" ca="1" si="16"/>
        <v>101787.5242065882</v>
      </c>
    </row>
    <row r="264" spans="1:25">
      <c r="A264" s="4" t="str">
        <f>+VLOOKUP(C264,'Plan Cuentas Link Armado'!$A$3:$D$105,4,0)</f>
        <v>Guides</v>
      </c>
      <c r="C264" s="4" t="s">
        <v>323</v>
      </c>
      <c r="D264" s="4" t="s">
        <v>324</v>
      </c>
      <c r="E264" s="4" t="s">
        <v>654</v>
      </c>
      <c r="G264" s="4" t="str">
        <f>+VLOOKUP(C264,'Plan Cuentas Link Armado'!$A$3:$D$105,4,0)</f>
        <v>Guides</v>
      </c>
      <c r="I264" s="339">
        <f ca="1">+SUMIF('Mov_Analizados_Sept25 - Dic25'!$H$10:$I$1038,Resumen_Base!E264,'Mov_Analizados_Sept25 - Dic25'!$I$10:$I$1038)</f>
        <v>48924378.700000003</v>
      </c>
      <c r="J264" s="340">
        <f ca="1">+SUMIF('Mov_Analizados_Sept25 - Dic25'!$H$10:$J$1038,Resumen_Base!E264,'Mov_Analizados_Sept25 - Dic25'!$J$10:$J$1038)</f>
        <v>35406.15</v>
      </c>
      <c r="L264" s="339">
        <f>+SUMIF('Mov_Analizados_Ene 26'!$H$10:$H$330,Resumen_Base!E264,'Mov_Analizados_Ene 26'!$I$10:$I$330)</f>
        <v>6265757.5999999996</v>
      </c>
      <c r="M264" s="340">
        <f>+SUMIF('Mov_Analizados_Ene 26'!$H$10:$H$330,Resumen_Base!E264,'Mov_Analizados_Ene 26'!$J$10:$J$330)</f>
        <v>8508.6719480519478</v>
      </c>
      <c r="N264" s="682">
        <f>+SUMIF('Mov_Analizados_Ene 26'!$H$10:$H$330,Resumen_Base!E264,'Mov_Analizados_Ene 26'!$J$10:$J$330)-M264</f>
        <v>0</v>
      </c>
      <c r="O264" s="339">
        <f>+SUMIF('Mov_Analizados_Feb - Mar 26'!$H$10:$H$1378,Resumen_Base!E264,'Mov_Analizados_Feb - Mar 26'!$I$10:$I$1378)</f>
        <v>46866194.999999993</v>
      </c>
      <c r="P264" s="340">
        <f>+SUMIF('Mov_Analizados_Feb - Mar 26'!$H$10:$H$1378,Resumen_Base!E264,'Mov_Analizados_Feb - Mar 26'!$J$10:$J$1378)</f>
        <v>41591.26930194805</v>
      </c>
      <c r="R264" s="339">
        <f>+SUMIF('Mov_Analizados_Abr 26'!$I$10:$I$862,Resumen_Base!E264,'Mov_Analizados_Abr 26'!$J$10:$J$862)</f>
        <v>29959981.149999995</v>
      </c>
      <c r="S264" s="340">
        <f>+SUMIF('Mov_Analizados_Abr 26'!$I$10:$I$862,Resumen_Base!E264,'Mov_Analizados_Abr 26'!$K$10:$K$862)</f>
        <v>18295.524903846155</v>
      </c>
      <c r="U264" s="339">
        <f>+SUMIF('Mov_Analizados_May 26'!$I$10:$I$1205,Resumen_Base!E264,'Mov_Analizados_May 26'!$J$10:$J$1205)</f>
        <v>24295990.60000002</v>
      </c>
      <c r="V264" s="340">
        <f>+SUMIF('Mov_Analizados_May 26'!$I$10:$I$1205,Resumen_Base!E264,'Mov_Analizados_May 26'!$K$10:$K$1205)</f>
        <v>15762.716410256398</v>
      </c>
      <c r="X264" s="339">
        <f t="shared" ca="1" si="15"/>
        <v>156312303.05000001</v>
      </c>
      <c r="Y264" s="340">
        <f t="shared" ca="1" si="16"/>
        <v>119564.33256410254</v>
      </c>
    </row>
    <row r="265" spans="1:25">
      <c r="A265" s="4" t="str">
        <f>+VLOOKUP(C265,'Plan Cuentas Link Armado'!$A$3:$D$105,4,0)</f>
        <v>Manager</v>
      </c>
      <c r="C265" s="4" t="s">
        <v>325</v>
      </c>
      <c r="D265" s="4" t="s">
        <v>326</v>
      </c>
      <c r="E265" s="4" t="s">
        <v>655</v>
      </c>
      <c r="G265" s="4" t="str">
        <f>+VLOOKUP(C265,'Plan Cuentas Link Armado'!$A$3:$D$105,4,0)</f>
        <v>Manager</v>
      </c>
      <c r="I265" s="339">
        <f ca="1">+SUMIF('Mov_Analizados_Sept25 - Dic25'!$H$10:$I$1038,Resumen_Base!E265,'Mov_Analizados_Sept25 - Dic25'!$I$10:$I$1038)</f>
        <v>31867714.399999999</v>
      </c>
      <c r="J265" s="340">
        <f ca="1">+SUMIF('Mov_Analizados_Sept25 - Dic25'!$H$10:$J$1038,Resumen_Base!E265,'Mov_Analizados_Sept25 - Dic25'!$J$10:$J$1038)</f>
        <v>23938.071914893619</v>
      </c>
      <c r="L265" s="339">
        <f>+SUMIF('Mov_Analizados_Ene 26'!$H$10:$H$330,Resumen_Base!E265,'Mov_Analizados_Ene 26'!$I$10:$I$330)</f>
        <v>7050068.7999999998</v>
      </c>
      <c r="M265" s="340">
        <f>+SUMIF('Mov_Analizados_Ene 26'!$H$10:$H$330,Resumen_Base!E265,'Mov_Analizados_Ene 26'!$J$10:$J$330)</f>
        <v>4862.1574025974023</v>
      </c>
      <c r="N265" s="682">
        <f>+SUMIF('Mov_Analizados_Ene 26'!$H$10:$H$330,Resumen_Base!E265,'Mov_Analizados_Ene 26'!$J$10:$J$330)-M265</f>
        <v>0</v>
      </c>
      <c r="O265" s="339">
        <f>+SUMIF('Mov_Analizados_Feb - Mar 26'!$H$10:$H$1378,Resumen_Base!E265,'Mov_Analizados_Feb - Mar 26'!$I$10:$I$1378)</f>
        <v>22804444.649999999</v>
      </c>
      <c r="P265" s="340">
        <f>+SUMIF('Mov_Analizados_Feb - Mar 26'!$H$10:$H$1378,Resumen_Base!E265,'Mov_Analizados_Feb - Mar 26'!$J$10:$J$1378)</f>
        <v>22327.227597402598</v>
      </c>
      <c r="R265" s="339">
        <f>+SUMIF('Mov_Analizados_Abr 26'!$I$10:$I$862,Resumen_Base!E265,'Mov_Analizados_Abr 26'!$J$10:$J$862)</f>
        <v>9784420</v>
      </c>
      <c r="S265" s="340">
        <f>+SUMIF('Mov_Analizados_Abr 26'!$I$10:$I$862,Resumen_Base!E265,'Mov_Analizados_Abr 26'!$K$10:$K$862)</f>
        <v>-1890</v>
      </c>
      <c r="U265" s="339">
        <f>+SUMIF('Mov_Analizados_May 26'!$I$10:$I$1205,Resumen_Base!E265,'Mov_Analizados_May 26'!$J$10:$J$1205)</f>
        <v>16309225</v>
      </c>
      <c r="V265" s="340">
        <f>+SUMIF('Mov_Analizados_May 26'!$I$10:$I$1205,Resumen_Base!E265,'Mov_Analizados_May 26'!$K$10:$K$1205)</f>
        <v>11545</v>
      </c>
      <c r="X265" s="339">
        <f t="shared" ca="1" si="15"/>
        <v>87815872.849999994</v>
      </c>
      <c r="Y265" s="340">
        <f t="shared" ca="1" si="16"/>
        <v>60782.456914893621</v>
      </c>
    </row>
    <row r="266" spans="1:25">
      <c r="A266" s="4" t="str">
        <f>+VLOOKUP(C266,'Plan Cuentas Link Armado'!$A$3:$D$105,4,0)</f>
        <v>Social Security Contributions</v>
      </c>
      <c r="C266" s="4" t="s">
        <v>329</v>
      </c>
      <c r="D266" s="4" t="s">
        <v>330</v>
      </c>
      <c r="E266" s="4" t="s">
        <v>656</v>
      </c>
      <c r="G266" s="4" t="str">
        <f>+VLOOKUP(C266,'Plan Cuentas Link Armado'!$A$3:$D$105,4,0)</f>
        <v>Social Security Contributions</v>
      </c>
      <c r="I266" s="339">
        <f ca="1">+SUMIF('Mov_Analizados_Sept25 - Dic25'!$H$10:$I$1038,Resumen_Base!E266,'Mov_Analizados_Sept25 - Dic25'!$I$10:$I$1038)</f>
        <v>14290513.800000001</v>
      </c>
      <c r="J266" s="340">
        <f ca="1">+SUMIF('Mov_Analizados_Sept25 - Dic25'!$H$10:$J$1038,Resumen_Base!E266,'Mov_Analizados_Sept25 - Dic25'!$J$10:$J$1038)</f>
        <v>9852.27</v>
      </c>
      <c r="L266" s="339">
        <f>+SUMIF('Mov_Analizados_Ene 26'!$H$10:$H$330,Resumen_Base!E266,'Mov_Analizados_Ene 26'!$I$10:$I$330)</f>
        <v>3504477.2</v>
      </c>
      <c r="M266" s="340">
        <f>+SUMIF('Mov_Analizados_Ene 26'!$H$10:$H$330,Resumen_Base!E266,'Mov_Analizados_Ene 26'!$J$10:$J$330)</f>
        <v>2367.89</v>
      </c>
      <c r="N266" s="682">
        <f>+SUMIF('Mov_Analizados_Ene 26'!$H$10:$H$330,Resumen_Base!E266,'Mov_Analizados_Ene 26'!$J$10:$J$330)-M266</f>
        <v>0</v>
      </c>
      <c r="O266" s="339">
        <f>+SUMIF('Mov_Analizados_Feb - Mar 26'!$H$10:$H$1378,Resumen_Base!E266,'Mov_Analizados_Feb - Mar 26'!$I$10:$I$1378)</f>
        <v>5860689.4500000002</v>
      </c>
      <c r="P266" s="340">
        <f>+SUMIF('Mov_Analizados_Feb - Mar 26'!$H$10:$H$1378,Resumen_Base!E266,'Mov_Analizados_Feb - Mar 26'!$J$10:$J$1378)</f>
        <v>4141.83</v>
      </c>
      <c r="R266" s="339">
        <f>+SUMIF('Mov_Analizados_Abr 26'!$I$10:$I$862,Resumen_Base!E266,'Mov_Analizados_Abr 26'!$J$10:$J$862)</f>
        <v>5296667.3499999996</v>
      </c>
      <c r="S266" s="340">
        <f>+SUMIF('Mov_Analizados_Abr 26'!$I$10:$I$862,Resumen_Base!E266,'Mov_Analizados_Abr 26'!$K$10:$K$862)</f>
        <v>3769.87</v>
      </c>
      <c r="U266" s="339">
        <f>+SUMIF('Mov_Analizados_May 26'!$I$10:$I$1205,Resumen_Base!E266,'Mov_Analizados_May 26'!$J$10:$J$1205)</f>
        <v>0</v>
      </c>
      <c r="V266" s="340">
        <f>+SUMIF('Mov_Analizados_May 26'!$I$10:$I$1205,Resumen_Base!E266,'Mov_Analizados_May 26'!$K$10:$K$1205)</f>
        <v>0</v>
      </c>
      <c r="X266" s="339">
        <f t="shared" ca="1" si="15"/>
        <v>28952347.799999997</v>
      </c>
      <c r="Y266" s="340">
        <f t="shared" ca="1" si="16"/>
        <v>20131.86</v>
      </c>
    </row>
    <row r="267" spans="1:25">
      <c r="A267" s="4" t="str">
        <f>+VLOOKUP(C267,'Plan Cuentas Link Armado'!$A$3:$D$105,4,0)</f>
        <v>Social Security Contributions</v>
      </c>
      <c r="C267" s="4" t="s">
        <v>333</v>
      </c>
      <c r="D267" s="4" t="s">
        <v>334</v>
      </c>
      <c r="E267" s="4" t="s">
        <v>657</v>
      </c>
      <c r="G267" s="4" t="str">
        <f>+VLOOKUP(C267,'Plan Cuentas Link Armado'!$A$3:$D$105,4,0)</f>
        <v>Social Security Contributions</v>
      </c>
      <c r="I267" s="339">
        <f ca="1">+SUMIF('Mov_Analizados_Sept25 - Dic25'!$H$10:$I$1038,Resumen_Base!E267,'Mov_Analizados_Sept25 - Dic25'!$I$10:$I$1038)</f>
        <v>333829</v>
      </c>
      <c r="J267" s="340">
        <f ca="1">+SUMIF('Mov_Analizados_Sept25 - Dic25'!$H$10:$J$1038,Resumen_Base!E267,'Mov_Analizados_Sept25 - Dic25'!$J$10:$J$1038)</f>
        <v>790.6</v>
      </c>
      <c r="L267" s="339">
        <f>+SUMIF('Mov_Analizados_Ene 26'!$H$10:$H$330,Resumen_Base!E267,'Mov_Analizados_Ene 26'!$I$10:$I$330)</f>
        <v>831686</v>
      </c>
      <c r="M267" s="340">
        <f>+SUMIF('Mov_Analizados_Ene 26'!$H$10:$H$330,Resumen_Base!E267,'Mov_Analizados_Ene 26'!$J$10:$J$330)</f>
        <v>732.77922077922074</v>
      </c>
      <c r="N267" s="682">
        <f>+SUMIF('Mov_Analizados_Ene 26'!$H$10:$H$330,Resumen_Base!E267,'Mov_Analizados_Ene 26'!$J$10:$J$330)-M267</f>
        <v>0</v>
      </c>
      <c r="O267" s="339">
        <f>+SUMIF('Mov_Analizados_Feb - Mar 26'!$H$10:$H$1378,Resumen_Base!E267,'Mov_Analizados_Feb - Mar 26'!$I$10:$I$1378)</f>
        <v>1911955.65</v>
      </c>
      <c r="P267" s="340">
        <f>+SUMIF('Mov_Analizados_Feb - Mar 26'!$H$10:$H$1378,Resumen_Base!E267,'Mov_Analizados_Feb - Mar 26'!$J$10:$J$1378)</f>
        <v>602.61077922077925</v>
      </c>
      <c r="R267" s="339">
        <f>+SUMIF('Mov_Analizados_Abr 26'!$I$10:$I$862,Resumen_Base!E267,'Mov_Analizados_Abr 26'!$J$10:$J$862)</f>
        <v>0</v>
      </c>
      <c r="S267" s="340">
        <f>+SUMIF('Mov_Analizados_Abr 26'!$I$10:$I$862,Resumen_Base!E267,'Mov_Analizados_Abr 26'!$K$10:$K$862)</f>
        <v>0</v>
      </c>
      <c r="U267" s="339">
        <f>+SUMIF('Mov_Analizados_May 26'!$I$10:$I$1205,Resumen_Base!E267,'Mov_Analizados_May 26'!$J$10:$J$1205)</f>
        <v>0</v>
      </c>
      <c r="V267" s="340">
        <f>+SUMIF('Mov_Analizados_May 26'!$I$10:$I$1205,Resumen_Base!E267,'Mov_Analizados_May 26'!$K$10:$K$1205)</f>
        <v>0</v>
      </c>
      <c r="X267" s="339">
        <f t="shared" ca="1" si="15"/>
        <v>3077470.65</v>
      </c>
      <c r="Y267" s="340">
        <f t="shared" ca="1" si="16"/>
        <v>2125.9899999999998</v>
      </c>
    </row>
    <row r="268" spans="1:25">
      <c r="A268" s="4" t="str">
        <f>+VLOOKUP(C268,'Plan Cuentas Link Armado'!$A$3:$D$105,4,0)</f>
        <v>Field:</v>
      </c>
      <c r="C268" s="4" t="s">
        <v>133</v>
      </c>
      <c r="D268" s="4" t="s">
        <v>312</v>
      </c>
      <c r="E268" s="4" t="s">
        <v>697</v>
      </c>
      <c r="G268" s="4" t="str">
        <f>+VLOOKUP(C268,'Plan Cuentas Link Armado'!$A$3:$D$105,4,0)</f>
        <v>Field:</v>
      </c>
      <c r="I268" s="339">
        <f ca="1">+SUMIF('Mov_Analizados_Sept25 - Dic25'!$H$10:$I$1038,Resumen_Base!E268,'Mov_Analizados_Sept25 - Dic25'!$I$10:$I$1038)</f>
        <v>8455832</v>
      </c>
      <c r="J268" s="340">
        <f ca="1">+SUMIF('Mov_Analizados_Sept25 - Dic25'!$H$10:$J$1038,Resumen_Base!E268,'Mov_Analizados_Sept25 - Dic25'!$J$10:$J$1038)</f>
        <v>5987.8599999999988</v>
      </c>
      <c r="L268" s="339">
        <f>+SUMIF('Mov_Analizados_Ene 26'!$H$10:$H$330,Resumen_Base!E268,'Mov_Analizados_Ene 26'!$I$10:$I$330)</f>
        <v>2222812</v>
      </c>
      <c r="M268" s="340">
        <f>+SUMIF('Mov_Analizados_Ene 26'!$H$10:$H$330,Resumen_Base!E268,'Mov_Analizados_Ene 26'!$J$10:$J$330)</f>
        <v>2451.9</v>
      </c>
      <c r="N268" s="682">
        <f>+SUMIF('Mov_Analizados_Ene 26'!$H$10:$H$330,Resumen_Base!E268,'Mov_Analizados_Ene 26'!$J$10:$J$330)-M268</f>
        <v>0</v>
      </c>
      <c r="O268" s="339">
        <f>+SUMIF('Mov_Analizados_Feb - Mar 26'!$H$10:$H$1378,Resumen_Base!E268,'Mov_Analizados_Feb - Mar 26'!$I$10:$I$1378)</f>
        <v>10725648</v>
      </c>
      <c r="P268" s="340">
        <f>+SUMIF('Mov_Analizados_Feb - Mar 26'!$H$10:$H$1378,Resumen_Base!E268,'Mov_Analizados_Feb - Mar 26'!$J$10:$J$1378)</f>
        <v>13022.8</v>
      </c>
      <c r="R268" s="339">
        <f>+SUMIF('Mov_Analizados_Abr 26'!$I$10:$I$862,Resumen_Base!E268,'Mov_Analizados_Abr 26'!$J$10:$J$862)</f>
        <v>8921750</v>
      </c>
      <c r="S268" s="340">
        <f>+SUMIF('Mov_Analizados_Abr 26'!$I$10:$I$862,Resumen_Base!E268,'Mov_Analizados_Abr 26'!$K$10:$K$862)</f>
        <v>4957.6000000000004</v>
      </c>
      <c r="U268" s="339">
        <f>+SUMIF('Mov_Analizados_May 26'!$I$10:$I$1205,Resumen_Base!E268,'Mov_Analizados_May 26'!$J$10:$J$1205)</f>
        <v>6965428</v>
      </c>
      <c r="V268" s="340">
        <f>+SUMIF('Mov_Analizados_May 26'!$I$10:$I$1205,Resumen_Base!E268,'Mov_Analizados_May 26'!$K$10:$K$1205)</f>
        <v>6293.8</v>
      </c>
      <c r="X268" s="339">
        <f t="shared" ca="1" si="15"/>
        <v>37291470</v>
      </c>
      <c r="Y268" s="340">
        <f t="shared" ca="1" si="16"/>
        <v>32713.959999999995</v>
      </c>
    </row>
    <row r="269" spans="1:25">
      <c r="A269" s="4" t="str">
        <f>+VLOOKUP(C269,'Plan Cuentas Link Armado'!$A$3:$D$105,4,0)</f>
        <v>Work uniforms for personnel (employees)</v>
      </c>
      <c r="C269" s="4" t="s">
        <v>60</v>
      </c>
      <c r="D269" s="4" t="s">
        <v>61</v>
      </c>
      <c r="E269" s="4" t="s">
        <v>698</v>
      </c>
      <c r="G269" s="4" t="str">
        <f>+VLOOKUP(C269,'Plan Cuentas Link Armado'!$A$3:$D$105,4,0)</f>
        <v>Work uniforms for personnel (employees)</v>
      </c>
      <c r="I269" s="339">
        <f ca="1">+SUMIF('Mov_Analizados_Sept25 - Dic25'!$H$10:$I$1038,Resumen_Base!E269,'Mov_Analizados_Sept25 - Dic25'!$I$10:$I$1038)</f>
        <v>1391948.25</v>
      </c>
      <c r="J269" s="340">
        <f ca="1">+SUMIF('Mov_Analizados_Sept25 - Dic25'!$H$10:$J$1038,Resumen_Base!E269,'Mov_Analizados_Sept25 - Dic25'!$J$10:$J$1038)</f>
        <v>981.57443278719927</v>
      </c>
      <c r="L269" s="339">
        <f>+SUMIF('Mov_Analizados_Ene 26'!$H$10:$H$330,Resumen_Base!E269,'Mov_Analizados_Ene 26'!$I$10:$I$330)</f>
        <v>5930888.7000000002</v>
      </c>
      <c r="M269" s="340">
        <f>+SUMIF('Mov_Analizados_Ene 26'!$H$10:$H$330,Resumen_Base!E269,'Mov_Analizados_Ene 26'!$J$10:$J$330)</f>
        <v>4009.4337837837847</v>
      </c>
      <c r="N269" s="682">
        <f>+SUMIF('Mov_Analizados_Ene 26'!$H$10:$H$330,Resumen_Base!E269,'Mov_Analizados_Ene 26'!$J$10:$J$330)-M269</f>
        <v>0</v>
      </c>
      <c r="O269" s="339">
        <f>+SUMIF('Mov_Analizados_Feb - Mar 26'!$H$10:$H$1378,Resumen_Base!E269,'Mov_Analizados_Feb - Mar 26'!$I$10:$I$1378)</f>
        <v>5046734.91</v>
      </c>
      <c r="P269" s="340">
        <f>+SUMIF('Mov_Analizados_Feb - Mar 26'!$H$10:$H$1378,Resumen_Base!E269,'Mov_Analizados_Feb - Mar 26'!$J$10:$J$1378)</f>
        <v>3554.2727473309615</v>
      </c>
      <c r="R269" s="339">
        <f>+SUMIF('Mov_Analizados_Abr 26'!$I$10:$I$862,Resumen_Base!E269,'Mov_Analizados_Abr 26'!$J$10:$J$862)</f>
        <v>376683.3</v>
      </c>
      <c r="S269" s="340">
        <f>+SUMIF('Mov_Analizados_Abr 26'!$I$10:$I$862,Resumen_Base!E269,'Mov_Analizados_Abr 26'!$K$10:$K$862)</f>
        <v>832.20455698512615</v>
      </c>
      <c r="U269" s="339">
        <f>+SUMIF('Mov_Analizados_May 26'!$I$10:$I$1205,Resumen_Base!E269,'Mov_Analizados_May 26'!$J$10:$J$1205)</f>
        <v>1579441.7999999998</v>
      </c>
      <c r="V269" s="340">
        <f>+SUMIF('Mov_Analizados_May 26'!$I$10:$I$1205,Resumen_Base!E269,'Mov_Analizados_May 26'!$K$10:$K$1205)</f>
        <v>560.05530066611925</v>
      </c>
      <c r="X269" s="339">
        <f t="shared" ca="1" si="15"/>
        <v>14325696.960000001</v>
      </c>
      <c r="Y269" s="340">
        <f t="shared" ca="1" si="16"/>
        <v>9937.5408215531916</v>
      </c>
    </row>
    <row r="270" spans="1:25">
      <c r="A270" s="4" t="str">
        <f>+VLOOKUP(C270,'Plan Cuentas Link Armado'!$A$3:$D$105,4,0)</f>
        <v>Licenses / Permits (Fishing and Shooting)</v>
      </c>
      <c r="C270" s="4" t="s">
        <v>62</v>
      </c>
      <c r="D270" s="4" t="s">
        <v>63</v>
      </c>
      <c r="E270" s="4" t="s">
        <v>699</v>
      </c>
      <c r="G270" s="4" t="str">
        <f>+VLOOKUP(C270,'Plan Cuentas Link Armado'!$A$3:$D$105,4,0)</f>
        <v>Licenses / Permits (Fishing and Shooting)</v>
      </c>
      <c r="I270" s="339">
        <f ca="1">+SUMIF('Mov_Analizados_Sept25 - Dic25'!$H$10:$I$1038,Resumen_Base!E270,'Mov_Analizados_Sept25 - Dic25'!$I$10:$I$1038)</f>
        <v>9312828.5999999996</v>
      </c>
      <c r="J270" s="340">
        <f ca="1">+SUMIF('Mov_Analizados_Sept25 - Dic25'!$H$10:$J$1038,Resumen_Base!E270,'Mov_Analizados_Sept25 - Dic25'!$J$10:$J$1038)</f>
        <v>6445.0899999999992</v>
      </c>
      <c r="L270" s="339">
        <f>+SUMIF('Mov_Analizados_Ene 26'!$H$10:$H$330,Resumen_Base!E270,'Mov_Analizados_Ene 26'!$I$10:$I$330)</f>
        <v>8748487.1999999993</v>
      </c>
      <c r="M270" s="340">
        <f>+SUMIF('Mov_Analizados_Ene 26'!$H$10:$H$330,Resumen_Base!E270,'Mov_Analizados_Ene 26'!$J$10:$J$330)</f>
        <v>6511.14</v>
      </c>
      <c r="N270" s="682">
        <f>+SUMIF('Mov_Analizados_Ene 26'!$H$10:$H$330,Resumen_Base!E270,'Mov_Analizados_Ene 26'!$J$10:$J$330)-M270</f>
        <v>0</v>
      </c>
      <c r="O270" s="339">
        <f>+SUMIF('Mov_Analizados_Feb - Mar 26'!$H$10:$H$1378,Resumen_Base!E270,'Mov_Analizados_Feb - Mar 26'!$I$10:$I$1378)</f>
        <v>31552084.949999999</v>
      </c>
      <c r="P270" s="340">
        <f>+SUMIF('Mov_Analizados_Feb - Mar 26'!$H$10:$H$1378,Resumen_Base!E270,'Mov_Analizados_Feb - Mar 26'!$J$10:$J$1378)</f>
        <v>21680.240000000005</v>
      </c>
      <c r="R270" s="339">
        <f>+SUMIF('Mov_Analizados_Abr 26'!$I$10:$I$862,Resumen_Base!E270,'Mov_Analizados_Abr 26'!$J$10:$J$862)</f>
        <v>11447111.050000001</v>
      </c>
      <c r="S270" s="340">
        <f>+SUMIF('Mov_Analizados_Abr 26'!$I$10:$I$862,Resumen_Base!E270,'Mov_Analizados_Abr 26'!$K$10:$K$862)</f>
        <v>9027.41</v>
      </c>
      <c r="U270" s="339">
        <f>+SUMIF('Mov_Analizados_May 26'!$I$10:$I$1205,Resumen_Base!E270,'Mov_Analizados_May 26'!$J$10:$J$1205)</f>
        <v>17789062.100000001</v>
      </c>
      <c r="V270" s="340">
        <f>+SUMIF('Mov_Analizados_May 26'!$I$10:$I$1205,Resumen_Base!E270,'Mov_Analizados_May 26'!$K$10:$K$1205)</f>
        <v>14082.85</v>
      </c>
      <c r="X270" s="339">
        <f t="shared" ca="1" si="15"/>
        <v>78849573.900000006</v>
      </c>
      <c r="Y270" s="340">
        <f t="shared" ca="1" si="16"/>
        <v>57746.73</v>
      </c>
    </row>
    <row r="271" spans="1:25">
      <c r="A271" s="4" t="str">
        <f>+VLOOKUP(C271,'Plan Cuentas Link Armado'!$A$3:$D$105,4,0)</f>
        <v>Transfer to and from the airport (local taxi) - Vehicle Rental</v>
      </c>
      <c r="C271" s="4" t="s">
        <v>138</v>
      </c>
      <c r="D271" s="4" t="s">
        <v>202</v>
      </c>
      <c r="E271" s="4" t="s">
        <v>700</v>
      </c>
      <c r="G271" s="4" t="str">
        <f>+VLOOKUP(C271,'Plan Cuentas Link Armado'!$A$3:$D$105,4,0)</f>
        <v>Transfer to and from the airport (local taxi) - Vehicle Rental</v>
      </c>
      <c r="I271" s="339">
        <f ca="1">+SUMIF('Mov_Analizados_Sept25 - Dic25'!$H$10:$I$1038,Resumen_Base!E271,'Mov_Analizados_Sept25 - Dic25'!$I$10:$I$1038)</f>
        <v>18119200</v>
      </c>
      <c r="J271" s="340">
        <f ca="1">+SUMIF('Mov_Analizados_Sept25 - Dic25'!$H$10:$J$1038,Resumen_Base!E271,'Mov_Analizados_Sept25 - Dic25'!$J$10:$J$1038)</f>
        <v>13751</v>
      </c>
      <c r="L271" s="339">
        <f>+SUMIF('Mov_Analizados_Ene 26'!$H$10:$H$330,Resumen_Base!E271,'Mov_Analizados_Ene 26'!$I$10:$I$330)</f>
        <v>1466680</v>
      </c>
      <c r="M271" s="340">
        <f>+SUMIF('Mov_Analizados_Ene 26'!$H$10:$H$330,Resumen_Base!E271,'Mov_Analizados_Ene 26'!$J$10:$J$330)</f>
        <v>0</v>
      </c>
      <c r="N271" s="682">
        <f>+SUMIF('Mov_Analizados_Ene 26'!$H$10:$H$330,Resumen_Base!E271,'Mov_Analizados_Ene 26'!$J$10:$J$330)-M271</f>
        <v>0</v>
      </c>
      <c r="O271" s="339">
        <f>+SUMIF('Mov_Analizados_Feb - Mar 26'!$H$10:$H$1378,Resumen_Base!E271,'Mov_Analizados_Feb - Mar 26'!$I$10:$I$1378)</f>
        <v>10182330</v>
      </c>
      <c r="P271" s="340">
        <f>+SUMIF('Mov_Analizados_Feb - Mar 26'!$H$10:$H$1378,Resumen_Base!E271,'Mov_Analizados_Feb - Mar 26'!$J$10:$J$1378)</f>
        <v>7170</v>
      </c>
      <c r="R271" s="339">
        <f>+SUMIF('Mov_Analizados_Abr 26'!$I$10:$I$862,Resumen_Base!E271,'Mov_Analizados_Abr 26'!$J$10:$J$862)</f>
        <v>4397650</v>
      </c>
      <c r="S271" s="340">
        <f>+SUMIF('Mov_Analizados_Abr 26'!$I$10:$I$862,Resumen_Base!E271,'Mov_Analizados_Abr 26'!$K$10:$K$862)</f>
        <v>6842</v>
      </c>
      <c r="U271" s="339">
        <f>+SUMIF('Mov_Analizados_May 26'!$I$10:$I$1205,Resumen_Base!E271,'Mov_Analizados_May 26'!$J$10:$J$1205)</f>
        <v>5215360</v>
      </c>
      <c r="V271" s="340">
        <f>+SUMIF('Mov_Analizados_May 26'!$I$10:$I$1205,Resumen_Base!E271,'Mov_Analizados_May 26'!$K$10:$K$1205)</f>
        <v>7082</v>
      </c>
      <c r="X271" s="339">
        <f t="shared" ca="1" si="15"/>
        <v>39381220</v>
      </c>
      <c r="Y271" s="340">
        <f t="shared" ca="1" si="16"/>
        <v>34845</v>
      </c>
    </row>
    <row r="272" spans="1:25">
      <c r="A272" s="4" t="str">
        <f>+VLOOKUP(C272,'Plan Cuentas Link Armado'!$A$3:$D$105,4,0)</f>
        <v>Electricity - Gas for Boats &amp; Vehicles</v>
      </c>
      <c r="C272" s="4" t="s">
        <v>64</v>
      </c>
      <c r="D272" s="4" t="s">
        <v>65</v>
      </c>
      <c r="E272" s="4" t="s">
        <v>701</v>
      </c>
      <c r="G272" s="4" t="str">
        <f>+VLOOKUP(C272,'Plan Cuentas Link Armado'!$A$3:$D$105,4,0)</f>
        <v>Electricity - Gas for Boats &amp; Vehicles</v>
      </c>
      <c r="I272" s="339">
        <f ca="1">+SUMIF('Mov_Analizados_Sept25 - Dic25'!$H$10:$I$1038,Resumen_Base!E272,'Mov_Analizados_Sept25 - Dic25'!$I$10:$I$1038)</f>
        <v>8924813.0999999996</v>
      </c>
      <c r="J272" s="340">
        <f ca="1">+SUMIF('Mov_Analizados_Sept25 - Dic25'!$H$10:$J$1038,Resumen_Base!E272,'Mov_Analizados_Sept25 - Dic25'!$J$10:$J$1038)</f>
        <v>6266.8099999999995</v>
      </c>
      <c r="L272" s="339">
        <f>+SUMIF('Mov_Analizados_Ene 26'!$H$10:$H$330,Resumen_Base!E272,'Mov_Analizados_Ene 26'!$I$10:$I$330)</f>
        <v>3580865.2</v>
      </c>
      <c r="M272" s="340">
        <f>+SUMIF('Mov_Analizados_Ene 26'!$H$10:$H$330,Resumen_Base!E272,'Mov_Analizados_Ene 26'!$J$10:$J$330)</f>
        <v>2316.8500000000004</v>
      </c>
      <c r="N272" s="682">
        <f>+SUMIF('Mov_Analizados_Ene 26'!$H$10:$H$330,Resumen_Base!E272,'Mov_Analizados_Ene 26'!$J$10:$J$330)-M272</f>
        <v>0</v>
      </c>
      <c r="O272" s="339">
        <f>+SUMIF('Mov_Analizados_Feb - Mar 26'!$H$10:$H$1378,Resumen_Base!E272,'Mov_Analizados_Feb - Mar 26'!$I$10:$I$1378)</f>
        <v>5608490.1000000006</v>
      </c>
      <c r="P272" s="340">
        <f>+SUMIF('Mov_Analizados_Feb - Mar 26'!$H$10:$H$1378,Resumen_Base!E272,'Mov_Analizados_Feb - Mar 26'!$J$10:$J$1378)</f>
        <v>7180.5690000000004</v>
      </c>
      <c r="R272" s="339">
        <f>+SUMIF('Mov_Analizados_Abr 26'!$I$10:$I$862,Resumen_Base!E272,'Mov_Analizados_Abr 26'!$J$10:$J$862)</f>
        <v>4586833.25</v>
      </c>
      <c r="S272" s="340">
        <f>+SUMIF('Mov_Analizados_Abr 26'!$I$10:$I$862,Resumen_Base!E272,'Mov_Analizados_Abr 26'!$K$10:$K$862)</f>
        <v>5453.3320256410252</v>
      </c>
      <c r="U272" s="339">
        <f>+SUMIF('Mov_Analizados_May 26'!$I$10:$I$1205,Resumen_Base!E272,'Mov_Analizados_May 26'!$J$10:$J$1205)</f>
        <v>7723178.4000000004</v>
      </c>
      <c r="V272" s="340">
        <f>+SUMIF('Mov_Analizados_May 26'!$I$10:$I$1205,Resumen_Base!E272,'Mov_Analizados_May 26'!$K$10:$K$1205)</f>
        <v>6911.7366666666667</v>
      </c>
      <c r="X272" s="339">
        <f t="shared" ca="1" si="15"/>
        <v>30424180.050000004</v>
      </c>
      <c r="Y272" s="340">
        <f t="shared" ca="1" si="16"/>
        <v>28129.297692307693</v>
      </c>
    </row>
    <row r="273" spans="1:25">
      <c r="A273" s="4" t="str">
        <f>+VLOOKUP(C273,'Plan Cuentas Link Armado'!$A$3:$D$105,4,0)</f>
        <v>Maintenance  Boats / Vehicles</v>
      </c>
      <c r="C273" s="4" t="s">
        <v>66</v>
      </c>
      <c r="D273" s="4" t="s">
        <v>67</v>
      </c>
      <c r="E273" s="4" t="s">
        <v>702</v>
      </c>
      <c r="G273" s="4" t="str">
        <f>+VLOOKUP(C273,'Plan Cuentas Link Armado'!$A$3:$D$105,4,0)</f>
        <v>Maintenance  Boats / Vehicles</v>
      </c>
      <c r="I273" s="339">
        <f ca="1">+SUMIF('Mov_Analizados_Sept25 - Dic25'!$H$10:$I$1038,Resumen_Base!E273,'Mov_Analizados_Sept25 - Dic25'!$I$10:$I$1038)</f>
        <v>336706.4</v>
      </c>
      <c r="J273" s="340">
        <f ca="1">+SUMIF('Mov_Analizados_Sept25 - Dic25'!$H$10:$J$1038,Resumen_Base!E273,'Mov_Analizados_Sept25 - Dic25'!$J$10:$J$1038)</f>
        <v>230.49</v>
      </c>
      <c r="L273" s="339">
        <f>+SUMIF('Mov_Analizados_Ene 26'!$H$10:$H$330,Resumen_Base!E273,'Mov_Analizados_Ene 26'!$I$10:$I$330)</f>
        <v>4711565.2</v>
      </c>
      <c r="M273" s="340">
        <f>+SUMIF('Mov_Analizados_Ene 26'!$H$10:$H$330,Resumen_Base!E273,'Mov_Analizados_Ene 26'!$J$10:$J$330)</f>
        <v>3183.49</v>
      </c>
      <c r="N273" s="682">
        <f>+SUMIF('Mov_Analizados_Ene 26'!$H$10:$H$330,Resumen_Base!E273,'Mov_Analizados_Ene 26'!$J$10:$J$330)-M273</f>
        <v>0</v>
      </c>
      <c r="O273" s="339">
        <f>+SUMIF('Mov_Analizados_Feb - Mar 26'!$H$10:$H$1378,Resumen_Base!E273,'Mov_Analizados_Feb - Mar 26'!$I$10:$I$1378)</f>
        <v>3634418.9</v>
      </c>
      <c r="P273" s="340">
        <f>+SUMIF('Mov_Analizados_Feb - Mar 26'!$H$10:$H$1378,Resumen_Base!E273,'Mov_Analizados_Feb - Mar 26'!$J$10:$J$1378)</f>
        <v>3315.4739999999997</v>
      </c>
      <c r="R273" s="339">
        <f>+SUMIF('Mov_Analizados_Abr 26'!$I$10:$I$862,Resumen_Base!E273,'Mov_Analizados_Abr 26'!$J$10:$J$862)</f>
        <v>2439051.9</v>
      </c>
      <c r="S273" s="340">
        <f>+SUMIF('Mov_Analizados_Abr 26'!$I$10:$I$862,Resumen_Base!E273,'Mov_Analizados_Abr 26'!$K$10:$K$862)</f>
        <v>1568.3921538461536</v>
      </c>
      <c r="U273" s="339">
        <f>+SUMIF('Mov_Analizados_May 26'!$I$10:$I$1205,Resumen_Base!E273,'Mov_Analizados_May 26'!$J$10:$J$1205)</f>
        <v>3393805.6</v>
      </c>
      <c r="V273" s="340">
        <f>+SUMIF('Mov_Analizados_May 26'!$I$10:$I$1205,Resumen_Base!E273,'Mov_Analizados_May 26'!$K$10:$K$1205)</f>
        <v>2177.3282051282054</v>
      </c>
      <c r="X273" s="339">
        <f t="shared" ca="1" si="15"/>
        <v>14515548</v>
      </c>
      <c r="Y273" s="340">
        <f t="shared" ca="1" si="16"/>
        <v>10475.174358974358</v>
      </c>
    </row>
    <row r="274" spans="1:25">
      <c r="A274" s="4" t="str">
        <f>+VLOOKUP(C274,'Plan Cuentas Link Armado'!$A$3:$D$105,4,0)</f>
        <v>Maintenance  Equipment</v>
      </c>
      <c r="C274" s="4" t="s">
        <v>31</v>
      </c>
      <c r="D274" s="4" t="s">
        <v>335</v>
      </c>
      <c r="E274" s="4" t="s">
        <v>703</v>
      </c>
      <c r="G274" s="4" t="str">
        <f>+VLOOKUP(C274,'Plan Cuentas Link Armado'!$A$3:$D$105,4,0)</f>
        <v>Maintenance  Equipment</v>
      </c>
      <c r="I274" s="339">
        <f ca="1">+SUMIF('Mov_Analizados_Sept25 - Dic25'!$H$10:$I$1038,Resumen_Base!E274,'Mov_Analizados_Sept25 - Dic25'!$I$10:$I$1038)</f>
        <v>8487167.8000000007</v>
      </c>
      <c r="J274" s="340">
        <f ca="1">+SUMIF('Mov_Analizados_Sept25 - Dic25'!$H$10:$J$1038,Resumen_Base!E274,'Mov_Analizados_Sept25 - Dic25'!$J$10:$J$1038)</f>
        <v>5975.34</v>
      </c>
      <c r="L274" s="339">
        <f>+SUMIF('Mov_Analizados_Ene 26'!$H$10:$H$330,Resumen_Base!E274,'Mov_Analizados_Ene 26'!$I$10:$I$330)</f>
        <v>2029820</v>
      </c>
      <c r="M274" s="340">
        <f>+SUMIF('Mov_Analizados_Ene 26'!$H$10:$H$330,Resumen_Base!E274,'Mov_Analizados_Ene 26'!$J$10:$J$330)</f>
        <v>1371.5</v>
      </c>
      <c r="N274" s="682">
        <f>+SUMIF('Mov_Analizados_Ene 26'!$H$10:$H$330,Resumen_Base!E274,'Mov_Analizados_Ene 26'!$J$10:$J$330)-M274</f>
        <v>0</v>
      </c>
      <c r="O274" s="339">
        <f>+SUMIF('Mov_Analizados_Feb - Mar 26'!$H$10:$H$1378,Resumen_Base!E274,'Mov_Analizados_Feb - Mar 26'!$I$10:$I$1378)</f>
        <v>648999.25</v>
      </c>
      <c r="P274" s="340">
        <f>+SUMIF('Mov_Analizados_Feb - Mar 26'!$H$10:$H$1378,Resumen_Base!E274,'Mov_Analizados_Feb - Mar 26'!$J$10:$J$1378)</f>
        <v>977.59000000000015</v>
      </c>
      <c r="R274" s="339">
        <f>+SUMIF('Mov_Analizados_Abr 26'!$I$10:$I$862,Resumen_Base!E274,'Mov_Analizados_Abr 26'!$J$10:$J$862)</f>
        <v>1006120.5</v>
      </c>
      <c r="S274" s="340">
        <f>+SUMIF('Mov_Analizados_Abr 26'!$I$10:$I$862,Resumen_Base!E274,'Mov_Analizados_Abr 26'!$K$10:$K$862)</f>
        <v>3910.69</v>
      </c>
      <c r="U274" s="339">
        <f>+SUMIF('Mov_Analizados_May 26'!$I$10:$I$1205,Resumen_Base!E274,'Mov_Analizados_May 26'!$J$10:$J$1205)</f>
        <v>8332938.3499999996</v>
      </c>
      <c r="V274" s="340">
        <f>+SUMIF('Mov_Analizados_May 26'!$I$10:$I$1205,Resumen_Base!E274,'Mov_Analizados_May 26'!$K$10:$K$1205)</f>
        <v>3566.3471794871784</v>
      </c>
      <c r="X274" s="339">
        <f t="shared" ca="1" si="15"/>
        <v>20505045.899999999</v>
      </c>
      <c r="Y274" s="340">
        <f t="shared" ca="1" si="16"/>
        <v>15801.467179487179</v>
      </c>
    </row>
    <row r="275" spans="1:25">
      <c r="A275" s="4" t="str">
        <f>+VLOOKUP(C275,'Plan Cuentas Link Armado'!$A$3:$D$105,4,0)</f>
        <v>Tips</v>
      </c>
      <c r="B275" s="346">
        <f ca="1">+Y275</f>
        <v>0</v>
      </c>
      <c r="C275" s="607" t="s">
        <v>668</v>
      </c>
      <c r="D275" s="597" t="s">
        <v>669</v>
      </c>
      <c r="E275" s="4" t="s">
        <v>738</v>
      </c>
      <c r="G275" s="4" t="str">
        <f>+VLOOKUP(C275,'Plan Cuentas Link Armado'!$A$3:$D$105,4,0)</f>
        <v>Tips</v>
      </c>
      <c r="I275" s="339">
        <f ca="1">+SUMIF('Mov_Analizados_Sept25 - Dic25'!$H$10:$I$1038,Resumen_Base!E275,'Mov_Analizados_Sept25 - Dic25'!$I$10:$I$1038)</f>
        <v>0</v>
      </c>
      <c r="J275" s="340">
        <f ca="1">+SUMIF('Mov_Analizados_Sept25 - Dic25'!$H$10:$J$1038,Resumen_Base!E275,'Mov_Analizados_Sept25 - Dic25'!$J$10:$J$1038)</f>
        <v>0</v>
      </c>
      <c r="L275" s="339">
        <f>+SUMIF('Mov_Analizados_Ene 26'!$H$10:$H$330,Resumen_Base!E275,'Mov_Analizados_Ene 26'!$I$10:$I$330)</f>
        <v>0</v>
      </c>
      <c r="M275" s="340">
        <f>+SUMIF('Mov_Analizados_Ene 26'!$H$10:$H$330,Resumen_Base!E275,'Mov_Analizados_Ene 26'!$J$10:$J$330)</f>
        <v>0</v>
      </c>
      <c r="N275" s="682">
        <f>+SUMIF('Mov_Analizados_Ene 26'!$H$10:$H$330,Resumen_Base!E275,'Mov_Analizados_Ene 26'!$J$10:$J$330)-M275</f>
        <v>0</v>
      </c>
      <c r="O275" s="339">
        <f>+SUMIF('Mov_Analizados_Feb - Mar 26'!$H$10:$H$1378,Resumen_Base!E275,'Mov_Analizados_Feb - Mar 26'!$I$10:$I$1378)</f>
        <v>0</v>
      </c>
      <c r="P275" s="340">
        <f>+SUMIF('Mov_Analizados_Feb - Mar 26'!$H$10:$H$1378,Resumen_Base!E275,'Mov_Analizados_Feb - Mar 26'!$J$10:$J$1378)</f>
        <v>0</v>
      </c>
      <c r="R275" s="339">
        <f>+SUMIF('Mov_Analizados_Abr 26'!$I$10:$I$862,Resumen_Base!E275,'Mov_Analizados_Abr 26'!$J$10:$J$862)</f>
        <v>0</v>
      </c>
      <c r="S275" s="340">
        <f>+SUMIF('Mov_Analizados_Abr 26'!$I$10:$I$862,Resumen_Base!E275,'Mov_Analizados_Abr 26'!$K$10:$K$862)</f>
        <v>0</v>
      </c>
      <c r="U275" s="339">
        <f>+SUMIF('Mov_Analizados_May 26'!$I$10:$I$1205,Resumen_Base!E275,'Mov_Analizados_May 26'!$J$10:$J$1205)</f>
        <v>0</v>
      </c>
      <c r="V275" s="340">
        <f>+SUMIF('Mov_Analizados_May 26'!$I$10:$I$1205,Resumen_Base!E275,'Mov_Analizados_May 26'!$K$10:$K$1205)</f>
        <v>0</v>
      </c>
      <c r="X275" s="339">
        <f t="shared" ca="1" si="15"/>
        <v>0</v>
      </c>
      <c r="Y275" s="340">
        <f t="shared" ca="1" si="16"/>
        <v>0</v>
      </c>
    </row>
    <row r="276" spans="1:25">
      <c r="A276" s="4" t="str">
        <f>+VLOOKUP(C276,'Plan Cuentas Link Armado'!$A$3:$D$105,4,0)</f>
        <v>Tips</v>
      </c>
      <c r="B276" s="346">
        <f ca="1">+Y276</f>
        <v>-213761.4999</v>
      </c>
      <c r="C276" s="607" t="s">
        <v>366</v>
      </c>
      <c r="D276" s="597" t="s">
        <v>367</v>
      </c>
      <c r="E276" s="4" t="s">
        <v>739</v>
      </c>
      <c r="G276" s="4" t="str">
        <f>+VLOOKUP(C276,'Plan Cuentas Link Armado'!$A$3:$D$105,4,0)</f>
        <v>Tips</v>
      </c>
      <c r="I276" s="339">
        <f ca="1">+SUMIF('Mov_Analizados_Sept25 - Dic25'!$H$10:$I$1038,Resumen_Base!E276,'Mov_Analizados_Sept25 - Dic25'!$I$10:$I$1038)</f>
        <v>-34991879.850000001</v>
      </c>
      <c r="J276" s="340">
        <f ca="1">+SUMIF('Mov_Analizados_Sept25 - Dic25'!$H$10:$J$1038,Resumen_Base!E276,'Mov_Analizados_Sept25 - Dic25'!$J$10:$J$1038)</f>
        <v>-23968.999899999999</v>
      </c>
      <c r="L276" s="339">
        <f>+SUMIF('Mov_Analizados_Ene 26'!$H$10:$H$330,Resumen_Base!E276,'Mov_Analizados_Ene 26'!$I$10:$I$330)</f>
        <v>-8613600</v>
      </c>
      <c r="M276" s="340">
        <f>+SUMIF('Mov_Analizados_Ene 26'!$H$10:$H$330,Resumen_Base!E276,'Mov_Analizados_Ene 26'!$J$10:$J$330)</f>
        <v>-5820</v>
      </c>
      <c r="N276" s="682">
        <f>+SUMIF('Mov_Analizados_Ene 26'!$H$10:$H$330,Resumen_Base!E276,'Mov_Analizados_Ene 26'!$J$10:$J$330)-M276</f>
        <v>0</v>
      </c>
      <c r="O276" s="339">
        <f>+SUMIF('Mov_Analizados_Feb - Mar 26'!$H$10:$H$1378,Resumen_Base!E276,'Mov_Analizados_Feb - Mar 26'!$I$10:$I$1378)</f>
        <v>-161301242.5</v>
      </c>
      <c r="P276" s="340">
        <f>+SUMIF('Mov_Analizados_Feb - Mar 26'!$H$10:$H$1378,Resumen_Base!E276,'Mov_Analizados_Feb - Mar 26'!$J$10:$J$1378)</f>
        <v>-113981</v>
      </c>
      <c r="R276" s="339">
        <f>+SUMIF('Mov_Analizados_Abr 26'!$I$10:$I$862,Resumen_Base!E276,'Mov_Analizados_Abr 26'!$J$10:$J$862)</f>
        <v>-51481307.5</v>
      </c>
      <c r="S276" s="340">
        <f>+SUMIF('Mov_Analizados_Abr 26'!$I$10:$I$862,Resumen_Base!E276,'Mov_Analizados_Abr 26'!$K$10:$K$862)</f>
        <v>-36641.5</v>
      </c>
      <c r="U276" s="339">
        <f>+SUMIF('Mov_Analizados_May 26'!$I$10:$I$1205,Resumen_Base!E276,'Mov_Analizados_May 26'!$J$10:$J$1205)</f>
        <v>-47020250</v>
      </c>
      <c r="V276" s="340">
        <f>+SUMIF('Mov_Analizados_May 26'!$I$10:$I$1205,Resumen_Base!E276,'Mov_Analizados_May 26'!$K$10:$K$1205)</f>
        <v>-33350</v>
      </c>
      <c r="X276" s="339">
        <f t="shared" ca="1" si="15"/>
        <v>-303408279.85000002</v>
      </c>
      <c r="Y276" s="340">
        <f t="shared" ca="1" si="16"/>
        <v>-213761.4999</v>
      </c>
    </row>
    <row r="277" spans="1:25">
      <c r="A277" s="4" t="str">
        <f>+VLOOKUP(C277,'Plan Cuentas Link Armado'!$A$3:$D$105,4,0)</f>
        <v>Baiting/Maize:</v>
      </c>
      <c r="C277" s="4" t="s">
        <v>238</v>
      </c>
      <c r="D277" s="4" t="s">
        <v>239</v>
      </c>
      <c r="E277" s="152" t="s">
        <v>772</v>
      </c>
      <c r="G277" s="4" t="str">
        <f>+VLOOKUP(C277,'Plan Cuentas Link Armado'!$A$3:$D$105,4,0)</f>
        <v>Baiting/Maize:</v>
      </c>
      <c r="I277" s="339">
        <f ca="1">+SUMIF('Mov_Analizados_Sept25 - Dic25'!$H$10:$I$1038,Resumen_Base!E277,'Mov_Analizados_Sept25 - Dic25'!$I$10:$I$1038)</f>
        <v>1867194</v>
      </c>
      <c r="J277" s="340">
        <f ca="1">+SUMIF('Mov_Analizados_Sept25 - Dic25'!$H$10:$J$1038,Resumen_Base!E277,'Mov_Analizados_Sept25 - Dic25'!$J$10:$J$1038)</f>
        <v>1278.9000000000001</v>
      </c>
      <c r="L277" s="339">
        <f>+SUMIF('Mov_Analizados_Ene 26'!$H$10:$H$330,Resumen_Base!E277,'Mov_Analizados_Ene 26'!$I$10:$I$330)</f>
        <v>0</v>
      </c>
      <c r="M277" s="340">
        <f>+SUMIF('Mov_Analizados_Ene 26'!$H$10:$H$330,Resumen_Base!E277,'Mov_Analizados_Ene 26'!$J$10:$J$330)</f>
        <v>0</v>
      </c>
      <c r="N277" s="682">
        <f>+SUMIF('Mov_Analizados_Ene 26'!$H$10:$H$330,Resumen_Base!E277,'Mov_Analizados_Ene 26'!$J$10:$J$330)-M277</f>
        <v>0</v>
      </c>
      <c r="O277" s="339">
        <f>+SUMIF('Mov_Analizados_Feb - Mar 26'!$H$10:$H$1378,Resumen_Base!E277,'Mov_Analizados_Feb - Mar 26'!$I$10:$I$1378)</f>
        <v>0</v>
      </c>
      <c r="P277" s="340">
        <f>+SUMIF('Mov_Analizados_Feb - Mar 26'!$H$10:$H$1378,Resumen_Base!E277,'Mov_Analizados_Feb - Mar 26'!$J$10:$J$1378)</f>
        <v>0</v>
      </c>
      <c r="R277" s="339">
        <f>+SUMIF('Mov_Analizados_Abr 26'!$I$10:$I$862,Resumen_Base!E277,'Mov_Analizados_Abr 26'!$J$10:$J$862)</f>
        <v>1860163.7999999998</v>
      </c>
      <c r="S277" s="340">
        <f>+SUMIF('Mov_Analizados_Abr 26'!$I$10:$I$862,Resumen_Base!E277,'Mov_Analizados_Abr 26'!$K$10:$K$862)</f>
        <v>1323.96</v>
      </c>
      <c r="U277" s="339">
        <f>+SUMIF('Mov_Analizados_May 26'!$I$10:$I$1205,Resumen_Base!E277,'Mov_Analizados_May 26'!$J$10:$J$1205)</f>
        <v>918209.65</v>
      </c>
      <c r="V277" s="340">
        <f>+SUMIF('Mov_Analizados_May 26'!$I$10:$I$1205,Resumen_Base!E277,'Mov_Analizados_May 26'!$K$10:$K$1205)</f>
        <v>653.53</v>
      </c>
      <c r="X277" s="339">
        <f t="shared" ca="1" si="15"/>
        <v>4645567.45</v>
      </c>
      <c r="Y277" s="340">
        <f t="shared" ca="1" si="16"/>
        <v>3256.3900000000003</v>
      </c>
    </row>
    <row r="278" spans="1:25">
      <c r="A278" s="4" t="str">
        <f>+VLOOKUP(C278,'Plan Cuentas Link Armado'!$A$3:$D$105,4,0)</f>
        <v>Vehicles Taxes</v>
      </c>
      <c r="C278" s="607" t="s">
        <v>29</v>
      </c>
      <c r="D278" s="597" t="s">
        <v>474</v>
      </c>
      <c r="E278" s="152" t="s">
        <v>775</v>
      </c>
      <c r="G278" s="4" t="str">
        <f>+VLOOKUP(C278,'Plan Cuentas Link Armado'!$A$3:$D$105,4,0)</f>
        <v>Vehicles Taxes</v>
      </c>
      <c r="I278" s="339">
        <f ca="1">+SUMIF('Mov_Analizados_Sept25 - Dic25'!$H$10:$I$1038,Resumen_Base!E278,'Mov_Analizados_Sept25 - Dic25'!$I$10:$I$1038)</f>
        <v>1655795.6999999997</v>
      </c>
      <c r="J278" s="340">
        <f ca="1">+SUMIF('Mov_Analizados_Sept25 - Dic25'!$H$10:$J$1038,Resumen_Base!E278,'Mov_Analizados_Sept25 - Dic25'!$J$10:$J$1038)</f>
        <v>1183.47</v>
      </c>
      <c r="L278" s="339">
        <f>+SUMIF('Mov_Analizados_Ene 26'!$H$10:$H$330,Resumen_Base!E278,'Mov_Analizados_Ene 26'!$I$10:$I$330)</f>
        <v>0</v>
      </c>
      <c r="M278" s="340">
        <f>+SUMIF('Mov_Analizados_Ene 26'!$H$10:$H$330,Resumen_Base!E278,'Mov_Analizados_Ene 26'!$J$10:$J$330)</f>
        <v>0</v>
      </c>
      <c r="N278" s="682">
        <f>+SUMIF('Mov_Analizados_Ene 26'!$H$10:$H$330,Resumen_Base!E278,'Mov_Analizados_Ene 26'!$J$10:$J$330)-M278</f>
        <v>0</v>
      </c>
      <c r="O278" s="339">
        <f>+SUMIF('Mov_Analizados_Feb - Mar 26'!$H$10:$H$1378,Resumen_Base!E278,'Mov_Analizados_Feb - Mar 26'!$I$10:$I$1378)</f>
        <v>0</v>
      </c>
      <c r="P278" s="340">
        <f>+SUMIF('Mov_Analizados_Feb - Mar 26'!$H$10:$H$1378,Resumen_Base!E278,'Mov_Analizados_Feb - Mar 26'!$J$10:$J$1378)</f>
        <v>0</v>
      </c>
      <c r="R278" s="339">
        <f>+SUMIF('Mov_Analizados_Abr 26'!$I$10:$I$862,Resumen_Base!E278,'Mov_Analizados_Abr 26'!$J$10:$J$862)</f>
        <v>0</v>
      </c>
      <c r="S278" s="340">
        <f>+SUMIF('Mov_Analizados_Abr 26'!$I$10:$I$862,Resumen_Base!E278,'Mov_Analizados_Abr 26'!$K$10:$K$862)</f>
        <v>0</v>
      </c>
      <c r="U278" s="339">
        <f>+SUMIF('Mov_Analizados_May 26'!$I$10:$I$1205,Resumen_Base!E278,'Mov_Analizados_May 26'!$J$10:$J$1205)</f>
        <v>0</v>
      </c>
      <c r="V278" s="340">
        <f>+SUMIF('Mov_Analizados_May 26'!$I$10:$I$1205,Resumen_Base!E278,'Mov_Analizados_May 26'!$K$10:$K$1205)</f>
        <v>0</v>
      </c>
      <c r="X278" s="339">
        <f t="shared" ca="1" si="15"/>
        <v>1655795.6999999997</v>
      </c>
      <c r="Y278" s="340">
        <f t="shared" ca="1" si="16"/>
        <v>1183.47</v>
      </c>
    </row>
    <row r="279" spans="1:25">
      <c r="A279" s="4" t="str">
        <f>+VLOOKUP(C279,'Plan Cuentas Link Armado'!$A$3:$D$105,4,0)</f>
        <v>Vehicles Taxes</v>
      </c>
      <c r="C279" s="607" t="s">
        <v>318</v>
      </c>
      <c r="D279" s="597" t="s">
        <v>319</v>
      </c>
      <c r="E279" s="152" t="s">
        <v>2763</v>
      </c>
      <c r="G279" s="4" t="str">
        <f>+VLOOKUP(C279,'Plan Cuentas Link Armado'!$A$3:$D$105,4,0)</f>
        <v>Vehicles Taxes</v>
      </c>
      <c r="I279" s="339">
        <f ca="1">+SUMIF('Mov_Analizados_Sept25 - Dic25'!$H$10:$I$1038,Resumen_Base!E279,'Mov_Analizados_Sept25 - Dic25'!$I$10:$I$1038)</f>
        <v>5810228.2000000002</v>
      </c>
      <c r="J279" s="340">
        <f ca="1">+SUMIF('Mov_Analizados_Sept25 - Dic25'!$H$10:$J$1038,Resumen_Base!E279,'Mov_Analizados_Sept25 - Dic25'!$J$10:$J$1038)</f>
        <v>4091.71</v>
      </c>
      <c r="L279" s="339">
        <f>+SUMIF('Mov_Analizados_Ene 26'!$H$10:$H$330,Resumen_Base!E279,'Mov_Analizados_Ene 26'!$I$10:$I$330)</f>
        <v>0</v>
      </c>
      <c r="M279" s="340">
        <f>+SUMIF('Mov_Analizados_Ene 26'!$H$10:$H$330,Resumen_Base!E279,'Mov_Analizados_Ene 26'!$J$10:$J$330)</f>
        <v>0</v>
      </c>
      <c r="N279" s="682">
        <f>+SUMIF('Mov_Analizados_Ene 26'!$H$10:$H$330,Resumen_Base!E279,'Mov_Analizados_Ene 26'!$J$10:$J$330)-M279</f>
        <v>0</v>
      </c>
      <c r="O279" s="339">
        <f>+SUMIF('Mov_Analizados_Feb - Mar 26'!$H$10:$H$1378,Resumen_Base!E279,'Mov_Analizados_Feb - Mar 26'!$I$10:$I$1378)</f>
        <v>8151032.9000000004</v>
      </c>
      <c r="P279" s="340">
        <f>+SUMIF('Mov_Analizados_Feb - Mar 26'!$H$10:$H$1378,Resumen_Base!E279,'Mov_Analizados_Feb - Mar 26'!$J$10:$J$1378)</f>
        <v>5730.66</v>
      </c>
      <c r="R279" s="339">
        <f>+SUMIF('Mov_Analizados_Abr 26'!$I$10:$I$862,Resumen_Base!E279,'Mov_Analizados_Abr 26'!$J$10:$J$862)</f>
        <v>0</v>
      </c>
      <c r="S279" s="340">
        <f>+SUMIF('Mov_Analizados_Abr 26'!$I$10:$I$862,Resumen_Base!E279,'Mov_Analizados_Abr 26'!$K$10:$K$862)</f>
        <v>0</v>
      </c>
      <c r="U279" s="339">
        <f>+SUMIF('Mov_Analizados_May 26'!$I$10:$I$1205,Resumen_Base!E279,'Mov_Analizados_May 26'!$J$10:$J$1205)</f>
        <v>0</v>
      </c>
      <c r="V279" s="340">
        <f>+SUMIF('Mov_Analizados_May 26'!$I$10:$I$1205,Resumen_Base!E279,'Mov_Analizados_May 26'!$K$10:$K$1205)</f>
        <v>0</v>
      </c>
      <c r="X279" s="339">
        <f t="shared" ca="1" si="15"/>
        <v>13961261.100000001</v>
      </c>
      <c r="Y279" s="340">
        <f t="shared" ca="1" si="16"/>
        <v>9822.369999999999</v>
      </c>
    </row>
    <row r="280" spans="1:25">
      <c r="A280" s="4" t="str">
        <f>+VLOOKUP(C280,'Plan Cuentas Link Armado'!$A$3:$D$105,4,0)</f>
        <v>Social Security Contributions</v>
      </c>
      <c r="C280" s="607" t="s">
        <v>331</v>
      </c>
      <c r="D280" s="597" t="s">
        <v>332</v>
      </c>
      <c r="E280" s="152" t="s">
        <v>2764</v>
      </c>
      <c r="G280" s="4" t="str">
        <f>+VLOOKUP(C280,'Plan Cuentas Link Armado'!$A$3:$D$105,4,0)</f>
        <v>Social Security Contributions</v>
      </c>
      <c r="I280" s="339">
        <f ca="1">+SUMIF('Mov_Analizados_Sept25 - Dic25'!$H$10:$I$1038,Resumen_Base!E280,'Mov_Analizados_Sept25 - Dic25'!$I$10:$I$1038)</f>
        <v>2775400.6000000006</v>
      </c>
      <c r="J280" s="340">
        <f ca="1">+SUMIF('Mov_Analizados_Sept25 - Dic25'!$H$10:$J$1038,Resumen_Base!E280,'Mov_Analizados_Sept25 - Dic25'!$J$10:$J$1038)</f>
        <v>1875.2899999999997</v>
      </c>
      <c r="L280" s="339">
        <f>+SUMIF('Mov_Analizados_Ene 26'!$H$10:$H$330,Resumen_Base!E280,'Mov_Analizados_Ene 26'!$I$10:$I$330)</f>
        <v>0</v>
      </c>
      <c r="M280" s="340">
        <f>+SUMIF('Mov_Analizados_Ene 26'!$H$10:$H$330,Resumen_Base!E280,'Mov_Analizados_Ene 26'!$J$10:$J$330)</f>
        <v>0</v>
      </c>
      <c r="N280" s="682">
        <f>+SUMIF('Mov_Analizados_Ene 26'!$H$10:$H$330,Resumen_Base!E280,'Mov_Analizados_Ene 26'!$J$10:$J$330)-M280</f>
        <v>0</v>
      </c>
      <c r="O280" s="339">
        <f>+SUMIF('Mov_Analizados_Feb - Mar 26'!$H$10:$H$1378,Resumen_Base!E280,'Mov_Analizados_Feb - Mar 26'!$I$10:$I$1378)</f>
        <v>1733750.85</v>
      </c>
      <c r="P280" s="340">
        <f>+SUMIF('Mov_Analizados_Feb - Mar 26'!$H$10:$H$1378,Resumen_Base!E280,'Mov_Analizados_Feb - Mar 26'!$J$10:$J$1378)</f>
        <v>2218.04</v>
      </c>
      <c r="R280" s="339">
        <f>+SUMIF('Mov_Analizados_Abr 26'!$I$10:$I$862,Resumen_Base!E280,'Mov_Analizados_Abr 26'!$J$10:$J$862)</f>
        <v>1400433.75</v>
      </c>
      <c r="S280" s="340">
        <f>+SUMIF('Mov_Analizados_Abr 26'!$I$10:$I$862,Resumen_Base!E280,'Mov_Analizados_Abr 26'!$K$10:$K$862)</f>
        <v>1064.1794871794871</v>
      </c>
      <c r="U280" s="339">
        <f>+SUMIF('Mov_Analizados_May 26'!$I$10:$I$1205,Resumen_Base!E280,'Mov_Analizados_May 26'!$J$10:$J$1205)</f>
        <v>2442929.7000000002</v>
      </c>
      <c r="V280" s="340">
        <f>+SUMIF('Mov_Analizados_May 26'!$I$10:$I$1205,Resumen_Base!E280,'Mov_Analizados_May 26'!$K$10:$K$1205)</f>
        <v>1401.3469230769233</v>
      </c>
      <c r="X280" s="339">
        <f t="shared" ca="1" si="15"/>
        <v>8352514.9000000013</v>
      </c>
      <c r="Y280" s="340">
        <f t="shared" ca="1" si="16"/>
        <v>6558.8564102564105</v>
      </c>
    </row>
    <row r="281" spans="1:25">
      <c r="A281" s="4" t="str">
        <f>+VLOOKUP(C281,'Plan Cuentas Link Armado'!$A$3:$D$105,4,0)</f>
        <v>Electricity - Gas for Boats &amp; Vehicles</v>
      </c>
      <c r="C281" s="607" t="s">
        <v>163</v>
      </c>
      <c r="D281" s="597" t="s">
        <v>164</v>
      </c>
      <c r="E281" s="152" t="s">
        <v>2765</v>
      </c>
      <c r="G281" s="4" t="str">
        <f>+VLOOKUP(C281,'Plan Cuentas Link Armado'!$A$3:$D$105,4,0)</f>
        <v>Electricity - Gas for Boats &amp; Vehicles</v>
      </c>
      <c r="I281" s="339">
        <f ca="1">+SUMIF('Mov_Analizados_Sept25 - Dic25'!$H$10:$I$1038,Resumen_Base!E281,'Mov_Analizados_Sept25 - Dic25'!$I$10:$I$1038)</f>
        <v>267180</v>
      </c>
      <c r="J281" s="340">
        <f ca="1">+SUMIF('Mov_Analizados_Sept25 - Dic25'!$H$10:$J$1038,Resumen_Base!E281,'Mov_Analizados_Sept25 - Dic25'!$J$10:$J$1038)</f>
        <v>178.12</v>
      </c>
      <c r="L281" s="339">
        <f>+SUMIF('Mov_Analizados_Ene 26'!$H$10:$H$330,Resumen_Base!E281,'Mov_Analizados_Ene 26'!$I$10:$I$330)</f>
        <v>175819.2</v>
      </c>
      <c r="M281" s="340">
        <f>+SUMIF('Mov_Analizados_Ene 26'!$H$10:$H$330,Resumen_Base!E281,'Mov_Analizados_Ene 26'!$J$10:$J$330)</f>
        <v>118.97</v>
      </c>
      <c r="N281" s="682">
        <f>+SUMIF('Mov_Analizados_Ene 26'!$H$10:$H$330,Resumen_Base!E281,'Mov_Analizados_Ene 26'!$J$10:$J$330)-M281</f>
        <v>0</v>
      </c>
      <c r="O281" s="339">
        <f>+SUMIF('Mov_Analizados_Feb - Mar 26'!$H$10:$H$1378,Resumen_Base!E281,'Mov_Analizados_Feb - Mar 26'!$I$10:$I$1378)</f>
        <v>0</v>
      </c>
      <c r="P281" s="340">
        <f>+SUMIF('Mov_Analizados_Feb - Mar 26'!$H$10:$H$1378,Resumen_Base!E281,'Mov_Analizados_Feb - Mar 26'!$J$10:$J$1378)</f>
        <v>0</v>
      </c>
      <c r="R281" s="339">
        <f>+SUMIF('Mov_Analizados_Abr 26'!$I$10:$I$862,Resumen_Base!E281,'Mov_Analizados_Abr 26'!$J$10:$J$862)</f>
        <v>0</v>
      </c>
      <c r="S281" s="340">
        <f>+SUMIF('Mov_Analizados_Abr 26'!$I$10:$I$862,Resumen_Base!E281,'Mov_Analizados_Abr 26'!$K$10:$K$862)</f>
        <v>0</v>
      </c>
      <c r="U281" s="339">
        <f>+SUMIF('Mov_Analizados_May 26'!$I$10:$I$1205,Resumen_Base!E281,'Mov_Analizados_May 26'!$J$10:$J$1205)</f>
        <v>0</v>
      </c>
      <c r="V281" s="340">
        <f>+SUMIF('Mov_Analizados_May 26'!$I$10:$I$1205,Resumen_Base!E281,'Mov_Analizados_May 26'!$K$10:$K$1205)</f>
        <v>0</v>
      </c>
      <c r="X281" s="339">
        <f t="shared" ca="1" si="15"/>
        <v>442999.2</v>
      </c>
      <c r="Y281" s="340">
        <f t="shared" ca="1" si="16"/>
        <v>297.09000000000003</v>
      </c>
    </row>
    <row r="282" spans="1:25" ht="14.5">
      <c r="A282" s="4" t="s">
        <v>419</v>
      </c>
      <c r="C282" s="686" t="s">
        <v>777</v>
      </c>
      <c r="D282" s="681" t="s">
        <v>778</v>
      </c>
      <c r="E282" s="152" t="s">
        <v>2768</v>
      </c>
      <c r="G282" s="4" t="s">
        <v>419</v>
      </c>
      <c r="I282" s="339">
        <f ca="1">+SUMIF('Mov_Analizados_Sept25 - Dic25'!$H$10:$I$1038,Resumen_Base!E282,'Mov_Analizados_Sept25 - Dic25'!$I$10:$I$1038)</f>
        <v>2871325.1</v>
      </c>
      <c r="J282" s="340">
        <f ca="1">+SUMIF('Mov_Analizados_Sept25 - Dic25'!$H$10:$J$1038,Resumen_Base!E282,'Mov_Analizados_Sept25 - Dic25'!$J$10:$J$1038)</f>
        <v>2020.1800000000003</v>
      </c>
      <c r="L282" s="339">
        <f>+SUMIF('Mov_Analizados_Ene 26'!$H$10:$H$330,Resumen_Base!E282,'Mov_Analizados_Ene 26'!$I$10:$I$330)</f>
        <v>0</v>
      </c>
      <c r="M282" s="340">
        <f>+SUMIF('Mov_Analizados_Ene 26'!$H$10:$H$330,Resumen_Base!E282,'Mov_Analizados_Ene 26'!$J$10:$J$330)</f>
        <v>0</v>
      </c>
      <c r="N282" s="682">
        <f>+SUMIF('Mov_Analizados_Ene 26'!$H$10:$H$330,Resumen_Base!E282,'Mov_Analizados_Ene 26'!$J$10:$J$330)-M282</f>
        <v>0</v>
      </c>
      <c r="O282" s="339">
        <f>+SUMIF('Mov_Analizados_Feb - Mar 26'!$H$10:$H$1378,Resumen_Base!E282,'Mov_Analizados_Feb - Mar 26'!$I$10:$I$1378)</f>
        <v>85705</v>
      </c>
      <c r="P282" s="340">
        <f>+SUMIF('Mov_Analizados_Feb - Mar 26'!$H$10:$H$1378,Resumen_Base!E282,'Mov_Analizados_Feb - Mar 26'!$J$10:$J$1378)</f>
        <v>61</v>
      </c>
      <c r="R282" s="339">
        <f>+SUMIF('Mov_Analizados_Abr 26'!$I$10:$I$862,Resumen_Base!E282,'Mov_Analizados_Abr 26'!$J$10:$J$862)</f>
        <v>85705</v>
      </c>
      <c r="S282" s="340">
        <f>+SUMIF('Mov_Analizados_Abr 26'!$I$10:$I$862,Resumen_Base!E282,'Mov_Analizados_Abr 26'!$K$10:$K$862)</f>
        <v>61</v>
      </c>
      <c r="U282" s="339">
        <f>+SUMIF('Mov_Analizados_May 26'!$I$10:$I$1205,Resumen_Base!E282,'Mov_Analizados_May 26'!$J$10:$J$1205)</f>
        <v>578719.5</v>
      </c>
      <c r="V282" s="340">
        <f>+SUMIF('Mov_Analizados_May 26'!$I$10:$I$1205,Resumen_Base!E282,'Mov_Analizados_May 26'!$K$10:$K$1205)</f>
        <v>411.90000000000003</v>
      </c>
      <c r="X282" s="339">
        <f t="shared" ca="1" si="15"/>
        <v>3621454.6</v>
      </c>
      <c r="Y282" s="340">
        <f t="shared" ca="1" si="16"/>
        <v>2554.0800000000004</v>
      </c>
    </row>
    <row r="283" spans="1:25">
      <c r="A283" s="4" t="str">
        <f>+VLOOKUP(C283,'Plan Cuentas Link Armado'!$A$3:$D$105,4,0)</f>
        <v>Baiting/Maize:</v>
      </c>
      <c r="C283" s="666" t="s">
        <v>265</v>
      </c>
      <c r="D283" s="667" t="s">
        <v>266</v>
      </c>
      <c r="E283" s="152" t="s">
        <v>2818</v>
      </c>
      <c r="F283" s="152" t="s">
        <v>77</v>
      </c>
      <c r="G283" s="4" t="str">
        <f>+VLOOKUP(C283,'Plan Cuentas Link Armado'!$A$3:$D$105,4,0)</f>
        <v>Baiting/Maize:</v>
      </c>
      <c r="I283" s="339">
        <f ca="1">+SUMIF('Mov_Analizados_Sept25 - Dic25'!$H$10:$I$1051,Resumen_Base!E283,'Mov_Analizados_Sept25 - Dic25'!$I$10:$I$1051)</f>
        <v>1813198</v>
      </c>
      <c r="J283" s="340">
        <f ca="1">+SUMIF('Mov_Analizados_Sept25 - Dic25'!$H$10:$J$1051,Resumen_Base!E283,'Mov_Analizados_Sept25 - Dic25'!$J$10:$J$1051)</f>
        <v>1276.9000000000001</v>
      </c>
      <c r="L283" s="339">
        <f>+SUMIF('Mov_Analizados_Ene 26'!$H$10:$H$330,Resumen_Base!E283,'Mov_Analizados_Ene 26'!$I$10:$I$330)</f>
        <v>0</v>
      </c>
      <c r="M283" s="340">
        <f>+SUMIF('Mov_Analizados_Ene 26'!$H$10:$H$330,Resumen_Base!E283,'Mov_Analizados_Ene 26'!$J$10:$J$330)</f>
        <v>0</v>
      </c>
      <c r="O283" s="339">
        <f>+SUMIF('Mov_Analizados_Feb - Mar 26'!$H$10:$H$1378,Resumen_Base!E283,'Mov_Analizados_Feb - Mar 26'!$I$10:$I$1378)</f>
        <v>0</v>
      </c>
      <c r="P283" s="340">
        <f>+SUMIF('Mov_Analizados_Feb - Mar 26'!$H$10:$H$1378,Resumen_Base!E283,'Mov_Analizados_Feb - Mar 26'!$J$10:$J$1378)</f>
        <v>0</v>
      </c>
      <c r="R283" s="339">
        <f>+SUMIF('Mov_Analizados_Abr 26'!$I$10:$I$862,Resumen_Base!E283,'Mov_Analizados_Abr 26'!$J$10:$J$862)</f>
        <v>0</v>
      </c>
      <c r="S283" s="340">
        <f>+SUMIF('Mov_Analizados_Abr 26'!$I$10:$I$862,Resumen_Base!E283,'Mov_Analizados_Abr 26'!$K$10:$K$862)</f>
        <v>0</v>
      </c>
      <c r="U283" s="339">
        <f>+SUMIF('Mov_Analizados_May 26'!$I$10:$I$1205,Resumen_Base!E283,'Mov_Analizados_May 26'!$J$10:$J$1205)</f>
        <v>0</v>
      </c>
      <c r="V283" s="340">
        <f>+SUMIF('Mov_Analizados_May 26'!$I$10:$I$1205,Resumen_Base!E283,'Mov_Analizados_May 26'!$K$10:$K$1205)</f>
        <v>0</v>
      </c>
      <c r="X283" s="339">
        <f t="shared" ca="1" si="15"/>
        <v>1813198</v>
      </c>
      <c r="Y283" s="340">
        <f t="shared" ca="1" si="16"/>
        <v>1276.9000000000001</v>
      </c>
    </row>
    <row r="284" spans="1:25">
      <c r="A284" s="4" t="str">
        <f>+VLOOKUP(C284,'Plan Cuentas Link Armado'!$A$3:$D$105,4,0)</f>
        <v>Maintenance Lodge</v>
      </c>
      <c r="C284" s="308" t="s">
        <v>236</v>
      </c>
      <c r="D284" s="4" t="s">
        <v>237</v>
      </c>
      <c r="E284" s="152" t="s">
        <v>2819</v>
      </c>
      <c r="F284" s="152" t="s">
        <v>77</v>
      </c>
      <c r="G284" s="4" t="str">
        <f>+VLOOKUP(C284,'Plan Cuentas Link Armado'!$A$3:$D$105,4,0)</f>
        <v>Maintenance Lodge</v>
      </c>
      <c r="I284" s="339">
        <f ca="1">+SUMIF('Mov_Analizados_Sept25 - Dic25'!$H$10:$I$1051,Resumen_Base!E284,'Mov_Analizados_Sept25 - Dic25'!$I$10:$I$1051)</f>
        <v>1093738.3999999999</v>
      </c>
      <c r="J284" s="340">
        <f ca="1">+SUMIF('Mov_Analizados_Sept25 - Dic25'!$H$10:$J$1051,Resumen_Base!E284,'Mov_Analizados_Sept25 - Dic25'!$J$10:$J$1051)</f>
        <v>764.5</v>
      </c>
      <c r="L284" s="339">
        <f>+SUMIF('Mov_Analizados_Ene 26'!$H$10:$H$330,Resumen_Base!E284,'Mov_Analizados_Ene 26'!$I$10:$I$330)</f>
        <v>22140.799999999999</v>
      </c>
      <c r="M284" s="340">
        <f>+SUMIF('Mov_Analizados_Ene 26'!$H$10:$H$330,Resumen_Base!E284,'Mov_Analizados_Ene 26'!$J$10:$J$330)</f>
        <v>14.96</v>
      </c>
      <c r="O284" s="339">
        <f>+SUMIF('Mov_Analizados_Feb - Mar 26'!$H$10:$H$1378,Resumen_Base!E284,'Mov_Analizados_Feb - Mar 26'!$I$10:$I$1378)</f>
        <v>0</v>
      </c>
      <c r="P284" s="340">
        <f>+SUMIF('Mov_Analizados_Feb - Mar 26'!$H$10:$H$1378,Resumen_Base!E284,'Mov_Analizados_Feb - Mar 26'!$J$10:$J$1378)</f>
        <v>0</v>
      </c>
      <c r="R284" s="339">
        <f>+SUMIF('Mov_Analizados_Abr 26'!$I$10:$I$862,Resumen_Base!E284,'Mov_Analizados_Abr 26'!$J$10:$J$862)</f>
        <v>0</v>
      </c>
      <c r="S284" s="340">
        <f>+SUMIF('Mov_Analizados_Abr 26'!$I$10:$I$862,Resumen_Base!E284,'Mov_Analizados_Abr 26'!$K$10:$K$862)</f>
        <v>0</v>
      </c>
      <c r="U284" s="339">
        <f>+SUMIF('Mov_Analizados_May 26'!$I$10:$I$1205,Resumen_Base!E284,'Mov_Analizados_May 26'!$J$10:$J$1205)</f>
        <v>0</v>
      </c>
      <c r="V284" s="340">
        <f>+SUMIF('Mov_Analizados_May 26'!$I$10:$I$1205,Resumen_Base!E284,'Mov_Analizados_May 26'!$K$10:$K$1205)</f>
        <v>0</v>
      </c>
      <c r="X284" s="339">
        <f t="shared" ca="1" si="15"/>
        <v>1115879.2</v>
      </c>
      <c r="Y284" s="340">
        <f t="shared" ca="1" si="16"/>
        <v>779.46</v>
      </c>
    </row>
    <row r="285" spans="1:25">
      <c r="E285" s="152"/>
      <c r="J285" s="340"/>
      <c r="M285" s="340"/>
      <c r="N285" s="682"/>
      <c r="P285" s="340"/>
      <c r="S285" s="340"/>
      <c r="V285" s="340"/>
      <c r="Y285" s="340"/>
    </row>
    <row r="286" spans="1:25" ht="13" thickBot="1"/>
    <row r="287" spans="1:25" s="345" customFormat="1" ht="13" thickBot="1">
      <c r="A287" s="616" t="s">
        <v>84</v>
      </c>
      <c r="B287" s="616"/>
      <c r="C287" s="616" t="s">
        <v>84</v>
      </c>
      <c r="D287" s="616" t="s">
        <v>84</v>
      </c>
      <c r="E287" s="616" t="s">
        <v>84</v>
      </c>
      <c r="F287" s="616" t="s">
        <v>84</v>
      </c>
      <c r="G287" s="616" t="s">
        <v>84</v>
      </c>
      <c r="H287" s="616" t="s">
        <v>84</v>
      </c>
      <c r="I287" s="616" t="s">
        <v>84</v>
      </c>
      <c r="J287" s="616" t="s">
        <v>84</v>
      </c>
      <c r="K287" s="616" t="s">
        <v>84</v>
      </c>
      <c r="L287" s="616" t="s">
        <v>84</v>
      </c>
      <c r="M287" s="616" t="s">
        <v>84</v>
      </c>
      <c r="N287" s="616" t="s">
        <v>84</v>
      </c>
      <c r="O287" s="616" t="s">
        <v>84</v>
      </c>
      <c r="P287" s="616" t="s">
        <v>84</v>
      </c>
      <c r="Q287" s="616" t="s">
        <v>84</v>
      </c>
      <c r="R287" s="616" t="s">
        <v>84</v>
      </c>
      <c r="S287" s="616" t="s">
        <v>84</v>
      </c>
      <c r="T287" s="616" t="s">
        <v>84</v>
      </c>
      <c r="U287" s="616" t="s">
        <v>84</v>
      </c>
      <c r="V287" s="616" t="s">
        <v>84</v>
      </c>
      <c r="W287" s="616" t="s">
        <v>84</v>
      </c>
      <c r="X287" s="616" t="s">
        <v>84</v>
      </c>
      <c r="Y287" s="616" t="s">
        <v>84</v>
      </c>
    </row>
  </sheetData>
  <autoFilter ref="A5:Y287">
    <filterColumn colId="19"/>
    <filterColumn colId="20"/>
    <filterColumn colId="21"/>
  </autoFilter>
  <mergeCells count="12">
    <mergeCell ref="X4:Y4"/>
    <mergeCell ref="X6:Y6"/>
    <mergeCell ref="R4:S4"/>
    <mergeCell ref="U4:V4"/>
    <mergeCell ref="U6:V6"/>
    <mergeCell ref="R6:S6"/>
    <mergeCell ref="I6:J6"/>
    <mergeCell ref="L6:M6"/>
    <mergeCell ref="O6:P6"/>
    <mergeCell ref="L4:M4"/>
    <mergeCell ref="I4:J4"/>
    <mergeCell ref="O4:P4"/>
  </mergeCells>
  <phoneticPr fontId="25" type="noConversion"/>
  <conditionalFormatting sqref="D1">
    <cfRule type="cellIs" dxfId="184" priority="1" stopIfTrue="1" operator="equal">
      <formula>"Check"</formula>
    </cfRule>
  </conditionalFormatting>
  <pageMargins left="0.75" right="0.75" top="1" bottom="1" header="0.3" footer="0.3"/>
  <pageSetup paperSize="9" orientation="portrait" r:id="rId1"/>
</worksheet>
</file>

<file path=xl/worksheets/sheet21.xml><?xml version="1.0" encoding="utf-8"?>
<worksheet xmlns="http://schemas.openxmlformats.org/spreadsheetml/2006/main" xmlns:r="http://schemas.openxmlformats.org/officeDocument/2006/relationships">
  <sheetPr codeName="Hoja5">
    <tabColor rgb="FFFFFF00"/>
    <pageSetUpPr fitToPage="1"/>
  </sheetPr>
  <dimension ref="A1:BA64"/>
  <sheetViews>
    <sheetView view="pageBreakPreview" zoomScale="55" zoomScaleNormal="70" zoomScaleSheetLayoutView="55" workbookViewId="0">
      <selection activeCell="AS33" sqref="AS33"/>
    </sheetView>
  </sheetViews>
  <sheetFormatPr baseColWidth="10" defaultColWidth="8.81640625" defaultRowHeight="13"/>
  <cols>
    <col min="1" max="1" width="13.81640625" style="16" bestFit="1" customWidth="1"/>
    <col min="2" max="2" width="8.36328125" style="16" bestFit="1" customWidth="1"/>
    <col min="3" max="3" width="13.81640625" style="395" bestFit="1" customWidth="1"/>
    <col min="4" max="4" width="61.36328125" style="349" bestFit="1" customWidth="1"/>
    <col min="5" max="5" width="6.6328125" style="14" bestFit="1" customWidth="1"/>
    <col min="6" max="6" width="14.6328125" style="16" customWidth="1"/>
    <col min="7" max="7" width="18.36328125" style="16" customWidth="1"/>
    <col min="8" max="8" width="13.36328125" style="16" customWidth="1"/>
    <col min="9" max="9" width="16.6328125" style="16" customWidth="1"/>
    <col min="10" max="10" width="42.36328125" style="95" customWidth="1"/>
    <col min="11" max="11" width="6.36328125" style="16" customWidth="1"/>
    <col min="12" max="12" width="14.6328125" style="16" customWidth="1"/>
    <col min="13" max="13" width="18.36328125" style="16" customWidth="1"/>
    <col min="14" max="14" width="12.1796875" style="16" customWidth="1"/>
    <col min="15" max="15" width="16.6328125" style="16" customWidth="1"/>
    <col min="16" max="16" width="36.453125" style="95" customWidth="1"/>
    <col min="17" max="17" width="9.453125" style="16" bestFit="1" customWidth="1"/>
    <col min="18" max="18" width="14.6328125" style="16" bestFit="1" customWidth="1"/>
    <col min="19" max="19" width="18.36328125" style="16" bestFit="1" customWidth="1"/>
    <col min="20" max="20" width="12.1796875" style="16" bestFit="1" customWidth="1"/>
    <col min="21" max="21" width="16.6328125" style="16" bestFit="1" customWidth="1"/>
    <col min="22" max="22" width="42.08984375" style="16" customWidth="1"/>
    <col min="23" max="23" width="7.453125" style="16" bestFit="1" customWidth="1"/>
    <col min="24" max="24" width="16.1796875" style="16" customWidth="1"/>
    <col min="25" max="25" width="18.36328125" style="16" customWidth="1"/>
    <col min="26" max="26" width="16.1796875" style="16" customWidth="1"/>
    <col min="27" max="27" width="16.6328125" style="16" customWidth="1"/>
    <col min="28" max="28" width="36.453125" style="16" customWidth="1"/>
    <col min="29" max="29" width="6.36328125" style="625" customWidth="1"/>
    <col min="30" max="30" width="2" style="14" customWidth="1"/>
    <col min="31" max="31" width="5.1796875" style="14" customWidth="1"/>
    <col min="32" max="39" width="10" style="16" customWidth="1"/>
    <col min="40" max="41" width="5.453125" style="16" customWidth="1"/>
    <col min="42" max="42" width="3.1796875" style="16" customWidth="1"/>
    <col min="43" max="43" width="10.453125" style="16" bestFit="1" customWidth="1"/>
    <col min="44" max="45" width="9.1796875" style="16" bestFit="1" customWidth="1"/>
    <col min="46" max="46" width="3.1796875" style="16" customWidth="1"/>
    <col min="47" max="47" width="10.453125" style="16" bestFit="1" customWidth="1"/>
    <col min="48" max="49" width="9.1796875" style="16" bestFit="1" customWidth="1"/>
    <col min="50" max="50" width="3.1796875" style="16" customWidth="1"/>
    <col min="51" max="51" width="10.453125" style="16" bestFit="1" customWidth="1"/>
    <col min="52" max="52" width="12.6328125" style="16" bestFit="1" customWidth="1"/>
    <col min="53" max="53" width="7" style="16" bestFit="1" customWidth="1"/>
    <col min="54" max="54" width="3.1796875" style="16" customWidth="1"/>
    <col min="55" max="16384" width="8.81640625" style="16"/>
  </cols>
  <sheetData>
    <row r="1" spans="1:53" s="532" customFormat="1" ht="3.5">
      <c r="C1" s="585"/>
      <c r="D1" s="531"/>
      <c r="E1" s="531"/>
      <c r="F1" s="531"/>
      <c r="G1" s="531"/>
      <c r="H1" s="531"/>
      <c r="I1" s="531"/>
      <c r="J1" s="531"/>
      <c r="K1" s="531"/>
      <c r="L1" s="531"/>
      <c r="M1" s="531"/>
      <c r="N1" s="531"/>
      <c r="O1" s="531"/>
      <c r="P1" s="531"/>
      <c r="Q1" s="531"/>
      <c r="R1" s="531"/>
      <c r="S1" s="531"/>
      <c r="T1" s="531"/>
      <c r="U1" s="531"/>
      <c r="V1" s="531"/>
      <c r="W1" s="531"/>
      <c r="X1" s="531"/>
      <c r="Y1" s="531"/>
      <c r="Z1" s="531"/>
      <c r="AA1" s="531"/>
      <c r="AB1" s="531"/>
      <c r="AC1" s="624"/>
      <c r="AD1" s="531"/>
      <c r="AE1" s="531"/>
    </row>
    <row r="2" spans="1:53" ht="23">
      <c r="D2" s="533" t="s">
        <v>436</v>
      </c>
      <c r="O2" s="20"/>
      <c r="P2" s="655"/>
      <c r="Q2" s="20"/>
      <c r="R2" s="20"/>
      <c r="S2" s="20"/>
      <c r="T2" s="20"/>
      <c r="U2" s="20"/>
      <c r="V2" s="20"/>
      <c r="W2" s="20"/>
      <c r="X2" s="20"/>
      <c r="Y2" s="20"/>
      <c r="Z2" s="20"/>
      <c r="AA2" s="20"/>
      <c r="AB2" s="20"/>
    </row>
    <row r="3" spans="1:53" ht="23">
      <c r="A3" s="20" t="str">
        <f ca="1">IF(ROUND($A$8,2)=0,"ok","Check")</f>
        <v>ok</v>
      </c>
      <c r="C3" s="680" t="str">
        <f ca="1">+Z3</f>
        <v>ok</v>
      </c>
      <c r="D3" s="535" t="s">
        <v>2769</v>
      </c>
      <c r="E3" s="533"/>
      <c r="F3" s="20" t="str">
        <f>IF(ROUND(F62,2)=0,"ok","Check")</f>
        <v>ok</v>
      </c>
      <c r="G3" s="20"/>
      <c r="H3" s="20"/>
      <c r="I3" s="20"/>
      <c r="J3" s="655"/>
      <c r="K3" s="20"/>
      <c r="L3" s="20" t="str">
        <f>IF(ROUND(L62,2)=0,"ok","Check")</f>
        <v>ok</v>
      </c>
      <c r="M3" s="20"/>
      <c r="N3" s="20"/>
      <c r="O3" s="20"/>
      <c r="P3" s="655"/>
      <c r="Q3" s="20"/>
      <c r="R3" s="20" t="str">
        <f ca="1">IF(ROUND(R62,2)=0,"ok","Check")</f>
        <v>ok</v>
      </c>
      <c r="S3" s="20"/>
      <c r="T3" s="20"/>
      <c r="U3" s="20"/>
      <c r="V3" s="20"/>
      <c r="W3" s="20"/>
      <c r="X3" s="20" t="str">
        <f ca="1">IF(ROUND(X62,2)=0,"ok","Check")</f>
        <v>ok</v>
      </c>
      <c r="Y3" s="20"/>
      <c r="Z3" s="20" t="str">
        <f ca="1">IF(ROUND(Z62,2)=0,"ok","Check")</f>
        <v>ok</v>
      </c>
      <c r="AA3" s="20"/>
      <c r="AB3" s="20"/>
      <c r="AC3" s="626"/>
      <c r="AD3" s="18"/>
      <c r="AE3" s="18"/>
    </row>
    <row r="4" spans="1:53" s="49" customFormat="1" ht="4.5" thickBot="1">
      <c r="C4" s="586"/>
      <c r="D4" s="536"/>
      <c r="E4" s="88"/>
      <c r="J4" s="98"/>
      <c r="P4" s="98"/>
      <c r="AC4" s="627"/>
      <c r="AD4" s="88"/>
      <c r="AE4" s="88"/>
    </row>
    <row r="5" spans="1:53" s="26" customFormat="1" ht="35.5" customHeight="1" thickBot="1">
      <c r="C5" s="587"/>
      <c r="D5" s="537" t="s">
        <v>382</v>
      </c>
      <c r="E5" s="24"/>
      <c r="F5" s="895" t="s">
        <v>720</v>
      </c>
      <c r="G5" s="890"/>
      <c r="H5" s="890"/>
      <c r="I5" s="890"/>
      <c r="J5" s="890"/>
      <c r="K5" s="890"/>
      <c r="L5" s="890"/>
      <c r="M5" s="890"/>
      <c r="N5" s="890"/>
      <c r="O5" s="890"/>
      <c r="P5" s="890"/>
      <c r="Q5" s="890"/>
      <c r="R5" s="890"/>
      <c r="S5" s="890"/>
      <c r="T5" s="890"/>
      <c r="U5" s="890"/>
      <c r="V5" s="890"/>
      <c r="W5" s="890"/>
      <c r="X5" s="890"/>
      <c r="Y5" s="890"/>
      <c r="Z5" s="890"/>
      <c r="AA5" s="890"/>
      <c r="AB5" s="890"/>
      <c r="AC5" s="896"/>
      <c r="AD5" s="24"/>
      <c r="AE5" s="24"/>
      <c r="AQ5" s="889" t="s">
        <v>726</v>
      </c>
      <c r="AR5" s="890"/>
      <c r="AS5" s="891"/>
      <c r="AU5" s="889" t="s">
        <v>728</v>
      </c>
      <c r="AV5" s="890"/>
      <c r="AW5" s="891"/>
      <c r="AY5" s="889" t="s">
        <v>730</v>
      </c>
      <c r="AZ5" s="890"/>
      <c r="BA5" s="891"/>
    </row>
    <row r="6" spans="1:53" ht="16" thickBot="1">
      <c r="D6" s="538"/>
      <c r="E6" s="27"/>
      <c r="F6" s="892" t="s">
        <v>384</v>
      </c>
      <c r="G6" s="893"/>
      <c r="H6" s="893"/>
      <c r="I6" s="893"/>
      <c r="J6" s="893"/>
      <c r="K6" s="893"/>
      <c r="L6" s="893"/>
      <c r="M6" s="893"/>
      <c r="N6" s="893"/>
      <c r="O6" s="893"/>
      <c r="P6" s="893"/>
      <c r="Q6" s="893"/>
      <c r="R6" s="893"/>
      <c r="S6" s="893"/>
      <c r="T6" s="893"/>
      <c r="U6" s="893"/>
      <c r="V6" s="893"/>
      <c r="W6" s="893"/>
      <c r="X6" s="893"/>
      <c r="Y6" s="893"/>
      <c r="Z6" s="893"/>
      <c r="AA6" s="893"/>
      <c r="AB6" s="893"/>
      <c r="AC6" s="897"/>
      <c r="AD6" s="27"/>
      <c r="AE6" s="27"/>
      <c r="AQ6" s="892"/>
      <c r="AR6" s="893"/>
      <c r="AS6" s="894"/>
      <c r="AU6" s="892"/>
      <c r="AV6" s="893"/>
      <c r="AW6" s="894"/>
      <c r="AY6" s="892"/>
      <c r="AZ6" s="893"/>
      <c r="BA6" s="894"/>
    </row>
    <row r="7" spans="1:53" ht="52.5" thickBot="1">
      <c r="A7" s="478" t="s">
        <v>431</v>
      </c>
      <c r="C7" s="395" t="s">
        <v>423</v>
      </c>
      <c r="D7" s="540" t="s">
        <v>386</v>
      </c>
      <c r="E7" s="18"/>
      <c r="F7" s="593" t="s">
        <v>705</v>
      </c>
      <c r="G7" s="32" t="s">
        <v>706</v>
      </c>
      <c r="H7" s="32" t="s">
        <v>707</v>
      </c>
      <c r="I7" s="32" t="s">
        <v>708</v>
      </c>
      <c r="J7" s="594" t="s">
        <v>709</v>
      </c>
      <c r="K7" s="32"/>
      <c r="L7" s="593" t="s">
        <v>710</v>
      </c>
      <c r="M7" s="32" t="s">
        <v>711</v>
      </c>
      <c r="N7" s="32" t="s">
        <v>712</v>
      </c>
      <c r="O7" s="32" t="s">
        <v>713</v>
      </c>
      <c r="P7" s="594" t="s">
        <v>714</v>
      </c>
      <c r="Q7" s="31"/>
      <c r="R7" s="593" t="s">
        <v>715</v>
      </c>
      <c r="S7" s="32" t="s">
        <v>716</v>
      </c>
      <c r="T7" s="32" t="s">
        <v>717</v>
      </c>
      <c r="U7" s="32" t="s">
        <v>718</v>
      </c>
      <c r="V7" s="594" t="s">
        <v>719</v>
      </c>
      <c r="W7" s="31"/>
      <c r="X7" s="593" t="s">
        <v>721</v>
      </c>
      <c r="Y7" s="32" t="s">
        <v>722</v>
      </c>
      <c r="Z7" s="32" t="s">
        <v>723</v>
      </c>
      <c r="AA7" s="32" t="s">
        <v>724</v>
      </c>
      <c r="AB7" s="594" t="s">
        <v>725</v>
      </c>
      <c r="AC7" s="628"/>
      <c r="AD7" s="18"/>
      <c r="AE7" s="18"/>
      <c r="AQ7" s="32" t="s">
        <v>705</v>
      </c>
      <c r="AR7" s="32" t="s">
        <v>707</v>
      </c>
      <c r="AS7" s="32" t="s">
        <v>727</v>
      </c>
      <c r="AU7" s="32" t="s">
        <v>710</v>
      </c>
      <c r="AV7" s="32" t="s">
        <v>712</v>
      </c>
      <c r="AW7" s="32" t="s">
        <v>729</v>
      </c>
      <c r="AY7" s="32" t="s">
        <v>715</v>
      </c>
      <c r="AZ7" s="32" t="s">
        <v>717</v>
      </c>
      <c r="BA7" s="32" t="s">
        <v>731</v>
      </c>
    </row>
    <row r="8" spans="1:53">
      <c r="A8" s="16">
        <f ca="1">+SUM(A9:A60)</f>
        <v>0</v>
      </c>
      <c r="C8" s="591"/>
      <c r="D8" s="541" t="s">
        <v>95</v>
      </c>
      <c r="E8" s="38"/>
      <c r="F8" s="36">
        <v>400</v>
      </c>
      <c r="G8" s="36">
        <f>+H8</f>
        <v>150</v>
      </c>
      <c r="H8" s="665">
        <f>+'SAN JUAN LODGE'!J3</f>
        <v>150</v>
      </c>
      <c r="I8" s="36"/>
      <c r="J8" s="656"/>
      <c r="K8" s="36"/>
      <c r="L8" s="36">
        <v>0</v>
      </c>
      <c r="M8" s="36">
        <f>+N8</f>
        <v>0</v>
      </c>
      <c r="N8" s="665">
        <v>0</v>
      </c>
      <c r="O8" s="36"/>
      <c r="P8" s="656"/>
      <c r="Q8" s="36"/>
      <c r="R8" s="36">
        <v>1529</v>
      </c>
      <c r="S8" s="36">
        <f>+T8</f>
        <v>1061</v>
      </c>
      <c r="T8" s="665">
        <f>+'CARMELO LODGE'!J5</f>
        <v>1061</v>
      </c>
      <c r="U8" s="36"/>
      <c r="V8" s="36"/>
      <c r="W8" s="36"/>
      <c r="X8" s="36">
        <f t="shared" ref="X8:Z9" si="0">+F8+L8+R8</f>
        <v>1929</v>
      </c>
      <c r="Y8" s="36">
        <f t="shared" si="0"/>
        <v>1211</v>
      </c>
      <c r="Z8" s="36">
        <f t="shared" si="0"/>
        <v>1211</v>
      </c>
      <c r="AA8" s="36"/>
      <c r="AB8" s="36"/>
      <c r="AC8" s="36"/>
      <c r="AD8" s="38"/>
      <c r="AE8" s="33"/>
      <c r="AQ8" s="36">
        <f t="shared" ref="AQ8:AR10" si="1">+F8</f>
        <v>400</v>
      </c>
      <c r="AR8" s="36">
        <f t="shared" si="1"/>
        <v>150</v>
      </c>
      <c r="AS8" s="629">
        <f>+AR8/AQ8</f>
        <v>0.375</v>
      </c>
      <c r="AU8" s="36">
        <f>+L8</f>
        <v>0</v>
      </c>
      <c r="AV8" s="36">
        <f>+N8</f>
        <v>0</v>
      </c>
      <c r="AW8" s="629" t="e">
        <f>+AV8/AU8</f>
        <v>#DIV/0!</v>
      </c>
      <c r="AY8" s="36">
        <f>+R8</f>
        <v>1529</v>
      </c>
      <c r="AZ8" s="36">
        <f>+T8</f>
        <v>1061</v>
      </c>
      <c r="BA8" s="629">
        <f>+AZ8/AY8</f>
        <v>0.6939175931981687</v>
      </c>
    </row>
    <row r="9" spans="1:53">
      <c r="D9" s="541" t="s">
        <v>96</v>
      </c>
      <c r="E9" s="38"/>
      <c r="F9" s="36">
        <f>ROUND(F8/4,0)</f>
        <v>100</v>
      </c>
      <c r="G9" s="36">
        <f>+H9</f>
        <v>40</v>
      </c>
      <c r="H9" s="665">
        <f>+'SAN JUAN LODGE'!G3</f>
        <v>40</v>
      </c>
      <c r="I9" s="36"/>
      <c r="J9" s="656"/>
      <c r="K9" s="36"/>
      <c r="L9" s="36">
        <f>ROUND(L8/4,0)</f>
        <v>0</v>
      </c>
      <c r="M9" s="36">
        <f>+N9</f>
        <v>0</v>
      </c>
      <c r="N9" s="665">
        <v>0</v>
      </c>
      <c r="O9" s="36"/>
      <c r="P9" s="656"/>
      <c r="Q9" s="36"/>
      <c r="R9" s="36">
        <f>ROUND(R8/3,0)</f>
        <v>510</v>
      </c>
      <c r="S9" s="36">
        <f>+T9</f>
        <v>295</v>
      </c>
      <c r="T9" s="665">
        <f>+'CARMELO LODGE'!G5</f>
        <v>295</v>
      </c>
      <c r="U9" s="36"/>
      <c r="V9" s="36"/>
      <c r="W9" s="36"/>
      <c r="X9" s="36">
        <f t="shared" si="0"/>
        <v>610</v>
      </c>
      <c r="Y9" s="36">
        <f t="shared" si="0"/>
        <v>335</v>
      </c>
      <c r="Z9" s="36">
        <f t="shared" si="0"/>
        <v>335</v>
      </c>
      <c r="AA9" s="36"/>
      <c r="AB9" s="36"/>
      <c r="AC9" s="36"/>
      <c r="AD9" s="38"/>
      <c r="AE9" s="33"/>
      <c r="AQ9" s="36">
        <f t="shared" si="1"/>
        <v>100</v>
      </c>
      <c r="AR9" s="36">
        <f t="shared" si="1"/>
        <v>40</v>
      </c>
      <c r="AS9" s="629">
        <f>+AR9/AQ9</f>
        <v>0.4</v>
      </c>
      <c r="AU9" s="36">
        <f>+L9</f>
        <v>0</v>
      </c>
      <c r="AV9" s="36">
        <f>+N9</f>
        <v>0</v>
      </c>
      <c r="AW9" s="629" t="e">
        <f>+AV9/AU9</f>
        <v>#DIV/0!</v>
      </c>
      <c r="AY9" s="36">
        <f>+R9</f>
        <v>510</v>
      </c>
      <c r="AZ9" s="36">
        <f>+T9</f>
        <v>295</v>
      </c>
      <c r="BA9" s="629">
        <f>+AZ9/AY9</f>
        <v>0.57843137254901966</v>
      </c>
    </row>
    <row r="10" spans="1:53" ht="13.5" thickBot="1">
      <c r="D10" s="541" t="s">
        <v>204</v>
      </c>
      <c r="E10" s="38"/>
      <c r="F10" s="36">
        <v>12</v>
      </c>
      <c r="G10" s="36">
        <f>+H10</f>
        <v>9</v>
      </c>
      <c r="H10" s="36">
        <v>9</v>
      </c>
      <c r="I10" s="36"/>
      <c r="J10" s="656"/>
      <c r="K10" s="629">
        <f>IF(ROUND(H10,0)=0,0,IF(F10=0,0,+H10/F10))</f>
        <v>0.75</v>
      </c>
      <c r="L10" s="36">
        <f>+F10</f>
        <v>12</v>
      </c>
      <c r="M10" s="36">
        <f>+G10</f>
        <v>9</v>
      </c>
      <c r="N10" s="36">
        <f>+H10</f>
        <v>9</v>
      </c>
      <c r="O10" s="36"/>
      <c r="P10" s="656"/>
      <c r="Q10" s="629">
        <f>IF(ROUND(N10,0)=0,0,IF(L10=0,0,+N10/L10))</f>
        <v>0.75</v>
      </c>
      <c r="R10" s="36">
        <v>12</v>
      </c>
      <c r="S10" s="36">
        <f>+T10</f>
        <v>9</v>
      </c>
      <c r="T10" s="36">
        <f>+N10</f>
        <v>9</v>
      </c>
      <c r="U10" s="36"/>
      <c r="V10" s="36"/>
      <c r="W10" s="629">
        <f>IF(ROUND(T10,0)=0,0,IF(R10=0,0,+T10/R10))</f>
        <v>0.75</v>
      </c>
      <c r="X10" s="36">
        <f>+F10</f>
        <v>12</v>
      </c>
      <c r="Y10" s="36">
        <f>+G10</f>
        <v>9</v>
      </c>
      <c r="Z10" s="36">
        <f>+H10</f>
        <v>9</v>
      </c>
      <c r="AA10" s="36"/>
      <c r="AB10" s="36"/>
      <c r="AC10" s="629">
        <f>IF(ROUND(Z10,0)=0,0,IF(X10=0,0,+Z10/X10))</f>
        <v>0.75</v>
      </c>
      <c r="AD10" s="38"/>
      <c r="AE10" s="33"/>
      <c r="AF10" s="16" t="s">
        <v>421</v>
      </c>
      <c r="AQ10" s="36">
        <f t="shared" si="1"/>
        <v>12</v>
      </c>
      <c r="AR10" s="36">
        <f t="shared" si="1"/>
        <v>9</v>
      </c>
      <c r="AS10" s="629">
        <f>+AR10/AQ10</f>
        <v>0.75</v>
      </c>
      <c r="AU10" s="36">
        <f>+L10</f>
        <v>12</v>
      </c>
      <c r="AV10" s="36">
        <f>+N10</f>
        <v>9</v>
      </c>
      <c r="AW10" s="629">
        <f>+AV10/AU10</f>
        <v>0.75</v>
      </c>
      <c r="AY10" s="36">
        <f>+R10</f>
        <v>12</v>
      </c>
      <c r="AZ10" s="36">
        <f>+T10</f>
        <v>9</v>
      </c>
      <c r="BA10" s="629">
        <f>+AZ10/AY10</f>
        <v>0.75</v>
      </c>
    </row>
    <row r="11" spans="1:53" ht="13.5" thickBot="1">
      <c r="D11" s="542" t="s">
        <v>387</v>
      </c>
      <c r="E11" s="41"/>
      <c r="F11" s="32"/>
      <c r="G11" s="32"/>
      <c r="H11" s="32"/>
      <c r="I11" s="32"/>
      <c r="J11" s="32"/>
      <c r="K11" s="32"/>
      <c r="L11" s="32"/>
      <c r="M11" s="32"/>
      <c r="N11" s="32"/>
      <c r="O11" s="32"/>
      <c r="P11" s="32"/>
      <c r="Q11" s="32"/>
      <c r="R11" s="32"/>
      <c r="S11" s="32"/>
      <c r="T11" s="32"/>
      <c r="U11" s="32"/>
      <c r="V11" s="32"/>
      <c r="W11" s="32"/>
      <c r="X11" s="32"/>
      <c r="Y11" s="32"/>
      <c r="Z11" s="32"/>
      <c r="AA11" s="32"/>
      <c r="AB11" s="32"/>
      <c r="AC11" s="32"/>
      <c r="AD11" s="41"/>
      <c r="AE11" s="18"/>
      <c r="AF11" s="597"/>
      <c r="AG11" s="597"/>
      <c r="AH11" s="597"/>
      <c r="AI11" s="597"/>
      <c r="AJ11" s="597"/>
      <c r="AK11" s="597"/>
      <c r="AL11" s="597"/>
      <c r="AM11" s="597"/>
      <c r="AN11" s="597"/>
      <c r="AO11" s="597"/>
      <c r="AQ11" s="32"/>
      <c r="AR11" s="32"/>
      <c r="AS11" s="32"/>
      <c r="AU11" s="32"/>
      <c r="AV11" s="32"/>
      <c r="AW11" s="32"/>
      <c r="AY11" s="32"/>
      <c r="AZ11" s="32"/>
      <c r="BA11" s="32"/>
    </row>
    <row r="12" spans="1:53" s="49" customFormat="1" ht="12.5">
      <c r="C12" s="586"/>
      <c r="D12" s="543"/>
      <c r="E12" s="544"/>
      <c r="F12" s="545"/>
      <c r="G12" s="545"/>
      <c r="H12" s="545"/>
      <c r="I12" s="545"/>
      <c r="J12" s="657"/>
      <c r="K12" s="545"/>
      <c r="L12" s="545"/>
      <c r="M12" s="545"/>
      <c r="N12" s="545"/>
      <c r="O12" s="545"/>
      <c r="P12" s="657"/>
      <c r="Q12" s="545"/>
      <c r="R12" s="545"/>
      <c r="S12" s="545"/>
      <c r="T12" s="545"/>
      <c r="U12" s="545"/>
      <c r="V12" s="545"/>
      <c r="W12" s="545"/>
      <c r="X12" s="545"/>
      <c r="Y12" s="545"/>
      <c r="Z12" s="545"/>
      <c r="AA12" s="545"/>
      <c r="AB12" s="545"/>
      <c r="AC12" s="545"/>
      <c r="AD12" s="544"/>
      <c r="AE12" s="634"/>
      <c r="AF12" s="597"/>
      <c r="AG12" s="597"/>
      <c r="AH12" s="597"/>
      <c r="AI12" s="597"/>
      <c r="AJ12" s="597"/>
      <c r="AK12" s="597"/>
      <c r="AL12" s="597"/>
      <c r="AM12" s="597"/>
      <c r="AN12" s="597"/>
      <c r="AO12" s="597"/>
      <c r="AQ12" s="545"/>
      <c r="AR12" s="545"/>
      <c r="AS12" s="545"/>
      <c r="AU12" s="545"/>
      <c r="AV12" s="545"/>
      <c r="AW12" s="545"/>
      <c r="AY12" s="545"/>
      <c r="AZ12" s="545"/>
      <c r="BA12" s="545"/>
    </row>
    <row r="13" spans="1:53">
      <c r="D13" s="562" t="s">
        <v>388</v>
      </c>
      <c r="E13" s="563"/>
      <c r="F13" s="71"/>
      <c r="G13" s="71"/>
      <c r="H13" s="71"/>
      <c r="I13" s="71"/>
      <c r="J13" s="658"/>
      <c r="K13" s="71"/>
      <c r="L13" s="71"/>
      <c r="M13" s="71"/>
      <c r="N13" s="71"/>
      <c r="O13" s="71"/>
      <c r="P13" s="658"/>
      <c r="Q13" s="71"/>
      <c r="R13" s="71"/>
      <c r="S13" s="71"/>
      <c r="T13" s="71"/>
      <c r="U13" s="71"/>
      <c r="V13" s="71"/>
      <c r="W13" s="71"/>
      <c r="X13" s="71"/>
      <c r="Y13" s="71"/>
      <c r="Z13" s="71"/>
      <c r="AA13" s="71"/>
      <c r="AB13" s="71"/>
      <c r="AC13" s="71"/>
      <c r="AD13" s="563"/>
      <c r="AE13" s="635"/>
      <c r="AF13" s="597"/>
      <c r="AG13" s="597"/>
      <c r="AH13" s="597"/>
      <c r="AI13" s="597"/>
      <c r="AJ13" s="597"/>
      <c r="AK13" s="597"/>
      <c r="AL13" s="597"/>
      <c r="AM13" s="597"/>
      <c r="AN13" s="597"/>
      <c r="AO13" s="597"/>
      <c r="AQ13" s="71"/>
      <c r="AR13" s="71"/>
      <c r="AS13" s="71"/>
      <c r="AU13" s="71"/>
      <c r="AV13" s="71"/>
      <c r="AW13" s="71"/>
      <c r="AY13" s="71"/>
      <c r="AZ13" s="71"/>
      <c r="BA13" s="71"/>
    </row>
    <row r="14" spans="1:53" s="548" customFormat="1">
      <c r="C14" s="591" t="s">
        <v>98</v>
      </c>
      <c r="D14" s="564" t="s">
        <v>158</v>
      </c>
      <c r="E14" s="546"/>
      <c r="F14" s="547">
        <f>+$F$8*12</f>
        <v>4800</v>
      </c>
      <c r="G14" s="547">
        <f>IF(C14="Acumulado",IF(H14&gt;F14,F14,H14),IF(C14="BN",+(F14/$F$8*$G$8),"VER"))</f>
        <v>1800</v>
      </c>
      <c r="H14" s="547">
        <f ca="1">-SUMIF(Resumen_Base!$A$28:$A$91,'Budget Comparativo'!D14,Resumen_Base!$Y$28:$Y$91)</f>
        <v>1372</v>
      </c>
      <c r="I14" s="547">
        <f ca="1">+H14-G14</f>
        <v>-428</v>
      </c>
      <c r="J14" s="658"/>
      <c r="K14" s="547"/>
      <c r="L14" s="547">
        <f>+$L$8*6</f>
        <v>0</v>
      </c>
      <c r="M14" s="547">
        <f>IF(L14=0,0,IF(C14="Acumulado",IF(N14&gt;L14,L14,N14),IF(C14="BN",+(L14/$L$8*$M$8),"VER")))</f>
        <v>0</v>
      </c>
      <c r="N14" s="547">
        <f ca="1">-SUMIF(Resumen_Base!$A$94:$A$156,'Budget Comparativo'!D14,Resumen_Base!$Y$94:$Y$156)</f>
        <v>0</v>
      </c>
      <c r="O14" s="547">
        <f ca="1">+N14-M14</f>
        <v>0</v>
      </c>
      <c r="P14" s="658"/>
      <c r="Q14" s="547"/>
      <c r="R14" s="547">
        <f>+$R$8*10</f>
        <v>15290</v>
      </c>
      <c r="S14" s="547">
        <f>IF(C14="Acumulado",IF(T14&gt;R14,R14,T14),IF(C14="BN",+(R14/$R$8*$S$8),"VER"))</f>
        <v>10610</v>
      </c>
      <c r="T14" s="547">
        <f ca="1">-SUMIF(Resumen_Base!$A$221:$A$287,'Budget Comparativo'!D14,Resumen_Base!$Y$221:$Y$287)</f>
        <v>12780</v>
      </c>
      <c r="U14" s="547">
        <f ca="1">+T14-S14</f>
        <v>2170</v>
      </c>
      <c r="V14" s="547"/>
      <c r="W14" s="547"/>
      <c r="X14" s="547">
        <f t="shared" ref="X14:Z16" si="2">+F14+L14+R14</f>
        <v>20090</v>
      </c>
      <c r="Y14" s="547">
        <f t="shared" si="2"/>
        <v>12410</v>
      </c>
      <c r="Z14" s="547">
        <f t="shared" ca="1" si="2"/>
        <v>14152</v>
      </c>
      <c r="AA14" s="547">
        <f ca="1">+Z14-Y14</f>
        <v>1742</v>
      </c>
      <c r="AB14" s="547"/>
      <c r="AC14" s="547"/>
      <c r="AD14" s="546"/>
      <c r="AF14" s="597">
        <v>4104</v>
      </c>
      <c r="AG14" s="597"/>
      <c r="AH14" s="597"/>
      <c r="AI14" s="597"/>
      <c r="AJ14" s="597"/>
      <c r="AK14" s="597"/>
      <c r="AL14" s="597"/>
      <c r="AM14" s="597"/>
      <c r="AN14" s="597"/>
      <c r="AO14" s="597"/>
      <c r="AQ14" s="36">
        <f>+F14/$AQ$8</f>
        <v>12</v>
      </c>
      <c r="AR14" s="36">
        <f ca="1">+H14/$AR$8</f>
        <v>9.1466666666666665</v>
      </c>
      <c r="AS14" s="547">
        <f ca="1">+AR14-AQ14</f>
        <v>-2.8533333333333335</v>
      </c>
      <c r="AU14" s="36" t="e">
        <f>+L14/$AU$8</f>
        <v>#DIV/0!</v>
      </c>
      <c r="AV14" s="36" t="e">
        <f ca="1">+N14/$AV$8</f>
        <v>#DIV/0!</v>
      </c>
      <c r="AW14" s="547" t="e">
        <f ca="1">+AV14-AU14</f>
        <v>#DIV/0!</v>
      </c>
      <c r="AY14" s="36">
        <f>+R14/$R$8</f>
        <v>10</v>
      </c>
      <c r="AZ14" s="36">
        <f ca="1">+T14/$AZ$8</f>
        <v>12.045240339302545</v>
      </c>
      <c r="BA14" s="547">
        <f ca="1">+AZ14-AY14</f>
        <v>2.0452403393025449</v>
      </c>
    </row>
    <row r="15" spans="1:53" s="548" customFormat="1">
      <c r="C15" s="591" t="s">
        <v>98</v>
      </c>
      <c r="D15" s="565" t="s">
        <v>389</v>
      </c>
      <c r="E15" s="546"/>
      <c r="F15" s="547">
        <v>3000</v>
      </c>
      <c r="G15" s="547">
        <f>IF(C15="Acumulado",IF(H15&gt;F15,F15,H15),IF(C15="BN",+(F15/$F$8*$G$8),"VER"))</f>
        <v>1125</v>
      </c>
      <c r="H15" s="547">
        <f ca="1">-SUMIF(Resumen_Base!$A$28:$A$91,'Budget Comparativo'!D15,Resumen_Base!$Y$28:$Y$91)-'Stock - Deudas'!$F$12</f>
        <v>4447.9399999999996</v>
      </c>
      <c r="I15" s="547">
        <f ca="1">+H15-G15</f>
        <v>3322.9399999999996</v>
      </c>
      <c r="J15" s="622"/>
      <c r="K15" s="547"/>
      <c r="L15" s="547">
        <v>0</v>
      </c>
      <c r="M15" s="547">
        <f>IF(L15=0,0,IF(C15="Acumulado",IF(N15&gt;L15,L15,N15),IF(C15="BN",+(L15/$L$8*$M$8),"VER")))</f>
        <v>0</v>
      </c>
      <c r="N15" s="547">
        <f ca="1">-SUMIF(Resumen_Base!$A$94:$A$156,'Budget Comparativo'!D15,Resumen_Base!$Y$94:$Y$156)-'Stock - Deudas'!$L$12</f>
        <v>0</v>
      </c>
      <c r="O15" s="547">
        <f ca="1">+N15-M15</f>
        <v>0</v>
      </c>
      <c r="P15" s="547"/>
      <c r="Q15" s="547"/>
      <c r="R15" s="547">
        <f>+$R$8*20</f>
        <v>30580</v>
      </c>
      <c r="S15" s="547">
        <f>IF(C15="Acumulado",IF(T15&gt;R15,R15,T15),IF(C15="BN",+(R15/$R$8*$S$8),"VER"))</f>
        <v>21220</v>
      </c>
      <c r="T15" s="547">
        <f ca="1">-SUMIF(Resumen_Base!$A$221:$A$287,'Budget Comparativo'!D15,Resumen_Base!$Y$221:$Y$287)-'Stock - Deudas'!$L$28</f>
        <v>18846.84</v>
      </c>
      <c r="U15" s="547">
        <f ca="1">+T15-S15</f>
        <v>-2373.16</v>
      </c>
      <c r="V15" s="547" t="s">
        <v>533</v>
      </c>
      <c r="W15" s="547"/>
      <c r="X15" s="547">
        <f t="shared" si="2"/>
        <v>33580</v>
      </c>
      <c r="Y15" s="547">
        <f t="shared" si="2"/>
        <v>22345</v>
      </c>
      <c r="Z15" s="547">
        <f t="shared" ca="1" si="2"/>
        <v>23294.78</v>
      </c>
      <c r="AA15" s="547">
        <f ca="1">+Z15-Y15</f>
        <v>949.77999999999884</v>
      </c>
      <c r="AB15" s="547" t="s">
        <v>533</v>
      </c>
      <c r="AC15" s="547"/>
      <c r="AD15" s="546"/>
      <c r="AF15" s="597">
        <v>4103</v>
      </c>
      <c r="AG15" s="597">
        <v>4110</v>
      </c>
      <c r="AH15" s="597">
        <v>4112</v>
      </c>
      <c r="AI15" s="597">
        <v>4114</v>
      </c>
      <c r="AJ15" s="597">
        <v>5285</v>
      </c>
      <c r="AK15" s="597">
        <v>5104</v>
      </c>
      <c r="AL15" s="597">
        <v>4118</v>
      </c>
      <c r="AM15" s="597">
        <v>4129</v>
      </c>
      <c r="AN15" s="597">
        <v>5290</v>
      </c>
      <c r="AO15" s="597">
        <v>5103</v>
      </c>
      <c r="AQ15" s="36">
        <f>+F15/$AQ$8</f>
        <v>7.5</v>
      </c>
      <c r="AR15" s="36">
        <f ca="1">+H15/$AR$8</f>
        <v>29.65293333333333</v>
      </c>
      <c r="AS15" s="547">
        <f ca="1">+AR15-AQ15</f>
        <v>22.15293333333333</v>
      </c>
      <c r="AU15" s="36" t="e">
        <f>+L15/$AU$8</f>
        <v>#DIV/0!</v>
      </c>
      <c r="AV15" s="36" t="e">
        <f ca="1">+N15/$AV$8</f>
        <v>#DIV/0!</v>
      </c>
      <c r="AW15" s="547" t="e">
        <f ca="1">+AV15-AU15</f>
        <v>#DIV/0!</v>
      </c>
      <c r="AY15" s="36">
        <f>+R15/$R$8</f>
        <v>20</v>
      </c>
      <c r="AZ15" s="36">
        <f ca="1">+T15/$AZ$8</f>
        <v>17.763279924599434</v>
      </c>
      <c r="BA15" s="547">
        <f ca="1">+AZ15-AY15</f>
        <v>-2.2367200754005658</v>
      </c>
    </row>
    <row r="16" spans="1:53" s="548" customFormat="1">
      <c r="C16" s="591" t="s">
        <v>98</v>
      </c>
      <c r="D16" s="549" t="s">
        <v>159</v>
      </c>
      <c r="E16" s="546"/>
      <c r="F16" s="547">
        <f>+$F$8*130*0.85</f>
        <v>44200</v>
      </c>
      <c r="G16" s="547">
        <f>IF(C16="Acumulado",IF(H16&gt;F16,F16,H16),IF(C16="BN",+(F16/$F$8*$G$8),"VER"))</f>
        <v>16575</v>
      </c>
      <c r="H16" s="547">
        <f ca="1">-SUMIF(Resumen_Base!$A$28:$A$91,'Budget Comparativo'!D16,Resumen_Base!$Y$28:$Y$91)</f>
        <v>19500</v>
      </c>
      <c r="I16" s="547">
        <f ca="1">+H16-G16</f>
        <v>2925</v>
      </c>
      <c r="J16" s="745"/>
      <c r="K16" s="649">
        <f ca="1">IF(ROUND(H16,2)=0,0,(+H16/115)/H8)</f>
        <v>1.1304347826086956</v>
      </c>
      <c r="L16" s="547">
        <f>+$L$8*130*0.85</f>
        <v>0</v>
      </c>
      <c r="M16" s="547">
        <f>IF(L16=0,0,IF(C16="Acumulado",IF(N16&gt;L16,L16,N16),IF(C16="BN",+(L16/$L$8*$M$8),"VER")))</f>
        <v>0</v>
      </c>
      <c r="N16" s="547">
        <f ca="1">-SUMIF(Resumen_Base!$A$94:$A$156,'Budget Comparativo'!D16,Resumen_Base!$Y$94:$Y$156)</f>
        <v>0</v>
      </c>
      <c r="O16" s="547">
        <f ca="1">+N16-M16</f>
        <v>0</v>
      </c>
      <c r="P16" s="745"/>
      <c r="Q16" s="649">
        <f ca="1">IF(ROUND(N16,2)=0,0,(+N16/115)/N8)</f>
        <v>0</v>
      </c>
      <c r="R16" s="547">
        <f>+$R$8*130*0.7</f>
        <v>139139</v>
      </c>
      <c r="S16" s="547">
        <f>IF(C16="Acumulado",IF(T16&gt;R16,R16,T16),IF(C16="BN",+(R16/$R$8*$S$8),"VER"))</f>
        <v>96551</v>
      </c>
      <c r="T16" s="547">
        <f ca="1">-SUMIF(Resumen_Base!$A$221:$A$287,'Budget Comparativo'!D16,Resumen_Base!$Y$221:$Y$287)</f>
        <v>103757.1</v>
      </c>
      <c r="U16" s="547">
        <f ca="1">+T16-S16</f>
        <v>7206.1000000000058</v>
      </c>
      <c r="V16" s="648" t="s">
        <v>520</v>
      </c>
      <c r="W16" s="649">
        <f ca="1">IF(ROUND(T16,2)=0,0,(+T16/115)/T8)</f>
        <v>0.85036347990001238</v>
      </c>
      <c r="X16" s="547">
        <f t="shared" si="2"/>
        <v>183339</v>
      </c>
      <c r="Y16" s="547">
        <f t="shared" si="2"/>
        <v>113126</v>
      </c>
      <c r="Z16" s="547">
        <f t="shared" ca="1" si="2"/>
        <v>123257.1</v>
      </c>
      <c r="AA16" s="547">
        <f ca="1">+Z16-Y16</f>
        <v>10131.100000000006</v>
      </c>
      <c r="AB16" s="648" t="s">
        <v>520</v>
      </c>
      <c r="AC16" s="649">
        <f ca="1">IF(ROUND(Z16,2)=0,0,(+Z16/115)/Z8)</f>
        <v>0.8850543927045561</v>
      </c>
      <c r="AD16" s="546"/>
      <c r="AF16" s="597">
        <v>4120</v>
      </c>
      <c r="AG16" s="597">
        <v>5286</v>
      </c>
      <c r="AH16" s="597">
        <v>5229</v>
      </c>
      <c r="AI16" s="597"/>
      <c r="AJ16" s="597"/>
      <c r="AK16" s="597"/>
      <c r="AL16" s="597"/>
      <c r="AM16" s="597"/>
      <c r="AN16" s="597"/>
      <c r="AO16" s="597"/>
      <c r="AQ16" s="36">
        <f>+F16/$AQ$8</f>
        <v>110.5</v>
      </c>
      <c r="AR16" s="36">
        <f ca="1">+H16/$AR$8</f>
        <v>130</v>
      </c>
      <c r="AS16" s="547">
        <f ca="1">+AR16-AQ16</f>
        <v>19.5</v>
      </c>
      <c r="AU16" s="36" t="e">
        <f>+L16/$AU$8</f>
        <v>#DIV/0!</v>
      </c>
      <c r="AV16" s="36" t="e">
        <f ca="1">+N16/$AV$8</f>
        <v>#DIV/0!</v>
      </c>
      <c r="AW16" s="547" t="e">
        <f ca="1">+AV16-AU16</f>
        <v>#DIV/0!</v>
      </c>
      <c r="AY16" s="36">
        <f>+R16/$R$8</f>
        <v>91</v>
      </c>
      <c r="AZ16" s="36">
        <f ca="1">+T16/$AZ$8</f>
        <v>97.791800188501426</v>
      </c>
      <c r="BA16" s="547">
        <f ca="1">+AZ16-AY16</f>
        <v>6.7918001885014263</v>
      </c>
    </row>
    <row r="17" spans="1:53" s="555" customFormat="1" thickBot="1">
      <c r="C17" s="588"/>
      <c r="D17" s="552" t="s">
        <v>225</v>
      </c>
      <c r="E17" s="553"/>
      <c r="F17" s="554"/>
      <c r="G17" s="554"/>
      <c r="H17" s="554"/>
      <c r="I17" s="554"/>
      <c r="J17" s="659"/>
      <c r="K17" s="554"/>
      <c r="L17" s="554"/>
      <c r="M17" s="554"/>
      <c r="N17" s="554"/>
      <c r="O17" s="554"/>
      <c r="P17" s="659"/>
      <c r="Q17" s="554"/>
      <c r="R17" s="554"/>
      <c r="S17" s="554"/>
      <c r="T17" s="554"/>
      <c r="U17" s="554"/>
      <c r="V17" s="554"/>
      <c r="W17" s="554"/>
      <c r="X17" s="554"/>
      <c r="Y17" s="554"/>
      <c r="Z17" s="554"/>
      <c r="AA17" s="554"/>
      <c r="AB17" s="554"/>
      <c r="AC17" s="554"/>
      <c r="AD17" s="553"/>
      <c r="AE17" s="636"/>
      <c r="AF17" s="597"/>
      <c r="AG17" s="597"/>
      <c r="AH17" s="597"/>
      <c r="AI17" s="597"/>
      <c r="AJ17" s="597"/>
      <c r="AK17" s="597"/>
      <c r="AL17" s="597"/>
      <c r="AM17" s="597"/>
      <c r="AN17" s="597"/>
      <c r="AO17" s="597"/>
      <c r="AQ17" s="554"/>
      <c r="AR17" s="554"/>
      <c r="AS17" s="554"/>
      <c r="AU17" s="554"/>
      <c r="AV17" s="554"/>
      <c r="AW17" s="554"/>
      <c r="AY17" s="554"/>
      <c r="AZ17" s="554"/>
      <c r="BA17" s="554"/>
    </row>
    <row r="18" spans="1:53" s="559" customFormat="1" ht="14.5" thickBot="1">
      <c r="C18" s="589"/>
      <c r="D18" s="556" t="s">
        <v>390</v>
      </c>
      <c r="E18" s="557"/>
      <c r="F18" s="558">
        <f>SUM(F13:F17)</f>
        <v>52000</v>
      </c>
      <c r="G18" s="558">
        <f>SUM(G13:G17)</f>
        <v>19500</v>
      </c>
      <c r="H18" s="558">
        <f ca="1">SUM(H13:H17)</f>
        <v>25319.94</v>
      </c>
      <c r="I18" s="558">
        <f ca="1">SUM(I13:I17)</f>
        <v>5819.94</v>
      </c>
      <c r="J18" s="660"/>
      <c r="K18" s="558"/>
      <c r="L18" s="558">
        <f>SUM(L13:L17)</f>
        <v>0</v>
      </c>
      <c r="M18" s="558">
        <f>SUM(M13:M17)</f>
        <v>0</v>
      </c>
      <c r="N18" s="558">
        <f ca="1">SUM(N13:N17)</f>
        <v>0</v>
      </c>
      <c r="O18" s="558">
        <f ca="1">SUM(O13:O17)</f>
        <v>0</v>
      </c>
      <c r="P18" s="660"/>
      <c r="Q18" s="558"/>
      <c r="R18" s="558">
        <f>SUM(R13:R17)</f>
        <v>185009</v>
      </c>
      <c r="S18" s="558">
        <f>SUM(S13:S17)</f>
        <v>128381</v>
      </c>
      <c r="T18" s="558">
        <f ca="1">SUM(T13:T17)</f>
        <v>135383.94</v>
      </c>
      <c r="U18" s="558">
        <f ca="1">SUM(U13:U17)</f>
        <v>7002.940000000006</v>
      </c>
      <c r="V18" s="558"/>
      <c r="W18" s="558"/>
      <c r="X18" s="558">
        <f>SUM(X13:X17)</f>
        <v>237009</v>
      </c>
      <c r="Y18" s="558">
        <f>SUM(Y13:Y17)</f>
        <v>147881</v>
      </c>
      <c r="Z18" s="558">
        <f ca="1">SUM(Z13:Z17)</f>
        <v>160703.88</v>
      </c>
      <c r="AA18" s="558">
        <f ca="1">SUM(AA13:AA17)</f>
        <v>12822.880000000005</v>
      </c>
      <c r="AB18" s="558"/>
      <c r="AC18" s="558"/>
      <c r="AD18" s="557"/>
      <c r="AE18" s="637"/>
      <c r="AF18" s="597"/>
      <c r="AG18" s="597"/>
      <c r="AH18" s="597"/>
      <c r="AI18" s="597"/>
      <c r="AJ18" s="597"/>
      <c r="AK18" s="597"/>
      <c r="AL18" s="597"/>
      <c r="AM18" s="597"/>
      <c r="AN18" s="597"/>
      <c r="AO18" s="597"/>
      <c r="AQ18" s="558">
        <f>SUM(AQ14:AQ17)</f>
        <v>130</v>
      </c>
      <c r="AR18" s="558">
        <f ca="1">SUM(AR14:AR17)</f>
        <v>168.7996</v>
      </c>
      <c r="AS18" s="558">
        <f ca="1">SUM(AS14:AS17)</f>
        <v>38.799599999999998</v>
      </c>
      <c r="AU18" s="558" t="e">
        <f>SUM(AU13:AU17)</f>
        <v>#DIV/0!</v>
      </c>
      <c r="AV18" s="558" t="e">
        <f ca="1">SUM(AV13:AV17)</f>
        <v>#DIV/0!</v>
      </c>
      <c r="AW18" s="558" t="e">
        <f ca="1">SUM(AW13:AW17)</f>
        <v>#DIV/0!</v>
      </c>
      <c r="AY18" s="558">
        <f>SUM(AY13:AY17)</f>
        <v>121</v>
      </c>
      <c r="AZ18" s="558">
        <f ca="1">SUM(AZ13:AZ17)</f>
        <v>127.60032045240341</v>
      </c>
      <c r="BA18" s="558">
        <f ca="1">SUM(BA13:BA17)</f>
        <v>6.6003204524034054</v>
      </c>
    </row>
    <row r="19" spans="1:53" s="49" customFormat="1" thickBot="1">
      <c r="C19" s="586"/>
      <c r="D19" s="560"/>
      <c r="E19" s="561"/>
      <c r="F19" s="45"/>
      <c r="G19" s="45"/>
      <c r="H19" s="45"/>
      <c r="I19" s="45"/>
      <c r="J19" s="661"/>
      <c r="K19" s="45"/>
      <c r="L19" s="45"/>
      <c r="M19" s="45"/>
      <c r="N19" s="45"/>
      <c r="O19" s="45"/>
      <c r="P19" s="661"/>
      <c r="Q19" s="45"/>
      <c r="R19" s="45"/>
      <c r="S19" s="45"/>
      <c r="T19" s="45"/>
      <c r="U19" s="45"/>
      <c r="V19" s="45"/>
      <c r="W19" s="45"/>
      <c r="X19" s="45"/>
      <c r="Y19" s="45"/>
      <c r="Z19" s="647">
        <f ca="1">+Z18-T18-N18-H18</f>
        <v>0</v>
      </c>
      <c r="AA19" s="45"/>
      <c r="AB19" s="45"/>
      <c r="AC19" s="45"/>
      <c r="AD19" s="561"/>
      <c r="AE19" s="638"/>
      <c r="AF19" s="597"/>
      <c r="AG19" s="597"/>
      <c r="AH19" s="597"/>
      <c r="AI19" s="597"/>
      <c r="AJ19" s="597"/>
      <c r="AK19" s="597"/>
      <c r="AL19" s="597"/>
      <c r="AM19" s="597"/>
      <c r="AN19" s="597"/>
      <c r="AO19" s="597"/>
      <c r="AQ19" s="45"/>
      <c r="AR19" s="45"/>
      <c r="AS19" s="45"/>
      <c r="AU19" s="45"/>
      <c r="AV19" s="45"/>
      <c r="AW19" s="45"/>
      <c r="AY19" s="45"/>
      <c r="AZ19" s="45"/>
      <c r="BA19" s="45"/>
    </row>
    <row r="20" spans="1:53" ht="13.5" thickBot="1">
      <c r="D20" s="542" t="s">
        <v>391</v>
      </c>
      <c r="E20" s="41"/>
      <c r="F20" s="32"/>
      <c r="G20" s="32"/>
      <c r="H20" s="32"/>
      <c r="I20" s="32"/>
      <c r="J20" s="32"/>
      <c r="K20" s="32"/>
      <c r="L20" s="32"/>
      <c r="M20" s="32"/>
      <c r="N20" s="32"/>
      <c r="O20" s="32"/>
      <c r="P20" s="32"/>
      <c r="Q20" s="32"/>
      <c r="R20" s="32"/>
      <c r="S20" s="32"/>
      <c r="T20" s="32"/>
      <c r="U20" s="32"/>
      <c r="V20" s="32"/>
      <c r="W20" s="32"/>
      <c r="X20" s="32"/>
      <c r="Y20" s="32"/>
      <c r="Z20" s="32"/>
      <c r="AA20" s="32"/>
      <c r="AB20" s="32"/>
      <c r="AC20" s="32"/>
      <c r="AD20" s="41"/>
      <c r="AE20" s="18"/>
      <c r="AF20" s="597"/>
      <c r="AG20" s="597"/>
      <c r="AH20" s="597"/>
      <c r="AI20" s="597"/>
      <c r="AJ20" s="597"/>
      <c r="AK20" s="597"/>
      <c r="AL20" s="597"/>
      <c r="AM20" s="597"/>
      <c r="AN20" s="597"/>
      <c r="AO20" s="597"/>
      <c r="AQ20" s="32"/>
      <c r="AR20" s="32"/>
      <c r="AS20" s="32"/>
      <c r="AU20" s="32"/>
      <c r="AV20" s="32"/>
      <c r="AW20" s="32"/>
      <c r="AY20" s="32"/>
      <c r="AZ20" s="32"/>
      <c r="BA20" s="32"/>
    </row>
    <row r="21" spans="1:53" s="49" customFormat="1" ht="12.5">
      <c r="C21" s="586"/>
      <c r="D21" s="560"/>
      <c r="E21" s="561"/>
      <c r="F21" s="45"/>
      <c r="G21" s="45"/>
      <c r="H21" s="45"/>
      <c r="I21" s="45"/>
      <c r="J21" s="661"/>
      <c r="K21" s="45"/>
      <c r="L21" s="45"/>
      <c r="M21" s="45"/>
      <c r="N21" s="45"/>
      <c r="O21" s="45"/>
      <c r="P21" s="661"/>
      <c r="Q21" s="45"/>
      <c r="R21" s="45"/>
      <c r="S21" s="45"/>
      <c r="T21" s="45"/>
      <c r="U21" s="45"/>
      <c r="V21" s="45"/>
      <c r="W21" s="45"/>
      <c r="X21" s="45"/>
      <c r="Y21" s="45"/>
      <c r="Z21" s="45"/>
      <c r="AA21" s="45"/>
      <c r="AB21" s="45"/>
      <c r="AC21" s="45"/>
      <c r="AD21" s="561"/>
      <c r="AE21" s="638"/>
      <c r="AF21" s="597"/>
      <c r="AG21" s="597"/>
      <c r="AH21" s="597"/>
      <c r="AI21" s="597"/>
      <c r="AJ21" s="597"/>
      <c r="AK21" s="597"/>
      <c r="AL21" s="597"/>
      <c r="AM21" s="597"/>
      <c r="AN21" s="597"/>
      <c r="AO21" s="597"/>
      <c r="AQ21" s="45"/>
      <c r="AR21" s="45"/>
      <c r="AS21" s="45"/>
      <c r="AU21" s="45"/>
      <c r="AV21" s="45"/>
      <c r="AW21" s="45"/>
      <c r="AY21" s="45"/>
      <c r="AZ21" s="45"/>
      <c r="BA21" s="45"/>
    </row>
    <row r="22" spans="1:53">
      <c r="D22" s="562" t="s">
        <v>392</v>
      </c>
      <c r="E22" s="566"/>
      <c r="F22" s="71"/>
      <c r="G22" s="71"/>
      <c r="H22" s="71"/>
      <c r="I22" s="71"/>
      <c r="J22" s="658"/>
      <c r="K22" s="71"/>
      <c r="L22" s="71"/>
      <c r="M22" s="71"/>
      <c r="N22" s="71"/>
      <c r="O22" s="71"/>
      <c r="P22" s="658"/>
      <c r="Q22" s="71"/>
      <c r="R22" s="71"/>
      <c r="S22" s="71"/>
      <c r="T22" s="71"/>
      <c r="U22" s="71"/>
      <c r="V22" s="71"/>
      <c r="W22" s="71"/>
      <c r="X22" s="71"/>
      <c r="Y22" s="71"/>
      <c r="Z22" s="71"/>
      <c r="AA22" s="71"/>
      <c r="AB22" s="71"/>
      <c r="AC22" s="71"/>
      <c r="AD22" s="566"/>
      <c r="AE22" s="121"/>
      <c r="AF22" s="597"/>
      <c r="AG22" s="597"/>
      <c r="AH22" s="597"/>
      <c r="AI22" s="597"/>
      <c r="AJ22" s="597"/>
      <c r="AK22" s="597"/>
      <c r="AL22" s="597"/>
      <c r="AM22" s="597"/>
      <c r="AN22" s="597"/>
      <c r="AO22" s="597"/>
      <c r="AQ22" s="71"/>
      <c r="AR22" s="71"/>
      <c r="AS22" s="71"/>
      <c r="AU22" s="71"/>
      <c r="AV22" s="71"/>
      <c r="AW22" s="71"/>
      <c r="AY22" s="71"/>
      <c r="AZ22" s="71"/>
      <c r="BA22" s="71"/>
    </row>
    <row r="23" spans="1:53" s="572" customFormat="1" ht="16">
      <c r="C23" s="590"/>
      <c r="D23" s="619" t="s">
        <v>393</v>
      </c>
      <c r="E23" s="570"/>
      <c r="F23" s="571">
        <f>+SUM(F24:F26)</f>
        <v>55000</v>
      </c>
      <c r="G23" s="571">
        <f ca="1">+SUM(G24:G26)</f>
        <v>33549.020000000004</v>
      </c>
      <c r="H23" s="571">
        <f ca="1">+SUM(H24:H26)</f>
        <v>33549.020000000004</v>
      </c>
      <c r="I23" s="571">
        <f ca="1">+SUM(I24:I26)</f>
        <v>0</v>
      </c>
      <c r="J23" s="662"/>
      <c r="K23" s="571"/>
      <c r="L23" s="571">
        <f>+SUM(L24:L26)</f>
        <v>0</v>
      </c>
      <c r="M23" s="571">
        <f ca="1">+SUM(M24:M26)</f>
        <v>0</v>
      </c>
      <c r="N23" s="571">
        <f ca="1">+SUM(N24:N26)</f>
        <v>0</v>
      </c>
      <c r="O23" s="571">
        <f ca="1">+SUM(O24:O26)</f>
        <v>0</v>
      </c>
      <c r="P23" s="662"/>
      <c r="Q23" s="571"/>
      <c r="R23" s="571">
        <f>+SUM(R24:R26)</f>
        <v>127670</v>
      </c>
      <c r="S23" s="571">
        <f ca="1">+SUM(S24:S26)</f>
        <v>114047.25</v>
      </c>
      <c r="T23" s="571">
        <f ca="1">+SUM(T24:T26)</f>
        <v>114345.38999999998</v>
      </c>
      <c r="U23" s="571">
        <f ca="1">+SUM(U24:U26)</f>
        <v>-298.13999999999942</v>
      </c>
      <c r="V23" s="571"/>
      <c r="W23" s="571"/>
      <c r="X23" s="571">
        <f>+SUM(X24:X26)</f>
        <v>182670</v>
      </c>
      <c r="Y23" s="571">
        <f ca="1">+SUM(Y24:Y26)</f>
        <v>147596.26999999999</v>
      </c>
      <c r="Z23" s="571">
        <f ca="1">+SUM(Z24:Z26)</f>
        <v>147894.41</v>
      </c>
      <c r="AA23" s="571">
        <f ca="1">+SUM(AA24:AA26)</f>
        <v>-298.14000000001397</v>
      </c>
      <c r="AB23" s="571"/>
      <c r="AC23" s="571"/>
      <c r="AD23" s="570"/>
      <c r="AE23" s="639"/>
      <c r="AF23" s="597"/>
      <c r="AG23" s="597"/>
      <c r="AH23" s="597"/>
      <c r="AI23" s="597"/>
      <c r="AJ23" s="597"/>
      <c r="AK23" s="597"/>
      <c r="AL23" s="597"/>
      <c r="AM23" s="597"/>
      <c r="AN23" s="597"/>
      <c r="AO23" s="597"/>
      <c r="AQ23" s="571">
        <f>+SUM(AQ24:AQ26)</f>
        <v>137.5</v>
      </c>
      <c r="AR23" s="571">
        <f ca="1">+SUM(AR24:AR26)</f>
        <v>223.66013333333333</v>
      </c>
      <c r="AS23" s="571">
        <f ca="1">+SUM(AS24:AS26)</f>
        <v>-86.160133333333349</v>
      </c>
      <c r="AU23" s="571" t="e">
        <f>+SUM(AU24:AU26)</f>
        <v>#DIV/0!</v>
      </c>
      <c r="AV23" s="571" t="e">
        <f ca="1">+SUM(AV24:AV26)</f>
        <v>#DIV/0!</v>
      </c>
      <c r="AW23" s="571" t="e">
        <f ca="1">+SUM(AW24:AW26)</f>
        <v>#DIV/0!</v>
      </c>
      <c r="AY23" s="571">
        <f>+SUM(AY24:AY26)</f>
        <v>83.499018966644854</v>
      </c>
      <c r="AZ23" s="571">
        <f ca="1">+SUM(AZ24:AZ26)</f>
        <v>107.77133836003769</v>
      </c>
      <c r="BA23" s="571">
        <f ca="1">+SUM(BA24:BA26)</f>
        <v>-24.272319393392827</v>
      </c>
    </row>
    <row r="24" spans="1:53" s="568" customFormat="1" ht="16">
      <c r="C24" s="591" t="s">
        <v>425</v>
      </c>
      <c r="D24" s="573" t="s">
        <v>394</v>
      </c>
      <c r="E24" s="574"/>
      <c r="F24" s="547">
        <v>30000</v>
      </c>
      <c r="G24" s="547">
        <f t="shared" ref="G24:G49" ca="1" si="3">IF(C24="Acumulado",IF(H24&gt;F24,F24,H24),IF(C24="BN",+(F24/$F$8*$G$8),"VER"))</f>
        <v>15011.900000000001</v>
      </c>
      <c r="H24" s="547">
        <f ca="1">+SUMIF(Resumen_Base!$A$28:$A$91,'Budget Comparativo'!D24,Resumen_Base!$Y$28:$Y$91)</f>
        <v>15011.900000000001</v>
      </c>
      <c r="I24" s="547">
        <f ca="1">+G24-H24</f>
        <v>0</v>
      </c>
      <c r="J24" s="662"/>
      <c r="K24" s="650">
        <f ca="1">IF(ROUND(H24,0)=0,0,IF(F24=0,0,+H24/F24))</f>
        <v>0.50039666666666671</v>
      </c>
      <c r="L24" s="547">
        <v>0</v>
      </c>
      <c r="M24" s="547">
        <f ca="1">IF(C24="Acumulado",IF(N24&gt;L24,L24,N24),IF(C24="BN",+(L24/$L$8*$M$8),"VER"))</f>
        <v>0</v>
      </c>
      <c r="N24" s="547">
        <f ca="1">+SUMIF(Resumen_Base!$A$94:$A$156,'Budget Comparativo'!D24,Resumen_Base!$Y$94:$Y$156)</f>
        <v>0</v>
      </c>
      <c r="O24" s="547">
        <f ca="1">+M24-N24</f>
        <v>0</v>
      </c>
      <c r="P24" s="748"/>
      <c r="Q24" s="650">
        <f ca="1">IF(ROUND(N24,0)=0,0,IF(L24=0,0,+N24/L24))</f>
        <v>0</v>
      </c>
      <c r="R24" s="547">
        <v>76800</v>
      </c>
      <c r="S24" s="547">
        <f ca="1">IF(C24="Acumulado",IF(T24&gt;R24,R24,T24),IF(C24="BN",+(R24/$R$8*$S$8),"VER"))</f>
        <v>76800</v>
      </c>
      <c r="T24" s="547">
        <f ca="1">SUMIF(Resumen_Base!$A$221:$A$287,'Budget Comparativo'!D24,Resumen_Base!$Y$221:$Y$287)</f>
        <v>77098.14</v>
      </c>
      <c r="U24" s="547">
        <f ca="1">+S24-T24</f>
        <v>-298.13999999999942</v>
      </c>
      <c r="V24" s="571"/>
      <c r="W24" s="650">
        <f ca="1">IF(ROUND(T24,0)=0,0,IF(R24=0,0,+T24/R24))</f>
        <v>1.0038820312500001</v>
      </c>
      <c r="X24" s="547">
        <f t="shared" ref="X24:Z26" si="4">+F24+L24+R24</f>
        <v>106800</v>
      </c>
      <c r="Y24" s="547">
        <f t="shared" ca="1" si="4"/>
        <v>91811.9</v>
      </c>
      <c r="Z24" s="547">
        <f t="shared" ca="1" si="4"/>
        <v>92110.040000000008</v>
      </c>
      <c r="AA24" s="547">
        <f ca="1">+Y24-Z24</f>
        <v>-298.14000000001397</v>
      </c>
      <c r="AB24" s="547"/>
      <c r="AC24" s="650">
        <f ca="1">IF(ROUND(Z24,0)=0,0,IF(X24=0,0,+Z24/X24))</f>
        <v>0.86245355805243451</v>
      </c>
      <c r="AD24" s="574"/>
      <c r="AF24" s="597">
        <v>5208</v>
      </c>
      <c r="AG24" s="597"/>
      <c r="AH24" s="597"/>
      <c r="AI24" s="597"/>
      <c r="AJ24" s="597"/>
      <c r="AK24" s="597"/>
      <c r="AL24" s="597"/>
      <c r="AM24" s="597"/>
      <c r="AN24" s="597"/>
      <c r="AO24" s="597"/>
      <c r="AQ24" s="36">
        <f>+F24/$AQ$8</f>
        <v>75</v>
      </c>
      <c r="AR24" s="36">
        <f ca="1">+H24/$AR$8</f>
        <v>100.07933333333334</v>
      </c>
      <c r="AS24" s="547">
        <f t="shared" ref="AS24:AS49" ca="1" si="5">+AQ24-AR24</f>
        <v>-25.079333333333338</v>
      </c>
      <c r="AU24" s="36" t="e">
        <f>+L24/$AU$8</f>
        <v>#DIV/0!</v>
      </c>
      <c r="AV24" s="36" t="e">
        <f ca="1">+N24/$N$8</f>
        <v>#DIV/0!</v>
      </c>
      <c r="AW24" s="547" t="e">
        <f ca="1">+AU24-AV24</f>
        <v>#DIV/0!</v>
      </c>
      <c r="AY24" s="36">
        <f>+R24/$R$8</f>
        <v>50.228907782864617</v>
      </c>
      <c r="AZ24" s="36">
        <f ca="1">+T24/$AZ$8</f>
        <v>72.665541941564555</v>
      </c>
      <c r="BA24" s="547">
        <f ca="1">+AY24-AZ24</f>
        <v>-22.436634158699938</v>
      </c>
    </row>
    <row r="25" spans="1:53" s="568" customFormat="1" ht="26">
      <c r="A25" s="568">
        <f ca="1">IF(ROUND(B25,0)=0,0,1)</f>
        <v>0</v>
      </c>
      <c r="B25" s="568">
        <f ca="1">+Z25-SUMIF(Resumen_Base!$A$8:$A$287,'Budget Comparativo'!D25,Resumen_Base!$Y$8:$Y$287)</f>
        <v>0</v>
      </c>
      <c r="C25" s="591" t="s">
        <v>425</v>
      </c>
      <c r="D25" s="573" t="s">
        <v>395</v>
      </c>
      <c r="E25" s="574"/>
      <c r="F25" s="547">
        <v>20000</v>
      </c>
      <c r="G25" s="547">
        <f t="shared" ca="1" si="3"/>
        <v>14822.220000000001</v>
      </c>
      <c r="H25" s="547">
        <f ca="1">+SUMIF(Resumen_Base!$A$28:$A$91,'Budget Comparativo'!D25,Resumen_Base!$Y$28:$Y$91)</f>
        <v>14822.220000000001</v>
      </c>
      <c r="I25" s="547">
        <f t="shared" ref="I25:I49" ca="1" si="6">+G25-H25</f>
        <v>0</v>
      </c>
      <c r="J25" s="622" t="s">
        <v>3403</v>
      </c>
      <c r="K25" s="650">
        <f ca="1">IF(ROUND(H25,0)=0,0,+H25/F25)</f>
        <v>0.74111100000000008</v>
      </c>
      <c r="L25" s="547">
        <v>0</v>
      </c>
      <c r="M25" s="547">
        <f t="shared" ref="M25:M31" ca="1" si="7">IF(C25="Acumulado",IF(N25&gt;L25,L25,N25),IF(C25="BN",+(L25/$L$8*$M$8),"VER"))</f>
        <v>0</v>
      </c>
      <c r="N25" s="547">
        <f ca="1">+SUMIF(Resumen_Base!$A$94:$A$156,'Budget Comparativo'!D25,Resumen_Base!$Y$94:$Y$156)</f>
        <v>0</v>
      </c>
      <c r="O25" s="547">
        <f t="shared" ref="O25:O49" ca="1" si="8">+M25-N25</f>
        <v>0</v>
      </c>
      <c r="P25" s="622"/>
      <c r="Q25" s="650">
        <f ca="1">IF(ROUND(N25,0)=0,0,+N25/L25)</f>
        <v>0</v>
      </c>
      <c r="R25" s="547">
        <v>45870</v>
      </c>
      <c r="S25" s="547">
        <f ca="1">IF(C25="Acumulado",IF(T25&gt;R25,R25,T25),IF(C25="BN",+(R25/$R$8*$S$8),"VER"))</f>
        <v>32713.959999999995</v>
      </c>
      <c r="T25" s="547">
        <f ca="1">SUMIF(Resumen_Base!$A$221:$A$287,'Budget Comparativo'!D25,Resumen_Base!$Y$221:$Y$287)</f>
        <v>32713.959999999995</v>
      </c>
      <c r="U25" s="547">
        <f t="shared" ref="U25:U49" ca="1" si="9">+S25-T25</f>
        <v>0</v>
      </c>
      <c r="V25" s="547"/>
      <c r="W25" s="650">
        <f ca="1">IF(ROUND(T25,0)=0,0,+T25/R25)</f>
        <v>0.71318857641159794</v>
      </c>
      <c r="X25" s="547">
        <f t="shared" si="4"/>
        <v>65870</v>
      </c>
      <c r="Y25" s="547">
        <f t="shared" ca="1" si="4"/>
        <v>47536.179999999993</v>
      </c>
      <c r="Z25" s="547">
        <f t="shared" ca="1" si="4"/>
        <v>47536.179999999993</v>
      </c>
      <c r="AA25" s="547">
        <f t="shared" ref="AA25:AA49" ca="1" si="10">+Y25-Z25</f>
        <v>0</v>
      </c>
      <c r="AB25" s="547"/>
      <c r="AC25" s="650">
        <f ca="1">IF(ROUND(Z25,0)=0,0,+Z25/X25)</f>
        <v>0.72166661606194005</v>
      </c>
      <c r="AD25" s="574"/>
      <c r="AF25" s="597">
        <v>5207</v>
      </c>
      <c r="AG25" s="597">
        <v>5283</v>
      </c>
      <c r="AH25" s="597"/>
      <c r="AI25" s="597"/>
      <c r="AJ25" s="597"/>
      <c r="AK25" s="597"/>
      <c r="AL25" s="597"/>
      <c r="AM25" s="597"/>
      <c r="AN25" s="597"/>
      <c r="AO25" s="597"/>
      <c r="AQ25" s="36">
        <f>+F25/$AQ$8</f>
        <v>50</v>
      </c>
      <c r="AR25" s="36">
        <f ca="1">+H25/$AR$8</f>
        <v>98.814800000000005</v>
      </c>
      <c r="AS25" s="547">
        <f t="shared" ca="1" si="5"/>
        <v>-48.814800000000005</v>
      </c>
      <c r="AU25" s="36" t="e">
        <f>+L25/$AU$8</f>
        <v>#DIV/0!</v>
      </c>
      <c r="AV25" s="36" t="e">
        <f ca="1">+N25/$N$8</f>
        <v>#DIV/0!</v>
      </c>
      <c r="AW25" s="547" t="e">
        <f ca="1">+AU25-AV25</f>
        <v>#DIV/0!</v>
      </c>
      <c r="AY25" s="36">
        <f>+R25/$AY$8</f>
        <v>30</v>
      </c>
      <c r="AZ25" s="36">
        <f ca="1">+T25/$AZ$8</f>
        <v>30.833138548539111</v>
      </c>
      <c r="BA25" s="547">
        <f ca="1">+AY25-AZ25</f>
        <v>-0.83313854853911096</v>
      </c>
    </row>
    <row r="26" spans="1:53" s="568" customFormat="1">
      <c r="A26" s="568">
        <f ca="1">IF(ROUND(B26,0)=0,0,1)</f>
        <v>0</v>
      </c>
      <c r="B26" s="568">
        <f ca="1">+Z26-SUMIF(Resumen_Base!$A$8:$A$287,'Budget Comparativo'!D26,Resumen_Base!$Y$8:$Y$287)</f>
        <v>0</v>
      </c>
      <c r="C26" s="591" t="s">
        <v>425</v>
      </c>
      <c r="D26" s="573" t="s">
        <v>396</v>
      </c>
      <c r="E26" s="574"/>
      <c r="F26" s="547">
        <v>5000</v>
      </c>
      <c r="G26" s="547">
        <f t="shared" ca="1" si="3"/>
        <v>3714.9</v>
      </c>
      <c r="H26" s="547">
        <f ca="1">+SUMIF(Resumen_Base!$A$28:$A$91,'Budget Comparativo'!D26,Resumen_Base!$Y$28:$Y$91)</f>
        <v>3714.9</v>
      </c>
      <c r="I26" s="547">
        <f t="shared" ca="1" si="6"/>
        <v>0</v>
      </c>
      <c r="J26" s="622"/>
      <c r="K26" s="650">
        <f t="shared" ref="K26:K31" ca="1" si="11">IF(ROUND(H26,0)=0,0,IF(F26=0,0,+H26/F26))</f>
        <v>0.74297999999999997</v>
      </c>
      <c r="L26" s="547">
        <v>0</v>
      </c>
      <c r="M26" s="547">
        <f t="shared" ca="1" si="7"/>
        <v>0</v>
      </c>
      <c r="N26" s="547">
        <f ca="1">+SUMIF(Resumen_Base!$A$94:$A$156,'Budget Comparativo'!D26,Resumen_Base!$Y$94:$Y$156)</f>
        <v>0</v>
      </c>
      <c r="O26" s="547">
        <f t="shared" ca="1" si="8"/>
        <v>0</v>
      </c>
      <c r="P26" s="622"/>
      <c r="Q26" s="650">
        <f t="shared" ref="Q26:Q31" ca="1" si="12">IF(ROUND(N26,0)=0,0,IF(L26=0,0,+N26/L26))</f>
        <v>0</v>
      </c>
      <c r="R26" s="547">
        <v>5000</v>
      </c>
      <c r="S26" s="547">
        <f ca="1">IF(C26="Acumulado",IF(T26&gt;R26,R26,T26),IF(C26="BN",+(R26/$R$8*$S$8),"VER"))</f>
        <v>4533.2900000000009</v>
      </c>
      <c r="T26" s="547">
        <f ca="1">SUMIF(Resumen_Base!$A$221:$A$287,'Budget Comparativo'!D26,Resumen_Base!$Y$221:$Y$287)</f>
        <v>4533.2900000000009</v>
      </c>
      <c r="U26" s="547">
        <f t="shared" ca="1" si="9"/>
        <v>0</v>
      </c>
      <c r="V26" s="547"/>
      <c r="W26" s="650">
        <f t="shared" ref="W26:W31" ca="1" si="13">IF(ROUND(T26,0)=0,0,IF(R26=0,0,+T26/R26))</f>
        <v>0.90665800000000019</v>
      </c>
      <c r="X26" s="547">
        <f t="shared" si="4"/>
        <v>10000</v>
      </c>
      <c r="Y26" s="547">
        <f t="shared" ca="1" si="4"/>
        <v>8248.19</v>
      </c>
      <c r="Z26" s="547">
        <f t="shared" ca="1" si="4"/>
        <v>8248.19</v>
      </c>
      <c r="AA26" s="547">
        <f t="shared" ca="1" si="10"/>
        <v>0</v>
      </c>
      <c r="AB26" s="547"/>
      <c r="AC26" s="650">
        <f t="shared" ref="AC26:AC31" ca="1" si="14">IF(ROUND(Z26,0)=0,0,IF(X26=0,0,+Z26/X26))</f>
        <v>0.82481900000000008</v>
      </c>
      <c r="AD26" s="574"/>
      <c r="AF26" s="597">
        <v>5284</v>
      </c>
      <c r="AG26" s="597">
        <v>5258</v>
      </c>
      <c r="AH26" s="597"/>
      <c r="AI26" s="597"/>
      <c r="AJ26" s="597"/>
      <c r="AK26" s="597"/>
      <c r="AL26" s="597"/>
      <c r="AM26" s="597"/>
      <c r="AN26" s="597"/>
      <c r="AO26" s="597"/>
      <c r="AQ26" s="36">
        <f>+F26/$AQ$8</f>
        <v>12.5</v>
      </c>
      <c r="AR26" s="36">
        <f ca="1">+H26/$AR$8</f>
        <v>24.766000000000002</v>
      </c>
      <c r="AS26" s="547">
        <f t="shared" ca="1" si="5"/>
        <v>-12.266000000000002</v>
      </c>
      <c r="AU26" s="36" t="e">
        <f>+L26/$AU$8</f>
        <v>#DIV/0!</v>
      </c>
      <c r="AV26" s="36" t="e">
        <f ca="1">+N26/$N$8</f>
        <v>#DIV/0!</v>
      </c>
      <c r="AW26" s="547" t="e">
        <f ca="1">+AU26-AV26</f>
        <v>#DIV/0!</v>
      </c>
      <c r="AY26" s="36">
        <f>+R26/$AY$8</f>
        <v>3.2701111837802483</v>
      </c>
      <c r="AZ26" s="36">
        <f ca="1">+T26/$AZ$8</f>
        <v>4.272657869934025</v>
      </c>
      <c r="BA26" s="547">
        <f ca="1">+AY26-AZ26</f>
        <v>-1.0025466861537766</v>
      </c>
    </row>
    <row r="27" spans="1:53" s="577" customFormat="1" ht="16">
      <c r="C27" s="592"/>
      <c r="D27" s="618" t="s">
        <v>397</v>
      </c>
      <c r="E27" s="576"/>
      <c r="F27" s="571">
        <f t="shared" ref="F27:M27" si="15">+SUM(F28:F31)</f>
        <v>122500</v>
      </c>
      <c r="G27" s="571">
        <f t="shared" ca="1" si="15"/>
        <v>58444.351410256415</v>
      </c>
      <c r="H27" s="571">
        <f t="shared" ca="1" si="15"/>
        <v>58482.985769230771</v>
      </c>
      <c r="I27" s="571">
        <f t="shared" ca="1" si="15"/>
        <v>-38.634358974358292</v>
      </c>
      <c r="J27" s="662"/>
      <c r="K27" s="650">
        <f t="shared" ca="1" si="11"/>
        <v>0.47741212872841443</v>
      </c>
      <c r="L27" s="571">
        <f t="shared" si="15"/>
        <v>2400</v>
      </c>
      <c r="M27" s="571">
        <f t="shared" ca="1" si="15"/>
        <v>0</v>
      </c>
      <c r="N27" s="571">
        <f ca="1">+SUM(N28:N31)</f>
        <v>0</v>
      </c>
      <c r="O27" s="571">
        <f ca="1">+SUM(O28:O31)</f>
        <v>0</v>
      </c>
      <c r="P27" s="662"/>
      <c r="Q27" s="650">
        <f t="shared" ca="1" si="12"/>
        <v>0</v>
      </c>
      <c r="R27" s="571">
        <f>+SUM(R28:R31)</f>
        <v>461000</v>
      </c>
      <c r="S27" s="571">
        <f ca="1">+SUM(S28:S31)</f>
        <v>310951.02009584074</v>
      </c>
      <c r="T27" s="571">
        <f ca="1">+SUM(T28:T31)</f>
        <v>310951.02009584074</v>
      </c>
      <c r="U27" s="571">
        <f ca="1">+SUM(U28:U31)</f>
        <v>0</v>
      </c>
      <c r="V27" s="571"/>
      <c r="W27" s="650">
        <f t="shared" ca="1" si="13"/>
        <v>0.67451414337492566</v>
      </c>
      <c r="X27" s="571">
        <f>+SUM(X28:X30)</f>
        <v>534400</v>
      </c>
      <c r="Y27" s="571">
        <f ca="1">+SUM(Y28:Y30)</f>
        <v>333078.66509584076</v>
      </c>
      <c r="Z27" s="571">
        <f ca="1">+SUM(Z28:Z30)</f>
        <v>333078.66509584076</v>
      </c>
      <c r="AA27" s="571">
        <f ca="1">+SUM(AA28:AA31)</f>
        <v>-38.634358974355564</v>
      </c>
      <c r="AB27" s="571"/>
      <c r="AC27" s="650">
        <f t="shared" ca="1" si="14"/>
        <v>0.62327594516437268</v>
      </c>
      <c r="AD27" s="576"/>
      <c r="AE27" s="640"/>
      <c r="AF27" s="597"/>
      <c r="AG27" s="597"/>
      <c r="AH27" s="597"/>
      <c r="AI27" s="597"/>
      <c r="AJ27" s="597"/>
      <c r="AK27" s="597"/>
      <c r="AL27" s="597"/>
      <c r="AM27" s="597"/>
      <c r="AN27" s="597"/>
      <c r="AO27" s="597"/>
      <c r="AQ27" s="571">
        <f>+SUM(AQ28:AQ31)</f>
        <v>306.25</v>
      </c>
      <c r="AR27" s="571">
        <f ca="1">+SUM(AR28:AR31)</f>
        <v>389.88657179487177</v>
      </c>
      <c r="AS27" s="571">
        <f ca="1">+SUM(AS28:AS31)</f>
        <v>-83.636571794871799</v>
      </c>
      <c r="AU27" s="571" t="e">
        <f>+SUM(AU28:AU31)</f>
        <v>#DIV/0!</v>
      </c>
      <c r="AV27" s="571" t="e">
        <f ca="1">+SUM(AV28:AV31)</f>
        <v>#DIV/0!</v>
      </c>
      <c r="AW27" s="571" t="e">
        <f ca="1">+SUM(AW28:AW31)</f>
        <v>#DIV/0!</v>
      </c>
      <c r="AY27" s="571">
        <f>+SUM(AY28:AY31)</f>
        <v>301.50425114453896</v>
      </c>
      <c r="AZ27" s="571">
        <f ca="1">+SUM(AZ28:AZ31)</f>
        <v>293.07353449183864</v>
      </c>
      <c r="BA27" s="571">
        <f ca="1">+SUM(BA28:BA31)</f>
        <v>8.4307166527002941</v>
      </c>
    </row>
    <row r="28" spans="1:53" s="568" customFormat="1" ht="37" customHeight="1">
      <c r="A28" s="577"/>
      <c r="B28" s="577"/>
      <c r="C28" s="591" t="s">
        <v>425</v>
      </c>
      <c r="D28" s="573" t="s">
        <v>398</v>
      </c>
      <c r="E28" s="574"/>
      <c r="F28" s="547">
        <v>24000</v>
      </c>
      <c r="G28" s="547">
        <f t="shared" ca="1" si="3"/>
        <v>21486.384743589744</v>
      </c>
      <c r="H28" s="547">
        <f ca="1">+SUMIF(Resumen_Base!$A$28:$A$91,'Budget Comparativo'!D28,Resumen_Base!$Y$28:$Y$91)</f>
        <v>21486.384743589744</v>
      </c>
      <c r="I28" s="547">
        <f t="shared" ca="1" si="6"/>
        <v>0</v>
      </c>
      <c r="J28" s="748" t="s">
        <v>3405</v>
      </c>
      <c r="K28" s="650">
        <f t="shared" ca="1" si="11"/>
        <v>0.89526603098290602</v>
      </c>
      <c r="L28" s="547">
        <v>0</v>
      </c>
      <c r="M28" s="547">
        <f t="shared" ca="1" si="7"/>
        <v>0</v>
      </c>
      <c r="N28" s="547">
        <f ca="1">+SUMIF(Resumen_Base!$A$94:$A$156,'Budget Comparativo'!D28,Resumen_Base!$Y$94:$Y$156)</f>
        <v>0</v>
      </c>
      <c r="O28" s="547">
        <f t="shared" ca="1" si="8"/>
        <v>0</v>
      </c>
      <c r="P28" s="622"/>
      <c r="Q28" s="650">
        <f t="shared" ca="1" si="12"/>
        <v>0</v>
      </c>
      <c r="R28" s="547">
        <v>87000</v>
      </c>
      <c r="S28" s="547">
        <f t="shared" ref="S28:S33" ca="1" si="16">IF(C28="Acumulado",IF(T28&gt;R28,R28,T28),IF(C28="BN",+(R28/$R$8*$S$8),"VER"))</f>
        <v>60782.456914893621</v>
      </c>
      <c r="T28" s="547">
        <f ca="1">SUMIF(Resumen_Base!$A$221:$A$287,'Budget Comparativo'!D28,Resumen_Base!$Y$221:$Y$287)</f>
        <v>60782.456914893621</v>
      </c>
      <c r="U28" s="547">
        <f t="shared" ca="1" si="9"/>
        <v>0</v>
      </c>
      <c r="V28" s="888"/>
      <c r="W28" s="650">
        <f t="shared" ca="1" si="13"/>
        <v>0.69864893005624851</v>
      </c>
      <c r="X28" s="547">
        <f t="shared" ref="X28:Z33" si="17">+F28+L28+R28</f>
        <v>111000</v>
      </c>
      <c r="Y28" s="547">
        <f t="shared" ca="1" si="17"/>
        <v>82268.841658483361</v>
      </c>
      <c r="Z28" s="547">
        <f t="shared" ca="1" si="17"/>
        <v>82268.841658483361</v>
      </c>
      <c r="AA28" s="547">
        <f t="shared" ca="1" si="10"/>
        <v>0</v>
      </c>
      <c r="AB28" s="571"/>
      <c r="AC28" s="650">
        <f t="shared" ca="1" si="14"/>
        <v>0.74116073566201224</v>
      </c>
      <c r="AD28" s="574"/>
      <c r="AF28" s="597">
        <v>5228</v>
      </c>
      <c r="AG28" s="597"/>
      <c r="AH28" s="597"/>
      <c r="AI28" s="597"/>
      <c r="AJ28" s="597"/>
      <c r="AK28" s="597"/>
      <c r="AL28" s="597"/>
      <c r="AM28" s="597"/>
      <c r="AN28" s="597"/>
      <c r="AO28" s="597"/>
      <c r="AQ28" s="36">
        <f t="shared" ref="AQ28:AQ33" si="18">+F28/$AQ$8</f>
        <v>60</v>
      </c>
      <c r="AR28" s="36">
        <f t="shared" ref="AR28:AR33" ca="1" si="19">+H28/$AR$8</f>
        <v>143.24256495726496</v>
      </c>
      <c r="AS28" s="547">
        <f t="shared" ca="1" si="5"/>
        <v>-83.24256495726496</v>
      </c>
      <c r="AU28" s="36" t="e">
        <f t="shared" ref="AU28:AU33" si="20">+L28/$AU$8</f>
        <v>#DIV/0!</v>
      </c>
      <c r="AV28" s="36" t="e">
        <f t="shared" ref="AV28:AV33" ca="1" si="21">+N28/$N$8</f>
        <v>#DIV/0!</v>
      </c>
      <c r="AW28" s="547" t="e">
        <f t="shared" ref="AW28:AW33" ca="1" si="22">+AU28-AV28</f>
        <v>#DIV/0!</v>
      </c>
      <c r="AY28" s="36">
        <f t="shared" ref="AY28:AY33" si="23">+R28/$AY$8</f>
        <v>56.899934597776323</v>
      </c>
      <c r="AZ28" s="36">
        <f t="shared" ref="AZ28:AZ33" ca="1" si="24">+T28/$AZ$8</f>
        <v>57.287895301501997</v>
      </c>
      <c r="BA28" s="547">
        <f t="shared" ref="BA28:BA33" ca="1" si="25">+AY28-AZ28</f>
        <v>-0.3879607037256747</v>
      </c>
    </row>
    <row r="29" spans="1:53" s="568" customFormat="1" ht="16">
      <c r="A29" s="577"/>
      <c r="B29" s="577"/>
      <c r="C29" s="591" t="s">
        <v>425</v>
      </c>
      <c r="D29" s="573" t="s">
        <v>399</v>
      </c>
      <c r="E29" s="574"/>
      <c r="F29" s="547">
        <v>65000</v>
      </c>
      <c r="G29" s="547">
        <f t="shared" ca="1" si="3"/>
        <v>24832.441282051281</v>
      </c>
      <c r="H29" s="547">
        <f ca="1">+SUMIF(Resumen_Base!$A$28:$A$91,'Budget Comparativo'!D29,Resumen_Base!$Y$28:$Y$91)</f>
        <v>24832.441282051281</v>
      </c>
      <c r="I29" s="547">
        <f t="shared" ca="1" si="6"/>
        <v>0</v>
      </c>
      <c r="J29" s="622" t="s">
        <v>7080</v>
      </c>
      <c r="K29" s="650">
        <f t="shared" ca="1" si="11"/>
        <v>0.3820375581854043</v>
      </c>
      <c r="L29" s="547">
        <v>0</v>
      </c>
      <c r="M29" s="547">
        <f t="shared" ca="1" si="7"/>
        <v>0</v>
      </c>
      <c r="N29" s="547">
        <f ca="1">+SUMIF(Resumen_Base!$A$94:$A$156,'Budget Comparativo'!D29,Resumen_Base!$Y$94:$Y$156)+'Stock - Deudas'!$L$16</f>
        <v>0</v>
      </c>
      <c r="O29" s="547">
        <f t="shared" ca="1" si="8"/>
        <v>0</v>
      </c>
      <c r="P29" s="662"/>
      <c r="Q29" s="650">
        <f t="shared" ca="1" si="12"/>
        <v>0</v>
      </c>
      <c r="R29" s="547">
        <v>198000</v>
      </c>
      <c r="S29" s="547">
        <f t="shared" ca="1" si="16"/>
        <v>119564.33256410254</v>
      </c>
      <c r="T29" s="547">
        <f ca="1">SUMIF(Resumen_Base!$A$221:$A$287,'Budget Comparativo'!D29,Resumen_Base!$Y$221:$Y$287)</f>
        <v>119564.33256410254</v>
      </c>
      <c r="U29" s="547">
        <f t="shared" ca="1" si="9"/>
        <v>0</v>
      </c>
      <c r="V29" s="888"/>
      <c r="W29" s="650">
        <f t="shared" ca="1" si="13"/>
        <v>0.60386026547526539</v>
      </c>
      <c r="X29" s="547">
        <f t="shared" si="17"/>
        <v>263000</v>
      </c>
      <c r="Y29" s="547">
        <f t="shared" ca="1" si="17"/>
        <v>144396.77384615381</v>
      </c>
      <c r="Z29" s="547">
        <f t="shared" ca="1" si="17"/>
        <v>144396.77384615381</v>
      </c>
      <c r="AA29" s="547">
        <f t="shared" ca="1" si="10"/>
        <v>0</v>
      </c>
      <c r="AB29" s="571"/>
      <c r="AC29" s="650">
        <f t="shared" ca="1" si="14"/>
        <v>0.54903716291313232</v>
      </c>
      <c r="AD29" s="574"/>
      <c r="AF29" s="597">
        <v>5227</v>
      </c>
      <c r="AG29" s="597">
        <v>5280</v>
      </c>
      <c r="AH29" s="597"/>
      <c r="AI29" s="597"/>
      <c r="AJ29" s="597"/>
      <c r="AK29" s="597"/>
      <c r="AL29" s="597"/>
      <c r="AM29" s="597"/>
      <c r="AN29" s="597"/>
      <c r="AO29" s="597"/>
      <c r="AQ29" s="36">
        <f t="shared" si="18"/>
        <v>162.5</v>
      </c>
      <c r="AR29" s="36">
        <f t="shared" ca="1" si="19"/>
        <v>165.54960854700855</v>
      </c>
      <c r="AS29" s="547">
        <f t="shared" ca="1" si="5"/>
        <v>-3.0496085470085461</v>
      </c>
      <c r="AU29" s="36" t="e">
        <f t="shared" si="20"/>
        <v>#DIV/0!</v>
      </c>
      <c r="AV29" s="36" t="e">
        <f t="shared" ca="1" si="21"/>
        <v>#DIV/0!</v>
      </c>
      <c r="AW29" s="547" t="e">
        <f t="shared" ca="1" si="22"/>
        <v>#DIV/0!</v>
      </c>
      <c r="AY29" s="36">
        <f t="shared" si="23"/>
        <v>129.49640287769785</v>
      </c>
      <c r="AZ29" s="36">
        <f t="shared" ca="1" si="24"/>
        <v>112.69022861838128</v>
      </c>
      <c r="BA29" s="547">
        <f t="shared" ca="1" si="25"/>
        <v>16.806174259316563</v>
      </c>
    </row>
    <row r="30" spans="1:53" s="568" customFormat="1" ht="16">
      <c r="A30" s="577"/>
      <c r="B30" s="577"/>
      <c r="C30" s="591" t="s">
        <v>425</v>
      </c>
      <c r="D30" s="573" t="s">
        <v>400</v>
      </c>
      <c r="E30" s="574"/>
      <c r="F30" s="547">
        <v>26000</v>
      </c>
      <c r="G30" s="547">
        <f t="shared" ca="1" si="3"/>
        <v>4625.5253846153846</v>
      </c>
      <c r="H30" s="547">
        <f ca="1">+SUMIF(Resumen_Base!$A$28:$A$91,'Budget Comparativo'!D30,Resumen_Base!$Y$28:$Y$91)</f>
        <v>4625.5253846153846</v>
      </c>
      <c r="I30" s="547">
        <f t="shared" ca="1" si="6"/>
        <v>0</v>
      </c>
      <c r="J30" s="622" t="s">
        <v>7081</v>
      </c>
      <c r="K30" s="650">
        <f t="shared" ca="1" si="11"/>
        <v>0.17790482248520709</v>
      </c>
      <c r="L30" s="547">
        <v>2400</v>
      </c>
      <c r="M30" s="547">
        <f t="shared" ca="1" si="7"/>
        <v>0</v>
      </c>
      <c r="N30" s="547">
        <f ca="1">+SUMIF(Resumen_Base!$A$94:$A$156,'Budget Comparativo'!D30,Resumen_Base!$Y$94:$Y$156)</f>
        <v>0</v>
      </c>
      <c r="O30" s="547">
        <f t="shared" ca="1" si="8"/>
        <v>0</v>
      </c>
      <c r="P30" s="662"/>
      <c r="Q30" s="650">
        <f t="shared" ca="1" si="12"/>
        <v>0</v>
      </c>
      <c r="R30" s="547">
        <v>132000</v>
      </c>
      <c r="S30" s="547">
        <f t="shared" ca="1" si="16"/>
        <v>101787.5242065882</v>
      </c>
      <c r="T30" s="547">
        <f ca="1">SUMIF(Resumen_Base!$A$221:$A$287,'Budget Comparativo'!D30,Resumen_Base!$Y$221:$Y$287)</f>
        <v>101787.5242065882</v>
      </c>
      <c r="U30" s="547">
        <f t="shared" ca="1" si="9"/>
        <v>0</v>
      </c>
      <c r="V30" s="888"/>
      <c r="W30" s="650">
        <f t="shared" ca="1" si="13"/>
        <v>0.77111760762566817</v>
      </c>
      <c r="X30" s="547">
        <f t="shared" si="17"/>
        <v>160400</v>
      </c>
      <c r="Y30" s="547">
        <f t="shared" ca="1" si="17"/>
        <v>106413.04959120358</v>
      </c>
      <c r="Z30" s="547">
        <f t="shared" ca="1" si="17"/>
        <v>106413.04959120358</v>
      </c>
      <c r="AA30" s="547">
        <f t="shared" ca="1" si="10"/>
        <v>0</v>
      </c>
      <c r="AB30" s="547"/>
      <c r="AC30" s="650">
        <f t="shared" ca="1" si="14"/>
        <v>0.66342300243892505</v>
      </c>
      <c r="AD30" s="574"/>
      <c r="AF30" s="597">
        <v>5226</v>
      </c>
      <c r="AG30" s="597">
        <v>5281</v>
      </c>
      <c r="AH30" s="597"/>
      <c r="AI30" s="597"/>
      <c r="AJ30" s="597"/>
      <c r="AK30" s="597"/>
      <c r="AL30" s="597"/>
      <c r="AM30" s="597"/>
      <c r="AN30" s="597"/>
      <c r="AO30" s="597"/>
      <c r="AQ30" s="36">
        <f t="shared" si="18"/>
        <v>65</v>
      </c>
      <c r="AR30" s="36">
        <f t="shared" ca="1" si="19"/>
        <v>30.836835897435897</v>
      </c>
      <c r="AS30" s="547">
        <f t="shared" ca="1" si="5"/>
        <v>34.163164102564103</v>
      </c>
      <c r="AU30" s="36" t="e">
        <f t="shared" si="20"/>
        <v>#DIV/0!</v>
      </c>
      <c r="AV30" s="36" t="e">
        <f t="shared" ca="1" si="21"/>
        <v>#DIV/0!</v>
      </c>
      <c r="AW30" s="547" t="e">
        <f t="shared" ca="1" si="22"/>
        <v>#DIV/0!</v>
      </c>
      <c r="AY30" s="36">
        <f t="shared" si="23"/>
        <v>86.330935251798564</v>
      </c>
      <c r="AZ30" s="36">
        <f t="shared" ca="1" si="24"/>
        <v>95.935461080667494</v>
      </c>
      <c r="BA30" s="547">
        <f t="shared" ca="1" si="25"/>
        <v>-9.6045258288689297</v>
      </c>
    </row>
    <row r="31" spans="1:53" s="568" customFormat="1" ht="16">
      <c r="A31" s="577"/>
      <c r="B31" s="577"/>
      <c r="C31" s="591" t="s">
        <v>425</v>
      </c>
      <c r="D31" s="573" t="s">
        <v>401</v>
      </c>
      <c r="E31" s="574"/>
      <c r="F31" s="547">
        <v>7500</v>
      </c>
      <c r="G31" s="547">
        <f t="shared" ca="1" si="3"/>
        <v>7500</v>
      </c>
      <c r="H31" s="547">
        <f ca="1">+SUMIF(Resumen_Base!$A$28:$A$91,'Budget Comparativo'!D31,Resumen_Base!$Y$28:$Y$91)</f>
        <v>7538.6343589743583</v>
      </c>
      <c r="I31" s="547">
        <f t="shared" ca="1" si="6"/>
        <v>-38.634358974358292</v>
      </c>
      <c r="J31" s="622"/>
      <c r="K31" s="650">
        <f t="shared" ca="1" si="11"/>
        <v>1.0051512478632478</v>
      </c>
      <c r="L31" s="547">
        <v>0</v>
      </c>
      <c r="M31" s="547">
        <f t="shared" ca="1" si="7"/>
        <v>0</v>
      </c>
      <c r="N31" s="547">
        <f ca="1">+SUMIF(Resumen_Base!$A$94:$A$156,'Budget Comparativo'!D31,Resumen_Base!$Y$94:$Y$156)</f>
        <v>0</v>
      </c>
      <c r="O31" s="547">
        <f t="shared" ca="1" si="8"/>
        <v>0</v>
      </c>
      <c r="P31" s="662"/>
      <c r="Q31" s="650">
        <f t="shared" ca="1" si="12"/>
        <v>0</v>
      </c>
      <c r="R31" s="547">
        <v>44000</v>
      </c>
      <c r="S31" s="547">
        <f t="shared" ca="1" si="16"/>
        <v>28816.706410256411</v>
      </c>
      <c r="T31" s="547">
        <f ca="1">SUMIF(Resumen_Base!$A$221:$A$287,'Budget Comparativo'!D31,Resumen_Base!$Y$221:$Y$287)</f>
        <v>28816.706410256411</v>
      </c>
      <c r="U31" s="547">
        <f t="shared" ca="1" si="9"/>
        <v>0</v>
      </c>
      <c r="V31" s="571"/>
      <c r="W31" s="650">
        <f t="shared" ca="1" si="13"/>
        <v>0.6549251456876457</v>
      </c>
      <c r="X31" s="547">
        <f t="shared" si="17"/>
        <v>51500</v>
      </c>
      <c r="Y31" s="547">
        <f t="shared" ca="1" si="17"/>
        <v>36316.706410256411</v>
      </c>
      <c r="Z31" s="547">
        <f t="shared" ca="1" si="17"/>
        <v>36355.340769230766</v>
      </c>
      <c r="AA31" s="547">
        <f t="shared" ca="1" si="10"/>
        <v>-38.634358974355564</v>
      </c>
      <c r="AB31" s="547"/>
      <c r="AC31" s="650">
        <f t="shared" ca="1" si="14"/>
        <v>0.70592894697535469</v>
      </c>
      <c r="AD31" s="574"/>
      <c r="AF31" s="597">
        <v>5235</v>
      </c>
      <c r="AG31" s="597">
        <v>5236</v>
      </c>
      <c r="AH31" s="597">
        <v>5237</v>
      </c>
      <c r="AI31" s="597"/>
      <c r="AJ31" s="597"/>
      <c r="AK31" s="597"/>
      <c r="AL31" s="597"/>
      <c r="AM31" s="597"/>
      <c r="AN31" s="597"/>
      <c r="AO31" s="597"/>
      <c r="AQ31" s="36">
        <f t="shared" si="18"/>
        <v>18.75</v>
      </c>
      <c r="AR31" s="36">
        <f t="shared" ca="1" si="19"/>
        <v>50.257562393162388</v>
      </c>
      <c r="AS31" s="547">
        <f t="shared" ca="1" si="5"/>
        <v>-31.507562393162388</v>
      </c>
      <c r="AU31" s="36" t="e">
        <f t="shared" si="20"/>
        <v>#DIV/0!</v>
      </c>
      <c r="AV31" s="36" t="e">
        <f t="shared" ca="1" si="21"/>
        <v>#DIV/0!</v>
      </c>
      <c r="AW31" s="547" t="e">
        <f t="shared" ca="1" si="22"/>
        <v>#DIV/0!</v>
      </c>
      <c r="AY31" s="36">
        <f t="shared" si="23"/>
        <v>28.776978417266186</v>
      </c>
      <c r="AZ31" s="36">
        <f t="shared" ca="1" si="24"/>
        <v>27.159949491287851</v>
      </c>
      <c r="BA31" s="547">
        <f t="shared" ca="1" si="25"/>
        <v>1.6170289259783353</v>
      </c>
    </row>
    <row r="32" spans="1:53" s="548" customFormat="1" ht="16">
      <c r="C32" s="591" t="s">
        <v>98</v>
      </c>
      <c r="D32" s="565" t="s">
        <v>402</v>
      </c>
      <c r="E32" s="546"/>
      <c r="F32" s="547">
        <f>-$F$8*200</f>
        <v>-80000</v>
      </c>
      <c r="G32" s="547">
        <f t="shared" si="3"/>
        <v>-30000</v>
      </c>
      <c r="H32" s="547">
        <f ca="1">+SUMIF(Resumen_Base!$A$28:$A$91,'Budget Comparativo'!D32,Resumen_Base!$Y$28:$Y$91)</f>
        <v>-39310</v>
      </c>
      <c r="I32" s="547">
        <f t="shared" ca="1" si="6"/>
        <v>9310</v>
      </c>
      <c r="J32" s="622"/>
      <c r="K32" s="547"/>
      <c r="L32" s="547">
        <f>-$L$8*150</f>
        <v>0</v>
      </c>
      <c r="M32" s="547">
        <f>IF(L32=0,0,IF(C32="Acumulado",IF(N32&gt;L32,L32,N32),IF(C32="BN",+(L32/$L$8*$M$8),"VER")))</f>
        <v>0</v>
      </c>
      <c r="N32" s="547">
        <f ca="1">+SUMIF(Resumen_Base!$A$94:$A$156,'Budget Comparativo'!D32,Resumen_Base!$Y$94:$Y$156)</f>
        <v>0</v>
      </c>
      <c r="O32" s="547">
        <f t="shared" ca="1" si="8"/>
        <v>0</v>
      </c>
      <c r="P32" s="662"/>
      <c r="Q32" s="547"/>
      <c r="R32" s="547">
        <f>-$R$8*200</f>
        <v>-305800</v>
      </c>
      <c r="S32" s="547">
        <f t="shared" si="16"/>
        <v>-212200</v>
      </c>
      <c r="T32" s="547">
        <f ca="1">SUMIF(Resumen_Base!$A$221:$A$287,'Budget Comparativo'!D32,Resumen_Base!$Y$221:$Y$287)</f>
        <v>-213761.4999</v>
      </c>
      <c r="U32" s="547">
        <f t="shared" ca="1" si="9"/>
        <v>1561.4998999999953</v>
      </c>
      <c r="V32" s="571"/>
      <c r="W32" s="547"/>
      <c r="X32" s="547">
        <f t="shared" si="17"/>
        <v>-385800</v>
      </c>
      <c r="Y32" s="547">
        <f t="shared" si="17"/>
        <v>-242200</v>
      </c>
      <c r="Z32" s="547">
        <f t="shared" ca="1" si="17"/>
        <v>-253071.4999</v>
      </c>
      <c r="AA32" s="547">
        <f t="shared" ca="1" si="10"/>
        <v>10871.499899999995</v>
      </c>
      <c r="AB32" s="547"/>
      <c r="AC32" s="547"/>
      <c r="AD32" s="546"/>
      <c r="AF32" s="597"/>
      <c r="AG32" s="597"/>
      <c r="AH32" s="597"/>
      <c r="AI32" s="597"/>
      <c r="AJ32" s="597"/>
      <c r="AK32" s="597"/>
      <c r="AL32" s="597"/>
      <c r="AM32" s="597"/>
      <c r="AN32" s="597"/>
      <c r="AO32" s="597"/>
      <c r="AQ32" s="36">
        <f t="shared" si="18"/>
        <v>-200</v>
      </c>
      <c r="AR32" s="36">
        <f t="shared" ca="1" si="19"/>
        <v>-262.06666666666666</v>
      </c>
      <c r="AS32" s="547">
        <f t="shared" ca="1" si="5"/>
        <v>62.066666666666663</v>
      </c>
      <c r="AU32" s="36" t="e">
        <f t="shared" si="20"/>
        <v>#DIV/0!</v>
      </c>
      <c r="AV32" s="36" t="e">
        <f t="shared" ca="1" si="21"/>
        <v>#DIV/0!</v>
      </c>
      <c r="AW32" s="547" t="e">
        <f t="shared" ca="1" si="22"/>
        <v>#DIV/0!</v>
      </c>
      <c r="AY32" s="36">
        <f t="shared" si="23"/>
        <v>-200</v>
      </c>
      <c r="AZ32" s="36">
        <f t="shared" ca="1" si="24"/>
        <v>-201.47172469368519</v>
      </c>
      <c r="BA32" s="547">
        <f t="shared" ca="1" si="25"/>
        <v>1.4717246936851893</v>
      </c>
    </row>
    <row r="33" spans="1:53" s="568" customFormat="1" ht="26">
      <c r="C33" s="591" t="s">
        <v>98</v>
      </c>
      <c r="D33" s="844" t="s">
        <v>403</v>
      </c>
      <c r="E33" s="546"/>
      <c r="F33" s="547">
        <f>+$F$8*102</f>
        <v>40800</v>
      </c>
      <c r="G33" s="547">
        <f t="shared" si="3"/>
        <v>15300</v>
      </c>
      <c r="H33" s="547">
        <f ca="1">+SUMIF(Resumen_Base!$A$28:$A$91,'Budget Comparativo'!D33,Resumen_Base!$Y$28:$Y$91)+'Stock - Deudas'!F8</f>
        <v>21257.141025641027</v>
      </c>
      <c r="I33" s="547">
        <f t="shared" ca="1" si="6"/>
        <v>-5957.1410256410272</v>
      </c>
      <c r="J33" s="622" t="s">
        <v>7088</v>
      </c>
      <c r="K33" s="547"/>
      <c r="L33" s="547">
        <f>+$L$8*85</f>
        <v>0</v>
      </c>
      <c r="M33" s="547">
        <f>IF(L33=0,0,IF(C33="Acumulado",IF(N33&gt;L33,L33,N33),IF(C33="BN",+(L33/$L$8*$M$8),"VER")))</f>
        <v>0</v>
      </c>
      <c r="N33" s="547">
        <f ca="1">+SUMIF(Resumen_Base!$A$94:$A$156,'Budget Comparativo'!D33,Resumen_Base!$Y$94:$Y$156)+'Stock - Deudas'!$L$8</f>
        <v>13.62</v>
      </c>
      <c r="O33" s="547">
        <f t="shared" ca="1" si="8"/>
        <v>-13.62</v>
      </c>
      <c r="P33" s="662"/>
      <c r="Q33" s="547"/>
      <c r="R33" s="547">
        <f>$R$8*100</f>
        <v>152900</v>
      </c>
      <c r="S33" s="547">
        <f t="shared" si="16"/>
        <v>106100</v>
      </c>
      <c r="T33" s="547">
        <f ca="1">SUMIF(Resumen_Base!$A$221:$A$287,'Budget Comparativo'!D33,Resumen_Base!$Y$221:$Y$287)+'Stock - Deudas'!$L$24</f>
        <v>106593.08281410257</v>
      </c>
      <c r="U33" s="547">
        <f t="shared" ca="1" si="9"/>
        <v>-493.08281410257041</v>
      </c>
      <c r="V33" s="547" t="s">
        <v>5866</v>
      </c>
      <c r="W33" s="547"/>
      <c r="X33" s="547">
        <f t="shared" si="17"/>
        <v>193700</v>
      </c>
      <c r="Y33" s="547">
        <f t="shared" si="17"/>
        <v>121400</v>
      </c>
      <c r="Z33" s="547">
        <f t="shared" ca="1" si="17"/>
        <v>127863.8438397436</v>
      </c>
      <c r="AA33" s="547">
        <f t="shared" ca="1" si="10"/>
        <v>-6463.8438397435966</v>
      </c>
      <c r="AB33" s="547"/>
      <c r="AC33" s="547"/>
      <c r="AD33" s="546"/>
      <c r="AE33" s="548"/>
      <c r="AF33" s="597">
        <v>5250</v>
      </c>
      <c r="AG33" s="597">
        <v>5251</v>
      </c>
      <c r="AH33" s="597">
        <v>5213</v>
      </c>
      <c r="AI33" s="597">
        <v>5291</v>
      </c>
      <c r="AJ33" s="597">
        <v>5289</v>
      </c>
      <c r="AK33" s="597"/>
      <c r="AL33" s="597"/>
      <c r="AM33" s="597"/>
      <c r="AN33" s="597"/>
      <c r="AO33" s="597"/>
      <c r="AQ33" s="36">
        <f t="shared" si="18"/>
        <v>102</v>
      </c>
      <c r="AR33" s="36">
        <f t="shared" ca="1" si="19"/>
        <v>141.71427350427351</v>
      </c>
      <c r="AS33" s="547">
        <f t="shared" ca="1" si="5"/>
        <v>-39.714273504273507</v>
      </c>
      <c r="AU33" s="36" t="e">
        <f t="shared" si="20"/>
        <v>#DIV/0!</v>
      </c>
      <c r="AV33" s="36" t="e">
        <f t="shared" ca="1" si="21"/>
        <v>#DIV/0!</v>
      </c>
      <c r="AW33" s="547" t="e">
        <f t="shared" ca="1" si="22"/>
        <v>#DIV/0!</v>
      </c>
      <c r="AY33" s="36">
        <f t="shared" si="23"/>
        <v>100</v>
      </c>
      <c r="AZ33" s="36">
        <f t="shared" ca="1" si="24"/>
        <v>100.46473403779696</v>
      </c>
      <c r="BA33" s="547">
        <f t="shared" ca="1" si="25"/>
        <v>-0.46473403779695843</v>
      </c>
    </row>
    <row r="34" spans="1:53" s="577" customFormat="1" ht="16">
      <c r="C34" s="592"/>
      <c r="D34" s="618" t="s">
        <v>404</v>
      </c>
      <c r="E34" s="576"/>
      <c r="F34" s="571">
        <f>+SUM(F35:F37)</f>
        <v>42500</v>
      </c>
      <c r="G34" s="571">
        <f>+SUM(G35:G37)</f>
        <v>15937.5</v>
      </c>
      <c r="H34" s="571">
        <f ca="1">+SUM(H35:H37)</f>
        <v>28340.079999999998</v>
      </c>
      <c r="I34" s="571">
        <f ca="1">+SUM(I35:I37)</f>
        <v>-12402.579999999996</v>
      </c>
      <c r="J34" s="622"/>
      <c r="K34" s="571"/>
      <c r="L34" s="571">
        <f>+SUM(L35:L37)</f>
        <v>0</v>
      </c>
      <c r="M34" s="571">
        <f>+SUM(M35:M37)</f>
        <v>0</v>
      </c>
      <c r="N34" s="571">
        <f ca="1">+SUM(N35:N37)</f>
        <v>265.09000000000003</v>
      </c>
      <c r="O34" s="571">
        <f ca="1">+SUM(O35:O37)</f>
        <v>-265.09000000000003</v>
      </c>
      <c r="P34" s="662"/>
      <c r="Q34" s="571"/>
      <c r="R34" s="571">
        <f>+SUM(R35:R37)</f>
        <v>71500</v>
      </c>
      <c r="S34" s="571">
        <f>+SUM(S35:S37)</f>
        <v>49615.107913669061</v>
      </c>
      <c r="T34" s="571">
        <f ca="1">+SUM(T35:T37)</f>
        <v>47282.16352564103</v>
      </c>
      <c r="U34" s="571">
        <f ca="1">+SUM(U35:U37)</f>
        <v>2332.9443880280387</v>
      </c>
      <c r="V34" s="571"/>
      <c r="W34" s="571"/>
      <c r="X34" s="571">
        <f>+SUM(X35:X37)</f>
        <v>114000</v>
      </c>
      <c r="Y34" s="571">
        <f>+SUM(Y35:Y37)</f>
        <v>65552.607913669068</v>
      </c>
      <c r="Z34" s="571">
        <f ca="1">+SUM(Z35:Z37)</f>
        <v>75887.333525641036</v>
      </c>
      <c r="AA34" s="571">
        <f ca="1">+SUM(AA35:AA37)</f>
        <v>-10334.725611971964</v>
      </c>
      <c r="AB34" s="571"/>
      <c r="AC34" s="571"/>
      <c r="AD34" s="578"/>
      <c r="AE34" s="641"/>
      <c r="AF34" s="597"/>
      <c r="AG34" s="597"/>
      <c r="AH34" s="597"/>
      <c r="AI34" s="597"/>
      <c r="AJ34" s="597"/>
      <c r="AK34" s="597"/>
      <c r="AL34" s="597"/>
      <c r="AM34" s="597"/>
      <c r="AN34" s="597"/>
      <c r="AO34" s="597"/>
      <c r="AQ34" s="571">
        <f>+SUM(AQ35:AQ37)</f>
        <v>106.25</v>
      </c>
      <c r="AR34" s="571">
        <f ca="1">+SUM(AR35:AR37)</f>
        <v>188.93386666666666</v>
      </c>
      <c r="AS34" s="571">
        <f ca="1">+SUM(AS35:AS37)</f>
        <v>-82.68386666666666</v>
      </c>
      <c r="AU34" s="571" t="e">
        <f>+SUM(AU35:AU37)</f>
        <v>#DIV/0!</v>
      </c>
      <c r="AV34" s="571" t="e">
        <f ca="1">+SUM(AV35:AV37)</f>
        <v>#DIV/0!</v>
      </c>
      <c r="AW34" s="571" t="e">
        <f ca="1">+SUM(AW35:AW37)</f>
        <v>#DIV/0!</v>
      </c>
      <c r="AY34" s="571">
        <f>+SUM(AY35:AY37)</f>
        <v>46.762589928057558</v>
      </c>
      <c r="AZ34" s="571">
        <f ca="1">+SUM(AZ35:AZ37)</f>
        <v>44.563773351216803</v>
      </c>
      <c r="BA34" s="571">
        <f ca="1">+SUM(BA35:BA37)</f>
        <v>2.1988165768407519</v>
      </c>
    </row>
    <row r="35" spans="1:53" s="17" customFormat="1" ht="16">
      <c r="C35" s="591" t="s">
        <v>98</v>
      </c>
      <c r="D35" s="579" t="s">
        <v>405</v>
      </c>
      <c r="E35" s="580"/>
      <c r="F35" s="547">
        <v>9000</v>
      </c>
      <c r="G35" s="547">
        <f t="shared" si="3"/>
        <v>3375</v>
      </c>
      <c r="H35" s="547">
        <f ca="1">+SUMIF(Resumen_Base!$A$28:$A$91,'Budget Comparativo'!D35,Resumen_Base!$Y$28:$Y$91)</f>
        <v>3848.4</v>
      </c>
      <c r="I35" s="547">
        <f t="shared" ca="1" si="6"/>
        <v>-473.40000000000009</v>
      </c>
      <c r="J35" s="622"/>
      <c r="K35" s="547"/>
      <c r="L35" s="547">
        <v>0</v>
      </c>
      <c r="M35" s="547">
        <f>IF(L35=0,0,IF(C35="Acumulado",IF(N35&gt;L35,L35,N35),IF(C35="BN",+(L35/$L$8*$M$8),"VER")))</f>
        <v>0</v>
      </c>
      <c r="N35" s="547">
        <f ca="1">+SUMIF(Resumen_Base!$A$94:$A$156,'Budget Comparativo'!D35,Resumen_Base!$Y$94:$Y$156)+'Stock - Deudas'!$L$10</f>
        <v>0</v>
      </c>
      <c r="O35" s="547">
        <f t="shared" ca="1" si="8"/>
        <v>0</v>
      </c>
      <c r="P35" s="662"/>
      <c r="Q35" s="547"/>
      <c r="R35" s="547">
        <v>28000</v>
      </c>
      <c r="S35" s="547">
        <f t="shared" ref="S35:S41" si="26">IF(C35="Acumulado",IF(T35&gt;R35,R35,T35),IF(C35="BN",+(R35/$R$8*$S$8),"VER"))</f>
        <v>19429.692609548725</v>
      </c>
      <c r="T35" s="547">
        <f ca="1">SUMIF(Resumen_Base!$A$221:$A$287,'Budget Comparativo'!D35,Resumen_Base!$Y$221:$Y$287)</f>
        <v>20038.303333333333</v>
      </c>
      <c r="U35" s="547">
        <f t="shared" ca="1" si="9"/>
        <v>-608.61072378460813</v>
      </c>
      <c r="V35" s="622" t="s">
        <v>5866</v>
      </c>
      <c r="W35" s="547"/>
      <c r="X35" s="547">
        <f t="shared" ref="X35:Z41" si="27">+F35+L35+R35</f>
        <v>37000</v>
      </c>
      <c r="Y35" s="547">
        <f t="shared" si="27"/>
        <v>22804.692609548725</v>
      </c>
      <c r="Z35" s="547">
        <f t="shared" ca="1" si="27"/>
        <v>23886.703333333335</v>
      </c>
      <c r="AA35" s="547">
        <f t="shared" ca="1" si="10"/>
        <v>-1082.0107237846096</v>
      </c>
      <c r="AB35" s="622"/>
      <c r="AC35" s="547"/>
      <c r="AD35" s="574"/>
      <c r="AE35" s="568"/>
      <c r="AF35" s="597">
        <v>5247</v>
      </c>
      <c r="AG35" s="597">
        <v>5259</v>
      </c>
      <c r="AH35" s="597"/>
      <c r="AI35" s="597"/>
      <c r="AJ35" s="597"/>
      <c r="AK35" s="597"/>
      <c r="AL35" s="597"/>
      <c r="AM35" s="597"/>
      <c r="AN35" s="597"/>
      <c r="AO35" s="597"/>
      <c r="AQ35" s="36">
        <f t="shared" ref="AQ35:AQ41" si="28">+F35/$AQ$8</f>
        <v>22.5</v>
      </c>
      <c r="AR35" s="36">
        <f t="shared" ref="AR35:AR41" ca="1" si="29">+H35/$AR$8</f>
        <v>25.656000000000002</v>
      </c>
      <c r="AS35" s="547">
        <f t="shared" ca="1" si="5"/>
        <v>-3.1560000000000024</v>
      </c>
      <c r="AU35" s="36" t="e">
        <f t="shared" ref="AU35:AU41" si="30">+L35/$AU$8</f>
        <v>#DIV/0!</v>
      </c>
      <c r="AV35" s="36" t="e">
        <f t="shared" ref="AV35:AV41" ca="1" si="31">+N35/$N$8</f>
        <v>#DIV/0!</v>
      </c>
      <c r="AW35" s="547" t="e">
        <f t="shared" ref="AW35:AW41" ca="1" si="32">+AU35-AV35</f>
        <v>#DIV/0!</v>
      </c>
      <c r="AY35" s="36">
        <f t="shared" ref="AY35:AY41" si="33">+R35/$AY$8</f>
        <v>18.312622629169393</v>
      </c>
      <c r="AZ35" s="36">
        <f t="shared" ref="AZ35:AZ41" ca="1" si="34">+T35/$AZ$8</f>
        <v>18.886242538485707</v>
      </c>
      <c r="BA35" s="547">
        <f t="shared" ref="BA35:BA41" ca="1" si="35">+AY35-AZ35</f>
        <v>-0.57361990931631368</v>
      </c>
    </row>
    <row r="36" spans="1:53" s="17" customFormat="1" ht="39">
      <c r="C36" s="591" t="s">
        <v>98</v>
      </c>
      <c r="D36" s="579" t="s">
        <v>406</v>
      </c>
      <c r="E36" s="580"/>
      <c r="F36" s="547">
        <v>33000</v>
      </c>
      <c r="G36" s="547">
        <f t="shared" si="3"/>
        <v>12375</v>
      </c>
      <c r="H36" s="547">
        <f ca="1">+SUMIF(Resumen_Base!$A$28:$A$91,'Budget Comparativo'!D36,Resumen_Base!$Y$28:$Y$91)+'Stock - Deudas'!F10</f>
        <v>24491.679999999997</v>
      </c>
      <c r="I36" s="547">
        <f t="shared" ca="1" si="6"/>
        <v>-12116.679999999997</v>
      </c>
      <c r="J36" s="748" t="s">
        <v>7087</v>
      </c>
      <c r="K36" s="547"/>
      <c r="L36" s="547">
        <v>0</v>
      </c>
      <c r="M36" s="547">
        <f>IF(L36=0,0,IF(C36="Acumulado",IF(N36&gt;L36,L36,N36),IF(C36="BN",+(L36/$L$8*$M$8),"VER")))</f>
        <v>0</v>
      </c>
      <c r="N36" s="547">
        <f ca="1">+SUMIF(Resumen_Base!$A$94:$A$156,'Budget Comparativo'!D36,Resumen_Base!$Y$94:$Y$156)+'Stock - Deudas'!$L$10</f>
        <v>265.09000000000003</v>
      </c>
      <c r="O36" s="547">
        <f t="shared" ca="1" si="8"/>
        <v>-265.09000000000003</v>
      </c>
      <c r="P36" s="662"/>
      <c r="Q36" s="547"/>
      <c r="R36" s="547">
        <v>38000</v>
      </c>
      <c r="S36" s="547">
        <f t="shared" si="26"/>
        <v>26368.868541530413</v>
      </c>
      <c r="T36" s="547">
        <f ca="1">SUMIF(Resumen_Base!$A$221:$A$287,'Budget Comparativo'!D36,Resumen_Base!$Y$221:$Y$287)+'Stock - Deudas'!$L$26</f>
        <v>28321.357692307694</v>
      </c>
      <c r="U36" s="547">
        <f t="shared" ca="1" si="9"/>
        <v>-1952.4891507772809</v>
      </c>
      <c r="V36" s="622" t="s">
        <v>5866</v>
      </c>
      <c r="W36" s="547"/>
      <c r="X36" s="547">
        <f t="shared" si="27"/>
        <v>71000</v>
      </c>
      <c r="Y36" s="547">
        <f t="shared" si="27"/>
        <v>38743.868541530413</v>
      </c>
      <c r="Z36" s="547">
        <f ca="1">+H36+N36+T36</f>
        <v>53078.127692307695</v>
      </c>
      <c r="AA36" s="547">
        <f t="shared" ca="1" si="10"/>
        <v>-14334.259150777281</v>
      </c>
      <c r="AB36" s="749"/>
      <c r="AC36" s="547"/>
      <c r="AD36" s="574"/>
      <c r="AE36" s="568"/>
      <c r="AF36" s="597">
        <v>5248</v>
      </c>
      <c r="AG36" s="597">
        <v>5288</v>
      </c>
      <c r="AH36" s="597"/>
      <c r="AI36" s="597"/>
      <c r="AJ36" s="597"/>
      <c r="AK36" s="597"/>
      <c r="AL36" s="597"/>
      <c r="AM36" s="597"/>
      <c r="AN36" s="597"/>
      <c r="AO36" s="597"/>
      <c r="AQ36" s="36">
        <f t="shared" si="28"/>
        <v>82.5</v>
      </c>
      <c r="AR36" s="36">
        <f t="shared" ca="1" si="29"/>
        <v>163.27786666666665</v>
      </c>
      <c r="AS36" s="547">
        <f t="shared" ca="1" si="5"/>
        <v>-80.777866666666654</v>
      </c>
      <c r="AU36" s="36" t="e">
        <f t="shared" si="30"/>
        <v>#DIV/0!</v>
      </c>
      <c r="AV36" s="36" t="e">
        <f t="shared" ca="1" si="31"/>
        <v>#DIV/0!</v>
      </c>
      <c r="AW36" s="547" t="e">
        <f t="shared" ca="1" si="32"/>
        <v>#DIV/0!</v>
      </c>
      <c r="AY36" s="36">
        <f t="shared" si="33"/>
        <v>24.852844996729889</v>
      </c>
      <c r="AZ36" s="36">
        <f t="shared" ca="1" si="34"/>
        <v>26.693079823098675</v>
      </c>
      <c r="BA36" s="547">
        <f t="shared" ca="1" si="35"/>
        <v>-1.8402348263687855</v>
      </c>
    </row>
    <row r="37" spans="1:53" s="17" customFormat="1" ht="16">
      <c r="C37" s="591" t="s">
        <v>98</v>
      </c>
      <c r="D37" s="579" t="s">
        <v>407</v>
      </c>
      <c r="E37" s="580"/>
      <c r="F37" s="547">
        <v>500</v>
      </c>
      <c r="G37" s="547">
        <f t="shared" si="3"/>
        <v>187.5</v>
      </c>
      <c r="H37" s="547">
        <f ca="1">+SUMIF(Resumen_Base!$A$28:$A$91,'Budget Comparativo'!D37,Resumen_Base!$Y$28:$Y$91)</f>
        <v>0</v>
      </c>
      <c r="I37" s="547">
        <f t="shared" ca="1" si="6"/>
        <v>187.5</v>
      </c>
      <c r="J37" s="622"/>
      <c r="K37" s="547"/>
      <c r="L37" s="547">
        <v>0</v>
      </c>
      <c r="M37" s="547">
        <f>IF(L37=0,0,IF(C37="Acumulado",IF(N37&gt;L37,L37,N37),IF(C37="BN",+(L37/$L$8*$M$8),"VER")))</f>
        <v>0</v>
      </c>
      <c r="N37" s="547">
        <f ca="1">+SUMIF(Resumen_Base!$A$94:$A$156,'Budget Comparativo'!D37,Resumen_Base!$Y$94:$Y$156)+'Stock - Deudas'!$L$18</f>
        <v>0</v>
      </c>
      <c r="O37" s="547">
        <f t="shared" ca="1" si="8"/>
        <v>0</v>
      </c>
      <c r="P37" s="662"/>
      <c r="Q37" s="547"/>
      <c r="R37" s="547">
        <v>5500</v>
      </c>
      <c r="S37" s="547">
        <f t="shared" si="26"/>
        <v>3816.5467625899278</v>
      </c>
      <c r="T37" s="547">
        <f ca="1">SUMIF(Resumen_Base!$A$221:$A$287,'Budget Comparativo'!D37,Resumen_Base!$Y$221:$Y$287)+'Stock - Deudas'!L32</f>
        <v>-1077.4974999999999</v>
      </c>
      <c r="U37" s="547">
        <f t="shared" ca="1" si="9"/>
        <v>4894.0442625899277</v>
      </c>
      <c r="V37" s="571" t="s">
        <v>5866</v>
      </c>
      <c r="W37" s="547"/>
      <c r="X37" s="547">
        <f t="shared" si="27"/>
        <v>6000</v>
      </c>
      <c r="Y37" s="547">
        <f t="shared" si="27"/>
        <v>4004.0467625899278</v>
      </c>
      <c r="Z37" s="547">
        <f ca="1">+H37+N37+T37</f>
        <v>-1077.4974999999999</v>
      </c>
      <c r="AA37" s="547">
        <f t="shared" ca="1" si="10"/>
        <v>5081.5442625899277</v>
      </c>
      <c r="AB37" s="547"/>
      <c r="AC37" s="547"/>
      <c r="AD37" s="574"/>
      <c r="AE37" s="568"/>
      <c r="AF37" s="597">
        <v>5249</v>
      </c>
      <c r="AG37" s="597"/>
      <c r="AH37" s="597"/>
      <c r="AI37" s="597"/>
      <c r="AJ37" s="597"/>
      <c r="AK37" s="597"/>
      <c r="AL37" s="597"/>
      <c r="AM37" s="597"/>
      <c r="AN37" s="597"/>
      <c r="AO37" s="597"/>
      <c r="AQ37" s="36">
        <f t="shared" si="28"/>
        <v>1.25</v>
      </c>
      <c r="AR37" s="36">
        <f t="shared" ca="1" si="29"/>
        <v>0</v>
      </c>
      <c r="AS37" s="547">
        <f t="shared" ca="1" si="5"/>
        <v>1.25</v>
      </c>
      <c r="AU37" s="36" t="e">
        <f t="shared" si="30"/>
        <v>#DIV/0!</v>
      </c>
      <c r="AV37" s="36" t="e">
        <f t="shared" ca="1" si="31"/>
        <v>#DIV/0!</v>
      </c>
      <c r="AW37" s="547" t="e">
        <f t="shared" ca="1" si="32"/>
        <v>#DIV/0!</v>
      </c>
      <c r="AY37" s="36">
        <f t="shared" si="33"/>
        <v>3.5971223021582732</v>
      </c>
      <c r="AZ37" s="36">
        <f t="shared" ca="1" si="34"/>
        <v>-1.0155490103675777</v>
      </c>
      <c r="BA37" s="547">
        <f t="shared" ca="1" si="35"/>
        <v>4.6126713125258512</v>
      </c>
    </row>
    <row r="38" spans="1:53" s="568" customFormat="1" ht="16">
      <c r="C38" s="591" t="s">
        <v>425</v>
      </c>
      <c r="D38" s="845" t="s">
        <v>408</v>
      </c>
      <c r="E38" s="546"/>
      <c r="F38" s="547">
        <v>25000</v>
      </c>
      <c r="G38" s="547">
        <f t="shared" ca="1" si="3"/>
        <v>11822.9</v>
      </c>
      <c r="H38" s="547">
        <f ca="1">+SUMIF(Resumen_Base!$A$28:$A$91,'Budget Comparativo'!D38,Resumen_Base!$Y$28:$Y$91)</f>
        <v>11822.9</v>
      </c>
      <c r="I38" s="547">
        <f t="shared" ca="1" si="6"/>
        <v>0</v>
      </c>
      <c r="J38" s="622"/>
      <c r="K38" s="650">
        <f ca="1">IF(ROUND(H38,0)=0,0,IF(F38=0,0,+H38/F38))</f>
        <v>0.472916</v>
      </c>
      <c r="L38" s="547">
        <v>0</v>
      </c>
      <c r="M38" s="547">
        <f ca="1">IF(C38="Acumulado",IF(N38&gt;L38,L38,N38),IF(C38="BN",+(L38/$L$8*$M$8),"VER"))</f>
        <v>0</v>
      </c>
      <c r="N38" s="547">
        <f ca="1">+SUMIF(Resumen_Base!$A$94:$A$156,'Budget Comparativo'!D38,Resumen_Base!$Y$94:$Y$156)+'Stock - Deudas'!$L$18</f>
        <v>0</v>
      </c>
      <c r="O38" s="547">
        <f t="shared" ca="1" si="8"/>
        <v>0</v>
      </c>
      <c r="P38" s="662"/>
      <c r="Q38" s="650">
        <f ca="1">IF(ROUND(N38,0)=0,0,IF(L38=0,0,+N38/L38))</f>
        <v>0</v>
      </c>
      <c r="R38" s="547">
        <v>40000</v>
      </c>
      <c r="S38" s="547">
        <f t="shared" ca="1" si="26"/>
        <v>34845</v>
      </c>
      <c r="T38" s="547">
        <f ca="1">SUMIF(Resumen_Base!$A$221:$A$287,'Budget Comparativo'!D38,Resumen_Base!$Y$221:$Y$287)</f>
        <v>34845</v>
      </c>
      <c r="U38" s="547">
        <f t="shared" ca="1" si="9"/>
        <v>0</v>
      </c>
      <c r="V38" s="571" t="s">
        <v>5866</v>
      </c>
      <c r="W38" s="650">
        <f ca="1">IF(ROUND(T38,0)=0,0,IF(R38=0,0,+T38/R38))</f>
        <v>0.87112500000000004</v>
      </c>
      <c r="X38" s="547">
        <f t="shared" si="27"/>
        <v>65000</v>
      </c>
      <c r="Y38" s="547">
        <f t="shared" ca="1" si="27"/>
        <v>46667.9</v>
      </c>
      <c r="Z38" s="547">
        <f t="shared" ca="1" si="27"/>
        <v>46667.9</v>
      </c>
      <c r="AA38" s="547">
        <f t="shared" ca="1" si="10"/>
        <v>0</v>
      </c>
      <c r="AB38" s="547"/>
      <c r="AC38" s="650">
        <f ca="1">IF(ROUND(Z38,0)=0,0,IF(X38=0,0,+Z38/X38))</f>
        <v>0.71796769230769231</v>
      </c>
      <c r="AD38" s="546"/>
      <c r="AE38" s="548"/>
      <c r="AF38" s="597">
        <v>5225</v>
      </c>
      <c r="AG38" s="597"/>
      <c r="AH38" s="597"/>
      <c r="AI38" s="597"/>
      <c r="AJ38" s="597"/>
      <c r="AK38" s="597"/>
      <c r="AL38" s="597"/>
      <c r="AM38" s="597"/>
      <c r="AN38" s="597"/>
      <c r="AO38" s="597"/>
      <c r="AQ38" s="36">
        <f t="shared" si="28"/>
        <v>62.5</v>
      </c>
      <c r="AR38" s="36">
        <f t="shared" ca="1" si="29"/>
        <v>78.819333333333333</v>
      </c>
      <c r="AS38" s="547">
        <f t="shared" ca="1" si="5"/>
        <v>-16.319333333333333</v>
      </c>
      <c r="AU38" s="36" t="e">
        <f t="shared" si="30"/>
        <v>#DIV/0!</v>
      </c>
      <c r="AV38" s="36" t="e">
        <f t="shared" ca="1" si="31"/>
        <v>#DIV/0!</v>
      </c>
      <c r="AW38" s="547" t="e">
        <f t="shared" ca="1" si="32"/>
        <v>#DIV/0!</v>
      </c>
      <c r="AY38" s="36">
        <f t="shared" si="33"/>
        <v>26.160889470241987</v>
      </c>
      <c r="AZ38" s="36">
        <f t="shared" ca="1" si="34"/>
        <v>32.841658812441096</v>
      </c>
      <c r="BA38" s="547">
        <f t="shared" ca="1" si="35"/>
        <v>-6.6807693421991097</v>
      </c>
    </row>
    <row r="39" spans="1:53" ht="38" customHeight="1">
      <c r="C39" s="591" t="s">
        <v>425</v>
      </c>
      <c r="D39" s="551" t="s">
        <v>409</v>
      </c>
      <c r="E39" s="546"/>
      <c r="F39" s="547">
        <v>4000</v>
      </c>
      <c r="G39" s="547">
        <f t="shared" ca="1" si="3"/>
        <v>3509.8000000000011</v>
      </c>
      <c r="H39" s="547">
        <f ca="1">+SUMIF(Resumen_Base!$A$28:$A$91,'Budget Comparativo'!D39,Resumen_Base!$Y$28:$Y$91)</f>
        <v>3509.8000000000011</v>
      </c>
      <c r="I39" s="547">
        <f t="shared" ca="1" si="6"/>
        <v>0</v>
      </c>
      <c r="J39" s="748" t="s">
        <v>3406</v>
      </c>
      <c r="K39" s="650">
        <f ca="1">IF(ROUND(H39,0)=0,0,IF(F39=0,0,+H39/F39))</f>
        <v>0.87745000000000029</v>
      </c>
      <c r="L39" s="547">
        <v>0</v>
      </c>
      <c r="M39" s="547">
        <f ca="1">IF(C39="Acumulado",IF(N39&gt;L39,L39,N39),IF(C39="BN",+(L39/$L$8*$M$8),"VER"))</f>
        <v>0</v>
      </c>
      <c r="N39" s="547">
        <f ca="1">+SUMIF(Resumen_Base!$A$94:$A$156,'Budget Comparativo'!D39,Resumen_Base!$Y$94:$Y$156)</f>
        <v>0</v>
      </c>
      <c r="O39" s="547">
        <f t="shared" ca="1" si="8"/>
        <v>0</v>
      </c>
      <c r="P39" s="662"/>
      <c r="Q39" s="650">
        <f ca="1">IF(ROUND(N39,0)=0,0,IF(L39=0,0,+N39/L39))</f>
        <v>0</v>
      </c>
      <c r="R39" s="547">
        <v>8000</v>
      </c>
      <c r="S39" s="547">
        <f t="shared" ca="1" si="26"/>
        <v>5595.2459591769075</v>
      </c>
      <c r="T39" s="547">
        <f ca="1">SUMIF(Resumen_Base!$A$221:$A$287,'Budget Comparativo'!D39,Resumen_Base!$Y$221:$Y$287)+'Stock - Deudas'!L30</f>
        <v>5595.2459591769075</v>
      </c>
      <c r="U39" s="547">
        <f t="shared" ca="1" si="9"/>
        <v>0</v>
      </c>
      <c r="V39" s="571" t="s">
        <v>5866</v>
      </c>
      <c r="W39" s="650">
        <f ca="1">IF(ROUND(T39,0)=0,0,IF(R39=0,0,+T39/R39))</f>
        <v>0.69940574489711349</v>
      </c>
      <c r="X39" s="547">
        <f t="shared" si="27"/>
        <v>12000</v>
      </c>
      <c r="Y39" s="547">
        <f t="shared" ca="1" si="27"/>
        <v>9105.0459591769086</v>
      </c>
      <c r="Z39" s="547">
        <f t="shared" ca="1" si="27"/>
        <v>9105.0459591769086</v>
      </c>
      <c r="AA39" s="547">
        <f t="shared" ca="1" si="10"/>
        <v>0</v>
      </c>
      <c r="AB39" s="547"/>
      <c r="AC39" s="650">
        <f ca="1">IF(ROUND(Z39,0)=0,0,IF(X39=0,0,+Z39/X39))</f>
        <v>0.75875382993140905</v>
      </c>
      <c r="AD39" s="546"/>
      <c r="AE39" s="548"/>
      <c r="AF39" s="597">
        <v>5255</v>
      </c>
      <c r="AG39" s="597">
        <v>5310</v>
      </c>
      <c r="AH39" s="597">
        <v>5222</v>
      </c>
      <c r="AI39" s="597">
        <v>5256</v>
      </c>
      <c r="AJ39" s="597"/>
      <c r="AK39" s="597"/>
      <c r="AL39" s="597"/>
      <c r="AM39" s="597"/>
      <c r="AN39" s="597"/>
      <c r="AO39" s="597"/>
      <c r="AQ39" s="36">
        <f t="shared" si="28"/>
        <v>10</v>
      </c>
      <c r="AR39" s="36">
        <f t="shared" ca="1" si="29"/>
        <v>23.398666666666674</v>
      </c>
      <c r="AS39" s="547">
        <f t="shared" ca="1" si="5"/>
        <v>-13.398666666666674</v>
      </c>
      <c r="AU39" s="36" t="e">
        <f t="shared" si="30"/>
        <v>#DIV/0!</v>
      </c>
      <c r="AV39" s="36" t="e">
        <f t="shared" ca="1" si="31"/>
        <v>#DIV/0!</v>
      </c>
      <c r="AW39" s="547" t="e">
        <f t="shared" ca="1" si="32"/>
        <v>#DIV/0!</v>
      </c>
      <c r="AY39" s="36">
        <f t="shared" si="33"/>
        <v>5.2321778940483981</v>
      </c>
      <c r="AZ39" s="36">
        <f t="shared" ca="1" si="34"/>
        <v>5.2735588682157468</v>
      </c>
      <c r="BA39" s="547">
        <f t="shared" ca="1" si="35"/>
        <v>-4.1380974167348761E-2</v>
      </c>
    </row>
    <row r="40" spans="1:53" s="568" customFormat="1" ht="26">
      <c r="C40" s="591" t="s">
        <v>425</v>
      </c>
      <c r="D40" s="818" t="s">
        <v>410</v>
      </c>
      <c r="E40" s="546"/>
      <c r="F40" s="547">
        <v>2500</v>
      </c>
      <c r="G40" s="547">
        <f t="shared" ca="1" si="3"/>
        <v>2500</v>
      </c>
      <c r="H40" s="547">
        <f ca="1">+SUMIF(Resumen_Base!$A$28:$A$91,'Budget Comparativo'!D40,Resumen_Base!$Y$28:$Y$91)</f>
        <v>3407.1106120996456</v>
      </c>
      <c r="I40" s="547">
        <f t="shared" ca="1" si="6"/>
        <v>-907.11061209964555</v>
      </c>
      <c r="J40" s="622" t="s">
        <v>7086</v>
      </c>
      <c r="K40" s="650">
        <f ca="1">IF(ROUND(H40,0)=0,0,IF(F40=0,0,+H40/F40))</f>
        <v>1.3628442448398581</v>
      </c>
      <c r="L40" s="547">
        <v>0</v>
      </c>
      <c r="M40" s="547">
        <f ca="1">IF(C40="Acumulado",IF(N40&gt;L40,L40,N40),IF(C40="BN",+(L40/$L$8*$M$8),"VER"))</f>
        <v>0</v>
      </c>
      <c r="N40" s="547">
        <f ca="1">+SUMIF(Resumen_Base!$A$94:$A$156,'Budget Comparativo'!D40,Resumen_Base!$Y$94:$Y$156)</f>
        <v>530.80061209964458</v>
      </c>
      <c r="O40" s="547">
        <f t="shared" ca="1" si="8"/>
        <v>-530.80061209964458</v>
      </c>
      <c r="P40" s="662"/>
      <c r="Q40" s="650">
        <f ca="1">IF(ROUND(N40,0)=0,0,IF(L40=0,0,+N40/L40))</f>
        <v>0</v>
      </c>
      <c r="R40" s="547">
        <v>9000</v>
      </c>
      <c r="S40" s="547">
        <f t="shared" ca="1" si="26"/>
        <v>9000</v>
      </c>
      <c r="T40" s="547">
        <f ca="1">SUMIF(Resumen_Base!$A$221:$A$287,'Budget Comparativo'!D40,Resumen_Base!$Y$221:$Y$287)</f>
        <v>9937.5408215531916</v>
      </c>
      <c r="U40" s="547">
        <f t="shared" ca="1" si="9"/>
        <v>-937.54082155319156</v>
      </c>
      <c r="V40" s="748" t="s">
        <v>7089</v>
      </c>
      <c r="W40" s="650">
        <f ca="1">IF(ROUND(T40,0)=0,0,IF(R40=0,0,+T40/R40))</f>
        <v>1.1041712023947992</v>
      </c>
      <c r="X40" s="547">
        <f t="shared" si="27"/>
        <v>11500</v>
      </c>
      <c r="Y40" s="547">
        <f t="shared" ca="1" si="27"/>
        <v>11500</v>
      </c>
      <c r="Z40" s="547">
        <f t="shared" ca="1" si="27"/>
        <v>13875.452045752481</v>
      </c>
      <c r="AA40" s="547">
        <f t="shared" ca="1" si="10"/>
        <v>-2375.4520457524814</v>
      </c>
      <c r="AB40" s="547"/>
      <c r="AC40" s="650">
        <f ca="1">IF(ROUND(Z40,0)=0,0,IF(X40=0,0,+Z40/X40))</f>
        <v>1.2065610474567374</v>
      </c>
      <c r="AD40" s="546"/>
      <c r="AE40" s="548"/>
      <c r="AF40" s="597">
        <v>5220</v>
      </c>
      <c r="AG40" s="597"/>
      <c r="AH40" s="597"/>
      <c r="AI40" s="597"/>
      <c r="AJ40" s="597"/>
      <c r="AK40" s="597"/>
      <c r="AL40" s="597"/>
      <c r="AM40" s="597"/>
      <c r="AN40" s="597"/>
      <c r="AO40" s="597"/>
      <c r="AQ40" s="36">
        <f t="shared" si="28"/>
        <v>6.25</v>
      </c>
      <c r="AR40" s="36">
        <f t="shared" ca="1" si="29"/>
        <v>22.714070747330972</v>
      </c>
      <c r="AS40" s="547">
        <f t="shared" ca="1" si="5"/>
        <v>-16.464070747330972</v>
      </c>
      <c r="AU40" s="36" t="e">
        <f t="shared" si="30"/>
        <v>#DIV/0!</v>
      </c>
      <c r="AV40" s="36" t="e">
        <f t="shared" ca="1" si="31"/>
        <v>#DIV/0!</v>
      </c>
      <c r="AW40" s="547" t="e">
        <f t="shared" ca="1" si="32"/>
        <v>#DIV/0!</v>
      </c>
      <c r="AY40" s="36">
        <f t="shared" si="33"/>
        <v>5.8862001308044469</v>
      </c>
      <c r="AZ40" s="36">
        <f t="shared" ca="1" si="34"/>
        <v>9.3662024708324143</v>
      </c>
      <c r="BA40" s="547">
        <f t="shared" ca="1" si="35"/>
        <v>-3.4800023400279674</v>
      </c>
    </row>
    <row r="41" spans="1:53" s="568" customFormat="1" ht="16">
      <c r="A41" s="568">
        <f ca="1">IF(ROUND(B41,0)=0,0,1)</f>
        <v>0</v>
      </c>
      <c r="B41" s="568">
        <f ca="1">+Z41-SUMIF(Resumen_Base!$A$8:$A$287,'Budget Comparativo'!D41,Resumen_Base!$Y$8:$Y$287)</f>
        <v>0</v>
      </c>
      <c r="C41" s="591" t="s">
        <v>425</v>
      </c>
      <c r="D41" s="550" t="s">
        <v>411</v>
      </c>
      <c r="E41" s="546"/>
      <c r="F41" s="547">
        <f>+$F$8*115</f>
        <v>46000</v>
      </c>
      <c r="G41" s="547">
        <f t="shared" ca="1" si="3"/>
        <v>10309.588461538462</v>
      </c>
      <c r="H41" s="547">
        <f ca="1">+SUMIF(Resumen_Base!$A$28:$A$91,'Budget Comparativo'!D41,Resumen_Base!$Y$28:$Y$91)</f>
        <v>10309.588461538462</v>
      </c>
      <c r="I41" s="547">
        <f t="shared" ca="1" si="6"/>
        <v>0</v>
      </c>
      <c r="J41" s="622"/>
      <c r="K41" s="650">
        <f ca="1">IF(ROUND(H41,0)=0,0,IF(F41=0,0,+H41/F41))</f>
        <v>0.22412148829431439</v>
      </c>
      <c r="L41" s="547">
        <f>+$L$8*115</f>
        <v>0</v>
      </c>
      <c r="M41" s="547">
        <f ca="1">IF(C41="Acumulado",IF(N41&gt;L41,L41,N41),IF(C41="BN",+(L41/$L$8*$M$8),"VER"))</f>
        <v>0</v>
      </c>
      <c r="N41" s="547">
        <f ca="1">+SUMIF(Resumen_Base!$A$94:$A$156,'Budget Comparativo'!D41,Resumen_Base!$Y$94:$Y$156)</f>
        <v>0</v>
      </c>
      <c r="O41" s="547">
        <f t="shared" ca="1" si="8"/>
        <v>0</v>
      </c>
      <c r="P41" s="662"/>
      <c r="Q41" s="650">
        <f ca="1">IF(ROUND(N41,0)=0,0,IF(L41=0,0,+N41/L41))</f>
        <v>0</v>
      </c>
      <c r="R41" s="547">
        <f>$R$8*55</f>
        <v>84095</v>
      </c>
      <c r="S41" s="547">
        <f t="shared" ca="1" si="26"/>
        <v>57746.73</v>
      </c>
      <c r="T41" s="547">
        <f ca="1">SUMIF(Resumen_Base!$A$221:$A$287,'Budget Comparativo'!D41,Resumen_Base!$Y$221:$Y$287)</f>
        <v>57746.73</v>
      </c>
      <c r="U41" s="547">
        <f t="shared" ca="1" si="9"/>
        <v>0</v>
      </c>
      <c r="V41" s="571"/>
      <c r="W41" s="650">
        <f ca="1">IF(ROUND(T41,0)=0,0,IF(R41=0,0,+T41/R41))</f>
        <v>0.6866844639990487</v>
      </c>
      <c r="X41" s="547">
        <f t="shared" si="27"/>
        <v>130095</v>
      </c>
      <c r="Y41" s="547">
        <f t="shared" ca="1" si="27"/>
        <v>68056.318461538467</v>
      </c>
      <c r="Z41" s="547">
        <f t="shared" ca="1" si="27"/>
        <v>68056.318461538467</v>
      </c>
      <c r="AA41" s="547">
        <f t="shared" ca="1" si="10"/>
        <v>0</v>
      </c>
      <c r="AB41" s="623"/>
      <c r="AC41" s="650">
        <f ca="1">IF(ROUND(Z41,0)=0,0,IF(X41=0,0,+Z41/X41))</f>
        <v>0.52312785627071345</v>
      </c>
      <c r="AD41" s="546"/>
      <c r="AE41" s="548"/>
      <c r="AF41" s="597">
        <v>5221</v>
      </c>
      <c r="AG41" s="597"/>
      <c r="AH41" s="597"/>
      <c r="AI41" s="597"/>
      <c r="AJ41" s="597"/>
      <c r="AK41" s="597"/>
      <c r="AL41" s="597"/>
      <c r="AM41" s="597"/>
      <c r="AN41" s="597"/>
      <c r="AO41" s="597"/>
      <c r="AQ41" s="36">
        <f t="shared" si="28"/>
        <v>115</v>
      </c>
      <c r="AR41" s="36">
        <f t="shared" ca="1" si="29"/>
        <v>68.730589743589746</v>
      </c>
      <c r="AS41" s="547">
        <f t="shared" ca="1" si="5"/>
        <v>46.269410256410254</v>
      </c>
      <c r="AU41" s="36" t="e">
        <f t="shared" si="30"/>
        <v>#DIV/0!</v>
      </c>
      <c r="AV41" s="36" t="e">
        <f t="shared" ca="1" si="31"/>
        <v>#DIV/0!</v>
      </c>
      <c r="AW41" s="547" t="e">
        <f t="shared" ca="1" si="32"/>
        <v>#DIV/0!</v>
      </c>
      <c r="AY41" s="36">
        <f t="shared" si="33"/>
        <v>55</v>
      </c>
      <c r="AZ41" s="36">
        <f t="shared" ca="1" si="34"/>
        <v>54.426701225259194</v>
      </c>
      <c r="BA41" s="547">
        <f t="shared" ca="1" si="35"/>
        <v>0.57329877474080604</v>
      </c>
    </row>
    <row r="42" spans="1:53" s="350" customFormat="1" ht="16">
      <c r="C42" s="592"/>
      <c r="D42" s="618" t="s">
        <v>412</v>
      </c>
      <c r="E42" s="581"/>
      <c r="F42" s="571">
        <f t="shared" ref="F42:N42" si="36">+SUM(F43:F45)</f>
        <v>37000</v>
      </c>
      <c r="G42" s="571">
        <f t="shared" ca="1" si="36"/>
        <v>22893.075897435898</v>
      </c>
      <c r="H42" s="571">
        <f t="shared" ca="1" si="36"/>
        <v>22893.075897435898</v>
      </c>
      <c r="I42" s="571">
        <f t="shared" ca="1" si="36"/>
        <v>0</v>
      </c>
      <c r="J42" s="622"/>
      <c r="K42" s="571"/>
      <c r="L42" s="571">
        <f t="shared" si="36"/>
        <v>200</v>
      </c>
      <c r="M42" s="571">
        <f t="shared" ca="1" si="36"/>
        <v>116.43</v>
      </c>
      <c r="N42" s="571">
        <f t="shared" ca="1" si="36"/>
        <v>130.66487544483991</v>
      </c>
      <c r="O42" s="571">
        <f ca="1">+SUM(O43:O45)</f>
        <v>-14.234875444839901</v>
      </c>
      <c r="P42" s="662"/>
      <c r="Q42" s="571"/>
      <c r="R42" s="571">
        <f>+SUM(R43:R45)</f>
        <v>49000</v>
      </c>
      <c r="S42" s="571">
        <f ca="1">+SUM(S43:S45)</f>
        <v>46801.467179487183</v>
      </c>
      <c r="T42" s="571">
        <f ca="1">+SUM(T43:T45)</f>
        <v>48483.880224473032</v>
      </c>
      <c r="U42" s="571">
        <f ca="1">+SUM(U43:U45)</f>
        <v>-1682.4130449858549</v>
      </c>
      <c r="V42" s="571"/>
      <c r="W42" s="571"/>
      <c r="X42" s="571">
        <f>+SUM(X43:X45)</f>
        <v>86200</v>
      </c>
      <c r="Y42" s="571">
        <f ca="1">+SUM(Y43:Y45)</f>
        <v>69810.973076923081</v>
      </c>
      <c r="Z42" s="571">
        <f ca="1">+SUM(Z43:Z45)</f>
        <v>71507.620997353777</v>
      </c>
      <c r="AA42" s="571">
        <f ca="1">+SUM(AA43:AA45)</f>
        <v>-1696.6479204306979</v>
      </c>
      <c r="AB42" s="571"/>
      <c r="AC42" s="571"/>
      <c r="AD42" s="578"/>
      <c r="AE42" s="641"/>
      <c r="AF42" s="597"/>
      <c r="AG42" s="597"/>
      <c r="AH42" s="597"/>
      <c r="AI42" s="597"/>
      <c r="AJ42" s="597"/>
      <c r="AK42" s="597"/>
      <c r="AL42" s="597"/>
      <c r="AM42" s="597"/>
      <c r="AN42" s="597"/>
      <c r="AO42" s="597"/>
      <c r="AQ42" s="571">
        <f>+SUM(AQ43:AQ45)</f>
        <v>92.5</v>
      </c>
      <c r="AR42" s="571">
        <f ca="1">+SUM(AR43:AR45)</f>
        <v>152.620505982906</v>
      </c>
      <c r="AS42" s="571">
        <f ca="1">+SUM(AS43:AS45)</f>
        <v>-60.120505982905982</v>
      </c>
      <c r="AU42" s="571" t="e">
        <f>+SUM(AU43:AU45)</f>
        <v>#DIV/0!</v>
      </c>
      <c r="AV42" s="571" t="e">
        <f ca="1">+SUM(AV43:AV45)</f>
        <v>#DIV/0!</v>
      </c>
      <c r="AW42" s="571" t="e">
        <f ca="1">+SUM(AW43:AW45)</f>
        <v>#DIV/0!</v>
      </c>
      <c r="AY42" s="571">
        <f>+SUM(AY43:AY45)</f>
        <v>32.047089601046437</v>
      </c>
      <c r="AZ42" s="571">
        <f ca="1">+SUM(AZ43:AZ45)</f>
        <v>45.696399834564595</v>
      </c>
      <c r="BA42" s="571">
        <f ca="1">+SUM(BA43:BA45)</f>
        <v>-13.649310233518161</v>
      </c>
    </row>
    <row r="43" spans="1:53" ht="101.25" customHeight="1">
      <c r="C43" s="591" t="s">
        <v>425</v>
      </c>
      <c r="D43" s="579" t="s">
        <v>413</v>
      </c>
      <c r="E43" s="74"/>
      <c r="F43" s="547">
        <v>24000</v>
      </c>
      <c r="G43" s="547">
        <f t="shared" ca="1" si="3"/>
        <v>18766.535897435897</v>
      </c>
      <c r="H43" s="547">
        <f ca="1">+SUMIF(Resumen_Base!$A$28:$A$91,'Budget Comparativo'!D43,Resumen_Base!$Y$28:$Y$91)</f>
        <v>18766.535897435897</v>
      </c>
      <c r="I43" s="547">
        <f t="shared" ca="1" si="6"/>
        <v>0</v>
      </c>
      <c r="J43" s="622"/>
      <c r="K43" s="650">
        <f ca="1">IF(ROUND(H43,0)=0,0,+H43/F43)</f>
        <v>0.78193899572649572</v>
      </c>
      <c r="L43" s="547">
        <v>200</v>
      </c>
      <c r="M43" s="547">
        <f t="shared" ref="M43:M49" ca="1" si="37">IF(C43="Acumulado",IF(N43&gt;L43,L43,N43),IF(C43="BN",+(L43/$L$8*$M$8),"VER"))</f>
        <v>116.43</v>
      </c>
      <c r="N43" s="547">
        <f ca="1">+SUMIF(Resumen_Base!$A$94:$A$156,'Budget Comparativo'!D43,Resumen_Base!$Y$94:$Y$156)</f>
        <v>116.43</v>
      </c>
      <c r="O43" s="547">
        <f t="shared" ca="1" si="8"/>
        <v>0</v>
      </c>
      <c r="P43" s="662"/>
      <c r="Q43" s="650">
        <f ca="1">IF(ROUND(N43,0)=0,0,+N43/L43)</f>
        <v>0.58215000000000006</v>
      </c>
      <c r="R43" s="547">
        <v>22000</v>
      </c>
      <c r="S43" s="547">
        <f t="shared" ref="S43:S49" ca="1" si="38">IF(C43="Acumulado",IF(T43&gt;R43,R43,T43),IF(C43="BN",+(R43/$R$8*$S$8),"VER"))</f>
        <v>22000</v>
      </c>
      <c r="T43" s="547">
        <f ca="1">SUMIF(Resumen_Base!$A$221:$A$287,'Budget Comparativo'!D43,Resumen_Base!$Y$221:$Y$287)</f>
        <v>22207.238686011497</v>
      </c>
      <c r="U43" s="547">
        <f t="shared" ca="1" si="9"/>
        <v>-207.23868601149661</v>
      </c>
      <c r="V43" s="547" t="s">
        <v>5866</v>
      </c>
      <c r="W43" s="650">
        <f ca="1">IF(ROUND(T43,0)=0,0,+T43/R43)</f>
        <v>1.0094199402732498</v>
      </c>
      <c r="X43" s="547">
        <f t="shared" ref="X43:Z49" si="39">+F43+L43+R43</f>
        <v>46200</v>
      </c>
      <c r="Y43" s="547">
        <f t="shared" ca="1" si="39"/>
        <v>40882.965897435897</v>
      </c>
      <c r="Z43" s="547">
        <f t="shared" ca="1" si="39"/>
        <v>41090.204583447397</v>
      </c>
      <c r="AA43" s="547">
        <f t="shared" ca="1" si="10"/>
        <v>-207.23868601150025</v>
      </c>
      <c r="AB43" s="547"/>
      <c r="AC43" s="650">
        <f ca="1">IF(ROUND(Z43,0)=0,0,+Z43/X43)</f>
        <v>0.88939836760708657</v>
      </c>
      <c r="AD43" s="546"/>
      <c r="AE43" s="548"/>
      <c r="AF43" s="597">
        <v>5252</v>
      </c>
      <c r="AG43" s="597"/>
      <c r="AH43" s="597"/>
      <c r="AI43" s="597"/>
      <c r="AJ43" s="597"/>
      <c r="AK43" s="597"/>
      <c r="AL43" s="597"/>
      <c r="AM43" s="597"/>
      <c r="AN43" s="597"/>
      <c r="AO43" s="597"/>
      <c r="AQ43" s="36">
        <f t="shared" ref="AQ43:AQ49" si="40">+F43/$AQ$8</f>
        <v>60</v>
      </c>
      <c r="AR43" s="36">
        <f t="shared" ref="AR43:AR49" ca="1" si="41">+H43/$AR$8</f>
        <v>125.11023931623932</v>
      </c>
      <c r="AS43" s="547">
        <f t="shared" ca="1" si="5"/>
        <v>-65.110239316239316</v>
      </c>
      <c r="AU43" s="36" t="e">
        <f t="shared" ref="AU43:AU49" si="42">+L43/$AU$8</f>
        <v>#DIV/0!</v>
      </c>
      <c r="AV43" s="36" t="e">
        <f t="shared" ref="AV43:AV49" ca="1" si="43">+N43/$N$8</f>
        <v>#DIV/0!</v>
      </c>
      <c r="AW43" s="547" t="e">
        <f t="shared" ref="AW43:AW49" ca="1" si="44">+AU43-AV43</f>
        <v>#DIV/0!</v>
      </c>
      <c r="AY43" s="36">
        <f t="shared" ref="AY43:AY49" si="45">+R43/$AY$8</f>
        <v>14.388489208633093</v>
      </c>
      <c r="AZ43" s="36">
        <f t="shared" ref="AZ43:AZ49" ca="1" si="46">+T43/$AZ$8</f>
        <v>20.930479440161637</v>
      </c>
      <c r="BA43" s="547">
        <f t="shared" ref="BA43:BA49" ca="1" si="47">+AY43-AZ43</f>
        <v>-6.5419902315285441</v>
      </c>
    </row>
    <row r="44" spans="1:53" ht="16">
      <c r="A44" s="568">
        <f ca="1">IF(ROUND(B44,0)=0,0,1)</f>
        <v>0</v>
      </c>
      <c r="B44" s="568">
        <f ca="1">+Z44-SUMIF(Resumen_Base!$A$8:$A$287,'Budget Comparativo'!D44,Resumen_Base!$Y$8:$Y$287)</f>
        <v>0</v>
      </c>
      <c r="C44" s="591" t="s">
        <v>425</v>
      </c>
      <c r="D44" s="819" t="s">
        <v>414</v>
      </c>
      <c r="E44" s="74"/>
      <c r="F44" s="547">
        <v>3000</v>
      </c>
      <c r="G44" s="547">
        <f t="shared" ca="1" si="3"/>
        <v>587.87</v>
      </c>
      <c r="H44" s="547">
        <f ca="1">+SUMIF(Resumen_Base!$A$28:$A$91,'Budget Comparativo'!D44,Resumen_Base!$Y$28:$Y$91)</f>
        <v>587.87</v>
      </c>
      <c r="I44" s="547">
        <f t="shared" ca="1" si="6"/>
        <v>0</v>
      </c>
      <c r="J44" s="622"/>
      <c r="K44" s="650">
        <f ca="1">IF(ROUND(H44,0)=0,0,IF(F44=0,0,+H44/F44))</f>
        <v>0.19595666666666667</v>
      </c>
      <c r="L44" s="547">
        <v>0</v>
      </c>
      <c r="M44" s="547">
        <f t="shared" ca="1" si="37"/>
        <v>0</v>
      </c>
      <c r="N44" s="547">
        <f ca="1">+SUMIF(Resumen_Base!$A$94:$A$156,'Budget Comparativo'!D44,Resumen_Base!$Y$94:$Y$156)</f>
        <v>0</v>
      </c>
      <c r="O44" s="547">
        <f t="shared" ca="1" si="8"/>
        <v>0</v>
      </c>
      <c r="P44" s="662"/>
      <c r="Q44" s="650">
        <f ca="1">IF(ROUND(N44,0)=0,0,IF(L44=0,0,+N44/L44))</f>
        <v>0</v>
      </c>
      <c r="R44" s="547">
        <v>9000</v>
      </c>
      <c r="S44" s="547">
        <f t="shared" ca="1" si="38"/>
        <v>9000</v>
      </c>
      <c r="T44" s="547">
        <f ca="1">SUMIF(Resumen_Base!$A$221:$A$287,'Budget Comparativo'!D44,Resumen_Base!$Y$221:$Y$287)</f>
        <v>10475.174358974358</v>
      </c>
      <c r="U44" s="547">
        <f t="shared" ca="1" si="9"/>
        <v>-1475.1743589743583</v>
      </c>
      <c r="V44" s="816"/>
      <c r="W44" s="650">
        <f ca="1">IF(ROUND(T44,0)=0,0,IF(R44=0,0,+T44/R44))</f>
        <v>1.1639082621082619</v>
      </c>
      <c r="X44" s="547">
        <f t="shared" si="39"/>
        <v>12000</v>
      </c>
      <c r="Y44" s="547">
        <f t="shared" ca="1" si="39"/>
        <v>9587.8700000000008</v>
      </c>
      <c r="Z44" s="547">
        <f t="shared" ca="1" si="39"/>
        <v>11063.044358974359</v>
      </c>
      <c r="AA44" s="547">
        <f t="shared" ca="1" si="10"/>
        <v>-1475.1743589743583</v>
      </c>
      <c r="AB44" s="547"/>
      <c r="AC44" s="650">
        <f ca="1">IF(ROUND(Z44,0)=0,0,IF(X44=0,0,+Z44/X44))</f>
        <v>0.92192036324786331</v>
      </c>
      <c r="AD44" s="546"/>
      <c r="AE44" s="548"/>
      <c r="AF44" s="597">
        <v>5253</v>
      </c>
      <c r="AG44" s="597"/>
      <c r="AH44" s="597"/>
      <c r="AI44" s="597"/>
      <c r="AJ44" s="597"/>
      <c r="AK44" s="597"/>
      <c r="AL44" s="597"/>
      <c r="AM44" s="597"/>
      <c r="AN44" s="597"/>
      <c r="AO44" s="597"/>
      <c r="AQ44" s="36">
        <f t="shared" si="40"/>
        <v>7.5</v>
      </c>
      <c r="AR44" s="36">
        <f t="shared" ca="1" si="41"/>
        <v>3.9191333333333334</v>
      </c>
      <c r="AS44" s="547">
        <f t="shared" ca="1" si="5"/>
        <v>3.5808666666666666</v>
      </c>
      <c r="AU44" s="36" t="e">
        <f t="shared" si="42"/>
        <v>#DIV/0!</v>
      </c>
      <c r="AV44" s="36" t="e">
        <f t="shared" ca="1" si="43"/>
        <v>#DIV/0!</v>
      </c>
      <c r="AW44" s="547" t="e">
        <f t="shared" ca="1" si="44"/>
        <v>#DIV/0!</v>
      </c>
      <c r="AY44" s="36">
        <f t="shared" si="45"/>
        <v>5.8862001308044469</v>
      </c>
      <c r="AZ44" s="36">
        <f t="shared" ca="1" si="46"/>
        <v>9.8729258802774353</v>
      </c>
      <c r="BA44" s="547">
        <f t="shared" ca="1" si="47"/>
        <v>-3.9867257494729884</v>
      </c>
    </row>
    <row r="45" spans="1:53" ht="16">
      <c r="A45" s="568">
        <f ca="1">IF(ROUND(B45,0)=0,0,1)</f>
        <v>0</v>
      </c>
      <c r="B45" s="568">
        <f ca="1">+Z45-SUMIF(Resumen_Base!$A$8:$A$287,'Budget Comparativo'!D45,Resumen_Base!$Y$8:$Y$287)</f>
        <v>0</v>
      </c>
      <c r="C45" s="591" t="s">
        <v>425</v>
      </c>
      <c r="D45" s="579" t="s">
        <v>415</v>
      </c>
      <c r="E45" s="74"/>
      <c r="F45" s="547">
        <v>10000</v>
      </c>
      <c r="G45" s="547">
        <f t="shared" ca="1" si="3"/>
        <v>3538.67</v>
      </c>
      <c r="H45" s="547">
        <f ca="1">+SUMIF(Resumen_Base!$A$28:$A$91,'Budget Comparativo'!D45,Resumen_Base!$Y$28:$Y$91)</f>
        <v>3538.67</v>
      </c>
      <c r="I45" s="547">
        <f t="shared" ca="1" si="6"/>
        <v>0</v>
      </c>
      <c r="J45" s="622"/>
      <c r="K45" s="650">
        <f ca="1">IF(ROUND(H45,0)=0,0,IF(F45=0,0,+H45/F45))</f>
        <v>0.35386699999999999</v>
      </c>
      <c r="L45" s="547">
        <v>0</v>
      </c>
      <c r="M45" s="547">
        <f t="shared" ca="1" si="37"/>
        <v>0</v>
      </c>
      <c r="N45" s="547">
        <f ca="1">+SUMIF(Resumen_Base!$A$94:$A$156,'Budget Comparativo'!D45,Resumen_Base!$Y$94:$Y$156)</f>
        <v>14.234875444839901</v>
      </c>
      <c r="O45" s="547">
        <f t="shared" ca="1" si="8"/>
        <v>-14.234875444839901</v>
      </c>
      <c r="P45" s="662"/>
      <c r="Q45" s="650">
        <f ca="1">IF(ROUND(N45,0)=0,0,IF(L45=0,0,+N45/L45))</f>
        <v>0</v>
      </c>
      <c r="R45" s="547">
        <v>18000</v>
      </c>
      <c r="S45" s="547">
        <f t="shared" ca="1" si="38"/>
        <v>15801.467179487179</v>
      </c>
      <c r="T45" s="547">
        <f ca="1">SUMIF(Resumen_Base!$A$221:$A$287,'Budget Comparativo'!D45,Resumen_Base!$Y$221:$Y$287)</f>
        <v>15801.467179487179</v>
      </c>
      <c r="U45" s="547">
        <f t="shared" ca="1" si="9"/>
        <v>0</v>
      </c>
      <c r="V45" s="547" t="s">
        <v>5866</v>
      </c>
      <c r="W45" s="650">
        <f ca="1">IF(ROUND(T45,0)=0,0,IF(R45=0,0,+T45/R45))</f>
        <v>0.87785928774928779</v>
      </c>
      <c r="X45" s="547">
        <f t="shared" si="39"/>
        <v>28000</v>
      </c>
      <c r="Y45" s="547">
        <f t="shared" ca="1" si="39"/>
        <v>19340.137179487181</v>
      </c>
      <c r="Z45" s="547">
        <f t="shared" ca="1" si="39"/>
        <v>19354.372054932021</v>
      </c>
      <c r="AA45" s="547">
        <f t="shared" ca="1" si="10"/>
        <v>-14.234875444839417</v>
      </c>
      <c r="AB45" s="547"/>
      <c r="AC45" s="650">
        <f ca="1">IF(ROUND(Z45,0)=0,0,IF(X45=0,0,+Z45/X45))</f>
        <v>0.69122757339042928</v>
      </c>
      <c r="AD45" s="546"/>
      <c r="AE45" s="548"/>
      <c r="AF45" s="597">
        <v>5254</v>
      </c>
      <c r="AG45" s="597"/>
      <c r="AH45" s="597"/>
      <c r="AI45" s="597"/>
      <c r="AJ45" s="597"/>
      <c r="AK45" s="597"/>
      <c r="AL45" s="597"/>
      <c r="AM45" s="597"/>
      <c r="AN45" s="597"/>
      <c r="AO45" s="597"/>
      <c r="AQ45" s="36">
        <f t="shared" si="40"/>
        <v>25</v>
      </c>
      <c r="AR45" s="36">
        <f t="shared" ca="1" si="41"/>
        <v>23.591133333333335</v>
      </c>
      <c r="AS45" s="547">
        <f t="shared" ca="1" si="5"/>
        <v>1.4088666666666647</v>
      </c>
      <c r="AU45" s="36" t="e">
        <f t="shared" si="42"/>
        <v>#DIV/0!</v>
      </c>
      <c r="AV45" s="36" t="e">
        <f t="shared" ca="1" si="43"/>
        <v>#DIV/0!</v>
      </c>
      <c r="AW45" s="547" t="e">
        <f t="shared" ca="1" si="44"/>
        <v>#DIV/0!</v>
      </c>
      <c r="AY45" s="36">
        <f t="shared" si="45"/>
        <v>11.772400261608894</v>
      </c>
      <c r="AZ45" s="36">
        <f t="shared" ca="1" si="46"/>
        <v>14.892994514125522</v>
      </c>
      <c r="BA45" s="547">
        <f t="shared" ca="1" si="47"/>
        <v>-3.1205942525166286</v>
      </c>
    </row>
    <row r="46" spans="1:53" s="568" customFormat="1" ht="16">
      <c r="C46" s="591" t="s">
        <v>425</v>
      </c>
      <c r="D46" s="567" t="s">
        <v>416</v>
      </c>
      <c r="E46" s="546"/>
      <c r="F46" s="547">
        <v>1500</v>
      </c>
      <c r="G46" s="547">
        <f t="shared" ca="1" si="3"/>
        <v>556.79</v>
      </c>
      <c r="H46" s="547">
        <f ca="1">+SUMIF(Resumen_Base!$A$28:$A$91,'Budget Comparativo'!D46,Resumen_Base!$Y$28:$Y$91)</f>
        <v>556.79</v>
      </c>
      <c r="I46" s="547">
        <f t="shared" ca="1" si="6"/>
        <v>0</v>
      </c>
      <c r="J46" s="622"/>
      <c r="K46" s="650">
        <f ca="1">IF(ROUND(H46,0)=0,0,+H46/F46)</f>
        <v>0.37119333333333332</v>
      </c>
      <c r="L46" s="547">
        <v>0</v>
      </c>
      <c r="M46" s="547">
        <f t="shared" ca="1" si="37"/>
        <v>0</v>
      </c>
      <c r="N46" s="843">
        <f ca="1">+SUMIF(Resumen_Base!$A$94:$A$156,'Budget Comparativo'!D46,Resumen_Base!$Y$94:$Y$156)</f>
        <v>505.97999999999996</v>
      </c>
      <c r="O46" s="547">
        <f t="shared" ca="1" si="8"/>
        <v>-505.97999999999996</v>
      </c>
      <c r="P46" s="748"/>
      <c r="Q46" s="650" t="e">
        <f ca="1">IF(ROUND(N46,0)=0,0,+N46/L46)</f>
        <v>#DIV/0!</v>
      </c>
      <c r="R46" s="547">
        <v>2000</v>
      </c>
      <c r="S46" s="547">
        <f t="shared" ca="1" si="38"/>
        <v>2000</v>
      </c>
      <c r="T46" s="547">
        <f ca="1">SUMIF(Resumen_Base!$A$221:$A$287,'Budget Comparativo'!D46,Resumen_Base!$Y$221:$Y$287)</f>
        <v>2271.4461538461542</v>
      </c>
      <c r="U46" s="547">
        <f t="shared" ca="1" si="9"/>
        <v>-271.44615384615417</v>
      </c>
      <c r="V46" s="571" t="s">
        <v>5866</v>
      </c>
      <c r="W46" s="650">
        <f ca="1">IF(ROUND(T46,0)=0,0,+T46/R46)</f>
        <v>1.1357230769230771</v>
      </c>
      <c r="X46" s="547">
        <f t="shared" si="39"/>
        <v>3500</v>
      </c>
      <c r="Y46" s="547">
        <f t="shared" ca="1" si="39"/>
        <v>2556.79</v>
      </c>
      <c r="Z46" s="547">
        <f t="shared" ca="1" si="39"/>
        <v>3334.2161538461542</v>
      </c>
      <c r="AA46" s="547">
        <f t="shared" ca="1" si="10"/>
        <v>-777.42615384615419</v>
      </c>
      <c r="AB46" s="547"/>
      <c r="AC46" s="650">
        <f ca="1">IF(ROUND(Z46,0)=0,0,+Z46/X46)</f>
        <v>0.95263318681318687</v>
      </c>
      <c r="AD46" s="546"/>
      <c r="AE46" s="548"/>
      <c r="AF46" s="597">
        <v>5209</v>
      </c>
      <c r="AG46" s="597">
        <v>5266</v>
      </c>
      <c r="AH46" s="597">
        <v>5324</v>
      </c>
      <c r="AI46" s="597">
        <v>5325</v>
      </c>
      <c r="AJ46" s="597">
        <v>5326</v>
      </c>
      <c r="AK46" s="597"/>
      <c r="AL46" s="597"/>
      <c r="AM46" s="597"/>
      <c r="AN46" s="597"/>
      <c r="AO46" s="597"/>
      <c r="AQ46" s="36">
        <f t="shared" si="40"/>
        <v>3.75</v>
      </c>
      <c r="AR46" s="36">
        <f t="shared" ca="1" si="41"/>
        <v>3.7119333333333331</v>
      </c>
      <c r="AS46" s="547">
        <f t="shared" ca="1" si="5"/>
        <v>3.8066666666666915E-2</v>
      </c>
      <c r="AU46" s="36" t="e">
        <f t="shared" si="42"/>
        <v>#DIV/0!</v>
      </c>
      <c r="AV46" s="36" t="e">
        <f t="shared" ca="1" si="43"/>
        <v>#DIV/0!</v>
      </c>
      <c r="AW46" s="547" t="e">
        <f t="shared" ca="1" si="44"/>
        <v>#DIV/0!</v>
      </c>
      <c r="AY46" s="36">
        <f t="shared" si="45"/>
        <v>1.3080444735120995</v>
      </c>
      <c r="AZ46" s="36">
        <f t="shared" ca="1" si="46"/>
        <v>2.1408540564054235</v>
      </c>
      <c r="BA46" s="547">
        <f t="shared" ca="1" si="47"/>
        <v>-0.83280958289332396</v>
      </c>
    </row>
    <row r="47" spans="1:53" s="568" customFormat="1" ht="16">
      <c r="B47" s="568">
        <f ca="1">+Z47-SUMIF(Resumen_Base!$A$8:$A$287,'Budget Comparativo'!D47,Resumen_Base!$Y$8:$Y$287)</f>
        <v>0</v>
      </c>
      <c r="C47" s="591" t="s">
        <v>425</v>
      </c>
      <c r="D47" s="564" t="s">
        <v>417</v>
      </c>
      <c r="E47" s="546"/>
      <c r="F47" s="547">
        <f>510*12</f>
        <v>6120</v>
      </c>
      <c r="G47" s="547">
        <f t="shared" ca="1" si="3"/>
        <v>3630</v>
      </c>
      <c r="H47" s="547">
        <f ca="1">+SUMIF(Resumen_Base!$A$28:$A$91,'Budget Comparativo'!D47,Resumen_Base!$Y$28:$Y$91)</f>
        <v>3630</v>
      </c>
      <c r="I47" s="547">
        <f t="shared" ca="1" si="6"/>
        <v>0</v>
      </c>
      <c r="J47" s="748"/>
      <c r="K47" s="650">
        <f ca="1">IF(ROUND(H47,0)=0,0,IF(F47=0,0,+H47/F47))</f>
        <v>0.59313725490196079</v>
      </c>
      <c r="L47" s="547">
        <v>0</v>
      </c>
      <c r="M47" s="547">
        <f t="shared" ca="1" si="37"/>
        <v>0</v>
      </c>
      <c r="N47" s="547">
        <f ca="1">+SUMIF(Resumen_Base!$A$94:$A$156,'Budget Comparativo'!D47,Resumen_Base!$Y$94:$Y$156)</f>
        <v>0</v>
      </c>
      <c r="O47" s="547">
        <f t="shared" ca="1" si="8"/>
        <v>0</v>
      </c>
      <c r="P47" s="662"/>
      <c r="Q47" s="650">
        <f ca="1">IF(ROUND(N47,0)=0,0,IF(L47=0,0,+N47/L47))</f>
        <v>0</v>
      </c>
      <c r="R47" s="547">
        <v>6000</v>
      </c>
      <c r="S47" s="547">
        <f t="shared" ca="1" si="38"/>
        <v>3951.0800000000008</v>
      </c>
      <c r="T47" s="547">
        <f ca="1">SUMIF(Resumen_Base!$A$221:$A$287,'Budget Comparativo'!D47,Resumen_Base!$Y$221:$Y$287)</f>
        <v>3951.0800000000008</v>
      </c>
      <c r="U47" s="547">
        <f t="shared" ca="1" si="9"/>
        <v>0</v>
      </c>
      <c r="V47" s="571" t="s">
        <v>5866</v>
      </c>
      <c r="W47" s="650">
        <f ca="1">IF(ROUND(T47,0)=0,0,IF(R47=0,0,+T47/R47))</f>
        <v>0.65851333333333351</v>
      </c>
      <c r="X47" s="547">
        <f t="shared" si="39"/>
        <v>12120</v>
      </c>
      <c r="Y47" s="547">
        <f t="shared" ca="1" si="39"/>
        <v>7581.0800000000008</v>
      </c>
      <c r="Z47" s="547">
        <f t="shared" ca="1" si="39"/>
        <v>7581.0800000000008</v>
      </c>
      <c r="AA47" s="547">
        <f t="shared" ca="1" si="10"/>
        <v>0</v>
      </c>
      <c r="AB47" s="547"/>
      <c r="AC47" s="650">
        <f ca="1">IF(ROUND(Z47,0)=0,0,IF(X47=0,0,+Z47/X47))</f>
        <v>0.62550165016501658</v>
      </c>
      <c r="AD47" s="546"/>
      <c r="AE47" s="548"/>
      <c r="AF47" s="597">
        <v>5215</v>
      </c>
      <c r="AG47" s="597">
        <v>5321</v>
      </c>
      <c r="AH47" s="597"/>
      <c r="AI47" s="597"/>
      <c r="AJ47" s="597"/>
      <c r="AK47" s="597"/>
      <c r="AL47" s="597"/>
      <c r="AM47" s="597"/>
      <c r="AN47" s="597"/>
      <c r="AO47" s="597"/>
      <c r="AQ47" s="36">
        <f t="shared" si="40"/>
        <v>15.3</v>
      </c>
      <c r="AR47" s="36">
        <f t="shared" ca="1" si="41"/>
        <v>24.2</v>
      </c>
      <c r="AS47" s="547">
        <f t="shared" ca="1" si="5"/>
        <v>-8.8999999999999986</v>
      </c>
      <c r="AU47" s="36" t="e">
        <f t="shared" si="42"/>
        <v>#DIV/0!</v>
      </c>
      <c r="AV47" s="36" t="e">
        <f t="shared" ca="1" si="43"/>
        <v>#DIV/0!</v>
      </c>
      <c r="AW47" s="547" t="e">
        <f t="shared" ca="1" si="44"/>
        <v>#DIV/0!</v>
      </c>
      <c r="AY47" s="36">
        <f t="shared" si="45"/>
        <v>3.9241334205362981</v>
      </c>
      <c r="AZ47" s="36">
        <f t="shared" ca="1" si="46"/>
        <v>3.7239208294062212</v>
      </c>
      <c r="BA47" s="547">
        <f t="shared" ca="1" si="47"/>
        <v>0.20021259113007694</v>
      </c>
    </row>
    <row r="48" spans="1:53" s="568" customFormat="1" ht="17" customHeight="1">
      <c r="A48" s="568">
        <f ca="1">IF(ROUND(B48,0)=0,0,1)</f>
        <v>0</v>
      </c>
      <c r="B48" s="568">
        <f ca="1">+Z48-SUMIF(Resumen_Base!$A$8:$A$287,'Budget Comparativo'!D48,Resumen_Base!$Y$8:$Y$287)</f>
        <v>0</v>
      </c>
      <c r="C48" s="591" t="s">
        <v>425</v>
      </c>
      <c r="D48" s="564" t="s">
        <v>522</v>
      </c>
      <c r="E48" s="546"/>
      <c r="F48" s="547">
        <v>0</v>
      </c>
      <c r="G48" s="547">
        <f t="shared" si="3"/>
        <v>0</v>
      </c>
      <c r="H48" s="547">
        <f>+SUMIF(Resumen_Base!$A$28:$A$91,'Budget Comparativo'!D48,Resumen_Base!$Y$28:$Y$91)</f>
        <v>0</v>
      </c>
      <c r="I48" s="547">
        <f t="shared" si="6"/>
        <v>0</v>
      </c>
      <c r="J48" s="622"/>
      <c r="K48" s="650">
        <f>IF(ROUND(H48,0)=0,0,IF(F48=0,0,+H48/F48))</f>
        <v>0</v>
      </c>
      <c r="L48" s="547">
        <v>0</v>
      </c>
      <c r="M48" s="547">
        <f t="shared" si="37"/>
        <v>0</v>
      </c>
      <c r="N48" s="547">
        <f>+SUMIF(Resumen_Base!$A$94:$A$156,'Budget Comparativo'!D48,Resumen_Base!$Y$94:$Y$156)</f>
        <v>0</v>
      </c>
      <c r="O48" s="547">
        <f t="shared" si="8"/>
        <v>0</v>
      </c>
      <c r="P48" s="662"/>
      <c r="Q48" s="650">
        <f>IF(ROUND(N48,0)=0,0,IF(L48=0,0,+N48/L48))</f>
        <v>0</v>
      </c>
      <c r="R48" s="547">
        <v>10000</v>
      </c>
      <c r="S48" s="547">
        <f t="shared" ca="1" si="38"/>
        <v>10000</v>
      </c>
      <c r="T48" s="547">
        <f ca="1">SUMIF(Resumen_Base!$A$221:$A$287,'Budget Comparativo'!D48,Resumen_Base!$Y$221:$Y$287)</f>
        <v>11005.839999999998</v>
      </c>
      <c r="U48" s="547">
        <f t="shared" ca="1" si="9"/>
        <v>-1005.8399999999983</v>
      </c>
      <c r="V48" s="815" t="s">
        <v>7090</v>
      </c>
      <c r="W48" s="650">
        <f ca="1">IF(ROUND(T48,0)=0,0,IF(R48=0,0,+T48/R48))</f>
        <v>1.1005839999999998</v>
      </c>
      <c r="X48" s="547">
        <f t="shared" si="39"/>
        <v>10000</v>
      </c>
      <c r="Y48" s="547">
        <f t="shared" ca="1" si="39"/>
        <v>10000</v>
      </c>
      <c r="Z48" s="547">
        <f t="shared" ca="1" si="39"/>
        <v>11005.839999999998</v>
      </c>
      <c r="AA48" s="547">
        <f t="shared" ca="1" si="10"/>
        <v>-1005.8399999999983</v>
      </c>
      <c r="AB48" s="547"/>
      <c r="AC48" s="650">
        <f ca="1">IF(ROUND(Z48,0)=0,0,IF(X48=0,0,+Z48/X48))</f>
        <v>1.1005839999999998</v>
      </c>
      <c r="AD48" s="546"/>
      <c r="AE48" s="548"/>
      <c r="AF48" s="597">
        <v>5217</v>
      </c>
      <c r="AG48" s="597">
        <v>5260</v>
      </c>
      <c r="AH48" s="597"/>
      <c r="AI48" s="597"/>
      <c r="AJ48" s="597"/>
      <c r="AK48" s="597"/>
      <c r="AL48" s="597"/>
      <c r="AM48" s="597"/>
      <c r="AN48" s="597"/>
      <c r="AO48" s="597"/>
      <c r="AQ48" s="36">
        <f t="shared" si="40"/>
        <v>0</v>
      </c>
      <c r="AR48" s="36">
        <f t="shared" si="41"/>
        <v>0</v>
      </c>
      <c r="AS48" s="547">
        <f t="shared" si="5"/>
        <v>0</v>
      </c>
      <c r="AU48" s="36" t="e">
        <f t="shared" si="42"/>
        <v>#DIV/0!</v>
      </c>
      <c r="AV48" s="36" t="e">
        <f t="shared" si="43"/>
        <v>#DIV/0!</v>
      </c>
      <c r="AW48" s="547" t="e">
        <f t="shared" si="44"/>
        <v>#DIV/0!</v>
      </c>
      <c r="AY48" s="36">
        <f t="shared" si="45"/>
        <v>6.5402223675604967</v>
      </c>
      <c r="AZ48" s="36">
        <f t="shared" ca="1" si="46"/>
        <v>10.373081998114984</v>
      </c>
      <c r="BA48" s="547">
        <f t="shared" ca="1" si="47"/>
        <v>-3.8328596305544869</v>
      </c>
    </row>
    <row r="49" spans="1:53" s="568" customFormat="1" ht="93.5" customHeight="1">
      <c r="C49" s="591" t="s">
        <v>425</v>
      </c>
      <c r="D49" s="820" t="s">
        <v>419</v>
      </c>
      <c r="E49" s="735"/>
      <c r="F49" s="547">
        <v>12500</v>
      </c>
      <c r="G49" s="547">
        <f t="shared" ca="1" si="3"/>
        <v>12500</v>
      </c>
      <c r="H49" s="547">
        <f ca="1">+SUMIF(Resumen_Base!$A$28:$A$91,'Budget Comparativo'!D49,Resumen_Base!$Y$28:$Y$91)</f>
        <v>15117.399523679167</v>
      </c>
      <c r="I49" s="547">
        <f t="shared" ca="1" si="6"/>
        <v>-2617.399523679167</v>
      </c>
      <c r="J49" s="841" t="s">
        <v>7085</v>
      </c>
      <c r="K49" s="650">
        <f ca="1">IF(ROUND(H49,0)=0,0,IF(F49=0,0,+H49/F49))</f>
        <v>1.2093919618943334</v>
      </c>
      <c r="L49" s="547">
        <v>1000</v>
      </c>
      <c r="M49" s="547">
        <f t="shared" ca="1" si="37"/>
        <v>11.11</v>
      </c>
      <c r="N49" s="547">
        <f ca="1">+SUMIF(Resumen_Base!$A$94:$A$156,'Budget Comparativo'!D49,Resumen_Base!$Y$94:$Y$156)</f>
        <v>11.11</v>
      </c>
      <c r="O49" s="547">
        <f t="shared" ca="1" si="8"/>
        <v>0</v>
      </c>
      <c r="P49" s="662"/>
      <c r="Q49" s="650">
        <f ca="1">IF(ROUND(N49,0)=0,0,IF(L49=0,0,+N49/L49))</f>
        <v>1.111E-2</v>
      </c>
      <c r="R49" s="547">
        <v>16000</v>
      </c>
      <c r="S49" s="547">
        <f t="shared" ca="1" si="38"/>
        <v>14269.900936679607</v>
      </c>
      <c r="T49" s="547">
        <f ca="1">SUMIF(Resumen_Base!$A$221:$A$287,'Budget Comparativo'!D49,Resumen_Base!$Y$221:$Y$287)</f>
        <v>14269.900936679607</v>
      </c>
      <c r="U49" s="547">
        <f t="shared" ca="1" si="9"/>
        <v>0</v>
      </c>
      <c r="V49" s="817" t="s">
        <v>7091</v>
      </c>
      <c r="W49" s="650">
        <f ca="1">IF(ROUND(T49,0)=0,0,IF(R49=0,0,+T49/R49))</f>
        <v>0.89186880854247541</v>
      </c>
      <c r="X49" s="547">
        <f t="shared" si="39"/>
        <v>29500</v>
      </c>
      <c r="Y49" s="547">
        <f t="shared" ca="1" si="39"/>
        <v>26781.01093667961</v>
      </c>
      <c r="Z49" s="547">
        <f t="shared" ca="1" si="39"/>
        <v>29398.410460358777</v>
      </c>
      <c r="AA49" s="547">
        <f t="shared" ca="1" si="10"/>
        <v>-2617.399523679167</v>
      </c>
      <c r="AB49" s="547"/>
      <c r="AC49" s="650">
        <f ca="1">IF(ROUND(Z49,0)=0,0,IF(X49=0,0,+Z49/X49))</f>
        <v>0.99655628679182295</v>
      </c>
      <c r="AD49" s="546"/>
      <c r="AE49" s="548"/>
      <c r="AF49" s="597">
        <v>5219</v>
      </c>
      <c r="AG49" s="597">
        <v>5218</v>
      </c>
      <c r="AH49" s="597">
        <v>5263</v>
      </c>
      <c r="AI49" s="597">
        <v>5312</v>
      </c>
      <c r="AJ49" s="597">
        <v>5314</v>
      </c>
      <c r="AK49" s="597">
        <v>5337</v>
      </c>
      <c r="AL49" s="597"/>
      <c r="AM49" s="597"/>
      <c r="AN49" s="597"/>
      <c r="AO49" s="597"/>
      <c r="AQ49" s="36">
        <f t="shared" si="40"/>
        <v>31.25</v>
      </c>
      <c r="AR49" s="36">
        <f t="shared" ca="1" si="41"/>
        <v>100.78266349119444</v>
      </c>
      <c r="AS49" s="547">
        <f t="shared" ca="1" si="5"/>
        <v>-69.532663491194441</v>
      </c>
      <c r="AU49" s="36" t="e">
        <f t="shared" si="42"/>
        <v>#DIV/0!</v>
      </c>
      <c r="AV49" s="36" t="e">
        <f t="shared" ca="1" si="43"/>
        <v>#DIV/0!</v>
      </c>
      <c r="AW49" s="547" t="e">
        <f t="shared" ca="1" si="44"/>
        <v>#DIV/0!</v>
      </c>
      <c r="AY49" s="36">
        <f t="shared" si="45"/>
        <v>10.464355788096796</v>
      </c>
      <c r="AZ49" s="36">
        <f t="shared" ca="1" si="46"/>
        <v>13.44948250393931</v>
      </c>
      <c r="BA49" s="547">
        <f t="shared" ca="1" si="47"/>
        <v>-2.9851267158425134</v>
      </c>
    </row>
    <row r="50" spans="1:53" s="555" customFormat="1" ht="16.5" thickBot="1">
      <c r="C50" s="588"/>
      <c r="D50" s="552" t="s">
        <v>225</v>
      </c>
      <c r="E50" s="553"/>
      <c r="F50" s="554" t="s">
        <v>87</v>
      </c>
      <c r="G50" s="554"/>
      <c r="H50" s="652"/>
      <c r="I50" s="554"/>
      <c r="J50" s="842"/>
      <c r="K50" s="554"/>
      <c r="L50" s="554"/>
      <c r="M50" s="554"/>
      <c r="N50" s="554"/>
      <c r="O50" s="554"/>
      <c r="P50" s="659"/>
      <c r="Q50" s="554"/>
      <c r="R50" s="554"/>
      <c r="S50" s="554"/>
      <c r="T50" s="554"/>
      <c r="U50" s="554"/>
      <c r="V50" s="554"/>
      <c r="W50" s="554"/>
      <c r="X50" s="554"/>
      <c r="Y50" s="554"/>
      <c r="Z50" s="554"/>
      <c r="AA50" s="554"/>
      <c r="AB50" s="554"/>
      <c r="AC50" s="554"/>
      <c r="AD50" s="553"/>
      <c r="AE50" s="636"/>
      <c r="AF50" s="597"/>
      <c r="AG50" s="597"/>
      <c r="AH50" s="597"/>
      <c r="AI50" s="597"/>
      <c r="AJ50" s="597"/>
      <c r="AK50" s="597"/>
      <c r="AL50" s="597"/>
      <c r="AM50" s="597"/>
      <c r="AN50" s="597"/>
      <c r="AO50" s="597"/>
      <c r="AQ50" s="554"/>
      <c r="AR50" s="571"/>
      <c r="AS50" s="571"/>
      <c r="AU50" s="554"/>
      <c r="AV50" s="571"/>
      <c r="AW50" s="571"/>
      <c r="AY50" s="554"/>
      <c r="AZ50" s="571"/>
      <c r="BA50" s="571"/>
    </row>
    <row r="51" spans="1:53" s="568" customFormat="1" ht="13.5" thickBot="1">
      <c r="C51" s="591"/>
      <c r="D51" s="582" t="s">
        <v>420</v>
      </c>
      <c r="E51" s="546"/>
      <c r="F51" s="583">
        <f>SUM(F22:F50)-F23-F34-F27-F42</f>
        <v>315420</v>
      </c>
      <c r="G51" s="583">
        <f ca="1">SUM(G22:G50)-G23-G34-G27-G42</f>
        <v>160953.02576923068</v>
      </c>
      <c r="H51" s="583">
        <f ca="1">SUM(H22:H50)-H23-H34-H27-H42</f>
        <v>173565.89128962485</v>
      </c>
      <c r="I51" s="583">
        <f t="shared" ref="I51:I57" ca="1" si="48">+G51-H51</f>
        <v>-12612.865520394174</v>
      </c>
      <c r="J51" s="663"/>
      <c r="K51" s="583"/>
      <c r="L51" s="583">
        <f>SUM(L22:L50)-L23-L34-L27-L42</f>
        <v>3600</v>
      </c>
      <c r="M51" s="583">
        <f ca="1">SUM(M22:M50)-M23-M34-M27-M42</f>
        <v>127.54000000000002</v>
      </c>
      <c r="N51" s="583">
        <f ca="1">SUM(N22:N50)-N23-N34-N27-N42</f>
        <v>1457.2654875444844</v>
      </c>
      <c r="O51" s="583">
        <f t="shared" ref="O51:O57" ca="1" si="49">+M51-N51</f>
        <v>-1329.7254875444844</v>
      </c>
      <c r="P51" s="663"/>
      <c r="Q51" s="583"/>
      <c r="R51" s="583">
        <f>SUM(R22:R50)-R23-R34-R27-R42</f>
        <v>731365</v>
      </c>
      <c r="S51" s="583">
        <f ca="1">SUM(S22:S50)-S23-S34-S27-S42</f>
        <v>552722.80208485364</v>
      </c>
      <c r="T51" s="583">
        <f ca="1">SUM(T22:T50)-T23-T34-T27-T42</f>
        <v>553516.82063131314</v>
      </c>
      <c r="U51" s="583">
        <f t="shared" ref="U51:U57" ca="1" si="50">+S51-T51</f>
        <v>-794.01854645949788</v>
      </c>
      <c r="V51" s="583"/>
      <c r="W51" s="583"/>
      <c r="X51" s="583">
        <f>SUM(X22:X50)-X23-X34-X27-X42</f>
        <v>1050385</v>
      </c>
      <c r="Y51" s="583">
        <f ca="1">SUM(Y22:Y50)-Y23-Y34-Y27-Y42</f>
        <v>713803.36785408459</v>
      </c>
      <c r="Z51" s="583">
        <f ca="1">SUM(Z22:Z50)-Z23-Z34-Z27-Z42</f>
        <v>728539.97740848258</v>
      </c>
      <c r="AA51" s="583">
        <f t="shared" ref="AA51:AA57" ca="1" si="51">+Y51-Z51</f>
        <v>-14736.60955439799</v>
      </c>
      <c r="AB51" s="583"/>
      <c r="AC51" s="583"/>
      <c r="AD51" s="546"/>
      <c r="AE51" s="548"/>
      <c r="AF51" s="597"/>
      <c r="AG51" s="597"/>
      <c r="AH51" s="597"/>
      <c r="AI51" s="597"/>
      <c r="AJ51" s="597"/>
      <c r="AK51" s="597"/>
      <c r="AL51" s="597"/>
      <c r="AM51" s="597"/>
      <c r="AN51" s="597"/>
      <c r="AO51" s="597"/>
      <c r="AQ51" s="583">
        <f>SUM(AQ22:AQ50)-AQ23-AQ34-AQ27-AQ42</f>
        <v>788.55</v>
      </c>
      <c r="AR51" s="583">
        <f ca="1">SUM(AR22:AR50)-AR23-AR34-AR27-AR42</f>
        <v>1157.1059419308331</v>
      </c>
      <c r="AS51" s="583">
        <f ca="1">SUM(AS22:AS50)-AS23-AS34-AS27-AS42</f>
        <v>-368.55594193083328</v>
      </c>
      <c r="AU51" s="583" t="e">
        <f>SUM(AU22:AU50)-AU23-AU34-AU27-AU42</f>
        <v>#DIV/0!</v>
      </c>
      <c r="AV51" s="583" t="e">
        <f ca="1">SUM(AV22:AV50)-AV23-AV34-AV27-AV42</f>
        <v>#DIV/0!</v>
      </c>
      <c r="AW51" s="583" t="e">
        <f ca="1">SUM(AW22:AW50)-AW23-AW34-AW27-AW42</f>
        <v>#DIV/0!</v>
      </c>
      <c r="AY51" s="583">
        <f>SUM(AY22:AY50)-AY23-AY34-AY27-AY42</f>
        <v>478.3289731850885</v>
      </c>
      <c r="AZ51" s="583">
        <f ca="1">SUM(AZ22:AZ50)-AZ23-AZ34-AZ27-AZ42</f>
        <v>521.6935161463839</v>
      </c>
      <c r="BA51" s="583">
        <f ca="1">SUM(BA22:BA50)-BA23-BA34-BA27-BA42</f>
        <v>-43.36454296129557</v>
      </c>
    </row>
    <row r="52" spans="1:53" s="49" customFormat="1" ht="4">
      <c r="C52" s="586"/>
      <c r="D52" s="560"/>
      <c r="E52" s="561"/>
      <c r="F52" s="45"/>
      <c r="G52" s="45"/>
      <c r="H52" s="45"/>
      <c r="I52" s="45"/>
      <c r="J52" s="661"/>
      <c r="K52" s="45"/>
      <c r="L52" s="45"/>
      <c r="M52" s="45"/>
      <c r="N52" s="45"/>
      <c r="O52" s="45"/>
      <c r="P52" s="661"/>
      <c r="Q52" s="45"/>
      <c r="R52" s="45"/>
      <c r="S52" s="45"/>
      <c r="T52" s="45"/>
      <c r="U52" s="45"/>
      <c r="V52" s="45"/>
      <c r="W52" s="45"/>
      <c r="X52" s="45"/>
      <c r="Y52" s="45"/>
      <c r="Z52" s="653">
        <f ca="1">+Z51-T51-N51-H51</f>
        <v>0</v>
      </c>
      <c r="AA52" s="45"/>
      <c r="AB52" s="45"/>
      <c r="AC52" s="45"/>
      <c r="AD52" s="561"/>
      <c r="AE52" s="638"/>
      <c r="AF52" s="654"/>
      <c r="AG52" s="654"/>
      <c r="AH52" s="654"/>
      <c r="AI52" s="654"/>
      <c r="AJ52" s="654"/>
      <c r="AK52" s="654"/>
      <c r="AL52" s="654"/>
      <c r="AM52" s="654"/>
      <c r="AN52" s="654"/>
      <c r="AO52" s="654"/>
      <c r="AQ52" s="45"/>
      <c r="AR52" s="45"/>
      <c r="AS52" s="45"/>
      <c r="AU52" s="45"/>
      <c r="AV52" s="45"/>
      <c r="AW52" s="45"/>
      <c r="AY52" s="45"/>
      <c r="AZ52" s="45"/>
      <c r="BA52" s="45"/>
    </row>
    <row r="53" spans="1:53" s="568" customFormat="1" ht="16">
      <c r="A53" s="568">
        <f ca="1">IF(ROUND(B53,0)=0,0,1)</f>
        <v>0</v>
      </c>
      <c r="B53" s="568">
        <f ca="1">+Z53-SUMIF(Resumen_Base!$A$8:$A$287,'Budget Comparativo'!D53,Resumen_Base!$Y$8:$Y$287)</f>
        <v>0</v>
      </c>
      <c r="C53" s="591" t="s">
        <v>425</v>
      </c>
      <c r="D53" s="567" t="s">
        <v>443</v>
      </c>
      <c r="E53" s="546"/>
      <c r="F53" s="547">
        <v>0</v>
      </c>
      <c r="G53" s="547">
        <f ca="1">IF(C53="Acumulado",IF(H53&gt;F53,F53,H53),IF(C53="BN",+(F53/$F$8*$G$8),"VER"))</f>
        <v>0</v>
      </c>
      <c r="H53" s="547">
        <f ca="1">+SUMIF(Resumen_Base!$A$28:$A$91,'Budget Comparativo'!D53,Resumen_Base!$Y$28:$Y$91)</f>
        <v>0</v>
      </c>
      <c r="I53" s="547">
        <f t="shared" ca="1" si="48"/>
        <v>0</v>
      </c>
      <c r="J53" s="622"/>
      <c r="K53" s="650">
        <f ca="1">IF(ROUND(H53,0)=0,0,IF(F53=0,0,+H53/F53))</f>
        <v>0</v>
      </c>
      <c r="L53" s="547">
        <v>0</v>
      </c>
      <c r="M53" s="547">
        <f ca="1">IF(C53="Acumulado",IF(N53&gt;L53,L53,N53),IF(C53="BN",+(L53/$L$8*$M$8),"VER"))</f>
        <v>0</v>
      </c>
      <c r="N53" s="547">
        <f ca="1">+SUMIF(Resumen_Base!$A$94:$A$156,'Budget Comparativo'!D53,Resumen_Base!$Y$94:$Y$156)</f>
        <v>0</v>
      </c>
      <c r="O53" s="547">
        <f t="shared" ca="1" si="49"/>
        <v>0</v>
      </c>
      <c r="P53" s="622">
        <f>+J53</f>
        <v>0</v>
      </c>
      <c r="Q53" s="650">
        <f ca="1">IF(ROUND(N53,0)=0,0,IF(L53=0,0,+N53/L53))</f>
        <v>0</v>
      </c>
      <c r="R53" s="547">
        <v>0</v>
      </c>
      <c r="S53" s="547">
        <f ca="1">IF(C53="Acumulado",IF(T53&gt;R53,R53,T53),IF(C53="BN",+(R53/$R$8*$S$8),"VER"))</f>
        <v>0</v>
      </c>
      <c r="T53" s="547">
        <f ca="1">SUMIF(Resumen_Base!$A$221:$A$287,'Budget Comparativo'!D53,Resumen_Base!$Y$221:$Y$287)</f>
        <v>0</v>
      </c>
      <c r="U53" s="547">
        <f t="shared" ca="1" si="50"/>
        <v>0</v>
      </c>
      <c r="V53" s="547"/>
      <c r="W53" s="650">
        <f ca="1">IF(ROUND(T53,0)=0,0,IF(R53=0,0,+T53/R53))</f>
        <v>0</v>
      </c>
      <c r="X53" s="547">
        <f t="shared" ref="X53:Z57" si="52">+F53+L53+R53</f>
        <v>0</v>
      </c>
      <c r="Y53" s="547">
        <f t="shared" ca="1" si="52"/>
        <v>0</v>
      </c>
      <c r="Z53" s="547">
        <f t="shared" ca="1" si="52"/>
        <v>0</v>
      </c>
      <c r="AA53" s="547">
        <f t="shared" ca="1" si="51"/>
        <v>0</v>
      </c>
      <c r="AB53" s="571"/>
      <c r="AC53" s="650">
        <f ca="1">IF(ROUND(Z53,0)=0,0,IF(X53=0,0,+Z53/X53))</f>
        <v>0</v>
      </c>
      <c r="AD53" s="546"/>
      <c r="AE53" s="548"/>
      <c r="AF53" s="597">
        <v>12020401</v>
      </c>
      <c r="AG53" s="597">
        <v>12020701</v>
      </c>
      <c r="AH53" s="597"/>
      <c r="AI53" s="597"/>
      <c r="AJ53" s="597"/>
      <c r="AK53" s="597"/>
      <c r="AL53" s="597"/>
      <c r="AM53" s="597"/>
      <c r="AN53" s="597"/>
      <c r="AO53" s="597"/>
      <c r="AQ53" s="36">
        <f>+F53/$AQ$8</f>
        <v>0</v>
      </c>
      <c r="AR53" s="36">
        <f ca="1">+H53/$AR$8</f>
        <v>0</v>
      </c>
      <c r="AS53" s="547">
        <f ca="1">+AQ53-AR53</f>
        <v>0</v>
      </c>
      <c r="AU53" s="36" t="e">
        <f>+L53/$AU$8</f>
        <v>#DIV/0!</v>
      </c>
      <c r="AV53" s="36" t="e">
        <f ca="1">+N53/$N$8</f>
        <v>#DIV/0!</v>
      </c>
      <c r="AW53" s="547" t="e">
        <f ca="1">+AU53-AV53</f>
        <v>#DIV/0!</v>
      </c>
      <c r="AY53" s="36">
        <f>+R53/$AY$8</f>
        <v>0</v>
      </c>
      <c r="AZ53" s="36">
        <f ca="1">+T53/$AZ$8</f>
        <v>0</v>
      </c>
      <c r="BA53" s="547">
        <f ca="1">+AY53-AZ53</f>
        <v>0</v>
      </c>
    </row>
    <row r="54" spans="1:53" s="568" customFormat="1" ht="16">
      <c r="A54" s="568">
        <f ca="1">IF(ROUND(B54,0)=0,0,1)</f>
        <v>0</v>
      </c>
      <c r="B54" s="568">
        <f ca="1">+Z54-SUMIF(Resumen_Base!$A$8:$A$287,'Budget Comparativo'!D54,Resumen_Base!$Y$8:$Y$287)</f>
        <v>0</v>
      </c>
      <c r="C54" s="591" t="s">
        <v>425</v>
      </c>
      <c r="D54" s="567" t="s">
        <v>432</v>
      </c>
      <c r="E54" s="546"/>
      <c r="F54" s="547">
        <v>0</v>
      </c>
      <c r="G54" s="547">
        <f ca="1">IF(C54="Acumulado",IF(H54&gt;F54,F54,H54),IF(C54="BN",+(F54/$F$8*$G$8),"VER"))</f>
        <v>0</v>
      </c>
      <c r="H54" s="547">
        <f ca="1">+SUMIF(Resumen_Base!$A$28:$A$91,'Budget Comparativo'!D54,Resumen_Base!$Y$28:$Y$91)</f>
        <v>3.8</v>
      </c>
      <c r="I54" s="547">
        <f t="shared" ca="1" si="48"/>
        <v>-3.8</v>
      </c>
      <c r="J54" s="622"/>
      <c r="K54" s="650">
        <f ca="1">IF(ROUND(H54,0)=0,0,IF(F54=0,0,+H54/F54))</f>
        <v>0</v>
      </c>
      <c r="L54" s="547">
        <v>0</v>
      </c>
      <c r="M54" s="547">
        <f ca="1">IF(C54="Acumulado",IF(N54&gt;L54,L54,N54),IF(C54="BN",+(L54/$L$8*$M$8),"VER"))</f>
        <v>0</v>
      </c>
      <c r="N54" s="547">
        <f ca="1">+SUMIF(Resumen_Base!$A$94:$A$156,'Budget Comparativo'!D54,Resumen_Base!$Y$94:$Y$156)</f>
        <v>0</v>
      </c>
      <c r="O54" s="547">
        <f t="shared" ca="1" si="49"/>
        <v>0</v>
      </c>
      <c r="P54" s="622"/>
      <c r="Q54" s="650">
        <f ca="1">IF(ROUND(N54,0)=0,0,IF(L54=0,0,+N54/L54))</f>
        <v>0</v>
      </c>
      <c r="R54" s="547">
        <f ca="1">+T54</f>
        <v>1161.25</v>
      </c>
      <c r="S54" s="547">
        <f ca="1">IF(C54="Acumulado",IF(T54&gt;R54,R54,T54),IF(C54="BN",+(R54/$R$8*$S$8),"VER"))</f>
        <v>1161.25</v>
      </c>
      <c r="T54" s="547">
        <f ca="1">SUMIF(Resumen_Base!$A$221:$A$287,'Budget Comparativo'!D54,Resumen_Base!$Y$221:$Y$287)</f>
        <v>1161.25</v>
      </c>
      <c r="U54" s="547">
        <f t="shared" ca="1" si="50"/>
        <v>0</v>
      </c>
      <c r="V54" s="547"/>
      <c r="W54" s="650">
        <f ca="1">IF(ROUND(T54,0)=0,0,IF(R54=0,0,+T54/R54))</f>
        <v>1</v>
      </c>
      <c r="X54" s="547">
        <f t="shared" ca="1" si="52"/>
        <v>1161.25</v>
      </c>
      <c r="Y54" s="547">
        <f t="shared" ca="1" si="52"/>
        <v>1161.25</v>
      </c>
      <c r="Z54" s="547">
        <f t="shared" ca="1" si="52"/>
        <v>1165.05</v>
      </c>
      <c r="AA54" s="547">
        <f t="shared" ca="1" si="51"/>
        <v>-3.7999999999999545</v>
      </c>
      <c r="AB54" s="571"/>
      <c r="AC54" s="650">
        <f ca="1">IF(ROUND(Z54,0)=0,0,IF(X54=0,0,+Z54/X54))</f>
        <v>1.0032723358449946</v>
      </c>
      <c r="AD54" s="546"/>
      <c r="AE54" s="548"/>
      <c r="AF54" s="597">
        <v>120211</v>
      </c>
      <c r="AG54" s="597"/>
      <c r="AH54" s="597"/>
      <c r="AI54" s="597"/>
      <c r="AJ54" s="597"/>
      <c r="AK54" s="597"/>
      <c r="AL54" s="597"/>
      <c r="AM54" s="597"/>
      <c r="AN54" s="597"/>
      <c r="AO54" s="597"/>
      <c r="AQ54" s="36">
        <f>+F54/$AQ$8</f>
        <v>0</v>
      </c>
      <c r="AR54" s="36">
        <f ca="1">+H54/$AR$8</f>
        <v>2.5333333333333333E-2</v>
      </c>
      <c r="AS54" s="547">
        <f ca="1">+AQ54-AR54</f>
        <v>-2.5333333333333333E-2</v>
      </c>
      <c r="AU54" s="36" t="e">
        <f>+L54/$AU$8</f>
        <v>#DIV/0!</v>
      </c>
      <c r="AV54" s="36" t="e">
        <f ca="1">+N54/$N$8</f>
        <v>#DIV/0!</v>
      </c>
      <c r="AW54" s="547" t="e">
        <f ca="1">+AU54-AV54</f>
        <v>#DIV/0!</v>
      </c>
      <c r="AY54" s="36">
        <f ca="1">+R54/$AY$8</f>
        <v>0.75948332243296268</v>
      </c>
      <c r="AZ54" s="36">
        <f ca="1">+T54/$AZ$8</f>
        <v>1.0944863336475024</v>
      </c>
      <c r="BA54" s="547">
        <f ca="1">+AY54-AZ54</f>
        <v>-0.33500301121453968</v>
      </c>
    </row>
    <row r="55" spans="1:53" s="568" customFormat="1" ht="79.5" customHeight="1">
      <c r="A55" s="568">
        <f>IF(ROUND(B55,0)=0,0,1)</f>
        <v>0</v>
      </c>
      <c r="C55" s="591" t="s">
        <v>425</v>
      </c>
      <c r="D55" s="567" t="s">
        <v>433</v>
      </c>
      <c r="E55" s="546"/>
      <c r="F55" s="547">
        <v>15000</v>
      </c>
      <c r="G55" s="547">
        <f ca="1">IF(C55="Acumulado",IF(H55&gt;F55,F55,H55),IF(C55="BN",+(F55/$F$8*$G$8),"VER"))</f>
        <v>7699.687623870791</v>
      </c>
      <c r="H55" s="547">
        <f ca="1">+SUMIF(Resumen_Base!$A$28:$A$91,'Budget Comparativo'!D55,Resumen_Base!$Y$28:$Y$91)</f>
        <v>7699.687623870791</v>
      </c>
      <c r="I55" s="547">
        <f t="shared" ca="1" si="48"/>
        <v>0</v>
      </c>
      <c r="J55" s="622"/>
      <c r="K55" s="650">
        <f ca="1">IF(ROUND(H55,0)=0,0,IF(F55=0,0,+H55/F55))</f>
        <v>0.51331250825805275</v>
      </c>
      <c r="L55" s="547">
        <v>30500</v>
      </c>
      <c r="M55" s="547">
        <f ca="1">IF(C55="Acumulado",IF(N55&gt;L55,L55,N55),IF(C55="BN",+(L55/$L$8*$M$8),"VER"))</f>
        <v>30500</v>
      </c>
      <c r="N55" s="547">
        <f ca="1">+SUMIF(Resumen_Base!$A$94:$A$156,'Budget Comparativo'!D55,Resumen_Base!$Y$94:$Y$156)</f>
        <v>32132.098398576512</v>
      </c>
      <c r="O55" s="547">
        <f t="shared" ca="1" si="49"/>
        <v>-1632.0983985765124</v>
      </c>
      <c r="P55" s="738" t="s">
        <v>3412</v>
      </c>
      <c r="Q55" s="650">
        <f ca="1">IF(ROUND(N55,0)=0,0,IF(L55=0,0,+N55/L55))</f>
        <v>1.053511422904148</v>
      </c>
      <c r="R55" s="547">
        <f ca="1">20000-R54</f>
        <v>18838.75</v>
      </c>
      <c r="S55" s="547">
        <f ca="1">IF(C55="Acumulado",IF(T55&gt;R55,R55,T55),IF(C55="BN",+(R55/$R$8*$S$8),"VER"))</f>
        <v>18838.75</v>
      </c>
      <c r="T55" s="547">
        <f ca="1">SUMIF(Resumen_Base!$A$221:$A$287,'Budget Comparativo'!D55,Resumen_Base!$Y$221:$Y$287)-T56</f>
        <v>21937.89599754128</v>
      </c>
      <c r="U55" s="547">
        <f t="shared" ca="1" si="50"/>
        <v>-3099.1459975412799</v>
      </c>
      <c r="V55" s="738" t="s">
        <v>5870</v>
      </c>
      <c r="W55" s="650">
        <f ca="1">IF(ROUND(T55,0)=0,0,IF(R55=0,0,+T55/R55))</f>
        <v>1.1645091100811509</v>
      </c>
      <c r="X55" s="547">
        <f t="shared" ca="1" si="52"/>
        <v>64338.75</v>
      </c>
      <c r="Y55" s="547">
        <f t="shared" ca="1" si="52"/>
        <v>57038.437623870792</v>
      </c>
      <c r="Z55" s="547">
        <f t="shared" ca="1" si="52"/>
        <v>61769.682019988584</v>
      </c>
      <c r="AA55" s="547">
        <f t="shared" ca="1" si="51"/>
        <v>-4731.2443961177923</v>
      </c>
      <c r="AB55" s="622"/>
      <c r="AC55" s="650">
        <f ca="1">IF(ROUND(Z55,0)=0,0,IF(X55=0,0,+Z55/X55))</f>
        <v>0.96006966283909123</v>
      </c>
      <c r="AD55" s="546"/>
      <c r="AE55" s="548">
        <v>0</v>
      </c>
      <c r="AF55" s="597">
        <v>12020103</v>
      </c>
      <c r="AG55" s="597">
        <v>12020105</v>
      </c>
      <c r="AH55" s="597">
        <v>12020201</v>
      </c>
      <c r="AI55" s="597">
        <v>12020301</v>
      </c>
      <c r="AJ55" s="597">
        <v>12021001</v>
      </c>
      <c r="AK55" s="597">
        <v>12020501</v>
      </c>
      <c r="AL55" s="597">
        <v>12020601</v>
      </c>
      <c r="AM55" s="597">
        <v>12020901</v>
      </c>
      <c r="AN55" s="597"/>
      <c r="AO55" s="597"/>
      <c r="AQ55" s="36">
        <f>+F55/$AQ$8</f>
        <v>37.5</v>
      </c>
      <c r="AR55" s="36">
        <f ca="1">+H55/$AR$8</f>
        <v>51.33125082580527</v>
      </c>
      <c r="AS55" s="547">
        <f ca="1">+AQ55-AR55</f>
        <v>-13.83125082580527</v>
      </c>
      <c r="AU55" s="36" t="e">
        <f>+L55/$AU$8</f>
        <v>#DIV/0!</v>
      </c>
      <c r="AV55" s="36" t="e">
        <f ca="1">+N55/$N$8</f>
        <v>#DIV/0!</v>
      </c>
      <c r="AW55" s="547" t="e">
        <f ca="1">+AU55-AV55</f>
        <v>#DIV/0!</v>
      </c>
      <c r="AY55" s="36">
        <f ca="1">+R55/$AY$8</f>
        <v>12.320961412688032</v>
      </c>
      <c r="AZ55" s="36">
        <f ca="1">+T55/$AZ$8</f>
        <v>20.676622052348048</v>
      </c>
      <c r="BA55" s="547">
        <f ca="1">+AY55-AZ55</f>
        <v>-8.3556606396600159</v>
      </c>
    </row>
    <row r="56" spans="1:53" s="568" customFormat="1" ht="79.5" customHeight="1">
      <c r="A56" s="568">
        <f>IF(ROUND(B56,0)=0,0,1)</f>
        <v>0</v>
      </c>
      <c r="C56" s="591" t="s">
        <v>425</v>
      </c>
      <c r="D56" s="567" t="s">
        <v>3408</v>
      </c>
      <c r="E56" s="546"/>
      <c r="F56" s="547">
        <v>0</v>
      </c>
      <c r="G56" s="547">
        <f>IF(C56="Acumulado",IF(H56&gt;F56,F56,H56),IF(C56="BN",+(F56/$F$8*$G$8),"VER"))</f>
        <v>0</v>
      </c>
      <c r="H56" s="547">
        <f>+SUMIF(Resumen_Base!$A$28:$A$91,'Budget Comparativo'!D56,Resumen_Base!$Y$28:$Y$91)</f>
        <v>0</v>
      </c>
      <c r="I56" s="547">
        <f>+G56-H56</f>
        <v>0</v>
      </c>
      <c r="J56" s="622"/>
      <c r="K56" s="650"/>
      <c r="L56" s="547">
        <v>0</v>
      </c>
      <c r="M56" s="547">
        <f ca="1">IF(C56="Acumulado",IF(N56&gt;L56,L56,N56),IF(C56="BN",+(L56/$L$8*$M$8),"VER"))</f>
        <v>0</v>
      </c>
      <c r="N56" s="547">
        <f ca="1">+SUMIF(Resumen_Base!$A$94:$A$156,'Budget Comparativo'!D56,Resumen_Base!$Y$94:$Y$156)</f>
        <v>0</v>
      </c>
      <c r="O56" s="547">
        <f t="shared" ca="1" si="49"/>
        <v>0</v>
      </c>
      <c r="P56" s="738"/>
      <c r="Q56" s="650"/>
      <c r="R56" s="547">
        <v>-58825</v>
      </c>
      <c r="S56" s="547">
        <f>IF(C56="Acumulado",IF(T56&gt;R56,R56,T56),IF(C56="BN",+(R56/$R$8*$S$8),"VER"))</f>
        <v>-58825</v>
      </c>
      <c r="T56" s="547">
        <f>+R56</f>
        <v>-58825</v>
      </c>
      <c r="U56" s="547">
        <f t="shared" si="50"/>
        <v>0</v>
      </c>
      <c r="V56" s="738"/>
      <c r="W56" s="650"/>
      <c r="X56" s="547">
        <f t="shared" si="52"/>
        <v>-58825</v>
      </c>
      <c r="Y56" s="547">
        <f t="shared" ca="1" si="52"/>
        <v>-58825</v>
      </c>
      <c r="Z56" s="547">
        <f t="shared" ca="1" si="52"/>
        <v>-58825</v>
      </c>
      <c r="AA56" s="547">
        <f ca="1">+Y56-Z56</f>
        <v>0</v>
      </c>
      <c r="AB56" s="622"/>
      <c r="AC56" s="650"/>
      <c r="AD56" s="546"/>
      <c r="AE56" s="548"/>
      <c r="AF56" s="597"/>
      <c r="AG56" s="597"/>
      <c r="AH56" s="597"/>
      <c r="AI56" s="597"/>
      <c r="AJ56" s="597"/>
      <c r="AK56" s="597"/>
      <c r="AL56" s="597"/>
      <c r="AM56" s="597"/>
      <c r="AN56" s="597"/>
      <c r="AO56" s="597"/>
      <c r="AQ56" s="36"/>
      <c r="AR56" s="36"/>
      <c r="AS56" s="547"/>
      <c r="AU56" s="36"/>
      <c r="AV56" s="36"/>
      <c r="AW56" s="547"/>
      <c r="AY56" s="36"/>
      <c r="AZ56" s="36"/>
      <c r="BA56" s="547"/>
    </row>
    <row r="57" spans="1:53" s="568" customFormat="1" ht="13.5" thickBot="1">
      <c r="A57" s="568">
        <f ca="1">IF(ROUND(B57,0)=0,0,1)</f>
        <v>0</v>
      </c>
      <c r="B57" s="568">
        <f ca="1">+Z57-SUMIF(Resumen_Base!$A$8:$A$287,'Budget Comparativo'!D57,Resumen_Base!$Y$8:$Y$287)</f>
        <v>0</v>
      </c>
      <c r="C57" s="591" t="s">
        <v>425</v>
      </c>
      <c r="D57" s="567" t="s">
        <v>434</v>
      </c>
      <c r="E57" s="546"/>
      <c r="F57" s="547">
        <v>0</v>
      </c>
      <c r="G57" s="547">
        <f ca="1">IF(C57="Acumulado",IF(H57&gt;F57,F57,H57),IF(C57="BN",+(F57/$F$8*$G$8),"VER"))</f>
        <v>0</v>
      </c>
      <c r="H57" s="547">
        <f ca="1">+SUMIF(Resumen_Base!$A$28:$A$91,'Budget Comparativo'!D57,Resumen_Base!$Y$28:$Y$91)</f>
        <v>0</v>
      </c>
      <c r="I57" s="547">
        <f t="shared" ca="1" si="48"/>
        <v>0</v>
      </c>
      <c r="J57" s="677"/>
      <c r="K57" s="650">
        <f ca="1">IF(ROUND(H57,0)=0,0,IF(F57=0,0,+H57/F57))</f>
        <v>0</v>
      </c>
      <c r="L57" s="547">
        <v>0</v>
      </c>
      <c r="M57" s="547">
        <f>IF(C57="Acumulado",IF(N57&gt;L57,L57,N57),IF(C57="BN",+(L57/$L$8*$M$8),"VER"))</f>
        <v>0</v>
      </c>
      <c r="N57" s="547">
        <f>+SUMIF(Resumen_Base!$A$94:$A$156,'Budget Comparativo'!D57,Resumen_Base!$Y$94:$Y$156)</f>
        <v>0</v>
      </c>
      <c r="O57" s="547">
        <f t="shared" si="49"/>
        <v>0</v>
      </c>
      <c r="P57" s="677"/>
      <c r="Q57" s="650">
        <f>IF(ROUND(N57,0)=0,0,IF(L57=0,0,+N57/L57))</f>
        <v>0</v>
      </c>
      <c r="R57" s="547">
        <v>0</v>
      </c>
      <c r="S57" s="547">
        <f>IF(C57="Acumulado",IF(T57&gt;R57,R57,T57),IF(C57="BN",+(R57/$R$8*$S$8),"VER"))</f>
        <v>0</v>
      </c>
      <c r="T57" s="547">
        <f>SUMIF(Resumen_Base!$A$221:$A$287,'Budget Comparativo'!D57,Resumen_Base!$Y$221:$Y$287)</f>
        <v>0</v>
      </c>
      <c r="U57" s="547">
        <f t="shared" si="50"/>
        <v>0</v>
      </c>
      <c r="V57" s="547"/>
      <c r="W57" s="650">
        <f>IF(ROUND(T57,0)=0,0,IF(R57=0,0,+T57/R57))</f>
        <v>0</v>
      </c>
      <c r="X57" s="547">
        <f t="shared" si="52"/>
        <v>0</v>
      </c>
      <c r="Y57" s="547">
        <f t="shared" ca="1" si="52"/>
        <v>0</v>
      </c>
      <c r="Z57" s="547">
        <f t="shared" ca="1" si="52"/>
        <v>0</v>
      </c>
      <c r="AA57" s="547">
        <f t="shared" ca="1" si="51"/>
        <v>0</v>
      </c>
      <c r="AB57" s="678"/>
      <c r="AC57" s="650">
        <f ca="1">IF(ROUND(Z57,0)=0,0,IF(X57=0,0,+Z57/X57))</f>
        <v>0</v>
      </c>
      <c r="AD57" s="546"/>
      <c r="AE57" s="548"/>
      <c r="AF57" s="597">
        <v>7102</v>
      </c>
      <c r="AG57" s="597"/>
      <c r="AH57" s="597"/>
      <c r="AI57" s="597"/>
      <c r="AJ57" s="597"/>
      <c r="AK57" s="597"/>
      <c r="AL57" s="597"/>
      <c r="AM57" s="597"/>
      <c r="AN57" s="597"/>
      <c r="AO57" s="597"/>
      <c r="AQ57" s="36">
        <f>+F57/$AQ$8</f>
        <v>0</v>
      </c>
      <c r="AR57" s="36">
        <f ca="1">+H57/$AR$8</f>
        <v>0</v>
      </c>
      <c r="AS57" s="547">
        <f ca="1">+AQ57-AR57</f>
        <v>0</v>
      </c>
      <c r="AU57" s="36" t="e">
        <f>+L57/$AU$8</f>
        <v>#DIV/0!</v>
      </c>
      <c r="AV57" s="36" t="e">
        <f>+N57/$N$8</f>
        <v>#DIV/0!</v>
      </c>
      <c r="AW57" s="547" t="e">
        <f>+AU57-AV57</f>
        <v>#DIV/0!</v>
      </c>
      <c r="AY57" s="36">
        <f>+R57/$AY$8</f>
        <v>0</v>
      </c>
      <c r="AZ57" s="36">
        <f>+T57/$AZ$8</f>
        <v>0</v>
      </c>
      <c r="BA57" s="547">
        <f>+AY57-AZ57</f>
        <v>0</v>
      </c>
    </row>
    <row r="58" spans="1:53" s="568" customFormat="1" ht="13.5" thickBot="1">
      <c r="C58" s="591"/>
      <c r="D58" s="582" t="s">
        <v>435</v>
      </c>
      <c r="E58" s="546"/>
      <c r="F58" s="583">
        <f>+SUM(F53:F57)</f>
        <v>15000</v>
      </c>
      <c r="G58" s="583">
        <f ca="1">+SUM(G53:G57)</f>
        <v>7699.687623870791</v>
      </c>
      <c r="H58" s="583">
        <f ca="1">+SUM(H53:H57)</f>
        <v>7703.4876238707911</v>
      </c>
      <c r="I58" s="583">
        <f ca="1">+SUM(I53:I57)</f>
        <v>-3.8</v>
      </c>
      <c r="J58" s="663"/>
      <c r="K58" s="583"/>
      <c r="L58" s="583">
        <f>+SUM(L53:L57)</f>
        <v>30500</v>
      </c>
      <c r="M58" s="583">
        <f ca="1">+SUM(M53:M57)</f>
        <v>30500</v>
      </c>
      <c r="N58" s="583">
        <f ca="1">+SUM(N53:N57)</f>
        <v>32132.098398576512</v>
      </c>
      <c r="O58" s="583">
        <f ca="1">+SUM(O53:O57)</f>
        <v>-1632.0983985765124</v>
      </c>
      <c r="P58" s="663"/>
      <c r="Q58" s="583"/>
      <c r="R58" s="583">
        <f ca="1">+SUM(R53:R57)</f>
        <v>-38825</v>
      </c>
      <c r="S58" s="583">
        <f ca="1">+SUM(S53:S57)</f>
        <v>-38825</v>
      </c>
      <c r="T58" s="583">
        <f ca="1">+SUM(T53:T57)</f>
        <v>-35725.85400245872</v>
      </c>
      <c r="U58" s="583">
        <f ca="1">+SUM(U53:U57)</f>
        <v>-3099.1459975412799</v>
      </c>
      <c r="V58" s="583"/>
      <c r="W58" s="583"/>
      <c r="X58" s="583">
        <f ca="1">+SUM(X53:X57)</f>
        <v>6675</v>
      </c>
      <c r="Y58" s="583">
        <f ca="1">+SUM(Y53:Y57)</f>
        <v>-625.31237612920813</v>
      </c>
      <c r="Z58" s="583">
        <f ca="1">+SUM(Z53:Z57)</f>
        <v>4109.7320199885871</v>
      </c>
      <c r="AA58" s="583">
        <f ca="1">+SUM(AA53:AA57)</f>
        <v>-4735.0443961177925</v>
      </c>
      <c r="AB58" s="583"/>
      <c r="AC58" s="583"/>
      <c r="AD58" s="546"/>
      <c r="AE58" s="548"/>
      <c r="AF58" s="597"/>
      <c r="AG58" s="597"/>
      <c r="AH58" s="597"/>
      <c r="AI58" s="597"/>
      <c r="AJ58" s="597"/>
      <c r="AK58" s="597"/>
      <c r="AL58" s="597"/>
      <c r="AM58" s="597"/>
      <c r="AN58" s="597"/>
      <c r="AO58" s="597"/>
      <c r="AQ58" s="583">
        <f>+SUM(AQ53:AQ57)</f>
        <v>37.5</v>
      </c>
      <c r="AR58" s="583">
        <f ca="1">+SUM(AR53:AR57)</f>
        <v>51.356584159138606</v>
      </c>
      <c r="AS58" s="583">
        <f ca="1">+SUM(AS53:AS57)</f>
        <v>-13.856584159138604</v>
      </c>
      <c r="AU58" s="583" t="e">
        <f>+SUM(AU53:AU57)</f>
        <v>#DIV/0!</v>
      </c>
      <c r="AV58" s="583" t="e">
        <f ca="1">+SUM(AV53:AV57)</f>
        <v>#DIV/0!</v>
      </c>
      <c r="AW58" s="583" t="e">
        <f ca="1">+SUM(AW53:AW57)</f>
        <v>#DIV/0!</v>
      </c>
      <c r="AY58" s="583">
        <f ca="1">+SUM(AY53:AY57)</f>
        <v>13.080444735120995</v>
      </c>
      <c r="AZ58" s="583">
        <f ca="1">+SUM(AZ53:AZ57)</f>
        <v>21.77110838599555</v>
      </c>
      <c r="BA58" s="583">
        <f ca="1">+SUM(BA53:BA57)</f>
        <v>-8.6906636508745549</v>
      </c>
    </row>
    <row r="59" spans="1:53" s="49" customFormat="1" ht="12.5">
      <c r="C59" s="586"/>
      <c r="D59" s="536"/>
      <c r="E59" s="88"/>
      <c r="J59" s="98"/>
      <c r="P59" s="98"/>
      <c r="Z59" s="318">
        <f ca="1">+Z58-T58-N58-H58</f>
        <v>0</v>
      </c>
      <c r="AD59" s="88"/>
      <c r="AE59" s="88"/>
      <c r="AF59" s="568"/>
      <c r="AG59" s="568"/>
      <c r="AH59" s="568"/>
      <c r="AI59" s="568"/>
      <c r="AJ59" s="568"/>
      <c r="AK59" s="568"/>
      <c r="AL59" s="568"/>
      <c r="AM59" s="568"/>
      <c r="AN59" s="568"/>
      <c r="AO59" s="568"/>
      <c r="AQ59" s="364"/>
      <c r="AR59" s="364"/>
      <c r="AS59" s="364"/>
    </row>
    <row r="60" spans="1:53">
      <c r="AC60" s="16"/>
      <c r="AF60" s="568"/>
      <c r="AG60" s="568"/>
      <c r="AH60" s="568"/>
      <c r="AI60" s="568"/>
      <c r="AJ60" s="568"/>
      <c r="AK60" s="568"/>
      <c r="AL60" s="568"/>
      <c r="AM60" s="568"/>
      <c r="AN60" s="568"/>
      <c r="AO60" s="568"/>
      <c r="AQ60" s="364"/>
      <c r="AR60" s="364"/>
      <c r="AS60" s="364"/>
      <c r="AU60" s="177" t="e">
        <f>+L51/L8-AU51</f>
        <v>#DIV/0!</v>
      </c>
      <c r="AV60" s="177" t="e">
        <f ca="1">+N51/N8-AV51</f>
        <v>#DIV/0!</v>
      </c>
      <c r="AY60" s="177">
        <f>+R51/R8-AY51</f>
        <v>0</v>
      </c>
      <c r="AZ60" s="16">
        <f ca="1">+T51/T8-AZ51</f>
        <v>0</v>
      </c>
    </row>
    <row r="61" spans="1:53" s="364" customFormat="1">
      <c r="C61" s="595"/>
      <c r="D61" s="584" t="s">
        <v>426</v>
      </c>
      <c r="E61" s="363"/>
      <c r="F61" s="596">
        <v>382420</v>
      </c>
      <c r="H61" s="596">
        <f ca="1">+H58+H51-H18</f>
        <v>155949.43891349563</v>
      </c>
      <c r="J61" s="366"/>
      <c r="L61" s="596">
        <v>34100</v>
      </c>
      <c r="N61" s="596">
        <f ca="1">+N58+N51-N18</f>
        <v>33589.363886120998</v>
      </c>
      <c r="P61" s="366"/>
      <c r="R61" s="596">
        <v>877549</v>
      </c>
      <c r="T61" s="596">
        <f ca="1">+T58+T51-T18</f>
        <v>382407.02662885439</v>
      </c>
      <c r="X61" s="596">
        <f>+R61+L61+F61</f>
        <v>1294069</v>
      </c>
      <c r="Z61" s="596">
        <f ca="1">+Z58+Z51-Z18</f>
        <v>571945.82942847116</v>
      </c>
      <c r="AD61" s="363"/>
      <c r="AE61" s="363"/>
      <c r="AF61" s="568"/>
      <c r="AG61" s="568"/>
      <c r="AH61" s="568"/>
      <c r="AI61" s="568"/>
      <c r="AJ61" s="568"/>
      <c r="AK61" s="568"/>
      <c r="AL61" s="568"/>
      <c r="AM61" s="568"/>
      <c r="AN61" s="568"/>
      <c r="AO61" s="568"/>
      <c r="AQ61" s="596">
        <f>+F58/F8-AQ58</f>
        <v>0</v>
      </c>
      <c r="AR61" s="596">
        <f ca="1">+H58/H8-AR58</f>
        <v>0</v>
      </c>
      <c r="AU61" s="596" t="e">
        <f>+L58/L8-AU58</f>
        <v>#DIV/0!</v>
      </c>
      <c r="AV61" s="596" t="e">
        <f ca="1">+N58/N8-AV58</f>
        <v>#DIV/0!</v>
      </c>
      <c r="AY61" s="596">
        <f ca="1">+R58/R8-AY58</f>
        <v>-38.472858077174621</v>
      </c>
      <c r="AZ61" s="364">
        <f ca="1">+T58/T8-AZ58</f>
        <v>-55.44297832233741</v>
      </c>
    </row>
    <row r="62" spans="1:53" ht="12.5">
      <c r="C62" s="595"/>
      <c r="D62" s="95" t="s">
        <v>21</v>
      </c>
      <c r="E62" s="16"/>
      <c r="F62" s="177">
        <f>+F18+F51+F58-F61</f>
        <v>0</v>
      </c>
      <c r="H62" s="177">
        <f ca="1">+H61-Resumen_Base!Y28-'Stock - Deudas'!F19</f>
        <v>0.43891349562909454</v>
      </c>
      <c r="L62" s="177">
        <f>+L18+L51+L58-L61</f>
        <v>0</v>
      </c>
      <c r="N62" s="177">
        <f ca="1">+N61-Resumen_Base!Y93-'Stock - Deudas'!L19</f>
        <v>0.36388612099835882</v>
      </c>
      <c r="R62" s="177">
        <f ca="1">+R18+R51+R58-R61</f>
        <v>0</v>
      </c>
      <c r="T62" s="177">
        <f ca="1">+T61-Resumen_Base!Y220-'Stock - Deudas'!L33</f>
        <v>7.3878854393115034E-2</v>
      </c>
      <c r="X62" s="177">
        <f ca="1">+X18+X51+X58-X61</f>
        <v>0</v>
      </c>
      <c r="Z62" s="177">
        <f ca="1">+Z61-Resumen_Base!Y2-'Stock - Deudas'!C2</f>
        <v>-5.2750692702829838E-10</v>
      </c>
      <c r="AC62" s="16"/>
      <c r="AD62" s="16"/>
      <c r="AE62" s="16"/>
      <c r="AF62" s="568"/>
      <c r="AG62" s="568"/>
      <c r="AH62" s="568"/>
      <c r="AI62" s="568"/>
      <c r="AJ62" s="568"/>
      <c r="AK62" s="568"/>
      <c r="AL62" s="568"/>
      <c r="AM62" s="568"/>
      <c r="AN62" s="568"/>
      <c r="AO62" s="568"/>
    </row>
    <row r="64" spans="1:53">
      <c r="Z64" s="177">
        <f ca="1">-Z18+Z51+Z58</f>
        <v>571945.82942847116</v>
      </c>
    </row>
  </sheetData>
  <autoFilter ref="A7:AD62"/>
  <mergeCells count="9">
    <mergeCell ref="V28:V30"/>
    <mergeCell ref="AY5:BA5"/>
    <mergeCell ref="AY6:BA6"/>
    <mergeCell ref="F5:AC5"/>
    <mergeCell ref="F6:AC6"/>
    <mergeCell ref="AQ5:AS5"/>
    <mergeCell ref="AQ6:AS6"/>
    <mergeCell ref="AU5:AW5"/>
    <mergeCell ref="AU6:AW6"/>
  </mergeCells>
  <conditionalFormatting sqref="D5">
    <cfRule type="cellIs" dxfId="183" priority="190" stopIfTrue="1" operator="notEqual">
      <formula>"ok"</formula>
    </cfRule>
  </conditionalFormatting>
  <conditionalFormatting sqref="I14:I16">
    <cfRule type="cellIs" dxfId="182" priority="153" operator="lessThan">
      <formula>0</formula>
    </cfRule>
  </conditionalFormatting>
  <conditionalFormatting sqref="I23:I58">
    <cfRule type="cellIs" dxfId="181" priority="163" operator="lessThan">
      <formula>0</formula>
    </cfRule>
  </conditionalFormatting>
  <conditionalFormatting sqref="K24:K31">
    <cfRule type="cellIs" dxfId="180" priority="168" operator="greaterThan">
      <formula>$AC$10</formula>
    </cfRule>
  </conditionalFormatting>
  <conditionalFormatting sqref="K38:K41">
    <cfRule type="cellIs" dxfId="179" priority="167" operator="greaterThan">
      <formula>$AC$10</formula>
    </cfRule>
  </conditionalFormatting>
  <conditionalFormatting sqref="K43:K49">
    <cfRule type="cellIs" dxfId="178" priority="166" operator="greaterThan">
      <formula>$AC$10</formula>
    </cfRule>
  </conditionalFormatting>
  <conditionalFormatting sqref="K53:K57">
    <cfRule type="cellIs" dxfId="177" priority="165" operator="greaterThan">
      <formula>$AC$10</formula>
    </cfRule>
  </conditionalFormatting>
  <conditionalFormatting sqref="O14:O16">
    <cfRule type="cellIs" dxfId="176" priority="154" operator="lessThan">
      <formula>0</formula>
    </cfRule>
  </conditionalFormatting>
  <conditionalFormatting sqref="O23:O58">
    <cfRule type="cellIs" dxfId="175" priority="162" operator="lessThan">
      <formula>0</formula>
    </cfRule>
  </conditionalFormatting>
  <conditionalFormatting sqref="Q24:Q31">
    <cfRule type="cellIs" dxfId="174" priority="164" operator="greaterThan">
      <formula>$AC$10</formula>
    </cfRule>
  </conditionalFormatting>
  <conditionalFormatting sqref="Q38:Q41">
    <cfRule type="cellIs" dxfId="173" priority="171" operator="greaterThan">
      <formula>$AC$10</formula>
    </cfRule>
  </conditionalFormatting>
  <conditionalFormatting sqref="Q43:Q49">
    <cfRule type="cellIs" dxfId="172" priority="170" operator="greaterThan">
      <formula>$AC$10</formula>
    </cfRule>
  </conditionalFormatting>
  <conditionalFormatting sqref="Q53:Q57">
    <cfRule type="cellIs" dxfId="171" priority="169" operator="greaterThan">
      <formula>$AC$10</formula>
    </cfRule>
  </conditionalFormatting>
  <conditionalFormatting sqref="U14:U16">
    <cfRule type="cellIs" dxfId="170" priority="155" operator="lessThan">
      <formula>0</formula>
    </cfRule>
  </conditionalFormatting>
  <conditionalFormatting sqref="U23:U58">
    <cfRule type="cellIs" dxfId="169" priority="161" operator="lessThan">
      <formula>0</formula>
    </cfRule>
  </conditionalFormatting>
  <conditionalFormatting sqref="W24:W31">
    <cfRule type="cellIs" dxfId="168" priority="176" operator="greaterThan">
      <formula>$AC$10</formula>
    </cfRule>
  </conditionalFormatting>
  <conditionalFormatting sqref="W38:W41">
    <cfRule type="cellIs" dxfId="167" priority="175" operator="greaterThan">
      <formula>$AC$10</formula>
    </cfRule>
  </conditionalFormatting>
  <conditionalFormatting sqref="W43:W49">
    <cfRule type="cellIs" dxfId="166" priority="174" operator="greaterThan">
      <formula>$AC$10</formula>
    </cfRule>
  </conditionalFormatting>
  <conditionalFormatting sqref="W53:W57">
    <cfRule type="cellIs" dxfId="165" priority="173" operator="greaterThan">
      <formula>$AC$10</formula>
    </cfRule>
  </conditionalFormatting>
  <conditionalFormatting sqref="AA14:AA16">
    <cfRule type="cellIs" dxfId="164" priority="156" operator="lessThan">
      <formula>0</formula>
    </cfRule>
  </conditionalFormatting>
  <conditionalFormatting sqref="AA23:AA58">
    <cfRule type="cellIs" dxfId="163" priority="160" operator="lessThan">
      <formula>0</formula>
    </cfRule>
  </conditionalFormatting>
  <conditionalFormatting sqref="AC24:AC31">
    <cfRule type="cellIs" dxfId="162" priority="189" operator="greaterThan">
      <formula>$AC$10</formula>
    </cfRule>
  </conditionalFormatting>
  <conditionalFormatting sqref="AC38:AC41">
    <cfRule type="cellIs" dxfId="161" priority="188" operator="greaterThan">
      <formula>$AC$10</formula>
    </cfRule>
  </conditionalFormatting>
  <conditionalFormatting sqref="AC43:AC49">
    <cfRule type="cellIs" dxfId="160" priority="187" operator="greaterThan">
      <formula>$AC$10</formula>
    </cfRule>
  </conditionalFormatting>
  <conditionalFormatting sqref="AC53:AC57">
    <cfRule type="cellIs" dxfId="159" priority="186" operator="greaterThan">
      <formula>$AC$10</formula>
    </cfRule>
  </conditionalFormatting>
  <conditionalFormatting sqref="AS14:AS16">
    <cfRule type="cellIs" dxfId="158" priority="150" operator="lessThan">
      <formula>0</formula>
    </cfRule>
  </conditionalFormatting>
  <conditionalFormatting sqref="AS24:AS26">
    <cfRule type="cellIs" dxfId="157" priority="139" operator="lessThan">
      <formula>0</formula>
    </cfRule>
  </conditionalFormatting>
  <conditionalFormatting sqref="AS28:AS33">
    <cfRule type="cellIs" dxfId="156" priority="136" operator="lessThan">
      <formula>0</formula>
    </cfRule>
  </conditionalFormatting>
  <conditionalFormatting sqref="AS35:AS41">
    <cfRule type="cellIs" dxfId="155" priority="131" operator="lessThan">
      <formula>0</formula>
    </cfRule>
  </conditionalFormatting>
  <conditionalFormatting sqref="AS43:AS50">
    <cfRule type="cellIs" dxfId="154" priority="124" operator="lessThan">
      <formula>0</formula>
    </cfRule>
  </conditionalFormatting>
  <conditionalFormatting sqref="AS52:AS57">
    <cfRule type="cellIs" dxfId="153" priority="115" operator="lessThan">
      <formula>0</formula>
    </cfRule>
  </conditionalFormatting>
  <conditionalFormatting sqref="AW14:AW16">
    <cfRule type="cellIs" dxfId="152" priority="112" operator="lessThan">
      <formula>0</formula>
    </cfRule>
  </conditionalFormatting>
  <conditionalFormatting sqref="AW24:AW26">
    <cfRule type="cellIs" dxfId="151" priority="101" operator="lessThan">
      <formula>0</formula>
    </cfRule>
  </conditionalFormatting>
  <conditionalFormatting sqref="AW28:AW33">
    <cfRule type="cellIs" dxfId="150" priority="98" operator="lessThan">
      <formula>0</formula>
    </cfRule>
  </conditionalFormatting>
  <conditionalFormatting sqref="AW35:AW41">
    <cfRule type="cellIs" dxfId="149" priority="93" operator="lessThan">
      <formula>0</formula>
    </cfRule>
  </conditionalFormatting>
  <conditionalFormatting sqref="AW43:AW50">
    <cfRule type="cellIs" dxfId="148" priority="86" operator="lessThan">
      <formula>0</formula>
    </cfRule>
  </conditionalFormatting>
  <conditionalFormatting sqref="AW52:AW57">
    <cfRule type="cellIs" dxfId="147" priority="77" operator="lessThan">
      <formula>0</formula>
    </cfRule>
  </conditionalFormatting>
  <conditionalFormatting sqref="BA14:BA16">
    <cfRule type="cellIs" dxfId="146" priority="74" operator="lessThan">
      <formula>0</formula>
    </cfRule>
  </conditionalFormatting>
  <conditionalFormatting sqref="BA24:BA26">
    <cfRule type="cellIs" dxfId="145" priority="63" operator="lessThan">
      <formula>0</formula>
    </cfRule>
  </conditionalFormatting>
  <conditionalFormatting sqref="BA28:BA33">
    <cfRule type="cellIs" dxfId="144" priority="60" operator="lessThan">
      <formula>0</formula>
    </cfRule>
  </conditionalFormatting>
  <conditionalFormatting sqref="BA35:BA41">
    <cfRule type="cellIs" dxfId="143" priority="55" operator="lessThan">
      <formula>0</formula>
    </cfRule>
  </conditionalFormatting>
  <conditionalFormatting sqref="BA43:BA50">
    <cfRule type="cellIs" dxfId="142" priority="48" operator="lessThan">
      <formula>0</formula>
    </cfRule>
  </conditionalFormatting>
  <conditionalFormatting sqref="BA52:BA57">
    <cfRule type="cellIs" dxfId="141" priority="39" operator="lessThan">
      <formula>0</formula>
    </cfRule>
  </conditionalFormatting>
  <printOptions horizontalCentered="1"/>
  <pageMargins left="3.937007874015748E-2" right="3.937007874015748E-2" top="0.15748031496062992" bottom="0.15748031496062992" header="0.19685039370078741" footer="0.11811023622047245"/>
  <pageSetup paperSize="5" scale="31" orientation="landscape" horizontalDpi="300" r:id="rId1"/>
  <headerFooter alignWithMargins="0"/>
  <colBreaks count="1" manualBreakCount="1">
    <brk id="30" min="1" max="57" man="1"/>
  </colBreaks>
</worksheet>
</file>

<file path=xl/worksheets/sheet22.xml><?xml version="1.0" encoding="utf-8"?>
<worksheet xmlns="http://schemas.openxmlformats.org/spreadsheetml/2006/main" xmlns:r="http://schemas.openxmlformats.org/officeDocument/2006/relationships">
  <sheetPr codeName="Hoja6">
    <tabColor rgb="FFFFFF00"/>
    <pageSetUpPr fitToPage="1"/>
  </sheetPr>
  <dimension ref="B1:AA57"/>
  <sheetViews>
    <sheetView view="pageBreakPreview" zoomScale="60" zoomScaleNormal="70" workbookViewId="0">
      <pane xSplit="4" ySplit="10" topLeftCell="E11" activePane="bottomRight" state="frozen"/>
      <selection pane="topRight" activeCell="E1" sqref="E1"/>
      <selection pane="bottomLeft" activeCell="A11" sqref="A11"/>
      <selection pane="bottomRight" activeCell="F33" sqref="F33"/>
    </sheetView>
  </sheetViews>
  <sheetFormatPr baseColWidth="10" defaultColWidth="8.81640625" defaultRowHeight="13"/>
  <cols>
    <col min="1" max="1" width="8.81640625" style="16"/>
    <col min="2" max="2" width="12.1796875" style="395" bestFit="1" customWidth="1"/>
    <col min="3" max="3" width="67.81640625" style="349" bestFit="1" customWidth="1"/>
    <col min="4" max="4" width="1.453125" style="14" customWidth="1"/>
    <col min="5" max="5" width="14.1796875" style="16" customWidth="1"/>
    <col min="6" max="7" width="12.81640625" style="16" customWidth="1"/>
    <col min="8" max="8" width="3.453125" style="16" customWidth="1"/>
    <col min="9" max="9" width="14.1796875" style="16" customWidth="1"/>
    <col min="10" max="11" width="12.81640625" style="16" customWidth="1"/>
    <col min="12" max="12" width="3.453125" style="16" customWidth="1"/>
    <col min="13" max="13" width="14.1796875" style="16" customWidth="1"/>
    <col min="14" max="14" width="11" style="16" customWidth="1"/>
    <col min="15" max="15" width="12.453125" style="16" customWidth="1"/>
    <col min="16" max="16" width="3.453125" style="16" customWidth="1"/>
    <col min="17" max="17" width="13.81640625" style="16" customWidth="1"/>
    <col min="18" max="18" width="11.81640625" style="16" customWidth="1"/>
    <col min="19" max="19" width="12.453125" style="16" customWidth="1"/>
    <col min="20" max="20" width="3.453125" style="16" customWidth="1"/>
    <col min="21" max="21" width="2" style="14" customWidth="1"/>
    <col min="22" max="24" width="14.81640625" style="16" customWidth="1"/>
    <col min="25" max="25" width="2" style="14" bestFit="1" customWidth="1"/>
    <col min="26" max="16384" width="8.81640625" style="16"/>
  </cols>
  <sheetData>
    <row r="1" spans="2:25" s="532" customFormat="1" ht="3.5">
      <c r="B1" s="585"/>
      <c r="C1" s="531"/>
      <c r="D1" s="531"/>
      <c r="E1" s="531"/>
      <c r="F1" s="531"/>
      <c r="G1" s="531"/>
      <c r="H1" s="531"/>
      <c r="I1" s="531"/>
      <c r="J1" s="531"/>
      <c r="K1" s="531"/>
      <c r="L1" s="531"/>
      <c r="M1" s="531"/>
      <c r="N1" s="531"/>
      <c r="O1" s="531"/>
      <c r="P1" s="531"/>
      <c r="Q1" s="531"/>
      <c r="R1" s="531"/>
      <c r="S1" s="531"/>
      <c r="T1" s="531"/>
      <c r="U1" s="531"/>
      <c r="V1" s="531"/>
      <c r="W1" s="531"/>
      <c r="X1" s="531"/>
      <c r="Y1" s="531"/>
    </row>
    <row r="2" spans="2:25" ht="23">
      <c r="C2" s="533" t="s">
        <v>89</v>
      </c>
      <c r="M2" s="20"/>
      <c r="N2" s="20"/>
      <c r="O2" s="20"/>
      <c r="Q2" s="20"/>
      <c r="R2" s="20"/>
      <c r="S2" s="20"/>
      <c r="V2" s="534"/>
      <c r="W2" s="534"/>
      <c r="X2" s="534"/>
    </row>
    <row r="3" spans="2:25" ht="23">
      <c r="C3" s="535" t="s">
        <v>381</v>
      </c>
      <c r="D3" s="533"/>
      <c r="E3" s="20"/>
      <c r="F3" s="20"/>
      <c r="G3" s="20"/>
      <c r="H3" s="20"/>
      <c r="I3" s="20"/>
      <c r="J3" s="20"/>
      <c r="K3" s="20"/>
      <c r="L3" s="20"/>
      <c r="M3" s="20"/>
      <c r="N3" s="20"/>
      <c r="O3" s="20"/>
      <c r="P3" s="20"/>
      <c r="Q3" s="20"/>
      <c r="R3" s="20"/>
      <c r="S3" s="20"/>
      <c r="T3" s="20"/>
      <c r="U3" s="18"/>
      <c r="V3" s="20"/>
      <c r="W3" s="20"/>
      <c r="X3" s="20"/>
      <c r="Y3" s="18"/>
    </row>
    <row r="4" spans="2:25" s="49" customFormat="1" ht="4.5" thickBot="1">
      <c r="B4" s="586"/>
      <c r="C4" s="536"/>
      <c r="D4" s="88"/>
      <c r="U4" s="88"/>
      <c r="Y4" s="88"/>
    </row>
    <row r="5" spans="2:25" s="26" customFormat="1" ht="35.5" customHeight="1" thickBot="1">
      <c r="B5" s="587"/>
      <c r="C5" s="537" t="s">
        <v>382</v>
      </c>
      <c r="D5" s="24"/>
      <c r="E5" s="890"/>
      <c r="F5" s="890"/>
      <c r="G5" s="890"/>
      <c r="H5" s="890"/>
      <c r="I5" s="890"/>
      <c r="J5" s="890"/>
      <c r="K5" s="890"/>
      <c r="L5" s="890"/>
      <c r="M5" s="890"/>
      <c r="N5" s="890"/>
      <c r="O5" s="890"/>
      <c r="P5" s="890"/>
      <c r="Q5" s="890"/>
      <c r="R5" s="890"/>
      <c r="S5" s="890"/>
      <c r="T5" s="891"/>
      <c r="U5" s="24"/>
      <c r="V5" s="889" t="s">
        <v>383</v>
      </c>
      <c r="W5" s="898"/>
      <c r="X5" s="899"/>
      <c r="Y5" s="24"/>
    </row>
    <row r="6" spans="2:25" ht="26.5" thickBot="1">
      <c r="C6" s="538"/>
      <c r="D6" s="27"/>
      <c r="E6" s="893"/>
      <c r="F6" s="893"/>
      <c r="G6" s="893"/>
      <c r="H6" s="893"/>
      <c r="I6" s="893"/>
      <c r="J6" s="893"/>
      <c r="K6" s="893"/>
      <c r="L6" s="893"/>
      <c r="M6" s="893"/>
      <c r="N6" s="893"/>
      <c r="O6" s="893"/>
      <c r="P6" s="893"/>
      <c r="Q6" s="893"/>
      <c r="R6" s="893"/>
      <c r="S6" s="893"/>
      <c r="T6" s="894"/>
      <c r="U6" s="27"/>
      <c r="V6" s="539" t="s">
        <v>385</v>
      </c>
      <c r="W6" s="539" t="s">
        <v>385</v>
      </c>
      <c r="X6" s="539" t="s">
        <v>385</v>
      </c>
      <c r="Y6" s="27"/>
    </row>
    <row r="7" spans="2:25" ht="39.5" thickBot="1">
      <c r="B7" s="585"/>
      <c r="C7" s="540" t="s">
        <v>386</v>
      </c>
      <c r="D7" s="18"/>
      <c r="E7" s="32" t="s">
        <v>424</v>
      </c>
      <c r="F7" s="32" t="s">
        <v>422</v>
      </c>
      <c r="G7" s="32" t="s">
        <v>531</v>
      </c>
      <c r="H7" s="32"/>
      <c r="I7" s="32" t="s">
        <v>427</v>
      </c>
      <c r="J7" s="32" t="s">
        <v>428</v>
      </c>
      <c r="K7" s="32" t="s">
        <v>530</v>
      </c>
      <c r="L7" s="32"/>
      <c r="M7" s="32" t="s">
        <v>429</v>
      </c>
      <c r="N7" s="32" t="s">
        <v>430</v>
      </c>
      <c r="O7" s="32" t="s">
        <v>529</v>
      </c>
      <c r="P7" s="32"/>
      <c r="Q7" s="32" t="s">
        <v>518</v>
      </c>
      <c r="R7" s="32" t="s">
        <v>512</v>
      </c>
      <c r="S7" s="32" t="s">
        <v>528</v>
      </c>
      <c r="T7" s="31"/>
      <c r="U7" s="18"/>
      <c r="V7" s="32" t="s">
        <v>515</v>
      </c>
      <c r="W7" s="32" t="s">
        <v>516</v>
      </c>
      <c r="X7" s="32" t="s">
        <v>532</v>
      </c>
      <c r="Y7" s="18"/>
    </row>
    <row r="8" spans="2:25">
      <c r="C8" s="541" t="s">
        <v>95</v>
      </c>
      <c r="D8" s="38"/>
      <c r="E8" s="36">
        <f>+'Budget Comparativo'!F8</f>
        <v>400</v>
      </c>
      <c r="F8" s="36">
        <f>+'Budget Comparativo'!H8</f>
        <v>150</v>
      </c>
      <c r="G8" s="629">
        <f>+F8/E8</f>
        <v>0.375</v>
      </c>
      <c r="H8" s="36"/>
      <c r="I8" s="36">
        <f>+'Budget Comparativo'!L8</f>
        <v>0</v>
      </c>
      <c r="J8" s="36">
        <f>+'Budget Comparativo'!N8</f>
        <v>0</v>
      </c>
      <c r="K8" s="629" t="e">
        <f>+J8/I8</f>
        <v>#DIV/0!</v>
      </c>
      <c r="L8" s="36"/>
      <c r="M8" s="36">
        <f>+'Budget Comparativo'!R8</f>
        <v>1529</v>
      </c>
      <c r="N8" s="36">
        <f>+'Budget Comparativo'!T8</f>
        <v>1061</v>
      </c>
      <c r="O8" s="629">
        <f>+N8/M8</f>
        <v>0.6939175931981687</v>
      </c>
      <c r="P8" s="36"/>
      <c r="Q8" s="36">
        <f t="shared" ref="Q8:R10" si="0">+E8+I8+M8</f>
        <v>1929</v>
      </c>
      <c r="R8" s="36">
        <f t="shared" si="0"/>
        <v>1211</v>
      </c>
      <c r="S8" s="629">
        <f>+R8/Q8</f>
        <v>0.6277864178330741</v>
      </c>
      <c r="T8" s="36"/>
      <c r="U8" s="38"/>
      <c r="V8" s="36" t="e">
        <f>+'Budget Comparativo'!#REF!</f>
        <v>#REF!</v>
      </c>
      <c r="W8" s="36" t="e">
        <f>+'Budget Comparativo'!#REF!</f>
        <v>#REF!</v>
      </c>
      <c r="X8" s="629" t="e">
        <f>+W8/V8</f>
        <v>#REF!</v>
      </c>
      <c r="Y8" s="38"/>
    </row>
    <row r="9" spans="2:25">
      <c r="C9" s="541" t="s">
        <v>96</v>
      </c>
      <c r="D9" s="38"/>
      <c r="E9" s="36">
        <f>+'Budget Comparativo'!F9</f>
        <v>100</v>
      </c>
      <c r="F9" s="36">
        <f>+'Budget Comparativo'!H9</f>
        <v>40</v>
      </c>
      <c r="G9" s="629">
        <f>+F9/E9</f>
        <v>0.4</v>
      </c>
      <c r="H9" s="36"/>
      <c r="I9" s="36">
        <f>+'Budget Comparativo'!L9</f>
        <v>0</v>
      </c>
      <c r="J9" s="36">
        <f>+'Budget Comparativo'!N9</f>
        <v>0</v>
      </c>
      <c r="K9" s="629" t="e">
        <f>+J9/I9</f>
        <v>#DIV/0!</v>
      </c>
      <c r="L9" s="36"/>
      <c r="M9" s="36">
        <f>+'Budget Comparativo'!R9</f>
        <v>510</v>
      </c>
      <c r="N9" s="36">
        <f>+'Budget Comparativo'!T9</f>
        <v>295</v>
      </c>
      <c r="O9" s="629">
        <f>+N9/M9</f>
        <v>0.57843137254901966</v>
      </c>
      <c r="P9" s="36"/>
      <c r="Q9" s="36">
        <f t="shared" si="0"/>
        <v>610</v>
      </c>
      <c r="R9" s="36">
        <f t="shared" si="0"/>
        <v>335</v>
      </c>
      <c r="S9" s="629">
        <f>+R9/Q9</f>
        <v>0.54918032786885251</v>
      </c>
      <c r="T9" s="36"/>
      <c r="U9" s="38"/>
      <c r="V9" s="36" t="e">
        <f>+'Budget Comparativo'!#REF!</f>
        <v>#REF!</v>
      </c>
      <c r="W9" s="36" t="e">
        <f>+'Budget Comparativo'!#REF!</f>
        <v>#REF!</v>
      </c>
      <c r="X9" s="629" t="e">
        <f>+W9/V9</f>
        <v>#REF!</v>
      </c>
      <c r="Y9" s="38"/>
    </row>
    <row r="10" spans="2:25" ht="13.5" thickBot="1">
      <c r="C10" s="541" t="s">
        <v>204</v>
      </c>
      <c r="D10" s="38"/>
      <c r="E10" s="36">
        <f>+'Budget Comparativo'!F10</f>
        <v>12</v>
      </c>
      <c r="F10" s="36">
        <f>+'Budget Comparativo'!H10</f>
        <v>9</v>
      </c>
      <c r="G10" s="629">
        <f>+F10/E10</f>
        <v>0.75</v>
      </c>
      <c r="H10" s="36"/>
      <c r="I10" s="36">
        <f>+'Budget Comparativo'!L10</f>
        <v>12</v>
      </c>
      <c r="J10" s="36">
        <f>+'Budget Comparativo'!N10</f>
        <v>9</v>
      </c>
      <c r="K10" s="629">
        <f>+J10/I10</f>
        <v>0.75</v>
      </c>
      <c r="L10" s="36"/>
      <c r="M10" s="36">
        <f>+'Budget Comparativo'!R10</f>
        <v>12</v>
      </c>
      <c r="N10" s="36">
        <f>+'Budget Comparativo'!T10</f>
        <v>9</v>
      </c>
      <c r="O10" s="629">
        <f>+N10/M10</f>
        <v>0.75</v>
      </c>
      <c r="P10" s="36"/>
      <c r="Q10" s="36">
        <f t="shared" si="0"/>
        <v>36</v>
      </c>
      <c r="R10" s="36">
        <f t="shared" si="0"/>
        <v>27</v>
      </c>
      <c r="S10" s="629">
        <f>+R10/Q10</f>
        <v>0.75</v>
      </c>
      <c r="T10" s="36"/>
      <c r="U10" s="38"/>
      <c r="V10" s="36" t="e">
        <f>+'Budget Comparativo'!#REF!</f>
        <v>#REF!</v>
      </c>
      <c r="W10" s="36" t="e">
        <f>+'Budget Comparativo'!#REF!</f>
        <v>#REF!</v>
      </c>
      <c r="X10" s="629" t="e">
        <f>+W10/V10</f>
        <v>#REF!</v>
      </c>
      <c r="Y10" s="38"/>
    </row>
    <row r="11" spans="2:25" ht="13.5" thickBot="1">
      <c r="C11" s="542" t="s">
        <v>387</v>
      </c>
      <c r="D11" s="41"/>
      <c r="E11" s="32"/>
      <c r="F11" s="32"/>
      <c r="G11" s="32"/>
      <c r="H11" s="32"/>
      <c r="I11" s="32"/>
      <c r="J11" s="32"/>
      <c r="K11" s="32"/>
      <c r="L11" s="32"/>
      <c r="M11" s="32"/>
      <c r="N11" s="32"/>
      <c r="O11" s="32"/>
      <c r="P11" s="32"/>
      <c r="Q11" s="32"/>
      <c r="R11" s="32"/>
      <c r="S11" s="32"/>
      <c r="T11" s="32"/>
      <c r="U11" s="41"/>
      <c r="V11" s="31"/>
      <c r="W11" s="31"/>
      <c r="X11" s="31"/>
      <c r="Y11" s="41"/>
    </row>
    <row r="12" spans="2:25" s="49" customFormat="1" ht="4">
      <c r="B12" s="586"/>
      <c r="C12" s="543"/>
      <c r="D12" s="544"/>
      <c r="E12" s="545"/>
      <c r="F12" s="545"/>
      <c r="G12" s="545"/>
      <c r="H12" s="545"/>
      <c r="I12" s="545"/>
      <c r="J12" s="545"/>
      <c r="K12" s="545"/>
      <c r="L12" s="545"/>
      <c r="M12" s="545"/>
      <c r="N12" s="545"/>
      <c r="O12" s="545"/>
      <c r="P12" s="545"/>
      <c r="Q12" s="545"/>
      <c r="R12" s="545"/>
      <c r="S12" s="545"/>
      <c r="T12" s="545"/>
      <c r="U12" s="544"/>
      <c r="V12" s="545"/>
      <c r="W12" s="545"/>
      <c r="X12" s="545"/>
      <c r="Y12" s="544"/>
    </row>
    <row r="13" spans="2:25">
      <c r="C13" s="562" t="s">
        <v>388</v>
      </c>
      <c r="D13" s="563"/>
      <c r="E13" s="71"/>
      <c r="F13" s="71"/>
      <c r="G13" s="71"/>
      <c r="H13" s="71"/>
      <c r="I13" s="71"/>
      <c r="J13" s="71"/>
      <c r="K13" s="71"/>
      <c r="L13" s="71"/>
      <c r="M13" s="71"/>
      <c r="N13" s="71"/>
      <c r="O13" s="71"/>
      <c r="P13" s="71"/>
      <c r="Q13" s="71"/>
      <c r="R13" s="71"/>
      <c r="S13" s="71"/>
      <c r="T13" s="71"/>
      <c r="U13" s="563"/>
      <c r="V13" s="71"/>
      <c r="W13" s="71"/>
      <c r="X13" s="71"/>
      <c r="Y13" s="563"/>
    </row>
    <row r="14" spans="2:25" s="548" customFormat="1">
      <c r="B14" s="591" t="s">
        <v>98</v>
      </c>
      <c r="C14" s="564" t="s">
        <v>158</v>
      </c>
      <c r="D14" s="546"/>
      <c r="E14" s="547">
        <f>+'Budget Comparativo'!F14/'Comparativo x BN'!$E$8</f>
        <v>12</v>
      </c>
      <c r="F14" s="547">
        <f ca="1">+'Budget Comparativo'!H14/'Comparativo x BN'!$F$8</f>
        <v>9.1466666666666665</v>
      </c>
      <c r="G14" s="547">
        <f ca="1">+F14-E14</f>
        <v>-2.8533333333333335</v>
      </c>
      <c r="H14" s="547"/>
      <c r="I14" s="547" t="e">
        <f>+'Budget Comparativo'!L14/$I$8</f>
        <v>#DIV/0!</v>
      </c>
      <c r="J14" s="547" t="e">
        <f ca="1">+'Budget Comparativo'!N14/$J$8</f>
        <v>#DIV/0!</v>
      </c>
      <c r="K14" s="547" t="e">
        <f ca="1">+J14-I14</f>
        <v>#DIV/0!</v>
      </c>
      <c r="L14" s="547"/>
      <c r="M14" s="547">
        <f>IF($N$8=0,0,+'Budget Comparativo'!R14/$M$8)</f>
        <v>10</v>
      </c>
      <c r="N14" s="547">
        <f ca="1">+IF($N$8=0,0,'Budget Comparativo'!T14/$N$8)</f>
        <v>12.045240339302545</v>
      </c>
      <c r="O14" s="547">
        <f ca="1">+N14-M14</f>
        <v>2.0452403393025449</v>
      </c>
      <c r="P14" s="547"/>
      <c r="Q14" s="547">
        <f>IF($R$8=0,0,+'Budget Comparativo'!X14/$Q$8)</f>
        <v>10.414722654224986</v>
      </c>
      <c r="R14" s="547">
        <f ca="1">IF($R$8=0,0,+'Budget Comparativo'!Z14/$R$8)</f>
        <v>11.686209744013212</v>
      </c>
      <c r="S14" s="547">
        <f ca="1">+R14-Q14</f>
        <v>1.2714870897882253</v>
      </c>
      <c r="T14" s="547"/>
      <c r="U14" s="546"/>
      <c r="V14" s="547" t="e">
        <f>+'Budget Comparativo'!#REF!/'Comparativo x BN'!$V$8</f>
        <v>#REF!</v>
      </c>
      <c r="W14" s="547" t="e">
        <f>+'Budget Comparativo'!#REF!/'Comparativo x BN'!$W$8</f>
        <v>#REF!</v>
      </c>
      <c r="X14" s="547" t="e">
        <f>+W14-V14</f>
        <v>#REF!</v>
      </c>
      <c r="Y14" s="546"/>
    </row>
    <row r="15" spans="2:25" s="548" customFormat="1">
      <c r="B15" s="591" t="s">
        <v>98</v>
      </c>
      <c r="C15" s="565" t="s">
        <v>389</v>
      </c>
      <c r="D15" s="546"/>
      <c r="E15" s="547">
        <f>+'Budget Comparativo'!F15/'Comparativo x BN'!$E$8</f>
        <v>7.5</v>
      </c>
      <c r="F15" s="547">
        <f ca="1">+'Budget Comparativo'!H15/'Comparativo x BN'!$F$8</f>
        <v>29.65293333333333</v>
      </c>
      <c r="G15" s="547">
        <f ca="1">+F15-E15</f>
        <v>22.15293333333333</v>
      </c>
      <c r="H15" s="547"/>
      <c r="I15" s="547" t="e">
        <f>+'Budget Comparativo'!L15/$I$8</f>
        <v>#DIV/0!</v>
      </c>
      <c r="J15" s="547" t="e">
        <f ca="1">+'Budget Comparativo'!N15/$J$8</f>
        <v>#DIV/0!</v>
      </c>
      <c r="K15" s="547" t="e">
        <f ca="1">+J15-I15</f>
        <v>#DIV/0!</v>
      </c>
      <c r="L15" s="547"/>
      <c r="M15" s="547">
        <f>IF($N$8=0,0,+'Budget Comparativo'!R15/$M$8)</f>
        <v>20</v>
      </c>
      <c r="N15" s="547">
        <f ca="1">+IF($N$8=0,0,'Budget Comparativo'!T15/$N$8)</f>
        <v>17.763279924599434</v>
      </c>
      <c r="O15" s="547">
        <f ca="1">+N15-M15</f>
        <v>-2.2367200754005658</v>
      </c>
      <c r="P15" s="547"/>
      <c r="Q15" s="547">
        <f>IF($R$8=0,0,+'Budget Comparativo'!X15/$Q$8)</f>
        <v>17.407983411093831</v>
      </c>
      <c r="R15" s="547">
        <f ca="1">IF($R$8=0,0,+'Budget Comparativo'!Z15/$R$8)</f>
        <v>19.235986787778696</v>
      </c>
      <c r="S15" s="547">
        <f ca="1">+R15-Q15</f>
        <v>1.8280033766848653</v>
      </c>
      <c r="T15" s="547"/>
      <c r="U15" s="546"/>
      <c r="V15" s="547" t="e">
        <f>+'Budget Comparativo'!#REF!/'Comparativo x BN'!$V$8</f>
        <v>#REF!</v>
      </c>
      <c r="W15" s="547" t="e">
        <f>+'Budget Comparativo'!#REF!/'Comparativo x BN'!$W$8</f>
        <v>#REF!</v>
      </c>
      <c r="X15" s="547" t="e">
        <f>+W15-V15</f>
        <v>#REF!</v>
      </c>
      <c r="Y15" s="546"/>
    </row>
    <row r="16" spans="2:25" s="548" customFormat="1">
      <c r="B16" s="591" t="s">
        <v>98</v>
      </c>
      <c r="C16" s="549" t="s">
        <v>159</v>
      </c>
      <c r="D16" s="546"/>
      <c r="E16" s="547">
        <f>+'Budget Comparativo'!F16/'Comparativo x BN'!$E$8</f>
        <v>110.5</v>
      </c>
      <c r="F16" s="547">
        <f ca="1">+'Budget Comparativo'!H16/'Comparativo x BN'!$F$8</f>
        <v>130</v>
      </c>
      <c r="G16" s="547">
        <f ca="1">+F16-E16</f>
        <v>19.5</v>
      </c>
      <c r="H16" s="547"/>
      <c r="I16" s="547" t="e">
        <f>+'Budget Comparativo'!L16/$I$8</f>
        <v>#DIV/0!</v>
      </c>
      <c r="J16" s="547" t="e">
        <f ca="1">+'Budget Comparativo'!N16/$J$8</f>
        <v>#DIV/0!</v>
      </c>
      <c r="K16" s="547" t="e">
        <f ca="1">+J16-I16</f>
        <v>#DIV/0!</v>
      </c>
      <c r="L16" s="547"/>
      <c r="M16" s="547">
        <f>IF($N$8=0,0,+'Budget Comparativo'!R16/$M$8)</f>
        <v>91</v>
      </c>
      <c r="N16" s="547">
        <f ca="1">+IF($N$8=0,0,'Budget Comparativo'!T16/$N$8)</f>
        <v>97.791800188501426</v>
      </c>
      <c r="O16" s="547">
        <f ca="1">+N16-M16</f>
        <v>6.7918001885014263</v>
      </c>
      <c r="P16" s="547"/>
      <c r="Q16" s="547">
        <f>IF($R$8=0,0,+'Budget Comparativo'!X16/$Q$8)</f>
        <v>95.043545878693621</v>
      </c>
      <c r="R16" s="547">
        <f ca="1">IF($R$8=0,0,+'Budget Comparativo'!Z16/$R$8)</f>
        <v>101.78125516102395</v>
      </c>
      <c r="S16" s="547">
        <f ca="1">+R16-Q16</f>
        <v>6.7377092823303286</v>
      </c>
      <c r="T16" s="547"/>
      <c r="U16" s="546"/>
      <c r="V16" s="547" t="e">
        <f>+'Budget Comparativo'!#REF!/'Comparativo x BN'!$V$8</f>
        <v>#REF!</v>
      </c>
      <c r="W16" s="547" t="e">
        <f>+'Budget Comparativo'!#REF!/'Comparativo x BN'!$W$8</f>
        <v>#REF!</v>
      </c>
      <c r="X16" s="547" t="e">
        <f>+W16-V16</f>
        <v>#REF!</v>
      </c>
      <c r="Y16" s="546"/>
    </row>
    <row r="17" spans="2:25" s="555" customFormat="1" ht="11" thickBot="1">
      <c r="B17" s="588"/>
      <c r="C17" s="552" t="s">
        <v>225</v>
      </c>
      <c r="D17" s="553"/>
      <c r="E17" s="554"/>
      <c r="F17" s="554"/>
      <c r="G17" s="554"/>
      <c r="H17" s="554"/>
      <c r="I17" s="554"/>
      <c r="J17" s="554"/>
      <c r="K17" s="554"/>
      <c r="L17" s="554"/>
      <c r="M17" s="554"/>
      <c r="N17" s="554"/>
      <c r="O17" s="554"/>
      <c r="P17" s="554"/>
      <c r="Q17" s="554"/>
      <c r="R17" s="554"/>
      <c r="S17" s="554"/>
      <c r="T17" s="554"/>
      <c r="U17" s="553"/>
      <c r="V17" s="554"/>
      <c r="W17" s="554"/>
      <c r="X17" s="554"/>
      <c r="Y17" s="553"/>
    </row>
    <row r="18" spans="2:25" s="559" customFormat="1" ht="14.5" thickBot="1">
      <c r="B18" s="589"/>
      <c r="C18" s="556" t="s">
        <v>390</v>
      </c>
      <c r="D18" s="557"/>
      <c r="E18" s="558">
        <f>SUM(E13:E17)</f>
        <v>130</v>
      </c>
      <c r="F18" s="558">
        <f ca="1">SUM(F13:F17)</f>
        <v>168.7996</v>
      </c>
      <c r="G18" s="558">
        <f ca="1">+F18-E18</f>
        <v>38.799599999999998</v>
      </c>
      <c r="H18" s="558"/>
      <c r="I18" s="558" t="e">
        <f>SUM(I13:I17)</f>
        <v>#DIV/0!</v>
      </c>
      <c r="J18" s="558" t="e">
        <f ca="1">SUM(J13:J17)</f>
        <v>#DIV/0!</v>
      </c>
      <c r="K18" s="558" t="e">
        <f ca="1">SUM(K13:K17)</f>
        <v>#DIV/0!</v>
      </c>
      <c r="L18" s="558"/>
      <c r="M18" s="558">
        <f>SUM(M13:M17)</f>
        <v>121</v>
      </c>
      <c r="N18" s="558">
        <f ca="1">SUM(N13:N17)</f>
        <v>127.60032045240341</v>
      </c>
      <c r="O18" s="558">
        <f ca="1">SUM(O13:O17)</f>
        <v>6.6003204524034054</v>
      </c>
      <c r="P18" s="558"/>
      <c r="Q18" s="558">
        <f>SUM(Q13:Q17)</f>
        <v>122.86625194401245</v>
      </c>
      <c r="R18" s="558">
        <f ca="1">SUM(R13:R17)</f>
        <v>132.70345169281586</v>
      </c>
      <c r="S18" s="558">
        <f ca="1">SUM(S13:S17)</f>
        <v>9.8371997488034193</v>
      </c>
      <c r="T18" s="558"/>
      <c r="U18" s="557"/>
      <c r="V18" s="558" t="e">
        <f>SUM(V13:V17)</f>
        <v>#REF!</v>
      </c>
      <c r="W18" s="558" t="e">
        <f>SUM(W13:W17)</f>
        <v>#REF!</v>
      </c>
      <c r="X18" s="558" t="e">
        <f>SUM(X13:X17)</f>
        <v>#REF!</v>
      </c>
      <c r="Y18" s="557"/>
    </row>
    <row r="19" spans="2:25" s="49" customFormat="1" ht="4.5" thickBot="1">
      <c r="B19" s="586"/>
      <c r="C19" s="560"/>
      <c r="D19" s="561"/>
      <c r="E19" s="45"/>
      <c r="F19" s="45"/>
      <c r="G19" s="45"/>
      <c r="H19" s="45"/>
      <c r="I19" s="45"/>
      <c r="J19" s="45"/>
      <c r="K19" s="45"/>
      <c r="L19" s="45"/>
      <c r="M19" s="45"/>
      <c r="N19" s="45"/>
      <c r="O19" s="45"/>
      <c r="P19" s="45"/>
      <c r="Q19" s="45"/>
      <c r="R19" s="45"/>
      <c r="S19" s="45"/>
      <c r="T19" s="45"/>
      <c r="U19" s="561"/>
      <c r="V19" s="45"/>
      <c r="W19" s="45"/>
      <c r="X19" s="45"/>
      <c r="Y19" s="561"/>
    </row>
    <row r="20" spans="2:25" ht="13.5" thickBot="1">
      <c r="C20" s="542" t="s">
        <v>391</v>
      </c>
      <c r="D20" s="41"/>
      <c r="E20" s="32"/>
      <c r="F20" s="32"/>
      <c r="G20" s="32"/>
      <c r="H20" s="32"/>
      <c r="I20" s="32"/>
      <c r="J20" s="32"/>
      <c r="K20" s="32"/>
      <c r="L20" s="32"/>
      <c r="M20" s="32"/>
      <c r="N20" s="32"/>
      <c r="O20" s="32"/>
      <c r="P20" s="32"/>
      <c r="Q20" s="32"/>
      <c r="R20" s="32"/>
      <c r="S20" s="32"/>
      <c r="T20" s="32"/>
      <c r="U20" s="41"/>
      <c r="V20" s="31"/>
      <c r="W20" s="31"/>
      <c r="X20" s="32"/>
      <c r="Y20" s="41"/>
    </row>
    <row r="21" spans="2:25" s="49" customFormat="1" ht="4">
      <c r="B21" s="586"/>
      <c r="C21" s="560"/>
      <c r="D21" s="561"/>
      <c r="E21" s="45"/>
      <c r="F21" s="45"/>
      <c r="G21" s="45"/>
      <c r="H21" s="45"/>
      <c r="I21" s="45"/>
      <c r="J21" s="45"/>
      <c r="K21" s="45"/>
      <c r="L21" s="45"/>
      <c r="M21" s="45"/>
      <c r="N21" s="45"/>
      <c r="O21" s="45"/>
      <c r="P21" s="45"/>
      <c r="Q21" s="45"/>
      <c r="R21" s="45"/>
      <c r="S21" s="45"/>
      <c r="T21" s="45"/>
      <c r="U21" s="561"/>
      <c r="V21" s="45"/>
      <c r="W21" s="45"/>
      <c r="X21" s="45"/>
      <c r="Y21" s="561"/>
    </row>
    <row r="22" spans="2:25">
      <c r="C22" s="562" t="s">
        <v>392</v>
      </c>
      <c r="D22" s="566"/>
      <c r="E22" s="71"/>
      <c r="F22" s="71"/>
      <c r="G22" s="71"/>
      <c r="H22" s="71"/>
      <c r="I22" s="71"/>
      <c r="J22" s="71"/>
      <c r="K22" s="71"/>
      <c r="L22" s="71"/>
      <c r="M22" s="71"/>
      <c r="N22" s="71"/>
      <c r="O22" s="71"/>
      <c r="P22" s="71"/>
      <c r="Q22" s="71"/>
      <c r="R22" s="71"/>
      <c r="S22" s="71"/>
      <c r="T22" s="71"/>
      <c r="U22" s="566"/>
      <c r="V22" s="71"/>
      <c r="W22" s="71"/>
      <c r="X22" s="71"/>
      <c r="Y22" s="566"/>
    </row>
    <row r="23" spans="2:25" s="572" customFormat="1" ht="16">
      <c r="B23" s="590"/>
      <c r="C23" s="569" t="s">
        <v>393</v>
      </c>
      <c r="D23" s="570"/>
      <c r="E23" s="571">
        <f>+'Budget Comparativo'!F23/'Comparativo x BN'!$E$8</f>
        <v>137.5</v>
      </c>
      <c r="F23" s="571">
        <f ca="1">+'Budget Comparativo'!H23/'Comparativo x BN'!$F$8</f>
        <v>223.66013333333336</v>
      </c>
      <c r="G23" s="571">
        <f ca="1">+E23-F23</f>
        <v>-86.160133333333363</v>
      </c>
      <c r="H23" s="571"/>
      <c r="I23" s="571" t="e">
        <f>+'Budget Comparativo'!L23/$I$8</f>
        <v>#DIV/0!</v>
      </c>
      <c r="J23" s="571" t="e">
        <f ca="1">+'Budget Comparativo'!N23/$J$8</f>
        <v>#DIV/0!</v>
      </c>
      <c r="K23" s="571" t="e">
        <f ca="1">+I23-J23</f>
        <v>#DIV/0!</v>
      </c>
      <c r="L23" s="571"/>
      <c r="M23" s="571">
        <f>IF($N$8=0,0,+'Budget Comparativo'!R23/$M$8)</f>
        <v>83.499018966644869</v>
      </c>
      <c r="N23" s="571">
        <f ca="1">IF($N$8=0,0,+'Budget Comparativo'!T23/$N$8)</f>
        <v>107.77133836003769</v>
      </c>
      <c r="O23" s="571">
        <f ca="1">+M23-N23</f>
        <v>-24.27231939339282</v>
      </c>
      <c r="P23" s="571"/>
      <c r="Q23" s="571" t="e">
        <f>+E23+I23+M23</f>
        <v>#DIV/0!</v>
      </c>
      <c r="R23" s="571" t="e">
        <f ca="1">+F23+J23+N23</f>
        <v>#DIV/0!</v>
      </c>
      <c r="S23" s="571" t="e">
        <f ca="1">+Q23-R23</f>
        <v>#DIV/0!</v>
      </c>
      <c r="T23" s="571"/>
      <c r="U23" s="570"/>
      <c r="V23" s="571" t="e">
        <f>+'Budget Comparativo'!#REF!/'Comparativo x BN'!$V$8</f>
        <v>#REF!</v>
      </c>
      <c r="W23" s="571" t="e">
        <f>+'Budget Comparativo'!#REF!/'Comparativo x BN'!$W$8</f>
        <v>#REF!</v>
      </c>
      <c r="X23" s="571" t="e">
        <f>+V23-W23</f>
        <v>#REF!</v>
      </c>
      <c r="Y23" s="570"/>
    </row>
    <row r="24" spans="2:25" s="568" customFormat="1">
      <c r="B24" s="591" t="s">
        <v>425</v>
      </c>
      <c r="C24" s="573" t="s">
        <v>394</v>
      </c>
      <c r="D24" s="574"/>
      <c r="E24" s="547">
        <f>+'Budget Comparativo'!F24/'Comparativo x BN'!$E$8</f>
        <v>75</v>
      </c>
      <c r="F24" s="547">
        <f ca="1">+'Budget Comparativo'!H24/'Comparativo x BN'!$F$8</f>
        <v>100.07933333333334</v>
      </c>
      <c r="G24" s="547">
        <f t="shared" ref="G24:G50" ca="1" si="1">+E24-F24</f>
        <v>-25.079333333333338</v>
      </c>
      <c r="H24" s="547"/>
      <c r="I24" s="547" t="e">
        <f>+'Budget Comparativo'!L24/$I$8</f>
        <v>#DIV/0!</v>
      </c>
      <c r="J24" s="547" t="e">
        <f ca="1">+'Budget Comparativo'!N24/$J$8</f>
        <v>#DIV/0!</v>
      </c>
      <c r="K24" s="547" t="e">
        <f t="shared" ref="K24:K50" ca="1" si="2">+I24-J24</f>
        <v>#DIV/0!</v>
      </c>
      <c r="L24" s="547"/>
      <c r="M24" s="547">
        <f>IF($N$8=0,0,+'Budget Comparativo'!R24/$M$8)</f>
        <v>50.228907782864617</v>
      </c>
      <c r="N24" s="547">
        <f ca="1">IF($N$8=0,0,+'Budget Comparativo'!T24/$N$8)</f>
        <v>72.665541941564555</v>
      </c>
      <c r="O24" s="547">
        <f t="shared" ref="O24:O50" ca="1" si="3">+M24-N24</f>
        <v>-22.436634158699938</v>
      </c>
      <c r="P24" s="547"/>
      <c r="Q24" s="547">
        <f>IF($R$8=0,0,+'Budget Comparativo'!X24/$Q$8)</f>
        <v>55.365474339035771</v>
      </c>
      <c r="R24" s="547">
        <f ca="1">IF($R$8=0,0,+'Budget Comparativo'!Z24/$R$8)</f>
        <v>76.061139554087532</v>
      </c>
      <c r="S24" s="547">
        <f t="shared" ref="S24:S50" ca="1" si="4">+Q24-R24</f>
        <v>-20.695665215051761</v>
      </c>
      <c r="T24" s="547"/>
      <c r="U24" s="574"/>
      <c r="V24" s="547" t="e">
        <f>+'Budget Comparativo'!#REF!/'Comparativo x BN'!$V$8</f>
        <v>#REF!</v>
      </c>
      <c r="W24" s="547" t="e">
        <f>+'Budget Comparativo'!#REF!/'Comparativo x BN'!$W$8</f>
        <v>#REF!</v>
      </c>
      <c r="X24" s="547" t="e">
        <f t="shared" ref="X24:X50" si="5">+V24-W24</f>
        <v>#REF!</v>
      </c>
      <c r="Y24" s="574"/>
    </row>
    <row r="25" spans="2:25" s="568" customFormat="1">
      <c r="B25" s="591"/>
      <c r="C25" s="573" t="s">
        <v>395</v>
      </c>
      <c r="D25" s="574"/>
      <c r="E25" s="547">
        <f>+'Budget Comparativo'!F25/'Comparativo x BN'!$E$8</f>
        <v>50</v>
      </c>
      <c r="F25" s="547">
        <f ca="1">+'Budget Comparativo'!H25/'Comparativo x BN'!$F$8</f>
        <v>98.814800000000005</v>
      </c>
      <c r="G25" s="547">
        <f t="shared" ca="1" si="1"/>
        <v>-48.814800000000005</v>
      </c>
      <c r="H25" s="547"/>
      <c r="I25" s="547" t="e">
        <f>+'Budget Comparativo'!L25/$I$8</f>
        <v>#DIV/0!</v>
      </c>
      <c r="J25" s="547" t="e">
        <f ca="1">+'Budget Comparativo'!N25/$J$8</f>
        <v>#DIV/0!</v>
      </c>
      <c r="K25" s="547" t="e">
        <f t="shared" ca="1" si="2"/>
        <v>#DIV/0!</v>
      </c>
      <c r="L25" s="547"/>
      <c r="M25" s="547">
        <f>IF($N$8=0,0,+'Budget Comparativo'!R25/$M$8)</f>
        <v>30</v>
      </c>
      <c r="N25" s="547">
        <f ca="1">IF($N$8=0,0,+'Budget Comparativo'!T25/$N$8)</f>
        <v>30.833138548539111</v>
      </c>
      <c r="O25" s="547">
        <f t="shared" ca="1" si="3"/>
        <v>-0.83313854853911096</v>
      </c>
      <c r="P25" s="547"/>
      <c r="Q25" s="547">
        <f>IF($R$8=0,0,+'Budget Comparativo'!X25/$Q$8)</f>
        <v>34.147226542249868</v>
      </c>
      <c r="R25" s="547">
        <f ca="1">IF($R$8=0,0,+'Budget Comparativo'!Z25/$R$8)</f>
        <v>39.253658133773733</v>
      </c>
      <c r="S25" s="547">
        <f t="shared" ca="1" si="4"/>
        <v>-5.1064315915238652</v>
      </c>
      <c r="T25" s="547"/>
      <c r="U25" s="574"/>
      <c r="V25" s="547" t="e">
        <f>+'Budget Comparativo'!#REF!/'Comparativo x BN'!$V$8</f>
        <v>#REF!</v>
      </c>
      <c r="W25" s="547" t="e">
        <f>+'Budget Comparativo'!#REF!/'Comparativo x BN'!$W$8</f>
        <v>#REF!</v>
      </c>
      <c r="X25" s="547" t="e">
        <f t="shared" si="5"/>
        <v>#REF!</v>
      </c>
      <c r="Y25" s="574"/>
    </row>
    <row r="26" spans="2:25" s="568" customFormat="1">
      <c r="B26" s="591"/>
      <c r="C26" s="573" t="s">
        <v>396</v>
      </c>
      <c r="D26" s="574"/>
      <c r="E26" s="547">
        <f>+'Budget Comparativo'!F26/'Comparativo x BN'!$E$8</f>
        <v>12.5</v>
      </c>
      <c r="F26" s="547">
        <f ca="1">+'Budget Comparativo'!H26/'Comparativo x BN'!$F$8</f>
        <v>24.766000000000002</v>
      </c>
      <c r="G26" s="547">
        <f t="shared" ca="1" si="1"/>
        <v>-12.266000000000002</v>
      </c>
      <c r="H26" s="547"/>
      <c r="I26" s="547" t="e">
        <f>+'Budget Comparativo'!L26/$I$8</f>
        <v>#DIV/0!</v>
      </c>
      <c r="J26" s="547" t="e">
        <f ca="1">+'Budget Comparativo'!N26/$J$8</f>
        <v>#DIV/0!</v>
      </c>
      <c r="K26" s="547" t="e">
        <f t="shared" ca="1" si="2"/>
        <v>#DIV/0!</v>
      </c>
      <c r="L26" s="547"/>
      <c r="M26" s="547">
        <f>IF($N$8=0,0,+'Budget Comparativo'!R26/$M$8)</f>
        <v>3.2701111837802483</v>
      </c>
      <c r="N26" s="547">
        <f ca="1">IF($N$8=0,0,+'Budget Comparativo'!T26/$N$8)</f>
        <v>4.272657869934025</v>
      </c>
      <c r="O26" s="547">
        <f t="shared" ca="1" si="3"/>
        <v>-1.0025466861537766</v>
      </c>
      <c r="P26" s="547"/>
      <c r="Q26" s="547">
        <f>IF($R$8=0,0,+'Budget Comparativo'!X26/$Q$8)</f>
        <v>5.1840331778123376</v>
      </c>
      <c r="R26" s="547">
        <f ca="1">IF($R$8=0,0,+'Budget Comparativo'!Z26/$R$8)</f>
        <v>6.8110569777043768</v>
      </c>
      <c r="S26" s="547">
        <f t="shared" ca="1" si="4"/>
        <v>-1.6270237998920392</v>
      </c>
      <c r="T26" s="547"/>
      <c r="U26" s="574"/>
      <c r="V26" s="547" t="e">
        <f>+'Budget Comparativo'!#REF!/'Comparativo x BN'!$V$8</f>
        <v>#REF!</v>
      </c>
      <c r="W26" s="547" t="e">
        <f>+'Budget Comparativo'!#REF!/'Comparativo x BN'!$W$8</f>
        <v>#REF!</v>
      </c>
      <c r="X26" s="547" t="e">
        <f t="shared" si="5"/>
        <v>#REF!</v>
      </c>
      <c r="Y26" s="574"/>
    </row>
    <row r="27" spans="2:25" s="577" customFormat="1" ht="16">
      <c r="B27" s="592"/>
      <c r="C27" s="575" t="s">
        <v>397</v>
      </c>
      <c r="D27" s="576"/>
      <c r="E27" s="571">
        <f>+'Budget Comparativo'!F27/'Comparativo x BN'!$E$8</f>
        <v>306.25</v>
      </c>
      <c r="F27" s="571">
        <f ca="1">+'Budget Comparativo'!H27/'Comparativo x BN'!$F$8</f>
        <v>389.88657179487183</v>
      </c>
      <c r="G27" s="571">
        <f t="shared" ca="1" si="1"/>
        <v>-83.636571794871827</v>
      </c>
      <c r="H27" s="571"/>
      <c r="I27" s="571" t="e">
        <f>+'Budget Comparativo'!L27/$I$8</f>
        <v>#DIV/0!</v>
      </c>
      <c r="J27" s="571" t="e">
        <f ca="1">+'Budget Comparativo'!N27/$J$8</f>
        <v>#DIV/0!</v>
      </c>
      <c r="K27" s="571" t="e">
        <f t="shared" ca="1" si="2"/>
        <v>#DIV/0!</v>
      </c>
      <c r="L27" s="571"/>
      <c r="M27" s="571">
        <f>IF($N$8=0,0,+'Budget Comparativo'!R27/$M$8)</f>
        <v>301.5042511445389</v>
      </c>
      <c r="N27" s="571">
        <f ca="1">IF($N$8=0,0,+'Budget Comparativo'!T27/$N$8)</f>
        <v>293.07353449183859</v>
      </c>
      <c r="O27" s="571">
        <f t="shared" ca="1" si="3"/>
        <v>8.4307166527003119</v>
      </c>
      <c r="P27" s="571"/>
      <c r="Q27" s="571" t="e">
        <f>+E27+I27+M27</f>
        <v>#DIV/0!</v>
      </c>
      <c r="R27" s="571" t="e">
        <f ca="1">+F27+J27+N27</f>
        <v>#DIV/0!</v>
      </c>
      <c r="S27" s="571" t="e">
        <f t="shared" ca="1" si="4"/>
        <v>#DIV/0!</v>
      </c>
      <c r="T27" s="571"/>
      <c r="U27" s="576"/>
      <c r="V27" s="571" t="e">
        <f>+'Budget Comparativo'!#REF!/'Comparativo x BN'!$V$8</f>
        <v>#REF!</v>
      </c>
      <c r="W27" s="571" t="e">
        <f>+'Budget Comparativo'!#REF!/'Comparativo x BN'!$W$8</f>
        <v>#REF!</v>
      </c>
      <c r="X27" s="571" t="e">
        <f t="shared" si="5"/>
        <v>#REF!</v>
      </c>
      <c r="Y27" s="576"/>
    </row>
    <row r="28" spans="2:25" s="568" customFormat="1">
      <c r="B28" s="591"/>
      <c r="C28" s="573" t="s">
        <v>398</v>
      </c>
      <c r="D28" s="574"/>
      <c r="E28" s="547">
        <f>+'Budget Comparativo'!F28/'Comparativo x BN'!$E$8</f>
        <v>60</v>
      </c>
      <c r="F28" s="547">
        <f ca="1">+'Budget Comparativo'!H28/'Comparativo x BN'!$F$8</f>
        <v>143.24256495726496</v>
      </c>
      <c r="G28" s="547">
        <f t="shared" ca="1" si="1"/>
        <v>-83.24256495726496</v>
      </c>
      <c r="H28" s="547"/>
      <c r="I28" s="547" t="e">
        <f>+'Budget Comparativo'!L28/$I$8</f>
        <v>#DIV/0!</v>
      </c>
      <c r="J28" s="547" t="e">
        <f ca="1">+'Budget Comparativo'!N28/$J$8</f>
        <v>#DIV/0!</v>
      </c>
      <c r="K28" s="547"/>
      <c r="L28" s="547"/>
      <c r="M28" s="547">
        <f>IF($N$8=0,0,+'Budget Comparativo'!R28/$M$8)</f>
        <v>56.899934597776323</v>
      </c>
      <c r="N28" s="547">
        <f ca="1">IF($N$8=0,0,+'Budget Comparativo'!T28/$N$8)</f>
        <v>57.287895301501997</v>
      </c>
      <c r="O28" s="547">
        <f t="shared" ca="1" si="3"/>
        <v>-0.3879607037256747</v>
      </c>
      <c r="P28" s="547"/>
      <c r="Q28" s="547">
        <f>IF($R$8=0,0,+'Budget Comparativo'!X28/$Q$8)</f>
        <v>57.542768273716952</v>
      </c>
      <c r="R28" s="547">
        <f ca="1">IF($R$8=0,0,+'Budget Comparativo'!Z28/$R$8)</f>
        <v>67.934633904610536</v>
      </c>
      <c r="S28" s="547"/>
      <c r="T28" s="547"/>
      <c r="U28" s="574"/>
      <c r="V28" s="547" t="e">
        <f>+'Budget Comparativo'!#REF!/'Comparativo x BN'!$V$8</f>
        <v>#REF!</v>
      </c>
      <c r="W28" s="547" t="e">
        <f>+'Budget Comparativo'!#REF!/'Comparativo x BN'!$W$8</f>
        <v>#REF!</v>
      </c>
      <c r="X28" s="547"/>
      <c r="Y28" s="574"/>
    </row>
    <row r="29" spans="2:25" s="568" customFormat="1">
      <c r="B29" s="591"/>
      <c r="C29" s="573" t="s">
        <v>399</v>
      </c>
      <c r="D29" s="574"/>
      <c r="E29" s="547">
        <f>+'Budget Comparativo'!F29/'Comparativo x BN'!$E$8</f>
        <v>162.5</v>
      </c>
      <c r="F29" s="547">
        <f ca="1">+'Budget Comparativo'!H29/'Comparativo x BN'!$F$8</f>
        <v>165.54960854700855</v>
      </c>
      <c r="G29" s="547">
        <f t="shared" ca="1" si="1"/>
        <v>-3.0496085470085461</v>
      </c>
      <c r="H29" s="547"/>
      <c r="I29" s="547" t="e">
        <f>+'Budget Comparativo'!L29/$I$8</f>
        <v>#DIV/0!</v>
      </c>
      <c r="J29" s="547" t="e">
        <f ca="1">+'Budget Comparativo'!N29/$J$8</f>
        <v>#DIV/0!</v>
      </c>
      <c r="K29" s="547"/>
      <c r="L29" s="547"/>
      <c r="M29" s="547">
        <f>IF($N$8=0,0,+'Budget Comparativo'!R29/$M$8)</f>
        <v>129.49640287769785</v>
      </c>
      <c r="N29" s="547">
        <f ca="1">IF($N$8=0,0,+'Budget Comparativo'!T29/$N$8)</f>
        <v>112.69022861838128</v>
      </c>
      <c r="O29" s="547">
        <f t="shared" ca="1" si="3"/>
        <v>16.806174259316563</v>
      </c>
      <c r="P29" s="547"/>
      <c r="Q29" s="547">
        <f>IF($R$8=0,0,+'Budget Comparativo'!X29/$Q$8)</f>
        <v>136.34007257646448</v>
      </c>
      <c r="R29" s="547">
        <f ca="1">IF($R$8=0,0,+'Budget Comparativo'!Z29/$R$8)</f>
        <v>119.23763323381817</v>
      </c>
      <c r="S29" s="547"/>
      <c r="T29" s="547"/>
      <c r="U29" s="574"/>
      <c r="V29" s="547" t="e">
        <f>+'Budget Comparativo'!#REF!/'Comparativo x BN'!$V$8</f>
        <v>#REF!</v>
      </c>
      <c r="W29" s="547" t="e">
        <f>+'Budget Comparativo'!#REF!/'Comparativo x BN'!$W$8</f>
        <v>#REF!</v>
      </c>
      <c r="X29" s="547"/>
      <c r="Y29" s="574"/>
    </row>
    <row r="30" spans="2:25" s="568" customFormat="1">
      <c r="B30" s="591"/>
      <c r="C30" s="573" t="s">
        <v>400</v>
      </c>
      <c r="D30" s="574"/>
      <c r="E30" s="547">
        <f>+'Budget Comparativo'!F30/'Comparativo x BN'!$E$8</f>
        <v>65</v>
      </c>
      <c r="F30" s="547">
        <f ca="1">+'Budget Comparativo'!H30/'Comparativo x BN'!$F$8</f>
        <v>30.836835897435897</v>
      </c>
      <c r="G30" s="547">
        <f t="shared" ca="1" si="1"/>
        <v>34.163164102564103</v>
      </c>
      <c r="H30" s="547"/>
      <c r="I30" s="547" t="e">
        <f>+'Budget Comparativo'!L30/$I$8</f>
        <v>#DIV/0!</v>
      </c>
      <c r="J30" s="547" t="e">
        <f ca="1">+'Budget Comparativo'!N30/$J$8</f>
        <v>#DIV/0!</v>
      </c>
      <c r="K30" s="547"/>
      <c r="L30" s="547"/>
      <c r="M30" s="547">
        <f>IF($N$8=0,0,+'Budget Comparativo'!R30/$M$8)</f>
        <v>86.330935251798564</v>
      </c>
      <c r="N30" s="547">
        <f ca="1">IF($N$8=0,0,+'Budget Comparativo'!T30/$N$8)</f>
        <v>95.935461080667494</v>
      </c>
      <c r="O30" s="547">
        <f t="shared" ca="1" si="3"/>
        <v>-9.6045258288689297</v>
      </c>
      <c r="P30" s="547"/>
      <c r="Q30" s="547">
        <f>IF($R$8=0,0,+'Budget Comparativo'!X30/$Q$8)</f>
        <v>83.151892172109896</v>
      </c>
      <c r="R30" s="547">
        <f ca="1">IF($R$8=0,0,+'Budget Comparativo'!Z30/$R$8)</f>
        <v>87.872047556732937</v>
      </c>
      <c r="S30" s="547"/>
      <c r="T30" s="547"/>
      <c r="U30" s="574"/>
      <c r="V30" s="547" t="e">
        <f>+'Budget Comparativo'!#REF!/'Comparativo x BN'!$V$8</f>
        <v>#REF!</v>
      </c>
      <c r="W30" s="547" t="e">
        <f>+'Budget Comparativo'!#REF!/'Comparativo x BN'!$W$8</f>
        <v>#REF!</v>
      </c>
      <c r="X30" s="547"/>
      <c r="Y30" s="574"/>
    </row>
    <row r="31" spans="2:25" s="568" customFormat="1">
      <c r="B31" s="591"/>
      <c r="C31" s="573" t="s">
        <v>401</v>
      </c>
      <c r="D31" s="574"/>
      <c r="E31" s="547">
        <f>+'Budget Comparativo'!F31/'Comparativo x BN'!$E$8</f>
        <v>18.75</v>
      </c>
      <c r="F31" s="547">
        <f ca="1">+'Budget Comparativo'!H31/'Comparativo x BN'!$F$8</f>
        <v>50.257562393162388</v>
      </c>
      <c r="G31" s="547">
        <f t="shared" ca="1" si="1"/>
        <v>-31.507562393162388</v>
      </c>
      <c r="H31" s="547"/>
      <c r="I31" s="547" t="e">
        <f>+'Budget Comparativo'!L31/$I$8</f>
        <v>#DIV/0!</v>
      </c>
      <c r="J31" s="547" t="e">
        <f ca="1">+'Budget Comparativo'!N31/$J$8</f>
        <v>#DIV/0!</v>
      </c>
      <c r="K31" s="547"/>
      <c r="L31" s="547"/>
      <c r="M31" s="547">
        <f>IF($N$8=0,0,+'Budget Comparativo'!R31/$M$8)</f>
        <v>28.776978417266186</v>
      </c>
      <c r="N31" s="547">
        <f ca="1">IF($N$8=0,0,+'Budget Comparativo'!T31/$N$8)</f>
        <v>27.159949491287851</v>
      </c>
      <c r="O31" s="547">
        <f t="shared" ca="1" si="3"/>
        <v>1.6170289259783353</v>
      </c>
      <c r="P31" s="547"/>
      <c r="Q31" s="547">
        <f>IF($R$8=0,0,+'Budget Comparativo'!X31/$Q$8)</f>
        <v>26.697770865733542</v>
      </c>
      <c r="R31" s="547">
        <f ca="1">IF($R$8=0,0,+'Budget Comparativo'!Z31/$R$8)</f>
        <v>30.020925490694275</v>
      </c>
      <c r="S31" s="547"/>
      <c r="T31" s="547"/>
      <c r="U31" s="574"/>
      <c r="V31" s="547" t="e">
        <f>+'Budget Comparativo'!#REF!/'Comparativo x BN'!$V$8</f>
        <v>#REF!</v>
      </c>
      <c r="W31" s="547" t="e">
        <f>+'Budget Comparativo'!#REF!/'Comparativo x BN'!$W$8</f>
        <v>#REF!</v>
      </c>
      <c r="X31" s="547"/>
      <c r="Y31" s="574"/>
    </row>
    <row r="32" spans="2:25" s="548" customFormat="1">
      <c r="B32" s="591"/>
      <c r="C32" s="565" t="s">
        <v>402</v>
      </c>
      <c r="D32" s="546"/>
      <c r="E32" s="547">
        <f>+'Budget Comparativo'!F32/'Comparativo x BN'!$E$8</f>
        <v>-200</v>
      </c>
      <c r="F32" s="547">
        <f ca="1">+'Budget Comparativo'!H32/'Comparativo x BN'!$F$8</f>
        <v>-262.06666666666666</v>
      </c>
      <c r="G32" s="547">
        <f t="shared" ca="1" si="1"/>
        <v>62.066666666666663</v>
      </c>
      <c r="H32" s="547"/>
      <c r="I32" s="547" t="e">
        <f>+'Budget Comparativo'!L32/$I$8</f>
        <v>#DIV/0!</v>
      </c>
      <c r="J32" s="547" t="e">
        <f ca="1">+'Budget Comparativo'!N32/$J$8</f>
        <v>#DIV/0!</v>
      </c>
      <c r="K32" s="547" t="e">
        <f t="shared" ca="1" si="2"/>
        <v>#DIV/0!</v>
      </c>
      <c r="L32" s="547"/>
      <c r="M32" s="547">
        <f>IF($N$8=0,0,+'Budget Comparativo'!R32/$M$8)</f>
        <v>-200</v>
      </c>
      <c r="N32" s="547">
        <f ca="1">IF($N$8=0,0,+'Budget Comparativo'!T32/$N$8)</f>
        <v>-201.47172469368519</v>
      </c>
      <c r="O32" s="547">
        <f t="shared" ca="1" si="3"/>
        <v>1.4717246936851893</v>
      </c>
      <c r="P32" s="547"/>
      <c r="Q32" s="547">
        <f>IF($R$8=0,0,+'Budget Comparativo'!X32/$Q$8)</f>
        <v>-200</v>
      </c>
      <c r="R32" s="547">
        <f ca="1">IF($R$8=0,0,+'Budget Comparativo'!Z32/$R$8)</f>
        <v>-208.97729141205616</v>
      </c>
      <c r="S32" s="547">
        <f t="shared" ca="1" si="4"/>
        <v>8.9772914120561609</v>
      </c>
      <c r="T32" s="547"/>
      <c r="U32" s="546"/>
      <c r="V32" s="547" t="e">
        <f>+'Budget Comparativo'!#REF!/'Comparativo x BN'!$V$8</f>
        <v>#REF!</v>
      </c>
      <c r="W32" s="547" t="e">
        <f>+'Budget Comparativo'!#REF!/'Comparativo x BN'!$W$8</f>
        <v>#REF!</v>
      </c>
      <c r="X32" s="547" t="e">
        <f t="shared" si="5"/>
        <v>#REF!</v>
      </c>
      <c r="Y32" s="546"/>
    </row>
    <row r="33" spans="2:25" s="568" customFormat="1">
      <c r="B33" s="591"/>
      <c r="C33" s="550" t="s">
        <v>403</v>
      </c>
      <c r="D33" s="546"/>
      <c r="E33" s="547">
        <f>+'Budget Comparativo'!F33/'Comparativo x BN'!$E$8</f>
        <v>102</v>
      </c>
      <c r="F33" s="547">
        <f ca="1">+'Budget Comparativo'!H33/'Comparativo x BN'!$F$8</f>
        <v>141.71427350427351</v>
      </c>
      <c r="G33" s="547">
        <f t="shared" ca="1" si="1"/>
        <v>-39.714273504273507</v>
      </c>
      <c r="H33" s="547"/>
      <c r="I33" s="547" t="e">
        <f>+'Budget Comparativo'!L33/$I$8</f>
        <v>#DIV/0!</v>
      </c>
      <c r="J33" s="547" t="e">
        <f ca="1">+'Budget Comparativo'!N33/$J$8</f>
        <v>#DIV/0!</v>
      </c>
      <c r="K33" s="547" t="e">
        <f t="shared" ca="1" si="2"/>
        <v>#DIV/0!</v>
      </c>
      <c r="L33" s="547"/>
      <c r="M33" s="547">
        <f>IF($N$8=0,0,+'Budget Comparativo'!R33/$M$8)</f>
        <v>100</v>
      </c>
      <c r="N33" s="547">
        <f ca="1">IF($N$8=0,0,+'Budget Comparativo'!T33/$N$8)</f>
        <v>100.46473403779696</v>
      </c>
      <c r="O33" s="547">
        <f t="shared" ca="1" si="3"/>
        <v>-0.46473403779695843</v>
      </c>
      <c r="P33" s="547"/>
      <c r="Q33" s="547">
        <f>IF($R$8=0,0,+'Budget Comparativo'!X33/$Q$8)</f>
        <v>100.41472265422499</v>
      </c>
      <c r="R33" s="547">
        <f ca="1">IF($R$8=0,0,+'Budget Comparativo'!Z33/$R$8)</f>
        <v>105.58533760507316</v>
      </c>
      <c r="S33" s="547">
        <f t="shared" ca="1" si="4"/>
        <v>-5.1706149508481758</v>
      </c>
      <c r="T33" s="547"/>
      <c r="U33" s="546"/>
      <c r="V33" s="547" t="e">
        <f>+'Budget Comparativo'!#REF!/'Comparativo x BN'!$V$8</f>
        <v>#REF!</v>
      </c>
      <c r="W33" s="547" t="e">
        <f>+'Budget Comparativo'!#REF!/'Comparativo x BN'!$W$8</f>
        <v>#REF!</v>
      </c>
      <c r="X33" s="547" t="e">
        <f t="shared" si="5"/>
        <v>#REF!</v>
      </c>
      <c r="Y33" s="546"/>
    </row>
    <row r="34" spans="2:25" s="577" customFormat="1" ht="16">
      <c r="B34" s="592"/>
      <c r="C34" s="575" t="s">
        <v>404</v>
      </c>
      <c r="D34" s="576"/>
      <c r="E34" s="571">
        <f>+'Budget Comparativo'!F34/'Comparativo x BN'!$E$8</f>
        <v>106.25</v>
      </c>
      <c r="F34" s="571">
        <f ca="1">+'Budget Comparativo'!H34/'Comparativo x BN'!$F$8</f>
        <v>188.93386666666666</v>
      </c>
      <c r="G34" s="571">
        <f t="shared" ca="1" si="1"/>
        <v>-82.68386666666666</v>
      </c>
      <c r="H34" s="571"/>
      <c r="I34" s="571" t="e">
        <f>+'Budget Comparativo'!L34/$I$8</f>
        <v>#DIV/0!</v>
      </c>
      <c r="J34" s="571" t="e">
        <f ca="1">+'Budget Comparativo'!N34/$J$8</f>
        <v>#DIV/0!</v>
      </c>
      <c r="K34" s="571" t="e">
        <f t="shared" ca="1" si="2"/>
        <v>#DIV/0!</v>
      </c>
      <c r="L34" s="571"/>
      <c r="M34" s="571">
        <f>IF($N$8=0,0,+'Budget Comparativo'!R34/$M$8)</f>
        <v>46.762589928057551</v>
      </c>
      <c r="N34" s="571">
        <f ca="1">IF($N$8=0,0,+'Budget Comparativo'!T34/$N$8)</f>
        <v>44.563773351216803</v>
      </c>
      <c r="O34" s="571">
        <f t="shared" ca="1" si="3"/>
        <v>2.1988165768407484</v>
      </c>
      <c r="P34" s="571"/>
      <c r="Q34" s="571" t="e">
        <f>+E34+I34+M34</f>
        <v>#DIV/0!</v>
      </c>
      <c r="R34" s="571" t="e">
        <f ca="1">+F34+J34+N34</f>
        <v>#DIV/0!</v>
      </c>
      <c r="S34" s="571" t="e">
        <f t="shared" ca="1" si="4"/>
        <v>#DIV/0!</v>
      </c>
      <c r="T34" s="571"/>
      <c r="U34" s="578"/>
      <c r="V34" s="571" t="e">
        <f>+'Budget Comparativo'!#REF!/'Comparativo x BN'!$V$8</f>
        <v>#REF!</v>
      </c>
      <c r="W34" s="571" t="e">
        <f>+'Budget Comparativo'!#REF!/'Comparativo x BN'!$W$8</f>
        <v>#REF!</v>
      </c>
      <c r="X34" s="571" t="e">
        <f t="shared" si="5"/>
        <v>#REF!</v>
      </c>
      <c r="Y34" s="578"/>
    </row>
    <row r="35" spans="2:25" s="17" customFormat="1">
      <c r="B35" s="395"/>
      <c r="C35" s="579" t="s">
        <v>405</v>
      </c>
      <c r="D35" s="580"/>
      <c r="E35" s="547">
        <f>+'Budget Comparativo'!F35/'Comparativo x BN'!$E$8</f>
        <v>22.5</v>
      </c>
      <c r="F35" s="547">
        <f ca="1">+'Budget Comparativo'!H35/'Comparativo x BN'!$F$8</f>
        <v>25.656000000000002</v>
      </c>
      <c r="G35" s="547">
        <f t="shared" ca="1" si="1"/>
        <v>-3.1560000000000024</v>
      </c>
      <c r="H35" s="547"/>
      <c r="I35" s="547" t="e">
        <f>+'Budget Comparativo'!L35/$I$8</f>
        <v>#DIV/0!</v>
      </c>
      <c r="J35" s="547" t="e">
        <f ca="1">+'Budget Comparativo'!N35/$J$8</f>
        <v>#DIV/0!</v>
      </c>
      <c r="K35" s="547" t="e">
        <f t="shared" ca="1" si="2"/>
        <v>#DIV/0!</v>
      </c>
      <c r="L35" s="547"/>
      <c r="M35" s="547">
        <f>IF($N$8=0,0,+'Budget Comparativo'!R35/$M$8)</f>
        <v>18.312622629169393</v>
      </c>
      <c r="N35" s="547">
        <f ca="1">IF($N$8=0,0,+'Budget Comparativo'!T35/$N$8)</f>
        <v>18.886242538485707</v>
      </c>
      <c r="O35" s="547">
        <f t="shared" ca="1" si="3"/>
        <v>-0.57361990931631368</v>
      </c>
      <c r="P35" s="547"/>
      <c r="Q35" s="547">
        <f>IF($R$8=0,0,+'Budget Comparativo'!X35/$Q$8)</f>
        <v>19.180922757905652</v>
      </c>
      <c r="R35" s="547">
        <f ca="1">IF($R$8=0,0,+'Budget Comparativo'!Z35/$R$8)</f>
        <v>19.72477566749243</v>
      </c>
      <c r="S35" s="547">
        <f t="shared" ca="1" si="4"/>
        <v>-0.54385290958677857</v>
      </c>
      <c r="T35" s="547"/>
      <c r="U35" s="574"/>
      <c r="V35" s="547" t="e">
        <f>+'Budget Comparativo'!#REF!/'Comparativo x BN'!$V$8</f>
        <v>#REF!</v>
      </c>
      <c r="W35" s="547" t="e">
        <f>+'Budget Comparativo'!#REF!/'Comparativo x BN'!$W$8</f>
        <v>#REF!</v>
      </c>
      <c r="X35" s="547" t="e">
        <f t="shared" si="5"/>
        <v>#REF!</v>
      </c>
      <c r="Y35" s="574"/>
    </row>
    <row r="36" spans="2:25" s="17" customFormat="1">
      <c r="B36" s="395"/>
      <c r="C36" s="579" t="s">
        <v>406</v>
      </c>
      <c r="D36" s="580"/>
      <c r="E36" s="547">
        <f>+'Budget Comparativo'!F36/'Comparativo x BN'!$E$8</f>
        <v>82.5</v>
      </c>
      <c r="F36" s="547">
        <f ca="1">+'Budget Comparativo'!H36/'Comparativo x BN'!$F$8</f>
        <v>163.27786666666665</v>
      </c>
      <c r="G36" s="547">
        <f t="shared" ca="1" si="1"/>
        <v>-80.777866666666654</v>
      </c>
      <c r="H36" s="547"/>
      <c r="I36" s="547" t="e">
        <f>+'Budget Comparativo'!L36/$I$8</f>
        <v>#DIV/0!</v>
      </c>
      <c r="J36" s="547" t="e">
        <f ca="1">+'Budget Comparativo'!N36/$J$8</f>
        <v>#DIV/0!</v>
      </c>
      <c r="K36" s="547" t="e">
        <f t="shared" ca="1" si="2"/>
        <v>#DIV/0!</v>
      </c>
      <c r="L36" s="547"/>
      <c r="M36" s="547">
        <f>IF($N$8=0,0,+'Budget Comparativo'!R36/$M$8)</f>
        <v>24.852844996729889</v>
      </c>
      <c r="N36" s="547">
        <f ca="1">IF($N$8=0,0,+'Budget Comparativo'!T36/$N$8)</f>
        <v>26.693079823098675</v>
      </c>
      <c r="O36" s="547">
        <f t="shared" ca="1" si="3"/>
        <v>-1.8402348263687855</v>
      </c>
      <c r="P36" s="547"/>
      <c r="Q36" s="547">
        <f>IF($R$8=0,0,+'Budget Comparativo'!X36/$Q$8)</f>
        <v>36.806635562467598</v>
      </c>
      <c r="R36" s="547">
        <f ca="1">IF($R$8=0,0,+'Budget Comparativo'!Z36/$R$8)</f>
        <v>43.829998094391158</v>
      </c>
      <c r="S36" s="547">
        <f t="shared" ca="1" si="4"/>
        <v>-7.02336253192356</v>
      </c>
      <c r="T36" s="547"/>
      <c r="U36" s="574"/>
      <c r="V36" s="547" t="e">
        <f>+'Budget Comparativo'!#REF!/'Comparativo x BN'!$V$8</f>
        <v>#REF!</v>
      </c>
      <c r="W36" s="547" t="e">
        <f>+'Budget Comparativo'!#REF!/'Comparativo x BN'!$W$8</f>
        <v>#REF!</v>
      </c>
      <c r="X36" s="547" t="e">
        <f t="shared" si="5"/>
        <v>#REF!</v>
      </c>
      <c r="Y36" s="574"/>
    </row>
    <row r="37" spans="2:25" s="17" customFormat="1">
      <c r="B37" s="395"/>
      <c r="C37" s="579" t="s">
        <v>407</v>
      </c>
      <c r="D37" s="580"/>
      <c r="E37" s="547">
        <f>+'Budget Comparativo'!F37/'Comparativo x BN'!$E$8</f>
        <v>1.25</v>
      </c>
      <c r="F37" s="547">
        <f ca="1">+'Budget Comparativo'!H37/'Comparativo x BN'!$F$8</f>
        <v>0</v>
      </c>
      <c r="G37" s="547">
        <f t="shared" ca="1" si="1"/>
        <v>1.25</v>
      </c>
      <c r="H37" s="547"/>
      <c r="I37" s="547" t="e">
        <f>+'Budget Comparativo'!L37/$I$8</f>
        <v>#DIV/0!</v>
      </c>
      <c r="J37" s="547" t="e">
        <f ca="1">+'Budget Comparativo'!N37/$J$8</f>
        <v>#DIV/0!</v>
      </c>
      <c r="K37" s="547" t="e">
        <f t="shared" ca="1" si="2"/>
        <v>#DIV/0!</v>
      </c>
      <c r="L37" s="547"/>
      <c r="M37" s="547">
        <f>IF($N$8=0,0,+'Budget Comparativo'!R37/$M$8)</f>
        <v>3.5971223021582732</v>
      </c>
      <c r="N37" s="547">
        <f ca="1">IF($N$8=0,0,+'Budget Comparativo'!T37/$N$8)</f>
        <v>-1.0155490103675777</v>
      </c>
      <c r="O37" s="547">
        <f t="shared" ca="1" si="3"/>
        <v>4.6126713125258512</v>
      </c>
      <c r="P37" s="547"/>
      <c r="Q37" s="547">
        <f>IF($R$8=0,0,+'Budget Comparativo'!X37/$Q$8)</f>
        <v>3.1104199066874028</v>
      </c>
      <c r="R37" s="547">
        <f ca="1">IF($R$8=0,0,+'Budget Comparativo'!Z37/$R$8)</f>
        <v>-0.88975846407927328</v>
      </c>
      <c r="S37" s="547">
        <f t="shared" ca="1" si="4"/>
        <v>4.000178370766676</v>
      </c>
      <c r="T37" s="547"/>
      <c r="U37" s="574"/>
      <c r="V37" s="547" t="e">
        <f>+'Budget Comparativo'!#REF!/'Comparativo x BN'!$V$8</f>
        <v>#REF!</v>
      </c>
      <c r="W37" s="547" t="e">
        <f>+'Budget Comparativo'!#REF!/'Comparativo x BN'!$W$8</f>
        <v>#REF!</v>
      </c>
      <c r="X37" s="547" t="e">
        <f t="shared" si="5"/>
        <v>#REF!</v>
      </c>
      <c r="Y37" s="574"/>
    </row>
    <row r="38" spans="2:25" s="568" customFormat="1">
      <c r="B38" s="591"/>
      <c r="C38" s="551" t="s">
        <v>408</v>
      </c>
      <c r="D38" s="546"/>
      <c r="E38" s="547">
        <f>+'Budget Comparativo'!F38/'Comparativo x BN'!$E$8</f>
        <v>62.5</v>
      </c>
      <c r="F38" s="547">
        <f ca="1">+'Budget Comparativo'!H38/'Comparativo x BN'!$F$8</f>
        <v>78.819333333333333</v>
      </c>
      <c r="G38" s="547">
        <f t="shared" ca="1" si="1"/>
        <v>-16.319333333333333</v>
      </c>
      <c r="H38" s="547"/>
      <c r="I38" s="547" t="e">
        <f>+'Budget Comparativo'!L38/$I$8</f>
        <v>#DIV/0!</v>
      </c>
      <c r="J38" s="547" t="e">
        <f ca="1">+'Budget Comparativo'!N38/$J$8</f>
        <v>#DIV/0!</v>
      </c>
      <c r="K38" s="547" t="e">
        <f t="shared" ca="1" si="2"/>
        <v>#DIV/0!</v>
      </c>
      <c r="L38" s="547"/>
      <c r="M38" s="547">
        <f>IF($N$8=0,0,+'Budget Comparativo'!R38/$M$8)</f>
        <v>26.160889470241987</v>
      </c>
      <c r="N38" s="547">
        <f ca="1">IF($N$8=0,0,+'Budget Comparativo'!T38/$N$8)</f>
        <v>32.841658812441096</v>
      </c>
      <c r="O38" s="547">
        <f t="shared" ca="1" si="3"/>
        <v>-6.6807693421991097</v>
      </c>
      <c r="P38" s="547"/>
      <c r="Q38" s="547">
        <f>IF($R$8=0,0,+'Budget Comparativo'!X38/$Q$8)</f>
        <v>33.6962156557802</v>
      </c>
      <c r="R38" s="547">
        <f ca="1">IF($R$8=0,0,+'Budget Comparativo'!Z38/$R$8)</f>
        <v>38.53666391412056</v>
      </c>
      <c r="S38" s="547">
        <f t="shared" ca="1" si="4"/>
        <v>-4.8404482583403592</v>
      </c>
      <c r="T38" s="547"/>
      <c r="U38" s="546"/>
      <c r="V38" s="547" t="e">
        <f>+'Budget Comparativo'!#REF!/'Comparativo x BN'!$V$8</f>
        <v>#REF!</v>
      </c>
      <c r="W38" s="547" t="e">
        <f>+'Budget Comparativo'!#REF!/'Comparativo x BN'!$W$8</f>
        <v>#REF!</v>
      </c>
      <c r="X38" s="547" t="e">
        <f t="shared" si="5"/>
        <v>#REF!</v>
      </c>
      <c r="Y38" s="546"/>
    </row>
    <row r="39" spans="2:25">
      <c r="C39" s="551" t="s">
        <v>409</v>
      </c>
      <c r="D39" s="546"/>
      <c r="E39" s="547">
        <f>+'Budget Comparativo'!F39/'Comparativo x BN'!$E$8</f>
        <v>10</v>
      </c>
      <c r="F39" s="547">
        <f ca="1">+'Budget Comparativo'!H39/'Comparativo x BN'!$F$8</f>
        <v>23.398666666666674</v>
      </c>
      <c r="G39" s="547">
        <f t="shared" ca="1" si="1"/>
        <v>-13.398666666666674</v>
      </c>
      <c r="H39" s="547"/>
      <c r="I39" s="547" t="e">
        <f>+'Budget Comparativo'!L39/$I$8</f>
        <v>#DIV/0!</v>
      </c>
      <c r="J39" s="547" t="e">
        <f ca="1">+'Budget Comparativo'!N39/$J$8</f>
        <v>#DIV/0!</v>
      </c>
      <c r="K39" s="547" t="e">
        <f t="shared" ca="1" si="2"/>
        <v>#DIV/0!</v>
      </c>
      <c r="L39" s="547"/>
      <c r="M39" s="547">
        <f>IF($N$8=0,0,+'Budget Comparativo'!R39/$M$8)</f>
        <v>5.2321778940483981</v>
      </c>
      <c r="N39" s="547">
        <f ca="1">IF($N$8=0,0,+'Budget Comparativo'!T39/$N$8)</f>
        <v>5.2735588682157468</v>
      </c>
      <c r="O39" s="547">
        <f t="shared" ca="1" si="3"/>
        <v>-4.1380974167348761E-2</v>
      </c>
      <c r="P39" s="547"/>
      <c r="Q39" s="547">
        <f>IF($R$8=0,0,+'Budget Comparativo'!X39/$Q$8)</f>
        <v>6.2208398133748055</v>
      </c>
      <c r="R39" s="547">
        <f ca="1">IF($R$8=0,0,+'Budget Comparativo'!Z39/$R$8)</f>
        <v>7.5186176376357627</v>
      </c>
      <c r="S39" s="547">
        <f t="shared" ca="1" si="4"/>
        <v>-1.2977778242609572</v>
      </c>
      <c r="T39" s="547"/>
      <c r="U39" s="546"/>
      <c r="V39" s="547" t="e">
        <f>+'Budget Comparativo'!#REF!/'Comparativo x BN'!$V$8</f>
        <v>#REF!</v>
      </c>
      <c r="W39" s="547" t="e">
        <f>+'Budget Comparativo'!#REF!/'Comparativo x BN'!$W$8</f>
        <v>#REF!</v>
      </c>
      <c r="X39" s="547" t="e">
        <f t="shared" si="5"/>
        <v>#REF!</v>
      </c>
      <c r="Y39" s="546"/>
    </row>
    <row r="40" spans="2:25" s="568" customFormat="1">
      <c r="B40" s="591"/>
      <c r="C40" s="551" t="s">
        <v>410</v>
      </c>
      <c r="D40" s="546"/>
      <c r="E40" s="547">
        <f>+'Budget Comparativo'!F40/'Comparativo x BN'!$E$8</f>
        <v>6.25</v>
      </c>
      <c r="F40" s="547">
        <f ca="1">+'Budget Comparativo'!H40/'Comparativo x BN'!$F$8</f>
        <v>22.714070747330972</v>
      </c>
      <c r="G40" s="547">
        <f t="shared" ca="1" si="1"/>
        <v>-16.464070747330972</v>
      </c>
      <c r="H40" s="547"/>
      <c r="I40" s="547" t="e">
        <f>+'Budget Comparativo'!L40/$I$8</f>
        <v>#DIV/0!</v>
      </c>
      <c r="J40" s="547" t="e">
        <f ca="1">+'Budget Comparativo'!N40/$J$8</f>
        <v>#DIV/0!</v>
      </c>
      <c r="K40" s="547" t="e">
        <f t="shared" ca="1" si="2"/>
        <v>#DIV/0!</v>
      </c>
      <c r="L40" s="547"/>
      <c r="M40" s="547">
        <f>IF($N$8=0,0,+'Budget Comparativo'!R40/$M$8)</f>
        <v>5.8862001308044469</v>
      </c>
      <c r="N40" s="547">
        <f ca="1">IF($N$8=0,0,+'Budget Comparativo'!T40/$N$8)</f>
        <v>9.3662024708324143</v>
      </c>
      <c r="O40" s="547">
        <f t="shared" ca="1" si="3"/>
        <v>-3.4800023400279674</v>
      </c>
      <c r="P40" s="547"/>
      <c r="Q40" s="547">
        <f>IF($R$8=0,0,+'Budget Comparativo'!X40/$Q$8)</f>
        <v>5.9616381544841888</v>
      </c>
      <c r="R40" s="547">
        <f ca="1">IF($R$8=0,0,+'Budget Comparativo'!Z40/$R$8)</f>
        <v>11.457846445708077</v>
      </c>
      <c r="S40" s="547">
        <f t="shared" ca="1" si="4"/>
        <v>-5.4962082912238879</v>
      </c>
      <c r="T40" s="547"/>
      <c r="U40" s="546"/>
      <c r="V40" s="547" t="e">
        <f>+'Budget Comparativo'!#REF!/'Comparativo x BN'!$V$8</f>
        <v>#REF!</v>
      </c>
      <c r="W40" s="547" t="e">
        <f>+'Budget Comparativo'!#REF!/'Comparativo x BN'!$W$8</f>
        <v>#REF!</v>
      </c>
      <c r="X40" s="547" t="e">
        <f t="shared" si="5"/>
        <v>#REF!</v>
      </c>
      <c r="Y40" s="546"/>
    </row>
    <row r="41" spans="2:25" s="568" customFormat="1">
      <c r="B41" s="591"/>
      <c r="C41" s="550" t="s">
        <v>411</v>
      </c>
      <c r="D41" s="546"/>
      <c r="E41" s="547">
        <f>+'Budget Comparativo'!F41/'Comparativo x BN'!$E$8</f>
        <v>115</v>
      </c>
      <c r="F41" s="547">
        <f ca="1">+'Budget Comparativo'!H41/'Comparativo x BN'!$F$8</f>
        <v>68.730589743589746</v>
      </c>
      <c r="G41" s="547">
        <f t="shared" ca="1" si="1"/>
        <v>46.269410256410254</v>
      </c>
      <c r="H41" s="547"/>
      <c r="I41" s="547" t="e">
        <f>+'Budget Comparativo'!L41/$I$8</f>
        <v>#DIV/0!</v>
      </c>
      <c r="J41" s="547" t="e">
        <f ca="1">+'Budget Comparativo'!N41/$J$8</f>
        <v>#DIV/0!</v>
      </c>
      <c r="K41" s="547" t="e">
        <f t="shared" ca="1" si="2"/>
        <v>#DIV/0!</v>
      </c>
      <c r="L41" s="547"/>
      <c r="M41" s="547">
        <f>IF($N$8=0,0,+'Budget Comparativo'!R41/$M$8)</f>
        <v>55</v>
      </c>
      <c r="N41" s="547">
        <f ca="1">IF($N$8=0,0,+'Budget Comparativo'!T41/$N$8)</f>
        <v>54.426701225259194</v>
      </c>
      <c r="O41" s="547">
        <f t="shared" ca="1" si="3"/>
        <v>0.57329877474080604</v>
      </c>
      <c r="P41" s="547"/>
      <c r="Q41" s="547">
        <f>IF($R$8=0,0,+'Budget Comparativo'!X41/$Q$8)</f>
        <v>67.441679626749618</v>
      </c>
      <c r="R41" s="547">
        <f ca="1">IF($R$8=0,0,+'Budget Comparativo'!Z41/$R$8)</f>
        <v>56.198446293590806</v>
      </c>
      <c r="S41" s="547">
        <f t="shared" ca="1" si="4"/>
        <v>11.243233333158813</v>
      </c>
      <c r="T41" s="547"/>
      <c r="U41" s="546"/>
      <c r="V41" s="547" t="e">
        <f>+'Budget Comparativo'!#REF!/'Comparativo x BN'!$V$8</f>
        <v>#REF!</v>
      </c>
      <c r="W41" s="547" t="e">
        <f>+'Budget Comparativo'!#REF!/'Comparativo x BN'!$W$8</f>
        <v>#REF!</v>
      </c>
      <c r="X41" s="547" t="e">
        <f t="shared" si="5"/>
        <v>#REF!</v>
      </c>
      <c r="Y41" s="546"/>
    </row>
    <row r="42" spans="2:25" s="350" customFormat="1" ht="16">
      <c r="B42" s="592"/>
      <c r="C42" s="575" t="s">
        <v>412</v>
      </c>
      <c r="D42" s="581"/>
      <c r="E42" s="571">
        <f>+'Budget Comparativo'!F42/'Comparativo x BN'!$E$8</f>
        <v>92.5</v>
      </c>
      <c r="F42" s="571">
        <f ca="1">+'Budget Comparativo'!H42/'Comparativo x BN'!$F$8</f>
        <v>152.620505982906</v>
      </c>
      <c r="G42" s="571">
        <f t="shared" ca="1" si="1"/>
        <v>-60.120505982905996</v>
      </c>
      <c r="H42" s="571"/>
      <c r="I42" s="571" t="e">
        <f>+'Budget Comparativo'!L42/$I$8</f>
        <v>#DIV/0!</v>
      </c>
      <c r="J42" s="571" t="e">
        <f ca="1">+'Budget Comparativo'!N42/$J$8</f>
        <v>#DIV/0!</v>
      </c>
      <c r="K42" s="571" t="e">
        <f t="shared" ca="1" si="2"/>
        <v>#DIV/0!</v>
      </c>
      <c r="L42" s="571"/>
      <c r="M42" s="571">
        <f>IF($N$8=0,0,+'Budget Comparativo'!R42/$M$8)</f>
        <v>32.047089601046437</v>
      </c>
      <c r="N42" s="571">
        <f ca="1">IF($N$8=0,0,+'Budget Comparativo'!T42/$N$8)</f>
        <v>45.696399834564595</v>
      </c>
      <c r="O42" s="571">
        <f t="shared" ca="1" si="3"/>
        <v>-13.649310233518158</v>
      </c>
      <c r="P42" s="571"/>
      <c r="Q42" s="571" t="e">
        <f>+E42+I42+M42</f>
        <v>#DIV/0!</v>
      </c>
      <c r="R42" s="571" t="e">
        <f ca="1">+F42+J42+N42</f>
        <v>#DIV/0!</v>
      </c>
      <c r="S42" s="571" t="e">
        <f t="shared" ca="1" si="4"/>
        <v>#DIV/0!</v>
      </c>
      <c r="T42" s="571"/>
      <c r="U42" s="578"/>
      <c r="V42" s="571" t="e">
        <f>+'Budget Comparativo'!#REF!/'Comparativo x BN'!$V$8</f>
        <v>#REF!</v>
      </c>
      <c r="W42" s="571" t="e">
        <f>+'Budget Comparativo'!#REF!/'Comparativo x BN'!$W$8</f>
        <v>#REF!</v>
      </c>
      <c r="X42" s="571" t="e">
        <f t="shared" si="5"/>
        <v>#REF!</v>
      </c>
      <c r="Y42" s="578"/>
    </row>
    <row r="43" spans="2:25">
      <c r="C43" s="579" t="s">
        <v>413</v>
      </c>
      <c r="D43" s="74"/>
      <c r="E43" s="547">
        <f>+'Budget Comparativo'!F43/'Comparativo x BN'!$E$8</f>
        <v>60</v>
      </c>
      <c r="F43" s="547">
        <f ca="1">+'Budget Comparativo'!H43/'Comparativo x BN'!$F$8</f>
        <v>125.11023931623932</v>
      </c>
      <c r="G43" s="547">
        <f t="shared" ca="1" si="1"/>
        <v>-65.110239316239316</v>
      </c>
      <c r="H43" s="547"/>
      <c r="I43" s="547" t="e">
        <f>+'Budget Comparativo'!L43/$I$8</f>
        <v>#DIV/0!</v>
      </c>
      <c r="J43" s="547" t="e">
        <f ca="1">+'Budget Comparativo'!N43/$J$8</f>
        <v>#DIV/0!</v>
      </c>
      <c r="K43" s="547" t="e">
        <f t="shared" ca="1" si="2"/>
        <v>#DIV/0!</v>
      </c>
      <c r="L43" s="547"/>
      <c r="M43" s="547">
        <f>IF($N$8=0,0,+'Budget Comparativo'!R43/$M$8)</f>
        <v>14.388489208633093</v>
      </c>
      <c r="N43" s="547">
        <f ca="1">IF($N$8=0,0,+'Budget Comparativo'!T43/$N$8)</f>
        <v>20.930479440161637</v>
      </c>
      <c r="O43" s="547">
        <f t="shared" ca="1" si="3"/>
        <v>-6.5419902315285441</v>
      </c>
      <c r="P43" s="547"/>
      <c r="Q43" s="547">
        <f>IF($R$8=0,0,+'Budget Comparativo'!X43/$Q$8)</f>
        <v>23.950233281493002</v>
      </c>
      <c r="R43" s="547">
        <f ca="1">IF($R$8=0,0,+'Budget Comparativo'!Z43/$R$8)</f>
        <v>33.930804775761679</v>
      </c>
      <c r="S43" s="547">
        <f t="shared" ca="1" si="4"/>
        <v>-9.980571494268677</v>
      </c>
      <c r="T43" s="547"/>
      <c r="U43" s="546"/>
      <c r="V43" s="547" t="e">
        <f>+'Budget Comparativo'!#REF!/'Comparativo x BN'!$V$8</f>
        <v>#REF!</v>
      </c>
      <c r="W43" s="547" t="e">
        <f>+'Budget Comparativo'!#REF!/'Comparativo x BN'!$W$8</f>
        <v>#REF!</v>
      </c>
      <c r="X43" s="547" t="e">
        <f t="shared" si="5"/>
        <v>#REF!</v>
      </c>
      <c r="Y43" s="546"/>
    </row>
    <row r="44" spans="2:25">
      <c r="C44" s="579" t="s">
        <v>414</v>
      </c>
      <c r="D44" s="74"/>
      <c r="E44" s="547">
        <f>+'Budget Comparativo'!F44/'Comparativo x BN'!$E$8</f>
        <v>7.5</v>
      </c>
      <c r="F44" s="547">
        <f ca="1">+'Budget Comparativo'!H44/'Comparativo x BN'!$F$8</f>
        <v>3.9191333333333334</v>
      </c>
      <c r="G44" s="547">
        <f t="shared" ca="1" si="1"/>
        <v>3.5808666666666666</v>
      </c>
      <c r="H44" s="547"/>
      <c r="I44" s="547" t="e">
        <f>+'Budget Comparativo'!L44/$I$8</f>
        <v>#DIV/0!</v>
      </c>
      <c r="J44" s="547" t="e">
        <f ca="1">+'Budget Comparativo'!N44/$J$8</f>
        <v>#DIV/0!</v>
      </c>
      <c r="K44" s="547" t="e">
        <f t="shared" ca="1" si="2"/>
        <v>#DIV/0!</v>
      </c>
      <c r="L44" s="547"/>
      <c r="M44" s="547">
        <f>IF($N$8=0,0,+'Budget Comparativo'!R44/$M$8)</f>
        <v>5.8862001308044469</v>
      </c>
      <c r="N44" s="547">
        <f ca="1">IF($N$8=0,0,+'Budget Comparativo'!T44/$N$8)</f>
        <v>9.8729258802774353</v>
      </c>
      <c r="O44" s="547">
        <f t="shared" ca="1" si="3"/>
        <v>-3.9867257494729884</v>
      </c>
      <c r="P44" s="547"/>
      <c r="Q44" s="547">
        <f>IF($R$8=0,0,+'Budget Comparativo'!X44/$Q$8)</f>
        <v>6.2208398133748055</v>
      </c>
      <c r="R44" s="547">
        <f ca="1">IF($R$8=0,0,+'Budget Comparativo'!Z44/$R$8)</f>
        <v>9.1354618984098757</v>
      </c>
      <c r="S44" s="547">
        <f t="shared" ca="1" si="4"/>
        <v>-2.9146220850350701</v>
      </c>
      <c r="T44" s="547"/>
      <c r="U44" s="546"/>
      <c r="V44" s="547" t="e">
        <f>+'Budget Comparativo'!#REF!/'Comparativo x BN'!$V$8</f>
        <v>#REF!</v>
      </c>
      <c r="W44" s="547" t="e">
        <f>+'Budget Comparativo'!#REF!/'Comparativo x BN'!$W$8</f>
        <v>#REF!</v>
      </c>
      <c r="X44" s="547" t="e">
        <f t="shared" si="5"/>
        <v>#REF!</v>
      </c>
      <c r="Y44" s="546"/>
    </row>
    <row r="45" spans="2:25">
      <c r="C45" s="579" t="s">
        <v>415</v>
      </c>
      <c r="D45" s="74"/>
      <c r="E45" s="547">
        <f>+'Budget Comparativo'!F45/'Comparativo x BN'!$E$8</f>
        <v>25</v>
      </c>
      <c r="F45" s="547">
        <f ca="1">+'Budget Comparativo'!H45/'Comparativo x BN'!$F$8</f>
        <v>23.591133333333335</v>
      </c>
      <c r="G45" s="547">
        <f t="shared" ca="1" si="1"/>
        <v>1.4088666666666647</v>
      </c>
      <c r="H45" s="547"/>
      <c r="I45" s="547" t="e">
        <f>+'Budget Comparativo'!L45/$I$8</f>
        <v>#DIV/0!</v>
      </c>
      <c r="J45" s="547" t="e">
        <f ca="1">+'Budget Comparativo'!N45/$J$8</f>
        <v>#DIV/0!</v>
      </c>
      <c r="K45" s="547" t="e">
        <f t="shared" ca="1" si="2"/>
        <v>#DIV/0!</v>
      </c>
      <c r="L45" s="547"/>
      <c r="M45" s="547">
        <f>IF($N$8=0,0,+'Budget Comparativo'!R45/$M$8)</f>
        <v>11.772400261608894</v>
      </c>
      <c r="N45" s="547">
        <f ca="1">IF($N$8=0,0,+'Budget Comparativo'!T45/$N$8)</f>
        <v>14.892994514125522</v>
      </c>
      <c r="O45" s="547">
        <f t="shared" ca="1" si="3"/>
        <v>-3.1205942525166286</v>
      </c>
      <c r="P45" s="547"/>
      <c r="Q45" s="547">
        <f>IF($R$8=0,0,+'Budget Comparativo'!X45/$Q$8)</f>
        <v>14.515292897874547</v>
      </c>
      <c r="R45" s="547">
        <f ca="1">IF($R$8=0,0,+'Budget Comparativo'!Z45/$R$8)</f>
        <v>15.982140425212238</v>
      </c>
      <c r="S45" s="547">
        <f t="shared" ca="1" si="4"/>
        <v>-1.4668475273376913</v>
      </c>
      <c r="T45" s="547"/>
      <c r="U45" s="546"/>
      <c r="V45" s="547" t="e">
        <f>+'Budget Comparativo'!#REF!/'Comparativo x BN'!$V$8</f>
        <v>#REF!</v>
      </c>
      <c r="W45" s="547" t="e">
        <f>+'Budget Comparativo'!#REF!/'Comparativo x BN'!$W$8</f>
        <v>#REF!</v>
      </c>
      <c r="X45" s="547" t="e">
        <f t="shared" si="5"/>
        <v>#REF!</v>
      </c>
      <c r="Y45" s="546"/>
    </row>
    <row r="46" spans="2:25" s="568" customFormat="1">
      <c r="B46" s="591"/>
      <c r="C46" s="567" t="s">
        <v>416</v>
      </c>
      <c r="D46" s="546"/>
      <c r="E46" s="547">
        <f>+'Budget Comparativo'!F46/'Comparativo x BN'!$E$8</f>
        <v>3.75</v>
      </c>
      <c r="F46" s="547">
        <f ca="1">+'Budget Comparativo'!H46/'Comparativo x BN'!$F$8</f>
        <v>3.7119333333333331</v>
      </c>
      <c r="G46" s="547">
        <f t="shared" ca="1" si="1"/>
        <v>3.8066666666666915E-2</v>
      </c>
      <c r="H46" s="547"/>
      <c r="I46" s="547" t="e">
        <f>+'Budget Comparativo'!L46/$I$8</f>
        <v>#DIV/0!</v>
      </c>
      <c r="J46" s="547" t="e">
        <f ca="1">+'Budget Comparativo'!N46/$J$8</f>
        <v>#DIV/0!</v>
      </c>
      <c r="K46" s="547" t="e">
        <f t="shared" ca="1" si="2"/>
        <v>#DIV/0!</v>
      </c>
      <c r="L46" s="547"/>
      <c r="M46" s="547">
        <f>IF($N$8=0,0,+'Budget Comparativo'!R46/$M$8)</f>
        <v>1.3080444735120995</v>
      </c>
      <c r="N46" s="547">
        <f ca="1">IF($N$8=0,0,+'Budget Comparativo'!T46/$N$8)</f>
        <v>2.1408540564054235</v>
      </c>
      <c r="O46" s="547">
        <f t="shared" ca="1" si="3"/>
        <v>-0.83280958289332396</v>
      </c>
      <c r="P46" s="547"/>
      <c r="Q46" s="547">
        <f>IF($R$8=0,0,+'Budget Comparativo'!X46/$Q$8)</f>
        <v>1.8144116122343183</v>
      </c>
      <c r="R46" s="547">
        <f ca="1">IF($R$8=0,0,+'Budget Comparativo'!Z46/$R$8)</f>
        <v>2.7532751063964938</v>
      </c>
      <c r="S46" s="547">
        <f t="shared" ca="1" si="4"/>
        <v>-0.9388634941621754</v>
      </c>
      <c r="T46" s="547"/>
      <c r="U46" s="546"/>
      <c r="V46" s="547" t="e">
        <f>+'Budget Comparativo'!#REF!/'Comparativo x BN'!$V$8</f>
        <v>#REF!</v>
      </c>
      <c r="W46" s="547" t="e">
        <f>+'Budget Comparativo'!#REF!/'Comparativo x BN'!$W$8</f>
        <v>#REF!</v>
      </c>
      <c r="X46" s="547" t="e">
        <f t="shared" si="5"/>
        <v>#REF!</v>
      </c>
      <c r="Y46" s="546"/>
    </row>
    <row r="47" spans="2:25" s="568" customFormat="1">
      <c r="B47" s="591"/>
      <c r="C47" s="564" t="s">
        <v>417</v>
      </c>
      <c r="D47" s="546"/>
      <c r="E47" s="547">
        <f>+'Budget Comparativo'!F47/'Comparativo x BN'!$E$8</f>
        <v>15.3</v>
      </c>
      <c r="F47" s="547">
        <f ca="1">+'Budget Comparativo'!H47/'Comparativo x BN'!$F$8</f>
        <v>24.2</v>
      </c>
      <c r="G47" s="547">
        <f t="shared" ca="1" si="1"/>
        <v>-8.8999999999999986</v>
      </c>
      <c r="H47" s="547"/>
      <c r="I47" s="547" t="e">
        <f>+'Budget Comparativo'!L47/$I$8</f>
        <v>#DIV/0!</v>
      </c>
      <c r="J47" s="547" t="e">
        <f ca="1">+'Budget Comparativo'!N47/$J$8</f>
        <v>#DIV/0!</v>
      </c>
      <c r="K47" s="547" t="e">
        <f t="shared" ca="1" si="2"/>
        <v>#DIV/0!</v>
      </c>
      <c r="L47" s="547"/>
      <c r="M47" s="547">
        <f>IF($N$8=0,0,+'Budget Comparativo'!R47/$M$8)</f>
        <v>3.9241334205362981</v>
      </c>
      <c r="N47" s="547">
        <f ca="1">IF($N$8=0,0,+'Budget Comparativo'!T47/$N$8)</f>
        <v>3.7239208294062212</v>
      </c>
      <c r="O47" s="547">
        <f t="shared" ca="1" si="3"/>
        <v>0.20021259113007694</v>
      </c>
      <c r="P47" s="547"/>
      <c r="Q47" s="547">
        <f>IF($R$8=0,0,+'Budget Comparativo'!X47/$Q$8)</f>
        <v>6.2830482115085537</v>
      </c>
      <c r="R47" s="547">
        <f ca="1">IF($R$8=0,0,+'Budget Comparativo'!Z47/$R$8)</f>
        <v>6.2601816680429403</v>
      </c>
      <c r="S47" s="547">
        <f t="shared" ca="1" si="4"/>
        <v>2.2866543465613454E-2</v>
      </c>
      <c r="T47" s="547"/>
      <c r="U47" s="546"/>
      <c r="V47" s="547" t="e">
        <f>+'Budget Comparativo'!#REF!/'Comparativo x BN'!$V$8</f>
        <v>#REF!</v>
      </c>
      <c r="W47" s="547" t="e">
        <f>+'Budget Comparativo'!#REF!/'Comparativo x BN'!$W$8</f>
        <v>#REF!</v>
      </c>
      <c r="X47" s="547" t="e">
        <f t="shared" si="5"/>
        <v>#REF!</v>
      </c>
      <c r="Y47" s="546"/>
    </row>
    <row r="48" spans="2:25" s="568" customFormat="1">
      <c r="B48" s="591"/>
      <c r="C48" s="564" t="s">
        <v>418</v>
      </c>
      <c r="D48" s="546"/>
      <c r="E48" s="547">
        <f>+'Budget Comparativo'!F48/'Comparativo x BN'!$E$8</f>
        <v>0</v>
      </c>
      <c r="F48" s="547">
        <f>+'Budget Comparativo'!H48/'Comparativo x BN'!$F$8</f>
        <v>0</v>
      </c>
      <c r="G48" s="547">
        <f t="shared" si="1"/>
        <v>0</v>
      </c>
      <c r="H48" s="547"/>
      <c r="I48" s="547" t="e">
        <f>+'Budget Comparativo'!L48/$I$8</f>
        <v>#DIV/0!</v>
      </c>
      <c r="J48" s="547" t="e">
        <f>+'Budget Comparativo'!N48/$J$8</f>
        <v>#DIV/0!</v>
      </c>
      <c r="K48" s="547" t="e">
        <f t="shared" si="2"/>
        <v>#DIV/0!</v>
      </c>
      <c r="L48" s="547"/>
      <c r="M48" s="547">
        <f>IF($N$8=0,0,+'Budget Comparativo'!R48/$M$8)</f>
        <v>6.5402223675604967</v>
      </c>
      <c r="N48" s="547">
        <f ca="1">IF($N$8=0,0,+'Budget Comparativo'!T48/$N$8)</f>
        <v>10.373081998114984</v>
      </c>
      <c r="O48" s="547">
        <f t="shared" ca="1" si="3"/>
        <v>-3.8328596305544869</v>
      </c>
      <c r="P48" s="547"/>
      <c r="Q48" s="547">
        <f>IF($R$8=0,0,+'Budget Comparativo'!X48/$Q$8)</f>
        <v>5.1840331778123376</v>
      </c>
      <c r="R48" s="547">
        <f ca="1">IF($R$8=0,0,+'Budget Comparativo'!Z48/$R$8)</f>
        <v>9.0882246077621787</v>
      </c>
      <c r="S48" s="547">
        <f t="shared" ca="1" si="4"/>
        <v>-3.904191429949841</v>
      </c>
      <c r="T48" s="547"/>
      <c r="U48" s="546"/>
      <c r="V48" s="547" t="e">
        <f>+'Budget Comparativo'!#REF!/'Comparativo x BN'!$V$8</f>
        <v>#REF!</v>
      </c>
      <c r="W48" s="547" t="e">
        <f>+'Budget Comparativo'!#REF!/'Comparativo x BN'!$W$8</f>
        <v>#REF!</v>
      </c>
      <c r="X48" s="547" t="e">
        <f t="shared" si="5"/>
        <v>#REF!</v>
      </c>
      <c r="Y48" s="546"/>
    </row>
    <row r="49" spans="2:27" s="568" customFormat="1">
      <c r="B49" s="591"/>
      <c r="C49" s="567" t="s">
        <v>419</v>
      </c>
      <c r="D49" s="546"/>
      <c r="E49" s="547">
        <f>+'Budget Comparativo'!F49/'Comparativo x BN'!$E$8</f>
        <v>31.25</v>
      </c>
      <c r="F49" s="547">
        <f ca="1">+'Budget Comparativo'!H49/'Comparativo x BN'!$F$8</f>
        <v>100.78266349119444</v>
      </c>
      <c r="G49" s="547">
        <f t="shared" ca="1" si="1"/>
        <v>-69.532663491194441</v>
      </c>
      <c r="H49" s="547"/>
      <c r="I49" s="547" t="e">
        <f>+'Budget Comparativo'!L49/$I$8</f>
        <v>#DIV/0!</v>
      </c>
      <c r="J49" s="547" t="e">
        <f ca="1">+'Budget Comparativo'!N49/$J$8</f>
        <v>#DIV/0!</v>
      </c>
      <c r="K49" s="547" t="e">
        <f t="shared" ca="1" si="2"/>
        <v>#DIV/0!</v>
      </c>
      <c r="L49" s="547"/>
      <c r="M49" s="547">
        <f>IF($N$8=0,0,+'Budget Comparativo'!R49/$M$8)</f>
        <v>10.464355788096796</v>
      </c>
      <c r="N49" s="547">
        <f ca="1">IF($N$8=0,0,+'Budget Comparativo'!T49/$N$8)</f>
        <v>13.44948250393931</v>
      </c>
      <c r="O49" s="547">
        <f t="shared" ca="1" si="3"/>
        <v>-2.9851267158425134</v>
      </c>
      <c r="P49" s="547"/>
      <c r="Q49" s="547">
        <f>IF($R$8=0,0,+'Budget Comparativo'!X49/$Q$8)</f>
        <v>15.292897874546398</v>
      </c>
      <c r="R49" s="547">
        <f ca="1">IF($R$8=0,0,+'Budget Comparativo'!Z49/$R$8)</f>
        <v>24.276144063054318</v>
      </c>
      <c r="S49" s="547">
        <f t="shared" ca="1" si="4"/>
        <v>-8.9832461885079198</v>
      </c>
      <c r="T49" s="547"/>
      <c r="U49" s="546"/>
      <c r="V49" s="547" t="e">
        <f>+'Budget Comparativo'!#REF!/'Comparativo x BN'!$V$8</f>
        <v>#REF!</v>
      </c>
      <c r="W49" s="547" t="e">
        <f>+'Budget Comparativo'!#REF!/'Comparativo x BN'!$W$8</f>
        <v>#REF!</v>
      </c>
      <c r="X49" s="547" t="e">
        <f t="shared" si="5"/>
        <v>#REF!</v>
      </c>
      <c r="Y49" s="546"/>
    </row>
    <row r="50" spans="2:27" s="555" customFormat="1" ht="16.5" thickBot="1">
      <c r="B50" s="588"/>
      <c r="C50" s="552" t="s">
        <v>225</v>
      </c>
      <c r="D50" s="553"/>
      <c r="E50" s="554"/>
      <c r="F50" s="571">
        <f>+'Budget Comparativo'!H50/'Comparativo x BN'!$F$8</f>
        <v>0</v>
      </c>
      <c r="G50" s="571">
        <f t="shared" si="1"/>
        <v>0</v>
      </c>
      <c r="H50" s="554"/>
      <c r="I50" s="554"/>
      <c r="J50" s="554"/>
      <c r="K50" s="571">
        <f t="shared" si="2"/>
        <v>0</v>
      </c>
      <c r="L50" s="554"/>
      <c r="M50" s="554"/>
      <c r="N50" s="554"/>
      <c r="O50" s="571">
        <f t="shared" si="3"/>
        <v>0</v>
      </c>
      <c r="P50" s="554"/>
      <c r="Q50" s="554"/>
      <c r="R50" s="554"/>
      <c r="S50" s="571">
        <f t="shared" si="4"/>
        <v>0</v>
      </c>
      <c r="T50" s="554"/>
      <c r="U50" s="553"/>
      <c r="V50" s="554"/>
      <c r="W50" s="554"/>
      <c r="X50" s="571">
        <f t="shared" si="5"/>
        <v>0</v>
      </c>
      <c r="Y50" s="553"/>
    </row>
    <row r="51" spans="2:27" s="568" customFormat="1" ht="13.5" thickBot="1">
      <c r="B51" s="591"/>
      <c r="C51" s="582" t="s">
        <v>420</v>
      </c>
      <c r="D51" s="546"/>
      <c r="E51" s="583">
        <f>SUM(E22:E50)-E23-E34-E27-E42</f>
        <v>788.55</v>
      </c>
      <c r="F51" s="583">
        <f ca="1">SUM(F22:F50)-F23-F34-F27-F42</f>
        <v>1157.1059419308331</v>
      </c>
      <c r="G51" s="583">
        <f ca="1">SUM(G22:G50)-G23-G34-G27-G42</f>
        <v>-368.55594193083323</v>
      </c>
      <c r="H51" s="583"/>
      <c r="I51" s="583" t="e">
        <f>SUM(I22:I50)-I23-I34-I27-I42</f>
        <v>#DIV/0!</v>
      </c>
      <c r="J51" s="583" t="e">
        <f ca="1">SUM(J22:J50)-J23-J34-J27-J42</f>
        <v>#DIV/0!</v>
      </c>
      <c r="K51" s="583" t="e">
        <f ca="1">SUM(K22:K50)-K23-K34-K27-K42</f>
        <v>#DIV/0!</v>
      </c>
      <c r="L51" s="583"/>
      <c r="M51" s="583">
        <f>SUM(M22:M50)-M23-M34-M27-M42</f>
        <v>478.32897318508856</v>
      </c>
      <c r="N51" s="583">
        <f ca="1">SUM(N22:N50)-N23-N34-N27-N42</f>
        <v>521.69351614638401</v>
      </c>
      <c r="O51" s="583">
        <f ca="1">SUM(O22:O50)-O23-O34-O27-O42</f>
        <v>-43.36454296129557</v>
      </c>
      <c r="P51" s="583"/>
      <c r="Q51" s="583" t="e">
        <f>SUM(Q22:Q50)-Q23-Q34-Q27-Q42</f>
        <v>#DIV/0!</v>
      </c>
      <c r="R51" s="583" t="e">
        <f ca="1">SUM(R22:R50)-R23-R34-R27-R42</f>
        <v>#DIV/0!</v>
      </c>
      <c r="S51" s="583" t="e">
        <f ca="1">SUM(S22:S50)-S23-S34-S27-S42</f>
        <v>#DIV/0!</v>
      </c>
      <c r="T51" s="583"/>
      <c r="U51" s="546"/>
      <c r="V51" s="583" t="e">
        <f>SUM(V22:V50)-V23-V34-V27-V42</f>
        <v>#REF!</v>
      </c>
      <c r="W51" s="583" t="e">
        <f>SUM(W22:W50)-W23-W34-W27-W42</f>
        <v>#REF!</v>
      </c>
      <c r="X51" s="583" t="e">
        <f>SUM(X22:X50)-X23-X34-X27-X42</f>
        <v>#REF!</v>
      </c>
      <c r="Y51" s="546"/>
    </row>
    <row r="52" spans="2:27" s="49" customFormat="1" ht="4">
      <c r="B52" s="586"/>
      <c r="C52" s="560"/>
      <c r="D52" s="88"/>
      <c r="E52" s="45"/>
      <c r="F52" s="45"/>
      <c r="G52" s="45"/>
      <c r="H52" s="45"/>
      <c r="I52" s="45"/>
      <c r="J52" s="45"/>
      <c r="K52" s="45"/>
      <c r="L52" s="45"/>
      <c r="M52" s="45"/>
      <c r="N52" s="45"/>
      <c r="O52" s="45"/>
      <c r="P52" s="45"/>
      <c r="Q52" s="45"/>
      <c r="R52" s="45"/>
      <c r="S52" s="45"/>
      <c r="T52" s="45"/>
      <c r="V52" s="45"/>
      <c r="W52" s="45"/>
      <c r="X52" s="45"/>
      <c r="AA52" s="88"/>
    </row>
    <row r="53" spans="2:27">
      <c r="C53" s="567" t="s">
        <v>443</v>
      </c>
      <c r="D53" s="546"/>
      <c r="E53" s="547">
        <f>+'Budget Comparativo'!F53/'Comparativo x BN'!$E$8</f>
        <v>0</v>
      </c>
      <c r="F53" s="547">
        <f ca="1">+'Budget Comparativo'!H53/'Comparativo x BN'!$E$8</f>
        <v>0</v>
      </c>
      <c r="G53" s="547">
        <f ca="1">+E53-F53</f>
        <v>0</v>
      </c>
      <c r="H53" s="547"/>
      <c r="I53" s="547" t="e">
        <f>+'Budget Comparativo'!L53/$I$8</f>
        <v>#DIV/0!</v>
      </c>
      <c r="J53" s="547" t="e">
        <f ca="1">+'Budget Comparativo'!N53/$J$8</f>
        <v>#DIV/0!</v>
      </c>
      <c r="K53" s="547" t="e">
        <f ca="1">+I53-J53</f>
        <v>#DIV/0!</v>
      </c>
      <c r="L53" s="547"/>
      <c r="M53" s="547">
        <f>IF($N$8=0,0,+'Budget Comparativo'!R53/$M$8)</f>
        <v>0</v>
      </c>
      <c r="N53" s="547">
        <f ca="1">IF($N$8=0,0,+'Budget Comparativo'!T53/$N$8)</f>
        <v>0</v>
      </c>
      <c r="O53" s="547">
        <f ca="1">+M53-N53</f>
        <v>0</v>
      </c>
      <c r="P53" s="547"/>
      <c r="Q53" s="547">
        <f>IF($R$8=0,0,+'Budget Comparativo'!X53/$Q$8)</f>
        <v>0</v>
      </c>
      <c r="R53" s="547">
        <f ca="1">IF($R$8=0,0,+'Budget Comparativo'!Z53/$R$8)</f>
        <v>0</v>
      </c>
      <c r="S53" s="547">
        <f ca="1">+Q53-R53</f>
        <v>0</v>
      </c>
      <c r="T53" s="547"/>
      <c r="U53" s="546"/>
      <c r="V53" s="547" t="e">
        <f>+'Budget Comparativo'!#REF!/'Comparativo x BN'!$V$8</f>
        <v>#REF!</v>
      </c>
      <c r="W53" s="547" t="e">
        <f>+'Budget Comparativo'!#REF!/'Comparativo x BN'!$W$8</f>
        <v>#REF!</v>
      </c>
      <c r="X53" s="547" t="e">
        <f>+V53-W53</f>
        <v>#REF!</v>
      </c>
      <c r="Y53" s="546"/>
    </row>
    <row r="54" spans="2:27">
      <c r="C54" s="567" t="s">
        <v>432</v>
      </c>
      <c r="D54" s="546"/>
      <c r="E54" s="547">
        <f>+'Budget Comparativo'!F54/'Comparativo x BN'!$E$8</f>
        <v>0</v>
      </c>
      <c r="F54" s="547">
        <f ca="1">+'Budget Comparativo'!H54/'Comparativo x BN'!$E$8</f>
        <v>9.4999999999999998E-3</v>
      </c>
      <c r="G54" s="547">
        <f ca="1">+E54-F54</f>
        <v>-9.4999999999999998E-3</v>
      </c>
      <c r="H54" s="547"/>
      <c r="I54" s="547" t="e">
        <f>+'Budget Comparativo'!L54/$I$8</f>
        <v>#DIV/0!</v>
      </c>
      <c r="J54" s="547" t="e">
        <f ca="1">+'Budget Comparativo'!N54/$J$8</f>
        <v>#DIV/0!</v>
      </c>
      <c r="K54" s="547" t="e">
        <f ca="1">+I54-J54</f>
        <v>#DIV/0!</v>
      </c>
      <c r="L54" s="547"/>
      <c r="M54" s="547">
        <f ca="1">IF($N$8=0,0,+'Budget Comparativo'!R54/$M$8)</f>
        <v>0.75948332243296268</v>
      </c>
      <c r="N54" s="547">
        <f ca="1">IF($N$8=0,0,+'Budget Comparativo'!T54/$N$8)</f>
        <v>1.0944863336475024</v>
      </c>
      <c r="O54" s="547">
        <f ca="1">+M54-N54</f>
        <v>-0.33500301121453968</v>
      </c>
      <c r="P54" s="547"/>
      <c r="Q54" s="547">
        <f ca="1">IF($R$8=0,0,+'Budget Comparativo'!X54/$Q$8)</f>
        <v>0.6019958527734578</v>
      </c>
      <c r="R54" s="547">
        <f ca="1">IF($R$8=0,0,+'Budget Comparativo'!Z54/$R$8)</f>
        <v>0.96205615194054495</v>
      </c>
      <c r="S54" s="547">
        <f ca="1">+Q54-R54</f>
        <v>-0.36006029916708715</v>
      </c>
      <c r="T54" s="547"/>
      <c r="U54" s="546"/>
      <c r="V54" s="547" t="e">
        <f>+'Budget Comparativo'!#REF!/'Comparativo x BN'!$V$8</f>
        <v>#REF!</v>
      </c>
      <c r="W54" s="547" t="e">
        <f>+'Budget Comparativo'!#REF!/'Comparativo x BN'!$W$8</f>
        <v>#REF!</v>
      </c>
      <c r="X54" s="547" t="e">
        <f>+V54-W54</f>
        <v>#REF!</v>
      </c>
      <c r="Y54" s="546"/>
    </row>
    <row r="55" spans="2:27" s="49" customFormat="1">
      <c r="B55" s="586"/>
      <c r="C55" s="567" t="s">
        <v>433</v>
      </c>
      <c r="D55" s="88"/>
      <c r="E55" s="547">
        <f>+'Budget Comparativo'!F55/'Comparativo x BN'!$E$8</f>
        <v>37.5</v>
      </c>
      <c r="F55" s="547">
        <f ca="1">+'Budget Comparativo'!H55/'Comparativo x BN'!$E$8</f>
        <v>19.249219059676978</v>
      </c>
      <c r="G55" s="547">
        <f ca="1">+E55-F55</f>
        <v>18.250780940323022</v>
      </c>
      <c r="H55" s="547"/>
      <c r="I55" s="547" t="e">
        <f>+'Budget Comparativo'!L55/$I$8</f>
        <v>#DIV/0!</v>
      </c>
      <c r="J55" s="547" t="e">
        <f ca="1">+'Budget Comparativo'!N55/$J$8</f>
        <v>#DIV/0!</v>
      </c>
      <c r="K55" s="547" t="e">
        <f ca="1">+I55-J55</f>
        <v>#DIV/0!</v>
      </c>
      <c r="L55" s="547"/>
      <c r="M55" s="547">
        <f ca="1">IF($N$8=0,0,+'Budget Comparativo'!R55/$M$8)</f>
        <v>12.320961412688032</v>
      </c>
      <c r="N55" s="547">
        <f ca="1">IF($N$8=0,0,+'Budget Comparativo'!T55/$N$8)</f>
        <v>20.676622052348048</v>
      </c>
      <c r="O55" s="547">
        <f ca="1">+M55-N55</f>
        <v>-8.3556606396600159</v>
      </c>
      <c r="P55" s="547"/>
      <c r="Q55" s="547">
        <f ca="1">IF($R$8=0,0,+'Budget Comparativo'!X55/$Q$8)</f>
        <v>33.353421461897355</v>
      </c>
      <c r="R55" s="547">
        <f ca="1">IF($R$8=0,0,+'Budget Comparativo'!Z55/$R$8)</f>
        <v>51.00716929809132</v>
      </c>
      <c r="S55" s="547">
        <f ca="1">+Q55-R55</f>
        <v>-17.653747836193965</v>
      </c>
      <c r="T55" s="547"/>
      <c r="U55" s="88"/>
      <c r="V55" s="547" t="e">
        <f>+'Budget Comparativo'!#REF!/'Comparativo x BN'!$V$8</f>
        <v>#REF!</v>
      </c>
      <c r="W55" s="547" t="e">
        <f>+'Budget Comparativo'!#REF!/'Comparativo x BN'!$W$8</f>
        <v>#REF!</v>
      </c>
      <c r="X55" s="547" t="e">
        <f>+V55-W55</f>
        <v>#REF!</v>
      </c>
      <c r="Y55" s="88"/>
    </row>
    <row r="56" spans="2:27" ht="13.5" thickBot="1">
      <c r="C56" s="567" t="s">
        <v>434</v>
      </c>
      <c r="E56" s="547">
        <f>+'Budget Comparativo'!F57/'Comparativo x BN'!$E$8</f>
        <v>0</v>
      </c>
      <c r="F56" s="547">
        <f ca="1">+'Budget Comparativo'!H57/'Comparativo x BN'!$E$8</f>
        <v>0</v>
      </c>
      <c r="G56" s="547">
        <f ca="1">+E56-F56</f>
        <v>0</v>
      </c>
      <c r="H56" s="547"/>
      <c r="I56" s="547" t="e">
        <f>+'Budget Comparativo'!L57/$I$8</f>
        <v>#DIV/0!</v>
      </c>
      <c r="J56" s="547" t="e">
        <f>+'Budget Comparativo'!N57/$J$8</f>
        <v>#DIV/0!</v>
      </c>
      <c r="K56" s="547" t="e">
        <f>+I56-J56</f>
        <v>#DIV/0!</v>
      </c>
      <c r="L56" s="547"/>
      <c r="M56" s="547">
        <f>IF($N$8=0,0,+'Budget Comparativo'!R57/$M$8)</f>
        <v>0</v>
      </c>
      <c r="N56" s="547">
        <f>IF($N$8=0,0,+'Budget Comparativo'!T57/$N$8)</f>
        <v>0</v>
      </c>
      <c r="O56" s="547">
        <f>+M56-N56</f>
        <v>0</v>
      </c>
      <c r="P56" s="547"/>
      <c r="Q56" s="547">
        <f>IF($R$8=0,0,+'Budget Comparativo'!X57/$Q$8)</f>
        <v>0</v>
      </c>
      <c r="R56" s="547">
        <f ca="1">IF($R$8=0,0,+'Budget Comparativo'!Z57/$R$8)</f>
        <v>0</v>
      </c>
      <c r="S56" s="547">
        <f ca="1">+Q56-R56</f>
        <v>0</v>
      </c>
      <c r="T56" s="547"/>
      <c r="V56" s="547" t="e">
        <f>+'Budget Comparativo'!#REF!/'Comparativo x BN'!$V$8</f>
        <v>#REF!</v>
      </c>
      <c r="W56" s="547" t="e">
        <f>+'Budget Comparativo'!#REF!/'Comparativo x BN'!$W$8</f>
        <v>#REF!</v>
      </c>
      <c r="X56" s="547" t="e">
        <f>+V56-W56</f>
        <v>#REF!</v>
      </c>
    </row>
    <row r="57" spans="2:27" ht="13.5" thickBot="1">
      <c r="C57" s="582" t="s">
        <v>435</v>
      </c>
      <c r="E57" s="583">
        <f>+SUM(E53:E56)</f>
        <v>37.5</v>
      </c>
      <c r="F57" s="583">
        <f ca="1">+SUM(F53:F56)</f>
        <v>19.258719059676977</v>
      </c>
      <c r="G57" s="583">
        <f ca="1">+SUM(G53:G56)</f>
        <v>18.241280940323023</v>
      </c>
      <c r="H57" s="583"/>
      <c r="I57" s="583" t="e">
        <f>+SUM(I53:I56)</f>
        <v>#DIV/0!</v>
      </c>
      <c r="J57" s="583" t="e">
        <f ca="1">+SUM(J53:J56)</f>
        <v>#DIV/0!</v>
      </c>
      <c r="K57" s="583" t="e">
        <f ca="1">+SUM(K53:K56)</f>
        <v>#DIV/0!</v>
      </c>
      <c r="L57" s="583"/>
      <c r="M57" s="583">
        <f ca="1">+SUM(M53:M56)</f>
        <v>13.080444735120995</v>
      </c>
      <c r="N57" s="583">
        <f ca="1">+SUM(N53:N56)</f>
        <v>21.77110838599555</v>
      </c>
      <c r="O57" s="583">
        <f ca="1">+SUM(O53:O56)</f>
        <v>-8.6906636508745549</v>
      </c>
      <c r="P57" s="583"/>
      <c r="Q57" s="583">
        <f ca="1">+SUM(Q53:Q56)</f>
        <v>33.955417314670811</v>
      </c>
      <c r="R57" s="583">
        <f ca="1">+SUM(R53:R56)</f>
        <v>51.969225450031864</v>
      </c>
      <c r="S57" s="583">
        <f ca="1">+SUM(S53:S56)</f>
        <v>-18.013808135361053</v>
      </c>
      <c r="T57" s="583"/>
      <c r="V57" s="583" t="e">
        <f>+SUM(V53:V56)</f>
        <v>#REF!</v>
      </c>
      <c r="W57" s="583" t="e">
        <f>+SUM(W53:W56)</f>
        <v>#REF!</v>
      </c>
      <c r="X57" s="583" t="e">
        <f>+SUM(X53:X56)</f>
        <v>#REF!</v>
      </c>
    </row>
  </sheetData>
  <mergeCells count="3">
    <mergeCell ref="E5:T5"/>
    <mergeCell ref="V5:X5"/>
    <mergeCell ref="E6:T6"/>
  </mergeCells>
  <conditionalFormatting sqref="C5">
    <cfRule type="cellIs" dxfId="140" priority="11" stopIfTrue="1" operator="notEqual">
      <formula>"ok"</formula>
    </cfRule>
  </conditionalFormatting>
  <conditionalFormatting sqref="G14:G16">
    <cfRule type="cellIs" dxfId="139" priority="5" operator="lessThan">
      <formula>0</formula>
    </cfRule>
  </conditionalFormatting>
  <conditionalFormatting sqref="G23:G57">
    <cfRule type="cellIs" dxfId="138" priority="10" operator="lessThan">
      <formula>0</formula>
    </cfRule>
  </conditionalFormatting>
  <conditionalFormatting sqref="K14:K16">
    <cfRule type="cellIs" dxfId="137" priority="4" operator="lessThan">
      <formula>0</formula>
    </cfRule>
  </conditionalFormatting>
  <conditionalFormatting sqref="K23:K57">
    <cfRule type="cellIs" dxfId="136" priority="9" operator="lessThan">
      <formula>0</formula>
    </cfRule>
  </conditionalFormatting>
  <conditionalFormatting sqref="O14:O16">
    <cfRule type="cellIs" dxfId="135" priority="2" operator="lessThan">
      <formula>0</formula>
    </cfRule>
  </conditionalFormatting>
  <conditionalFormatting sqref="O23:O57">
    <cfRule type="cellIs" dxfId="134" priority="8" operator="lessThan">
      <formula>0</formula>
    </cfRule>
  </conditionalFormatting>
  <conditionalFormatting sqref="S14:S16">
    <cfRule type="cellIs" dxfId="133" priority="3" operator="lessThan">
      <formula>0</formula>
    </cfRule>
  </conditionalFormatting>
  <conditionalFormatting sqref="S23:S57">
    <cfRule type="cellIs" dxfId="132" priority="7" operator="lessThan">
      <formula>0</formula>
    </cfRule>
  </conditionalFormatting>
  <conditionalFormatting sqref="X14:X16">
    <cfRule type="cellIs" dxfId="131" priority="1" operator="lessThan">
      <formula>0</formula>
    </cfRule>
  </conditionalFormatting>
  <conditionalFormatting sqref="X23:X57">
    <cfRule type="cellIs" dxfId="130" priority="6" operator="lessThan">
      <formula>0</formula>
    </cfRule>
  </conditionalFormatting>
  <printOptions horizontalCentered="1"/>
  <pageMargins left="0" right="0" top="0.39370078740157483" bottom="0.39370078740157483" header="0" footer="0"/>
  <pageSetup paperSize="9" scale="30" fitToHeight="4" orientation="portrait" horizontalDpi="300" r:id="rId1"/>
  <headerFooter alignWithMargins="0">
    <oddFooter>Página &amp;P de &amp;N</oddFooter>
  </headerFooter>
</worksheet>
</file>

<file path=xl/worksheets/sheet23.xml><?xml version="1.0" encoding="utf-8"?>
<worksheet xmlns="http://schemas.openxmlformats.org/spreadsheetml/2006/main" xmlns:r="http://schemas.openxmlformats.org/officeDocument/2006/relationships">
  <sheetPr codeName="Hoja7"/>
  <dimension ref="A2:Z33"/>
  <sheetViews>
    <sheetView zoomScale="80" zoomScaleNormal="80" workbookViewId="0">
      <pane xSplit="3" ySplit="7" topLeftCell="D8" activePane="bottomRight" state="frozen"/>
      <selection pane="topRight" activeCell="D1" sqref="D1"/>
      <selection pane="bottomLeft" activeCell="A6" sqref="A6"/>
      <selection pane="bottomRight" activeCell="E8" sqref="E8"/>
    </sheetView>
  </sheetViews>
  <sheetFormatPr baseColWidth="10" defaultColWidth="11.453125" defaultRowHeight="12.5"/>
  <cols>
    <col min="1" max="2" width="11.453125" style="4"/>
    <col min="3" max="3" width="18.1796875" style="4" bestFit="1" customWidth="1"/>
    <col min="4" max="4" width="13.81640625" style="4" customWidth="1"/>
    <col min="5" max="5" width="15.1796875" style="4" customWidth="1"/>
    <col min="6" max="6" width="14.1796875" style="4" bestFit="1" customWidth="1"/>
    <col min="7" max="7" width="4.08984375" style="4" bestFit="1" customWidth="1"/>
    <col min="8" max="8" width="6.7265625" style="4" bestFit="1" customWidth="1"/>
    <col min="9" max="9" width="21.453125" style="4" customWidth="1"/>
    <col min="10" max="10" width="17.1796875" style="4" bestFit="1" customWidth="1"/>
    <col min="11" max="11" width="16.453125" style="4" customWidth="1"/>
    <col min="12" max="12" width="13.81640625" style="4" bestFit="1" customWidth="1"/>
    <col min="13" max="13" width="7.6328125" style="4" bestFit="1" customWidth="1"/>
    <col min="14" max="14" width="6.7265625" style="4" bestFit="1" customWidth="1"/>
    <col min="15" max="15" width="18.81640625" style="4" bestFit="1" customWidth="1"/>
    <col min="16" max="18" width="15.1796875" style="4" bestFit="1" customWidth="1"/>
    <col min="19" max="25" width="14.1796875" style="4" bestFit="1" customWidth="1"/>
    <col min="26" max="26" width="6" style="4" bestFit="1" customWidth="1"/>
    <col min="27" max="16384" width="11.453125" style="4"/>
  </cols>
  <sheetData>
    <row r="2" spans="1:26">
      <c r="C2" s="679">
        <f>+F19+L19+L33</f>
        <v>-16422.04725</v>
      </c>
    </row>
    <row r="4" spans="1:26">
      <c r="C4" s="620">
        <v>0</v>
      </c>
      <c r="D4" s="4" t="s">
        <v>517</v>
      </c>
    </row>
    <row r="5" spans="1:26" ht="13" thickBot="1">
      <c r="E5" s="152" t="s">
        <v>98</v>
      </c>
      <c r="F5" s="645">
        <f>+'Budget Comparativo'!$H$8</f>
        <v>150</v>
      </c>
      <c r="J5" s="152" t="s">
        <v>98</v>
      </c>
      <c r="K5" s="645">
        <f>+'Budget Comparativo'!$N$8</f>
        <v>0</v>
      </c>
    </row>
    <row r="6" spans="1:26" ht="13">
      <c r="C6" s="900" t="s">
        <v>670</v>
      </c>
      <c r="D6" s="901"/>
      <c r="E6" s="901"/>
      <c r="F6" s="902"/>
      <c r="I6" s="900" t="s">
        <v>675</v>
      </c>
      <c r="J6" s="901"/>
      <c r="K6" s="901"/>
      <c r="L6" s="902"/>
    </row>
    <row r="7" spans="1:26" ht="65">
      <c r="C7" s="610" t="s">
        <v>76</v>
      </c>
      <c r="D7" s="609" t="s">
        <v>537</v>
      </c>
      <c r="E7" s="609" t="s">
        <v>521</v>
      </c>
      <c r="F7" s="611" t="s">
        <v>235</v>
      </c>
      <c r="I7" s="610" t="s">
        <v>76</v>
      </c>
      <c r="J7" s="609" t="s">
        <v>537</v>
      </c>
      <c r="K7" s="609" t="s">
        <v>521</v>
      </c>
      <c r="L7" s="611" t="s">
        <v>235</v>
      </c>
    </row>
    <row r="8" spans="1:26">
      <c r="C8" s="208" t="s">
        <v>403</v>
      </c>
      <c r="D8" s="620">
        <v>0</v>
      </c>
      <c r="E8" s="608">
        <v>5350.2875000000004</v>
      </c>
      <c r="F8" s="612">
        <f>ROUND(+D8-E8,0)</f>
        <v>-5350</v>
      </c>
      <c r="G8" s="676">
        <f ca="1">+'Comparativo x BN'!$F$33</f>
        <v>141.71427350427351</v>
      </c>
      <c r="H8" s="879" t="s">
        <v>8534</v>
      </c>
      <c r="I8" s="208" t="s">
        <v>403</v>
      </c>
      <c r="J8" s="620">
        <v>0</v>
      </c>
      <c r="K8" s="608">
        <v>0</v>
      </c>
      <c r="L8" s="612">
        <f>+J8-K8</f>
        <v>0</v>
      </c>
      <c r="M8" s="668" t="e">
        <f ca="1">+'Comparativo x BN'!$J$33</f>
        <v>#DIV/0!</v>
      </c>
    </row>
    <row r="9" spans="1:26">
      <c r="C9" s="184"/>
      <c r="D9" s="169"/>
      <c r="E9" s="167"/>
      <c r="F9" s="613"/>
      <c r="G9" s="676">
        <f>+'Budget Comparativo'!AQ33</f>
        <v>102</v>
      </c>
      <c r="H9" s="474" t="s">
        <v>8535</v>
      </c>
      <c r="I9" s="184"/>
      <c r="J9" s="169"/>
      <c r="K9" s="167"/>
      <c r="L9" s="613"/>
    </row>
    <row r="10" spans="1:26">
      <c r="C10" s="208" t="s">
        <v>740</v>
      </c>
      <c r="D10" s="608"/>
      <c r="E10" s="608">
        <v>0</v>
      </c>
      <c r="F10" s="612">
        <f>ROUND(+D10-E10,0)</f>
        <v>0</v>
      </c>
      <c r="I10" s="208" t="s">
        <v>740</v>
      </c>
      <c r="J10" s="608"/>
      <c r="K10" s="608">
        <v>0</v>
      </c>
      <c r="L10" s="612">
        <f>+J10-K10</f>
        <v>0</v>
      </c>
    </row>
    <row r="11" spans="1:26">
      <c r="C11" s="184"/>
      <c r="D11" s="169"/>
      <c r="E11" s="169"/>
      <c r="F11" s="613"/>
      <c r="I11" s="184"/>
      <c r="J11" s="169"/>
      <c r="K11" s="169"/>
      <c r="L11" s="613"/>
    </row>
    <row r="12" spans="1:26" ht="25">
      <c r="C12" s="633" t="s">
        <v>519</v>
      </c>
      <c r="D12" s="631"/>
      <c r="E12" s="631"/>
      <c r="F12" s="612">
        <v>0</v>
      </c>
      <c r="I12" s="633" t="s">
        <v>519</v>
      </c>
      <c r="J12" s="631"/>
      <c r="K12" s="631"/>
      <c r="L12" s="612">
        <v>0</v>
      </c>
    </row>
    <row r="13" spans="1:26">
      <c r="C13" s="633"/>
      <c r="D13" s="631"/>
      <c r="E13" s="631"/>
      <c r="F13" s="642"/>
      <c r="I13" s="633"/>
      <c r="J13" s="631"/>
      <c r="K13" s="631"/>
      <c r="L13" s="642"/>
    </row>
    <row r="14" spans="1:26" s="5" customFormat="1">
      <c r="C14" s="643" t="s">
        <v>1</v>
      </c>
      <c r="D14" s="644"/>
      <c r="E14" s="644"/>
      <c r="F14" s="642">
        <v>0</v>
      </c>
      <c r="I14" s="643"/>
      <c r="J14" s="644"/>
      <c r="K14" s="644"/>
      <c r="L14" s="642">
        <v>0</v>
      </c>
      <c r="M14" s="5">
        <f>+F14+L14-N14</f>
        <v>0</v>
      </c>
      <c r="N14" s="4"/>
      <c r="O14" s="4"/>
      <c r="P14" s="4"/>
      <c r="Q14" s="4"/>
      <c r="R14" s="4"/>
      <c r="S14" s="4"/>
      <c r="T14" s="4"/>
      <c r="U14" s="4"/>
      <c r="V14" s="4"/>
      <c r="W14" s="4"/>
      <c r="X14" s="4"/>
      <c r="Y14" s="4"/>
      <c r="Z14" s="4"/>
    </row>
    <row r="15" spans="1:26" ht="37.5">
      <c r="A15" s="474" t="s">
        <v>536</v>
      </c>
      <c r="B15" s="9" t="s">
        <v>204</v>
      </c>
      <c r="C15" s="630"/>
      <c r="D15" s="631"/>
      <c r="E15" s="631"/>
      <c r="F15" s="632"/>
      <c r="I15" s="630"/>
      <c r="J15" s="631"/>
      <c r="K15" s="631"/>
      <c r="L15" s="632"/>
    </row>
    <row r="16" spans="1:26" ht="25">
      <c r="A16" s="196"/>
      <c r="B16" s="676"/>
      <c r="C16" s="643" t="s">
        <v>535</v>
      </c>
      <c r="D16" s="631"/>
      <c r="E16" s="631"/>
      <c r="F16" s="642">
        <f>-ROUND(A16*B16/2,0)</f>
        <v>0</v>
      </c>
      <c r="I16" s="643" t="s">
        <v>535</v>
      </c>
      <c r="J16" s="631"/>
      <c r="K16" s="631"/>
      <c r="L16" s="675">
        <f>+F16</f>
        <v>0</v>
      </c>
    </row>
    <row r="17" spans="1:14">
      <c r="C17" s="630"/>
      <c r="D17" s="631"/>
      <c r="E17" s="631"/>
      <c r="F17" s="632"/>
      <c r="I17" s="630"/>
      <c r="J17" s="631"/>
      <c r="K17" s="631"/>
      <c r="L17" s="632"/>
    </row>
    <row r="18" spans="1:14" ht="13" thickBot="1">
      <c r="C18" s="185" t="s">
        <v>407</v>
      </c>
      <c r="D18" s="614"/>
      <c r="E18" s="614">
        <v>0</v>
      </c>
      <c r="F18" s="615">
        <f>+D18-E18</f>
        <v>0</v>
      </c>
      <c r="I18" s="185" t="s">
        <v>407</v>
      </c>
      <c r="J18" s="614"/>
      <c r="K18" s="614">
        <v>0</v>
      </c>
      <c r="L18" s="615">
        <f>+J18-K18</f>
        <v>0</v>
      </c>
    </row>
    <row r="19" spans="1:14">
      <c r="F19" s="651">
        <f>SUM(F8:F18)</f>
        <v>-5350</v>
      </c>
      <c r="L19" s="651">
        <f>SUM(L8:L18)</f>
        <v>0</v>
      </c>
    </row>
    <row r="21" spans="1:14" ht="13" thickBot="1">
      <c r="J21" s="152" t="s">
        <v>98</v>
      </c>
      <c r="K21" s="645">
        <f>+'Budget Comparativo'!T8</f>
        <v>1061</v>
      </c>
    </row>
    <row r="22" spans="1:14" ht="13">
      <c r="I22" s="900" t="s">
        <v>676</v>
      </c>
      <c r="J22" s="901"/>
      <c r="K22" s="901"/>
      <c r="L22" s="902"/>
    </row>
    <row r="23" spans="1:14" ht="65">
      <c r="I23" s="610" t="s">
        <v>76</v>
      </c>
      <c r="J23" s="609" t="s">
        <v>537</v>
      </c>
      <c r="K23" s="609" t="s">
        <v>521</v>
      </c>
      <c r="L23" s="611" t="s">
        <v>235</v>
      </c>
    </row>
    <row r="24" spans="1:14">
      <c r="I24" s="208" t="s">
        <v>403</v>
      </c>
      <c r="J24" s="620">
        <v>0</v>
      </c>
      <c r="K24" s="608">
        <v>9566.0097499999993</v>
      </c>
      <c r="L24" s="612">
        <f>+J24-K24</f>
        <v>-9566.0097499999993</v>
      </c>
      <c r="M24" s="676">
        <f ca="1">+'Budget Comparativo'!AZ33</f>
        <v>100.46473403779696</v>
      </c>
      <c r="N24" s="474" t="s">
        <v>8534</v>
      </c>
    </row>
    <row r="25" spans="1:14">
      <c r="I25" s="184"/>
      <c r="J25" s="169"/>
      <c r="K25" s="167" t="s">
        <v>497</v>
      </c>
      <c r="L25" s="613"/>
      <c r="M25" s="676">
        <f>+'Budget Comparativo'!AY33</f>
        <v>100</v>
      </c>
      <c r="N25" s="474" t="s">
        <v>8535</v>
      </c>
    </row>
    <row r="26" spans="1:14">
      <c r="I26" s="208" t="s">
        <v>740</v>
      </c>
      <c r="J26" s="620">
        <v>0</v>
      </c>
      <c r="K26" s="608">
        <v>105.03</v>
      </c>
      <c r="L26" s="612">
        <f>+J26-K26</f>
        <v>-105.03</v>
      </c>
    </row>
    <row r="27" spans="1:14">
      <c r="I27" s="184"/>
      <c r="J27" s="169"/>
      <c r="K27" s="169"/>
      <c r="L27" s="613"/>
    </row>
    <row r="28" spans="1:14" ht="25">
      <c r="I28" s="633" t="s">
        <v>519</v>
      </c>
      <c r="J28" s="631"/>
      <c r="K28" s="631"/>
      <c r="L28" s="612">
        <v>0</v>
      </c>
    </row>
    <row r="29" spans="1:14" ht="37.5">
      <c r="A29" s="474" t="s">
        <v>536</v>
      </c>
      <c r="B29" s="9" t="s">
        <v>204</v>
      </c>
      <c r="I29" s="630"/>
      <c r="J29" s="631"/>
      <c r="K29" s="631"/>
      <c r="L29" s="632"/>
    </row>
    <row r="30" spans="1:14">
      <c r="A30" s="196">
        <f>(10000+5000)/12</f>
        <v>1250</v>
      </c>
      <c r="B30" s="676">
        <f>+'Budget Comparativo'!$H$10</f>
        <v>9</v>
      </c>
      <c r="I30" s="813" t="s">
        <v>5847</v>
      </c>
      <c r="J30" s="631"/>
      <c r="K30" s="644">
        <v>0</v>
      </c>
      <c r="L30" s="612">
        <f>+J30-K30</f>
        <v>0</v>
      </c>
    </row>
    <row r="31" spans="1:14">
      <c r="I31" s="630"/>
      <c r="J31" s="631"/>
      <c r="K31" s="631"/>
      <c r="L31" s="632"/>
    </row>
    <row r="32" spans="1:14" ht="13" thickBot="1">
      <c r="I32" s="185" t="s">
        <v>407</v>
      </c>
      <c r="J32" s="621">
        <v>0</v>
      </c>
      <c r="K32" s="614">
        <v>1401.0074999999999</v>
      </c>
      <c r="L32" s="615">
        <f>+J32-K32</f>
        <v>-1401.0074999999999</v>
      </c>
    </row>
    <row r="33" spans="12:12">
      <c r="L33" s="651">
        <f>SUM(L22:L32)</f>
        <v>-11072.04725</v>
      </c>
    </row>
  </sheetData>
  <sortState ref="C36:K41">
    <sortCondition ref="D36"/>
  </sortState>
  <mergeCells count="3">
    <mergeCell ref="C6:F6"/>
    <mergeCell ref="I6:L6"/>
    <mergeCell ref="I22:L22"/>
  </mergeCells>
  <pageMargins left="0.7" right="0.7" top="0.75" bottom="0.75" header="0.3" footer="0.3"/>
  <pageSetup orientation="portrait" r:id="rId1"/>
</worksheet>
</file>

<file path=xl/worksheets/sheet24.xml><?xml version="1.0" encoding="utf-8"?>
<worksheet xmlns="http://schemas.openxmlformats.org/spreadsheetml/2006/main" xmlns:r="http://schemas.openxmlformats.org/officeDocument/2006/relationships">
  <sheetPr>
    <tabColor rgb="FFFFC000"/>
  </sheetPr>
  <dimension ref="A1:L80"/>
  <sheetViews>
    <sheetView zoomScale="85" zoomScaleNormal="85" workbookViewId="0">
      <pane xSplit="2" ySplit="6" topLeftCell="C70" activePane="bottomRight" state="frozen"/>
      <selection pane="topRight" activeCell="C1" sqref="C1"/>
      <selection pane="bottomLeft" activeCell="A7" sqref="A7"/>
      <selection pane="bottomRight" activeCell="C81" sqref="C81"/>
    </sheetView>
  </sheetViews>
  <sheetFormatPr baseColWidth="10" defaultColWidth="11.36328125" defaultRowHeight="14.5"/>
  <cols>
    <col min="1" max="1" width="23.1796875" style="712" bestFit="1" customWidth="1"/>
    <col min="2" max="2" width="23.6328125" style="712" bestFit="1" customWidth="1"/>
    <col min="3" max="3" width="9.90625" style="712" bestFit="1" customWidth="1"/>
    <col min="4" max="4" width="13.36328125" style="712" bestFit="1" customWidth="1"/>
    <col min="5" max="5" width="7.90625" style="712" bestFit="1" customWidth="1"/>
    <col min="6" max="6" width="7.81640625" style="712" bestFit="1" customWidth="1"/>
    <col min="7" max="7" width="5.1796875" style="712" bestFit="1" customWidth="1"/>
    <col min="8" max="8" width="9.81640625" style="712" bestFit="1" customWidth="1"/>
    <col min="9" max="9" width="6.6328125" style="712" bestFit="1" customWidth="1"/>
    <col min="10" max="10" width="6.453125" style="712" bestFit="1" customWidth="1"/>
    <col min="11" max="11" width="14.90625" style="712" bestFit="1" customWidth="1"/>
    <col min="12" max="12" width="13.6328125" style="713" bestFit="1" customWidth="1"/>
    <col min="13" max="16384" width="11.36328125" style="712"/>
  </cols>
  <sheetData>
    <row r="1" spans="1:12" s="693" customFormat="1" ht="19.5" customHeight="1" thickBot="1">
      <c r="A1" s="687"/>
      <c r="B1" s="688" t="s">
        <v>2770</v>
      </c>
      <c r="C1" s="689"/>
      <c r="D1" s="690"/>
      <c r="E1" s="691">
        <v>0</v>
      </c>
      <c r="F1" s="691">
        <v>0</v>
      </c>
      <c r="G1" s="691">
        <v>0</v>
      </c>
      <c r="H1" s="691">
        <v>0</v>
      </c>
      <c r="I1" s="691">
        <v>0</v>
      </c>
      <c r="J1" s="691">
        <v>0</v>
      </c>
      <c r="K1" s="687"/>
      <c r="L1" s="692">
        <v>0</v>
      </c>
    </row>
    <row r="2" spans="1:12" s="696" customFormat="1" ht="24.75" hidden="1" customHeight="1">
      <c r="A2" s="687"/>
      <c r="B2" s="694"/>
      <c r="C2" s="687"/>
      <c r="D2" s="687"/>
      <c r="E2" s="687">
        <v>1</v>
      </c>
      <c r="F2" s="687"/>
      <c r="G2" s="687"/>
      <c r="H2" s="687"/>
      <c r="I2" s="687"/>
      <c r="J2" s="687"/>
      <c r="K2" s="687"/>
      <c r="L2" s="695"/>
    </row>
    <row r="3" spans="1:12" s="696" customFormat="1" ht="24.75" customHeight="1" thickBot="1">
      <c r="A3" s="697" t="s">
        <v>2771</v>
      </c>
      <c r="B3" s="698" t="s">
        <v>2772</v>
      </c>
      <c r="C3" s="699"/>
      <c r="D3" s="700" t="s">
        <v>2773</v>
      </c>
      <c r="E3" s="701"/>
      <c r="F3" s="701"/>
      <c r="G3" s="701"/>
      <c r="H3" s="701"/>
      <c r="I3" s="701"/>
      <c r="J3" s="702"/>
      <c r="K3" s="703" t="s">
        <v>2774</v>
      </c>
      <c r="L3" s="704"/>
    </row>
    <row r="4" spans="1:12" s="707" customFormat="1" ht="41.25" customHeight="1" thickBot="1">
      <c r="A4" s="705" t="s">
        <v>768</v>
      </c>
      <c r="B4" s="705" t="s">
        <v>2775</v>
      </c>
      <c r="C4" s="706"/>
      <c r="D4" s="706"/>
      <c r="E4" s="706"/>
      <c r="F4" s="706"/>
      <c r="G4" s="706"/>
      <c r="H4" s="706"/>
      <c r="I4" s="706"/>
      <c r="J4" s="706"/>
      <c r="K4" s="706"/>
      <c r="L4" s="706"/>
    </row>
    <row r="5" spans="1:12" s="693" customFormat="1" ht="12.75" customHeight="1" thickBot="1">
      <c r="A5" s="708"/>
      <c r="B5" s="709"/>
      <c r="C5" s="710"/>
      <c r="D5" s="710"/>
      <c r="E5" s="710"/>
      <c r="F5" s="710"/>
      <c r="G5" s="710">
        <f t="shared" ref="G5:L5" si="0">SUM(G6:G80)</f>
        <v>295</v>
      </c>
      <c r="H5" s="710">
        <f t="shared" si="0"/>
        <v>301</v>
      </c>
      <c r="I5" s="710">
        <f t="shared" si="0"/>
        <v>6</v>
      </c>
      <c r="J5" s="710">
        <f t="shared" si="0"/>
        <v>1061</v>
      </c>
      <c r="K5" s="710">
        <f t="shared" si="0"/>
        <v>1095</v>
      </c>
      <c r="L5" s="710">
        <f t="shared" si="0"/>
        <v>-34</v>
      </c>
    </row>
    <row r="6" spans="1:12" s="707" customFormat="1" ht="41.25" customHeight="1" thickBot="1">
      <c r="A6" s="855" t="s">
        <v>2784</v>
      </c>
      <c r="B6" s="855" t="s">
        <v>2785</v>
      </c>
      <c r="C6" s="855" t="s">
        <v>8417</v>
      </c>
      <c r="D6" s="855" t="s">
        <v>8418</v>
      </c>
      <c r="E6" s="855" t="s">
        <v>8419</v>
      </c>
      <c r="F6" s="855" t="s">
        <v>8420</v>
      </c>
      <c r="G6" s="855" t="s">
        <v>2776</v>
      </c>
      <c r="H6" s="855" t="s">
        <v>2777</v>
      </c>
      <c r="I6" s="855" t="s">
        <v>2778</v>
      </c>
      <c r="J6" s="855" t="s">
        <v>2779</v>
      </c>
      <c r="K6" s="855" t="s">
        <v>2786</v>
      </c>
      <c r="L6" s="855" t="s">
        <v>2787</v>
      </c>
    </row>
    <row r="8" spans="1:12">
      <c r="A8" s="848" t="s">
        <v>3322</v>
      </c>
      <c r="B8" s="849" t="s">
        <v>2315</v>
      </c>
      <c r="C8" s="850">
        <v>45902</v>
      </c>
      <c r="D8" s="851">
        <v>45906</v>
      </c>
      <c r="E8" s="851">
        <v>45902</v>
      </c>
      <c r="F8" s="851">
        <v>45906</v>
      </c>
      <c r="G8" s="711">
        <v>12</v>
      </c>
      <c r="H8" s="711">
        <v>12</v>
      </c>
      <c r="I8" s="852">
        <v>0</v>
      </c>
      <c r="J8" s="853">
        <v>48</v>
      </c>
      <c r="K8" s="848">
        <v>48</v>
      </c>
      <c r="L8" s="852">
        <v>0</v>
      </c>
    </row>
    <row r="9" spans="1:12">
      <c r="A9" s="848" t="s">
        <v>3323</v>
      </c>
      <c r="B9" s="854" t="s">
        <v>2788</v>
      </c>
      <c r="C9" s="850">
        <v>45922</v>
      </c>
      <c r="D9" s="851">
        <v>45926</v>
      </c>
      <c r="E9" s="851">
        <v>45922</v>
      </c>
      <c r="F9" s="851">
        <v>45926</v>
      </c>
      <c r="G9" s="711">
        <v>4</v>
      </c>
      <c r="H9" s="711">
        <v>4</v>
      </c>
      <c r="I9" s="852">
        <v>0</v>
      </c>
      <c r="J9" s="853">
        <v>16</v>
      </c>
      <c r="K9" s="848">
        <v>16</v>
      </c>
      <c r="L9" s="852">
        <v>0</v>
      </c>
    </row>
    <row r="10" spans="1:12">
      <c r="A10" s="848" t="s">
        <v>3324</v>
      </c>
      <c r="B10" s="854" t="s">
        <v>2314</v>
      </c>
      <c r="C10" s="850">
        <v>45922</v>
      </c>
      <c r="D10" s="851">
        <v>45926</v>
      </c>
      <c r="E10" s="851">
        <v>45922</v>
      </c>
      <c r="F10" s="851">
        <v>45926</v>
      </c>
      <c r="G10" s="711">
        <v>4</v>
      </c>
      <c r="H10" s="711">
        <v>4</v>
      </c>
      <c r="I10" s="852">
        <v>0</v>
      </c>
      <c r="J10" s="853">
        <v>16</v>
      </c>
      <c r="K10" s="848">
        <v>16</v>
      </c>
      <c r="L10" s="852">
        <v>0</v>
      </c>
    </row>
    <row r="11" spans="1:12">
      <c r="A11" s="848" t="s">
        <v>3325</v>
      </c>
      <c r="B11" s="854" t="s">
        <v>2789</v>
      </c>
      <c r="C11" s="850">
        <v>45947</v>
      </c>
      <c r="D11" s="851">
        <v>45951</v>
      </c>
      <c r="E11" s="851">
        <v>45947</v>
      </c>
      <c r="F11" s="851">
        <v>45951</v>
      </c>
      <c r="G11" s="711">
        <v>4</v>
      </c>
      <c r="H11" s="711">
        <v>4</v>
      </c>
      <c r="I11" s="852">
        <v>0</v>
      </c>
      <c r="J11" s="853">
        <v>16</v>
      </c>
      <c r="K11" s="848">
        <v>16</v>
      </c>
      <c r="L11" s="852">
        <v>0</v>
      </c>
    </row>
    <row r="12" spans="1:12">
      <c r="A12" s="848" t="s">
        <v>3326</v>
      </c>
      <c r="B12" s="854" t="s">
        <v>2790</v>
      </c>
      <c r="C12" s="850">
        <v>45947</v>
      </c>
      <c r="D12" s="851">
        <v>45951</v>
      </c>
      <c r="E12" s="851">
        <v>45947</v>
      </c>
      <c r="F12" s="851">
        <v>45951</v>
      </c>
      <c r="G12" s="711">
        <v>3</v>
      </c>
      <c r="H12" s="711">
        <v>3</v>
      </c>
      <c r="I12" s="852">
        <v>0</v>
      </c>
      <c r="J12" s="853">
        <v>12</v>
      </c>
      <c r="K12" s="848">
        <v>12</v>
      </c>
      <c r="L12" s="852">
        <v>0</v>
      </c>
    </row>
    <row r="13" spans="1:12">
      <c r="A13" s="848" t="s">
        <v>3327</v>
      </c>
      <c r="B13" s="854" t="s">
        <v>2791</v>
      </c>
      <c r="C13" s="850">
        <v>45952</v>
      </c>
      <c r="D13" s="851">
        <v>45956</v>
      </c>
      <c r="E13" s="851">
        <v>45952</v>
      </c>
      <c r="F13" s="851">
        <v>45956</v>
      </c>
      <c r="G13" s="711">
        <v>5</v>
      </c>
      <c r="H13" s="711">
        <v>5</v>
      </c>
      <c r="I13" s="852">
        <v>0</v>
      </c>
      <c r="J13" s="853">
        <v>20</v>
      </c>
      <c r="K13" s="848">
        <v>20</v>
      </c>
      <c r="L13" s="852">
        <v>0</v>
      </c>
    </row>
    <row r="14" spans="1:12">
      <c r="A14" s="848" t="s">
        <v>3328</v>
      </c>
      <c r="B14" s="854" t="s">
        <v>2312</v>
      </c>
      <c r="C14" s="850">
        <v>45952</v>
      </c>
      <c r="D14" s="851">
        <v>45956</v>
      </c>
      <c r="E14" s="851">
        <v>45952</v>
      </c>
      <c r="F14" s="851">
        <v>45956</v>
      </c>
      <c r="G14" s="711">
        <v>4</v>
      </c>
      <c r="H14" s="711">
        <v>5</v>
      </c>
      <c r="I14" s="852">
        <v>1</v>
      </c>
      <c r="J14" s="853">
        <v>16</v>
      </c>
      <c r="K14" s="848">
        <v>20</v>
      </c>
      <c r="L14" s="852">
        <v>-4</v>
      </c>
    </row>
    <row r="15" spans="1:12">
      <c r="A15" s="848" t="s">
        <v>3329</v>
      </c>
      <c r="B15" s="854" t="s">
        <v>3330</v>
      </c>
      <c r="C15" s="850">
        <v>46041</v>
      </c>
      <c r="D15" s="851">
        <v>46043</v>
      </c>
      <c r="E15" s="851">
        <v>46041</v>
      </c>
      <c r="F15" s="851">
        <v>46043</v>
      </c>
      <c r="G15" s="711">
        <v>2</v>
      </c>
      <c r="H15" s="711">
        <v>2</v>
      </c>
      <c r="I15" s="852">
        <v>0</v>
      </c>
      <c r="J15" s="853">
        <v>4</v>
      </c>
      <c r="K15" s="848">
        <v>4</v>
      </c>
      <c r="L15" s="852">
        <v>0</v>
      </c>
    </row>
    <row r="16" spans="1:12">
      <c r="A16" s="848" t="s">
        <v>3331</v>
      </c>
      <c r="B16" s="854" t="s">
        <v>3332</v>
      </c>
      <c r="C16" s="850">
        <v>46042</v>
      </c>
      <c r="D16" s="851">
        <v>46044</v>
      </c>
      <c r="E16" s="851">
        <v>46042</v>
      </c>
      <c r="F16" s="851">
        <v>46044</v>
      </c>
      <c r="G16" s="711">
        <v>2</v>
      </c>
      <c r="H16" s="711">
        <v>2</v>
      </c>
      <c r="I16" s="852">
        <v>0</v>
      </c>
      <c r="J16" s="853">
        <v>4</v>
      </c>
      <c r="K16" s="848">
        <v>4</v>
      </c>
      <c r="L16" s="852">
        <v>0</v>
      </c>
    </row>
    <row r="17" spans="1:12">
      <c r="A17" s="848" t="s">
        <v>3333</v>
      </c>
      <c r="B17" s="854" t="s">
        <v>3334</v>
      </c>
      <c r="C17" s="850">
        <v>46042</v>
      </c>
      <c r="D17" s="851">
        <v>46044</v>
      </c>
      <c r="E17" s="851">
        <v>46042</v>
      </c>
      <c r="F17" s="851">
        <v>46044</v>
      </c>
      <c r="G17" s="711">
        <v>2</v>
      </c>
      <c r="H17" s="711">
        <v>2</v>
      </c>
      <c r="I17" s="852">
        <v>0</v>
      </c>
      <c r="J17" s="853">
        <v>4</v>
      </c>
      <c r="K17" s="848">
        <v>4</v>
      </c>
      <c r="L17" s="852">
        <v>0</v>
      </c>
    </row>
    <row r="18" spans="1:12">
      <c r="A18" s="848" t="s">
        <v>3335</v>
      </c>
      <c r="B18" s="854" t="s">
        <v>3336</v>
      </c>
      <c r="C18" s="850">
        <v>46044</v>
      </c>
      <c r="D18" s="851">
        <v>46048</v>
      </c>
      <c r="E18" s="851">
        <v>46044</v>
      </c>
      <c r="F18" s="851">
        <v>46048</v>
      </c>
      <c r="G18" s="711">
        <v>3</v>
      </c>
      <c r="H18" s="711">
        <v>3</v>
      </c>
      <c r="I18" s="852">
        <v>0</v>
      </c>
      <c r="J18" s="853">
        <v>12</v>
      </c>
      <c r="K18" s="848">
        <v>12</v>
      </c>
      <c r="L18" s="852">
        <v>0</v>
      </c>
    </row>
    <row r="19" spans="1:12">
      <c r="A19" s="848" t="s">
        <v>3337</v>
      </c>
      <c r="B19" s="854" t="s">
        <v>3338</v>
      </c>
      <c r="C19" s="850">
        <v>46050</v>
      </c>
      <c r="D19" s="851">
        <v>46053</v>
      </c>
      <c r="E19" s="851">
        <v>46050</v>
      </c>
      <c r="F19" s="851">
        <v>46053</v>
      </c>
      <c r="G19" s="711">
        <v>4</v>
      </c>
      <c r="H19" s="711">
        <v>4</v>
      </c>
      <c r="I19" s="852">
        <v>0</v>
      </c>
      <c r="J19" s="853">
        <v>12</v>
      </c>
      <c r="K19" s="848">
        <v>12</v>
      </c>
      <c r="L19" s="852">
        <v>0</v>
      </c>
    </row>
    <row r="20" spans="1:12">
      <c r="A20" s="848" t="s">
        <v>3339</v>
      </c>
      <c r="B20" s="854" t="s">
        <v>3340</v>
      </c>
      <c r="C20" s="850">
        <v>46050</v>
      </c>
      <c r="D20" s="851">
        <v>46054</v>
      </c>
      <c r="E20" s="851">
        <v>46050</v>
      </c>
      <c r="F20" s="851">
        <v>46054</v>
      </c>
      <c r="G20" s="711">
        <v>2</v>
      </c>
      <c r="H20" s="711">
        <v>2</v>
      </c>
      <c r="I20" s="852">
        <v>0</v>
      </c>
      <c r="J20" s="853">
        <v>8</v>
      </c>
      <c r="K20" s="848">
        <v>8</v>
      </c>
      <c r="L20" s="852">
        <v>0</v>
      </c>
    </row>
    <row r="21" spans="1:12">
      <c r="A21" s="848" t="s">
        <v>3341</v>
      </c>
      <c r="B21" s="854" t="s">
        <v>3342</v>
      </c>
      <c r="C21" s="850">
        <v>46051</v>
      </c>
      <c r="D21" s="851">
        <v>46055</v>
      </c>
      <c r="E21" s="851">
        <v>46051</v>
      </c>
      <c r="F21" s="851">
        <v>46055</v>
      </c>
      <c r="G21" s="711">
        <v>5</v>
      </c>
      <c r="H21" s="711">
        <v>5</v>
      </c>
      <c r="I21" s="852">
        <v>0</v>
      </c>
      <c r="J21" s="853">
        <v>20</v>
      </c>
      <c r="K21" s="848">
        <v>20</v>
      </c>
      <c r="L21" s="852">
        <v>0</v>
      </c>
    </row>
    <row r="22" spans="1:12">
      <c r="A22" s="848" t="s">
        <v>3418</v>
      </c>
      <c r="B22" s="854" t="s">
        <v>3419</v>
      </c>
      <c r="C22" s="850">
        <v>46055</v>
      </c>
      <c r="D22" s="851">
        <v>46059</v>
      </c>
      <c r="E22" s="851">
        <v>46055</v>
      </c>
      <c r="F22" s="851">
        <v>46059</v>
      </c>
      <c r="G22" s="711">
        <v>3</v>
      </c>
      <c r="H22" s="711">
        <v>3</v>
      </c>
      <c r="I22" s="852">
        <v>0</v>
      </c>
      <c r="J22" s="853">
        <v>12</v>
      </c>
      <c r="K22" s="848">
        <v>12</v>
      </c>
      <c r="L22" s="852">
        <v>0</v>
      </c>
    </row>
    <row r="23" spans="1:12">
      <c r="A23" s="848" t="s">
        <v>3420</v>
      </c>
      <c r="B23" s="854" t="s">
        <v>3421</v>
      </c>
      <c r="C23" s="850">
        <v>46055</v>
      </c>
      <c r="D23" s="851">
        <v>46059</v>
      </c>
      <c r="E23" s="851">
        <v>46055</v>
      </c>
      <c r="F23" s="851">
        <v>46059</v>
      </c>
      <c r="G23" s="711">
        <v>4</v>
      </c>
      <c r="H23" s="711">
        <v>4</v>
      </c>
      <c r="I23" s="852">
        <v>0</v>
      </c>
      <c r="J23" s="853">
        <v>16</v>
      </c>
      <c r="K23" s="848">
        <v>16</v>
      </c>
      <c r="L23" s="852">
        <v>0</v>
      </c>
    </row>
    <row r="24" spans="1:12">
      <c r="A24" s="848" t="s">
        <v>3422</v>
      </c>
      <c r="B24" s="854" t="s">
        <v>3423</v>
      </c>
      <c r="C24" s="850">
        <v>46055</v>
      </c>
      <c r="D24" s="851">
        <v>46059</v>
      </c>
      <c r="E24" s="851">
        <v>46055</v>
      </c>
      <c r="F24" s="851">
        <v>46059</v>
      </c>
      <c r="G24" s="711">
        <v>4</v>
      </c>
      <c r="H24" s="711">
        <v>4</v>
      </c>
      <c r="I24" s="852">
        <v>0</v>
      </c>
      <c r="J24" s="853">
        <v>16</v>
      </c>
      <c r="K24" s="848">
        <v>16</v>
      </c>
      <c r="L24" s="852">
        <v>0</v>
      </c>
    </row>
    <row r="25" spans="1:12">
      <c r="A25" s="848" t="s">
        <v>3424</v>
      </c>
      <c r="B25" s="854" t="s">
        <v>3425</v>
      </c>
      <c r="C25" s="850">
        <v>46060</v>
      </c>
      <c r="D25" s="851">
        <v>46064</v>
      </c>
      <c r="E25" s="851">
        <v>46060</v>
      </c>
      <c r="F25" s="851">
        <v>46064</v>
      </c>
      <c r="G25" s="711">
        <v>12</v>
      </c>
      <c r="H25" s="711">
        <v>12</v>
      </c>
      <c r="I25" s="852">
        <v>0</v>
      </c>
      <c r="J25" s="853">
        <v>48</v>
      </c>
      <c r="K25" s="848">
        <v>48</v>
      </c>
      <c r="L25" s="852">
        <v>0</v>
      </c>
    </row>
    <row r="26" spans="1:12">
      <c r="A26" s="848" t="s">
        <v>3426</v>
      </c>
      <c r="B26" s="854" t="s">
        <v>3427</v>
      </c>
      <c r="C26" s="850">
        <v>46065</v>
      </c>
      <c r="D26" s="851">
        <v>46068</v>
      </c>
      <c r="E26" s="851">
        <v>46065</v>
      </c>
      <c r="F26" s="851">
        <v>46068</v>
      </c>
      <c r="G26" s="711">
        <v>4</v>
      </c>
      <c r="H26" s="711">
        <v>4</v>
      </c>
      <c r="I26" s="852">
        <v>0</v>
      </c>
      <c r="J26" s="853">
        <v>12</v>
      </c>
      <c r="K26" s="848">
        <v>12</v>
      </c>
      <c r="L26" s="852">
        <v>0</v>
      </c>
    </row>
    <row r="27" spans="1:12">
      <c r="A27" s="848" t="s">
        <v>3428</v>
      </c>
      <c r="B27" s="854" t="s">
        <v>3429</v>
      </c>
      <c r="C27" s="850">
        <v>46069</v>
      </c>
      <c r="D27" s="851">
        <v>46073</v>
      </c>
      <c r="E27" s="851">
        <v>46069</v>
      </c>
      <c r="F27" s="851">
        <v>46073</v>
      </c>
      <c r="G27" s="711">
        <v>7</v>
      </c>
      <c r="H27" s="711">
        <v>7</v>
      </c>
      <c r="I27" s="852">
        <v>0</v>
      </c>
      <c r="J27" s="853">
        <v>28</v>
      </c>
      <c r="K27" s="848">
        <v>28</v>
      </c>
      <c r="L27" s="852">
        <v>0</v>
      </c>
    </row>
    <row r="28" spans="1:12">
      <c r="A28" s="848" t="s">
        <v>3430</v>
      </c>
      <c r="B28" s="854" t="s">
        <v>3431</v>
      </c>
      <c r="C28" s="850">
        <v>46069</v>
      </c>
      <c r="D28" s="851">
        <v>46073</v>
      </c>
      <c r="E28" s="851">
        <v>46069</v>
      </c>
      <c r="F28" s="851">
        <v>46073</v>
      </c>
      <c r="G28" s="711">
        <v>4</v>
      </c>
      <c r="H28" s="711">
        <v>4</v>
      </c>
      <c r="I28" s="852">
        <v>0</v>
      </c>
      <c r="J28" s="853">
        <v>16</v>
      </c>
      <c r="K28" s="848">
        <v>16</v>
      </c>
      <c r="L28" s="852">
        <v>0</v>
      </c>
    </row>
    <row r="29" spans="1:12">
      <c r="A29" s="848" t="s">
        <v>3432</v>
      </c>
      <c r="B29" s="854" t="s">
        <v>3433</v>
      </c>
      <c r="C29" s="850">
        <v>46069</v>
      </c>
      <c r="D29" s="851">
        <v>46073</v>
      </c>
      <c r="E29" s="851">
        <v>46069</v>
      </c>
      <c r="F29" s="851">
        <v>46073</v>
      </c>
      <c r="G29" s="711">
        <v>4</v>
      </c>
      <c r="H29" s="711">
        <v>4</v>
      </c>
      <c r="I29" s="852">
        <v>0</v>
      </c>
      <c r="J29" s="853">
        <v>16</v>
      </c>
      <c r="K29" s="848">
        <v>16</v>
      </c>
      <c r="L29" s="852">
        <v>0</v>
      </c>
    </row>
    <row r="30" spans="1:12">
      <c r="A30" s="848" t="s">
        <v>3434</v>
      </c>
      <c r="B30" s="854" t="s">
        <v>3435</v>
      </c>
      <c r="C30" s="850">
        <v>46074</v>
      </c>
      <c r="D30" s="851">
        <v>46076</v>
      </c>
      <c r="E30" s="851">
        <v>46074</v>
      </c>
      <c r="F30" s="851">
        <v>46076</v>
      </c>
      <c r="G30" s="711">
        <v>2</v>
      </c>
      <c r="H30" s="711">
        <v>2</v>
      </c>
      <c r="I30" s="852">
        <v>0</v>
      </c>
      <c r="J30" s="853">
        <v>4</v>
      </c>
      <c r="K30" s="848">
        <v>4</v>
      </c>
      <c r="L30" s="852">
        <v>0</v>
      </c>
    </row>
    <row r="31" spans="1:12">
      <c r="A31" s="848" t="s">
        <v>3436</v>
      </c>
      <c r="B31" s="854" t="s">
        <v>3437</v>
      </c>
      <c r="C31" s="850">
        <v>46074</v>
      </c>
      <c r="D31" s="851">
        <v>46077</v>
      </c>
      <c r="E31" s="851">
        <v>46074</v>
      </c>
      <c r="F31" s="851">
        <v>46077</v>
      </c>
      <c r="G31" s="711">
        <v>4</v>
      </c>
      <c r="H31" s="711">
        <v>4</v>
      </c>
      <c r="I31" s="852">
        <v>0</v>
      </c>
      <c r="J31" s="853">
        <v>12</v>
      </c>
      <c r="K31" s="848">
        <v>12</v>
      </c>
      <c r="L31" s="852">
        <v>0</v>
      </c>
    </row>
    <row r="32" spans="1:12">
      <c r="A32" s="848" t="s">
        <v>3438</v>
      </c>
      <c r="B32" s="854" t="s">
        <v>3439</v>
      </c>
      <c r="C32" s="850">
        <v>46074</v>
      </c>
      <c r="D32" s="851">
        <v>46077</v>
      </c>
      <c r="E32" s="851">
        <v>46074</v>
      </c>
      <c r="F32" s="851">
        <v>46077</v>
      </c>
      <c r="G32" s="711">
        <v>4</v>
      </c>
      <c r="H32" s="711">
        <v>4</v>
      </c>
      <c r="I32" s="852">
        <v>0</v>
      </c>
      <c r="J32" s="853">
        <v>12</v>
      </c>
      <c r="K32" s="848">
        <v>12</v>
      </c>
      <c r="L32" s="852">
        <v>0</v>
      </c>
    </row>
    <row r="33" spans="1:12">
      <c r="A33" s="848" t="s">
        <v>3440</v>
      </c>
      <c r="B33" s="854" t="s">
        <v>3441</v>
      </c>
      <c r="C33" s="850">
        <v>46074</v>
      </c>
      <c r="D33" s="851">
        <v>46079</v>
      </c>
      <c r="E33" s="851">
        <v>46074</v>
      </c>
      <c r="F33" s="851">
        <v>46079</v>
      </c>
      <c r="G33" s="711">
        <v>3</v>
      </c>
      <c r="H33" s="711">
        <v>3</v>
      </c>
      <c r="I33" s="852">
        <v>0</v>
      </c>
      <c r="J33" s="853">
        <v>13</v>
      </c>
      <c r="K33" s="848">
        <v>13</v>
      </c>
      <c r="L33" s="852">
        <v>0</v>
      </c>
    </row>
    <row r="34" spans="1:12">
      <c r="A34" s="848" t="s">
        <v>3442</v>
      </c>
      <c r="B34" s="854" t="s">
        <v>3443</v>
      </c>
      <c r="C34" s="850">
        <v>46079</v>
      </c>
      <c r="D34" s="851">
        <v>46082</v>
      </c>
      <c r="E34" s="851">
        <v>46079</v>
      </c>
      <c r="F34" s="851">
        <v>46082</v>
      </c>
      <c r="G34" s="711">
        <v>4</v>
      </c>
      <c r="H34" s="711">
        <v>4</v>
      </c>
      <c r="I34" s="852">
        <v>0</v>
      </c>
      <c r="J34" s="853">
        <v>12</v>
      </c>
      <c r="K34" s="848">
        <v>12</v>
      </c>
      <c r="L34" s="852">
        <v>0</v>
      </c>
    </row>
    <row r="35" spans="1:12">
      <c r="A35" s="848" t="s">
        <v>3444</v>
      </c>
      <c r="B35" s="854" t="s">
        <v>3445</v>
      </c>
      <c r="C35" s="850">
        <v>46079</v>
      </c>
      <c r="D35" s="851">
        <v>46082</v>
      </c>
      <c r="E35" s="851">
        <v>46079</v>
      </c>
      <c r="F35" s="851">
        <v>46082</v>
      </c>
      <c r="G35" s="711">
        <v>4</v>
      </c>
      <c r="H35" s="711">
        <v>4</v>
      </c>
      <c r="I35" s="852">
        <v>0</v>
      </c>
      <c r="J35" s="853">
        <v>12</v>
      </c>
      <c r="K35" s="848">
        <v>12</v>
      </c>
      <c r="L35" s="852">
        <v>0</v>
      </c>
    </row>
    <row r="36" spans="1:12">
      <c r="A36" s="848" t="s">
        <v>3446</v>
      </c>
      <c r="B36" s="854" t="s">
        <v>3447</v>
      </c>
      <c r="C36" s="850">
        <v>46079</v>
      </c>
      <c r="D36" s="851">
        <v>46083</v>
      </c>
      <c r="E36" s="851">
        <v>46079</v>
      </c>
      <c r="F36" s="851">
        <v>46083</v>
      </c>
      <c r="G36" s="711">
        <v>4</v>
      </c>
      <c r="H36" s="711">
        <v>4</v>
      </c>
      <c r="I36" s="852">
        <v>0</v>
      </c>
      <c r="J36" s="853">
        <v>16</v>
      </c>
      <c r="K36" s="848">
        <v>16</v>
      </c>
      <c r="L36" s="852">
        <v>0</v>
      </c>
    </row>
    <row r="37" spans="1:12">
      <c r="A37" s="848" t="s">
        <v>3448</v>
      </c>
      <c r="B37" s="854" t="s">
        <v>3449</v>
      </c>
      <c r="C37" s="850">
        <v>46079</v>
      </c>
      <c r="D37" s="851">
        <v>46083</v>
      </c>
      <c r="E37" s="851">
        <v>46079</v>
      </c>
      <c r="F37" s="851">
        <v>46083</v>
      </c>
      <c r="G37" s="711">
        <v>3</v>
      </c>
      <c r="H37" s="711">
        <v>4</v>
      </c>
      <c r="I37" s="852">
        <v>1</v>
      </c>
      <c r="J37" s="853">
        <v>12</v>
      </c>
      <c r="K37" s="848">
        <v>16</v>
      </c>
      <c r="L37" s="852">
        <v>-4</v>
      </c>
    </row>
    <row r="38" spans="1:12">
      <c r="A38" s="848" t="s">
        <v>3450</v>
      </c>
      <c r="B38" s="854" t="s">
        <v>3451</v>
      </c>
      <c r="C38" s="850">
        <v>46083</v>
      </c>
      <c r="D38" s="851">
        <v>46086</v>
      </c>
      <c r="E38" s="851">
        <v>46083</v>
      </c>
      <c r="F38" s="851">
        <v>46087</v>
      </c>
      <c r="G38" s="711">
        <v>2</v>
      </c>
      <c r="H38" s="711">
        <v>3</v>
      </c>
      <c r="I38" s="852">
        <v>1</v>
      </c>
      <c r="J38" s="853">
        <v>6</v>
      </c>
      <c r="K38" s="848">
        <v>12</v>
      </c>
      <c r="L38" s="852">
        <v>-6</v>
      </c>
    </row>
    <row r="39" spans="1:12">
      <c r="A39" s="848" t="s">
        <v>3452</v>
      </c>
      <c r="B39" s="854" t="s">
        <v>3453</v>
      </c>
      <c r="C39" s="850">
        <v>46084</v>
      </c>
      <c r="D39" s="851">
        <v>46087</v>
      </c>
      <c r="E39" s="851">
        <v>46084</v>
      </c>
      <c r="F39" s="851">
        <v>46087</v>
      </c>
      <c r="G39" s="711">
        <v>4</v>
      </c>
      <c r="H39" s="711">
        <v>4</v>
      </c>
      <c r="I39" s="852">
        <v>0</v>
      </c>
      <c r="J39" s="853">
        <v>12</v>
      </c>
      <c r="K39" s="848">
        <v>12</v>
      </c>
      <c r="L39" s="852">
        <v>0</v>
      </c>
    </row>
    <row r="40" spans="1:12">
      <c r="A40" s="848" t="s">
        <v>3454</v>
      </c>
      <c r="B40" s="854" t="s">
        <v>3455</v>
      </c>
      <c r="C40" s="850">
        <v>46084</v>
      </c>
      <c r="D40" s="851">
        <v>46087</v>
      </c>
      <c r="E40" s="851">
        <v>46084</v>
      </c>
      <c r="F40" s="851">
        <v>46087</v>
      </c>
      <c r="G40" s="711">
        <v>4</v>
      </c>
      <c r="H40" s="711">
        <v>4</v>
      </c>
      <c r="I40" s="852">
        <v>0</v>
      </c>
      <c r="J40" s="853">
        <v>12</v>
      </c>
      <c r="K40" s="848">
        <v>12</v>
      </c>
      <c r="L40" s="852">
        <v>0</v>
      </c>
    </row>
    <row r="41" spans="1:12">
      <c r="A41" s="848" t="s">
        <v>3456</v>
      </c>
      <c r="B41" s="854" t="s">
        <v>3457</v>
      </c>
      <c r="C41" s="850">
        <v>46088</v>
      </c>
      <c r="D41" s="851">
        <v>46092</v>
      </c>
      <c r="E41" s="851">
        <v>46088</v>
      </c>
      <c r="F41" s="851">
        <v>46092</v>
      </c>
      <c r="G41" s="711">
        <v>3</v>
      </c>
      <c r="H41" s="711">
        <v>3</v>
      </c>
      <c r="I41" s="852">
        <v>0</v>
      </c>
      <c r="J41" s="853">
        <v>12</v>
      </c>
      <c r="K41" s="848">
        <v>12</v>
      </c>
      <c r="L41" s="852">
        <v>0</v>
      </c>
    </row>
    <row r="42" spans="1:12">
      <c r="A42" s="848" t="s">
        <v>3458</v>
      </c>
      <c r="B42" s="854" t="s">
        <v>3459</v>
      </c>
      <c r="C42" s="850">
        <v>46089</v>
      </c>
      <c r="D42" s="851">
        <v>46092</v>
      </c>
      <c r="E42" s="851">
        <v>46089</v>
      </c>
      <c r="F42" s="851">
        <v>46092</v>
      </c>
      <c r="G42" s="711">
        <v>4</v>
      </c>
      <c r="H42" s="711">
        <v>4</v>
      </c>
      <c r="I42" s="852">
        <v>0</v>
      </c>
      <c r="J42" s="853">
        <v>12</v>
      </c>
      <c r="K42" s="848">
        <v>12</v>
      </c>
      <c r="L42" s="852">
        <v>0</v>
      </c>
    </row>
    <row r="43" spans="1:12">
      <c r="A43" s="848" t="s">
        <v>3460</v>
      </c>
      <c r="B43" s="854" t="s">
        <v>3461</v>
      </c>
      <c r="C43" s="850">
        <v>46088</v>
      </c>
      <c r="D43" s="851">
        <v>46092</v>
      </c>
      <c r="E43" s="851">
        <v>46088</v>
      </c>
      <c r="F43" s="851">
        <v>46092</v>
      </c>
      <c r="G43" s="711">
        <v>4</v>
      </c>
      <c r="H43" s="711">
        <v>4</v>
      </c>
      <c r="I43" s="852">
        <v>0</v>
      </c>
      <c r="J43" s="853">
        <v>16</v>
      </c>
      <c r="K43" s="848">
        <v>16</v>
      </c>
      <c r="L43" s="852">
        <v>0</v>
      </c>
    </row>
    <row r="44" spans="1:12">
      <c r="A44" s="848" t="s">
        <v>3462</v>
      </c>
      <c r="B44" s="854" t="s">
        <v>3463</v>
      </c>
      <c r="C44" s="850">
        <v>46087</v>
      </c>
      <c r="D44" s="851">
        <v>46092</v>
      </c>
      <c r="E44" s="851">
        <v>46087</v>
      </c>
      <c r="F44" s="851">
        <v>46092</v>
      </c>
      <c r="G44" s="711">
        <v>2</v>
      </c>
      <c r="H44" s="711">
        <v>2</v>
      </c>
      <c r="I44" s="852">
        <v>0</v>
      </c>
      <c r="J44" s="853">
        <v>10</v>
      </c>
      <c r="K44" s="848">
        <v>10</v>
      </c>
      <c r="L44" s="852">
        <v>0</v>
      </c>
    </row>
    <row r="45" spans="1:12">
      <c r="A45" s="848" t="s">
        <v>3464</v>
      </c>
      <c r="B45" s="854" t="s">
        <v>3465</v>
      </c>
      <c r="C45" s="850">
        <v>46093</v>
      </c>
      <c r="D45" s="851">
        <v>46096</v>
      </c>
      <c r="E45" s="851">
        <v>46093</v>
      </c>
      <c r="F45" s="851">
        <v>46096</v>
      </c>
      <c r="G45" s="711">
        <v>12</v>
      </c>
      <c r="H45" s="711">
        <v>12</v>
      </c>
      <c r="I45" s="852">
        <v>0</v>
      </c>
      <c r="J45" s="853">
        <v>36</v>
      </c>
      <c r="K45" s="848">
        <v>36</v>
      </c>
      <c r="L45" s="852">
        <v>0</v>
      </c>
    </row>
    <row r="46" spans="1:12">
      <c r="A46" s="848" t="s">
        <v>3466</v>
      </c>
      <c r="B46" s="854" t="s">
        <v>3467</v>
      </c>
      <c r="C46" s="850">
        <v>46098</v>
      </c>
      <c r="D46" s="851">
        <v>46101</v>
      </c>
      <c r="E46" s="851">
        <v>46098</v>
      </c>
      <c r="F46" s="851">
        <v>46101</v>
      </c>
      <c r="G46" s="711">
        <v>4</v>
      </c>
      <c r="H46" s="711">
        <v>4</v>
      </c>
      <c r="I46" s="852">
        <v>0</v>
      </c>
      <c r="J46" s="853">
        <v>12</v>
      </c>
      <c r="K46" s="848">
        <v>12</v>
      </c>
      <c r="L46" s="852">
        <v>0</v>
      </c>
    </row>
    <row r="47" spans="1:12">
      <c r="A47" s="848" t="s">
        <v>3468</v>
      </c>
      <c r="B47" s="854" t="s">
        <v>3469</v>
      </c>
      <c r="C47" s="850">
        <v>46098</v>
      </c>
      <c r="D47" s="851">
        <v>46101</v>
      </c>
      <c r="E47" s="851">
        <v>46098</v>
      </c>
      <c r="F47" s="851">
        <v>46101</v>
      </c>
      <c r="G47" s="711">
        <v>2</v>
      </c>
      <c r="H47" s="711">
        <v>2</v>
      </c>
      <c r="I47" s="852">
        <v>0</v>
      </c>
      <c r="J47" s="853">
        <v>6</v>
      </c>
      <c r="K47" s="848">
        <v>6</v>
      </c>
      <c r="L47" s="852">
        <v>0</v>
      </c>
    </row>
    <row r="48" spans="1:12">
      <c r="A48" s="848" t="s">
        <v>3470</v>
      </c>
      <c r="B48" s="854" t="s">
        <v>3471</v>
      </c>
      <c r="C48" s="850">
        <v>46098</v>
      </c>
      <c r="D48" s="851">
        <v>46101</v>
      </c>
      <c r="E48" s="851">
        <v>46098</v>
      </c>
      <c r="F48" s="851">
        <v>46101</v>
      </c>
      <c r="G48" s="711">
        <v>2</v>
      </c>
      <c r="H48" s="711">
        <v>2</v>
      </c>
      <c r="I48" s="852">
        <v>0</v>
      </c>
      <c r="J48" s="853">
        <v>6</v>
      </c>
      <c r="K48" s="848">
        <v>6</v>
      </c>
      <c r="L48" s="852">
        <v>0</v>
      </c>
    </row>
    <row r="49" spans="1:12">
      <c r="A49" s="848" t="s">
        <v>3472</v>
      </c>
      <c r="B49" s="854" t="s">
        <v>3473</v>
      </c>
      <c r="C49" s="850">
        <v>46098</v>
      </c>
      <c r="D49" s="851">
        <v>46102</v>
      </c>
      <c r="E49" s="851">
        <v>46098</v>
      </c>
      <c r="F49" s="851">
        <v>46102</v>
      </c>
      <c r="G49" s="711">
        <v>8</v>
      </c>
      <c r="H49" s="711">
        <v>8</v>
      </c>
      <c r="I49" s="852">
        <v>0</v>
      </c>
      <c r="J49" s="853">
        <v>32</v>
      </c>
      <c r="K49" s="848">
        <v>32</v>
      </c>
      <c r="L49" s="852">
        <v>0</v>
      </c>
    </row>
    <row r="50" spans="1:12">
      <c r="A50" s="848" t="s">
        <v>3474</v>
      </c>
      <c r="B50" s="854" t="s">
        <v>3475</v>
      </c>
      <c r="C50" s="850">
        <v>46103</v>
      </c>
      <c r="D50" s="851">
        <v>46106</v>
      </c>
      <c r="E50" s="851">
        <v>46103</v>
      </c>
      <c r="F50" s="851">
        <v>46106</v>
      </c>
      <c r="G50" s="711">
        <v>3</v>
      </c>
      <c r="H50" s="711">
        <v>3</v>
      </c>
      <c r="I50" s="852">
        <v>0</v>
      </c>
      <c r="J50" s="853">
        <v>9</v>
      </c>
      <c r="K50" s="848">
        <v>9</v>
      </c>
      <c r="L50" s="852">
        <v>0</v>
      </c>
    </row>
    <row r="51" spans="1:12">
      <c r="A51" s="848" t="s">
        <v>3476</v>
      </c>
      <c r="B51" s="854" t="s">
        <v>3477</v>
      </c>
      <c r="C51" s="850">
        <v>46103</v>
      </c>
      <c r="D51" s="851">
        <v>46106</v>
      </c>
      <c r="E51" s="851">
        <v>46103</v>
      </c>
      <c r="F51" s="851">
        <v>46107</v>
      </c>
      <c r="G51" s="711">
        <v>4</v>
      </c>
      <c r="H51" s="711">
        <v>4</v>
      </c>
      <c r="I51" s="852">
        <v>0</v>
      </c>
      <c r="J51" s="853">
        <v>12</v>
      </c>
      <c r="K51" s="848">
        <v>16</v>
      </c>
      <c r="L51" s="852">
        <v>-4</v>
      </c>
    </row>
    <row r="52" spans="1:12">
      <c r="A52" s="848" t="s">
        <v>3478</v>
      </c>
      <c r="B52" s="854" t="s">
        <v>3479</v>
      </c>
      <c r="C52" s="850">
        <v>46103</v>
      </c>
      <c r="D52" s="851">
        <v>46107</v>
      </c>
      <c r="E52" s="851">
        <v>46103</v>
      </c>
      <c r="F52" s="851">
        <v>46107</v>
      </c>
      <c r="G52" s="711">
        <v>4</v>
      </c>
      <c r="H52" s="711">
        <v>4</v>
      </c>
      <c r="I52" s="852">
        <v>0</v>
      </c>
      <c r="J52" s="853">
        <v>16</v>
      </c>
      <c r="K52" s="848">
        <v>16</v>
      </c>
      <c r="L52" s="852">
        <v>0</v>
      </c>
    </row>
    <row r="53" spans="1:12">
      <c r="A53" s="848" t="s">
        <v>3480</v>
      </c>
      <c r="B53" s="854" t="s">
        <v>3481</v>
      </c>
      <c r="C53" s="850">
        <v>46108</v>
      </c>
      <c r="D53" s="851">
        <v>46111</v>
      </c>
      <c r="E53" s="851">
        <v>46108</v>
      </c>
      <c r="F53" s="851">
        <v>46111</v>
      </c>
      <c r="G53" s="711">
        <v>4</v>
      </c>
      <c r="H53" s="711">
        <v>4</v>
      </c>
      <c r="I53" s="852">
        <v>0</v>
      </c>
      <c r="J53" s="853">
        <v>12</v>
      </c>
      <c r="K53" s="848">
        <v>12</v>
      </c>
      <c r="L53" s="852">
        <v>0</v>
      </c>
    </row>
    <row r="54" spans="1:12">
      <c r="A54" s="848" t="s">
        <v>3482</v>
      </c>
      <c r="B54" s="854" t="s">
        <v>3483</v>
      </c>
      <c r="C54" s="850">
        <v>46108</v>
      </c>
      <c r="D54" s="851">
        <v>46111</v>
      </c>
      <c r="E54" s="851">
        <v>46108</v>
      </c>
      <c r="F54" s="851">
        <v>46111</v>
      </c>
      <c r="G54" s="711">
        <v>6</v>
      </c>
      <c r="H54" s="711">
        <v>6</v>
      </c>
      <c r="I54" s="852">
        <v>0</v>
      </c>
      <c r="J54" s="853">
        <v>18</v>
      </c>
      <c r="K54" s="848">
        <v>18</v>
      </c>
      <c r="L54" s="852">
        <v>0</v>
      </c>
    </row>
    <row r="55" spans="1:12">
      <c r="A55" s="848" t="s">
        <v>3484</v>
      </c>
      <c r="B55" s="854" t="s">
        <v>3485</v>
      </c>
      <c r="C55" s="850">
        <v>46108</v>
      </c>
      <c r="D55" s="851">
        <v>46111</v>
      </c>
      <c r="E55" s="851">
        <v>46108</v>
      </c>
      <c r="F55" s="851">
        <v>46111</v>
      </c>
      <c r="G55" s="711">
        <v>2</v>
      </c>
      <c r="H55" s="711">
        <v>2</v>
      </c>
      <c r="I55" s="852">
        <v>0</v>
      </c>
      <c r="J55" s="853">
        <v>6</v>
      </c>
      <c r="K55" s="848">
        <v>6</v>
      </c>
      <c r="L55" s="852">
        <v>0</v>
      </c>
    </row>
    <row r="56" spans="1:12">
      <c r="A56" s="848" t="s">
        <v>6888</v>
      </c>
      <c r="B56" s="854" t="s">
        <v>6889</v>
      </c>
      <c r="C56" s="850">
        <v>46108</v>
      </c>
      <c r="D56" s="851">
        <v>46113</v>
      </c>
      <c r="E56" s="851">
        <v>46108</v>
      </c>
      <c r="F56" s="851">
        <v>46113</v>
      </c>
      <c r="G56" s="711">
        <v>2</v>
      </c>
      <c r="H56" s="711">
        <v>2</v>
      </c>
      <c r="I56" s="852">
        <v>0</v>
      </c>
      <c r="J56" s="853">
        <v>8</v>
      </c>
      <c r="K56" s="848">
        <v>8</v>
      </c>
      <c r="L56" s="852">
        <v>0</v>
      </c>
    </row>
    <row r="57" spans="1:12">
      <c r="A57" s="848" t="s">
        <v>6890</v>
      </c>
      <c r="B57" s="854" t="s">
        <v>6891</v>
      </c>
      <c r="C57" s="850">
        <v>46111</v>
      </c>
      <c r="D57" s="851">
        <v>46114</v>
      </c>
      <c r="E57" s="851">
        <v>46111</v>
      </c>
      <c r="F57" s="851">
        <v>46114</v>
      </c>
      <c r="G57" s="711">
        <v>2</v>
      </c>
      <c r="H57" s="711">
        <v>2</v>
      </c>
      <c r="I57" s="852">
        <v>0</v>
      </c>
      <c r="J57" s="853">
        <v>6</v>
      </c>
      <c r="K57" s="848">
        <v>6</v>
      </c>
      <c r="L57" s="852">
        <v>0</v>
      </c>
    </row>
    <row r="58" spans="1:12">
      <c r="A58" s="848" t="s">
        <v>6892</v>
      </c>
      <c r="B58" s="854" t="s">
        <v>6893</v>
      </c>
      <c r="C58" s="850">
        <v>46113</v>
      </c>
      <c r="D58" s="851">
        <v>46116</v>
      </c>
      <c r="E58" s="851">
        <v>46113</v>
      </c>
      <c r="F58" s="851">
        <v>46116</v>
      </c>
      <c r="G58" s="711">
        <v>4</v>
      </c>
      <c r="H58" s="711">
        <v>4</v>
      </c>
      <c r="I58" s="852">
        <v>0</v>
      </c>
      <c r="J58" s="853">
        <v>12</v>
      </c>
      <c r="K58" s="848">
        <v>12</v>
      </c>
      <c r="L58" s="852">
        <v>0</v>
      </c>
    </row>
    <row r="59" spans="1:12">
      <c r="A59" s="848" t="s">
        <v>6894</v>
      </c>
      <c r="B59" s="854" t="s">
        <v>6895</v>
      </c>
      <c r="C59" s="850">
        <v>46113</v>
      </c>
      <c r="D59" s="851">
        <v>46116</v>
      </c>
      <c r="E59" s="851">
        <v>46113</v>
      </c>
      <c r="F59" s="851">
        <v>46116</v>
      </c>
      <c r="G59" s="711">
        <v>4</v>
      </c>
      <c r="H59" s="711">
        <v>4</v>
      </c>
      <c r="I59" s="852">
        <v>0</v>
      </c>
      <c r="J59" s="853">
        <v>12</v>
      </c>
      <c r="K59" s="848">
        <v>12</v>
      </c>
      <c r="L59" s="852">
        <v>0</v>
      </c>
    </row>
    <row r="60" spans="1:12">
      <c r="A60" s="848" t="s">
        <v>6896</v>
      </c>
      <c r="B60" s="854" t="s">
        <v>6897</v>
      </c>
      <c r="C60" s="850">
        <v>46118</v>
      </c>
      <c r="D60" s="851">
        <v>46122</v>
      </c>
      <c r="E60" s="851">
        <v>46118</v>
      </c>
      <c r="F60" s="851">
        <v>46122</v>
      </c>
      <c r="G60" s="711">
        <v>4</v>
      </c>
      <c r="H60" s="711">
        <v>4</v>
      </c>
      <c r="I60" s="852">
        <v>0</v>
      </c>
      <c r="J60" s="853">
        <v>16</v>
      </c>
      <c r="K60" s="848">
        <v>16</v>
      </c>
      <c r="L60" s="852">
        <v>0</v>
      </c>
    </row>
    <row r="61" spans="1:12">
      <c r="A61" s="848" t="s">
        <v>6898</v>
      </c>
      <c r="B61" s="854" t="s">
        <v>6899</v>
      </c>
      <c r="C61" s="850">
        <v>46123</v>
      </c>
      <c r="D61" s="851">
        <v>46127</v>
      </c>
      <c r="E61" s="851">
        <v>46123</v>
      </c>
      <c r="F61" s="851">
        <v>46127</v>
      </c>
      <c r="G61" s="711">
        <v>4</v>
      </c>
      <c r="H61" s="711">
        <v>4</v>
      </c>
      <c r="I61" s="852">
        <v>0</v>
      </c>
      <c r="J61" s="853">
        <v>16</v>
      </c>
      <c r="K61" s="848">
        <v>16</v>
      </c>
      <c r="L61" s="852">
        <v>0</v>
      </c>
    </row>
    <row r="62" spans="1:12">
      <c r="A62" s="848" t="s">
        <v>6900</v>
      </c>
      <c r="B62" s="854" t="s">
        <v>6901</v>
      </c>
      <c r="C62" s="850">
        <v>46124</v>
      </c>
      <c r="D62" s="851">
        <v>46127</v>
      </c>
      <c r="E62" s="851">
        <v>46124</v>
      </c>
      <c r="F62" s="851">
        <v>46127</v>
      </c>
      <c r="G62" s="711">
        <v>6</v>
      </c>
      <c r="H62" s="711">
        <v>6</v>
      </c>
      <c r="I62" s="852">
        <v>0</v>
      </c>
      <c r="J62" s="853">
        <v>18</v>
      </c>
      <c r="K62" s="848">
        <v>18</v>
      </c>
      <c r="L62" s="852">
        <v>0</v>
      </c>
    </row>
    <row r="63" spans="1:12">
      <c r="A63" s="848" t="s">
        <v>6902</v>
      </c>
      <c r="B63" s="854" t="s">
        <v>6903</v>
      </c>
      <c r="C63" s="850">
        <v>46128</v>
      </c>
      <c r="D63" s="851">
        <v>46130</v>
      </c>
      <c r="E63" s="851">
        <v>46128</v>
      </c>
      <c r="F63" s="851">
        <v>46132</v>
      </c>
      <c r="G63" s="711">
        <v>4</v>
      </c>
      <c r="H63" s="711">
        <v>4</v>
      </c>
      <c r="I63" s="852">
        <v>0</v>
      </c>
      <c r="J63" s="853">
        <v>12</v>
      </c>
      <c r="K63" s="848">
        <v>16</v>
      </c>
      <c r="L63" s="852">
        <v>-4</v>
      </c>
    </row>
    <row r="64" spans="1:12">
      <c r="A64" s="848" t="s">
        <v>6904</v>
      </c>
      <c r="B64" s="854" t="s">
        <v>6905</v>
      </c>
      <c r="C64" s="850">
        <v>46128</v>
      </c>
      <c r="D64" s="851">
        <v>46132</v>
      </c>
      <c r="E64" s="851">
        <v>46128</v>
      </c>
      <c r="F64" s="851">
        <v>46132</v>
      </c>
      <c r="G64" s="711">
        <v>7</v>
      </c>
      <c r="H64" s="711">
        <v>7</v>
      </c>
      <c r="I64" s="852">
        <v>0</v>
      </c>
      <c r="J64" s="853">
        <v>28</v>
      </c>
      <c r="K64" s="848">
        <v>28</v>
      </c>
      <c r="L64" s="852">
        <v>0</v>
      </c>
    </row>
    <row r="65" spans="1:12">
      <c r="A65" s="848" t="s">
        <v>6906</v>
      </c>
      <c r="B65" s="854" t="s">
        <v>6907</v>
      </c>
      <c r="C65" s="850">
        <v>46133</v>
      </c>
      <c r="D65" s="851">
        <v>46136</v>
      </c>
      <c r="E65" s="851">
        <v>46133</v>
      </c>
      <c r="F65" s="851">
        <v>46136</v>
      </c>
      <c r="G65" s="711">
        <v>4</v>
      </c>
      <c r="H65" s="711">
        <v>4</v>
      </c>
      <c r="I65" s="852">
        <v>0</v>
      </c>
      <c r="J65" s="853">
        <v>12</v>
      </c>
      <c r="K65" s="848">
        <v>12</v>
      </c>
      <c r="L65" s="852">
        <v>0</v>
      </c>
    </row>
    <row r="66" spans="1:12">
      <c r="A66" s="848" t="s">
        <v>6908</v>
      </c>
      <c r="B66" s="854" t="s">
        <v>6909</v>
      </c>
      <c r="C66" s="850">
        <v>46133</v>
      </c>
      <c r="D66" s="851">
        <v>46137</v>
      </c>
      <c r="E66" s="851">
        <v>46133</v>
      </c>
      <c r="F66" s="851">
        <v>46137</v>
      </c>
      <c r="G66" s="711">
        <v>5</v>
      </c>
      <c r="H66" s="711">
        <v>5</v>
      </c>
      <c r="I66" s="852">
        <v>0</v>
      </c>
      <c r="J66" s="853">
        <v>20</v>
      </c>
      <c r="K66" s="848">
        <v>20</v>
      </c>
      <c r="L66" s="852">
        <v>0</v>
      </c>
    </row>
    <row r="67" spans="1:12">
      <c r="A67" s="848" t="s">
        <v>6910</v>
      </c>
      <c r="B67" s="854" t="s">
        <v>6911</v>
      </c>
      <c r="C67" s="850">
        <v>46138</v>
      </c>
      <c r="D67" s="851">
        <v>46142</v>
      </c>
      <c r="E67" s="851">
        <v>46138</v>
      </c>
      <c r="F67" s="851">
        <v>46142</v>
      </c>
      <c r="G67" s="711">
        <v>9</v>
      </c>
      <c r="H67" s="711">
        <v>10</v>
      </c>
      <c r="I67" s="852">
        <v>1</v>
      </c>
      <c r="J67" s="853">
        <v>36</v>
      </c>
      <c r="K67" s="848">
        <v>40</v>
      </c>
      <c r="L67" s="852">
        <v>-4</v>
      </c>
    </row>
    <row r="68" spans="1:12">
      <c r="A68" s="848" t="s">
        <v>8395</v>
      </c>
      <c r="B68" s="854" t="s">
        <v>8396</v>
      </c>
      <c r="C68" s="850">
        <v>46148</v>
      </c>
      <c r="D68" s="851">
        <v>46151</v>
      </c>
      <c r="E68" s="851">
        <v>46148</v>
      </c>
      <c r="F68" s="851">
        <v>46151</v>
      </c>
      <c r="G68" s="711">
        <v>4</v>
      </c>
      <c r="H68" s="711">
        <v>4</v>
      </c>
      <c r="I68" s="852">
        <v>0</v>
      </c>
      <c r="J68" s="853">
        <v>12</v>
      </c>
      <c r="K68" s="848">
        <v>12</v>
      </c>
      <c r="L68" s="852">
        <v>0</v>
      </c>
    </row>
    <row r="69" spans="1:12">
      <c r="A69" s="848" t="s">
        <v>8397</v>
      </c>
      <c r="B69" s="854" t="s">
        <v>8398</v>
      </c>
      <c r="C69" s="850">
        <v>46148</v>
      </c>
      <c r="D69" s="851">
        <v>46152</v>
      </c>
      <c r="E69" s="851">
        <v>46148</v>
      </c>
      <c r="F69" s="851">
        <v>46152</v>
      </c>
      <c r="G69" s="711">
        <v>2</v>
      </c>
      <c r="H69" s="711">
        <v>2</v>
      </c>
      <c r="I69" s="852">
        <v>0</v>
      </c>
      <c r="J69" s="853">
        <v>8</v>
      </c>
      <c r="K69" s="848">
        <v>8</v>
      </c>
      <c r="L69" s="852">
        <v>0</v>
      </c>
    </row>
    <row r="70" spans="1:12">
      <c r="A70" s="848" t="s">
        <v>8399</v>
      </c>
      <c r="B70" s="854" t="s">
        <v>8400</v>
      </c>
      <c r="C70" s="850">
        <v>46148</v>
      </c>
      <c r="D70" s="851">
        <v>46152</v>
      </c>
      <c r="E70" s="851">
        <v>46148</v>
      </c>
      <c r="F70" s="851">
        <v>46152</v>
      </c>
      <c r="G70" s="711">
        <v>5</v>
      </c>
      <c r="H70" s="711">
        <v>5</v>
      </c>
      <c r="I70" s="852">
        <v>0</v>
      </c>
      <c r="J70" s="853">
        <v>20</v>
      </c>
      <c r="K70" s="848">
        <v>20</v>
      </c>
      <c r="L70" s="852">
        <v>0</v>
      </c>
    </row>
    <row r="71" spans="1:12">
      <c r="A71" s="848" t="s">
        <v>8401</v>
      </c>
      <c r="B71" s="854" t="s">
        <v>8402</v>
      </c>
      <c r="C71" s="850">
        <v>46153</v>
      </c>
      <c r="D71" s="851">
        <v>46157</v>
      </c>
      <c r="E71" s="851">
        <v>46153</v>
      </c>
      <c r="F71" s="851">
        <v>46157</v>
      </c>
      <c r="G71" s="711">
        <v>4</v>
      </c>
      <c r="H71" s="711">
        <v>4</v>
      </c>
      <c r="I71" s="852">
        <v>0</v>
      </c>
      <c r="J71" s="853">
        <v>16</v>
      </c>
      <c r="K71" s="848">
        <v>16</v>
      </c>
      <c r="L71" s="852">
        <v>0</v>
      </c>
    </row>
    <row r="72" spans="1:12">
      <c r="A72" s="848" t="s">
        <v>8403</v>
      </c>
      <c r="B72" s="854" t="s">
        <v>8404</v>
      </c>
      <c r="C72" s="850">
        <v>46153</v>
      </c>
      <c r="D72" s="851">
        <v>46157</v>
      </c>
      <c r="E72" s="851">
        <v>46153</v>
      </c>
      <c r="F72" s="851">
        <v>46157</v>
      </c>
      <c r="G72" s="711">
        <v>4</v>
      </c>
      <c r="H72" s="711">
        <v>4</v>
      </c>
      <c r="I72" s="852">
        <v>0</v>
      </c>
      <c r="J72" s="853">
        <v>16</v>
      </c>
      <c r="K72" s="848">
        <v>16</v>
      </c>
      <c r="L72" s="852">
        <v>0</v>
      </c>
    </row>
    <row r="73" spans="1:12">
      <c r="A73" s="848" t="s">
        <v>8405</v>
      </c>
      <c r="B73" s="854" t="s">
        <v>8406</v>
      </c>
      <c r="C73" s="850">
        <v>46153</v>
      </c>
      <c r="D73" s="851">
        <v>46157</v>
      </c>
      <c r="E73" s="851">
        <v>46153</v>
      </c>
      <c r="F73" s="851">
        <v>46157</v>
      </c>
      <c r="G73" s="711">
        <v>2</v>
      </c>
      <c r="H73" s="711">
        <v>2</v>
      </c>
      <c r="I73" s="852">
        <v>0</v>
      </c>
      <c r="J73" s="853">
        <v>8</v>
      </c>
      <c r="K73" s="848">
        <v>8</v>
      </c>
      <c r="L73" s="852">
        <v>0</v>
      </c>
    </row>
    <row r="74" spans="1:12">
      <c r="A74" s="848" t="s">
        <v>8407</v>
      </c>
      <c r="B74" s="854" t="s">
        <v>8408</v>
      </c>
      <c r="C74" s="850">
        <v>46153</v>
      </c>
      <c r="D74" s="851">
        <v>46157</v>
      </c>
      <c r="E74" s="851">
        <v>46153</v>
      </c>
      <c r="F74" s="851">
        <v>46157</v>
      </c>
      <c r="G74" s="711">
        <v>1</v>
      </c>
      <c r="H74" s="711">
        <v>1</v>
      </c>
      <c r="I74" s="852">
        <v>0</v>
      </c>
      <c r="J74" s="853">
        <v>4</v>
      </c>
      <c r="K74" s="848">
        <v>4</v>
      </c>
      <c r="L74" s="852">
        <v>0</v>
      </c>
    </row>
    <row r="75" spans="1:12">
      <c r="A75" s="848" t="s">
        <v>8409</v>
      </c>
      <c r="B75" s="854" t="s">
        <v>8410</v>
      </c>
      <c r="C75" s="850">
        <v>46158</v>
      </c>
      <c r="D75" s="851">
        <v>46162</v>
      </c>
      <c r="E75" s="851">
        <v>46158</v>
      </c>
      <c r="F75" s="851">
        <v>46162</v>
      </c>
      <c r="G75" s="711">
        <v>7</v>
      </c>
      <c r="H75" s="711">
        <v>9</v>
      </c>
      <c r="I75" s="852">
        <v>2</v>
      </c>
      <c r="J75" s="853">
        <v>28</v>
      </c>
      <c r="K75" s="848">
        <v>36</v>
      </c>
      <c r="L75" s="852">
        <v>-8</v>
      </c>
    </row>
    <row r="76" spans="1:12">
      <c r="A76" s="848" t="s">
        <v>8411</v>
      </c>
      <c r="B76" s="854" t="s">
        <v>8412</v>
      </c>
      <c r="C76" s="850">
        <v>46163</v>
      </c>
      <c r="D76" s="851">
        <v>46167</v>
      </c>
      <c r="E76" s="851">
        <v>46163</v>
      </c>
      <c r="F76" s="851">
        <v>46167</v>
      </c>
      <c r="G76" s="711">
        <v>2</v>
      </c>
      <c r="H76" s="711">
        <v>2</v>
      </c>
      <c r="I76" s="852">
        <v>0</v>
      </c>
      <c r="J76" s="853">
        <v>8</v>
      </c>
      <c r="K76" s="848">
        <v>8</v>
      </c>
      <c r="L76" s="852">
        <v>0</v>
      </c>
    </row>
    <row r="77" spans="1:12">
      <c r="A77" s="848" t="s">
        <v>8413</v>
      </c>
      <c r="B77" s="854" t="s">
        <v>8414</v>
      </c>
      <c r="C77" s="850">
        <v>46167</v>
      </c>
      <c r="D77" s="851">
        <v>46170</v>
      </c>
      <c r="E77" s="851">
        <v>46167</v>
      </c>
      <c r="F77" s="851">
        <v>46170</v>
      </c>
      <c r="G77" s="711">
        <v>5</v>
      </c>
      <c r="H77" s="711">
        <v>5</v>
      </c>
      <c r="I77" s="852">
        <v>0</v>
      </c>
      <c r="J77" s="853">
        <v>15</v>
      </c>
      <c r="K77" s="848">
        <v>15</v>
      </c>
      <c r="L77" s="852">
        <v>0</v>
      </c>
    </row>
    <row r="78" spans="1:12">
      <c r="A78" s="848" t="s">
        <v>8415</v>
      </c>
      <c r="B78" s="854" t="s">
        <v>8416</v>
      </c>
      <c r="C78" s="850">
        <v>46168</v>
      </c>
      <c r="D78" s="851">
        <v>46173</v>
      </c>
      <c r="E78" s="851">
        <v>46168</v>
      </c>
      <c r="F78" s="851">
        <v>46173</v>
      </c>
      <c r="G78" s="711">
        <v>4</v>
      </c>
      <c r="H78" s="711">
        <v>4</v>
      </c>
      <c r="I78" s="852">
        <v>0</v>
      </c>
      <c r="J78" s="853">
        <v>20</v>
      </c>
      <c r="K78" s="848">
        <v>20</v>
      </c>
      <c r="L78" s="852">
        <v>0</v>
      </c>
    </row>
    <row r="79" spans="1:12">
      <c r="L79" s="712"/>
    </row>
    <row r="80" spans="1:12">
      <c r="A80" s="727" t="s">
        <v>84</v>
      </c>
      <c r="B80" s="727" t="s">
        <v>84</v>
      </c>
      <c r="C80" s="727" t="s">
        <v>84</v>
      </c>
      <c r="D80" s="727" t="s">
        <v>84</v>
      </c>
      <c r="E80" s="727" t="s">
        <v>84</v>
      </c>
      <c r="F80" s="727" t="s">
        <v>84</v>
      </c>
      <c r="G80" s="727" t="s">
        <v>84</v>
      </c>
      <c r="H80" s="727" t="s">
        <v>84</v>
      </c>
      <c r="I80" s="727" t="s">
        <v>84</v>
      </c>
      <c r="J80" s="727" t="s">
        <v>84</v>
      </c>
      <c r="K80" s="727" t="s">
        <v>84</v>
      </c>
      <c r="L80" s="727" t="s">
        <v>84</v>
      </c>
    </row>
  </sheetData>
  <conditionalFormatting sqref="E1:L1">
    <cfRule type="cellIs" dxfId="129" priority="17" operator="notEqual">
      <formula>0</formula>
    </cfRule>
  </conditionalFormatting>
  <conditionalFormatting sqref="L1">
    <cfRule type="cellIs" dxfId="128" priority="21" stopIfTrue="1" operator="equal">
      <formula>"Check"</formula>
    </cfRule>
  </conditionalFormatting>
  <conditionalFormatting sqref="B8">
    <cfRule type="duplicateValues" dxfId="127" priority="8"/>
  </conditionalFormatting>
  <conditionalFormatting sqref="B8:B10">
    <cfRule type="duplicateValues" dxfId="126" priority="7"/>
  </conditionalFormatting>
  <conditionalFormatting sqref="C8:C78">
    <cfRule type="expression" dxfId="125" priority="6">
      <formula>AND(C8&lt;&gt;"",E8&lt;&gt;"",C8&lt;&gt;E8)</formula>
    </cfRule>
  </conditionalFormatting>
  <conditionalFormatting sqref="E8:F78">
    <cfRule type="expression" dxfId="124" priority="5">
      <formula>AND(C8&lt;&gt;"",E8&lt;&gt;"",C8&lt;&gt;E8)</formula>
    </cfRule>
  </conditionalFormatting>
  <conditionalFormatting sqref="D8:D78">
    <cfRule type="expression" dxfId="123" priority="4">
      <formula>AND(D8&lt;&gt;"",F8&lt;&gt;"",D8&lt;&gt;F8)</formula>
    </cfRule>
  </conditionalFormatting>
  <conditionalFormatting sqref="L8:L78 I8:I78">
    <cfRule type="cellIs" dxfId="122" priority="3" operator="notEqual">
      <formula>0</formula>
    </cfRule>
  </conditionalFormatting>
  <conditionalFormatting sqref="B8:B78">
    <cfRule type="duplicateValues" dxfId="121" priority="53"/>
  </conditionalFormatting>
  <dataValidations count="2">
    <dataValidation type="list" allowBlank="1" showInputMessage="1" showErrorMessage="1" errorTitle="seleccione valor de lista" sqref="A4">
      <formula1>T_LODGE</formula1>
    </dataValidation>
    <dataValidation type="list" allowBlank="1" showInputMessage="1" showErrorMessage="1" sqref="B4">
      <formula1>T_TABLAS_TEMPORADAS</formula1>
    </dataValidation>
  </dataValidations>
  <pageMargins left="0.7" right="0.7" top="0.75" bottom="0.75" header="0.3" footer="0.3"/>
  <pageSetup orientation="portrait" horizontalDpi="4294967295" verticalDpi="4294967295" r:id="rId1"/>
</worksheet>
</file>

<file path=xl/worksheets/sheet25.xml><?xml version="1.0" encoding="utf-8"?>
<worksheet xmlns="http://schemas.openxmlformats.org/spreadsheetml/2006/main" xmlns:r="http://schemas.openxmlformats.org/officeDocument/2006/relationships">
  <dimension ref="A1:L19"/>
  <sheetViews>
    <sheetView workbookViewId="0">
      <pane xSplit="6" ySplit="3" topLeftCell="G4" activePane="bottomRight" state="frozen"/>
      <selection pane="topRight" activeCell="G1" sqref="G1"/>
      <selection pane="bottomLeft" activeCell="A4" sqref="A4"/>
      <selection pane="bottomRight" activeCell="A8" sqref="A8"/>
    </sheetView>
  </sheetViews>
  <sheetFormatPr baseColWidth="10" defaultRowHeight="12.5"/>
  <cols>
    <col min="1" max="1" width="16.81640625" bestFit="1" customWidth="1"/>
    <col min="2" max="2" width="8.36328125" bestFit="1" customWidth="1"/>
    <col min="3" max="3" width="12.54296875" bestFit="1" customWidth="1"/>
    <col min="4" max="4" width="9.90625" bestFit="1" customWidth="1"/>
    <col min="5" max="5" width="7.90625" bestFit="1" customWidth="1"/>
    <col min="6" max="6" width="9.36328125" bestFit="1" customWidth="1"/>
    <col min="7" max="9" width="7.26953125" bestFit="1" customWidth="1"/>
    <col min="10" max="10" width="9.26953125" bestFit="1" customWidth="1"/>
    <col min="11" max="12" width="7.26953125" bestFit="1" customWidth="1"/>
  </cols>
  <sheetData>
    <row r="1" spans="1:12" ht="13" thickBot="1"/>
    <row r="2" spans="1:12" ht="26.5" thickBot="1">
      <c r="A2" s="705" t="s">
        <v>766</v>
      </c>
      <c r="B2" s="705" t="s">
        <v>2775</v>
      </c>
      <c r="C2" s="856"/>
      <c r="D2" s="857"/>
      <c r="E2" s="857"/>
      <c r="F2" s="857"/>
      <c r="G2" s="855" t="s">
        <v>2776</v>
      </c>
      <c r="H2" s="855" t="s">
        <v>2777</v>
      </c>
      <c r="I2" s="855" t="s">
        <v>2778</v>
      </c>
      <c r="J2" s="855" t="s">
        <v>2779</v>
      </c>
      <c r="K2" s="855" t="s">
        <v>2780</v>
      </c>
      <c r="L2" s="855" t="s">
        <v>2781</v>
      </c>
    </row>
    <row r="3" spans="1:12" ht="13">
      <c r="A3" s="858"/>
      <c r="B3" s="859"/>
      <c r="C3" s="860"/>
      <c r="D3" s="861" t="s">
        <v>83</v>
      </c>
      <c r="E3" s="862"/>
      <c r="F3" s="862"/>
      <c r="G3" s="862">
        <f>SUM(G7:G19)</f>
        <v>40</v>
      </c>
      <c r="H3" s="862">
        <f t="shared" ref="H3:L3" si="0">SUM(H7:H19)</f>
        <v>43</v>
      </c>
      <c r="I3" s="862">
        <f t="shared" si="0"/>
        <v>4</v>
      </c>
      <c r="J3" s="862">
        <f t="shared" si="0"/>
        <v>150</v>
      </c>
      <c r="K3" s="862">
        <f t="shared" si="0"/>
        <v>163</v>
      </c>
      <c r="L3" s="862">
        <f t="shared" si="0"/>
        <v>-17</v>
      </c>
    </row>
    <row r="4" spans="1:12" ht="13.5" thickBot="1">
      <c r="A4" s="859"/>
      <c r="B4" s="859"/>
      <c r="C4" s="863"/>
      <c r="D4" s="861"/>
      <c r="E4" s="861"/>
      <c r="F4" s="861"/>
      <c r="G4" s="861"/>
      <c r="H4" s="861"/>
      <c r="I4" s="861"/>
      <c r="J4" s="861"/>
      <c r="K4" s="861"/>
      <c r="L4" s="861"/>
    </row>
    <row r="5" spans="1:12" ht="13.5" thickBot="1">
      <c r="A5" s="864" t="s">
        <v>2782</v>
      </c>
      <c r="B5" s="865">
        <v>46167</v>
      </c>
      <c r="C5" s="863"/>
      <c r="D5" s="861"/>
      <c r="E5" s="861"/>
      <c r="F5" s="861"/>
      <c r="G5" s="861"/>
      <c r="H5" s="861"/>
      <c r="I5" s="861"/>
      <c r="J5" s="861"/>
      <c r="K5" s="861"/>
      <c r="L5" s="861"/>
    </row>
    <row r="6" spans="1:12" ht="13.5" thickBot="1">
      <c r="A6" s="864" t="s">
        <v>2783</v>
      </c>
      <c r="B6" s="865">
        <v>46164</v>
      </c>
      <c r="C6" s="863"/>
      <c r="D6" s="861"/>
      <c r="E6" s="861"/>
      <c r="F6" s="861"/>
      <c r="G6" s="861"/>
      <c r="H6" s="861"/>
      <c r="I6" s="861"/>
      <c r="J6" s="861"/>
      <c r="K6" s="861"/>
      <c r="L6" s="861"/>
    </row>
    <row r="7" spans="1:12" ht="39.5" thickBot="1">
      <c r="A7" s="855" t="s">
        <v>2784</v>
      </c>
      <c r="B7" s="855" t="s">
        <v>2785</v>
      </c>
      <c r="C7" s="855" t="s">
        <v>8417</v>
      </c>
      <c r="D7" s="855" t="s">
        <v>8418</v>
      </c>
      <c r="E7" s="855" t="s">
        <v>8419</v>
      </c>
      <c r="F7" s="855" t="s">
        <v>8420</v>
      </c>
      <c r="G7" s="855" t="s">
        <v>2776</v>
      </c>
      <c r="H7" s="855" t="s">
        <v>2777</v>
      </c>
      <c r="I7" s="855" t="s">
        <v>2778</v>
      </c>
      <c r="J7" s="855" t="s">
        <v>2779</v>
      </c>
      <c r="K7" s="855" t="s">
        <v>2786</v>
      </c>
      <c r="L7" s="855" t="s">
        <v>2787</v>
      </c>
    </row>
    <row r="8" spans="1:12" ht="13">
      <c r="A8" s="848" t="s">
        <v>8421</v>
      </c>
      <c r="B8" s="854" t="s">
        <v>8422</v>
      </c>
      <c r="C8" s="850">
        <v>46144</v>
      </c>
      <c r="D8" s="851">
        <v>46147</v>
      </c>
      <c r="E8" s="851">
        <v>46144</v>
      </c>
      <c r="F8" s="851">
        <v>46147</v>
      </c>
      <c r="G8" s="711">
        <v>4</v>
      </c>
      <c r="H8" s="711">
        <v>4</v>
      </c>
      <c r="I8" s="852">
        <v>0</v>
      </c>
      <c r="J8" s="853">
        <v>12</v>
      </c>
      <c r="K8" s="848">
        <v>12</v>
      </c>
      <c r="L8" s="852">
        <v>0</v>
      </c>
    </row>
    <row r="9" spans="1:12" ht="13">
      <c r="A9" s="848" t="s">
        <v>8423</v>
      </c>
      <c r="B9" s="854" t="s">
        <v>8424</v>
      </c>
      <c r="C9" s="850">
        <v>46143</v>
      </c>
      <c r="D9" s="851">
        <v>46148</v>
      </c>
      <c r="E9" s="851">
        <v>46143</v>
      </c>
      <c r="F9" s="851">
        <v>46148</v>
      </c>
      <c r="G9" s="711">
        <v>2</v>
      </c>
      <c r="H9" s="711">
        <v>2</v>
      </c>
      <c r="I9" s="852">
        <v>0</v>
      </c>
      <c r="J9" s="853">
        <v>10</v>
      </c>
      <c r="K9" s="848">
        <v>10</v>
      </c>
      <c r="L9" s="852">
        <v>0</v>
      </c>
    </row>
    <row r="10" spans="1:12" ht="13">
      <c r="A10" s="848" t="s">
        <v>8425</v>
      </c>
      <c r="B10" s="854" t="s">
        <v>8426</v>
      </c>
      <c r="C10" s="850">
        <v>46148</v>
      </c>
      <c r="D10" s="851">
        <v>46152</v>
      </c>
      <c r="E10" s="851">
        <v>46148</v>
      </c>
      <c r="F10" s="851">
        <v>46152</v>
      </c>
      <c r="G10" s="711">
        <v>2</v>
      </c>
      <c r="H10" s="711">
        <v>2</v>
      </c>
      <c r="I10" s="852">
        <v>0</v>
      </c>
      <c r="J10" s="853">
        <v>8</v>
      </c>
      <c r="K10" s="848">
        <v>8</v>
      </c>
      <c r="L10" s="852">
        <v>0</v>
      </c>
    </row>
    <row r="11" spans="1:12" ht="13">
      <c r="A11" s="848" t="s">
        <v>8427</v>
      </c>
      <c r="B11" s="854" t="s">
        <v>8428</v>
      </c>
      <c r="C11" s="850">
        <v>46148</v>
      </c>
      <c r="D11" s="851">
        <v>46152</v>
      </c>
      <c r="E11" s="851">
        <v>46148</v>
      </c>
      <c r="F11" s="851">
        <v>46152</v>
      </c>
      <c r="G11" s="711">
        <v>2</v>
      </c>
      <c r="H11" s="711">
        <v>2</v>
      </c>
      <c r="I11" s="852">
        <v>0</v>
      </c>
      <c r="J11" s="853">
        <v>8</v>
      </c>
      <c r="K11" s="848">
        <v>8</v>
      </c>
      <c r="L11" s="852">
        <v>0</v>
      </c>
    </row>
    <row r="12" spans="1:12" ht="13">
      <c r="A12" s="848" t="s">
        <v>8429</v>
      </c>
      <c r="B12" s="854" t="s">
        <v>8430</v>
      </c>
      <c r="C12" s="850">
        <v>46148</v>
      </c>
      <c r="D12" s="851">
        <v>46152</v>
      </c>
      <c r="E12" s="851">
        <v>46148</v>
      </c>
      <c r="F12" s="851">
        <v>46152</v>
      </c>
      <c r="G12" s="711">
        <v>4</v>
      </c>
      <c r="H12" s="711">
        <v>4</v>
      </c>
      <c r="I12" s="852">
        <v>0</v>
      </c>
      <c r="J12" s="853">
        <v>16</v>
      </c>
      <c r="K12" s="848">
        <v>16</v>
      </c>
      <c r="L12" s="852">
        <v>0</v>
      </c>
    </row>
    <row r="13" spans="1:12" ht="13">
      <c r="A13" s="848" t="s">
        <v>8431</v>
      </c>
      <c r="B13" s="854" t="s">
        <v>8432</v>
      </c>
      <c r="C13" s="850">
        <v>46153</v>
      </c>
      <c r="D13" s="851">
        <v>46157</v>
      </c>
      <c r="E13" s="851">
        <v>46153</v>
      </c>
      <c r="F13" s="851">
        <v>46157</v>
      </c>
      <c r="G13" s="711">
        <v>6</v>
      </c>
      <c r="H13" s="711">
        <v>6</v>
      </c>
      <c r="I13" s="852">
        <v>0</v>
      </c>
      <c r="J13" s="853">
        <v>24</v>
      </c>
      <c r="K13" s="848">
        <v>24</v>
      </c>
      <c r="L13" s="852">
        <v>0</v>
      </c>
    </row>
    <row r="14" spans="1:12" ht="13">
      <c r="A14" s="848" t="s">
        <v>8433</v>
      </c>
      <c r="B14" s="854" t="s">
        <v>8434</v>
      </c>
      <c r="C14" s="850">
        <v>46154</v>
      </c>
      <c r="D14" s="851">
        <v>46158</v>
      </c>
      <c r="E14" s="851">
        <v>46154</v>
      </c>
      <c r="F14" s="851">
        <v>46158</v>
      </c>
      <c r="G14" s="711">
        <v>4</v>
      </c>
      <c r="H14" s="711">
        <v>4</v>
      </c>
      <c r="I14" s="852">
        <v>0</v>
      </c>
      <c r="J14" s="853">
        <v>16</v>
      </c>
      <c r="K14" s="848">
        <v>16</v>
      </c>
      <c r="L14" s="852">
        <v>0</v>
      </c>
    </row>
    <row r="15" spans="1:12" ht="13">
      <c r="A15" s="848" t="s">
        <v>8435</v>
      </c>
      <c r="B15" s="854" t="s">
        <v>8436</v>
      </c>
      <c r="C15" s="850">
        <v>46158</v>
      </c>
      <c r="D15" s="851">
        <v>46161</v>
      </c>
      <c r="E15" s="851">
        <v>46158</v>
      </c>
      <c r="F15" s="851">
        <v>46161</v>
      </c>
      <c r="G15" s="711">
        <v>6</v>
      </c>
      <c r="H15" s="711">
        <v>7</v>
      </c>
      <c r="I15" s="852">
        <v>1</v>
      </c>
      <c r="J15" s="853">
        <v>16</v>
      </c>
      <c r="K15" s="848">
        <v>21</v>
      </c>
      <c r="L15" s="852">
        <v>-5</v>
      </c>
    </row>
    <row r="16" spans="1:12" ht="13">
      <c r="A16" s="848" t="s">
        <v>8530</v>
      </c>
      <c r="B16" s="854" t="s">
        <v>8531</v>
      </c>
      <c r="C16" s="876">
        <v>0</v>
      </c>
      <c r="D16" s="851">
        <v>0</v>
      </c>
      <c r="E16" s="851">
        <v>46162</v>
      </c>
      <c r="F16" s="851">
        <v>46166</v>
      </c>
      <c r="G16" s="711">
        <v>0</v>
      </c>
      <c r="H16" s="711">
        <v>6</v>
      </c>
      <c r="I16" s="852">
        <v>6</v>
      </c>
      <c r="J16" s="853">
        <v>0</v>
      </c>
      <c r="K16" s="848">
        <v>24</v>
      </c>
      <c r="L16" s="852">
        <v>-24</v>
      </c>
    </row>
    <row r="17" spans="1:12" ht="13">
      <c r="A17" s="848" t="s">
        <v>8532</v>
      </c>
      <c r="B17" s="854" t="s">
        <v>8533</v>
      </c>
      <c r="C17" s="850">
        <v>46162</v>
      </c>
      <c r="D17" s="851">
        <v>46170</v>
      </c>
      <c r="E17" s="851">
        <v>46166</v>
      </c>
      <c r="F17" s="851">
        <v>46170</v>
      </c>
      <c r="G17" s="877">
        <v>10</v>
      </c>
      <c r="H17" s="711">
        <v>6</v>
      </c>
      <c r="I17" s="852">
        <v>-3</v>
      </c>
      <c r="J17" s="878">
        <v>40</v>
      </c>
      <c r="K17" s="848">
        <v>24</v>
      </c>
      <c r="L17" s="852">
        <v>12</v>
      </c>
    </row>
    <row r="19" spans="1:12" ht="14.5">
      <c r="A19" s="727" t="s">
        <v>84</v>
      </c>
      <c r="B19" s="727" t="s">
        <v>84</v>
      </c>
      <c r="C19" s="727" t="s">
        <v>84</v>
      </c>
      <c r="D19" s="727" t="s">
        <v>84</v>
      </c>
      <c r="E19" s="727" t="s">
        <v>84</v>
      </c>
      <c r="F19" s="727" t="s">
        <v>84</v>
      </c>
      <c r="G19" s="727" t="s">
        <v>84</v>
      </c>
      <c r="H19" s="727" t="s">
        <v>84</v>
      </c>
      <c r="I19" s="727" t="s">
        <v>84</v>
      </c>
      <c r="J19" s="727" t="s">
        <v>84</v>
      </c>
      <c r="K19" s="727" t="s">
        <v>84</v>
      </c>
      <c r="L19" s="727" t="s">
        <v>84</v>
      </c>
    </row>
  </sheetData>
  <conditionalFormatting sqref="C8:C17">
    <cfRule type="expression" dxfId="120" priority="13">
      <formula>AND(C8&lt;&gt;"",E8&lt;&gt;"",C8&lt;&gt;E8)</formula>
    </cfRule>
  </conditionalFormatting>
  <conditionalFormatting sqref="E8:F17">
    <cfRule type="expression" dxfId="119" priority="12">
      <formula>AND(C8&lt;&gt;"",E8&lt;&gt;"",C8&lt;&gt;E8)</formula>
    </cfRule>
  </conditionalFormatting>
  <conditionalFormatting sqref="D8:D17">
    <cfRule type="expression" dxfId="118" priority="11">
      <formula>AND(D8&lt;&gt;"",F8&lt;&gt;"",D8&lt;&gt;F8)</formula>
    </cfRule>
  </conditionalFormatting>
  <conditionalFormatting sqref="I8:I17 L8:L17">
    <cfRule type="cellIs" dxfId="117" priority="10" operator="notEqual">
      <formula>0</formula>
    </cfRule>
  </conditionalFormatting>
  <conditionalFormatting sqref="B8:B9">
    <cfRule type="duplicateValues" dxfId="116" priority="24"/>
  </conditionalFormatting>
  <conditionalFormatting sqref="B8:B15">
    <cfRule type="duplicateValues" dxfId="115" priority="30"/>
  </conditionalFormatting>
  <conditionalFormatting sqref="B16:B17">
    <cfRule type="duplicateValues" dxfId="114" priority="35"/>
  </conditionalFormatting>
  <pageMargins left="0.7" right="0.7" top="0.75" bottom="0.75" header="0.3" footer="0.3"/>
</worksheet>
</file>

<file path=xl/worksheets/sheet26.xml><?xml version="1.0" encoding="utf-8"?>
<worksheet xmlns="http://schemas.openxmlformats.org/spreadsheetml/2006/main" xmlns:r="http://schemas.openxmlformats.org/officeDocument/2006/relationships">
  <sheetPr codeName="Hoja8">
    <tabColor rgb="FFFFFF00"/>
    <pageSetUpPr fitToPage="1"/>
  </sheetPr>
  <dimension ref="A1:L61"/>
  <sheetViews>
    <sheetView view="pageBreakPreview" zoomScale="70" zoomScaleNormal="70" zoomScaleSheetLayoutView="70" workbookViewId="0">
      <pane xSplit="2" ySplit="10" topLeftCell="C11" activePane="bottomRight" state="frozen"/>
      <selection pane="topRight" activeCell="E1" sqref="E1"/>
      <selection pane="bottomLeft" activeCell="A11" sqref="A11"/>
      <selection pane="bottomRight" activeCell="H60" sqref="H60"/>
    </sheetView>
  </sheetViews>
  <sheetFormatPr baseColWidth="10" defaultColWidth="8.81640625" defaultRowHeight="13"/>
  <cols>
    <col min="1" max="1" width="61.36328125" style="349" bestFit="1" customWidth="1"/>
    <col min="2" max="2" width="4.453125" style="14" bestFit="1" customWidth="1"/>
    <col min="3" max="3" width="14.6328125" style="16" bestFit="1" customWidth="1"/>
    <col min="4" max="4" width="18.36328125" style="16" bestFit="1" customWidth="1"/>
    <col min="5" max="5" width="13.36328125" style="16" bestFit="1" customWidth="1"/>
    <col min="6" max="6" width="16.6328125" style="16" bestFit="1" customWidth="1"/>
    <col min="7" max="7" width="36.453125" style="95" bestFit="1" customWidth="1"/>
    <col min="8" max="8" width="5.81640625" style="16" bestFit="1" customWidth="1"/>
    <col min="9" max="9" width="3.1796875" style="16" customWidth="1"/>
    <col min="10" max="10" width="8.81640625" style="16" bestFit="1" customWidth="1"/>
    <col min="11" max="11" width="8.1796875" style="16" bestFit="1" customWidth="1"/>
    <col min="12" max="12" width="7.81640625" style="16" bestFit="1" customWidth="1"/>
    <col min="13" max="16384" width="8.81640625" style="16"/>
  </cols>
  <sheetData>
    <row r="1" spans="1:12" s="532" customFormat="1" ht="3.5">
      <c r="A1" s="531"/>
      <c r="B1" s="531"/>
      <c r="C1" s="531"/>
      <c r="D1" s="531"/>
      <c r="E1" s="531"/>
      <c r="F1" s="531"/>
      <c r="G1" s="531"/>
      <c r="H1" s="531"/>
    </row>
    <row r="2" spans="1:12" ht="23">
      <c r="A2" s="533" t="s">
        <v>436</v>
      </c>
    </row>
    <row r="3" spans="1:12" ht="23">
      <c r="A3" s="535" t="s">
        <v>381</v>
      </c>
      <c r="B3" s="533"/>
      <c r="C3" s="20" t="str">
        <f>IF(ROUND(C61,2)=0,"ok","Check")</f>
        <v>Check</v>
      </c>
      <c r="D3" s="20"/>
      <c r="E3" s="20" t="str">
        <f ca="1">IF(ROUND(E61,2)=0,"ok","Check")</f>
        <v>ok</v>
      </c>
      <c r="F3" s="20"/>
      <c r="G3" s="655"/>
      <c r="H3" s="20"/>
    </row>
    <row r="4" spans="1:12" s="49" customFormat="1" ht="4.5" thickBot="1">
      <c r="A4" s="536"/>
      <c r="B4" s="88"/>
      <c r="G4" s="98"/>
    </row>
    <row r="5" spans="1:12" s="26" customFormat="1" ht="35.5" customHeight="1" thickBot="1">
      <c r="A5" s="537" t="s">
        <v>382</v>
      </c>
      <c r="B5" s="24"/>
      <c r="C5" s="895" t="s">
        <v>766</v>
      </c>
      <c r="D5" s="890"/>
      <c r="E5" s="890"/>
      <c r="F5" s="890"/>
      <c r="G5" s="890"/>
      <c r="H5" s="891"/>
      <c r="J5" s="889" t="s">
        <v>726</v>
      </c>
      <c r="K5" s="890"/>
      <c r="L5" s="891"/>
    </row>
    <row r="6" spans="1:12" ht="16" thickBot="1">
      <c r="A6" s="538"/>
      <c r="B6" s="27"/>
      <c r="C6" s="892" t="s">
        <v>384</v>
      </c>
      <c r="D6" s="893"/>
      <c r="E6" s="893"/>
      <c r="F6" s="893"/>
      <c r="G6" s="893"/>
      <c r="H6" s="894"/>
      <c r="J6" s="892"/>
      <c r="K6" s="893"/>
      <c r="L6" s="894"/>
    </row>
    <row r="7" spans="1:12" ht="39.5" thickBot="1">
      <c r="A7" s="540" t="s">
        <v>386</v>
      </c>
      <c r="B7" s="18"/>
      <c r="C7" s="593" t="s">
        <v>705</v>
      </c>
      <c r="D7" s="32" t="s">
        <v>706</v>
      </c>
      <c r="E7" s="32" t="s">
        <v>707</v>
      </c>
      <c r="F7" s="32" t="s">
        <v>708</v>
      </c>
      <c r="G7" s="594" t="s">
        <v>709</v>
      </c>
      <c r="H7" s="32"/>
      <c r="J7" s="32" t="s">
        <v>705</v>
      </c>
      <c r="K7" s="32" t="s">
        <v>707</v>
      </c>
      <c r="L7" s="32" t="s">
        <v>727</v>
      </c>
    </row>
    <row r="8" spans="1:12">
      <c r="A8" s="541" t="s">
        <v>95</v>
      </c>
      <c r="B8" s="38"/>
      <c r="C8" s="36">
        <f>+'Budget Comparativo'!F8</f>
        <v>400</v>
      </c>
      <c r="D8" s="36">
        <f>+'Budget Comparativo'!G8</f>
        <v>150</v>
      </c>
      <c r="E8" s="665">
        <f>+'Budget Comparativo'!H8</f>
        <v>150</v>
      </c>
      <c r="F8" s="36"/>
      <c r="G8" s="656"/>
      <c r="H8" s="36"/>
      <c r="J8" s="36">
        <f t="shared" ref="J8:K10" si="0">+C8</f>
        <v>400</v>
      </c>
      <c r="K8" s="36">
        <f t="shared" si="0"/>
        <v>150</v>
      </c>
      <c r="L8" s="629">
        <f>+K8/J8</f>
        <v>0.375</v>
      </c>
    </row>
    <row r="9" spans="1:12">
      <c r="A9" s="541" t="s">
        <v>96</v>
      </c>
      <c r="B9" s="38"/>
      <c r="C9" s="36">
        <f>+'Budget Comparativo'!F9</f>
        <v>100</v>
      </c>
      <c r="D9" s="36">
        <f>+'Budget Comparativo'!G9</f>
        <v>40</v>
      </c>
      <c r="E9" s="665">
        <f>+'Budget Comparativo'!H9</f>
        <v>40</v>
      </c>
      <c r="F9" s="36"/>
      <c r="G9" s="656"/>
      <c r="H9" s="36"/>
      <c r="J9" s="36">
        <f t="shared" si="0"/>
        <v>100</v>
      </c>
      <c r="K9" s="36">
        <f t="shared" si="0"/>
        <v>40</v>
      </c>
      <c r="L9" s="629">
        <f>+K9/J9</f>
        <v>0.4</v>
      </c>
    </row>
    <row r="10" spans="1:12" ht="13.5" thickBot="1">
      <c r="A10" s="541" t="s">
        <v>204</v>
      </c>
      <c r="B10" s="38"/>
      <c r="C10" s="36">
        <f>+'Budget Comparativo'!F10</f>
        <v>12</v>
      </c>
      <c r="D10" s="36">
        <f>+'Budget Comparativo'!G10</f>
        <v>9</v>
      </c>
      <c r="E10" s="36">
        <f>+'Budget Comparativo'!H10</f>
        <v>9</v>
      </c>
      <c r="F10" s="36"/>
      <c r="G10" s="656"/>
      <c r="H10" s="629">
        <f>IF(ROUND(E10,0)=0,0,IF(C10=0,0,+E10/C10))</f>
        <v>0.75</v>
      </c>
      <c r="J10" s="36">
        <f t="shared" si="0"/>
        <v>12</v>
      </c>
      <c r="K10" s="36">
        <f t="shared" si="0"/>
        <v>9</v>
      </c>
      <c r="L10" s="629">
        <f>+K10/J10</f>
        <v>0.75</v>
      </c>
    </row>
    <row r="11" spans="1:12" ht="13.5" thickBot="1">
      <c r="A11" s="542" t="s">
        <v>387</v>
      </c>
      <c r="B11" s="41"/>
      <c r="C11" s="32"/>
      <c r="D11" s="32"/>
      <c r="E11" s="32"/>
      <c r="F11" s="32"/>
      <c r="G11" s="32"/>
      <c r="H11" s="32"/>
      <c r="J11" s="32"/>
      <c r="K11" s="32"/>
      <c r="L11" s="32"/>
    </row>
    <row r="12" spans="1:12" s="49" customFormat="1" ht="4">
      <c r="A12" s="543"/>
      <c r="B12" s="544"/>
      <c r="C12" s="545"/>
      <c r="D12" s="545"/>
      <c r="E12" s="545"/>
      <c r="F12" s="545"/>
      <c r="G12" s="657"/>
      <c r="H12" s="545"/>
      <c r="J12" s="545"/>
      <c r="K12" s="545"/>
      <c r="L12" s="545"/>
    </row>
    <row r="13" spans="1:12">
      <c r="A13" s="562" t="s">
        <v>388</v>
      </c>
      <c r="B13" s="563"/>
      <c r="C13" s="71"/>
      <c r="D13" s="71"/>
      <c r="E13" s="71"/>
      <c r="F13" s="71"/>
      <c r="G13" s="658"/>
      <c r="H13" s="71"/>
      <c r="J13" s="71"/>
      <c r="K13" s="71"/>
      <c r="L13" s="71"/>
    </row>
    <row r="14" spans="1:12" s="548" customFormat="1">
      <c r="A14" s="564" t="s">
        <v>158</v>
      </c>
      <c r="B14" s="546"/>
      <c r="C14" s="547">
        <f>+'Budget Comparativo'!F14</f>
        <v>4800</v>
      </c>
      <c r="D14" s="547">
        <f>+'Budget Comparativo'!G14</f>
        <v>1800</v>
      </c>
      <c r="E14" s="547">
        <f ca="1">+'Budget Comparativo'!H14</f>
        <v>1372</v>
      </c>
      <c r="F14" s="547">
        <f ca="1">+E14-D14</f>
        <v>-428</v>
      </c>
      <c r="G14" s="658"/>
      <c r="H14" s="547"/>
      <c r="J14" s="36">
        <f>+C14/$J$8</f>
        <v>12</v>
      </c>
      <c r="K14" s="36">
        <f ca="1">+E14/$K$8</f>
        <v>9.1466666666666665</v>
      </c>
      <c r="L14" s="547">
        <f ca="1">+K14-J14</f>
        <v>-2.8533333333333335</v>
      </c>
    </row>
    <row r="15" spans="1:12" s="548" customFormat="1">
      <c r="A15" s="565" t="s">
        <v>389</v>
      </c>
      <c r="B15" s="546"/>
      <c r="C15" s="547">
        <f>+'Budget Comparativo'!F15</f>
        <v>3000</v>
      </c>
      <c r="D15" s="547">
        <f>+'Budget Comparativo'!G15</f>
        <v>1125</v>
      </c>
      <c r="E15" s="547">
        <f ca="1">+'Budget Comparativo'!H15</f>
        <v>4447.9399999999996</v>
      </c>
      <c r="F15" s="547">
        <f ca="1">+E15-D15</f>
        <v>3322.9399999999996</v>
      </c>
      <c r="G15" s="622" t="s">
        <v>533</v>
      </c>
      <c r="H15" s="547"/>
      <c r="J15" s="36">
        <f>+C15/$J$8</f>
        <v>7.5</v>
      </c>
      <c r="K15" s="36">
        <f ca="1">+E15/$K$8</f>
        <v>29.65293333333333</v>
      </c>
      <c r="L15" s="547">
        <f ca="1">+K15-J15</f>
        <v>22.15293333333333</v>
      </c>
    </row>
    <row r="16" spans="1:12" s="548" customFormat="1">
      <c r="A16" s="549" t="s">
        <v>159</v>
      </c>
      <c r="B16" s="546"/>
      <c r="C16" s="547">
        <f>+'Budget Comparativo'!F16</f>
        <v>44200</v>
      </c>
      <c r="D16" s="547">
        <f>+'Budget Comparativo'!G16</f>
        <v>16575</v>
      </c>
      <c r="E16" s="547">
        <f ca="1">+'Budget Comparativo'!H16</f>
        <v>19500</v>
      </c>
      <c r="F16" s="547">
        <f ca="1">+E16-D16</f>
        <v>2925</v>
      </c>
      <c r="G16" s="648" t="s">
        <v>520</v>
      </c>
      <c r="H16" s="649">
        <f ca="1">IF(ROUND(E16,2)=0,0,(+E16/115)/E8)</f>
        <v>1.1304347826086956</v>
      </c>
      <c r="J16" s="36">
        <f>+C16/$J$8</f>
        <v>110.5</v>
      </c>
      <c r="K16" s="36">
        <f ca="1">+E16/$K$8</f>
        <v>130</v>
      </c>
      <c r="L16" s="547">
        <f ca="1">+K16-J16</f>
        <v>19.5</v>
      </c>
    </row>
    <row r="17" spans="1:12" s="555" customFormat="1" ht="11" thickBot="1">
      <c r="A17" s="552" t="s">
        <v>225</v>
      </c>
      <c r="B17" s="553"/>
      <c r="C17" s="554"/>
      <c r="D17" s="554"/>
      <c r="E17" s="554"/>
      <c r="F17" s="554"/>
      <c r="G17" s="659"/>
      <c r="H17" s="554"/>
      <c r="J17" s="554"/>
      <c r="K17" s="554"/>
      <c r="L17" s="554"/>
    </row>
    <row r="18" spans="1:12" s="559" customFormat="1" ht="14.5" thickBot="1">
      <c r="A18" s="556" t="s">
        <v>390</v>
      </c>
      <c r="B18" s="557"/>
      <c r="C18" s="558">
        <f>SUM(C13:C17)</f>
        <v>52000</v>
      </c>
      <c r="D18" s="558">
        <f>SUM(D13:D17)</f>
        <v>19500</v>
      </c>
      <c r="E18" s="558">
        <f ca="1">SUM(E13:E17)</f>
        <v>25319.94</v>
      </c>
      <c r="F18" s="558">
        <f ca="1">SUM(F13:F17)</f>
        <v>5819.94</v>
      </c>
      <c r="G18" s="660"/>
      <c r="H18" s="558"/>
      <c r="J18" s="558">
        <f>SUM(J14:J17)</f>
        <v>130</v>
      </c>
      <c r="K18" s="558">
        <f ca="1">SUM(K14:K17)</f>
        <v>168.7996</v>
      </c>
      <c r="L18" s="558">
        <f ca="1">SUM(L14:L17)</f>
        <v>38.799599999999998</v>
      </c>
    </row>
    <row r="19" spans="1:12" s="49" customFormat="1" ht="4.5" thickBot="1">
      <c r="A19" s="560"/>
      <c r="B19" s="561"/>
      <c r="C19" s="45"/>
      <c r="D19" s="45"/>
      <c r="E19" s="45"/>
      <c r="F19" s="45"/>
      <c r="G19" s="661"/>
      <c r="H19" s="45"/>
      <c r="J19" s="45"/>
      <c r="K19" s="45"/>
      <c r="L19" s="45"/>
    </row>
    <row r="20" spans="1:12" ht="13.5" thickBot="1">
      <c r="A20" s="542" t="s">
        <v>391</v>
      </c>
      <c r="B20" s="41"/>
      <c r="C20" s="32"/>
      <c r="D20" s="32"/>
      <c r="E20" s="32"/>
      <c r="F20" s="32"/>
      <c r="G20" s="32"/>
      <c r="H20" s="32"/>
      <c r="J20" s="32"/>
      <c r="K20" s="32"/>
      <c r="L20" s="32"/>
    </row>
    <row r="21" spans="1:12" s="49" customFormat="1" ht="4">
      <c r="A21" s="560"/>
      <c r="B21" s="561"/>
      <c r="C21" s="45"/>
      <c r="D21" s="45"/>
      <c r="E21" s="45"/>
      <c r="F21" s="45"/>
      <c r="G21" s="661"/>
      <c r="H21" s="45"/>
      <c r="J21" s="45"/>
      <c r="K21" s="45"/>
      <c r="L21" s="45"/>
    </row>
    <row r="22" spans="1:12">
      <c r="A22" s="562" t="s">
        <v>392</v>
      </c>
      <c r="B22" s="566"/>
      <c r="C22" s="71"/>
      <c r="D22" s="71"/>
      <c r="E22" s="71"/>
      <c r="F22" s="71"/>
      <c r="G22" s="658"/>
      <c r="H22" s="71"/>
      <c r="J22" s="71"/>
      <c r="K22" s="71"/>
      <c r="L22" s="71"/>
    </row>
    <row r="23" spans="1:12" s="572" customFormat="1" ht="16">
      <c r="A23" s="619" t="s">
        <v>393</v>
      </c>
      <c r="B23" s="570"/>
      <c r="C23" s="571">
        <f>+SUM(C24:C26)</f>
        <v>55000</v>
      </c>
      <c r="D23" s="571">
        <f ca="1">+SUM(D24:D26)</f>
        <v>33549.020000000004</v>
      </c>
      <c r="E23" s="571">
        <f ca="1">+SUM(E24:E26)</f>
        <v>33549.020000000004</v>
      </c>
      <c r="F23" s="571">
        <f ca="1">+SUM(F24:F26)</f>
        <v>0</v>
      </c>
      <c r="G23" s="662"/>
      <c r="H23" s="571"/>
      <c r="J23" s="571">
        <f>+SUM(J24:J26)</f>
        <v>137.5</v>
      </c>
      <c r="K23" s="571">
        <f ca="1">+SUM(K24:K26)</f>
        <v>223.66013333333333</v>
      </c>
      <c r="L23" s="571">
        <f ca="1">+SUM(L24:L26)</f>
        <v>-86.160133333333349</v>
      </c>
    </row>
    <row r="24" spans="1:12" s="568" customFormat="1" ht="16">
      <c r="A24" s="573" t="s">
        <v>394</v>
      </c>
      <c r="B24" s="574"/>
      <c r="C24" s="547">
        <f>+'Budget Comparativo'!F24</f>
        <v>30000</v>
      </c>
      <c r="D24" s="547">
        <f ca="1">+'Budget Comparativo'!G24</f>
        <v>15011.900000000001</v>
      </c>
      <c r="E24" s="547">
        <f ca="1">+'Budget Comparativo'!H24</f>
        <v>15011.900000000001</v>
      </c>
      <c r="F24" s="547">
        <f ca="1">+D24-E24</f>
        <v>0</v>
      </c>
      <c r="G24" s="662"/>
      <c r="H24" s="650">
        <f ca="1">IF(ROUND(E24,0)=0,0,IF(C24=0,0,+E24/C24))</f>
        <v>0.50039666666666671</v>
      </c>
      <c r="J24" s="36">
        <f>+C24/$J$8</f>
        <v>75</v>
      </c>
      <c r="K24" s="36">
        <f ca="1">+E24/$K$8</f>
        <v>100.07933333333334</v>
      </c>
      <c r="L24" s="547">
        <f t="shared" ref="L24:L49" ca="1" si="1">+J24-K24</f>
        <v>-25.079333333333338</v>
      </c>
    </row>
    <row r="25" spans="1:12" s="568" customFormat="1">
      <c r="A25" s="573" t="s">
        <v>395</v>
      </c>
      <c r="B25" s="574"/>
      <c r="C25" s="547">
        <f>+'Budget Comparativo'!F25</f>
        <v>20000</v>
      </c>
      <c r="D25" s="547">
        <f ca="1">+'Budget Comparativo'!G25</f>
        <v>14822.220000000001</v>
      </c>
      <c r="E25" s="547">
        <f ca="1">+'Budget Comparativo'!H25</f>
        <v>14822.220000000001</v>
      </c>
      <c r="F25" s="547">
        <f t="shared" ref="F25:F49" ca="1" si="2">+D25-E25</f>
        <v>0</v>
      </c>
      <c r="G25" s="622"/>
      <c r="H25" s="650">
        <f ca="1">IF(ROUND(E25,0)=0,0,+E25/C25)</f>
        <v>0.74111100000000008</v>
      </c>
      <c r="J25" s="36">
        <f>+C25/$J$8</f>
        <v>50</v>
      </c>
      <c r="K25" s="36">
        <f ca="1">+E25/$K$8</f>
        <v>98.814800000000005</v>
      </c>
      <c r="L25" s="547">
        <f t="shared" ca="1" si="1"/>
        <v>-48.814800000000005</v>
      </c>
    </row>
    <row r="26" spans="1:12" s="568" customFormat="1">
      <c r="A26" s="573" t="s">
        <v>396</v>
      </c>
      <c r="B26" s="574"/>
      <c r="C26" s="547">
        <f>+'Budget Comparativo'!F26</f>
        <v>5000</v>
      </c>
      <c r="D26" s="547">
        <f ca="1">+'Budget Comparativo'!G26</f>
        <v>3714.9</v>
      </c>
      <c r="E26" s="547">
        <f ca="1">+'Budget Comparativo'!H26</f>
        <v>3714.9</v>
      </c>
      <c r="F26" s="547">
        <f t="shared" ca="1" si="2"/>
        <v>0</v>
      </c>
      <c r="G26" s="622"/>
      <c r="H26" s="650">
        <f t="shared" ref="H26:H31" ca="1" si="3">IF(ROUND(E26,0)=0,0,IF(C26=0,0,+E26/C26))</f>
        <v>0.74297999999999997</v>
      </c>
      <c r="J26" s="36">
        <f>+C26/$J$8</f>
        <v>12.5</v>
      </c>
      <c r="K26" s="36">
        <f ca="1">+E26/$K$8</f>
        <v>24.766000000000002</v>
      </c>
      <c r="L26" s="547">
        <f t="shared" ca="1" si="1"/>
        <v>-12.266000000000002</v>
      </c>
    </row>
    <row r="27" spans="1:12" s="577" customFormat="1" ht="16">
      <c r="A27" s="618" t="s">
        <v>397</v>
      </c>
      <c r="B27" s="576"/>
      <c r="C27" s="571">
        <f>+SUM(C28:C31)</f>
        <v>122500</v>
      </c>
      <c r="D27" s="571">
        <f ca="1">+SUM(D28:D31)</f>
        <v>58444.351410256415</v>
      </c>
      <c r="E27" s="571">
        <f ca="1">+SUM(E28:E31)</f>
        <v>58482.985769230771</v>
      </c>
      <c r="F27" s="571">
        <f ca="1">+SUM(F28:F31)</f>
        <v>-38.634358974358292</v>
      </c>
      <c r="G27" s="662"/>
      <c r="H27" s="650">
        <f t="shared" ca="1" si="3"/>
        <v>0.47741212872841443</v>
      </c>
      <c r="J27" s="571">
        <f>+SUM(J28:J31)</f>
        <v>306.25</v>
      </c>
      <c r="K27" s="571">
        <f ca="1">+SUM(K28:K31)</f>
        <v>389.88657179487177</v>
      </c>
      <c r="L27" s="571">
        <f ca="1">+SUM(L28:L31)</f>
        <v>-83.636571794871799</v>
      </c>
    </row>
    <row r="28" spans="1:12" s="568" customFormat="1">
      <c r="A28" s="573" t="s">
        <v>398</v>
      </c>
      <c r="B28" s="574"/>
      <c r="C28" s="547">
        <f>+'Budget Comparativo'!F28</f>
        <v>24000</v>
      </c>
      <c r="D28" s="547">
        <f ca="1">+'Budget Comparativo'!G28</f>
        <v>21486.384743589744</v>
      </c>
      <c r="E28" s="547">
        <f ca="1">+'Budget Comparativo'!H28</f>
        <v>21486.384743589744</v>
      </c>
      <c r="F28" s="547">
        <f t="shared" ca="1" si="2"/>
        <v>0</v>
      </c>
      <c r="G28" s="622"/>
      <c r="H28" s="650">
        <f t="shared" ca="1" si="3"/>
        <v>0.89526603098290602</v>
      </c>
      <c r="J28" s="36">
        <f t="shared" ref="J28:J33" si="4">+C28/$J$8</f>
        <v>60</v>
      </c>
      <c r="K28" s="36">
        <f t="shared" ref="K28:K33" ca="1" si="5">+E28/$K$8</f>
        <v>143.24256495726496</v>
      </c>
      <c r="L28" s="547">
        <f t="shared" ca="1" si="1"/>
        <v>-83.24256495726496</v>
      </c>
    </row>
    <row r="29" spans="1:12" s="568" customFormat="1">
      <c r="A29" s="573" t="s">
        <v>399</v>
      </c>
      <c r="B29" s="574"/>
      <c r="C29" s="547">
        <f>+'Budget Comparativo'!F29</f>
        <v>65000</v>
      </c>
      <c r="D29" s="547">
        <f ca="1">+'Budget Comparativo'!G29</f>
        <v>24832.441282051281</v>
      </c>
      <c r="E29" s="547">
        <f ca="1">+'Budget Comparativo'!H29</f>
        <v>24832.441282051281</v>
      </c>
      <c r="F29" s="547">
        <f t="shared" ca="1" si="2"/>
        <v>0</v>
      </c>
      <c r="G29" s="622"/>
      <c r="H29" s="650">
        <f t="shared" ca="1" si="3"/>
        <v>0.3820375581854043</v>
      </c>
      <c r="J29" s="36">
        <f t="shared" si="4"/>
        <v>162.5</v>
      </c>
      <c r="K29" s="36">
        <f t="shared" ca="1" si="5"/>
        <v>165.54960854700855</v>
      </c>
      <c r="L29" s="547">
        <f t="shared" ca="1" si="1"/>
        <v>-3.0496085470085461</v>
      </c>
    </row>
    <row r="30" spans="1:12" s="568" customFormat="1">
      <c r="A30" s="573" t="s">
        <v>400</v>
      </c>
      <c r="B30" s="574"/>
      <c r="C30" s="547">
        <f>+'Budget Comparativo'!F30</f>
        <v>26000</v>
      </c>
      <c r="D30" s="547">
        <f ca="1">+'Budget Comparativo'!G30</f>
        <v>4625.5253846153846</v>
      </c>
      <c r="E30" s="547">
        <f ca="1">+'Budget Comparativo'!H30</f>
        <v>4625.5253846153846</v>
      </c>
      <c r="F30" s="547">
        <f t="shared" ca="1" si="2"/>
        <v>0</v>
      </c>
      <c r="G30" s="622"/>
      <c r="H30" s="650">
        <f t="shared" ca="1" si="3"/>
        <v>0.17790482248520709</v>
      </c>
      <c r="J30" s="36">
        <f t="shared" si="4"/>
        <v>65</v>
      </c>
      <c r="K30" s="36">
        <f t="shared" ca="1" si="5"/>
        <v>30.836835897435897</v>
      </c>
      <c r="L30" s="547">
        <f t="shared" ca="1" si="1"/>
        <v>34.163164102564103</v>
      </c>
    </row>
    <row r="31" spans="1:12" s="568" customFormat="1" ht="78">
      <c r="A31" s="573" t="s">
        <v>401</v>
      </c>
      <c r="B31" s="574"/>
      <c r="C31" s="547">
        <f>+'Budget Comparativo'!F31</f>
        <v>7500</v>
      </c>
      <c r="D31" s="547">
        <f ca="1">+'Budget Comparativo'!G31</f>
        <v>7500</v>
      </c>
      <c r="E31" s="547">
        <f ca="1">+'Budget Comparativo'!H31</f>
        <v>7538.6343589743583</v>
      </c>
      <c r="F31" s="547">
        <f t="shared" ca="1" si="2"/>
        <v>-38.634358974358292</v>
      </c>
      <c r="G31" s="622" t="s">
        <v>746</v>
      </c>
      <c r="H31" s="650">
        <f t="shared" ca="1" si="3"/>
        <v>1.0051512478632478</v>
      </c>
      <c r="J31" s="36">
        <f t="shared" si="4"/>
        <v>18.75</v>
      </c>
      <c r="K31" s="36">
        <f t="shared" ca="1" si="5"/>
        <v>50.257562393162388</v>
      </c>
      <c r="L31" s="547">
        <f t="shared" ca="1" si="1"/>
        <v>-31.507562393162388</v>
      </c>
    </row>
    <row r="32" spans="1:12" s="548" customFormat="1">
      <c r="A32" s="565" t="s">
        <v>402</v>
      </c>
      <c r="B32" s="546"/>
      <c r="C32" s="547">
        <f>+'Budget Comparativo'!F32</f>
        <v>-80000</v>
      </c>
      <c r="D32" s="547">
        <f>+'Budget Comparativo'!G32</f>
        <v>-30000</v>
      </c>
      <c r="E32" s="547">
        <f ca="1">+'Budget Comparativo'!H32</f>
        <v>-39310</v>
      </c>
      <c r="F32" s="547">
        <f t="shared" ca="1" si="2"/>
        <v>9310</v>
      </c>
      <c r="G32" s="622"/>
      <c r="H32" s="547"/>
      <c r="J32" s="36">
        <f t="shared" si="4"/>
        <v>-200</v>
      </c>
      <c r="K32" s="36">
        <f t="shared" ca="1" si="5"/>
        <v>-262.06666666666666</v>
      </c>
      <c r="L32" s="547">
        <f t="shared" ca="1" si="1"/>
        <v>62.066666666666663</v>
      </c>
    </row>
    <row r="33" spans="1:12" s="568" customFormat="1" ht="64.75" customHeight="1">
      <c r="A33" s="550" t="s">
        <v>403</v>
      </c>
      <c r="B33" s="546"/>
      <c r="C33" s="547">
        <f>+'Budget Comparativo'!F33</f>
        <v>40800</v>
      </c>
      <c r="D33" s="547">
        <f>+'Budget Comparativo'!G33</f>
        <v>15300</v>
      </c>
      <c r="E33" s="547">
        <f ca="1">+'Budget Comparativo'!H33</f>
        <v>21257.141025641027</v>
      </c>
      <c r="F33" s="547">
        <f t="shared" ca="1" si="2"/>
        <v>-5957.1410256410272</v>
      </c>
      <c r="G33" s="622" t="s">
        <v>747</v>
      </c>
      <c r="H33" s="547"/>
      <c r="J33" s="36">
        <f t="shared" si="4"/>
        <v>102</v>
      </c>
      <c r="K33" s="36">
        <f t="shared" ca="1" si="5"/>
        <v>141.71427350427351</v>
      </c>
      <c r="L33" s="547">
        <f t="shared" ca="1" si="1"/>
        <v>-39.714273504273507</v>
      </c>
    </row>
    <row r="34" spans="1:12" s="577" customFormat="1" ht="16">
      <c r="A34" s="618" t="s">
        <v>404</v>
      </c>
      <c r="B34" s="576"/>
      <c r="C34" s="571">
        <f>+SUM(C35:C37)</f>
        <v>42500</v>
      </c>
      <c r="D34" s="571">
        <f>+SUM(D35:D37)</f>
        <v>15937.5</v>
      </c>
      <c r="E34" s="571">
        <f ca="1">+SUM(E35:E37)</f>
        <v>28340.079999999998</v>
      </c>
      <c r="F34" s="571">
        <f ca="1">+SUM(F35:F37)</f>
        <v>-12402.579999999996</v>
      </c>
      <c r="G34" s="622"/>
      <c r="H34" s="571"/>
      <c r="J34" s="571">
        <f>+SUM(J35:J37)</f>
        <v>106.25</v>
      </c>
      <c r="K34" s="571">
        <f ca="1">+SUM(K35:K37)</f>
        <v>188.93386666666666</v>
      </c>
      <c r="L34" s="571">
        <f ca="1">+SUM(L35:L37)</f>
        <v>-82.68386666666666</v>
      </c>
    </row>
    <row r="35" spans="1:12" s="17" customFormat="1">
      <c r="A35" s="579" t="s">
        <v>405</v>
      </c>
      <c r="B35" s="580"/>
      <c r="C35" s="547">
        <f>+'Budget Comparativo'!F35</f>
        <v>9000</v>
      </c>
      <c r="D35" s="547">
        <f>+'Budget Comparativo'!G35</f>
        <v>3375</v>
      </c>
      <c r="E35" s="547">
        <f ca="1">+'Budget Comparativo'!H35</f>
        <v>3848.4</v>
      </c>
      <c r="F35" s="547">
        <f t="shared" ca="1" si="2"/>
        <v>-473.40000000000009</v>
      </c>
      <c r="G35" s="622"/>
      <c r="H35" s="547"/>
      <c r="J35" s="36">
        <f t="shared" ref="J35:J41" si="6">+C35/$J$8</f>
        <v>22.5</v>
      </c>
      <c r="K35" s="36">
        <f t="shared" ref="K35:K41" ca="1" si="7">+E35/$K$8</f>
        <v>25.656000000000002</v>
      </c>
      <c r="L35" s="547">
        <f t="shared" ca="1" si="1"/>
        <v>-3.1560000000000024</v>
      </c>
    </row>
    <row r="36" spans="1:12" s="17" customFormat="1" ht="39">
      <c r="A36" s="579" t="s">
        <v>406</v>
      </c>
      <c r="B36" s="580"/>
      <c r="C36" s="547">
        <f>+'Budget Comparativo'!F36</f>
        <v>33000</v>
      </c>
      <c r="D36" s="547">
        <f>+'Budget Comparativo'!G36</f>
        <v>12375</v>
      </c>
      <c r="E36" s="547">
        <f ca="1">+'Budget Comparativo'!H36</f>
        <v>24491.679999999997</v>
      </c>
      <c r="F36" s="547">
        <f t="shared" ca="1" si="2"/>
        <v>-12116.679999999997</v>
      </c>
      <c r="G36" s="622" t="s">
        <v>748</v>
      </c>
      <c r="H36" s="547"/>
      <c r="J36" s="36">
        <f t="shared" si="6"/>
        <v>82.5</v>
      </c>
      <c r="K36" s="36">
        <f t="shared" ca="1" si="7"/>
        <v>163.27786666666665</v>
      </c>
      <c r="L36" s="547">
        <f t="shared" ca="1" si="1"/>
        <v>-80.777866666666654</v>
      </c>
    </row>
    <row r="37" spans="1:12" s="17" customFormat="1">
      <c r="A37" s="579" t="s">
        <v>407</v>
      </c>
      <c r="B37" s="580"/>
      <c r="C37" s="547">
        <f>+'Budget Comparativo'!F37</f>
        <v>500</v>
      </c>
      <c r="D37" s="547">
        <f>+'Budget Comparativo'!G37</f>
        <v>187.5</v>
      </c>
      <c r="E37" s="547">
        <f ca="1">+'Budget Comparativo'!H37</f>
        <v>0</v>
      </c>
      <c r="F37" s="547">
        <f t="shared" ca="1" si="2"/>
        <v>187.5</v>
      </c>
      <c r="G37" s="622"/>
      <c r="H37" s="547"/>
      <c r="J37" s="36">
        <f t="shared" si="6"/>
        <v>1.25</v>
      </c>
      <c r="K37" s="36">
        <f t="shared" ca="1" si="7"/>
        <v>0</v>
      </c>
      <c r="L37" s="547">
        <f t="shared" ca="1" si="1"/>
        <v>1.25</v>
      </c>
    </row>
    <row r="38" spans="1:12" s="568" customFormat="1" ht="26">
      <c r="A38" s="551" t="s">
        <v>408</v>
      </c>
      <c r="B38" s="546"/>
      <c r="C38" s="547">
        <f>+'Budget Comparativo'!F38</f>
        <v>25000</v>
      </c>
      <c r="D38" s="547">
        <f ca="1">+'Budget Comparativo'!G38</f>
        <v>11822.9</v>
      </c>
      <c r="E38" s="547">
        <f ca="1">+'Budget Comparativo'!H38</f>
        <v>11822.9</v>
      </c>
      <c r="F38" s="547">
        <f t="shared" ca="1" si="2"/>
        <v>0</v>
      </c>
      <c r="G38" s="622" t="s">
        <v>749</v>
      </c>
      <c r="H38" s="650">
        <f ca="1">IF(ROUND(E38,0)=0,0,IF(C38=0,0,+E38/C38))</f>
        <v>0.472916</v>
      </c>
      <c r="J38" s="36">
        <f t="shared" si="6"/>
        <v>62.5</v>
      </c>
      <c r="K38" s="36">
        <f t="shared" ca="1" si="7"/>
        <v>78.819333333333333</v>
      </c>
      <c r="L38" s="547">
        <f t="shared" ca="1" si="1"/>
        <v>-16.319333333333333</v>
      </c>
    </row>
    <row r="39" spans="1:12">
      <c r="A39" s="551" t="s">
        <v>409</v>
      </c>
      <c r="B39" s="546"/>
      <c r="C39" s="547">
        <f>+'Budget Comparativo'!F39</f>
        <v>4000</v>
      </c>
      <c r="D39" s="547">
        <f ca="1">+'Budget Comparativo'!G39</f>
        <v>3509.8000000000011</v>
      </c>
      <c r="E39" s="547">
        <f ca="1">+'Budget Comparativo'!H39</f>
        <v>3509.8000000000011</v>
      </c>
      <c r="F39" s="547">
        <f t="shared" ca="1" si="2"/>
        <v>0</v>
      </c>
      <c r="G39" s="622" t="s">
        <v>750</v>
      </c>
      <c r="H39" s="650">
        <f ca="1">IF(ROUND(E39,0)=0,0,IF(C39=0,0,+E39/C39))</f>
        <v>0.87745000000000029</v>
      </c>
      <c r="J39" s="36">
        <f t="shared" si="6"/>
        <v>10</v>
      </c>
      <c r="K39" s="36">
        <f t="shared" ca="1" si="7"/>
        <v>23.398666666666674</v>
      </c>
      <c r="L39" s="547">
        <f t="shared" ca="1" si="1"/>
        <v>-13.398666666666674</v>
      </c>
    </row>
    <row r="40" spans="1:12" s="568" customFormat="1">
      <c r="A40" s="551" t="s">
        <v>410</v>
      </c>
      <c r="B40" s="546"/>
      <c r="C40" s="547">
        <f>+'Budget Comparativo'!F40</f>
        <v>2500</v>
      </c>
      <c r="D40" s="547">
        <f ca="1">+'Budget Comparativo'!G40</f>
        <v>2500</v>
      </c>
      <c r="E40" s="547">
        <f ca="1">+'Budget Comparativo'!H40</f>
        <v>3407.1106120996456</v>
      </c>
      <c r="F40" s="547">
        <f t="shared" ca="1" si="2"/>
        <v>-907.11061209964555</v>
      </c>
      <c r="G40" s="622" t="s">
        <v>382</v>
      </c>
      <c r="H40" s="650">
        <f ca="1">IF(ROUND(E40,0)=0,0,IF(C40=0,0,+E40/C40))</f>
        <v>1.3628442448398581</v>
      </c>
      <c r="J40" s="36">
        <f t="shared" si="6"/>
        <v>6.25</v>
      </c>
      <c r="K40" s="36">
        <f t="shared" ca="1" si="7"/>
        <v>22.714070747330972</v>
      </c>
      <c r="L40" s="547">
        <f t="shared" ca="1" si="1"/>
        <v>-16.464070747330972</v>
      </c>
    </row>
    <row r="41" spans="1:12" s="568" customFormat="1">
      <c r="A41" s="550" t="s">
        <v>411</v>
      </c>
      <c r="B41" s="546"/>
      <c r="C41" s="547">
        <f>+'Budget Comparativo'!F41</f>
        <v>46000</v>
      </c>
      <c r="D41" s="547">
        <f ca="1">+'Budget Comparativo'!G41</f>
        <v>10309.588461538462</v>
      </c>
      <c r="E41" s="547">
        <f ca="1">+'Budget Comparativo'!H41</f>
        <v>10309.588461538462</v>
      </c>
      <c r="F41" s="547">
        <f t="shared" ca="1" si="2"/>
        <v>0</v>
      </c>
      <c r="G41" s="622"/>
      <c r="H41" s="650">
        <f ca="1">IF(ROUND(E41,0)=0,0,IF(C41=0,0,+E41/C41))</f>
        <v>0.22412148829431439</v>
      </c>
      <c r="J41" s="36">
        <f t="shared" si="6"/>
        <v>115</v>
      </c>
      <c r="K41" s="36">
        <f t="shared" ca="1" si="7"/>
        <v>68.730589743589746</v>
      </c>
      <c r="L41" s="547">
        <f t="shared" ca="1" si="1"/>
        <v>46.269410256410254</v>
      </c>
    </row>
    <row r="42" spans="1:12" s="350" customFormat="1" ht="26">
      <c r="A42" s="618" t="s">
        <v>412</v>
      </c>
      <c r="B42" s="581"/>
      <c r="C42" s="571">
        <f>+SUM(C43:C45)</f>
        <v>37000</v>
      </c>
      <c r="D42" s="571">
        <f ca="1">+SUM(D43:D45)</f>
        <v>22893.075897435898</v>
      </c>
      <c r="E42" s="571">
        <f ca="1">+SUM(E43:E45)</f>
        <v>22893.075897435898</v>
      </c>
      <c r="F42" s="571">
        <f ca="1">+SUM(F43:F45)</f>
        <v>0</v>
      </c>
      <c r="G42" s="622" t="s">
        <v>751</v>
      </c>
      <c r="H42" s="571"/>
      <c r="J42" s="571">
        <f>+SUM(J43:J45)</f>
        <v>92.5</v>
      </c>
      <c r="K42" s="571">
        <f ca="1">+SUM(K43:K45)</f>
        <v>152.620505982906</v>
      </c>
      <c r="L42" s="571">
        <f ca="1">+SUM(L43:L45)</f>
        <v>-60.120505982905982</v>
      </c>
    </row>
    <row r="43" spans="1:12" ht="101.25" customHeight="1">
      <c r="A43" s="579" t="s">
        <v>413</v>
      </c>
      <c r="B43" s="74"/>
      <c r="C43" s="547">
        <f>+'Budget Comparativo'!F43</f>
        <v>24000</v>
      </c>
      <c r="D43" s="547">
        <f ca="1">+'Budget Comparativo'!G43</f>
        <v>18766.535897435897</v>
      </c>
      <c r="E43" s="547">
        <f ca="1">+'Budget Comparativo'!H43</f>
        <v>18766.535897435897</v>
      </c>
      <c r="F43" s="547">
        <f t="shared" ca="1" si="2"/>
        <v>0</v>
      </c>
      <c r="G43" s="622"/>
      <c r="H43" s="650">
        <f ca="1">IF(ROUND(E43,0)=0,0,+E43/C43)</f>
        <v>0.78193899572649572</v>
      </c>
      <c r="J43" s="36">
        <f t="shared" ref="J43:J49" si="8">+C43/$J$8</f>
        <v>60</v>
      </c>
      <c r="K43" s="36">
        <f t="shared" ref="K43:K49" ca="1" si="9">+E43/$K$8</f>
        <v>125.11023931623932</v>
      </c>
      <c r="L43" s="547">
        <f t="shared" ca="1" si="1"/>
        <v>-65.110239316239316</v>
      </c>
    </row>
    <row r="44" spans="1:12">
      <c r="A44" s="579" t="s">
        <v>414</v>
      </c>
      <c r="B44" s="74"/>
      <c r="C44" s="547">
        <f>+'Budget Comparativo'!F44</f>
        <v>3000</v>
      </c>
      <c r="D44" s="547">
        <f ca="1">+'Budget Comparativo'!G44</f>
        <v>587.87</v>
      </c>
      <c r="E44" s="547">
        <f ca="1">+'Budget Comparativo'!H44</f>
        <v>587.87</v>
      </c>
      <c r="F44" s="547">
        <f t="shared" ca="1" si="2"/>
        <v>0</v>
      </c>
      <c r="G44" s="622"/>
      <c r="H44" s="650">
        <f ca="1">IF(ROUND(E44,0)=0,0,IF(C44=0,0,+E44/C44))</f>
        <v>0.19595666666666667</v>
      </c>
      <c r="J44" s="36">
        <f t="shared" si="8"/>
        <v>7.5</v>
      </c>
      <c r="K44" s="36">
        <f t="shared" ca="1" si="9"/>
        <v>3.9191333333333334</v>
      </c>
      <c r="L44" s="547">
        <f t="shared" ca="1" si="1"/>
        <v>3.5808666666666666</v>
      </c>
    </row>
    <row r="45" spans="1:12">
      <c r="A45" s="579" t="s">
        <v>415</v>
      </c>
      <c r="B45" s="74"/>
      <c r="C45" s="547">
        <f>+'Budget Comparativo'!F45</f>
        <v>10000</v>
      </c>
      <c r="D45" s="547">
        <f ca="1">+'Budget Comparativo'!G45</f>
        <v>3538.67</v>
      </c>
      <c r="E45" s="547">
        <f ca="1">+'Budget Comparativo'!H45</f>
        <v>3538.67</v>
      </c>
      <c r="F45" s="547">
        <f t="shared" ca="1" si="2"/>
        <v>0</v>
      </c>
      <c r="G45" s="622"/>
      <c r="H45" s="650">
        <f ca="1">IF(ROUND(E45,0)=0,0,IF(C45=0,0,+E45/C45))</f>
        <v>0.35386699999999999</v>
      </c>
      <c r="J45" s="36">
        <f t="shared" si="8"/>
        <v>25</v>
      </c>
      <c r="K45" s="36">
        <f t="shared" ca="1" si="9"/>
        <v>23.591133333333335</v>
      </c>
      <c r="L45" s="547">
        <f t="shared" ca="1" si="1"/>
        <v>1.4088666666666647</v>
      </c>
    </row>
    <row r="46" spans="1:12" s="568" customFormat="1">
      <c r="A46" s="567" t="s">
        <v>416</v>
      </c>
      <c r="B46" s="546"/>
      <c r="C46" s="547">
        <f>+'Budget Comparativo'!F46</f>
        <v>1500</v>
      </c>
      <c r="D46" s="547">
        <f ca="1">+'Budget Comparativo'!G46</f>
        <v>556.79</v>
      </c>
      <c r="E46" s="547">
        <f ca="1">+'Budget Comparativo'!H46</f>
        <v>556.79</v>
      </c>
      <c r="F46" s="547">
        <f t="shared" ca="1" si="2"/>
        <v>0</v>
      </c>
      <c r="G46" s="622"/>
      <c r="H46" s="650">
        <f ca="1">IF(ROUND(E46,0)=0,0,+E46/C46)</f>
        <v>0.37119333333333332</v>
      </c>
      <c r="J46" s="36">
        <f t="shared" si="8"/>
        <v>3.75</v>
      </c>
      <c r="K46" s="36">
        <f t="shared" ca="1" si="9"/>
        <v>3.7119333333333331</v>
      </c>
      <c r="L46" s="547">
        <f t="shared" ca="1" si="1"/>
        <v>3.8066666666666915E-2</v>
      </c>
    </row>
    <row r="47" spans="1:12" s="568" customFormat="1">
      <c r="A47" s="564" t="s">
        <v>417</v>
      </c>
      <c r="B47" s="546"/>
      <c r="C47" s="547">
        <f>+'Budget Comparativo'!F47</f>
        <v>6120</v>
      </c>
      <c r="D47" s="547">
        <f ca="1">+'Budget Comparativo'!G47</f>
        <v>3630</v>
      </c>
      <c r="E47" s="547">
        <f ca="1">+'Budget Comparativo'!H47</f>
        <v>3630</v>
      </c>
      <c r="F47" s="547">
        <f t="shared" ca="1" si="2"/>
        <v>0</v>
      </c>
      <c r="G47" s="622"/>
      <c r="H47" s="650">
        <f ca="1">IF(ROUND(E47,0)=0,0,IF(C47=0,0,+E47/C47))</f>
        <v>0.59313725490196079</v>
      </c>
      <c r="J47" s="36">
        <f t="shared" si="8"/>
        <v>15.3</v>
      </c>
      <c r="K47" s="36">
        <f t="shared" ca="1" si="9"/>
        <v>24.2</v>
      </c>
      <c r="L47" s="547">
        <f t="shared" ca="1" si="1"/>
        <v>-8.8999999999999986</v>
      </c>
    </row>
    <row r="48" spans="1:12" s="568" customFormat="1">
      <c r="A48" s="564" t="s">
        <v>522</v>
      </c>
      <c r="B48" s="546"/>
      <c r="C48" s="547">
        <f>+'Budget Comparativo'!F48</f>
        <v>0</v>
      </c>
      <c r="D48" s="547">
        <f>+'Budget Comparativo'!G48</f>
        <v>0</v>
      </c>
      <c r="E48" s="547">
        <f>+'Budget Comparativo'!H48</f>
        <v>0</v>
      </c>
      <c r="F48" s="547">
        <f t="shared" si="2"/>
        <v>0</v>
      </c>
      <c r="G48" s="622"/>
      <c r="H48" s="650">
        <f>IF(ROUND(E48,0)=0,0,IF(C48=0,0,+E48/C48))</f>
        <v>0</v>
      </c>
      <c r="J48" s="36">
        <f t="shared" si="8"/>
        <v>0</v>
      </c>
      <c r="K48" s="36">
        <f t="shared" si="9"/>
        <v>0</v>
      </c>
      <c r="L48" s="547">
        <f t="shared" si="1"/>
        <v>0</v>
      </c>
    </row>
    <row r="49" spans="1:12" s="568" customFormat="1" ht="26">
      <c r="A49" s="567" t="s">
        <v>419</v>
      </c>
      <c r="B49" s="546"/>
      <c r="C49" s="547">
        <f>+'Budget Comparativo'!F49</f>
        <v>12500</v>
      </c>
      <c r="D49" s="547">
        <f ca="1">+'Budget Comparativo'!G49</f>
        <v>12500</v>
      </c>
      <c r="E49" s="547">
        <f ca="1">+'Budget Comparativo'!H49</f>
        <v>15117.399523679167</v>
      </c>
      <c r="F49" s="547">
        <f t="shared" ca="1" si="2"/>
        <v>-2617.399523679167</v>
      </c>
      <c r="G49" s="622" t="s">
        <v>752</v>
      </c>
      <c r="H49" s="650">
        <f ca="1">IF(ROUND(E49,0)=0,0,IF(C49=0,0,+E49/C49))</f>
        <v>1.2093919618943334</v>
      </c>
      <c r="J49" s="36">
        <f t="shared" si="8"/>
        <v>31.25</v>
      </c>
      <c r="K49" s="36">
        <f t="shared" ca="1" si="9"/>
        <v>100.78266349119444</v>
      </c>
      <c r="L49" s="547">
        <f t="shared" ca="1" si="1"/>
        <v>-69.532663491194441</v>
      </c>
    </row>
    <row r="50" spans="1:12" s="555" customFormat="1" ht="16.5" thickBot="1">
      <c r="A50" s="552" t="s">
        <v>225</v>
      </c>
      <c r="B50" s="553"/>
      <c r="C50" s="554" t="s">
        <v>87</v>
      </c>
      <c r="D50" s="554"/>
      <c r="E50" s="652"/>
      <c r="F50" s="554"/>
      <c r="G50" s="659"/>
      <c r="H50" s="554"/>
      <c r="J50" s="554"/>
      <c r="K50" s="571"/>
      <c r="L50" s="571"/>
    </row>
    <row r="51" spans="1:12" s="568" customFormat="1" ht="13.5" thickBot="1">
      <c r="A51" s="582" t="s">
        <v>420</v>
      </c>
      <c r="B51" s="546"/>
      <c r="C51" s="583">
        <f>SUM(C22:C50)-C23-C34-C27-C42</f>
        <v>315420</v>
      </c>
      <c r="D51" s="583">
        <f ca="1">SUM(D22:D50)-D23-D34-D27-D42</f>
        <v>160953.02576923068</v>
      </c>
      <c r="E51" s="583">
        <f ca="1">SUM(E22:E50)-E23-E34-E27-E42</f>
        <v>173565.89128962485</v>
      </c>
      <c r="F51" s="583">
        <f t="shared" ref="F51:F56" ca="1" si="10">+D51-E51</f>
        <v>-12612.865520394174</v>
      </c>
      <c r="G51" s="663"/>
      <c r="H51" s="583"/>
      <c r="J51" s="583">
        <f>SUM(J22:J50)-J23-J34-J27-J42</f>
        <v>788.55</v>
      </c>
      <c r="K51" s="583">
        <f ca="1">SUM(K22:K50)-K23-K34-K27-K42</f>
        <v>1157.1059419308331</v>
      </c>
      <c r="L51" s="583">
        <f ca="1">SUM(L22:L50)-L23-L34-L27-L42</f>
        <v>-368.55594193083328</v>
      </c>
    </row>
    <row r="52" spans="1:12" s="49" customFormat="1" ht="4">
      <c r="A52" s="560"/>
      <c r="B52" s="561"/>
      <c r="C52" s="45"/>
      <c r="D52" s="45"/>
      <c r="E52" s="45"/>
      <c r="F52" s="45"/>
      <c r="G52" s="661"/>
      <c r="H52" s="45"/>
      <c r="J52" s="45"/>
      <c r="K52" s="45"/>
      <c r="L52" s="45"/>
    </row>
    <row r="53" spans="1:12" s="568" customFormat="1">
      <c r="A53" s="567" t="s">
        <v>443</v>
      </c>
      <c r="B53" s="546"/>
      <c r="C53" s="547">
        <f>+'Budget Comparativo'!F53</f>
        <v>0</v>
      </c>
      <c r="D53" s="547">
        <f ca="1">+'Budget Comparativo'!G53</f>
        <v>0</v>
      </c>
      <c r="E53" s="547">
        <f ca="1">+'Budget Comparativo'!H53</f>
        <v>0</v>
      </c>
      <c r="F53" s="547">
        <f t="shared" ca="1" si="10"/>
        <v>0</v>
      </c>
      <c r="G53" s="622"/>
      <c r="H53" s="650">
        <f ca="1">IF(ROUND(E53,0)=0,0,IF(C53=0,0,+E53/C53))</f>
        <v>0</v>
      </c>
      <c r="J53" s="36">
        <f>+C53/$J$8</f>
        <v>0</v>
      </c>
      <c r="K53" s="36">
        <f ca="1">+E53/$K$8</f>
        <v>0</v>
      </c>
      <c r="L53" s="547">
        <f ca="1">+J53-K53</f>
        <v>0</v>
      </c>
    </row>
    <row r="54" spans="1:12" s="568" customFormat="1">
      <c r="A54" s="567" t="s">
        <v>432</v>
      </c>
      <c r="B54" s="546"/>
      <c r="C54" s="547">
        <f>+'Budget Comparativo'!F54</f>
        <v>0</v>
      </c>
      <c r="D54" s="547">
        <f ca="1">+'Budget Comparativo'!G54</f>
        <v>0</v>
      </c>
      <c r="E54" s="547">
        <f ca="1">+'Budget Comparativo'!H54</f>
        <v>3.8</v>
      </c>
      <c r="F54" s="547">
        <f t="shared" ca="1" si="10"/>
        <v>-3.8</v>
      </c>
      <c r="G54" s="622"/>
      <c r="H54" s="650">
        <f ca="1">IF(ROUND(E54,0)=0,0,IF(C54=0,0,+E54/C54))</f>
        <v>0</v>
      </c>
      <c r="J54" s="36">
        <f>+C54/$J$8</f>
        <v>0</v>
      </c>
      <c r="K54" s="36">
        <f ca="1">+E54/$K$8</f>
        <v>2.5333333333333333E-2</v>
      </c>
      <c r="L54" s="547">
        <f ca="1">+J54-K54</f>
        <v>-2.5333333333333333E-2</v>
      </c>
    </row>
    <row r="55" spans="1:12" s="568" customFormat="1" ht="79.5" customHeight="1">
      <c r="A55" s="567" t="s">
        <v>433</v>
      </c>
      <c r="B55" s="546"/>
      <c r="C55" s="547">
        <f>+'Budget Comparativo'!F55</f>
        <v>15000</v>
      </c>
      <c r="D55" s="547">
        <f ca="1">+'Budget Comparativo'!G55</f>
        <v>7699.687623870791</v>
      </c>
      <c r="E55" s="547">
        <f ca="1">+'Budget Comparativo'!H55</f>
        <v>7699.687623870791</v>
      </c>
      <c r="F55" s="547">
        <f t="shared" ca="1" si="10"/>
        <v>0</v>
      </c>
      <c r="G55" s="622" t="s">
        <v>753</v>
      </c>
      <c r="H55" s="650">
        <f ca="1">IF(ROUND(E55,0)=0,0,IF(C55=0,0,+E55/C55))</f>
        <v>0.51331250825805275</v>
      </c>
      <c r="J55" s="36">
        <f>+C55/$J$8</f>
        <v>37.5</v>
      </c>
      <c r="K55" s="36">
        <f ca="1">+E55/$K$8</f>
        <v>51.33125082580527</v>
      </c>
      <c r="L55" s="547">
        <f ca="1">+J55-K55</f>
        <v>-13.83125082580527</v>
      </c>
    </row>
    <row r="56" spans="1:12" s="568" customFormat="1" ht="13.5" thickBot="1">
      <c r="A56" s="567" t="s">
        <v>434</v>
      </c>
      <c r="B56" s="546"/>
      <c r="C56" s="547">
        <f>+'Budget Comparativo'!F57</f>
        <v>0</v>
      </c>
      <c r="D56" s="547">
        <f ca="1">+'Budget Comparativo'!G57</f>
        <v>0</v>
      </c>
      <c r="E56" s="547">
        <f ca="1">+'Budget Comparativo'!H57</f>
        <v>0</v>
      </c>
      <c r="F56" s="547">
        <f t="shared" ca="1" si="10"/>
        <v>0</v>
      </c>
      <c r="G56" s="677"/>
      <c r="H56" s="650">
        <f ca="1">IF(ROUND(E56,0)=0,0,IF(C56=0,0,+E56/C56))</f>
        <v>0</v>
      </c>
      <c r="J56" s="36">
        <f>+C56/$J$8</f>
        <v>0</v>
      </c>
      <c r="K56" s="36">
        <f ca="1">+E56/$K$8</f>
        <v>0</v>
      </c>
      <c r="L56" s="547">
        <f ca="1">+J56-K56</f>
        <v>0</v>
      </c>
    </row>
    <row r="57" spans="1:12" s="568" customFormat="1" ht="13.5" thickBot="1">
      <c r="A57" s="582" t="s">
        <v>435</v>
      </c>
      <c r="B57" s="546"/>
      <c r="C57" s="583">
        <f>+SUM(C53:C56)</f>
        <v>15000</v>
      </c>
      <c r="D57" s="583">
        <f ca="1">+SUM(D53:D56)</f>
        <v>7699.687623870791</v>
      </c>
      <c r="E57" s="583">
        <f ca="1">+SUM(E53:E56)</f>
        <v>7703.4876238707911</v>
      </c>
      <c r="F57" s="583">
        <f ca="1">+SUM(F53:F56)</f>
        <v>-3.8</v>
      </c>
      <c r="G57" s="663"/>
      <c r="H57" s="583"/>
      <c r="J57" s="583">
        <f>+SUM(J53:J56)</f>
        <v>37.5</v>
      </c>
      <c r="K57" s="583">
        <f ca="1">+SUM(K53:K56)</f>
        <v>51.356584159138606</v>
      </c>
      <c r="L57" s="583">
        <f ca="1">+SUM(L53:L56)</f>
        <v>-13.856584159138604</v>
      </c>
    </row>
    <row r="58" spans="1:12" s="49" customFormat="1" ht="12.5">
      <c r="A58" s="536"/>
      <c r="B58" s="88"/>
      <c r="G58" s="98"/>
      <c r="J58" s="364"/>
      <c r="K58" s="364"/>
      <c r="L58" s="364"/>
    </row>
    <row r="59" spans="1:12">
      <c r="J59" s="364"/>
      <c r="K59" s="364"/>
      <c r="L59" s="364"/>
    </row>
    <row r="60" spans="1:12" s="364" customFormat="1">
      <c r="A60" s="584" t="s">
        <v>426</v>
      </c>
      <c r="B60" s="363"/>
      <c r="C60" s="596">
        <v>464787.1524271844</v>
      </c>
      <c r="E60" s="596">
        <f ca="1">+E57+E51-E18</f>
        <v>155949.43891349563</v>
      </c>
      <c r="G60" s="366"/>
      <c r="J60" s="596">
        <f>+C57/C8-J57</f>
        <v>0</v>
      </c>
      <c r="K60" s="596">
        <f ca="1">+E57/E8-K57</f>
        <v>0</v>
      </c>
    </row>
    <row r="61" spans="1:12" ht="12.5">
      <c r="A61" s="95" t="s">
        <v>21</v>
      </c>
      <c r="B61" s="16"/>
      <c r="C61" s="177">
        <f>+C18+C51+C57-C60</f>
        <v>-82367.152427184395</v>
      </c>
      <c r="E61" s="177">
        <f ca="1">+E60-'Budget Comparativo'!H61</f>
        <v>0</v>
      </c>
    </row>
  </sheetData>
  <autoFilter ref="A7:H61"/>
  <mergeCells count="4">
    <mergeCell ref="J5:L5"/>
    <mergeCell ref="J6:L6"/>
    <mergeCell ref="C5:H5"/>
    <mergeCell ref="C6:H6"/>
  </mergeCells>
  <conditionalFormatting sqref="A5">
    <cfRule type="cellIs" dxfId="113" priority="43" stopIfTrue="1" operator="notEqual">
      <formula>"ok"</formula>
    </cfRule>
  </conditionalFormatting>
  <conditionalFormatting sqref="F14:F16">
    <cfRule type="cellIs" dxfId="112" priority="19" operator="lessThan">
      <formula>0</formula>
    </cfRule>
  </conditionalFormatting>
  <conditionalFormatting sqref="F23:F57">
    <cfRule type="cellIs" dxfId="111" priority="26" operator="lessThan">
      <formula>0</formula>
    </cfRule>
  </conditionalFormatting>
  <conditionalFormatting sqref="H24:H31 H38:H41 H43:H49 H53:H56">
    <cfRule type="cellIs" dxfId="110" priority="191" operator="greaterThan">
      <formula>#REF!</formula>
    </cfRule>
  </conditionalFormatting>
  <conditionalFormatting sqref="L14:L16">
    <cfRule type="cellIs" dxfId="109" priority="18" operator="lessThan">
      <formula>0</formula>
    </cfRule>
  </conditionalFormatting>
  <conditionalFormatting sqref="L24:L26">
    <cfRule type="cellIs" dxfId="108" priority="17" operator="lessThan">
      <formula>0</formula>
    </cfRule>
  </conditionalFormatting>
  <conditionalFormatting sqref="L28:L33">
    <cfRule type="cellIs" dxfId="107" priority="16" operator="lessThan">
      <formula>0</formula>
    </cfRule>
  </conditionalFormatting>
  <conditionalFormatting sqref="L35:L41">
    <cfRule type="cellIs" dxfId="106" priority="15" operator="lessThan">
      <formula>0</formula>
    </cfRule>
  </conditionalFormatting>
  <conditionalFormatting sqref="L43:L50">
    <cfRule type="cellIs" dxfId="105" priority="14" operator="lessThan">
      <formula>0</formula>
    </cfRule>
  </conditionalFormatting>
  <conditionalFormatting sqref="L52:L56">
    <cfRule type="cellIs" dxfId="104" priority="13" operator="lessThan">
      <formula>0</formula>
    </cfRule>
  </conditionalFormatting>
  <printOptions horizontalCentered="1"/>
  <pageMargins left="0" right="0" top="0" bottom="0" header="0" footer="0"/>
  <pageSetup scale="49" orientation="landscape" horizontalDpi="300" r:id="rId1"/>
  <headerFooter alignWithMargins="0"/>
</worksheet>
</file>

<file path=xl/worksheets/sheet27.xml><?xml version="1.0" encoding="utf-8"?>
<worksheet xmlns="http://schemas.openxmlformats.org/spreadsheetml/2006/main" xmlns:r="http://schemas.openxmlformats.org/officeDocument/2006/relationships">
  <sheetPr codeName="Hoja9">
    <tabColor rgb="FFFFFF00"/>
    <pageSetUpPr fitToPage="1"/>
  </sheetPr>
  <dimension ref="A1:L61"/>
  <sheetViews>
    <sheetView view="pageBreakPreview" zoomScale="70" zoomScaleNormal="70" zoomScaleSheetLayoutView="70" workbookViewId="0">
      <pane xSplit="2" ySplit="10" topLeftCell="C44" activePane="bottomRight" state="frozen"/>
      <selection pane="topRight" activeCell="E1" sqref="E1"/>
      <selection pane="bottomLeft" activeCell="A11" sqref="A11"/>
      <selection pane="bottomRight" activeCell="J61" sqref="J61"/>
    </sheetView>
  </sheetViews>
  <sheetFormatPr baseColWidth="10" defaultColWidth="8.81640625" defaultRowHeight="13"/>
  <cols>
    <col min="1" max="1" width="61.36328125" style="349" bestFit="1" customWidth="1"/>
    <col min="2" max="2" width="4.453125" style="14" bestFit="1" customWidth="1"/>
    <col min="3" max="3" width="14.6328125" style="16" bestFit="1" customWidth="1"/>
    <col min="4" max="4" width="18.36328125" style="16" bestFit="1" customWidth="1"/>
    <col min="5" max="5" width="12.1796875" style="16" bestFit="1" customWidth="1"/>
    <col min="6" max="6" width="16.6328125" style="16" bestFit="1" customWidth="1"/>
    <col min="7" max="7" width="36.453125" style="95" bestFit="1" customWidth="1"/>
    <col min="8" max="8" width="5.81640625" style="16" bestFit="1" customWidth="1"/>
    <col min="9" max="9" width="3.1796875" style="16" customWidth="1"/>
    <col min="10" max="10" width="8.81640625" style="16" bestFit="1" customWidth="1"/>
    <col min="11" max="11" width="5.81640625" style="16" bestFit="1" customWidth="1"/>
    <col min="12" max="12" width="6.36328125" style="16" bestFit="1" customWidth="1"/>
    <col min="13" max="16384" width="8.81640625" style="16"/>
  </cols>
  <sheetData>
    <row r="1" spans="1:12" s="532" customFormat="1" ht="3.5">
      <c r="A1" s="531"/>
      <c r="B1" s="531"/>
      <c r="C1" s="531"/>
      <c r="D1" s="531"/>
      <c r="E1" s="531"/>
      <c r="F1" s="531"/>
      <c r="G1" s="531"/>
      <c r="H1" s="531"/>
    </row>
    <row r="2" spans="1:12" ht="23">
      <c r="A2" s="533" t="s">
        <v>436</v>
      </c>
      <c r="F2" s="20"/>
      <c r="G2" s="655"/>
      <c r="H2" s="20"/>
    </row>
    <row r="3" spans="1:12" ht="23">
      <c r="A3" s="535" t="s">
        <v>381</v>
      </c>
      <c r="B3" s="533"/>
      <c r="C3" s="20" t="str">
        <f>IF(ROUND(C61,2)=0,"ok","Check")</f>
        <v>Check</v>
      </c>
      <c r="D3" s="20"/>
      <c r="E3" s="20" t="str">
        <f ca="1">IF(ROUND(E61,2)=0,"ok","Check")</f>
        <v>ok</v>
      </c>
      <c r="F3" s="20"/>
      <c r="G3" s="655"/>
      <c r="H3" s="20"/>
    </row>
    <row r="4" spans="1:12" s="49" customFormat="1" ht="4.5" thickBot="1">
      <c r="A4" s="536"/>
      <c r="B4" s="88"/>
      <c r="G4" s="98"/>
    </row>
    <row r="5" spans="1:12" s="26" customFormat="1" ht="35.5" customHeight="1" thickBot="1">
      <c r="A5" s="537" t="s">
        <v>382</v>
      </c>
      <c r="B5" s="24"/>
      <c r="C5" s="895" t="s">
        <v>767</v>
      </c>
      <c r="D5" s="890"/>
      <c r="E5" s="890"/>
      <c r="F5" s="890"/>
      <c r="G5" s="890"/>
      <c r="H5" s="891"/>
      <c r="J5" s="889" t="s">
        <v>728</v>
      </c>
      <c r="K5" s="890"/>
      <c r="L5" s="891"/>
    </row>
    <row r="6" spans="1:12" ht="16" thickBot="1">
      <c r="A6" s="538"/>
      <c r="B6" s="27"/>
      <c r="C6" s="892" t="s">
        <v>384</v>
      </c>
      <c r="D6" s="893"/>
      <c r="E6" s="893"/>
      <c r="F6" s="893"/>
      <c r="G6" s="893"/>
      <c r="H6" s="894"/>
      <c r="J6" s="892"/>
      <c r="K6" s="893"/>
      <c r="L6" s="894"/>
    </row>
    <row r="7" spans="1:12" ht="39.5" thickBot="1">
      <c r="A7" s="540" t="s">
        <v>386</v>
      </c>
      <c r="B7" s="18"/>
      <c r="C7" s="593" t="s">
        <v>710</v>
      </c>
      <c r="D7" s="32" t="s">
        <v>711</v>
      </c>
      <c r="E7" s="32" t="s">
        <v>712</v>
      </c>
      <c r="F7" s="32" t="s">
        <v>713</v>
      </c>
      <c r="G7" s="594" t="s">
        <v>714</v>
      </c>
      <c r="H7" s="31"/>
      <c r="J7" s="32" t="s">
        <v>710</v>
      </c>
      <c r="K7" s="32" t="s">
        <v>712</v>
      </c>
      <c r="L7" s="32" t="s">
        <v>729</v>
      </c>
    </row>
    <row r="8" spans="1:12">
      <c r="A8" s="541" t="s">
        <v>95</v>
      </c>
      <c r="B8" s="38"/>
      <c r="C8" s="36">
        <f>+'Budget Comparativo'!L8</f>
        <v>0</v>
      </c>
      <c r="D8" s="36">
        <f>+'Budget Comparativo'!M8</f>
        <v>0</v>
      </c>
      <c r="E8" s="665">
        <f>+'Budget Comparativo'!N8</f>
        <v>0</v>
      </c>
      <c r="F8" s="36"/>
      <c r="G8" s="656"/>
      <c r="H8" s="36"/>
      <c r="J8" s="36">
        <f>+C8</f>
        <v>0</v>
      </c>
      <c r="K8" s="36">
        <f>+E8</f>
        <v>0</v>
      </c>
      <c r="L8" s="629" t="e">
        <f>+K8/J8</f>
        <v>#DIV/0!</v>
      </c>
    </row>
    <row r="9" spans="1:12">
      <c r="A9" s="541" t="s">
        <v>96</v>
      </c>
      <c r="B9" s="38"/>
      <c r="C9" s="36">
        <f>+'Budget Comparativo'!L9</f>
        <v>0</v>
      </c>
      <c r="D9" s="36">
        <f>+'Budget Comparativo'!M9</f>
        <v>0</v>
      </c>
      <c r="E9" s="665">
        <f>+'Budget Comparativo'!N9</f>
        <v>0</v>
      </c>
      <c r="F9" s="36"/>
      <c r="G9" s="656"/>
      <c r="H9" s="36"/>
      <c r="J9" s="36">
        <f>+C9</f>
        <v>0</v>
      </c>
      <c r="K9" s="36">
        <f>+E9</f>
        <v>0</v>
      </c>
      <c r="L9" s="629" t="e">
        <f>+K9/J9</f>
        <v>#DIV/0!</v>
      </c>
    </row>
    <row r="10" spans="1:12" ht="13.5" thickBot="1">
      <c r="A10" s="541" t="s">
        <v>204</v>
      </c>
      <c r="B10" s="38"/>
      <c r="C10" s="36">
        <f>+'Budget Comparativo'!L10</f>
        <v>12</v>
      </c>
      <c r="D10" s="36">
        <f>+'Budget Comparativo'!M10</f>
        <v>9</v>
      </c>
      <c r="E10" s="36">
        <f>+'Budget Comparativo'!N10</f>
        <v>9</v>
      </c>
      <c r="F10" s="36"/>
      <c r="G10" s="656"/>
      <c r="H10" s="629">
        <f>IF(ROUND(E10,0)=0,0,IF(C10=0,0,+E10/C10))</f>
        <v>0.75</v>
      </c>
      <c r="J10" s="36">
        <f>+C10</f>
        <v>12</v>
      </c>
      <c r="K10" s="36">
        <f>+E10</f>
        <v>9</v>
      </c>
      <c r="L10" s="629">
        <f>+K10/J10</f>
        <v>0.75</v>
      </c>
    </row>
    <row r="11" spans="1:12" ht="13.5" thickBot="1">
      <c r="A11" s="542" t="s">
        <v>387</v>
      </c>
      <c r="B11" s="41"/>
      <c r="C11" s="32"/>
      <c r="D11" s="32"/>
      <c r="E11" s="32"/>
      <c r="F11" s="32"/>
      <c r="G11" s="32"/>
      <c r="H11" s="32"/>
      <c r="J11" s="32"/>
      <c r="K11" s="32"/>
      <c r="L11" s="32"/>
    </row>
    <row r="12" spans="1:12" s="49" customFormat="1" ht="4">
      <c r="A12" s="543"/>
      <c r="B12" s="544"/>
      <c r="C12" s="545"/>
      <c r="D12" s="545"/>
      <c r="E12" s="545"/>
      <c r="F12" s="545"/>
      <c r="G12" s="657"/>
      <c r="H12" s="545"/>
      <c r="J12" s="545"/>
      <c r="K12" s="545"/>
      <c r="L12" s="545"/>
    </row>
    <row r="13" spans="1:12">
      <c r="A13" s="562" t="s">
        <v>388</v>
      </c>
      <c r="B13" s="563"/>
      <c r="C13" s="71"/>
      <c r="D13" s="71"/>
      <c r="E13" s="71"/>
      <c r="F13" s="71"/>
      <c r="G13" s="658"/>
      <c r="H13" s="71"/>
      <c r="J13" s="71"/>
      <c r="K13" s="71"/>
      <c r="L13" s="71"/>
    </row>
    <row r="14" spans="1:12" s="548" customFormat="1">
      <c r="A14" s="564" t="s">
        <v>158</v>
      </c>
      <c r="B14" s="546"/>
      <c r="C14" s="547">
        <f>+'Budget Comparativo'!L14</f>
        <v>0</v>
      </c>
      <c r="D14" s="547">
        <f>+'Budget Comparativo'!M14</f>
        <v>0</v>
      </c>
      <c r="E14" s="547">
        <f ca="1">+'Budget Comparativo'!N14</f>
        <v>0</v>
      </c>
      <c r="F14" s="547">
        <f ca="1">+E14-D14</f>
        <v>0</v>
      </c>
      <c r="G14" s="658"/>
      <c r="H14" s="547"/>
      <c r="J14" s="36" t="e">
        <f>+C14/$J$8</f>
        <v>#DIV/0!</v>
      </c>
      <c r="K14" s="36" t="e">
        <f ca="1">+E14/$K$8</f>
        <v>#DIV/0!</v>
      </c>
      <c r="L14" s="547" t="e">
        <f ca="1">+K14-J14</f>
        <v>#DIV/0!</v>
      </c>
    </row>
    <row r="15" spans="1:12" s="548" customFormat="1">
      <c r="A15" s="565" t="s">
        <v>389</v>
      </c>
      <c r="B15" s="546"/>
      <c r="C15" s="547">
        <f>+'Budget Comparativo'!L15</f>
        <v>0</v>
      </c>
      <c r="D15" s="547">
        <f>+'Budget Comparativo'!M15</f>
        <v>0</v>
      </c>
      <c r="E15" s="547">
        <f ca="1">+'Budget Comparativo'!N15</f>
        <v>0</v>
      </c>
      <c r="F15" s="547">
        <f ca="1">+E15-D15</f>
        <v>0</v>
      </c>
      <c r="G15" s="547" t="s">
        <v>533</v>
      </c>
      <c r="H15" s="547"/>
      <c r="J15" s="36" t="e">
        <f>+C15/$J$8</f>
        <v>#DIV/0!</v>
      </c>
      <c r="K15" s="36" t="e">
        <f ca="1">+E15/$K$8</f>
        <v>#DIV/0!</v>
      </c>
      <c r="L15" s="547" t="e">
        <f ca="1">+K15-J15</f>
        <v>#DIV/0!</v>
      </c>
    </row>
    <row r="16" spans="1:12" s="548" customFormat="1">
      <c r="A16" s="549" t="s">
        <v>159</v>
      </c>
      <c r="B16" s="546"/>
      <c r="C16" s="547">
        <f>+'Budget Comparativo'!L16</f>
        <v>0</v>
      </c>
      <c r="D16" s="547">
        <f>+'Budget Comparativo'!M16</f>
        <v>0</v>
      </c>
      <c r="E16" s="547">
        <f ca="1">+'Budget Comparativo'!N16</f>
        <v>0</v>
      </c>
      <c r="F16" s="547">
        <f ca="1">+E16-D16</f>
        <v>0</v>
      </c>
      <c r="G16" s="648" t="s">
        <v>520</v>
      </c>
      <c r="H16" s="649">
        <f ca="1">IF(ROUND(E16,2)=0,0,(+E16/115)/E8)</f>
        <v>0</v>
      </c>
      <c r="J16" s="36" t="e">
        <f>+C16/$J$8</f>
        <v>#DIV/0!</v>
      </c>
      <c r="K16" s="36" t="e">
        <f ca="1">+E16/$K$8</f>
        <v>#DIV/0!</v>
      </c>
      <c r="L16" s="547" t="e">
        <f ca="1">+K16-J16</f>
        <v>#DIV/0!</v>
      </c>
    </row>
    <row r="17" spans="1:12" s="555" customFormat="1" ht="11" thickBot="1">
      <c r="A17" s="552" t="s">
        <v>225</v>
      </c>
      <c r="B17" s="553"/>
      <c r="C17" s="554"/>
      <c r="D17" s="554"/>
      <c r="E17" s="554"/>
      <c r="F17" s="554"/>
      <c r="G17" s="659"/>
      <c r="H17" s="554"/>
      <c r="J17" s="554"/>
      <c r="K17" s="554"/>
      <c r="L17" s="554"/>
    </row>
    <row r="18" spans="1:12" s="559" customFormat="1" ht="14.5" thickBot="1">
      <c r="A18" s="556" t="s">
        <v>390</v>
      </c>
      <c r="B18" s="557"/>
      <c r="C18" s="558">
        <f>SUM(C13:C17)</f>
        <v>0</v>
      </c>
      <c r="D18" s="558">
        <f>SUM(D13:D17)</f>
        <v>0</v>
      </c>
      <c r="E18" s="558">
        <f ca="1">SUM(E13:E17)</f>
        <v>0</v>
      </c>
      <c r="F18" s="558">
        <f ca="1">SUM(F13:F17)</f>
        <v>0</v>
      </c>
      <c r="G18" s="660"/>
      <c r="H18" s="558"/>
      <c r="J18" s="558" t="e">
        <f>SUM(J13:J17)</f>
        <v>#DIV/0!</v>
      </c>
      <c r="K18" s="558" t="e">
        <f ca="1">SUM(K13:K17)</f>
        <v>#DIV/0!</v>
      </c>
      <c r="L18" s="558" t="e">
        <f ca="1">SUM(L13:L17)</f>
        <v>#DIV/0!</v>
      </c>
    </row>
    <row r="19" spans="1:12" s="49" customFormat="1" ht="4.5" thickBot="1">
      <c r="A19" s="560"/>
      <c r="B19" s="561"/>
      <c r="C19" s="45"/>
      <c r="D19" s="45"/>
      <c r="E19" s="45"/>
      <c r="F19" s="45"/>
      <c r="G19" s="661"/>
      <c r="H19" s="45"/>
      <c r="J19" s="45"/>
      <c r="K19" s="45"/>
      <c r="L19" s="45"/>
    </row>
    <row r="20" spans="1:12" ht="13.5" thickBot="1">
      <c r="A20" s="542" t="s">
        <v>391</v>
      </c>
      <c r="B20" s="41"/>
      <c r="C20" s="32"/>
      <c r="D20" s="32"/>
      <c r="E20" s="32"/>
      <c r="F20" s="32"/>
      <c r="G20" s="32"/>
      <c r="H20" s="32"/>
      <c r="J20" s="32"/>
      <c r="K20" s="32"/>
      <c r="L20" s="32"/>
    </row>
    <row r="21" spans="1:12" s="49" customFormat="1" ht="4">
      <c r="A21" s="560"/>
      <c r="B21" s="561"/>
      <c r="C21" s="45"/>
      <c r="D21" s="45"/>
      <c r="E21" s="45"/>
      <c r="F21" s="45"/>
      <c r="G21" s="661"/>
      <c r="H21" s="45"/>
      <c r="J21" s="45"/>
      <c r="K21" s="45"/>
      <c r="L21" s="45"/>
    </row>
    <row r="22" spans="1:12">
      <c r="A22" s="562" t="s">
        <v>392</v>
      </c>
      <c r="B22" s="566"/>
      <c r="C22" s="71"/>
      <c r="D22" s="71"/>
      <c r="E22" s="71"/>
      <c r="F22" s="71"/>
      <c r="G22" s="658"/>
      <c r="H22" s="71"/>
      <c r="J22" s="71"/>
      <c r="K22" s="71"/>
      <c r="L22" s="71"/>
    </row>
    <row r="23" spans="1:12" s="572" customFormat="1" ht="16">
      <c r="A23" s="619" t="s">
        <v>393</v>
      </c>
      <c r="B23" s="570"/>
      <c r="C23" s="571">
        <f>+SUM(C24:C26)</f>
        <v>0</v>
      </c>
      <c r="D23" s="571">
        <f ca="1">+SUM(D24:D26)</f>
        <v>0</v>
      </c>
      <c r="E23" s="571">
        <f ca="1">+SUM(E24:E26)</f>
        <v>0</v>
      </c>
      <c r="F23" s="571">
        <f ca="1">+SUM(F24:F26)</f>
        <v>0</v>
      </c>
      <c r="G23" s="662"/>
      <c r="H23" s="571"/>
      <c r="J23" s="571" t="e">
        <f>+SUM(J24:J26)</f>
        <v>#DIV/0!</v>
      </c>
      <c r="K23" s="571" t="e">
        <f ca="1">+SUM(K24:K26)</f>
        <v>#DIV/0!</v>
      </c>
      <c r="L23" s="571" t="e">
        <f ca="1">+SUM(L24:L26)</f>
        <v>#DIV/0!</v>
      </c>
    </row>
    <row r="24" spans="1:12" s="568" customFormat="1" ht="16">
      <c r="A24" s="573" t="s">
        <v>394</v>
      </c>
      <c r="B24" s="574"/>
      <c r="C24" s="547">
        <f>+'Budget Comparativo'!L24</f>
        <v>0</v>
      </c>
      <c r="D24" s="547">
        <f ca="1">+'Budget Comparativo'!M24</f>
        <v>0</v>
      </c>
      <c r="E24" s="547">
        <f ca="1">+'Budget Comparativo'!N24</f>
        <v>0</v>
      </c>
      <c r="F24" s="547">
        <f ca="1">+D24-E24</f>
        <v>0</v>
      </c>
      <c r="G24" s="662"/>
      <c r="H24" s="650">
        <f ca="1">IF(ROUND(E24,0)=0,0,IF(C24=0,0,+E24/C24))</f>
        <v>0</v>
      </c>
      <c r="J24" s="36" t="e">
        <f>+C24/$J$8</f>
        <v>#DIV/0!</v>
      </c>
      <c r="K24" s="36" t="e">
        <f ca="1">+E24/$E$8</f>
        <v>#DIV/0!</v>
      </c>
      <c r="L24" s="547" t="e">
        <f ca="1">+J24-K24</f>
        <v>#DIV/0!</v>
      </c>
    </row>
    <row r="25" spans="1:12" s="568" customFormat="1">
      <c r="A25" s="573" t="s">
        <v>395</v>
      </c>
      <c r="B25" s="574"/>
      <c r="C25" s="547">
        <f>+'Budget Comparativo'!L25</f>
        <v>0</v>
      </c>
      <c r="D25" s="547">
        <f ca="1">+'Budget Comparativo'!M25</f>
        <v>0</v>
      </c>
      <c r="E25" s="547">
        <f ca="1">+'Budget Comparativo'!N25</f>
        <v>0</v>
      </c>
      <c r="F25" s="547">
        <f t="shared" ref="F25:F49" ca="1" si="0">+D25-E25</f>
        <v>0</v>
      </c>
      <c r="G25" s="622"/>
      <c r="H25" s="650">
        <f ca="1">IF(ROUND(E25,0)=0,0,+E25/C25)</f>
        <v>0</v>
      </c>
      <c r="J25" s="36" t="e">
        <f>+C25/$J$8</f>
        <v>#DIV/0!</v>
      </c>
      <c r="K25" s="36" t="e">
        <f ca="1">+E25/$E$8</f>
        <v>#DIV/0!</v>
      </c>
      <c r="L25" s="547" t="e">
        <f ca="1">+J25-K25</f>
        <v>#DIV/0!</v>
      </c>
    </row>
    <row r="26" spans="1:12" s="568" customFormat="1">
      <c r="A26" s="573" t="s">
        <v>396</v>
      </c>
      <c r="B26" s="574"/>
      <c r="C26" s="547">
        <f>+'Budget Comparativo'!L26</f>
        <v>0</v>
      </c>
      <c r="D26" s="547">
        <f ca="1">+'Budget Comparativo'!M26</f>
        <v>0</v>
      </c>
      <c r="E26" s="547">
        <f ca="1">+'Budget Comparativo'!N26</f>
        <v>0</v>
      </c>
      <c r="F26" s="547">
        <f t="shared" ca="1" si="0"/>
        <v>0</v>
      </c>
      <c r="G26" s="622"/>
      <c r="H26" s="650">
        <f t="shared" ref="H26:H31" ca="1" si="1">IF(ROUND(E26,0)=0,0,IF(C26=0,0,+E26/C26))</f>
        <v>0</v>
      </c>
      <c r="J26" s="36" t="e">
        <f>+C26/$J$8</f>
        <v>#DIV/0!</v>
      </c>
      <c r="K26" s="36" t="e">
        <f ca="1">+E26/$E$8</f>
        <v>#DIV/0!</v>
      </c>
      <c r="L26" s="547" t="e">
        <f ca="1">+J26-K26</f>
        <v>#DIV/0!</v>
      </c>
    </row>
    <row r="27" spans="1:12" s="577" customFormat="1" ht="16">
      <c r="A27" s="618" t="s">
        <v>397</v>
      </c>
      <c r="B27" s="576"/>
      <c r="C27" s="571">
        <f>+SUM(C28:C31)</f>
        <v>2400</v>
      </c>
      <c r="D27" s="571">
        <f ca="1">+SUM(D28:D31)</f>
        <v>0</v>
      </c>
      <c r="E27" s="571">
        <f ca="1">+SUM(E28:E31)</f>
        <v>0</v>
      </c>
      <c r="F27" s="571">
        <f ca="1">+SUM(F28:F31)</f>
        <v>0</v>
      </c>
      <c r="G27" s="662"/>
      <c r="H27" s="650">
        <f t="shared" ca="1" si="1"/>
        <v>0</v>
      </c>
      <c r="J27" s="571" t="e">
        <f>+SUM(J28:J31)</f>
        <v>#DIV/0!</v>
      </c>
      <c r="K27" s="571" t="e">
        <f ca="1">+SUM(K28:K31)</f>
        <v>#DIV/0!</v>
      </c>
      <c r="L27" s="571" t="e">
        <f ca="1">+SUM(L28:L31)</f>
        <v>#DIV/0!</v>
      </c>
    </row>
    <row r="28" spans="1:12" s="568" customFormat="1">
      <c r="A28" s="573" t="s">
        <v>398</v>
      </c>
      <c r="B28" s="574"/>
      <c r="C28" s="547">
        <f>+'Budget Comparativo'!L28</f>
        <v>0</v>
      </c>
      <c r="D28" s="547">
        <f ca="1">+'Budget Comparativo'!M28</f>
        <v>0</v>
      </c>
      <c r="E28" s="547">
        <f ca="1">+'Budget Comparativo'!N28</f>
        <v>0</v>
      </c>
      <c r="F28" s="547">
        <f t="shared" ca="1" si="0"/>
        <v>0</v>
      </c>
      <c r="G28" s="622"/>
      <c r="H28" s="650">
        <f t="shared" ca="1" si="1"/>
        <v>0</v>
      </c>
      <c r="J28" s="36" t="e">
        <f t="shared" ref="J28:J33" si="2">+C28/$J$8</f>
        <v>#DIV/0!</v>
      </c>
      <c r="K28" s="36" t="e">
        <f t="shared" ref="K28:K33" ca="1" si="3">+E28/$E$8</f>
        <v>#DIV/0!</v>
      </c>
      <c r="L28" s="547" t="e">
        <f t="shared" ref="L28:L33" ca="1" si="4">+J28-K28</f>
        <v>#DIV/0!</v>
      </c>
    </row>
    <row r="29" spans="1:12" s="568" customFormat="1" ht="16">
      <c r="A29" s="573" t="s">
        <v>399</v>
      </c>
      <c r="B29" s="574"/>
      <c r="C29" s="547">
        <f>+'Budget Comparativo'!L29</f>
        <v>0</v>
      </c>
      <c r="D29" s="547">
        <f ca="1">+'Budget Comparativo'!M29</f>
        <v>0</v>
      </c>
      <c r="E29" s="547">
        <f ca="1">+'Budget Comparativo'!N29</f>
        <v>0</v>
      </c>
      <c r="F29" s="547">
        <f t="shared" ca="1" si="0"/>
        <v>0</v>
      </c>
      <c r="G29" s="662"/>
      <c r="H29" s="650">
        <f t="shared" ca="1" si="1"/>
        <v>0</v>
      </c>
      <c r="J29" s="36" t="e">
        <f t="shared" si="2"/>
        <v>#DIV/0!</v>
      </c>
      <c r="K29" s="36" t="e">
        <f t="shared" ca="1" si="3"/>
        <v>#DIV/0!</v>
      </c>
      <c r="L29" s="547" t="e">
        <f t="shared" ca="1" si="4"/>
        <v>#DIV/0!</v>
      </c>
    </row>
    <row r="30" spans="1:12" s="568" customFormat="1" ht="52">
      <c r="A30" s="573" t="s">
        <v>400</v>
      </c>
      <c r="B30" s="574"/>
      <c r="C30" s="547">
        <f>+'Budget Comparativo'!L30</f>
        <v>2400</v>
      </c>
      <c r="D30" s="547">
        <f ca="1">+'Budget Comparativo'!M30</f>
        <v>0</v>
      </c>
      <c r="E30" s="547">
        <f ca="1">+'Budget Comparativo'!N30</f>
        <v>0</v>
      </c>
      <c r="F30" s="547">
        <f t="shared" ca="1" si="0"/>
        <v>0</v>
      </c>
      <c r="G30" s="622" t="s">
        <v>754</v>
      </c>
      <c r="H30" s="650">
        <f t="shared" ca="1" si="1"/>
        <v>0</v>
      </c>
      <c r="J30" s="36" t="e">
        <f t="shared" si="2"/>
        <v>#DIV/0!</v>
      </c>
      <c r="K30" s="36" t="e">
        <f t="shared" ca="1" si="3"/>
        <v>#DIV/0!</v>
      </c>
      <c r="L30" s="547" t="e">
        <f t="shared" ca="1" si="4"/>
        <v>#DIV/0!</v>
      </c>
    </row>
    <row r="31" spans="1:12" s="568" customFormat="1">
      <c r="A31" s="573" t="s">
        <v>401</v>
      </c>
      <c r="B31" s="574"/>
      <c r="C31" s="547">
        <f>+'Budget Comparativo'!L31</f>
        <v>0</v>
      </c>
      <c r="D31" s="547">
        <f ca="1">+'Budget Comparativo'!M31</f>
        <v>0</v>
      </c>
      <c r="E31" s="547">
        <f ca="1">+'Budget Comparativo'!N31</f>
        <v>0</v>
      </c>
      <c r="F31" s="547">
        <f t="shared" ca="1" si="0"/>
        <v>0</v>
      </c>
      <c r="G31" s="622" t="s">
        <v>755</v>
      </c>
      <c r="H31" s="650">
        <f t="shared" ca="1" si="1"/>
        <v>0</v>
      </c>
      <c r="J31" s="36" t="e">
        <f t="shared" si="2"/>
        <v>#DIV/0!</v>
      </c>
      <c r="K31" s="36" t="e">
        <f t="shared" ca="1" si="3"/>
        <v>#DIV/0!</v>
      </c>
      <c r="L31" s="547" t="e">
        <f t="shared" ca="1" si="4"/>
        <v>#DIV/0!</v>
      </c>
    </row>
    <row r="32" spans="1:12" s="548" customFormat="1">
      <c r="A32" s="565" t="s">
        <v>402</v>
      </c>
      <c r="B32" s="546"/>
      <c r="C32" s="547">
        <f>+'Budget Comparativo'!L32</f>
        <v>0</v>
      </c>
      <c r="D32" s="547">
        <f>+'Budget Comparativo'!M32</f>
        <v>0</v>
      </c>
      <c r="E32" s="547">
        <f ca="1">+'Budget Comparativo'!N32</f>
        <v>0</v>
      </c>
      <c r="F32" s="547">
        <f t="shared" ca="1" si="0"/>
        <v>0</v>
      </c>
      <c r="G32" s="622"/>
      <c r="H32" s="547"/>
      <c r="J32" s="36" t="e">
        <f t="shared" si="2"/>
        <v>#DIV/0!</v>
      </c>
      <c r="K32" s="36" t="e">
        <f t="shared" ca="1" si="3"/>
        <v>#DIV/0!</v>
      </c>
      <c r="L32" s="547" t="e">
        <f t="shared" ca="1" si="4"/>
        <v>#DIV/0!</v>
      </c>
    </row>
    <row r="33" spans="1:12" s="568" customFormat="1" ht="64.75" customHeight="1">
      <c r="A33" s="550" t="s">
        <v>403</v>
      </c>
      <c r="B33" s="546"/>
      <c r="C33" s="547">
        <f>+'Budget Comparativo'!L33</f>
        <v>0</v>
      </c>
      <c r="D33" s="547">
        <f>+'Budget Comparativo'!M33</f>
        <v>0</v>
      </c>
      <c r="E33" s="547">
        <f ca="1">+'Budget Comparativo'!N33</f>
        <v>13.62</v>
      </c>
      <c r="F33" s="547">
        <f t="shared" ca="1" si="0"/>
        <v>-13.62</v>
      </c>
      <c r="G33" s="622" t="s">
        <v>756</v>
      </c>
      <c r="H33" s="547"/>
      <c r="J33" s="36" t="e">
        <f t="shared" si="2"/>
        <v>#DIV/0!</v>
      </c>
      <c r="K33" s="36" t="e">
        <f t="shared" ca="1" si="3"/>
        <v>#DIV/0!</v>
      </c>
      <c r="L33" s="547" t="e">
        <f t="shared" ca="1" si="4"/>
        <v>#DIV/0!</v>
      </c>
    </row>
    <row r="34" spans="1:12" s="577" customFormat="1" ht="16">
      <c r="A34" s="618" t="s">
        <v>404</v>
      </c>
      <c r="B34" s="576"/>
      <c r="C34" s="571">
        <f>+SUM(C35:C37)</f>
        <v>0</v>
      </c>
      <c r="D34" s="571">
        <f>+SUM(D35:D37)</f>
        <v>0</v>
      </c>
      <c r="E34" s="571">
        <f ca="1">+SUM(E35:E37)</f>
        <v>265.09000000000003</v>
      </c>
      <c r="F34" s="571">
        <f ca="1">+SUM(F35:F37)</f>
        <v>-265.09000000000003</v>
      </c>
      <c r="G34" s="662"/>
      <c r="H34" s="571"/>
      <c r="J34" s="571" t="e">
        <f>+SUM(J35:J37)</f>
        <v>#DIV/0!</v>
      </c>
      <c r="K34" s="571" t="e">
        <f ca="1">+SUM(K35:K37)</f>
        <v>#DIV/0!</v>
      </c>
      <c r="L34" s="571" t="e">
        <f ca="1">+SUM(L35:L37)</f>
        <v>#DIV/0!</v>
      </c>
    </row>
    <row r="35" spans="1:12" s="17" customFormat="1" ht="16">
      <c r="A35" s="579" t="s">
        <v>405</v>
      </c>
      <c r="B35" s="580"/>
      <c r="C35" s="547">
        <f>+'Budget Comparativo'!L35</f>
        <v>0</v>
      </c>
      <c r="D35" s="547">
        <f>+'Budget Comparativo'!M35</f>
        <v>0</v>
      </c>
      <c r="E35" s="547">
        <f ca="1">+'Budget Comparativo'!N35</f>
        <v>0</v>
      </c>
      <c r="F35" s="547">
        <f t="shared" ca="1" si="0"/>
        <v>0</v>
      </c>
      <c r="G35" s="662"/>
      <c r="H35" s="547"/>
      <c r="J35" s="36" t="e">
        <f t="shared" ref="J35:J41" si="5">+C35/$J$8</f>
        <v>#DIV/0!</v>
      </c>
      <c r="K35" s="36" t="e">
        <f t="shared" ref="K35:K41" ca="1" si="6">+E35/$E$8</f>
        <v>#DIV/0!</v>
      </c>
      <c r="L35" s="547" t="e">
        <f t="shared" ref="L35:L41" ca="1" si="7">+J35-K35</f>
        <v>#DIV/0!</v>
      </c>
    </row>
    <row r="36" spans="1:12" s="17" customFormat="1" ht="26">
      <c r="A36" s="579" t="s">
        <v>406</v>
      </c>
      <c r="B36" s="580"/>
      <c r="C36" s="547">
        <f>+'Budget Comparativo'!L36</f>
        <v>0</v>
      </c>
      <c r="D36" s="547">
        <f>+'Budget Comparativo'!M36</f>
        <v>0</v>
      </c>
      <c r="E36" s="547">
        <f ca="1">+'Budget Comparativo'!N36</f>
        <v>265.09000000000003</v>
      </c>
      <c r="F36" s="547">
        <f t="shared" ca="1" si="0"/>
        <v>-265.09000000000003</v>
      </c>
      <c r="G36" s="622" t="s">
        <v>757</v>
      </c>
      <c r="H36" s="547"/>
      <c r="J36" s="36" t="e">
        <f t="shared" si="5"/>
        <v>#DIV/0!</v>
      </c>
      <c r="K36" s="36" t="e">
        <f t="shared" ca="1" si="6"/>
        <v>#DIV/0!</v>
      </c>
      <c r="L36" s="547" t="e">
        <f t="shared" ca="1" si="7"/>
        <v>#DIV/0!</v>
      </c>
    </row>
    <row r="37" spans="1:12" s="17" customFormat="1" ht="16">
      <c r="A37" s="579" t="s">
        <v>407</v>
      </c>
      <c r="B37" s="580"/>
      <c r="C37" s="547">
        <f>+'Budget Comparativo'!L37</f>
        <v>0</v>
      </c>
      <c r="D37" s="547">
        <f>+'Budget Comparativo'!M37</f>
        <v>0</v>
      </c>
      <c r="E37" s="547">
        <f ca="1">+'Budget Comparativo'!N37</f>
        <v>0</v>
      </c>
      <c r="F37" s="547">
        <f t="shared" ca="1" si="0"/>
        <v>0</v>
      </c>
      <c r="G37" s="662"/>
      <c r="H37" s="547"/>
      <c r="J37" s="36" t="e">
        <f t="shared" si="5"/>
        <v>#DIV/0!</v>
      </c>
      <c r="K37" s="36" t="e">
        <f t="shared" ca="1" si="6"/>
        <v>#DIV/0!</v>
      </c>
      <c r="L37" s="547" t="e">
        <f t="shared" ca="1" si="7"/>
        <v>#DIV/0!</v>
      </c>
    </row>
    <row r="38" spans="1:12" s="568" customFormat="1">
      <c r="A38" s="551" t="s">
        <v>408</v>
      </c>
      <c r="B38" s="546"/>
      <c r="C38" s="547">
        <f>+'Budget Comparativo'!L38</f>
        <v>0</v>
      </c>
      <c r="D38" s="547">
        <f ca="1">+'Budget Comparativo'!M38</f>
        <v>0</v>
      </c>
      <c r="E38" s="547">
        <f ca="1">+'Budget Comparativo'!N38</f>
        <v>0</v>
      </c>
      <c r="F38" s="547">
        <f t="shared" ca="1" si="0"/>
        <v>0</v>
      </c>
      <c r="G38" s="622" t="s">
        <v>382</v>
      </c>
      <c r="H38" s="650">
        <f ca="1">IF(ROUND(E38,0)=0,0,IF(C38=0,0,+E38/C38))</f>
        <v>0</v>
      </c>
      <c r="J38" s="36" t="e">
        <f t="shared" si="5"/>
        <v>#DIV/0!</v>
      </c>
      <c r="K38" s="36" t="e">
        <f t="shared" ca="1" si="6"/>
        <v>#DIV/0!</v>
      </c>
      <c r="L38" s="547" t="e">
        <f t="shared" ca="1" si="7"/>
        <v>#DIV/0!</v>
      </c>
    </row>
    <row r="39" spans="1:12">
      <c r="A39" s="551" t="s">
        <v>409</v>
      </c>
      <c r="B39" s="546"/>
      <c r="C39" s="547">
        <f>+'Budget Comparativo'!L39</f>
        <v>0</v>
      </c>
      <c r="D39" s="547">
        <f ca="1">+'Budget Comparativo'!M39</f>
        <v>0</v>
      </c>
      <c r="E39" s="547">
        <f ca="1">+'Budget Comparativo'!N39</f>
        <v>0</v>
      </c>
      <c r="F39" s="547">
        <f t="shared" ca="1" si="0"/>
        <v>0</v>
      </c>
      <c r="G39" s="622" t="s">
        <v>382</v>
      </c>
      <c r="H39" s="650">
        <f ca="1">IF(ROUND(E39,0)=0,0,IF(C39=0,0,+E39/C39))</f>
        <v>0</v>
      </c>
      <c r="J39" s="36" t="e">
        <f t="shared" si="5"/>
        <v>#DIV/0!</v>
      </c>
      <c r="K39" s="36" t="e">
        <f t="shared" ca="1" si="6"/>
        <v>#DIV/0!</v>
      </c>
      <c r="L39" s="547" t="e">
        <f t="shared" ca="1" si="7"/>
        <v>#DIV/0!</v>
      </c>
    </row>
    <row r="40" spans="1:12" s="568" customFormat="1">
      <c r="A40" s="551" t="s">
        <v>410</v>
      </c>
      <c r="B40" s="546"/>
      <c r="C40" s="547">
        <f>+'Budget Comparativo'!L40</f>
        <v>0</v>
      </c>
      <c r="D40" s="547">
        <f ca="1">+'Budget Comparativo'!M40</f>
        <v>0</v>
      </c>
      <c r="E40" s="547">
        <f ca="1">+'Budget Comparativo'!N40</f>
        <v>530.80061209964458</v>
      </c>
      <c r="F40" s="547">
        <f t="shared" ca="1" si="0"/>
        <v>-530.80061209964458</v>
      </c>
      <c r="G40" s="622" t="s">
        <v>382</v>
      </c>
      <c r="H40" s="650">
        <f ca="1">IF(ROUND(E40,0)=0,0,IF(C40=0,0,+E40/C40))</f>
        <v>0</v>
      </c>
      <c r="J40" s="36" t="e">
        <f t="shared" si="5"/>
        <v>#DIV/0!</v>
      </c>
      <c r="K40" s="36" t="e">
        <f t="shared" ca="1" si="6"/>
        <v>#DIV/0!</v>
      </c>
      <c r="L40" s="547" t="e">
        <f t="shared" ca="1" si="7"/>
        <v>#DIV/0!</v>
      </c>
    </row>
    <row r="41" spans="1:12" s="568" customFormat="1">
      <c r="A41" s="550" t="s">
        <v>411</v>
      </c>
      <c r="B41" s="546"/>
      <c r="C41" s="547">
        <f>+'Budget Comparativo'!L41</f>
        <v>0</v>
      </c>
      <c r="D41" s="547">
        <f ca="1">+'Budget Comparativo'!M41</f>
        <v>0</v>
      </c>
      <c r="E41" s="547">
        <f ca="1">+'Budget Comparativo'!N41</f>
        <v>0</v>
      </c>
      <c r="F41" s="547">
        <f t="shared" ca="1" si="0"/>
        <v>0</v>
      </c>
      <c r="G41" s="622"/>
      <c r="H41" s="650">
        <f ca="1">IF(ROUND(E41,0)=0,0,IF(C41=0,0,+E41/C41))</f>
        <v>0</v>
      </c>
      <c r="J41" s="36" t="e">
        <f t="shared" si="5"/>
        <v>#DIV/0!</v>
      </c>
      <c r="K41" s="36" t="e">
        <f t="shared" ca="1" si="6"/>
        <v>#DIV/0!</v>
      </c>
      <c r="L41" s="547" t="e">
        <f t="shared" ca="1" si="7"/>
        <v>#DIV/0!</v>
      </c>
    </row>
    <row r="42" spans="1:12" s="350" customFormat="1" ht="16">
      <c r="A42" s="618" t="s">
        <v>412</v>
      </c>
      <c r="B42" s="581"/>
      <c r="C42" s="571">
        <f>+SUM(C43:C45)</f>
        <v>200</v>
      </c>
      <c r="D42" s="571">
        <f ca="1">+SUM(D43:D45)</f>
        <v>116.43</v>
      </c>
      <c r="E42" s="571">
        <f ca="1">+SUM(E43:E45)</f>
        <v>130.66487544483991</v>
      </c>
      <c r="F42" s="571">
        <f ca="1">+SUM(F43:F45)</f>
        <v>-14.234875444839901</v>
      </c>
      <c r="G42" s="622" t="s">
        <v>382</v>
      </c>
      <c r="H42" s="571"/>
      <c r="J42" s="571" t="e">
        <f>+SUM(J43:J45)</f>
        <v>#DIV/0!</v>
      </c>
      <c r="K42" s="571" t="e">
        <f ca="1">+SUM(K43:K45)</f>
        <v>#DIV/0!</v>
      </c>
      <c r="L42" s="571" t="e">
        <f ca="1">+SUM(L43:L45)</f>
        <v>#DIV/0!</v>
      </c>
    </row>
    <row r="43" spans="1:12" ht="101.25" customHeight="1">
      <c r="A43" s="579" t="s">
        <v>413</v>
      </c>
      <c r="B43" s="74"/>
      <c r="C43" s="547">
        <f>+'Budget Comparativo'!L43</f>
        <v>200</v>
      </c>
      <c r="D43" s="547">
        <f ca="1">+'Budget Comparativo'!M43</f>
        <v>116.43</v>
      </c>
      <c r="E43" s="547">
        <f ca="1">+'Budget Comparativo'!N43</f>
        <v>116.43</v>
      </c>
      <c r="F43" s="547">
        <f t="shared" ca="1" si="0"/>
        <v>0</v>
      </c>
      <c r="G43" s="662"/>
      <c r="H43" s="650">
        <f ca="1">IF(ROUND(E43,0)=0,0,+E43/C43)</f>
        <v>0.58215000000000006</v>
      </c>
      <c r="J43" s="36" t="e">
        <f t="shared" ref="J43:J49" si="8">+C43/$J$8</f>
        <v>#DIV/0!</v>
      </c>
      <c r="K43" s="36" t="e">
        <f t="shared" ref="K43:K49" ca="1" si="9">+E43/$E$8</f>
        <v>#DIV/0!</v>
      </c>
      <c r="L43" s="547" t="e">
        <f t="shared" ref="L43:L49" ca="1" si="10">+J43-K43</f>
        <v>#DIV/0!</v>
      </c>
    </row>
    <row r="44" spans="1:12" ht="16">
      <c r="A44" s="579" t="s">
        <v>414</v>
      </c>
      <c r="B44" s="74"/>
      <c r="C44" s="547">
        <f>+'Budget Comparativo'!L44</f>
        <v>0</v>
      </c>
      <c r="D44" s="547">
        <f ca="1">+'Budget Comparativo'!M44</f>
        <v>0</v>
      </c>
      <c r="E44" s="547">
        <f ca="1">+'Budget Comparativo'!N44</f>
        <v>0</v>
      </c>
      <c r="F44" s="547">
        <f t="shared" ca="1" si="0"/>
        <v>0</v>
      </c>
      <c r="G44" s="662"/>
      <c r="H44" s="650">
        <f ca="1">IF(ROUND(E44,0)=0,0,IF(C44=0,0,+E44/C44))</f>
        <v>0</v>
      </c>
      <c r="J44" s="36" t="e">
        <f t="shared" si="8"/>
        <v>#DIV/0!</v>
      </c>
      <c r="K44" s="36" t="e">
        <f t="shared" ca="1" si="9"/>
        <v>#DIV/0!</v>
      </c>
      <c r="L44" s="547" t="e">
        <f t="shared" ca="1" si="10"/>
        <v>#DIV/0!</v>
      </c>
    </row>
    <row r="45" spans="1:12">
      <c r="A45" s="579" t="s">
        <v>415</v>
      </c>
      <c r="B45" s="74"/>
      <c r="C45" s="547">
        <f>+'Budget Comparativo'!L45</f>
        <v>0</v>
      </c>
      <c r="D45" s="547">
        <f ca="1">+'Budget Comparativo'!M45</f>
        <v>0</v>
      </c>
      <c r="E45" s="547">
        <f ca="1">+'Budget Comparativo'!N45</f>
        <v>14.234875444839901</v>
      </c>
      <c r="F45" s="547">
        <f t="shared" ca="1" si="0"/>
        <v>-14.234875444839901</v>
      </c>
      <c r="G45" s="622"/>
      <c r="H45" s="650">
        <f ca="1">IF(ROUND(E45,0)=0,0,IF(C45=0,0,+E45/C45))</f>
        <v>0</v>
      </c>
      <c r="J45" s="36" t="e">
        <f t="shared" si="8"/>
        <v>#DIV/0!</v>
      </c>
      <c r="K45" s="36" t="e">
        <f t="shared" ca="1" si="9"/>
        <v>#DIV/0!</v>
      </c>
      <c r="L45" s="547" t="e">
        <f t="shared" ca="1" si="10"/>
        <v>#DIV/0!</v>
      </c>
    </row>
    <row r="46" spans="1:12" s="568" customFormat="1">
      <c r="A46" s="567" t="s">
        <v>416</v>
      </c>
      <c r="B46" s="546"/>
      <c r="C46" s="547">
        <f>+'Budget Comparativo'!L46</f>
        <v>0</v>
      </c>
      <c r="D46" s="547">
        <f ca="1">+'Budget Comparativo'!M46</f>
        <v>0</v>
      </c>
      <c r="E46" s="547">
        <f ca="1">+'Budget Comparativo'!N46</f>
        <v>505.97999999999996</v>
      </c>
      <c r="F46" s="547">
        <f t="shared" ca="1" si="0"/>
        <v>-505.97999999999996</v>
      </c>
      <c r="G46" s="622"/>
      <c r="H46" s="650" t="e">
        <f ca="1">IF(ROUND(E46,0)=0,0,+E46/C46)</f>
        <v>#DIV/0!</v>
      </c>
      <c r="J46" s="36" t="e">
        <f t="shared" si="8"/>
        <v>#DIV/0!</v>
      </c>
      <c r="K46" s="36" t="e">
        <f t="shared" ca="1" si="9"/>
        <v>#DIV/0!</v>
      </c>
      <c r="L46" s="547" t="e">
        <f t="shared" ca="1" si="10"/>
        <v>#DIV/0!</v>
      </c>
    </row>
    <row r="47" spans="1:12" s="568" customFormat="1">
      <c r="A47" s="564" t="s">
        <v>417</v>
      </c>
      <c r="B47" s="546"/>
      <c r="C47" s="547">
        <f>+'Budget Comparativo'!L47</f>
        <v>0</v>
      </c>
      <c r="D47" s="547">
        <f ca="1">+'Budget Comparativo'!M47</f>
        <v>0</v>
      </c>
      <c r="E47" s="547">
        <f ca="1">+'Budget Comparativo'!N47</f>
        <v>0</v>
      </c>
      <c r="F47" s="547">
        <f t="shared" ca="1" si="0"/>
        <v>0</v>
      </c>
      <c r="G47" s="622"/>
      <c r="H47" s="650">
        <f ca="1">IF(ROUND(E47,0)=0,0,IF(C47=0,0,+E47/C47))</f>
        <v>0</v>
      </c>
      <c r="J47" s="36" t="e">
        <f t="shared" si="8"/>
        <v>#DIV/0!</v>
      </c>
      <c r="K47" s="36" t="e">
        <f t="shared" ca="1" si="9"/>
        <v>#DIV/0!</v>
      </c>
      <c r="L47" s="547" t="e">
        <f t="shared" ca="1" si="10"/>
        <v>#DIV/0!</v>
      </c>
    </row>
    <row r="48" spans="1:12" s="568" customFormat="1">
      <c r="A48" s="564" t="s">
        <v>522</v>
      </c>
      <c r="B48" s="546"/>
      <c r="C48" s="547">
        <f>+'Budget Comparativo'!L48</f>
        <v>0</v>
      </c>
      <c r="D48" s="547">
        <f>+'Budget Comparativo'!M48</f>
        <v>0</v>
      </c>
      <c r="E48" s="547">
        <f>+'Budget Comparativo'!N48</f>
        <v>0</v>
      </c>
      <c r="F48" s="547">
        <f t="shared" si="0"/>
        <v>0</v>
      </c>
      <c r="G48" s="622"/>
      <c r="H48" s="650">
        <f>IF(ROUND(E48,0)=0,0,IF(C48=0,0,+E48/C48))</f>
        <v>0</v>
      </c>
      <c r="J48" s="36" t="e">
        <f t="shared" si="8"/>
        <v>#DIV/0!</v>
      </c>
      <c r="K48" s="36" t="e">
        <f t="shared" si="9"/>
        <v>#DIV/0!</v>
      </c>
      <c r="L48" s="547" t="e">
        <f t="shared" si="10"/>
        <v>#DIV/0!</v>
      </c>
    </row>
    <row r="49" spans="1:12" s="568" customFormat="1" ht="26">
      <c r="A49" s="567" t="s">
        <v>419</v>
      </c>
      <c r="B49" s="546"/>
      <c r="C49" s="547">
        <f>+'Budget Comparativo'!L49</f>
        <v>1000</v>
      </c>
      <c r="D49" s="547">
        <f ca="1">+'Budget Comparativo'!M49</f>
        <v>11.11</v>
      </c>
      <c r="E49" s="547">
        <f ca="1">+'Budget Comparativo'!N49</f>
        <v>11.11</v>
      </c>
      <c r="F49" s="547">
        <f t="shared" ca="1" si="0"/>
        <v>0</v>
      </c>
      <c r="G49" s="622" t="s">
        <v>758</v>
      </c>
      <c r="H49" s="650">
        <f ca="1">IF(ROUND(E49,0)=0,0,IF(C49=0,0,+E49/C49))</f>
        <v>1.111E-2</v>
      </c>
      <c r="J49" s="36" t="e">
        <f t="shared" si="8"/>
        <v>#DIV/0!</v>
      </c>
      <c r="K49" s="36" t="e">
        <f t="shared" ca="1" si="9"/>
        <v>#DIV/0!</v>
      </c>
      <c r="L49" s="547" t="e">
        <f t="shared" ca="1" si="10"/>
        <v>#DIV/0!</v>
      </c>
    </row>
    <row r="50" spans="1:12" s="555" customFormat="1" ht="16.5" thickBot="1">
      <c r="A50" s="552" t="s">
        <v>225</v>
      </c>
      <c r="B50" s="553"/>
      <c r="C50" s="554"/>
      <c r="D50" s="554"/>
      <c r="E50" s="554"/>
      <c r="F50" s="554"/>
      <c r="G50" s="659"/>
      <c r="H50" s="554"/>
      <c r="J50" s="554"/>
      <c r="K50" s="571"/>
      <c r="L50" s="571"/>
    </row>
    <row r="51" spans="1:12" s="568" customFormat="1" ht="13.5" thickBot="1">
      <c r="A51" s="582" t="s">
        <v>420</v>
      </c>
      <c r="B51" s="546"/>
      <c r="C51" s="583">
        <f>SUM(C22:C50)-C23-C34-C27-C42</f>
        <v>3600</v>
      </c>
      <c r="D51" s="583">
        <f ca="1">SUM(D22:D50)-D23-D34-D27-D42</f>
        <v>127.54000000000002</v>
      </c>
      <c r="E51" s="583">
        <f ca="1">SUM(E22:E50)-E23-E34-E27-E42</f>
        <v>1457.2654875444844</v>
      </c>
      <c r="F51" s="583">
        <f t="shared" ref="F51:F56" ca="1" si="11">+D51-E51</f>
        <v>-1329.7254875444844</v>
      </c>
      <c r="G51" s="663"/>
      <c r="H51" s="583"/>
      <c r="J51" s="583" t="e">
        <f>SUM(J22:J50)-J23-J34-J27-J42</f>
        <v>#DIV/0!</v>
      </c>
      <c r="K51" s="583" t="e">
        <f ca="1">SUM(K22:K50)-K23-K34-K27-K42</f>
        <v>#DIV/0!</v>
      </c>
      <c r="L51" s="583" t="e">
        <f ca="1">SUM(L22:L50)-L23-L34-L27-L42</f>
        <v>#DIV/0!</v>
      </c>
    </row>
    <row r="52" spans="1:12" s="49" customFormat="1" ht="4">
      <c r="A52" s="560"/>
      <c r="B52" s="561"/>
      <c r="C52" s="45"/>
      <c r="D52" s="45"/>
      <c r="E52" s="45"/>
      <c r="F52" s="45"/>
      <c r="G52" s="661"/>
      <c r="H52" s="45"/>
      <c r="J52" s="45"/>
      <c r="K52" s="45"/>
      <c r="L52" s="45"/>
    </row>
    <row r="53" spans="1:12" s="568" customFormat="1">
      <c r="A53" s="567" t="s">
        <v>443</v>
      </c>
      <c r="B53" s="546"/>
      <c r="C53" s="547">
        <f>+'Budget Comparativo'!L53</f>
        <v>0</v>
      </c>
      <c r="D53" s="547">
        <f ca="1">+'Budget Comparativo'!M53</f>
        <v>0</v>
      </c>
      <c r="E53" s="547">
        <f ca="1">+'Budget Comparativo'!N53</f>
        <v>0</v>
      </c>
      <c r="F53" s="547">
        <f t="shared" ca="1" si="11"/>
        <v>0</v>
      </c>
      <c r="G53" s="622"/>
      <c r="H53" s="650">
        <f ca="1">IF(ROUND(E53,0)=0,0,IF(C53=0,0,+E53/C53))</f>
        <v>0</v>
      </c>
      <c r="J53" s="36" t="e">
        <f>+C53/$J$8</f>
        <v>#DIV/0!</v>
      </c>
      <c r="K53" s="36" t="e">
        <f ca="1">+E53/$E$8</f>
        <v>#DIV/0!</v>
      </c>
      <c r="L53" s="547" t="e">
        <f ca="1">+J53-K53</f>
        <v>#DIV/0!</v>
      </c>
    </row>
    <row r="54" spans="1:12" s="568" customFormat="1">
      <c r="A54" s="567" t="s">
        <v>432</v>
      </c>
      <c r="B54" s="546"/>
      <c r="C54" s="547">
        <f>+'Budget Comparativo'!L54</f>
        <v>0</v>
      </c>
      <c r="D54" s="547">
        <f ca="1">+'Budget Comparativo'!M54</f>
        <v>0</v>
      </c>
      <c r="E54" s="547">
        <f ca="1">+'Budget Comparativo'!N54</f>
        <v>0</v>
      </c>
      <c r="F54" s="547">
        <f t="shared" ca="1" si="11"/>
        <v>0</v>
      </c>
      <c r="G54" s="622"/>
      <c r="H54" s="650">
        <f ca="1">IF(ROUND(E54,0)=0,0,IF(C54=0,0,+E54/C54))</f>
        <v>0</v>
      </c>
      <c r="J54" s="36" t="e">
        <f>+C54/$J$8</f>
        <v>#DIV/0!</v>
      </c>
      <c r="K54" s="36" t="e">
        <f ca="1">+E54/$E$8</f>
        <v>#DIV/0!</v>
      </c>
      <c r="L54" s="547" t="e">
        <f ca="1">+J54-K54</f>
        <v>#DIV/0!</v>
      </c>
    </row>
    <row r="55" spans="1:12" s="568" customFormat="1" ht="79.5" customHeight="1">
      <c r="A55" s="567" t="s">
        <v>433</v>
      </c>
      <c r="B55" s="546"/>
      <c r="C55" s="547">
        <f>+'Budget Comparativo'!L55</f>
        <v>30500</v>
      </c>
      <c r="D55" s="547">
        <f ca="1">+'Budget Comparativo'!M55</f>
        <v>30500</v>
      </c>
      <c r="E55" s="547">
        <f ca="1">+'Budget Comparativo'!N55</f>
        <v>32132.098398576512</v>
      </c>
      <c r="F55" s="547">
        <f t="shared" ca="1" si="11"/>
        <v>-1632.0983985765124</v>
      </c>
      <c r="G55" s="622" t="s">
        <v>759</v>
      </c>
      <c r="H55" s="650">
        <f ca="1">IF(ROUND(E55,0)=0,0,IF(C55=0,0,+E55/C55))</f>
        <v>1.053511422904148</v>
      </c>
      <c r="J55" s="36" t="e">
        <f>+C55/$J$8</f>
        <v>#DIV/0!</v>
      </c>
      <c r="K55" s="36" t="e">
        <f ca="1">+E55/$E$8</f>
        <v>#DIV/0!</v>
      </c>
      <c r="L55" s="547" t="e">
        <f ca="1">+J55-K55</f>
        <v>#DIV/0!</v>
      </c>
    </row>
    <row r="56" spans="1:12" s="568" customFormat="1" ht="13.5" thickBot="1">
      <c r="A56" s="567" t="s">
        <v>434</v>
      </c>
      <c r="B56" s="546"/>
      <c r="C56" s="547">
        <f>+'Budget Comparativo'!L57</f>
        <v>0</v>
      </c>
      <c r="D56" s="547">
        <f>+'Budget Comparativo'!M57</f>
        <v>0</v>
      </c>
      <c r="E56" s="547">
        <f>+'Budget Comparativo'!N57</f>
        <v>0</v>
      </c>
      <c r="F56" s="547">
        <f t="shared" si="11"/>
        <v>0</v>
      </c>
      <c r="G56" s="677"/>
      <c r="H56" s="650">
        <f>IF(ROUND(E56,0)=0,0,IF(C56=0,0,+E56/C56))</f>
        <v>0</v>
      </c>
      <c r="J56" s="36" t="e">
        <f>+C56/$J$8</f>
        <v>#DIV/0!</v>
      </c>
      <c r="K56" s="36" t="e">
        <f>+E56/$E$8</f>
        <v>#DIV/0!</v>
      </c>
      <c r="L56" s="547" t="e">
        <f>+J56-K56</f>
        <v>#DIV/0!</v>
      </c>
    </row>
    <row r="57" spans="1:12" s="568" customFormat="1" ht="13.5" thickBot="1">
      <c r="A57" s="582" t="s">
        <v>435</v>
      </c>
      <c r="B57" s="546"/>
      <c r="C57" s="583">
        <f>+SUM(C53:C56)</f>
        <v>30500</v>
      </c>
      <c r="D57" s="583">
        <f ca="1">+SUM(D53:D56)</f>
        <v>30500</v>
      </c>
      <c r="E57" s="583">
        <f ca="1">+SUM(E53:E56)</f>
        <v>32132.098398576512</v>
      </c>
      <c r="F57" s="583">
        <f ca="1">+SUM(F53:F56)</f>
        <v>-1632.0983985765124</v>
      </c>
      <c r="G57" s="663"/>
      <c r="H57" s="583"/>
      <c r="J57" s="583" t="e">
        <f>+SUM(J53:J56)</f>
        <v>#DIV/0!</v>
      </c>
      <c r="K57" s="583" t="e">
        <f ca="1">+SUM(K53:K56)</f>
        <v>#DIV/0!</v>
      </c>
      <c r="L57" s="583" t="e">
        <f ca="1">+SUM(L53:L56)</f>
        <v>#DIV/0!</v>
      </c>
    </row>
    <row r="58" spans="1:12" s="49" customFormat="1" ht="4">
      <c r="A58" s="536"/>
      <c r="B58" s="88"/>
      <c r="G58" s="98"/>
    </row>
    <row r="59" spans="1:12">
      <c r="J59" s="177" t="e">
        <f>+C51/C8-J51</f>
        <v>#DIV/0!</v>
      </c>
      <c r="K59" s="177" t="e">
        <f ca="1">+E51/E8-K51</f>
        <v>#DIV/0!</v>
      </c>
    </row>
    <row r="60" spans="1:12" s="364" customFormat="1">
      <c r="A60" s="584" t="s">
        <v>426</v>
      </c>
      <c r="B60" s="363"/>
      <c r="C60" s="596">
        <v>355843</v>
      </c>
      <c r="E60" s="596">
        <f ca="1">+E57+E51-E18</f>
        <v>33589.363886120998</v>
      </c>
      <c r="G60" s="366"/>
      <c r="J60" s="596" t="e">
        <f>+C57/C8-J57</f>
        <v>#DIV/0!</v>
      </c>
      <c r="K60" s="596" t="e">
        <f ca="1">+E57/E8-K57</f>
        <v>#DIV/0!</v>
      </c>
    </row>
    <row r="61" spans="1:12" ht="12.5">
      <c r="A61" s="95" t="s">
        <v>21</v>
      </c>
      <c r="B61" s="16"/>
      <c r="C61" s="177">
        <f>+C18+C51+C57-C60</f>
        <v>-321743</v>
      </c>
      <c r="E61" s="177">
        <f ca="1">+E60-'Budget Comparativo'!N61</f>
        <v>0</v>
      </c>
    </row>
  </sheetData>
  <autoFilter ref="A7:H61"/>
  <mergeCells count="4">
    <mergeCell ref="J5:L5"/>
    <mergeCell ref="J6:L6"/>
    <mergeCell ref="C5:H5"/>
    <mergeCell ref="C6:H6"/>
  </mergeCells>
  <conditionalFormatting sqref="A5">
    <cfRule type="cellIs" dxfId="103" priority="43" stopIfTrue="1" operator="notEqual">
      <formula>"ok"</formula>
    </cfRule>
  </conditionalFormatting>
  <conditionalFormatting sqref="F14:F16">
    <cfRule type="cellIs" dxfId="102" priority="20" operator="lessThan">
      <formula>0</formula>
    </cfRule>
  </conditionalFormatting>
  <conditionalFormatting sqref="F23:F57">
    <cfRule type="cellIs" dxfId="101" priority="25" operator="lessThan">
      <formula>0</formula>
    </cfRule>
  </conditionalFormatting>
  <conditionalFormatting sqref="H24:H31 H38:H41 H43:H49 H53:H56">
    <cfRule type="cellIs" dxfId="100" priority="192" operator="greaterThan">
      <formula>#REF!</formula>
    </cfRule>
  </conditionalFormatting>
  <conditionalFormatting sqref="L14:L16">
    <cfRule type="cellIs" dxfId="99" priority="12" operator="lessThan">
      <formula>0</formula>
    </cfRule>
  </conditionalFormatting>
  <conditionalFormatting sqref="L24:L26">
    <cfRule type="cellIs" dxfId="98" priority="11" operator="lessThan">
      <formula>0</formula>
    </cfRule>
  </conditionalFormatting>
  <conditionalFormatting sqref="L28:L33">
    <cfRule type="cellIs" dxfId="97" priority="10" operator="lessThan">
      <formula>0</formula>
    </cfRule>
  </conditionalFormatting>
  <conditionalFormatting sqref="L35:L41">
    <cfRule type="cellIs" dxfId="96" priority="9" operator="lessThan">
      <formula>0</formula>
    </cfRule>
  </conditionalFormatting>
  <conditionalFormatting sqref="L43:L50">
    <cfRule type="cellIs" dxfId="95" priority="8" operator="lessThan">
      <formula>0</formula>
    </cfRule>
  </conditionalFormatting>
  <conditionalFormatting sqref="L52:L56">
    <cfRule type="cellIs" dxfId="94" priority="7" operator="lessThan">
      <formula>0</formula>
    </cfRule>
  </conditionalFormatting>
  <printOptions horizontalCentered="1"/>
  <pageMargins left="0" right="0" top="0" bottom="0" header="0" footer="0"/>
  <pageSetup scale="51" orientation="landscape" horizontalDpi="300" r:id="rId1"/>
  <headerFooter alignWithMargins="0"/>
</worksheet>
</file>

<file path=xl/worksheets/sheet28.xml><?xml version="1.0" encoding="utf-8"?>
<worksheet xmlns="http://schemas.openxmlformats.org/spreadsheetml/2006/main" xmlns:r="http://schemas.openxmlformats.org/officeDocument/2006/relationships">
  <sheetPr codeName="Hoja10">
    <tabColor rgb="FFFFFF00"/>
    <pageSetUpPr fitToPage="1"/>
  </sheetPr>
  <dimension ref="A1:L61"/>
  <sheetViews>
    <sheetView view="pageBreakPreview" zoomScale="70" zoomScaleNormal="70" zoomScaleSheetLayoutView="70" workbookViewId="0">
      <pane xSplit="2" ySplit="10" topLeftCell="C44" activePane="bottomRight" state="frozen"/>
      <selection pane="topRight" activeCell="E1" sqref="E1"/>
      <selection pane="bottomLeft" activeCell="A11" sqref="A11"/>
      <selection pane="bottomRight" activeCell="I54" sqref="I54"/>
    </sheetView>
  </sheetViews>
  <sheetFormatPr baseColWidth="10" defaultColWidth="8.81640625" defaultRowHeight="13"/>
  <cols>
    <col min="1" max="1" width="61.36328125" style="349" bestFit="1" customWidth="1"/>
    <col min="2" max="2" width="4.453125" style="14" bestFit="1" customWidth="1"/>
    <col min="3" max="3" width="14.6328125" style="16" bestFit="1" customWidth="1"/>
    <col min="4" max="4" width="18.36328125" style="16" bestFit="1" customWidth="1"/>
    <col min="5" max="5" width="12.1796875" style="16" bestFit="1" customWidth="1"/>
    <col min="6" max="6" width="16.6328125" style="16" bestFit="1" customWidth="1"/>
    <col min="7" max="7" width="29.36328125" style="16" bestFit="1" customWidth="1"/>
    <col min="8" max="8" width="5.81640625" style="16" bestFit="1" customWidth="1"/>
    <col min="9" max="9" width="3.1796875" style="16" customWidth="1"/>
    <col min="10" max="10" width="8.81640625" style="16" bestFit="1" customWidth="1"/>
    <col min="11" max="11" width="5.81640625" style="16" bestFit="1" customWidth="1"/>
    <col min="12" max="12" width="6.36328125" style="16" bestFit="1" customWidth="1"/>
    <col min="13" max="13" width="3.1796875" style="16" customWidth="1"/>
    <col min="14" max="16384" width="8.81640625" style="16"/>
  </cols>
  <sheetData>
    <row r="1" spans="1:12" s="532" customFormat="1" ht="3.5">
      <c r="A1" s="531"/>
      <c r="B1" s="531"/>
      <c r="C1" s="531"/>
      <c r="D1" s="531"/>
      <c r="E1" s="531"/>
      <c r="F1" s="531"/>
      <c r="G1" s="531"/>
      <c r="H1" s="531"/>
    </row>
    <row r="2" spans="1:12" ht="23">
      <c r="A2" s="533" t="s">
        <v>436</v>
      </c>
      <c r="C2" s="20"/>
      <c r="D2" s="20"/>
      <c r="E2" s="20"/>
      <c r="F2" s="20"/>
      <c r="G2" s="20"/>
      <c r="H2" s="20"/>
    </row>
    <row r="3" spans="1:12" ht="23">
      <c r="A3" s="535" t="s">
        <v>381</v>
      </c>
      <c r="B3" s="533"/>
      <c r="C3" s="20" t="str">
        <f ca="1">IF(ROUND(C61,2)=0,"ok","Check")</f>
        <v>Check</v>
      </c>
      <c r="D3" s="20"/>
      <c r="E3" s="20" t="str">
        <f ca="1">IF(ROUND(E61,2)=0,"ok","Check")</f>
        <v>Check</v>
      </c>
      <c r="F3" s="20"/>
      <c r="G3" s="20"/>
      <c r="H3" s="20"/>
    </row>
    <row r="4" spans="1:12" s="49" customFormat="1" ht="4.5" thickBot="1">
      <c r="A4" s="536"/>
      <c r="B4" s="88"/>
    </row>
    <row r="5" spans="1:12" s="26" customFormat="1" ht="35.5" customHeight="1" thickBot="1">
      <c r="A5" s="537" t="s">
        <v>382</v>
      </c>
      <c r="B5" s="24"/>
      <c r="C5" s="895" t="s">
        <v>768</v>
      </c>
      <c r="D5" s="890"/>
      <c r="E5" s="890"/>
      <c r="F5" s="890"/>
      <c r="G5" s="890"/>
      <c r="H5" s="891"/>
      <c r="J5" s="889" t="s">
        <v>730</v>
      </c>
      <c r="K5" s="890"/>
      <c r="L5" s="891"/>
    </row>
    <row r="6" spans="1:12" ht="16" thickBot="1">
      <c r="A6" s="538"/>
      <c r="B6" s="27"/>
      <c r="C6" s="892" t="s">
        <v>384</v>
      </c>
      <c r="D6" s="893"/>
      <c r="E6" s="893"/>
      <c r="F6" s="893"/>
      <c r="G6" s="893"/>
      <c r="H6" s="894"/>
      <c r="J6" s="892"/>
      <c r="K6" s="893"/>
      <c r="L6" s="894"/>
    </row>
    <row r="7" spans="1:12" ht="39.5" thickBot="1">
      <c r="A7" s="540" t="s">
        <v>386</v>
      </c>
      <c r="B7" s="18"/>
      <c r="C7" s="593" t="s">
        <v>715</v>
      </c>
      <c r="D7" s="32" t="s">
        <v>716</v>
      </c>
      <c r="E7" s="32" t="s">
        <v>717</v>
      </c>
      <c r="F7" s="32" t="s">
        <v>718</v>
      </c>
      <c r="G7" s="594" t="s">
        <v>719</v>
      </c>
      <c r="H7" s="31"/>
      <c r="J7" s="32" t="s">
        <v>715</v>
      </c>
      <c r="K7" s="32" t="s">
        <v>717</v>
      </c>
      <c r="L7" s="32" t="s">
        <v>731</v>
      </c>
    </row>
    <row r="8" spans="1:12">
      <c r="A8" s="541" t="s">
        <v>95</v>
      </c>
      <c r="B8" s="38"/>
      <c r="C8" s="36">
        <f>+'Budget Comparativo'!R8</f>
        <v>1529</v>
      </c>
      <c r="D8" s="36">
        <f>+'Budget Comparativo'!S8</f>
        <v>1061</v>
      </c>
      <c r="E8" s="665">
        <f>+'Budget Comparativo'!T8</f>
        <v>1061</v>
      </c>
      <c r="F8" s="36"/>
      <c r="G8" s="36"/>
      <c r="H8" s="36"/>
      <c r="J8" s="36">
        <f>+C8</f>
        <v>1529</v>
      </c>
      <c r="K8" s="36">
        <f>+E8</f>
        <v>1061</v>
      </c>
      <c r="L8" s="629">
        <f>+K8/J8</f>
        <v>0.6939175931981687</v>
      </c>
    </row>
    <row r="9" spans="1:12">
      <c r="A9" s="541" t="s">
        <v>96</v>
      </c>
      <c r="B9" s="38"/>
      <c r="C9" s="36">
        <f>+'Budget Comparativo'!R9</f>
        <v>510</v>
      </c>
      <c r="D9" s="36">
        <f>+'Budget Comparativo'!S9</f>
        <v>295</v>
      </c>
      <c r="E9" s="665">
        <f>+'Budget Comparativo'!T9</f>
        <v>295</v>
      </c>
      <c r="F9" s="36"/>
      <c r="G9" s="36"/>
      <c r="H9" s="36"/>
      <c r="J9" s="36">
        <f>+C9</f>
        <v>510</v>
      </c>
      <c r="K9" s="36">
        <f>+E9</f>
        <v>295</v>
      </c>
      <c r="L9" s="629">
        <f>+K9/J9</f>
        <v>0.57843137254901966</v>
      </c>
    </row>
    <row r="10" spans="1:12" ht="13.5" thickBot="1">
      <c r="A10" s="541" t="s">
        <v>204</v>
      </c>
      <c r="B10" s="38"/>
      <c r="C10" s="36">
        <f>+'Budget Comparativo'!R10</f>
        <v>12</v>
      </c>
      <c r="D10" s="36">
        <f>+'Budget Comparativo'!S10</f>
        <v>9</v>
      </c>
      <c r="E10" s="36">
        <f>+'Budget Comparativo'!T10</f>
        <v>9</v>
      </c>
      <c r="F10" s="36"/>
      <c r="G10" s="36"/>
      <c r="H10" s="629">
        <f>IF(ROUND(E10,0)=0,0,IF(C10=0,0,+E10/C10))</f>
        <v>0.75</v>
      </c>
      <c r="J10" s="36">
        <f>+C10</f>
        <v>12</v>
      </c>
      <c r="K10" s="36">
        <f>+E10</f>
        <v>9</v>
      </c>
      <c r="L10" s="629">
        <f>+K10/J10</f>
        <v>0.75</v>
      </c>
    </row>
    <row r="11" spans="1:12" ht="13.5" thickBot="1">
      <c r="A11" s="542" t="s">
        <v>387</v>
      </c>
      <c r="B11" s="41"/>
      <c r="C11" s="32"/>
      <c r="D11" s="32"/>
      <c r="E11" s="32"/>
      <c r="F11" s="32"/>
      <c r="G11" s="32"/>
      <c r="H11" s="32"/>
      <c r="J11" s="32"/>
      <c r="K11" s="32"/>
      <c r="L11" s="32"/>
    </row>
    <row r="12" spans="1:12" s="49" customFormat="1" ht="4">
      <c r="A12" s="543"/>
      <c r="B12" s="544"/>
      <c r="C12" s="545"/>
      <c r="D12" s="545"/>
      <c r="E12" s="545"/>
      <c r="F12" s="545"/>
      <c r="G12" s="545"/>
      <c r="H12" s="545"/>
      <c r="J12" s="545"/>
      <c r="K12" s="545"/>
      <c r="L12" s="545"/>
    </row>
    <row r="13" spans="1:12">
      <c r="A13" s="562" t="s">
        <v>388</v>
      </c>
      <c r="B13" s="563"/>
      <c r="C13" s="71"/>
      <c r="D13" s="71"/>
      <c r="E13" s="71"/>
      <c r="F13" s="71"/>
      <c r="G13" s="71"/>
      <c r="H13" s="71"/>
      <c r="J13" s="71"/>
      <c r="K13" s="71"/>
      <c r="L13" s="71"/>
    </row>
    <row r="14" spans="1:12" s="548" customFormat="1">
      <c r="A14" s="564" t="s">
        <v>158</v>
      </c>
      <c r="B14" s="546"/>
      <c r="C14" s="547">
        <f>+'Budget Comparativo'!R14</f>
        <v>15290</v>
      </c>
      <c r="D14" s="547">
        <f>+'Budget Comparativo'!S14</f>
        <v>10610</v>
      </c>
      <c r="E14" s="547">
        <f ca="1">+'Budget Comparativo'!T14</f>
        <v>12780</v>
      </c>
      <c r="F14" s="547">
        <f ca="1">+E14-D14</f>
        <v>2170</v>
      </c>
      <c r="G14" s="547"/>
      <c r="H14" s="547"/>
      <c r="J14" s="36">
        <f>+C14/$C$8</f>
        <v>10</v>
      </c>
      <c r="K14" s="36">
        <f ca="1">+E14/$K$8</f>
        <v>12.045240339302545</v>
      </c>
      <c r="L14" s="547">
        <f ca="1">+K14-J14</f>
        <v>2.0452403393025449</v>
      </c>
    </row>
    <row r="15" spans="1:12" s="548" customFormat="1">
      <c r="A15" s="565" t="s">
        <v>389</v>
      </c>
      <c r="B15" s="546"/>
      <c r="C15" s="547">
        <f>+'Budget Comparativo'!R15</f>
        <v>30580</v>
      </c>
      <c r="D15" s="547">
        <f>+'Budget Comparativo'!S15</f>
        <v>21220</v>
      </c>
      <c r="E15" s="547">
        <f ca="1">+'Budget Comparativo'!T15</f>
        <v>18846.84</v>
      </c>
      <c r="F15" s="547">
        <f ca="1">+E15-D15</f>
        <v>-2373.16</v>
      </c>
      <c r="G15" s="547" t="s">
        <v>533</v>
      </c>
      <c r="H15" s="547"/>
      <c r="J15" s="36">
        <f>+C15/$C$8</f>
        <v>20</v>
      </c>
      <c r="K15" s="36">
        <f ca="1">+E15/$K$8</f>
        <v>17.763279924599434</v>
      </c>
      <c r="L15" s="547">
        <f ca="1">+K15-J15</f>
        <v>-2.2367200754005658</v>
      </c>
    </row>
    <row r="16" spans="1:12" s="548" customFormat="1" ht="26">
      <c r="A16" s="549" t="s">
        <v>159</v>
      </c>
      <c r="B16" s="546"/>
      <c r="C16" s="547">
        <f>+'Budget Comparativo'!R16</f>
        <v>139139</v>
      </c>
      <c r="D16" s="547">
        <f>+'Budget Comparativo'!S16</f>
        <v>96551</v>
      </c>
      <c r="E16" s="547">
        <f ca="1">+'Budget Comparativo'!T16</f>
        <v>103757.1</v>
      </c>
      <c r="F16" s="547">
        <f ca="1">+E16-D16</f>
        <v>7206.1000000000058</v>
      </c>
      <c r="G16" s="648" t="s">
        <v>520</v>
      </c>
      <c r="H16" s="649">
        <f ca="1">IF(ROUND(E16,2)=0,0,(+E16/115)/E8)</f>
        <v>0.85036347990001238</v>
      </c>
      <c r="J16" s="36">
        <f>+C16/$C$8</f>
        <v>91</v>
      </c>
      <c r="K16" s="36">
        <f ca="1">+E16/$K$8</f>
        <v>97.791800188501426</v>
      </c>
      <c r="L16" s="547">
        <f ca="1">+K16-J16</f>
        <v>6.7918001885014263</v>
      </c>
    </row>
    <row r="17" spans="1:12" s="555" customFormat="1" ht="11" thickBot="1">
      <c r="A17" s="552" t="s">
        <v>225</v>
      </c>
      <c r="B17" s="553"/>
      <c r="C17" s="554"/>
      <c r="D17" s="554"/>
      <c r="E17" s="554"/>
      <c r="F17" s="554"/>
      <c r="G17" s="554"/>
      <c r="H17" s="554"/>
      <c r="J17" s="554"/>
      <c r="K17" s="554"/>
      <c r="L17" s="554"/>
    </row>
    <row r="18" spans="1:12" s="559" customFormat="1" ht="14.5" thickBot="1">
      <c r="A18" s="556" t="s">
        <v>390</v>
      </c>
      <c r="B18" s="557"/>
      <c r="C18" s="558">
        <f>SUM(C13:C17)</f>
        <v>185009</v>
      </c>
      <c r="D18" s="558">
        <f>SUM(D13:D17)</f>
        <v>128381</v>
      </c>
      <c r="E18" s="558">
        <f ca="1">SUM(E13:E17)</f>
        <v>135383.94</v>
      </c>
      <c r="F18" s="558">
        <f ca="1">SUM(F13:F17)</f>
        <v>7002.940000000006</v>
      </c>
      <c r="G18" s="558"/>
      <c r="H18" s="558"/>
      <c r="J18" s="558">
        <f>SUM(J13:J17)</f>
        <v>121</v>
      </c>
      <c r="K18" s="558">
        <f ca="1">SUM(K13:K17)</f>
        <v>127.60032045240341</v>
      </c>
      <c r="L18" s="558">
        <f ca="1">SUM(L13:L17)</f>
        <v>6.6003204524034054</v>
      </c>
    </row>
    <row r="19" spans="1:12" s="49" customFormat="1" ht="4.5" thickBot="1">
      <c r="A19" s="560"/>
      <c r="B19" s="561"/>
      <c r="C19" s="45"/>
      <c r="D19" s="45"/>
      <c r="E19" s="45"/>
      <c r="F19" s="45"/>
      <c r="G19" s="45"/>
      <c r="H19" s="45"/>
      <c r="J19" s="45"/>
      <c r="K19" s="45"/>
      <c r="L19" s="45"/>
    </row>
    <row r="20" spans="1:12" ht="13.5" thickBot="1">
      <c r="A20" s="542" t="s">
        <v>391</v>
      </c>
      <c r="B20" s="41"/>
      <c r="C20" s="32"/>
      <c r="D20" s="32"/>
      <c r="E20" s="32"/>
      <c r="F20" s="32"/>
      <c r="G20" s="32"/>
      <c r="H20" s="32"/>
      <c r="J20" s="32"/>
      <c r="K20" s="32"/>
      <c r="L20" s="32"/>
    </row>
    <row r="21" spans="1:12" s="49" customFormat="1" ht="4">
      <c r="A21" s="560"/>
      <c r="B21" s="561"/>
      <c r="C21" s="45"/>
      <c r="D21" s="45"/>
      <c r="E21" s="45"/>
      <c r="F21" s="45"/>
      <c r="G21" s="45"/>
      <c r="H21" s="45"/>
      <c r="J21" s="45"/>
      <c r="K21" s="45"/>
      <c r="L21" s="45"/>
    </row>
    <row r="22" spans="1:12">
      <c r="A22" s="562" t="s">
        <v>392</v>
      </c>
      <c r="B22" s="566"/>
      <c r="C22" s="71"/>
      <c r="D22" s="71"/>
      <c r="E22" s="71"/>
      <c r="F22" s="71"/>
      <c r="G22" s="71"/>
      <c r="H22" s="71"/>
      <c r="J22" s="71"/>
      <c r="K22" s="71"/>
      <c r="L22" s="71"/>
    </row>
    <row r="23" spans="1:12" s="572" customFormat="1" ht="16">
      <c r="A23" s="619" t="s">
        <v>393</v>
      </c>
      <c r="B23" s="570"/>
      <c r="C23" s="571">
        <f>+SUM(C24:C26)</f>
        <v>127670</v>
      </c>
      <c r="D23" s="571">
        <f ca="1">+SUM(D24:D26)</f>
        <v>114047.25</v>
      </c>
      <c r="E23" s="571">
        <f ca="1">+SUM(E24:E26)</f>
        <v>114345.38999999998</v>
      </c>
      <c r="F23" s="571">
        <f ca="1">+SUM(F24:F26)</f>
        <v>-298.13999999999942</v>
      </c>
      <c r="G23" s="571"/>
      <c r="H23" s="571"/>
      <c r="J23" s="571">
        <f>+SUM(J24:J26)</f>
        <v>83.499018966644854</v>
      </c>
      <c r="K23" s="571">
        <f ca="1">+SUM(K24:K26)</f>
        <v>107.77133836003769</v>
      </c>
      <c r="L23" s="571">
        <f ca="1">+SUM(L24:L26)</f>
        <v>-24.272319393392827</v>
      </c>
    </row>
    <row r="24" spans="1:12" s="568" customFormat="1" ht="16">
      <c r="A24" s="573" t="s">
        <v>394</v>
      </c>
      <c r="B24" s="574"/>
      <c r="C24" s="547">
        <f>+'Budget Comparativo'!R24</f>
        <v>76800</v>
      </c>
      <c r="D24" s="547">
        <f ca="1">+'Budget Comparativo'!S24</f>
        <v>76800</v>
      </c>
      <c r="E24" s="547">
        <f ca="1">+'Budget Comparativo'!T24</f>
        <v>77098.14</v>
      </c>
      <c r="F24" s="547">
        <f ca="1">+D24-E24</f>
        <v>-298.13999999999942</v>
      </c>
      <c r="G24" s="571"/>
      <c r="H24" s="650">
        <f ca="1">IF(ROUND(E24,0)=0,0,IF(C24=0,0,+E24/C24))</f>
        <v>1.0038820312500001</v>
      </c>
      <c r="J24" s="36">
        <f>+C24/$C$8</f>
        <v>50.228907782864617</v>
      </c>
      <c r="K24" s="36">
        <f ca="1">+E24/$K$8</f>
        <v>72.665541941564555</v>
      </c>
      <c r="L24" s="547">
        <f ca="1">+J24-K24</f>
        <v>-22.436634158699938</v>
      </c>
    </row>
    <row r="25" spans="1:12" s="568" customFormat="1">
      <c r="A25" s="573" t="s">
        <v>395</v>
      </c>
      <c r="B25" s="574"/>
      <c r="C25" s="547">
        <f>+'Budget Comparativo'!R25</f>
        <v>45870</v>
      </c>
      <c r="D25" s="547">
        <f ca="1">+'Budget Comparativo'!S25</f>
        <v>32713.959999999995</v>
      </c>
      <c r="E25" s="547">
        <f ca="1">+'Budget Comparativo'!T25</f>
        <v>32713.959999999995</v>
      </c>
      <c r="F25" s="547">
        <f t="shared" ref="F25:F49" ca="1" si="0">+D25-E25</f>
        <v>0</v>
      </c>
      <c r="G25" s="547"/>
      <c r="H25" s="650">
        <f ca="1">IF(ROUND(E25,0)=0,0,+E25/C25)</f>
        <v>0.71318857641159794</v>
      </c>
      <c r="J25" s="36">
        <f>+C25/$J$8</f>
        <v>30</v>
      </c>
      <c r="K25" s="36">
        <f ca="1">+E25/$K$8</f>
        <v>30.833138548539111</v>
      </c>
      <c r="L25" s="547">
        <f ca="1">+J25-K25</f>
        <v>-0.83313854853911096</v>
      </c>
    </row>
    <row r="26" spans="1:12" s="568" customFormat="1">
      <c r="A26" s="573" t="s">
        <v>396</v>
      </c>
      <c r="B26" s="574"/>
      <c r="C26" s="547">
        <f>+'Budget Comparativo'!R26</f>
        <v>5000</v>
      </c>
      <c r="D26" s="547">
        <f ca="1">+'Budget Comparativo'!S26</f>
        <v>4533.2900000000009</v>
      </c>
      <c r="E26" s="547">
        <f ca="1">+'Budget Comparativo'!T26</f>
        <v>4533.2900000000009</v>
      </c>
      <c r="F26" s="547">
        <f t="shared" ca="1" si="0"/>
        <v>0</v>
      </c>
      <c r="G26" s="547"/>
      <c r="H26" s="650">
        <f t="shared" ref="H26:H31" ca="1" si="1">IF(ROUND(E26,0)=0,0,IF(C26=0,0,+E26/C26))</f>
        <v>0.90665800000000019</v>
      </c>
      <c r="J26" s="36">
        <f>+C26/$J$8</f>
        <v>3.2701111837802483</v>
      </c>
      <c r="K26" s="36">
        <f ca="1">+E26/$K$8</f>
        <v>4.272657869934025</v>
      </c>
      <c r="L26" s="547">
        <f ca="1">+J26-K26</f>
        <v>-1.0025466861537766</v>
      </c>
    </row>
    <row r="27" spans="1:12" s="577" customFormat="1" ht="26">
      <c r="A27" s="618" t="s">
        <v>397</v>
      </c>
      <c r="B27" s="576"/>
      <c r="C27" s="571">
        <f>+SUM(C28:C31)</f>
        <v>461000</v>
      </c>
      <c r="D27" s="571">
        <f ca="1">+SUM(D28:D31)</f>
        <v>310951.02009584074</v>
      </c>
      <c r="E27" s="571">
        <f ca="1">+SUM(E28:E31)</f>
        <v>310951.02009584074</v>
      </c>
      <c r="F27" s="571">
        <f ca="1">+SUM(F28:F31)</f>
        <v>0</v>
      </c>
      <c r="G27" s="622" t="s">
        <v>760</v>
      </c>
      <c r="H27" s="650">
        <f t="shared" ca="1" si="1"/>
        <v>0.67451414337492566</v>
      </c>
      <c r="J27" s="571">
        <f>+SUM(J28:J31)</f>
        <v>301.50425114453896</v>
      </c>
      <c r="K27" s="571">
        <f ca="1">+SUM(K28:K31)</f>
        <v>293.07353449183864</v>
      </c>
      <c r="L27" s="571">
        <f ca="1">+SUM(L28:L31)</f>
        <v>8.4307166527002941</v>
      </c>
    </row>
    <row r="28" spans="1:12" s="568" customFormat="1">
      <c r="A28" s="573" t="s">
        <v>398</v>
      </c>
      <c r="B28" s="574"/>
      <c r="C28" s="547">
        <f>+'Budget Comparativo'!R28</f>
        <v>87000</v>
      </c>
      <c r="D28" s="547">
        <f ca="1">+'Budget Comparativo'!S28</f>
        <v>60782.456914893621</v>
      </c>
      <c r="E28" s="547">
        <f ca="1">+'Budget Comparativo'!T28</f>
        <v>60782.456914893621</v>
      </c>
      <c r="F28" s="547">
        <f t="shared" ca="1" si="0"/>
        <v>0</v>
      </c>
      <c r="G28" s="547"/>
      <c r="H28" s="650">
        <f t="shared" ca="1" si="1"/>
        <v>0.69864893005624851</v>
      </c>
      <c r="J28" s="36">
        <f t="shared" ref="J28:J33" si="2">+C28/$J$8</f>
        <v>56.899934597776323</v>
      </c>
      <c r="K28" s="36">
        <f t="shared" ref="K28:K33" ca="1" si="3">+E28/$K$8</f>
        <v>57.287895301501997</v>
      </c>
      <c r="L28" s="547">
        <f t="shared" ref="L28:L33" ca="1" si="4">+J28-K28</f>
        <v>-0.3879607037256747</v>
      </c>
    </row>
    <row r="29" spans="1:12" s="568" customFormat="1">
      <c r="A29" s="573" t="s">
        <v>399</v>
      </c>
      <c r="B29" s="574"/>
      <c r="C29" s="547">
        <f>+'Budget Comparativo'!R29</f>
        <v>198000</v>
      </c>
      <c r="D29" s="547">
        <f ca="1">+'Budget Comparativo'!S29</f>
        <v>119564.33256410254</v>
      </c>
      <c r="E29" s="547">
        <f ca="1">+'Budget Comparativo'!T29</f>
        <v>119564.33256410254</v>
      </c>
      <c r="F29" s="547">
        <f t="shared" ca="1" si="0"/>
        <v>0</v>
      </c>
      <c r="G29" s="622"/>
      <c r="H29" s="650">
        <f t="shared" ca="1" si="1"/>
        <v>0.60386026547526539</v>
      </c>
      <c r="J29" s="36">
        <f t="shared" si="2"/>
        <v>129.49640287769785</v>
      </c>
      <c r="K29" s="36">
        <f t="shared" ca="1" si="3"/>
        <v>112.69022861838128</v>
      </c>
      <c r="L29" s="547">
        <f t="shared" ca="1" si="4"/>
        <v>16.806174259316563</v>
      </c>
    </row>
    <row r="30" spans="1:12" s="568" customFormat="1" ht="26">
      <c r="A30" s="573" t="s">
        <v>400</v>
      </c>
      <c r="B30" s="574"/>
      <c r="C30" s="547">
        <f>+'Budget Comparativo'!R30</f>
        <v>132000</v>
      </c>
      <c r="D30" s="547">
        <f ca="1">+'Budget Comparativo'!S30</f>
        <v>101787.5242065882</v>
      </c>
      <c r="E30" s="547">
        <f ca="1">+'Budget Comparativo'!T30</f>
        <v>101787.5242065882</v>
      </c>
      <c r="F30" s="547">
        <f t="shared" ca="1" si="0"/>
        <v>0</v>
      </c>
      <c r="G30" s="622" t="s">
        <v>761</v>
      </c>
      <c r="H30" s="650">
        <f t="shared" ca="1" si="1"/>
        <v>0.77111760762566817</v>
      </c>
      <c r="J30" s="36">
        <f t="shared" si="2"/>
        <v>86.330935251798564</v>
      </c>
      <c r="K30" s="36">
        <f t="shared" ca="1" si="3"/>
        <v>95.935461080667494</v>
      </c>
      <c r="L30" s="547">
        <f t="shared" ca="1" si="4"/>
        <v>-9.6045258288689297</v>
      </c>
    </row>
    <row r="31" spans="1:12" s="568" customFormat="1">
      <c r="A31" s="573" t="s">
        <v>401</v>
      </c>
      <c r="B31" s="574"/>
      <c r="C31" s="547">
        <f>+'Budget Comparativo'!R31</f>
        <v>44000</v>
      </c>
      <c r="D31" s="547">
        <f ca="1">+'Budget Comparativo'!S31</f>
        <v>28816.706410256411</v>
      </c>
      <c r="E31" s="547">
        <f ca="1">+'Budget Comparativo'!T31</f>
        <v>28816.706410256411</v>
      </c>
      <c r="F31" s="547">
        <f t="shared" ca="1" si="0"/>
        <v>0</v>
      </c>
      <c r="G31" s="547"/>
      <c r="H31" s="650">
        <f t="shared" ca="1" si="1"/>
        <v>0.6549251456876457</v>
      </c>
      <c r="J31" s="36">
        <f t="shared" si="2"/>
        <v>28.776978417266186</v>
      </c>
      <c r="K31" s="36">
        <f t="shared" ca="1" si="3"/>
        <v>27.159949491287851</v>
      </c>
      <c r="L31" s="547">
        <f t="shared" ca="1" si="4"/>
        <v>1.6170289259783353</v>
      </c>
    </row>
    <row r="32" spans="1:12" s="548" customFormat="1">
      <c r="A32" s="565" t="s">
        <v>402</v>
      </c>
      <c r="B32" s="546"/>
      <c r="C32" s="547">
        <f>+'Budget Comparativo'!R32</f>
        <v>-305800</v>
      </c>
      <c r="D32" s="547">
        <f>+'Budget Comparativo'!S32</f>
        <v>-212200</v>
      </c>
      <c r="E32" s="547">
        <f ca="1">+'Budget Comparativo'!T32</f>
        <v>-213761.4999</v>
      </c>
      <c r="F32" s="547">
        <f t="shared" ca="1" si="0"/>
        <v>1561.4998999999953</v>
      </c>
      <c r="G32" s="547"/>
      <c r="H32" s="547"/>
      <c r="J32" s="36">
        <f t="shared" si="2"/>
        <v>-200</v>
      </c>
      <c r="K32" s="36">
        <f t="shared" ca="1" si="3"/>
        <v>-201.47172469368519</v>
      </c>
      <c r="L32" s="547">
        <f t="shared" ca="1" si="4"/>
        <v>1.4717246936851893</v>
      </c>
    </row>
    <row r="33" spans="1:12" s="568" customFormat="1" ht="64.75" customHeight="1">
      <c r="A33" s="550" t="s">
        <v>403</v>
      </c>
      <c r="B33" s="546"/>
      <c r="C33" s="547">
        <f>+'Budget Comparativo'!R33</f>
        <v>152900</v>
      </c>
      <c r="D33" s="547">
        <f>+'Budget Comparativo'!S33</f>
        <v>106100</v>
      </c>
      <c r="E33" s="547">
        <f ca="1">+'Budget Comparativo'!T33</f>
        <v>106593.08281410257</v>
      </c>
      <c r="F33" s="547">
        <f t="shared" ca="1" si="0"/>
        <v>-493.08281410257041</v>
      </c>
      <c r="G33" s="622" t="s">
        <v>762</v>
      </c>
      <c r="H33" s="547"/>
      <c r="J33" s="36">
        <f t="shared" si="2"/>
        <v>100</v>
      </c>
      <c r="K33" s="36">
        <f t="shared" ca="1" si="3"/>
        <v>100.46473403779696</v>
      </c>
      <c r="L33" s="547">
        <f t="shared" ca="1" si="4"/>
        <v>-0.46473403779695843</v>
      </c>
    </row>
    <row r="34" spans="1:12" s="577" customFormat="1" ht="16">
      <c r="A34" s="618" t="s">
        <v>404</v>
      </c>
      <c r="B34" s="576"/>
      <c r="C34" s="571">
        <f>+SUM(C35:C37)</f>
        <v>71500</v>
      </c>
      <c r="D34" s="571">
        <f>+SUM(D35:D37)</f>
        <v>49615.107913669061</v>
      </c>
      <c r="E34" s="571">
        <f ca="1">+SUM(E35:E37)</f>
        <v>47282.16352564103</v>
      </c>
      <c r="F34" s="571">
        <f ca="1">+SUM(F35:F37)</f>
        <v>2332.9443880280387</v>
      </c>
      <c r="G34" s="571"/>
      <c r="H34" s="571"/>
      <c r="J34" s="571">
        <f>+SUM(J35:J37)</f>
        <v>46.762589928057558</v>
      </c>
      <c r="K34" s="571">
        <f ca="1">+SUM(K35:K37)</f>
        <v>44.563773351216803</v>
      </c>
      <c r="L34" s="571">
        <f ca="1">+SUM(L35:L37)</f>
        <v>2.1988165768407519</v>
      </c>
    </row>
    <row r="35" spans="1:12" s="17" customFormat="1">
      <c r="A35" s="579" t="s">
        <v>405</v>
      </c>
      <c r="B35" s="580"/>
      <c r="C35" s="547">
        <f>+'Budget Comparativo'!R35</f>
        <v>28000</v>
      </c>
      <c r="D35" s="547">
        <f>+'Budget Comparativo'!S35</f>
        <v>19429.692609548725</v>
      </c>
      <c r="E35" s="547">
        <f ca="1">+'Budget Comparativo'!T35</f>
        <v>20038.303333333333</v>
      </c>
      <c r="F35" s="547">
        <f t="shared" ca="1" si="0"/>
        <v>-608.61072378460813</v>
      </c>
      <c r="G35" s="547"/>
      <c r="H35" s="547"/>
      <c r="J35" s="36">
        <f t="shared" ref="J35:J41" si="5">+C35/$J$8</f>
        <v>18.312622629169393</v>
      </c>
      <c r="K35" s="36">
        <f t="shared" ref="K35:K41" ca="1" si="6">+E35/$K$8</f>
        <v>18.886242538485707</v>
      </c>
      <c r="L35" s="547">
        <f t="shared" ref="L35:L41" ca="1" si="7">+J35-K35</f>
        <v>-0.57361990931631368</v>
      </c>
    </row>
    <row r="36" spans="1:12" s="17" customFormat="1">
      <c r="A36" s="579" t="s">
        <v>406</v>
      </c>
      <c r="B36" s="580"/>
      <c r="C36" s="547">
        <f>+'Budget Comparativo'!R36</f>
        <v>38000</v>
      </c>
      <c r="D36" s="547">
        <f>+'Budget Comparativo'!S36</f>
        <v>26368.868541530413</v>
      </c>
      <c r="E36" s="547">
        <f ca="1">+'Budget Comparativo'!T36</f>
        <v>28321.357692307694</v>
      </c>
      <c r="F36" s="547">
        <f t="shared" ca="1" si="0"/>
        <v>-1952.4891507772809</v>
      </c>
      <c r="G36" s="547" t="s">
        <v>763</v>
      </c>
      <c r="H36" s="547"/>
      <c r="J36" s="36">
        <f t="shared" si="5"/>
        <v>24.852844996729889</v>
      </c>
      <c r="K36" s="36">
        <f t="shared" ca="1" si="6"/>
        <v>26.693079823098675</v>
      </c>
      <c r="L36" s="547">
        <f t="shared" ca="1" si="7"/>
        <v>-1.8402348263687855</v>
      </c>
    </row>
    <row r="37" spans="1:12" s="17" customFormat="1">
      <c r="A37" s="579" t="s">
        <v>407</v>
      </c>
      <c r="B37" s="580"/>
      <c r="C37" s="547">
        <f>+'Budget Comparativo'!R37</f>
        <v>5500</v>
      </c>
      <c r="D37" s="547">
        <f>+'Budget Comparativo'!S37</f>
        <v>3816.5467625899278</v>
      </c>
      <c r="E37" s="547">
        <f ca="1">+'Budget Comparativo'!T37</f>
        <v>-1077.4974999999999</v>
      </c>
      <c r="F37" s="547">
        <f t="shared" ca="1" si="0"/>
        <v>4894.0442625899277</v>
      </c>
      <c r="G37" s="547" t="s">
        <v>382</v>
      </c>
      <c r="H37" s="547"/>
      <c r="J37" s="36">
        <f t="shared" si="5"/>
        <v>3.5971223021582732</v>
      </c>
      <c r="K37" s="36">
        <f t="shared" ca="1" si="6"/>
        <v>-1.0155490103675777</v>
      </c>
      <c r="L37" s="547">
        <f t="shared" ca="1" si="7"/>
        <v>4.6126713125258512</v>
      </c>
    </row>
    <row r="38" spans="1:12" s="568" customFormat="1" ht="26">
      <c r="A38" s="551" t="s">
        <v>408</v>
      </c>
      <c r="B38" s="546"/>
      <c r="C38" s="547">
        <f>+'Budget Comparativo'!R38</f>
        <v>40000</v>
      </c>
      <c r="D38" s="547">
        <f ca="1">+'Budget Comparativo'!S38</f>
        <v>34845</v>
      </c>
      <c r="E38" s="547">
        <f ca="1">+'Budget Comparativo'!T38</f>
        <v>34845</v>
      </c>
      <c r="F38" s="547">
        <f t="shared" ca="1" si="0"/>
        <v>0</v>
      </c>
      <c r="G38" s="622" t="s">
        <v>764</v>
      </c>
      <c r="H38" s="650">
        <f ca="1">IF(ROUND(E38,0)=0,0,IF(C38=0,0,+E38/C38))</f>
        <v>0.87112500000000004</v>
      </c>
      <c r="J38" s="36">
        <f t="shared" si="5"/>
        <v>26.160889470241987</v>
      </c>
      <c r="K38" s="36">
        <f t="shared" ca="1" si="6"/>
        <v>32.841658812441096</v>
      </c>
      <c r="L38" s="547">
        <f t="shared" ca="1" si="7"/>
        <v>-6.6807693421991097</v>
      </c>
    </row>
    <row r="39" spans="1:12">
      <c r="A39" s="551" t="s">
        <v>409</v>
      </c>
      <c r="B39" s="546"/>
      <c r="C39" s="547">
        <f>+'Budget Comparativo'!R39</f>
        <v>8000</v>
      </c>
      <c r="D39" s="547">
        <f ca="1">+'Budget Comparativo'!S39</f>
        <v>5595.2459591769075</v>
      </c>
      <c r="E39" s="547">
        <f ca="1">+'Budget Comparativo'!T39</f>
        <v>5595.2459591769075</v>
      </c>
      <c r="F39" s="547">
        <f t="shared" ca="1" si="0"/>
        <v>0</v>
      </c>
      <c r="G39" s="547" t="s">
        <v>382</v>
      </c>
      <c r="H39" s="650">
        <f ca="1">IF(ROUND(E39,0)=0,0,IF(C39=0,0,+E39/C39))</f>
        <v>0.69940574489711349</v>
      </c>
      <c r="J39" s="36">
        <f t="shared" si="5"/>
        <v>5.2321778940483981</v>
      </c>
      <c r="K39" s="36">
        <f t="shared" ca="1" si="6"/>
        <v>5.2735588682157468</v>
      </c>
      <c r="L39" s="547">
        <f t="shared" ca="1" si="7"/>
        <v>-4.1380974167348761E-2</v>
      </c>
    </row>
    <row r="40" spans="1:12" s="568" customFormat="1">
      <c r="A40" s="551" t="s">
        <v>410</v>
      </c>
      <c r="B40" s="546"/>
      <c r="C40" s="547">
        <f>+'Budget Comparativo'!R40</f>
        <v>9000</v>
      </c>
      <c r="D40" s="547">
        <f ca="1">+'Budget Comparativo'!S40</f>
        <v>9000</v>
      </c>
      <c r="E40" s="547">
        <f ca="1">+'Budget Comparativo'!T40</f>
        <v>9937.5408215531916</v>
      </c>
      <c r="F40" s="547">
        <f t="shared" ca="1" si="0"/>
        <v>-937.54082155319156</v>
      </c>
      <c r="G40" s="547" t="s">
        <v>382</v>
      </c>
      <c r="H40" s="650">
        <f ca="1">IF(ROUND(E40,0)=0,0,IF(C40=0,0,+E40/C40))</f>
        <v>1.1041712023947992</v>
      </c>
      <c r="J40" s="36">
        <f t="shared" si="5"/>
        <v>5.8862001308044469</v>
      </c>
      <c r="K40" s="36">
        <f t="shared" ca="1" si="6"/>
        <v>9.3662024708324143</v>
      </c>
      <c r="L40" s="547">
        <f t="shared" ca="1" si="7"/>
        <v>-3.4800023400279674</v>
      </c>
    </row>
    <row r="41" spans="1:12" s="568" customFormat="1">
      <c r="A41" s="550" t="s">
        <v>411</v>
      </c>
      <c r="B41" s="546"/>
      <c r="C41" s="547">
        <f>+'Budget Comparativo'!R41</f>
        <v>84095</v>
      </c>
      <c r="D41" s="547">
        <f ca="1">+'Budget Comparativo'!S41</f>
        <v>57746.73</v>
      </c>
      <c r="E41" s="547">
        <f ca="1">+'Budget Comparativo'!T41</f>
        <v>57746.73</v>
      </c>
      <c r="F41" s="547">
        <f t="shared" ca="1" si="0"/>
        <v>0</v>
      </c>
      <c r="G41" s="622"/>
      <c r="H41" s="650">
        <f ca="1">IF(ROUND(E41,0)=0,0,IF(C41=0,0,+E41/C41))</f>
        <v>0.6866844639990487</v>
      </c>
      <c r="J41" s="36">
        <f t="shared" si="5"/>
        <v>55</v>
      </c>
      <c r="K41" s="36">
        <f t="shared" ca="1" si="6"/>
        <v>54.426701225259194</v>
      </c>
      <c r="L41" s="547">
        <f t="shared" ca="1" si="7"/>
        <v>0.57329877474080604</v>
      </c>
    </row>
    <row r="42" spans="1:12" s="350" customFormat="1" ht="16">
      <c r="A42" s="618" t="s">
        <v>412</v>
      </c>
      <c r="B42" s="581"/>
      <c r="C42" s="571">
        <f>+SUM(C43:C45)</f>
        <v>49000</v>
      </c>
      <c r="D42" s="571">
        <f ca="1">+SUM(D43:D45)</f>
        <v>46801.467179487183</v>
      </c>
      <c r="E42" s="571">
        <f ca="1">+SUM(E43:E45)</f>
        <v>48483.880224473032</v>
      </c>
      <c r="F42" s="571">
        <f ca="1">+SUM(F43:F45)</f>
        <v>-1682.4130449858549</v>
      </c>
      <c r="G42" s="571"/>
      <c r="H42" s="571"/>
      <c r="J42" s="571">
        <f>+SUM(J43:J45)</f>
        <v>32.047089601046437</v>
      </c>
      <c r="K42" s="571">
        <f ca="1">+SUM(K43:K45)</f>
        <v>45.696399834564595</v>
      </c>
      <c r="L42" s="571">
        <f ca="1">+SUM(L43:L45)</f>
        <v>-13.649310233518161</v>
      </c>
    </row>
    <row r="43" spans="1:12" ht="101.25" customHeight="1">
      <c r="A43" s="579" t="s">
        <v>413</v>
      </c>
      <c r="B43" s="74"/>
      <c r="C43" s="547">
        <f>+'Budget Comparativo'!R43</f>
        <v>22000</v>
      </c>
      <c r="D43" s="547">
        <f ca="1">+'Budget Comparativo'!S43</f>
        <v>22000</v>
      </c>
      <c r="E43" s="547">
        <f ca="1">+'Budget Comparativo'!T43</f>
        <v>22207.238686011497</v>
      </c>
      <c r="F43" s="547">
        <f t="shared" ca="1" si="0"/>
        <v>-207.23868601149661</v>
      </c>
      <c r="G43" s="571"/>
      <c r="H43" s="650">
        <f ca="1">IF(ROUND(E43,0)=0,0,+E43/C43)</f>
        <v>1.0094199402732498</v>
      </c>
      <c r="J43" s="36">
        <f t="shared" ref="J43:J49" si="8">+C43/$J$8</f>
        <v>14.388489208633093</v>
      </c>
      <c r="K43" s="36">
        <f t="shared" ref="K43:K49" ca="1" si="9">+E43/$K$8</f>
        <v>20.930479440161637</v>
      </c>
      <c r="L43" s="547">
        <f t="shared" ref="L43:L49" ca="1" si="10">+J43-K43</f>
        <v>-6.5419902315285441</v>
      </c>
    </row>
    <row r="44" spans="1:12">
      <c r="A44" s="579" t="s">
        <v>414</v>
      </c>
      <c r="B44" s="74"/>
      <c r="C44" s="547">
        <f>+'Budget Comparativo'!R44</f>
        <v>9000</v>
      </c>
      <c r="D44" s="547">
        <f ca="1">+'Budget Comparativo'!S44</f>
        <v>9000</v>
      </c>
      <c r="E44" s="547">
        <f ca="1">+'Budget Comparativo'!T44</f>
        <v>10475.174358974358</v>
      </c>
      <c r="F44" s="547">
        <f t="shared" ca="1" si="0"/>
        <v>-1475.1743589743583</v>
      </c>
      <c r="G44" s="547" t="s">
        <v>382</v>
      </c>
      <c r="H44" s="650">
        <f ca="1">IF(ROUND(E44,0)=0,0,IF(C44=0,0,+E44/C44))</f>
        <v>1.1639082621082619</v>
      </c>
      <c r="J44" s="36">
        <f t="shared" si="8"/>
        <v>5.8862001308044469</v>
      </c>
      <c r="K44" s="36">
        <f t="shared" ca="1" si="9"/>
        <v>9.8729258802774353</v>
      </c>
      <c r="L44" s="547">
        <f t="shared" ca="1" si="10"/>
        <v>-3.9867257494729884</v>
      </c>
    </row>
    <row r="45" spans="1:12">
      <c r="A45" s="579" t="s">
        <v>415</v>
      </c>
      <c r="B45" s="74"/>
      <c r="C45" s="547">
        <f>+'Budget Comparativo'!R45</f>
        <v>18000</v>
      </c>
      <c r="D45" s="547">
        <f ca="1">+'Budget Comparativo'!S45</f>
        <v>15801.467179487179</v>
      </c>
      <c r="E45" s="547">
        <f ca="1">+'Budget Comparativo'!T45</f>
        <v>15801.467179487179</v>
      </c>
      <c r="F45" s="547">
        <f t="shared" ca="1" si="0"/>
        <v>0</v>
      </c>
      <c r="G45" s="547" t="s">
        <v>382</v>
      </c>
      <c r="H45" s="650">
        <f ca="1">IF(ROUND(E45,0)=0,0,IF(C45=0,0,+E45/C45))</f>
        <v>0.87785928774928779</v>
      </c>
      <c r="J45" s="36">
        <f t="shared" si="8"/>
        <v>11.772400261608894</v>
      </c>
      <c r="K45" s="36">
        <f t="shared" ca="1" si="9"/>
        <v>14.892994514125522</v>
      </c>
      <c r="L45" s="547">
        <f t="shared" ca="1" si="10"/>
        <v>-3.1205942525166286</v>
      </c>
    </row>
    <row r="46" spans="1:12" s="568" customFormat="1">
      <c r="A46" s="567" t="s">
        <v>416</v>
      </c>
      <c r="B46" s="546"/>
      <c r="C46" s="547">
        <f>+'Budget Comparativo'!R46</f>
        <v>2000</v>
      </c>
      <c r="D46" s="547">
        <f ca="1">+'Budget Comparativo'!S46</f>
        <v>2000</v>
      </c>
      <c r="E46" s="547">
        <f ca="1">+'Budget Comparativo'!T46</f>
        <v>2271.4461538461542</v>
      </c>
      <c r="F46" s="547">
        <f t="shared" ca="1" si="0"/>
        <v>-271.44615384615417</v>
      </c>
      <c r="G46" s="547"/>
      <c r="H46" s="650">
        <f ca="1">IF(ROUND(E46,0)=0,0,+E46/C46)</f>
        <v>1.1357230769230771</v>
      </c>
      <c r="J46" s="36">
        <f t="shared" si="8"/>
        <v>1.3080444735120995</v>
      </c>
      <c r="K46" s="36">
        <f t="shared" ca="1" si="9"/>
        <v>2.1408540564054235</v>
      </c>
      <c r="L46" s="547">
        <f t="shared" ca="1" si="10"/>
        <v>-0.83280958289332396</v>
      </c>
    </row>
    <row r="47" spans="1:12" s="568" customFormat="1">
      <c r="A47" s="564" t="s">
        <v>417</v>
      </c>
      <c r="B47" s="546"/>
      <c r="C47" s="547">
        <f>+'Budget Comparativo'!R47</f>
        <v>6000</v>
      </c>
      <c r="D47" s="547">
        <f ca="1">+'Budget Comparativo'!S47</f>
        <v>3951.0800000000008</v>
      </c>
      <c r="E47" s="547">
        <f ca="1">+'Budget Comparativo'!T47</f>
        <v>3951.0800000000008</v>
      </c>
      <c r="F47" s="547">
        <f t="shared" ca="1" si="0"/>
        <v>0</v>
      </c>
      <c r="G47" s="547"/>
      <c r="H47" s="650">
        <f ca="1">IF(ROUND(E47,0)=0,0,IF(C47=0,0,+E47/C47))</f>
        <v>0.65851333333333351</v>
      </c>
      <c r="J47" s="36">
        <f t="shared" si="8"/>
        <v>3.9241334205362981</v>
      </c>
      <c r="K47" s="36">
        <f t="shared" ca="1" si="9"/>
        <v>3.7239208294062212</v>
      </c>
      <c r="L47" s="547">
        <f t="shared" ca="1" si="10"/>
        <v>0.20021259113007694</v>
      </c>
    </row>
    <row r="48" spans="1:12" s="568" customFormat="1">
      <c r="A48" s="564" t="s">
        <v>522</v>
      </c>
      <c r="B48" s="546"/>
      <c r="C48" s="547">
        <f>+'Budget Comparativo'!R48</f>
        <v>10000</v>
      </c>
      <c r="D48" s="547">
        <f ca="1">+'Budget Comparativo'!S48</f>
        <v>10000</v>
      </c>
      <c r="E48" s="547">
        <f ca="1">+'Budget Comparativo'!T48</f>
        <v>11005.839999999998</v>
      </c>
      <c r="F48" s="547">
        <f t="shared" ca="1" si="0"/>
        <v>-1005.8399999999983</v>
      </c>
      <c r="G48" s="547"/>
      <c r="H48" s="650">
        <f ca="1">IF(ROUND(E48,0)=0,0,IF(C48=0,0,+E48/C48))</f>
        <v>1.1005839999999998</v>
      </c>
      <c r="J48" s="36">
        <f t="shared" si="8"/>
        <v>6.5402223675604967</v>
      </c>
      <c r="K48" s="36">
        <f t="shared" ca="1" si="9"/>
        <v>10.373081998114984</v>
      </c>
      <c r="L48" s="547">
        <f t="shared" ca="1" si="10"/>
        <v>-3.8328596305544869</v>
      </c>
    </row>
    <row r="49" spans="1:12" s="568" customFormat="1">
      <c r="A49" s="567" t="s">
        <v>419</v>
      </c>
      <c r="B49" s="546"/>
      <c r="C49" s="547">
        <f>+'Budget Comparativo'!R49</f>
        <v>16000</v>
      </c>
      <c r="D49" s="547">
        <f ca="1">+'Budget Comparativo'!S49</f>
        <v>14269.900936679607</v>
      </c>
      <c r="E49" s="547">
        <f ca="1">+'Budget Comparativo'!T49</f>
        <v>14269.900936679607</v>
      </c>
      <c r="F49" s="547">
        <f t="shared" ca="1" si="0"/>
        <v>0</v>
      </c>
      <c r="G49" s="547" t="s">
        <v>765</v>
      </c>
      <c r="H49" s="650">
        <f ca="1">IF(ROUND(E49,0)=0,0,IF(C49=0,0,+E49/C49))</f>
        <v>0.89186880854247541</v>
      </c>
      <c r="J49" s="36">
        <f t="shared" si="8"/>
        <v>10.464355788096796</v>
      </c>
      <c r="K49" s="36">
        <f t="shared" ca="1" si="9"/>
        <v>13.44948250393931</v>
      </c>
      <c r="L49" s="547">
        <f t="shared" ca="1" si="10"/>
        <v>-2.9851267158425134</v>
      </c>
    </row>
    <row r="50" spans="1:12" s="555" customFormat="1" ht="16.5" thickBot="1">
      <c r="A50" s="552" t="s">
        <v>225</v>
      </c>
      <c r="B50" s="553"/>
      <c r="C50" s="554"/>
      <c r="D50" s="554"/>
      <c r="E50" s="554"/>
      <c r="F50" s="554"/>
      <c r="G50" s="554"/>
      <c r="H50" s="554"/>
      <c r="J50" s="554"/>
      <c r="K50" s="571"/>
      <c r="L50" s="571"/>
    </row>
    <row r="51" spans="1:12" s="568" customFormat="1" ht="13.5" thickBot="1">
      <c r="A51" s="582" t="s">
        <v>420</v>
      </c>
      <c r="B51" s="546"/>
      <c r="C51" s="583">
        <f>SUM(C22:C50)-C23-C34-C27-C42</f>
        <v>731365</v>
      </c>
      <c r="D51" s="583">
        <f ca="1">SUM(D22:D50)-D23-D34-D27-D42</f>
        <v>552722.80208485364</v>
      </c>
      <c r="E51" s="583">
        <f ca="1">SUM(E22:E50)-E23-E34-E27-E42</f>
        <v>553516.82063131314</v>
      </c>
      <c r="F51" s="583">
        <f t="shared" ref="F51:F56" ca="1" si="11">+D51-E51</f>
        <v>-794.01854645949788</v>
      </c>
      <c r="G51" s="583"/>
      <c r="H51" s="583"/>
      <c r="J51" s="583">
        <f>SUM(J22:J50)-J23-J34-J27-J42</f>
        <v>478.3289731850885</v>
      </c>
      <c r="K51" s="583">
        <f ca="1">SUM(K22:K50)-K23-K34-K27-K42</f>
        <v>521.6935161463839</v>
      </c>
      <c r="L51" s="583">
        <f ca="1">SUM(L22:L50)-L23-L34-L27-L42</f>
        <v>-43.36454296129557</v>
      </c>
    </row>
    <row r="52" spans="1:12" s="49" customFormat="1" ht="4">
      <c r="A52" s="560"/>
      <c r="B52" s="561"/>
      <c r="C52" s="45"/>
      <c r="D52" s="45"/>
      <c r="E52" s="45"/>
      <c r="F52" s="45"/>
      <c r="G52" s="45"/>
      <c r="H52" s="45"/>
      <c r="J52" s="45"/>
      <c r="K52" s="45"/>
      <c r="L52" s="45"/>
    </row>
    <row r="53" spans="1:12" s="568" customFormat="1">
      <c r="A53" s="567" t="s">
        <v>443</v>
      </c>
      <c r="B53" s="546"/>
      <c r="C53" s="547">
        <f>+'Budget Comparativo'!R53</f>
        <v>0</v>
      </c>
      <c r="D53" s="547">
        <f ca="1">+'Budget Comparativo'!S53</f>
        <v>0</v>
      </c>
      <c r="E53" s="547">
        <f ca="1">+'Budget Comparativo'!T53</f>
        <v>0</v>
      </c>
      <c r="F53" s="547">
        <f t="shared" ca="1" si="11"/>
        <v>0</v>
      </c>
      <c r="G53" s="547"/>
      <c r="H53" s="650">
        <f ca="1">IF(ROUND(E53,0)=0,0,IF(C53=0,0,+E53/C53))</f>
        <v>0</v>
      </c>
      <c r="J53" s="36">
        <f>+C53/$J$8</f>
        <v>0</v>
      </c>
      <c r="K53" s="36">
        <f ca="1">+E53/$K$8</f>
        <v>0</v>
      </c>
      <c r="L53" s="547">
        <f ca="1">+J53-K53</f>
        <v>0</v>
      </c>
    </row>
    <row r="54" spans="1:12" s="568" customFormat="1">
      <c r="A54" s="567" t="s">
        <v>432</v>
      </c>
      <c r="B54" s="546"/>
      <c r="C54" s="547">
        <f ca="1">+'Budget Comparativo'!R54</f>
        <v>1161.25</v>
      </c>
      <c r="D54" s="547">
        <f ca="1">+'Budget Comparativo'!S54</f>
        <v>1161.25</v>
      </c>
      <c r="E54" s="547">
        <f ca="1">+'Budget Comparativo'!T54</f>
        <v>1161.25</v>
      </c>
      <c r="F54" s="547">
        <f t="shared" ca="1" si="11"/>
        <v>0</v>
      </c>
      <c r="G54" s="547"/>
      <c r="H54" s="650">
        <f ca="1">IF(ROUND(E54,0)=0,0,IF(C54=0,0,+E54/C54))</f>
        <v>1</v>
      </c>
      <c r="J54" s="36">
        <f ca="1">+C54/$J$8</f>
        <v>0.75948332243296268</v>
      </c>
      <c r="K54" s="36">
        <f ca="1">+E54/$K$8</f>
        <v>1.0944863336475024</v>
      </c>
      <c r="L54" s="547">
        <f ca="1">+J54-K54</f>
        <v>-0.33500301121453968</v>
      </c>
    </row>
    <row r="55" spans="1:12" s="568" customFormat="1" ht="79.5" customHeight="1">
      <c r="A55" s="567" t="s">
        <v>433</v>
      </c>
      <c r="B55" s="546"/>
      <c r="C55" s="547">
        <f ca="1">+'Budget Comparativo'!R55</f>
        <v>18838.75</v>
      </c>
      <c r="D55" s="547">
        <f ca="1">+'Budget Comparativo'!S55</f>
        <v>18838.75</v>
      </c>
      <c r="E55" s="547">
        <f ca="1">+'Budget Comparativo'!T55</f>
        <v>21937.89599754128</v>
      </c>
      <c r="F55" s="547">
        <f t="shared" ca="1" si="11"/>
        <v>-3099.1459975412799</v>
      </c>
      <c r="G55" s="547"/>
      <c r="H55" s="650">
        <f ca="1">IF(ROUND(E55,0)=0,0,IF(C55=0,0,+E55/C55))</f>
        <v>1.1645091100811509</v>
      </c>
      <c r="J55" s="36">
        <f ca="1">+C55/$J$8</f>
        <v>12.320961412688032</v>
      </c>
      <c r="K55" s="36">
        <f ca="1">+E55/$K$8</f>
        <v>20.676622052348048</v>
      </c>
      <c r="L55" s="547">
        <f ca="1">+J55-K55</f>
        <v>-8.3556606396600159</v>
      </c>
    </row>
    <row r="56" spans="1:12" s="568" customFormat="1" ht="13.5" thickBot="1">
      <c r="A56" s="567" t="s">
        <v>434</v>
      </c>
      <c r="B56" s="546"/>
      <c r="C56" s="547">
        <f>+'Budget Comparativo'!R57</f>
        <v>0</v>
      </c>
      <c r="D56" s="547">
        <f>+'Budget Comparativo'!S57</f>
        <v>0</v>
      </c>
      <c r="E56" s="547">
        <f>+'Budget Comparativo'!T57</f>
        <v>0</v>
      </c>
      <c r="F56" s="547">
        <f t="shared" si="11"/>
        <v>0</v>
      </c>
      <c r="G56" s="547"/>
      <c r="H56" s="650">
        <f>IF(ROUND(E56,0)=0,0,IF(C56=0,0,+E56/C56))</f>
        <v>0</v>
      </c>
      <c r="J56" s="36">
        <f>+C56/$J$8</f>
        <v>0</v>
      </c>
      <c r="K56" s="36">
        <f>+E56/$K$8</f>
        <v>0</v>
      </c>
      <c r="L56" s="547">
        <f>+J56-K56</f>
        <v>0</v>
      </c>
    </row>
    <row r="57" spans="1:12" s="568" customFormat="1" ht="13.5" thickBot="1">
      <c r="A57" s="582" t="s">
        <v>435</v>
      </c>
      <c r="B57" s="546"/>
      <c r="C57" s="583">
        <f ca="1">+SUM(C53:C56)</f>
        <v>20000</v>
      </c>
      <c r="D57" s="583">
        <f ca="1">+SUM(D53:D56)</f>
        <v>20000</v>
      </c>
      <c r="E57" s="583">
        <f ca="1">+SUM(E53:E56)</f>
        <v>23099.14599754128</v>
      </c>
      <c r="F57" s="583">
        <f ca="1">+SUM(F53:F56)</f>
        <v>-3099.1459975412799</v>
      </c>
      <c r="G57" s="583"/>
      <c r="H57" s="583"/>
      <c r="J57" s="583">
        <f ca="1">+SUM(J53:J56)</f>
        <v>13.080444735120995</v>
      </c>
      <c r="K57" s="583">
        <f ca="1">+SUM(K53:K56)</f>
        <v>21.77110838599555</v>
      </c>
      <c r="L57" s="583">
        <f ca="1">+SUM(L53:L56)</f>
        <v>-8.6906636508745549</v>
      </c>
    </row>
    <row r="58" spans="1:12" s="49" customFormat="1" ht="4">
      <c r="A58" s="536"/>
      <c r="B58" s="88"/>
    </row>
    <row r="59" spans="1:12">
      <c r="J59" s="177">
        <f>+C51/C8-J51</f>
        <v>0</v>
      </c>
      <c r="K59" s="16">
        <f ca="1">+E51/E8-K51</f>
        <v>0</v>
      </c>
    </row>
    <row r="60" spans="1:12" s="364" customFormat="1">
      <c r="A60" s="584" t="s">
        <v>426</v>
      </c>
      <c r="B60" s="363"/>
      <c r="C60" s="596">
        <v>824060</v>
      </c>
      <c r="E60" s="596">
        <f ca="1">+E57+E51-E18</f>
        <v>441232.02662885439</v>
      </c>
      <c r="J60" s="596">
        <f ca="1">+C57/C8-J57</f>
        <v>0</v>
      </c>
      <c r="K60" s="364">
        <f ca="1">+E57/E8-K57</f>
        <v>0</v>
      </c>
    </row>
    <row r="61" spans="1:12" ht="12.5">
      <c r="A61" s="95" t="s">
        <v>21</v>
      </c>
      <c r="B61" s="16"/>
      <c r="C61" s="177">
        <f ca="1">+C18+C51+C57-C60</f>
        <v>112314</v>
      </c>
      <c r="E61" s="177">
        <f ca="1">+E60-'Budget Comparativo'!T61</f>
        <v>58825</v>
      </c>
    </row>
  </sheetData>
  <autoFilter ref="A7:H61"/>
  <mergeCells count="4">
    <mergeCell ref="J5:L5"/>
    <mergeCell ref="J6:L6"/>
    <mergeCell ref="C5:H5"/>
    <mergeCell ref="C6:H6"/>
  </mergeCells>
  <conditionalFormatting sqref="A5">
    <cfRule type="cellIs" dxfId="93" priority="43" stopIfTrue="1" operator="notEqual">
      <formula>"ok"</formula>
    </cfRule>
  </conditionalFormatting>
  <conditionalFormatting sqref="F14:F16">
    <cfRule type="cellIs" dxfId="92" priority="21" operator="lessThan">
      <formula>0</formula>
    </cfRule>
  </conditionalFormatting>
  <conditionalFormatting sqref="F23:F57">
    <cfRule type="cellIs" dxfId="91" priority="24" operator="lessThan">
      <formula>0</formula>
    </cfRule>
  </conditionalFormatting>
  <conditionalFormatting sqref="H24:H31 H38:H41 H43:H49 H53:H56">
    <cfRule type="cellIs" dxfId="90" priority="193" operator="greaterThan">
      <formula>#REF!</formula>
    </cfRule>
  </conditionalFormatting>
  <conditionalFormatting sqref="L14:L16">
    <cfRule type="cellIs" dxfId="89" priority="6" operator="lessThan">
      <formula>0</formula>
    </cfRule>
  </conditionalFormatting>
  <conditionalFormatting sqref="L24:L26">
    <cfRule type="cellIs" dxfId="88" priority="5" operator="lessThan">
      <formula>0</formula>
    </cfRule>
  </conditionalFormatting>
  <conditionalFormatting sqref="L28:L33">
    <cfRule type="cellIs" dxfId="87" priority="4" operator="lessThan">
      <formula>0</formula>
    </cfRule>
  </conditionalFormatting>
  <conditionalFormatting sqref="L35:L41">
    <cfRule type="cellIs" dxfId="86" priority="3" operator="lessThan">
      <formula>0</formula>
    </cfRule>
  </conditionalFormatting>
  <conditionalFormatting sqref="L43:L50">
    <cfRule type="cellIs" dxfId="85" priority="2" operator="lessThan">
      <formula>0</formula>
    </cfRule>
  </conditionalFormatting>
  <conditionalFormatting sqref="L52:L56">
    <cfRule type="cellIs" dxfId="84" priority="1" operator="lessThan">
      <formula>0</formula>
    </cfRule>
  </conditionalFormatting>
  <printOptions horizontalCentered="1"/>
  <pageMargins left="0" right="0" top="0" bottom="0" header="0" footer="0"/>
  <pageSetup scale="52" orientation="landscape" horizontalDpi="300" r:id="rId1"/>
  <headerFooter alignWithMargins="0"/>
</worksheet>
</file>

<file path=xl/worksheets/sheet29.xml><?xml version="1.0" encoding="utf-8"?>
<worksheet xmlns="http://schemas.openxmlformats.org/spreadsheetml/2006/main" xmlns:r="http://schemas.openxmlformats.org/officeDocument/2006/relationships">
  <sheetPr codeName="Hoja11">
    <tabColor rgb="FFFFFF00"/>
    <pageSetUpPr fitToPage="1"/>
  </sheetPr>
  <dimension ref="A1:BA63"/>
  <sheetViews>
    <sheetView view="pageBreakPreview" zoomScale="70" zoomScaleNormal="70" zoomScaleSheetLayoutView="70" workbookViewId="0">
      <pane xSplit="5" ySplit="10" topLeftCell="AP11" activePane="bottomRight" state="frozen"/>
      <selection pane="topRight" activeCell="E1" sqref="E1"/>
      <selection pane="bottomLeft" activeCell="A11" sqref="A11"/>
      <selection pane="bottomRight" activeCell="AP11" sqref="AP11"/>
    </sheetView>
  </sheetViews>
  <sheetFormatPr baseColWidth="10" defaultColWidth="8.81640625" defaultRowHeight="13"/>
  <cols>
    <col min="1" max="1" width="13.81640625" style="16" hidden="1" customWidth="1"/>
    <col min="2" max="2" width="8.36328125" style="16" hidden="1" customWidth="1"/>
    <col min="3" max="3" width="13.81640625" style="395" hidden="1" customWidth="1"/>
    <col min="4" max="4" width="61.36328125" style="349" bestFit="1" customWidth="1"/>
    <col min="5" max="5" width="4.453125" style="14" bestFit="1" customWidth="1"/>
    <col min="6" max="6" width="14.6328125" style="16" hidden="1" customWidth="1"/>
    <col min="7" max="7" width="18.36328125" style="16" hidden="1" customWidth="1"/>
    <col min="8" max="8" width="13.36328125" style="16" hidden="1" customWidth="1"/>
    <col min="9" max="9" width="16.6328125" style="16" hidden="1" customWidth="1"/>
    <col min="10" max="10" width="36.453125" style="95" hidden="1" customWidth="1"/>
    <col min="11" max="11" width="5.81640625" style="16" hidden="1" customWidth="1"/>
    <col min="12" max="12" width="14.6328125" style="16" hidden="1" customWidth="1"/>
    <col min="13" max="13" width="18.36328125" style="16" hidden="1" customWidth="1"/>
    <col min="14" max="14" width="12.1796875" style="16" hidden="1" customWidth="1"/>
    <col min="15" max="15" width="16.6328125" style="16" hidden="1" customWidth="1"/>
    <col min="16" max="16" width="36.453125" style="95" hidden="1" customWidth="1"/>
    <col min="17" max="17" width="5.81640625" style="16" hidden="1" customWidth="1"/>
    <col min="18" max="18" width="14.6328125" style="16" hidden="1" customWidth="1"/>
    <col min="19" max="19" width="18.36328125" style="16" hidden="1" customWidth="1"/>
    <col min="20" max="20" width="12.1796875" style="16" hidden="1" customWidth="1"/>
    <col min="21" max="21" width="16.6328125" style="16" hidden="1" customWidth="1"/>
    <col min="22" max="22" width="29.36328125" style="16" hidden="1" customWidth="1"/>
    <col min="23" max="23" width="5.81640625" style="16" hidden="1" customWidth="1"/>
    <col min="24" max="24" width="16.1796875" style="16" hidden="1" customWidth="1"/>
    <col min="25" max="25" width="18.36328125" style="16" hidden="1" customWidth="1"/>
    <col min="26" max="26" width="16.1796875" style="16" hidden="1" customWidth="1"/>
    <col min="27" max="27" width="16.6328125" style="16" hidden="1" customWidth="1"/>
    <col min="28" max="28" width="36.453125" style="16" hidden="1" customWidth="1"/>
    <col min="29" max="29" width="5.81640625" style="625" hidden="1" customWidth="1"/>
    <col min="30" max="30" width="2" style="14" hidden="1" customWidth="1"/>
    <col min="31" max="31" width="5.1796875" style="14" hidden="1" customWidth="1"/>
    <col min="32" max="39" width="10" style="16" hidden="1" customWidth="1"/>
    <col min="40" max="41" width="5.453125" style="16" hidden="1" customWidth="1"/>
    <col min="42" max="42" width="3.1796875" style="16" customWidth="1"/>
    <col min="43" max="43" width="8.81640625" style="16" bestFit="1" customWidth="1"/>
    <col min="44" max="44" width="7.1796875" style="16" bestFit="1" customWidth="1"/>
    <col min="45" max="45" width="7.81640625" style="16" bestFit="1" customWidth="1"/>
    <col min="46" max="46" width="3.1796875" style="16" customWidth="1"/>
    <col min="47" max="47" width="8.81640625" style="16" bestFit="1" customWidth="1"/>
    <col min="48" max="48" width="5.81640625" style="16" bestFit="1" customWidth="1"/>
    <col min="49" max="49" width="6.36328125" style="16" bestFit="1" customWidth="1"/>
    <col min="50" max="50" width="3.1796875" style="16" customWidth="1"/>
    <col min="51" max="51" width="8.81640625" style="16" bestFit="1" customWidth="1"/>
    <col min="52" max="52" width="5.81640625" style="16" bestFit="1" customWidth="1"/>
    <col min="53" max="53" width="6.36328125" style="16" bestFit="1" customWidth="1"/>
    <col min="54" max="54" width="3.1796875" style="16" customWidth="1"/>
    <col min="55" max="16384" width="8.81640625" style="16"/>
  </cols>
  <sheetData>
    <row r="1" spans="1:53" s="532" customFormat="1" ht="3.5">
      <c r="C1" s="585"/>
      <c r="D1" s="531"/>
      <c r="E1" s="531"/>
      <c r="F1" s="531"/>
      <c r="G1" s="531"/>
      <c r="H1" s="531"/>
      <c r="I1" s="531"/>
      <c r="J1" s="531"/>
      <c r="K1" s="531"/>
      <c r="L1" s="531"/>
      <c r="M1" s="531"/>
      <c r="N1" s="531"/>
      <c r="O1" s="531"/>
      <c r="P1" s="531"/>
      <c r="Q1" s="531"/>
      <c r="R1" s="531"/>
      <c r="S1" s="531"/>
      <c r="T1" s="531"/>
      <c r="U1" s="531"/>
      <c r="V1" s="531"/>
      <c r="W1" s="531"/>
      <c r="X1" s="531"/>
      <c r="Y1" s="531"/>
      <c r="Z1" s="531"/>
      <c r="AA1" s="531"/>
      <c r="AB1" s="531"/>
      <c r="AC1" s="624"/>
      <c r="AD1" s="531"/>
      <c r="AE1" s="531"/>
    </row>
    <row r="2" spans="1:53" ht="23">
      <c r="D2" s="533" t="s">
        <v>436</v>
      </c>
      <c r="O2" s="20"/>
      <c r="P2" s="655"/>
      <c r="Q2" s="20"/>
      <c r="R2" s="20"/>
      <c r="S2" s="20"/>
      <c r="T2" s="20"/>
      <c r="U2" s="20"/>
      <c r="V2" s="20"/>
      <c r="W2" s="20"/>
      <c r="X2" s="20"/>
      <c r="Y2" s="20"/>
      <c r="Z2" s="20"/>
      <c r="AA2" s="20"/>
      <c r="AB2" s="20"/>
    </row>
    <row r="3" spans="1:53" ht="23">
      <c r="A3" s="20" t="str">
        <f ca="1">IF(ROUND($A$8,2)=0,"ok","Check")</f>
        <v>ok</v>
      </c>
      <c r="C3" s="680" t="str">
        <f ca="1">+Z3</f>
        <v>ok</v>
      </c>
      <c r="D3" s="535" t="s">
        <v>381</v>
      </c>
      <c r="E3" s="533"/>
      <c r="F3" s="20" t="str">
        <f>IF(ROUND(F61,2)=0,"ok","Check")</f>
        <v>ok</v>
      </c>
      <c r="G3" s="20"/>
      <c r="H3" s="20"/>
      <c r="I3" s="20"/>
      <c r="J3" s="655"/>
      <c r="K3" s="20"/>
      <c r="L3" s="20" t="str">
        <f>IF(ROUND(L61,2)=0,"ok","Check")</f>
        <v>ok</v>
      </c>
      <c r="M3" s="20"/>
      <c r="N3" s="20"/>
      <c r="O3" s="20"/>
      <c r="P3" s="655"/>
      <c r="Q3" s="20"/>
      <c r="R3" s="20" t="str">
        <f>IF(ROUND(R61,2)=0,"ok","Check")</f>
        <v>ok</v>
      </c>
      <c r="S3" s="20"/>
      <c r="T3" s="20"/>
      <c r="U3" s="20"/>
      <c r="V3" s="20"/>
      <c r="W3" s="20"/>
      <c r="X3" s="20" t="str">
        <f>IF(ROUND(X61,2)=0,"ok","Check")</f>
        <v>ok</v>
      </c>
      <c r="Y3" s="20"/>
      <c r="Z3" s="20" t="str">
        <f ca="1">IF(ROUND(Z61,2)=0,"ok","Check")</f>
        <v>ok</v>
      </c>
      <c r="AA3" s="20"/>
      <c r="AB3" s="20"/>
      <c r="AC3" s="626"/>
      <c r="AD3" s="18"/>
      <c r="AE3" s="18"/>
    </row>
    <row r="4" spans="1:53" s="49" customFormat="1" ht="4.5" thickBot="1">
      <c r="C4" s="586"/>
      <c r="D4" s="536"/>
      <c r="E4" s="88"/>
      <c r="J4" s="98"/>
      <c r="P4" s="98"/>
      <c r="AC4" s="627"/>
      <c r="AD4" s="88"/>
      <c r="AE4" s="88"/>
    </row>
    <row r="5" spans="1:53" s="26" customFormat="1" ht="35.5" customHeight="1" thickBot="1">
      <c r="C5" s="587"/>
      <c r="D5" s="537" t="s">
        <v>382</v>
      </c>
      <c r="E5" s="24"/>
      <c r="F5" s="895" t="s">
        <v>720</v>
      </c>
      <c r="G5" s="890"/>
      <c r="H5" s="890"/>
      <c r="I5" s="890"/>
      <c r="J5" s="890"/>
      <c r="K5" s="890"/>
      <c r="L5" s="890"/>
      <c r="M5" s="890"/>
      <c r="N5" s="890"/>
      <c r="O5" s="890"/>
      <c r="P5" s="890"/>
      <c r="Q5" s="890"/>
      <c r="R5" s="890"/>
      <c r="S5" s="890"/>
      <c r="T5" s="890"/>
      <c r="U5" s="890"/>
      <c r="V5" s="890"/>
      <c r="W5" s="890"/>
      <c r="X5" s="890"/>
      <c r="Y5" s="890"/>
      <c r="Z5" s="890"/>
      <c r="AA5" s="890"/>
      <c r="AB5" s="890"/>
      <c r="AC5" s="896"/>
      <c r="AD5" s="24"/>
      <c r="AE5" s="24"/>
      <c r="AQ5" s="889" t="s">
        <v>726</v>
      </c>
      <c r="AR5" s="890"/>
      <c r="AS5" s="891"/>
      <c r="AU5" s="889" t="s">
        <v>728</v>
      </c>
      <c r="AV5" s="890"/>
      <c r="AW5" s="891"/>
      <c r="AY5" s="889" t="s">
        <v>730</v>
      </c>
      <c r="AZ5" s="890"/>
      <c r="BA5" s="891"/>
    </row>
    <row r="6" spans="1:53" ht="16" thickBot="1">
      <c r="D6" s="538"/>
      <c r="E6" s="27"/>
      <c r="F6" s="892" t="s">
        <v>384</v>
      </c>
      <c r="G6" s="893"/>
      <c r="H6" s="893"/>
      <c r="I6" s="893"/>
      <c r="J6" s="893"/>
      <c r="K6" s="893"/>
      <c r="L6" s="893"/>
      <c r="M6" s="893"/>
      <c r="N6" s="893"/>
      <c r="O6" s="893"/>
      <c r="P6" s="893"/>
      <c r="Q6" s="893"/>
      <c r="R6" s="893"/>
      <c r="S6" s="893"/>
      <c r="T6" s="893"/>
      <c r="U6" s="893"/>
      <c r="V6" s="893"/>
      <c r="W6" s="893"/>
      <c r="X6" s="893"/>
      <c r="Y6" s="893"/>
      <c r="Z6" s="893"/>
      <c r="AA6" s="893"/>
      <c r="AB6" s="893"/>
      <c r="AC6" s="897"/>
      <c r="AD6" s="27"/>
      <c r="AE6" s="27"/>
      <c r="AQ6" s="892"/>
      <c r="AR6" s="893"/>
      <c r="AS6" s="894"/>
      <c r="AU6" s="892"/>
      <c r="AV6" s="893"/>
      <c r="AW6" s="894"/>
      <c r="AY6" s="892"/>
      <c r="AZ6" s="893"/>
      <c r="BA6" s="894"/>
    </row>
    <row r="7" spans="1:53" ht="52.5" thickBot="1">
      <c r="A7" s="478" t="s">
        <v>431</v>
      </c>
      <c r="C7" s="395" t="s">
        <v>423</v>
      </c>
      <c r="D7" s="540" t="s">
        <v>386</v>
      </c>
      <c r="E7" s="18"/>
      <c r="F7" s="593" t="s">
        <v>705</v>
      </c>
      <c r="G7" s="32" t="s">
        <v>706</v>
      </c>
      <c r="H7" s="32" t="s">
        <v>707</v>
      </c>
      <c r="I7" s="32" t="s">
        <v>708</v>
      </c>
      <c r="J7" s="594" t="s">
        <v>709</v>
      </c>
      <c r="K7" s="32"/>
      <c r="L7" s="593" t="s">
        <v>710</v>
      </c>
      <c r="M7" s="32" t="s">
        <v>711</v>
      </c>
      <c r="N7" s="32" t="s">
        <v>712</v>
      </c>
      <c r="O7" s="32" t="s">
        <v>713</v>
      </c>
      <c r="P7" s="594" t="s">
        <v>714</v>
      </c>
      <c r="Q7" s="31"/>
      <c r="R7" s="593" t="s">
        <v>715</v>
      </c>
      <c r="S7" s="32" t="s">
        <v>716</v>
      </c>
      <c r="T7" s="32" t="s">
        <v>717</v>
      </c>
      <c r="U7" s="32" t="s">
        <v>718</v>
      </c>
      <c r="V7" s="594" t="s">
        <v>719</v>
      </c>
      <c r="W7" s="31"/>
      <c r="X7" s="593" t="s">
        <v>721</v>
      </c>
      <c r="Y7" s="32" t="s">
        <v>722</v>
      </c>
      <c r="Z7" s="32" t="s">
        <v>723</v>
      </c>
      <c r="AA7" s="32" t="s">
        <v>724</v>
      </c>
      <c r="AB7" s="594" t="s">
        <v>725</v>
      </c>
      <c r="AC7" s="628"/>
      <c r="AD7" s="18"/>
      <c r="AE7" s="18"/>
      <c r="AQ7" s="32" t="s">
        <v>705</v>
      </c>
      <c r="AR7" s="32" t="s">
        <v>707</v>
      </c>
      <c r="AS7" s="32" t="s">
        <v>727</v>
      </c>
      <c r="AU7" s="32" t="s">
        <v>710</v>
      </c>
      <c r="AV7" s="32" t="s">
        <v>712</v>
      </c>
      <c r="AW7" s="32" t="s">
        <v>729</v>
      </c>
      <c r="AY7" s="32" t="s">
        <v>715</v>
      </c>
      <c r="AZ7" s="32" t="s">
        <v>717</v>
      </c>
      <c r="BA7" s="32" t="s">
        <v>731</v>
      </c>
    </row>
    <row r="8" spans="1:53">
      <c r="A8" s="16">
        <f ca="1">+SUM(A9:A59)</f>
        <v>0</v>
      </c>
      <c r="C8" s="591"/>
      <c r="D8" s="541" t="s">
        <v>95</v>
      </c>
      <c r="E8" s="38"/>
      <c r="F8" s="36">
        <v>315</v>
      </c>
      <c r="G8" s="36">
        <f>+H8</f>
        <v>98</v>
      </c>
      <c r="H8" s="665">
        <v>98</v>
      </c>
      <c r="I8" s="36"/>
      <c r="J8" s="656"/>
      <c r="K8" s="36"/>
      <c r="L8" s="36">
        <v>285</v>
      </c>
      <c r="M8" s="36">
        <f>+N8</f>
        <v>120</v>
      </c>
      <c r="N8" s="665">
        <v>120</v>
      </c>
      <c r="O8" s="36"/>
      <c r="P8" s="656"/>
      <c r="Q8" s="36"/>
      <c r="R8" s="36">
        <v>1000</v>
      </c>
      <c r="S8" s="36">
        <f>+T8</f>
        <v>487</v>
      </c>
      <c r="T8" s="665">
        <v>487</v>
      </c>
      <c r="U8" s="36"/>
      <c r="V8" s="36"/>
      <c r="W8" s="36"/>
      <c r="X8" s="36">
        <f t="shared" ref="X8:Z9" si="0">+F8+L8+R8</f>
        <v>1600</v>
      </c>
      <c r="Y8" s="36">
        <f t="shared" si="0"/>
        <v>705</v>
      </c>
      <c r="Z8" s="36">
        <f t="shared" si="0"/>
        <v>705</v>
      </c>
      <c r="AA8" s="36"/>
      <c r="AB8" s="36"/>
      <c r="AC8" s="36"/>
      <c r="AD8" s="38"/>
      <c r="AE8" s="33"/>
      <c r="AQ8" s="36">
        <f t="shared" ref="AQ8:AR10" si="1">+F8</f>
        <v>315</v>
      </c>
      <c r="AR8" s="36">
        <f t="shared" si="1"/>
        <v>98</v>
      </c>
      <c r="AS8" s="629">
        <f>+AR8/AQ8</f>
        <v>0.31111111111111112</v>
      </c>
      <c r="AU8" s="36">
        <f>+L8</f>
        <v>285</v>
      </c>
      <c r="AV8" s="36">
        <f>+N8</f>
        <v>120</v>
      </c>
      <c r="AW8" s="629">
        <f>+AV8/AU8</f>
        <v>0.42105263157894735</v>
      </c>
      <c r="AY8" s="36">
        <f>+R8</f>
        <v>1000</v>
      </c>
      <c r="AZ8" s="36">
        <f>+T8</f>
        <v>487</v>
      </c>
      <c r="BA8" s="629">
        <f>+AZ8/AY8</f>
        <v>0.48699999999999999</v>
      </c>
    </row>
    <row r="9" spans="1:53">
      <c r="D9" s="541" t="s">
        <v>96</v>
      </c>
      <c r="E9" s="38"/>
      <c r="F9" s="36">
        <f>ROUND(F8/4,2)</f>
        <v>78.75</v>
      </c>
      <c r="G9" s="36">
        <f>+H9</f>
        <v>31</v>
      </c>
      <c r="H9" s="665">
        <v>31</v>
      </c>
      <c r="I9" s="36"/>
      <c r="J9" s="656"/>
      <c r="K9" s="36"/>
      <c r="L9" s="36">
        <f>ROUND(L8/4,2)</f>
        <v>71.25</v>
      </c>
      <c r="M9" s="36">
        <f>+N9</f>
        <v>35</v>
      </c>
      <c r="N9" s="665">
        <v>35</v>
      </c>
      <c r="O9" s="36"/>
      <c r="P9" s="656"/>
      <c r="Q9" s="36"/>
      <c r="R9" s="36">
        <f>ROUND(R8/3,2)</f>
        <v>333.33</v>
      </c>
      <c r="S9" s="36">
        <f>+T9</f>
        <v>156</v>
      </c>
      <c r="T9" s="665">
        <v>156</v>
      </c>
      <c r="U9" s="36"/>
      <c r="V9" s="36"/>
      <c r="W9" s="36"/>
      <c r="X9" s="36">
        <f t="shared" si="0"/>
        <v>483.33</v>
      </c>
      <c r="Y9" s="36">
        <f t="shared" si="0"/>
        <v>222</v>
      </c>
      <c r="Z9" s="36">
        <f t="shared" si="0"/>
        <v>222</v>
      </c>
      <c r="AA9" s="36"/>
      <c r="AB9" s="36"/>
      <c r="AC9" s="36"/>
      <c r="AD9" s="38"/>
      <c r="AE9" s="33"/>
      <c r="AQ9" s="36">
        <f t="shared" si="1"/>
        <v>78.75</v>
      </c>
      <c r="AR9" s="36">
        <f t="shared" si="1"/>
        <v>31</v>
      </c>
      <c r="AS9" s="629">
        <f>+AR9/AQ9</f>
        <v>0.39365079365079364</v>
      </c>
      <c r="AU9" s="36">
        <f>+L9</f>
        <v>71.25</v>
      </c>
      <c r="AV9" s="36">
        <f>+N9</f>
        <v>35</v>
      </c>
      <c r="AW9" s="629">
        <f>+AV9/AU9</f>
        <v>0.49122807017543857</v>
      </c>
      <c r="AY9" s="36">
        <f>+R9</f>
        <v>333.33</v>
      </c>
      <c r="AZ9" s="36">
        <f>+T9</f>
        <v>156</v>
      </c>
      <c r="BA9" s="629">
        <f>+AZ9/AY9</f>
        <v>0.46800468004680051</v>
      </c>
    </row>
    <row r="10" spans="1:53" ht="13.5" thickBot="1">
      <c r="D10" s="541" t="s">
        <v>204</v>
      </c>
      <c r="E10" s="38"/>
      <c r="F10" s="36">
        <v>12</v>
      </c>
      <c r="G10" s="36">
        <f>+H10</f>
        <v>9</v>
      </c>
      <c r="H10" s="36">
        <v>9</v>
      </c>
      <c r="I10" s="36"/>
      <c r="J10" s="656"/>
      <c r="K10" s="629">
        <f>IF(ROUND(H10,0)=0,0,IF(F10=0,0,+H10/F10))</f>
        <v>0.75</v>
      </c>
      <c r="L10" s="36">
        <v>12</v>
      </c>
      <c r="M10" s="36">
        <f>+N10</f>
        <v>9</v>
      </c>
      <c r="N10" s="36">
        <f>+H10</f>
        <v>9</v>
      </c>
      <c r="O10" s="36"/>
      <c r="P10" s="656"/>
      <c r="Q10" s="629">
        <f>IF(ROUND(N10,0)=0,0,IF(L10=0,0,+N10/L10))</f>
        <v>0.75</v>
      </c>
      <c r="R10" s="36">
        <v>12</v>
      </c>
      <c r="S10" s="36">
        <f>+T10</f>
        <v>9</v>
      </c>
      <c r="T10" s="36">
        <f>+N10</f>
        <v>9</v>
      </c>
      <c r="U10" s="36"/>
      <c r="V10" s="36"/>
      <c r="W10" s="629">
        <f>IF(ROUND(T10,0)=0,0,IF(R10=0,0,+T10/R10))</f>
        <v>0.75</v>
      </c>
      <c r="X10" s="36">
        <f>+F10</f>
        <v>12</v>
      </c>
      <c r="Y10" s="36">
        <f>+G10</f>
        <v>9</v>
      </c>
      <c r="Z10" s="36">
        <f>+H10</f>
        <v>9</v>
      </c>
      <c r="AA10" s="36"/>
      <c r="AB10" s="36"/>
      <c r="AC10" s="629">
        <f>IF(ROUND(Z10,0)=0,0,IF(X10=0,0,+Z10/X10))</f>
        <v>0.75</v>
      </c>
      <c r="AD10" s="38"/>
      <c r="AE10" s="33"/>
      <c r="AF10" s="16" t="s">
        <v>421</v>
      </c>
      <c r="AQ10" s="36">
        <f t="shared" si="1"/>
        <v>12</v>
      </c>
      <c r="AR10" s="36">
        <f t="shared" si="1"/>
        <v>9</v>
      </c>
      <c r="AS10" s="629">
        <f>+AR10/AQ10</f>
        <v>0.75</v>
      </c>
      <c r="AU10" s="36">
        <f>+L10</f>
        <v>12</v>
      </c>
      <c r="AV10" s="36">
        <f>+N10</f>
        <v>9</v>
      </c>
      <c r="AW10" s="629">
        <f>+AV10/AU10</f>
        <v>0.75</v>
      </c>
      <c r="AY10" s="36">
        <f>+R10</f>
        <v>12</v>
      </c>
      <c r="AZ10" s="36">
        <f>+T10</f>
        <v>9</v>
      </c>
      <c r="BA10" s="629">
        <f>+AZ10/AY10</f>
        <v>0.75</v>
      </c>
    </row>
    <row r="11" spans="1:53" ht="13.5" thickBot="1">
      <c r="D11" s="542" t="s">
        <v>387</v>
      </c>
      <c r="E11" s="41"/>
      <c r="F11" s="32"/>
      <c r="G11" s="32"/>
      <c r="H11" s="32"/>
      <c r="I11" s="32"/>
      <c r="J11" s="32"/>
      <c r="K11" s="32"/>
      <c r="L11" s="32"/>
      <c r="M11" s="32"/>
      <c r="N11" s="32"/>
      <c r="O11" s="32"/>
      <c r="P11" s="32"/>
      <c r="Q11" s="32"/>
      <c r="R11" s="32"/>
      <c r="S11" s="32"/>
      <c r="T11" s="32"/>
      <c r="U11" s="32"/>
      <c r="V11" s="32"/>
      <c r="W11" s="32"/>
      <c r="X11" s="32"/>
      <c r="Y11" s="32"/>
      <c r="Z11" s="32"/>
      <c r="AA11" s="32"/>
      <c r="AB11" s="32"/>
      <c r="AC11" s="32"/>
      <c r="AD11" s="41"/>
      <c r="AE11" s="18"/>
      <c r="AF11" s="597"/>
      <c r="AG11" s="597"/>
      <c r="AH11" s="597"/>
      <c r="AI11" s="597"/>
      <c r="AJ11" s="597"/>
      <c r="AK11" s="597"/>
      <c r="AL11" s="597"/>
      <c r="AM11" s="597"/>
      <c r="AN11" s="597"/>
      <c r="AO11" s="597"/>
      <c r="AQ11" s="32"/>
      <c r="AR11" s="32"/>
      <c r="AS11" s="32"/>
      <c r="AU11" s="32"/>
      <c r="AV11" s="32"/>
      <c r="AW11" s="32"/>
      <c r="AY11" s="32"/>
      <c r="AZ11" s="32"/>
      <c r="BA11" s="32"/>
    </row>
    <row r="12" spans="1:53" s="49" customFormat="1" ht="12.5">
      <c r="C12" s="586"/>
      <c r="D12" s="543"/>
      <c r="E12" s="544"/>
      <c r="F12" s="545"/>
      <c r="G12" s="545"/>
      <c r="H12" s="545"/>
      <c r="I12" s="545"/>
      <c r="J12" s="657"/>
      <c r="K12" s="545"/>
      <c r="L12" s="545"/>
      <c r="M12" s="545"/>
      <c r="N12" s="545"/>
      <c r="O12" s="545"/>
      <c r="P12" s="657"/>
      <c r="Q12" s="545"/>
      <c r="R12" s="545"/>
      <c r="S12" s="545"/>
      <c r="T12" s="545"/>
      <c r="U12" s="545"/>
      <c r="V12" s="545"/>
      <c r="W12" s="545"/>
      <c r="X12" s="545"/>
      <c r="Y12" s="545"/>
      <c r="Z12" s="545"/>
      <c r="AA12" s="545"/>
      <c r="AB12" s="545"/>
      <c r="AC12" s="545"/>
      <c r="AD12" s="544"/>
      <c r="AE12" s="634"/>
      <c r="AF12" s="597"/>
      <c r="AG12" s="597"/>
      <c r="AH12" s="597"/>
      <c r="AI12" s="597"/>
      <c r="AJ12" s="597"/>
      <c r="AK12" s="597"/>
      <c r="AL12" s="597"/>
      <c r="AM12" s="597"/>
      <c r="AN12" s="597"/>
      <c r="AO12" s="597"/>
      <c r="AQ12" s="545"/>
      <c r="AR12" s="545"/>
      <c r="AS12" s="545"/>
      <c r="AU12" s="545"/>
      <c r="AV12" s="545"/>
      <c r="AW12" s="545"/>
      <c r="AY12" s="545"/>
      <c r="AZ12" s="545"/>
      <c r="BA12" s="545"/>
    </row>
    <row r="13" spans="1:53">
      <c r="D13" s="562" t="s">
        <v>388</v>
      </c>
      <c r="E13" s="563"/>
      <c r="F13" s="71"/>
      <c r="G13" s="71"/>
      <c r="H13" s="71"/>
      <c r="I13" s="71"/>
      <c r="J13" s="658"/>
      <c r="K13" s="71"/>
      <c r="L13" s="71"/>
      <c r="M13" s="71"/>
      <c r="N13" s="71"/>
      <c r="O13" s="71"/>
      <c r="P13" s="658"/>
      <c r="Q13" s="71"/>
      <c r="R13" s="71"/>
      <c r="S13" s="71"/>
      <c r="T13" s="71"/>
      <c r="U13" s="71"/>
      <c r="V13" s="71"/>
      <c r="W13" s="71"/>
      <c r="X13" s="71"/>
      <c r="Y13" s="71"/>
      <c r="Z13" s="71"/>
      <c r="AA13" s="71"/>
      <c r="AB13" s="71"/>
      <c r="AC13" s="71"/>
      <c r="AD13" s="563"/>
      <c r="AE13" s="635"/>
      <c r="AF13" s="597"/>
      <c r="AG13" s="597"/>
      <c r="AH13" s="597"/>
      <c r="AI13" s="597"/>
      <c r="AJ13" s="597"/>
      <c r="AK13" s="597"/>
      <c r="AL13" s="597"/>
      <c r="AM13" s="597"/>
      <c r="AN13" s="597"/>
      <c r="AO13" s="597"/>
      <c r="AQ13" s="71"/>
      <c r="AR13" s="71"/>
      <c r="AS13" s="71"/>
      <c r="AU13" s="71"/>
      <c r="AV13" s="71"/>
      <c r="AW13" s="71"/>
      <c r="AY13" s="71"/>
      <c r="AZ13" s="71"/>
      <c r="BA13" s="71"/>
    </row>
    <row r="14" spans="1:53" s="548" customFormat="1">
      <c r="C14" s="591" t="s">
        <v>98</v>
      </c>
      <c r="D14" s="564" t="s">
        <v>158</v>
      </c>
      <c r="E14" s="546"/>
      <c r="F14" s="547">
        <f>+$F$8*20</f>
        <v>6300</v>
      </c>
      <c r="G14" s="547">
        <f>IF(C14="Acumulado",IF(H14&gt;F14,F14,H14),IF(C14="BN",+(F14/$F$8*$G$8),"VER"))</f>
        <v>1960</v>
      </c>
      <c r="H14" s="547">
        <f ca="1">-SUMIF(Resumen_Base!$A$28:$A$91,'Budget Comparativo x BN'!D14,Resumen_Base!$Y$28:$Y$91)</f>
        <v>1372</v>
      </c>
      <c r="I14" s="547">
        <f ca="1">+H14-G14</f>
        <v>-588</v>
      </c>
      <c r="J14" s="658"/>
      <c r="K14" s="547"/>
      <c r="L14" s="547">
        <f>+$L$8*25</f>
        <v>7125</v>
      </c>
      <c r="M14" s="547">
        <f>IF(C14="Acumulado",IF(N14&gt;L14,L14,N14),IF(C14="BN",+(L14/$L$8*$M$8),"VER"))</f>
        <v>3000</v>
      </c>
      <c r="N14" s="547">
        <f ca="1">-SUMIF(Resumen_Base!$A$94:$A$156,'Budget Comparativo x BN'!D14,Resumen_Base!$Y$94:$Y$156)</f>
        <v>0</v>
      </c>
      <c r="O14" s="547">
        <f ca="1">+N14-M14</f>
        <v>-3000</v>
      </c>
      <c r="P14" s="658"/>
      <c r="Q14" s="547"/>
      <c r="R14" s="547">
        <f>+$R$8*18</f>
        <v>18000</v>
      </c>
      <c r="S14" s="547">
        <f>IF(C14="Acumulado",IF(T14&gt;R14,R14,T14),IF(C14="BN",+(R14/$R$8*$S$8),"VER"))</f>
        <v>8766</v>
      </c>
      <c r="T14" s="547">
        <f ca="1">-SUMIF(Resumen_Base!$A$221:$A$287,'Budget Comparativo x BN'!D14,Resumen_Base!$Y$221:$Y$287)</f>
        <v>12780</v>
      </c>
      <c r="U14" s="547">
        <f ca="1">+T14-S14</f>
        <v>4014</v>
      </c>
      <c r="V14" s="547"/>
      <c r="W14" s="547"/>
      <c r="X14" s="547">
        <f t="shared" ref="X14:Z16" si="2">+F14+L14+R14</f>
        <v>31425</v>
      </c>
      <c r="Y14" s="547">
        <f t="shared" si="2"/>
        <v>13726</v>
      </c>
      <c r="Z14" s="547">
        <f t="shared" ca="1" si="2"/>
        <v>14152</v>
      </c>
      <c r="AA14" s="547">
        <f ca="1">+Z14-Y14</f>
        <v>426</v>
      </c>
      <c r="AB14" s="547"/>
      <c r="AC14" s="547"/>
      <c r="AD14" s="546"/>
      <c r="AF14" s="597">
        <v>4104</v>
      </c>
      <c r="AG14" s="597"/>
      <c r="AH14" s="597"/>
      <c r="AI14" s="597"/>
      <c r="AJ14" s="597"/>
      <c r="AK14" s="597"/>
      <c r="AL14" s="597"/>
      <c r="AM14" s="597"/>
      <c r="AN14" s="597"/>
      <c r="AO14" s="597"/>
      <c r="AQ14" s="36">
        <f>+F14/$AQ$8</f>
        <v>20</v>
      </c>
      <c r="AR14" s="36">
        <f ca="1">+H14/$AR$8</f>
        <v>14</v>
      </c>
      <c r="AS14" s="547">
        <f ca="1">+AR14-AQ14</f>
        <v>-6</v>
      </c>
      <c r="AU14" s="36">
        <f>+L14/$AU$8</f>
        <v>25</v>
      </c>
      <c r="AV14" s="36">
        <f ca="1">+N14/$AV$8</f>
        <v>0</v>
      </c>
      <c r="AW14" s="547">
        <f ca="1">+AV14-AU14</f>
        <v>-25</v>
      </c>
      <c r="AY14" s="36">
        <f>+R14/$R$8</f>
        <v>18</v>
      </c>
      <c r="AZ14" s="36">
        <f ca="1">+T14/$AZ$8</f>
        <v>26.242299794661189</v>
      </c>
      <c r="BA14" s="547">
        <f ca="1">+AZ14-AY14</f>
        <v>8.2422997946611893</v>
      </c>
    </row>
    <row r="15" spans="1:53" s="548" customFormat="1">
      <c r="C15" s="591" t="s">
        <v>98</v>
      </c>
      <c r="D15" s="565" t="s">
        <v>389</v>
      </c>
      <c r="E15" s="546"/>
      <c r="F15" s="547">
        <v>1000</v>
      </c>
      <c r="G15" s="547">
        <f>IF(C15="Acumulado",IF(H15&gt;F15,F15,H15),IF(C15="BN",+(F15/$F$8*$G$8),"VER"))</f>
        <v>311.11111111111109</v>
      </c>
      <c r="H15" s="547">
        <f ca="1">-SUMIF(Resumen_Base!$A$28:$A$91,'Budget Comparativo x BN'!D15,Resumen_Base!$Y$28:$Y$91)-'Stock - Deudas'!$F$12</f>
        <v>4447.9399999999996</v>
      </c>
      <c r="I15" s="547">
        <f ca="1">+H15-G15</f>
        <v>4136.8288888888883</v>
      </c>
      <c r="J15" s="622" t="s">
        <v>533</v>
      </c>
      <c r="K15" s="547"/>
      <c r="L15" s="547">
        <v>2500</v>
      </c>
      <c r="M15" s="547">
        <f>IF(C15="Acumulado",IF(N15&gt;L15,L15,N15),IF(C15="BN",+(L15/$L$8*$M$8),"VER"))</f>
        <v>1052.6315789473686</v>
      </c>
      <c r="N15" s="547">
        <f ca="1">-SUMIF(Resumen_Base!$A$94:$A$156,'Budget Comparativo x BN'!D15,Resumen_Base!$Y$94:$Y$156)-'Stock - Deudas'!$L$12</f>
        <v>0</v>
      </c>
      <c r="O15" s="547">
        <f ca="1">+N15-M15</f>
        <v>-1052.6315789473686</v>
      </c>
      <c r="P15" s="547" t="s">
        <v>533</v>
      </c>
      <c r="Q15" s="547"/>
      <c r="R15" s="547">
        <f>+$R$8*28</f>
        <v>28000</v>
      </c>
      <c r="S15" s="547">
        <f>IF(C15="Acumulado",IF(T15&gt;R15,R15,T15),IF(C15="BN",+(R15/$R$8*$S$8),"VER"))</f>
        <v>13636</v>
      </c>
      <c r="T15" s="547">
        <f ca="1">-SUMIF(Resumen_Base!$A$221:$A$287,'Budget Comparativo x BN'!D15,Resumen_Base!$Y$221:$Y$287)-'Stock - Deudas'!$L$28</f>
        <v>18846.84</v>
      </c>
      <c r="U15" s="547">
        <f ca="1">+T15-S15</f>
        <v>5210.84</v>
      </c>
      <c r="V15" s="547" t="s">
        <v>533</v>
      </c>
      <c r="W15" s="547"/>
      <c r="X15" s="547">
        <f t="shared" si="2"/>
        <v>31500</v>
      </c>
      <c r="Y15" s="547">
        <f t="shared" si="2"/>
        <v>14999.74269005848</v>
      </c>
      <c r="Z15" s="547">
        <f t="shared" ca="1" si="2"/>
        <v>23294.78</v>
      </c>
      <c r="AA15" s="547">
        <f ca="1">+Z15-Y15</f>
        <v>8295.0373099415192</v>
      </c>
      <c r="AB15" s="547" t="s">
        <v>533</v>
      </c>
      <c r="AC15" s="547"/>
      <c r="AD15" s="546"/>
      <c r="AF15" s="597">
        <v>4103</v>
      </c>
      <c r="AG15" s="597">
        <v>4110</v>
      </c>
      <c r="AH15" s="597">
        <v>4112</v>
      </c>
      <c r="AI15" s="597">
        <v>4114</v>
      </c>
      <c r="AJ15" s="597">
        <v>5285</v>
      </c>
      <c r="AK15" s="597">
        <v>5104</v>
      </c>
      <c r="AL15" s="597">
        <v>4118</v>
      </c>
      <c r="AM15" s="597">
        <v>4129</v>
      </c>
      <c r="AN15" s="597">
        <v>5290</v>
      </c>
      <c r="AO15" s="597">
        <v>5103</v>
      </c>
      <c r="AQ15" s="36">
        <f>+F15/$AQ$8</f>
        <v>3.1746031746031744</v>
      </c>
      <c r="AR15" s="36">
        <f ca="1">+H15/$AR$8</f>
        <v>45.387142857142855</v>
      </c>
      <c r="AS15" s="547">
        <f ca="1">+AR15-AQ15</f>
        <v>42.212539682539678</v>
      </c>
      <c r="AU15" s="36">
        <f>+L15/$AU$8</f>
        <v>8.7719298245614041</v>
      </c>
      <c r="AV15" s="36">
        <f ca="1">+N15/$AV$8</f>
        <v>0</v>
      </c>
      <c r="AW15" s="547">
        <f ca="1">+AV15-AU15</f>
        <v>-8.7719298245614041</v>
      </c>
      <c r="AY15" s="36">
        <f>+R15/$R$8</f>
        <v>28</v>
      </c>
      <c r="AZ15" s="36">
        <f ca="1">+T15/$AZ$8</f>
        <v>38.699876796714577</v>
      </c>
      <c r="BA15" s="547">
        <f ca="1">+AZ15-AY15</f>
        <v>10.699876796714577</v>
      </c>
    </row>
    <row r="16" spans="1:53" s="548" customFormat="1" ht="26">
      <c r="C16" s="591" t="s">
        <v>98</v>
      </c>
      <c r="D16" s="549" t="s">
        <v>159</v>
      </c>
      <c r="E16" s="546"/>
      <c r="F16" s="547">
        <f>+$F$8*130*(115/130)</f>
        <v>36225</v>
      </c>
      <c r="G16" s="547">
        <f>IF(C16="Acumulado",IF(H16&gt;F16,F16,H16),IF(C16="BN",+(F16/$F$8*$G$8),"VER"))</f>
        <v>11270</v>
      </c>
      <c r="H16" s="547">
        <f ca="1">-SUMIF(Resumen_Base!$A$28:$A$91,'Budget Comparativo x BN'!D16,Resumen_Base!$Y$28:$Y$91)</f>
        <v>19500</v>
      </c>
      <c r="I16" s="547">
        <f ca="1">+H16-G16</f>
        <v>8230</v>
      </c>
      <c r="J16" s="648" t="s">
        <v>520</v>
      </c>
      <c r="K16" s="649">
        <f ca="1">IF(ROUND(H16,2)=0,0,(+H16/115)/H8)</f>
        <v>1.730257320319432</v>
      </c>
      <c r="L16" s="547">
        <f>+$L$8*130*(115/130)</f>
        <v>32775</v>
      </c>
      <c r="M16" s="547">
        <f>IF(C16="Acumulado",IF(N16&gt;L16,L16,N16),IF(C16="BN",+(L16/$L$8*$M$8),"VER"))</f>
        <v>13800</v>
      </c>
      <c r="N16" s="547">
        <f ca="1">-SUMIF(Resumen_Base!$A$94:$A$156,'Budget Comparativo x BN'!D16,Resumen_Base!$Y$94:$Y$156)</f>
        <v>0</v>
      </c>
      <c r="O16" s="547">
        <f ca="1">+N16-M16</f>
        <v>-13800</v>
      </c>
      <c r="P16" s="648" t="s">
        <v>520</v>
      </c>
      <c r="Q16" s="649">
        <f ca="1">IF(ROUND(N16,2)=0,0,(+N16/115)/N8)</f>
        <v>0</v>
      </c>
      <c r="R16" s="547">
        <f>+$R$8*130*(115/130)</f>
        <v>115000</v>
      </c>
      <c r="S16" s="547">
        <f>IF(C16="Acumulado",IF(T16&gt;R16,R16,T16),IF(C16="BN",+(R16/$R$8*$S$8),"VER"))</f>
        <v>56005</v>
      </c>
      <c r="T16" s="547">
        <f ca="1">-SUMIF(Resumen_Base!$A$221:$A$287,'Budget Comparativo x BN'!D16,Resumen_Base!$Y$221:$Y$287)</f>
        <v>103757.1</v>
      </c>
      <c r="U16" s="547">
        <f ca="1">+T16-S16</f>
        <v>47752.100000000006</v>
      </c>
      <c r="V16" s="648" t="s">
        <v>520</v>
      </c>
      <c r="W16" s="649">
        <f ca="1">IF(ROUND(T16,2)=0,0,(+T16/115)/T8)</f>
        <v>1.8526399428622444</v>
      </c>
      <c r="X16" s="547">
        <f t="shared" si="2"/>
        <v>184000</v>
      </c>
      <c r="Y16" s="547">
        <f t="shared" si="2"/>
        <v>81075</v>
      </c>
      <c r="Z16" s="547">
        <f t="shared" ca="1" si="2"/>
        <v>123257.1</v>
      </c>
      <c r="AA16" s="547">
        <f ca="1">+Z16-Y16</f>
        <v>42182.100000000006</v>
      </c>
      <c r="AB16" s="648" t="s">
        <v>520</v>
      </c>
      <c r="AC16" s="649">
        <f ca="1">IF(ROUND(Z16,2)=0,0,(+Z16/115)/Z8)</f>
        <v>1.5202849213691028</v>
      </c>
      <c r="AD16" s="546"/>
      <c r="AF16" s="597">
        <v>4120</v>
      </c>
      <c r="AG16" s="597">
        <v>5286</v>
      </c>
      <c r="AH16" s="597">
        <v>5229</v>
      </c>
      <c r="AI16" s="597"/>
      <c r="AJ16" s="597"/>
      <c r="AK16" s="597"/>
      <c r="AL16" s="597"/>
      <c r="AM16" s="597"/>
      <c r="AN16" s="597"/>
      <c r="AO16" s="597"/>
      <c r="AQ16" s="36">
        <f>+F16/$AQ$8</f>
        <v>115</v>
      </c>
      <c r="AR16" s="36">
        <f ca="1">+H16/$AR$8</f>
        <v>198.9795918367347</v>
      </c>
      <c r="AS16" s="547">
        <f ca="1">+AR16-AQ16</f>
        <v>83.979591836734699</v>
      </c>
      <c r="AU16" s="36">
        <f>+L16/$AU$8</f>
        <v>115</v>
      </c>
      <c r="AV16" s="36">
        <f ca="1">+N16/$AV$8</f>
        <v>0</v>
      </c>
      <c r="AW16" s="547">
        <f ca="1">+AV16-AU16</f>
        <v>-115</v>
      </c>
      <c r="AY16" s="36">
        <f>+R16/$R$8</f>
        <v>115</v>
      </c>
      <c r="AZ16" s="36">
        <f ca="1">+T16/$AZ$8</f>
        <v>213.05359342915813</v>
      </c>
      <c r="BA16" s="547">
        <f ca="1">+AZ16-AY16</f>
        <v>98.053593429158127</v>
      </c>
    </row>
    <row r="17" spans="1:53" s="555" customFormat="1" thickBot="1">
      <c r="C17" s="588"/>
      <c r="D17" s="552" t="s">
        <v>225</v>
      </c>
      <c r="E17" s="553"/>
      <c r="F17" s="554"/>
      <c r="G17" s="554"/>
      <c r="H17" s="554"/>
      <c r="I17" s="554"/>
      <c r="J17" s="659"/>
      <c r="K17" s="554"/>
      <c r="L17" s="554"/>
      <c r="M17" s="554"/>
      <c r="N17" s="554"/>
      <c r="O17" s="554"/>
      <c r="P17" s="659"/>
      <c r="Q17" s="554"/>
      <c r="R17" s="554"/>
      <c r="S17" s="554"/>
      <c r="T17" s="554"/>
      <c r="U17" s="554"/>
      <c r="V17" s="554"/>
      <c r="W17" s="554"/>
      <c r="X17" s="554"/>
      <c r="Y17" s="554"/>
      <c r="Z17" s="554"/>
      <c r="AA17" s="554"/>
      <c r="AB17" s="554"/>
      <c r="AC17" s="554"/>
      <c r="AD17" s="553"/>
      <c r="AE17" s="636"/>
      <c r="AF17" s="597"/>
      <c r="AG17" s="597"/>
      <c r="AH17" s="597"/>
      <c r="AI17" s="597"/>
      <c r="AJ17" s="597"/>
      <c r="AK17" s="597"/>
      <c r="AL17" s="597"/>
      <c r="AM17" s="597"/>
      <c r="AN17" s="597"/>
      <c r="AO17" s="597"/>
      <c r="AQ17" s="554"/>
      <c r="AR17" s="554"/>
      <c r="AS17" s="554"/>
      <c r="AU17" s="554"/>
      <c r="AV17" s="554"/>
      <c r="AW17" s="554"/>
      <c r="AY17" s="554"/>
      <c r="AZ17" s="554"/>
      <c r="BA17" s="554"/>
    </row>
    <row r="18" spans="1:53" s="559" customFormat="1" ht="14.5" thickBot="1">
      <c r="C18" s="589"/>
      <c r="D18" s="556" t="s">
        <v>390</v>
      </c>
      <c r="E18" s="557"/>
      <c r="F18" s="558">
        <f>SUM(F13:F17)</f>
        <v>43525</v>
      </c>
      <c r="G18" s="558">
        <f>SUM(G13:G17)</f>
        <v>13541.111111111111</v>
      </c>
      <c r="H18" s="558">
        <f ca="1">SUM(H13:H17)</f>
        <v>25319.94</v>
      </c>
      <c r="I18" s="558">
        <f ca="1">SUM(I13:I17)</f>
        <v>11778.828888888889</v>
      </c>
      <c r="J18" s="660"/>
      <c r="K18" s="558"/>
      <c r="L18" s="558">
        <f>SUM(L13:L17)</f>
        <v>42400</v>
      </c>
      <c r="M18" s="558">
        <f>SUM(M13:M17)</f>
        <v>17852.631578947367</v>
      </c>
      <c r="N18" s="558">
        <f ca="1">SUM(N13:N17)</f>
        <v>0</v>
      </c>
      <c r="O18" s="558">
        <f ca="1">SUM(O13:O17)</f>
        <v>-17852.631578947367</v>
      </c>
      <c r="P18" s="660"/>
      <c r="Q18" s="558"/>
      <c r="R18" s="558">
        <f>SUM(R13:R17)</f>
        <v>161000</v>
      </c>
      <c r="S18" s="558">
        <f>SUM(S13:S17)</f>
        <v>78407</v>
      </c>
      <c r="T18" s="558">
        <f ca="1">SUM(T13:T17)</f>
        <v>135383.94</v>
      </c>
      <c r="U18" s="558">
        <f ca="1">SUM(U13:U17)</f>
        <v>56976.94</v>
      </c>
      <c r="V18" s="558"/>
      <c r="W18" s="558"/>
      <c r="X18" s="558">
        <f>SUM(X13:X17)</f>
        <v>246925</v>
      </c>
      <c r="Y18" s="558">
        <f>SUM(Y13:Y17)</f>
        <v>109800.74269005848</v>
      </c>
      <c r="Z18" s="558">
        <f ca="1">SUM(Z13:Z17)</f>
        <v>160703.88</v>
      </c>
      <c r="AA18" s="558">
        <f ca="1">SUM(AA13:AA17)</f>
        <v>50903.137309941521</v>
      </c>
      <c r="AB18" s="558"/>
      <c r="AC18" s="558"/>
      <c r="AD18" s="557"/>
      <c r="AE18" s="637"/>
      <c r="AF18" s="597"/>
      <c r="AG18" s="597"/>
      <c r="AH18" s="597"/>
      <c r="AI18" s="597"/>
      <c r="AJ18" s="597"/>
      <c r="AK18" s="597"/>
      <c r="AL18" s="597"/>
      <c r="AM18" s="597"/>
      <c r="AN18" s="597"/>
      <c r="AO18" s="597"/>
      <c r="AQ18" s="558">
        <f>SUM(AQ14:AQ17)</f>
        <v>138.17460317460316</v>
      </c>
      <c r="AR18" s="558">
        <f ca="1">SUM(AR14:AR17)</f>
        <v>258.36673469387756</v>
      </c>
      <c r="AS18" s="558">
        <f ca="1">SUM(AS14:AS17)</f>
        <v>120.19213151927437</v>
      </c>
      <c r="AU18" s="558">
        <f>SUM(AU13:AU17)</f>
        <v>148.7719298245614</v>
      </c>
      <c r="AV18" s="558">
        <f ca="1">SUM(AV13:AV17)</f>
        <v>0</v>
      </c>
      <c r="AW18" s="558">
        <f ca="1">SUM(AW13:AW17)</f>
        <v>-148.7719298245614</v>
      </c>
      <c r="AY18" s="558">
        <f>SUM(AY13:AY17)</f>
        <v>161</v>
      </c>
      <c r="AZ18" s="558">
        <f ca="1">SUM(AZ13:AZ17)</f>
        <v>277.99577002053388</v>
      </c>
      <c r="BA18" s="558">
        <f ca="1">SUM(BA13:BA17)</f>
        <v>116.9957700205339</v>
      </c>
    </row>
    <row r="19" spans="1:53" s="49" customFormat="1" thickBot="1">
      <c r="C19" s="586"/>
      <c r="D19" s="560"/>
      <c r="E19" s="561"/>
      <c r="F19" s="45"/>
      <c r="G19" s="45"/>
      <c r="H19" s="45"/>
      <c r="I19" s="45"/>
      <c r="J19" s="661"/>
      <c r="K19" s="45"/>
      <c r="L19" s="45"/>
      <c r="M19" s="45"/>
      <c r="N19" s="45"/>
      <c r="O19" s="45"/>
      <c r="P19" s="661"/>
      <c r="Q19" s="45"/>
      <c r="R19" s="45"/>
      <c r="S19" s="45"/>
      <c r="T19" s="45"/>
      <c r="U19" s="45"/>
      <c r="V19" s="45"/>
      <c r="W19" s="45"/>
      <c r="X19" s="45"/>
      <c r="Y19" s="45"/>
      <c r="Z19" s="647">
        <f ca="1">+Z18-T18-N18-H18</f>
        <v>0</v>
      </c>
      <c r="AA19" s="45"/>
      <c r="AB19" s="45"/>
      <c r="AC19" s="45"/>
      <c r="AD19" s="561"/>
      <c r="AE19" s="638"/>
      <c r="AF19" s="597"/>
      <c r="AG19" s="597"/>
      <c r="AH19" s="597"/>
      <c r="AI19" s="597"/>
      <c r="AJ19" s="597"/>
      <c r="AK19" s="597"/>
      <c r="AL19" s="597"/>
      <c r="AM19" s="597"/>
      <c r="AN19" s="597"/>
      <c r="AO19" s="597"/>
      <c r="AQ19" s="45"/>
      <c r="AR19" s="45"/>
      <c r="AS19" s="45"/>
      <c r="AU19" s="45"/>
      <c r="AV19" s="45"/>
      <c r="AW19" s="45"/>
      <c r="AY19" s="45"/>
      <c r="AZ19" s="45"/>
      <c r="BA19" s="45"/>
    </row>
    <row r="20" spans="1:53" ht="13.5" thickBot="1">
      <c r="D20" s="542" t="s">
        <v>391</v>
      </c>
      <c r="E20" s="41"/>
      <c r="F20" s="32"/>
      <c r="G20" s="32"/>
      <c r="H20" s="32"/>
      <c r="I20" s="32"/>
      <c r="J20" s="32"/>
      <c r="K20" s="32"/>
      <c r="L20" s="32"/>
      <c r="M20" s="32"/>
      <c r="N20" s="32"/>
      <c r="O20" s="32"/>
      <c r="P20" s="32"/>
      <c r="Q20" s="32"/>
      <c r="R20" s="32"/>
      <c r="S20" s="32"/>
      <c r="T20" s="32"/>
      <c r="U20" s="32"/>
      <c r="V20" s="32"/>
      <c r="W20" s="32"/>
      <c r="X20" s="32"/>
      <c r="Y20" s="32"/>
      <c r="Z20" s="32"/>
      <c r="AA20" s="32"/>
      <c r="AB20" s="32"/>
      <c r="AC20" s="32"/>
      <c r="AD20" s="41"/>
      <c r="AE20" s="18"/>
      <c r="AF20" s="597"/>
      <c r="AG20" s="597"/>
      <c r="AH20" s="597"/>
      <c r="AI20" s="597"/>
      <c r="AJ20" s="597"/>
      <c r="AK20" s="597"/>
      <c r="AL20" s="597"/>
      <c r="AM20" s="597"/>
      <c r="AN20" s="597"/>
      <c r="AO20" s="597"/>
      <c r="AQ20" s="32"/>
      <c r="AR20" s="32"/>
      <c r="AS20" s="32"/>
      <c r="AU20" s="32"/>
      <c r="AV20" s="32"/>
      <c r="AW20" s="32"/>
      <c r="AY20" s="32"/>
      <c r="AZ20" s="32"/>
      <c r="BA20" s="32"/>
    </row>
    <row r="21" spans="1:53" s="49" customFormat="1" ht="12.5">
      <c r="C21" s="586"/>
      <c r="D21" s="560"/>
      <c r="E21" s="561"/>
      <c r="F21" s="45"/>
      <c r="G21" s="45"/>
      <c r="H21" s="45"/>
      <c r="I21" s="45"/>
      <c r="J21" s="661"/>
      <c r="K21" s="45"/>
      <c r="L21" s="45"/>
      <c r="M21" s="45"/>
      <c r="N21" s="45"/>
      <c r="O21" s="45"/>
      <c r="P21" s="661"/>
      <c r="Q21" s="45"/>
      <c r="R21" s="45"/>
      <c r="S21" s="45"/>
      <c r="T21" s="45"/>
      <c r="U21" s="45"/>
      <c r="V21" s="45"/>
      <c r="W21" s="45"/>
      <c r="X21" s="45"/>
      <c r="Y21" s="45"/>
      <c r="Z21" s="45"/>
      <c r="AA21" s="45"/>
      <c r="AB21" s="45"/>
      <c r="AC21" s="45"/>
      <c r="AD21" s="561"/>
      <c r="AE21" s="638"/>
      <c r="AF21" s="597"/>
      <c r="AG21" s="597"/>
      <c r="AH21" s="597"/>
      <c r="AI21" s="597"/>
      <c r="AJ21" s="597"/>
      <c r="AK21" s="597"/>
      <c r="AL21" s="597"/>
      <c r="AM21" s="597"/>
      <c r="AN21" s="597"/>
      <c r="AO21" s="597"/>
      <c r="AQ21" s="45"/>
      <c r="AR21" s="45"/>
      <c r="AS21" s="45"/>
      <c r="AU21" s="45"/>
      <c r="AV21" s="45"/>
      <c r="AW21" s="45"/>
      <c r="AY21" s="45"/>
      <c r="AZ21" s="45"/>
      <c r="BA21" s="45"/>
    </row>
    <row r="22" spans="1:53">
      <c r="D22" s="562" t="s">
        <v>392</v>
      </c>
      <c r="E22" s="566"/>
      <c r="F22" s="71"/>
      <c r="G22" s="71"/>
      <c r="H22" s="71"/>
      <c r="I22" s="71"/>
      <c r="J22" s="658"/>
      <c r="K22" s="71"/>
      <c r="L22" s="71"/>
      <c r="M22" s="71"/>
      <c r="N22" s="71"/>
      <c r="O22" s="71"/>
      <c r="P22" s="658"/>
      <c r="Q22" s="71"/>
      <c r="R22" s="71"/>
      <c r="S22" s="71"/>
      <c r="T22" s="71"/>
      <c r="U22" s="71"/>
      <c r="V22" s="71"/>
      <c r="W22" s="71"/>
      <c r="X22" s="71"/>
      <c r="Y22" s="71"/>
      <c r="Z22" s="71"/>
      <c r="AA22" s="71"/>
      <c r="AB22" s="71"/>
      <c r="AC22" s="71"/>
      <c r="AD22" s="566"/>
      <c r="AE22" s="121"/>
      <c r="AF22" s="597"/>
      <c r="AG22" s="597"/>
      <c r="AH22" s="597"/>
      <c r="AI22" s="597"/>
      <c r="AJ22" s="597"/>
      <c r="AK22" s="597"/>
      <c r="AL22" s="597"/>
      <c r="AM22" s="597"/>
      <c r="AN22" s="597"/>
      <c r="AO22" s="597"/>
      <c r="AQ22" s="71"/>
      <c r="AR22" s="71"/>
      <c r="AS22" s="71"/>
      <c r="AU22" s="71"/>
      <c r="AV22" s="71"/>
      <c r="AW22" s="71"/>
      <c r="AY22" s="71"/>
      <c r="AZ22" s="71"/>
      <c r="BA22" s="71"/>
    </row>
    <row r="23" spans="1:53" s="572" customFormat="1" ht="16">
      <c r="C23" s="590"/>
      <c r="D23" s="619" t="s">
        <v>393</v>
      </c>
      <c r="E23" s="570"/>
      <c r="F23" s="571">
        <f>+SUM(F24:F26)</f>
        <v>49530</v>
      </c>
      <c r="G23" s="571">
        <f ca="1">+SUM(G24:G26)</f>
        <v>31956.800000000003</v>
      </c>
      <c r="H23" s="571">
        <f ca="1">+SUM(H24:H26)</f>
        <v>33549.020000000004</v>
      </c>
      <c r="I23" s="571">
        <f ca="1">+SUM(I24:I26)</f>
        <v>-1592.2200000000012</v>
      </c>
      <c r="J23" s="662"/>
      <c r="K23" s="571"/>
      <c r="L23" s="571">
        <f>+SUM(L24:L26)</f>
        <v>38745</v>
      </c>
      <c r="M23" s="571">
        <f ca="1">+SUM(M24:M26)</f>
        <v>0</v>
      </c>
      <c r="N23" s="571">
        <f ca="1">+SUM(N24:N26)</f>
        <v>0</v>
      </c>
      <c r="O23" s="571">
        <f ca="1">+SUM(O24:O26)</f>
        <v>0</v>
      </c>
      <c r="P23" s="662"/>
      <c r="Q23" s="571"/>
      <c r="R23" s="571">
        <f>+SUM(R24:R26)</f>
        <v>107000</v>
      </c>
      <c r="S23" s="571">
        <f ca="1">+SUM(S24:S26)</f>
        <v>94713.959999999992</v>
      </c>
      <c r="T23" s="571">
        <f ca="1">+SUM(T24:T26)</f>
        <v>114345.38999999998</v>
      </c>
      <c r="U23" s="571">
        <f ca="1">+SUM(U24:U26)</f>
        <v>-19631.43</v>
      </c>
      <c r="V23" s="571"/>
      <c r="W23" s="571"/>
      <c r="X23" s="571">
        <f>+SUM(X24:X26)</f>
        <v>195275</v>
      </c>
      <c r="Y23" s="571">
        <f ca="1">+SUM(Y24:Y26)</f>
        <v>126670.75999999998</v>
      </c>
      <c r="Z23" s="571">
        <f ca="1">+SUM(Z24:Z26)</f>
        <v>147894.41</v>
      </c>
      <c r="AA23" s="571">
        <f ca="1">+SUM(AA24:AA26)</f>
        <v>-21223.650000000016</v>
      </c>
      <c r="AB23" s="571"/>
      <c r="AC23" s="571"/>
      <c r="AD23" s="570"/>
      <c r="AE23" s="639"/>
      <c r="AF23" s="597"/>
      <c r="AG23" s="597"/>
      <c r="AH23" s="597"/>
      <c r="AI23" s="597"/>
      <c r="AJ23" s="597"/>
      <c r="AK23" s="597"/>
      <c r="AL23" s="597"/>
      <c r="AM23" s="597"/>
      <c r="AN23" s="597"/>
      <c r="AO23" s="597"/>
      <c r="AQ23" s="571">
        <f>+SUM(AQ24:AQ26)</f>
        <v>157.23809523809524</v>
      </c>
      <c r="AR23" s="571">
        <f ca="1">+SUM(AR24:AR26)</f>
        <v>342.33693877551025</v>
      </c>
      <c r="AS23" s="571">
        <f ca="1">+SUM(AS24:AS26)</f>
        <v>-185.09884353741501</v>
      </c>
      <c r="AU23" s="571">
        <f>+SUM(AU24:AU26)</f>
        <v>135.94736842105263</v>
      </c>
      <c r="AV23" s="571">
        <f ca="1">+SUM(AV24:AV26)</f>
        <v>0</v>
      </c>
      <c r="AW23" s="571">
        <f ca="1">+SUM(AW24:AW26)</f>
        <v>135.94736842105263</v>
      </c>
      <c r="AY23" s="571">
        <f>+SUM(AY24:AY26)</f>
        <v>107</v>
      </c>
      <c r="AZ23" s="571">
        <f ca="1">+SUM(AZ24:AZ26)</f>
        <v>234.79546201232031</v>
      </c>
      <c r="BA23" s="571">
        <f ca="1">+SUM(BA24:BA26)</f>
        <v>-127.79546201232031</v>
      </c>
    </row>
    <row r="24" spans="1:53" s="568" customFormat="1" ht="16">
      <c r="C24" s="591" t="s">
        <v>425</v>
      </c>
      <c r="D24" s="573" t="s">
        <v>394</v>
      </c>
      <c r="E24" s="574"/>
      <c r="F24" s="547">
        <v>30000</v>
      </c>
      <c r="G24" s="547">
        <f t="shared" ref="G24:G49" ca="1" si="3">IF(C24="Acumulado",IF(H24&gt;F24,F24,H24),IF(C24="BN",+(F24/$F$8*$G$8),"VER"))</f>
        <v>15011.900000000001</v>
      </c>
      <c r="H24" s="547">
        <f ca="1">+SUMIF(Resumen_Base!$A$28:$A$91,'Budget Comparativo x BN'!D24,Resumen_Base!$Y$28:$Y$91)</f>
        <v>15011.900000000001</v>
      </c>
      <c r="I24" s="547">
        <f ca="1">+G24-H24</f>
        <v>0</v>
      </c>
      <c r="J24" s="662"/>
      <c r="K24" s="650">
        <f ca="1">IF(ROUND(H24,0)=0,0,IF(F24=0,0,+H24/F24))</f>
        <v>0.50039666666666671</v>
      </c>
      <c r="L24" s="547">
        <v>22500</v>
      </c>
      <c r="M24" s="547">
        <f ca="1">IF(C24="Acumulado",IF(N24&gt;L24,L24,N24),IF(C24="BN",+(L24/$L$8*$M$8),"VER"))</f>
        <v>0</v>
      </c>
      <c r="N24" s="547">
        <f ca="1">+SUMIF(Resumen_Base!$A$94:$A$156,'Budget Comparativo x BN'!D24,Resumen_Base!$Y$94:$Y$156)</f>
        <v>0</v>
      </c>
      <c r="O24" s="547">
        <f ca="1">+M24-N24</f>
        <v>0</v>
      </c>
      <c r="P24" s="662"/>
      <c r="Q24" s="650">
        <f ca="1">IF(ROUND(N24,0)=0,0,IF(L24=0,0,+N24/L24))</f>
        <v>0</v>
      </c>
      <c r="R24" s="547">
        <v>62000</v>
      </c>
      <c r="S24" s="547">
        <f ca="1">IF(C24="Acumulado",IF(T24&gt;R24,R24,T24),IF(C24="BN",+(R24/$R$8*$S$8),"VER"))</f>
        <v>62000</v>
      </c>
      <c r="T24" s="547">
        <f ca="1">SUMIF(Resumen_Base!$A$221:$A$287,'Budget Comparativo x BN'!D24,Resumen_Base!$Y$221:$Y$287)</f>
        <v>77098.14</v>
      </c>
      <c r="U24" s="547">
        <f ca="1">+S24-T24</f>
        <v>-15098.14</v>
      </c>
      <c r="V24" s="571"/>
      <c r="W24" s="650">
        <f ca="1">IF(ROUND(T24,0)=0,0,IF(R24=0,0,+T24/R24))</f>
        <v>1.2435183870967741</v>
      </c>
      <c r="X24" s="547">
        <f t="shared" ref="X24:Z26" si="4">+F24+L24+R24</f>
        <v>114500</v>
      </c>
      <c r="Y24" s="547">
        <f t="shared" ca="1" si="4"/>
        <v>77011.899999999994</v>
      </c>
      <c r="Z24" s="547">
        <f t="shared" ca="1" si="4"/>
        <v>92110.040000000008</v>
      </c>
      <c r="AA24" s="547">
        <f ca="1">+Y24-Z24</f>
        <v>-15098.140000000014</v>
      </c>
      <c r="AB24" s="547"/>
      <c r="AC24" s="650">
        <f ca="1">IF(ROUND(Z24,0)=0,0,IF(X24=0,0,+Z24/X24))</f>
        <v>0.80445449781659395</v>
      </c>
      <c r="AD24" s="574"/>
      <c r="AF24" s="597">
        <v>5208</v>
      </c>
      <c r="AG24" s="597"/>
      <c r="AH24" s="597"/>
      <c r="AI24" s="597"/>
      <c r="AJ24" s="597"/>
      <c r="AK24" s="597"/>
      <c r="AL24" s="597"/>
      <c r="AM24" s="597"/>
      <c r="AN24" s="597"/>
      <c r="AO24" s="597"/>
      <c r="AQ24" s="36">
        <f>+F24/$AQ$8</f>
        <v>95.238095238095241</v>
      </c>
      <c r="AR24" s="36">
        <f ca="1">+H24/$AR$8</f>
        <v>153.1826530612245</v>
      </c>
      <c r="AS24" s="547">
        <f t="shared" ref="AS24:AS49" ca="1" si="5">+AQ24-AR24</f>
        <v>-57.944557823129259</v>
      </c>
      <c r="AU24" s="36">
        <f>+L24/$AU$8</f>
        <v>78.94736842105263</v>
      </c>
      <c r="AV24" s="36">
        <f ca="1">+N24/$N$8</f>
        <v>0</v>
      </c>
      <c r="AW24" s="547">
        <f ca="1">+AU24-AV24</f>
        <v>78.94736842105263</v>
      </c>
      <c r="AY24" s="36">
        <f>+R24/$R$8</f>
        <v>62</v>
      </c>
      <c r="AZ24" s="36">
        <f ca="1">+T24/$AZ$8</f>
        <v>158.31240246406571</v>
      </c>
      <c r="BA24" s="547">
        <f ca="1">+AY24-AZ24</f>
        <v>-96.312402464065713</v>
      </c>
    </row>
    <row r="25" spans="1:53" s="568" customFormat="1">
      <c r="A25" s="568">
        <f ca="1">IF(ROUND(B25,0)=0,0,1)</f>
        <v>0</v>
      </c>
      <c r="B25" s="568">
        <f ca="1">+Z25-SUMIF(Resumen_Base!$A$8:$A$287,'Budget Comparativo x BN'!D25,Resumen_Base!$Y$8:$Y$287)</f>
        <v>0</v>
      </c>
      <c r="C25" s="591" t="s">
        <v>425</v>
      </c>
      <c r="D25" s="573" t="s">
        <v>395</v>
      </c>
      <c r="E25" s="574"/>
      <c r="F25" s="547">
        <f>+$F$8*42</f>
        <v>13230</v>
      </c>
      <c r="G25" s="547">
        <f t="shared" ca="1" si="3"/>
        <v>13230</v>
      </c>
      <c r="H25" s="547">
        <f ca="1">+SUMIF(Resumen_Base!$A$28:$A$91,'Budget Comparativo x BN'!D25,Resumen_Base!$Y$28:$Y$91)</f>
        <v>14822.220000000001</v>
      </c>
      <c r="I25" s="547">
        <f t="shared" ref="I25:I49" ca="1" si="6">+G25-H25</f>
        <v>-1592.2200000000012</v>
      </c>
      <c r="J25" s="622"/>
      <c r="K25" s="650">
        <f ca="1">IF(ROUND(H25,0)=0,0,+H25/F25)</f>
        <v>1.1203492063492064</v>
      </c>
      <c r="L25" s="547">
        <f>+$L$8*42</f>
        <v>11970</v>
      </c>
      <c r="M25" s="547">
        <f t="shared" ref="M25:M33" ca="1" si="7">IF(C25="Acumulado",IF(N25&gt;L25,L25,N25),IF(C25="BN",+(L25/$L$8*$M$8),"VER"))</f>
        <v>0</v>
      </c>
      <c r="N25" s="547">
        <f ca="1">+SUMIF(Resumen_Base!$A$94:$A$156,'Budget Comparativo x BN'!D25,Resumen_Base!$Y$94:$Y$156)</f>
        <v>0</v>
      </c>
      <c r="O25" s="547">
        <f t="shared" ref="O25:O49" ca="1" si="8">+M25-N25</f>
        <v>0</v>
      </c>
      <c r="P25" s="622"/>
      <c r="Q25" s="650">
        <f ca="1">IF(ROUND(N25,0)=0,0,+N25/L25)</f>
        <v>0</v>
      </c>
      <c r="R25" s="547">
        <f>+$R$8*45</f>
        <v>45000</v>
      </c>
      <c r="S25" s="547">
        <f ca="1">IF(C25="Acumulado",IF(T25&gt;R25,R25,T25),IF(C25="BN",+(R25/$R$8*$S$8),"VER"))</f>
        <v>32713.959999999995</v>
      </c>
      <c r="T25" s="547">
        <f ca="1">SUMIF(Resumen_Base!$A$221:$A$287,'Budget Comparativo x BN'!D25,Resumen_Base!$Y$221:$Y$287)</f>
        <v>32713.959999999995</v>
      </c>
      <c r="U25" s="547">
        <f t="shared" ref="U25:U49" ca="1" si="9">+S25-T25</f>
        <v>0</v>
      </c>
      <c r="V25" s="547"/>
      <c r="W25" s="650">
        <f ca="1">IF(ROUND(T25,0)=0,0,+T25/R25)</f>
        <v>0.72697688888888878</v>
      </c>
      <c r="X25" s="547">
        <f t="shared" si="4"/>
        <v>70200</v>
      </c>
      <c r="Y25" s="547">
        <f t="shared" ca="1" si="4"/>
        <v>45943.959999999992</v>
      </c>
      <c r="Z25" s="547">
        <f t="shared" ca="1" si="4"/>
        <v>47536.179999999993</v>
      </c>
      <c r="AA25" s="547">
        <f t="shared" ref="AA25:AA49" ca="1" si="10">+Y25-Z25</f>
        <v>-1592.2200000000012</v>
      </c>
      <c r="AB25" s="547"/>
      <c r="AC25" s="650">
        <f ca="1">IF(ROUND(Z25,0)=0,0,+Z25/X25)</f>
        <v>0.67715356125356119</v>
      </c>
      <c r="AD25" s="574"/>
      <c r="AF25" s="597">
        <v>5207</v>
      </c>
      <c r="AG25" s="597">
        <v>5283</v>
      </c>
      <c r="AH25" s="597"/>
      <c r="AI25" s="597"/>
      <c r="AJ25" s="597"/>
      <c r="AK25" s="597"/>
      <c r="AL25" s="597"/>
      <c r="AM25" s="597"/>
      <c r="AN25" s="597"/>
      <c r="AO25" s="597"/>
      <c r="AQ25" s="36">
        <f>+F25/$AQ$8</f>
        <v>42</v>
      </c>
      <c r="AR25" s="36">
        <f ca="1">+H25/$AR$8</f>
        <v>151.24714285714288</v>
      </c>
      <c r="AS25" s="547">
        <f t="shared" ca="1" si="5"/>
        <v>-109.24714285714288</v>
      </c>
      <c r="AU25" s="36">
        <f>+L25/$AU$8</f>
        <v>42</v>
      </c>
      <c r="AV25" s="36">
        <f ca="1">+N25/$N$8</f>
        <v>0</v>
      </c>
      <c r="AW25" s="547">
        <f ca="1">+AU25-AV25</f>
        <v>42</v>
      </c>
      <c r="AY25" s="36">
        <f>+R25/$AY$8</f>
        <v>45</v>
      </c>
      <c r="AZ25" s="36">
        <f ca="1">+T25/$AZ$8</f>
        <v>67.174455852156044</v>
      </c>
      <c r="BA25" s="547">
        <f ca="1">+AY25-AZ25</f>
        <v>-22.174455852156044</v>
      </c>
    </row>
    <row r="26" spans="1:53" s="568" customFormat="1">
      <c r="A26" s="568">
        <f ca="1">IF(ROUND(B26,0)=0,0,1)</f>
        <v>0</v>
      </c>
      <c r="B26" s="568">
        <f ca="1">+Z26-SUMIF(Resumen_Base!$A$8:$A$287,'Budget Comparativo x BN'!D26,Resumen_Base!$Y$8:$Y$287)</f>
        <v>0</v>
      </c>
      <c r="C26" s="591" t="s">
        <v>425</v>
      </c>
      <c r="D26" s="573" t="s">
        <v>396</v>
      </c>
      <c r="E26" s="574"/>
      <c r="F26" s="547">
        <f>+$F$8*20</f>
        <v>6300</v>
      </c>
      <c r="G26" s="547">
        <f t="shared" ca="1" si="3"/>
        <v>3714.9</v>
      </c>
      <c r="H26" s="547">
        <f ca="1">+SUMIF(Resumen_Base!$A$28:$A$91,'Budget Comparativo x BN'!D26,Resumen_Base!$Y$28:$Y$91)</f>
        <v>3714.9</v>
      </c>
      <c r="I26" s="547">
        <f t="shared" ca="1" si="6"/>
        <v>0</v>
      </c>
      <c r="J26" s="622"/>
      <c r="K26" s="650">
        <f t="shared" ref="K26:K31" ca="1" si="11">IF(ROUND(H26,0)=0,0,IF(F26=0,0,+H26/F26))</f>
        <v>0.58966666666666667</v>
      </c>
      <c r="L26" s="547">
        <f>+$L$8*15</f>
        <v>4275</v>
      </c>
      <c r="M26" s="547">
        <f t="shared" ca="1" si="7"/>
        <v>0</v>
      </c>
      <c r="N26" s="547">
        <f ca="1">+SUMIF(Resumen_Base!$A$94:$A$156,'Budget Comparativo x BN'!D26,Resumen_Base!$Y$94:$Y$156)</f>
        <v>0</v>
      </c>
      <c r="O26" s="547">
        <f t="shared" ca="1" si="8"/>
        <v>0</v>
      </c>
      <c r="P26" s="622"/>
      <c r="Q26" s="650">
        <f t="shared" ref="Q26:Q31" ca="1" si="12">IF(ROUND(N26,0)=0,0,IF(L26=0,0,+N26/L26))</f>
        <v>0</v>
      </c>
      <c r="R26" s="547">
        <v>0</v>
      </c>
      <c r="S26" s="547">
        <f ca="1">IF(C26="Acumulado",IF(T26&gt;R26,R26,T26),IF(C26="BN",+(R26/$R$8*$S$8),"VER"))</f>
        <v>0</v>
      </c>
      <c r="T26" s="547">
        <f ca="1">SUMIF(Resumen_Base!$A$221:$A$287,'Budget Comparativo x BN'!D26,Resumen_Base!$Y$221:$Y$287)</f>
        <v>4533.2900000000009</v>
      </c>
      <c r="U26" s="547">
        <f t="shared" ca="1" si="9"/>
        <v>-4533.2900000000009</v>
      </c>
      <c r="V26" s="547"/>
      <c r="W26" s="650">
        <f t="shared" ref="W26:W31" ca="1" si="13">IF(ROUND(T26,0)=0,0,IF(R26=0,0,+T26/R26))</f>
        <v>0</v>
      </c>
      <c r="X26" s="547">
        <f t="shared" si="4"/>
        <v>10575</v>
      </c>
      <c r="Y26" s="547">
        <f t="shared" ca="1" si="4"/>
        <v>3714.9</v>
      </c>
      <c r="Z26" s="547">
        <f t="shared" ca="1" si="4"/>
        <v>8248.19</v>
      </c>
      <c r="AA26" s="547">
        <f t="shared" ca="1" si="10"/>
        <v>-4533.2900000000009</v>
      </c>
      <c r="AB26" s="547"/>
      <c r="AC26" s="650">
        <f t="shared" ref="AC26:AC31" ca="1" si="14">IF(ROUND(Z26,0)=0,0,IF(X26=0,0,+Z26/X26))</f>
        <v>0.77997068557919624</v>
      </c>
      <c r="AD26" s="574"/>
      <c r="AF26" s="597">
        <v>5284</v>
      </c>
      <c r="AG26" s="597">
        <v>5258</v>
      </c>
      <c r="AH26" s="597"/>
      <c r="AI26" s="597"/>
      <c r="AJ26" s="597"/>
      <c r="AK26" s="597"/>
      <c r="AL26" s="597"/>
      <c r="AM26" s="597"/>
      <c r="AN26" s="597"/>
      <c r="AO26" s="597"/>
      <c r="AQ26" s="36">
        <f>+F26/$AQ$8</f>
        <v>20</v>
      </c>
      <c r="AR26" s="36">
        <f ca="1">+H26/$AR$8</f>
        <v>37.907142857142858</v>
      </c>
      <c r="AS26" s="547">
        <f t="shared" ca="1" si="5"/>
        <v>-17.907142857142858</v>
      </c>
      <c r="AU26" s="36">
        <f>+L26/$AU$8</f>
        <v>15</v>
      </c>
      <c r="AV26" s="36">
        <f ca="1">+N26/$N$8</f>
        <v>0</v>
      </c>
      <c r="AW26" s="547">
        <f ca="1">+AU26-AV26</f>
        <v>15</v>
      </c>
      <c r="AY26" s="36">
        <f>+R26/$AY$8</f>
        <v>0</v>
      </c>
      <c r="AZ26" s="36">
        <f ca="1">+T26/$AZ$8</f>
        <v>9.3086036960985652</v>
      </c>
      <c r="BA26" s="547">
        <f ca="1">+AY26-AZ26</f>
        <v>-9.3086036960985652</v>
      </c>
    </row>
    <row r="27" spans="1:53" s="577" customFormat="1" ht="26">
      <c r="C27" s="592"/>
      <c r="D27" s="618" t="s">
        <v>397</v>
      </c>
      <c r="E27" s="576"/>
      <c r="F27" s="571">
        <f t="shared" ref="F27:M27" si="15">+SUM(F28:F31)</f>
        <v>125053</v>
      </c>
      <c r="G27" s="571">
        <f t="shared" ca="1" si="15"/>
        <v>58482.985769230771</v>
      </c>
      <c r="H27" s="571">
        <f t="shared" ca="1" si="15"/>
        <v>58482.985769230771</v>
      </c>
      <c r="I27" s="571">
        <f t="shared" ca="1" si="15"/>
        <v>0</v>
      </c>
      <c r="J27" s="662"/>
      <c r="K27" s="650">
        <f t="shared" ca="1" si="11"/>
        <v>0.46766559594116713</v>
      </c>
      <c r="L27" s="571">
        <f t="shared" si="15"/>
        <v>105648</v>
      </c>
      <c r="M27" s="571">
        <f t="shared" ca="1" si="15"/>
        <v>0</v>
      </c>
      <c r="N27" s="571">
        <f ca="1">+SUM(N28:N31)</f>
        <v>0</v>
      </c>
      <c r="O27" s="571">
        <f ca="1">+SUM(O28:O31)</f>
        <v>0</v>
      </c>
      <c r="P27" s="662"/>
      <c r="Q27" s="650">
        <f t="shared" ca="1" si="12"/>
        <v>0</v>
      </c>
      <c r="R27" s="571">
        <f>+SUM(R28:R31)</f>
        <v>274570</v>
      </c>
      <c r="S27" s="571">
        <f ca="1">+SUM(S28:S31)</f>
        <v>268414.03897435893</v>
      </c>
      <c r="T27" s="571">
        <f ca="1">+SUM(T28:T31)</f>
        <v>310951.02009584074</v>
      </c>
      <c r="U27" s="571">
        <f ca="1">+SUM(U28:U31)</f>
        <v>-42536.981121481826</v>
      </c>
      <c r="V27" s="622" t="s">
        <v>760</v>
      </c>
      <c r="W27" s="650">
        <f t="shared" ca="1" si="13"/>
        <v>1.1325018031680107</v>
      </c>
      <c r="X27" s="571">
        <f>+SUM(X28:X30)</f>
        <v>457982</v>
      </c>
      <c r="Y27" s="571">
        <f ca="1">+SUM(Y28:Y30)</f>
        <v>290541.68397435895</v>
      </c>
      <c r="Z27" s="571">
        <f ca="1">+SUM(Z28:Z30)</f>
        <v>333078.66509584076</v>
      </c>
      <c r="AA27" s="571">
        <f ca="1">+SUM(AA28:AA31)</f>
        <v>-42536.981121481818</v>
      </c>
      <c r="AB27" s="571"/>
      <c r="AC27" s="650">
        <f t="shared" ca="1" si="14"/>
        <v>0.72727457650265892</v>
      </c>
      <c r="AD27" s="576"/>
      <c r="AE27" s="640"/>
      <c r="AF27" s="597"/>
      <c r="AG27" s="597"/>
      <c r="AH27" s="597"/>
      <c r="AI27" s="597"/>
      <c r="AJ27" s="597"/>
      <c r="AK27" s="597"/>
      <c r="AL27" s="597"/>
      <c r="AM27" s="597"/>
      <c r="AN27" s="597"/>
      <c r="AO27" s="597"/>
      <c r="AQ27" s="571">
        <f>+SUM(AQ28:AQ31)</f>
        <v>396.99365079365083</v>
      </c>
      <c r="AR27" s="571">
        <f ca="1">+SUM(AR28:AR31)</f>
        <v>596.76516091051803</v>
      </c>
      <c r="AS27" s="571">
        <f ca="1">+SUM(AS28:AS31)</f>
        <v>-199.77151011686726</v>
      </c>
      <c r="AU27" s="571">
        <f>+SUM(AU28:AU31)</f>
        <v>370.69473684210521</v>
      </c>
      <c r="AV27" s="571">
        <f ca="1">+SUM(AV28:AV31)</f>
        <v>0</v>
      </c>
      <c r="AW27" s="571">
        <f ca="1">+SUM(AW28:AW31)</f>
        <v>370.69473684210521</v>
      </c>
      <c r="AY27" s="571">
        <f>+SUM(AY28:AY31)</f>
        <v>274.57</v>
      </c>
      <c r="AZ27" s="571">
        <f ca="1">+SUM(AZ28:AZ31)</f>
        <v>638.50312134669559</v>
      </c>
      <c r="BA27" s="571">
        <f ca="1">+SUM(BA28:BA31)</f>
        <v>-363.93312134669566</v>
      </c>
    </row>
    <row r="28" spans="1:53" s="568" customFormat="1" ht="16">
      <c r="A28" s="577"/>
      <c r="B28" s="577"/>
      <c r="C28" s="591" t="s">
        <v>425</v>
      </c>
      <c r="D28" s="573" t="s">
        <v>398</v>
      </c>
      <c r="E28" s="574"/>
      <c r="F28" s="547">
        <v>21567</v>
      </c>
      <c r="G28" s="547">
        <f t="shared" ca="1" si="3"/>
        <v>21486.384743589744</v>
      </c>
      <c r="H28" s="547">
        <f ca="1">+SUMIF(Resumen_Base!$A$28:$A$91,'Budget Comparativo x BN'!D28,Resumen_Base!$Y$28:$Y$91)</f>
        <v>21486.384743589744</v>
      </c>
      <c r="I28" s="547">
        <f t="shared" ca="1" si="6"/>
        <v>0</v>
      </c>
      <c r="J28" s="622"/>
      <c r="K28" s="650">
        <f t="shared" ca="1" si="11"/>
        <v>0.99626210152500316</v>
      </c>
      <c r="L28" s="547">
        <v>21033</v>
      </c>
      <c r="M28" s="547">
        <f t="shared" ca="1" si="7"/>
        <v>0</v>
      </c>
      <c r="N28" s="547">
        <f ca="1">+SUMIF(Resumen_Base!$A$94:$A$156,'Budget Comparativo x BN'!D28,Resumen_Base!$Y$94:$Y$156)</f>
        <v>0</v>
      </c>
      <c r="O28" s="547">
        <f t="shared" ca="1" si="8"/>
        <v>0</v>
      </c>
      <c r="P28" s="622"/>
      <c r="Q28" s="650">
        <f t="shared" ca="1" si="12"/>
        <v>0</v>
      </c>
      <c r="R28" s="547">
        <v>55033</v>
      </c>
      <c r="S28" s="547">
        <f t="shared" ref="S28:S33" ca="1" si="16">IF(C28="Acumulado",IF(T28&gt;R28,R28,T28),IF(C28="BN",+(R28/$R$8*$S$8),"VER"))</f>
        <v>55033</v>
      </c>
      <c r="T28" s="547">
        <f ca="1">SUMIF(Resumen_Base!$A$221:$A$287,'Budget Comparativo x BN'!D28,Resumen_Base!$Y$221:$Y$287)</f>
        <v>60782.456914893621</v>
      </c>
      <c r="U28" s="547">
        <f t="shared" ca="1" si="9"/>
        <v>-5749.4569148936207</v>
      </c>
      <c r="V28" s="547"/>
      <c r="W28" s="650">
        <f t="shared" ca="1" si="13"/>
        <v>1.1044728965328734</v>
      </c>
      <c r="X28" s="547">
        <f t="shared" ref="X28:Z33" si="17">+F28+L28+R28</f>
        <v>97633</v>
      </c>
      <c r="Y28" s="547">
        <f t="shared" ca="1" si="17"/>
        <v>76519.384743589748</v>
      </c>
      <c r="Z28" s="547">
        <f t="shared" ca="1" si="17"/>
        <v>82268.841658483361</v>
      </c>
      <c r="AA28" s="547">
        <f t="shared" ca="1" si="10"/>
        <v>-5749.4569148936134</v>
      </c>
      <c r="AB28" s="571"/>
      <c r="AC28" s="650">
        <f t="shared" ca="1" si="14"/>
        <v>0.84263355277911522</v>
      </c>
      <c r="AD28" s="574"/>
      <c r="AF28" s="597">
        <v>5228</v>
      </c>
      <c r="AG28" s="597"/>
      <c r="AH28" s="597"/>
      <c r="AI28" s="597"/>
      <c r="AJ28" s="597"/>
      <c r="AK28" s="597"/>
      <c r="AL28" s="597"/>
      <c r="AM28" s="597"/>
      <c r="AN28" s="597"/>
      <c r="AO28" s="597"/>
      <c r="AQ28" s="36">
        <f t="shared" ref="AQ28:AQ33" si="18">+F28/$AQ$8</f>
        <v>68.466666666666669</v>
      </c>
      <c r="AR28" s="36">
        <f t="shared" ref="AR28:AR33" ca="1" si="19">+H28/$AR$8</f>
        <v>219.24882391418106</v>
      </c>
      <c r="AS28" s="547">
        <f t="shared" ca="1" si="5"/>
        <v>-150.78215724751439</v>
      </c>
      <c r="AU28" s="36">
        <f t="shared" ref="AU28:AU33" si="20">+L28/$AU$8</f>
        <v>73.8</v>
      </c>
      <c r="AV28" s="36">
        <f t="shared" ref="AV28:AV33" ca="1" si="21">+N28/$N$8</f>
        <v>0</v>
      </c>
      <c r="AW28" s="547">
        <f t="shared" ref="AW28:AW33" ca="1" si="22">+AU28-AV28</f>
        <v>73.8</v>
      </c>
      <c r="AY28" s="36">
        <f t="shared" ref="AY28:AY33" si="23">+R28/$AY$8</f>
        <v>55.033000000000001</v>
      </c>
      <c r="AZ28" s="36">
        <f t="shared" ref="AZ28:AZ33" ca="1" si="24">+T28/$AZ$8</f>
        <v>124.8099731311984</v>
      </c>
      <c r="BA28" s="547">
        <f t="shared" ref="BA28:BA33" ca="1" si="25">+AY28-AZ28</f>
        <v>-69.776973131198403</v>
      </c>
    </row>
    <row r="29" spans="1:53" s="568" customFormat="1" ht="16">
      <c r="A29" s="577"/>
      <c r="B29" s="577"/>
      <c r="C29" s="591" t="s">
        <v>425</v>
      </c>
      <c r="D29" s="573" t="s">
        <v>399</v>
      </c>
      <c r="E29" s="574"/>
      <c r="F29" s="547">
        <v>65569</v>
      </c>
      <c r="G29" s="547">
        <f t="shared" ca="1" si="3"/>
        <v>24832.441282051281</v>
      </c>
      <c r="H29" s="547">
        <f ca="1">+SUMIF(Resumen_Base!$A$28:$A$91,'Budget Comparativo x BN'!D29,Resumen_Base!$Y$28:$Y$91)</f>
        <v>24832.441282051281</v>
      </c>
      <c r="I29" s="547">
        <f t="shared" ca="1" si="6"/>
        <v>0</v>
      </c>
      <c r="J29" s="622"/>
      <c r="K29" s="650">
        <f t="shared" ca="1" si="11"/>
        <v>0.37872228159726823</v>
      </c>
      <c r="L29" s="547">
        <v>55150</v>
      </c>
      <c r="M29" s="547">
        <f t="shared" ca="1" si="7"/>
        <v>0</v>
      </c>
      <c r="N29" s="547">
        <f ca="1">+SUMIF(Resumen_Base!$A$94:$A$156,'Budget Comparativo x BN'!D29,Resumen_Base!$Y$94:$Y$156)+'Stock - Deudas'!$L$16</f>
        <v>0</v>
      </c>
      <c r="O29" s="547">
        <f t="shared" ca="1" si="8"/>
        <v>0</v>
      </c>
      <c r="P29" s="662"/>
      <c r="Q29" s="650">
        <f t="shared" ca="1" si="12"/>
        <v>0</v>
      </c>
      <c r="R29" s="547">
        <v>122800</v>
      </c>
      <c r="S29" s="547">
        <f t="shared" ca="1" si="16"/>
        <v>119564.33256410254</v>
      </c>
      <c r="T29" s="547">
        <f ca="1">SUMIF(Resumen_Base!$A$221:$A$287,'Budget Comparativo x BN'!D29,Resumen_Base!$Y$221:$Y$287)</f>
        <v>119564.33256410254</v>
      </c>
      <c r="U29" s="547">
        <f t="shared" ca="1" si="9"/>
        <v>0</v>
      </c>
      <c r="V29" s="622"/>
      <c r="W29" s="650">
        <f t="shared" ca="1" si="13"/>
        <v>0.97365091664578618</v>
      </c>
      <c r="X29" s="547">
        <f t="shared" si="17"/>
        <v>243519</v>
      </c>
      <c r="Y29" s="547">
        <f t="shared" ca="1" si="17"/>
        <v>144396.77384615381</v>
      </c>
      <c r="Z29" s="547">
        <f t="shared" ca="1" si="17"/>
        <v>144396.77384615381</v>
      </c>
      <c r="AA29" s="547">
        <f t="shared" ca="1" si="10"/>
        <v>0</v>
      </c>
      <c r="AB29" s="571"/>
      <c r="AC29" s="650">
        <f t="shared" ca="1" si="14"/>
        <v>0.59295896355583677</v>
      </c>
      <c r="AD29" s="574"/>
      <c r="AF29" s="597">
        <v>5227</v>
      </c>
      <c r="AG29" s="597">
        <v>5280</v>
      </c>
      <c r="AH29" s="597"/>
      <c r="AI29" s="597"/>
      <c r="AJ29" s="597"/>
      <c r="AK29" s="597"/>
      <c r="AL29" s="597"/>
      <c r="AM29" s="597"/>
      <c r="AN29" s="597"/>
      <c r="AO29" s="597"/>
      <c r="AQ29" s="36">
        <f t="shared" si="18"/>
        <v>208.15555555555557</v>
      </c>
      <c r="AR29" s="36">
        <f t="shared" ca="1" si="19"/>
        <v>253.39225798011512</v>
      </c>
      <c r="AS29" s="547">
        <f t="shared" ca="1" si="5"/>
        <v>-45.236702424559553</v>
      </c>
      <c r="AU29" s="36">
        <f t="shared" si="20"/>
        <v>193.50877192982455</v>
      </c>
      <c r="AV29" s="36">
        <f t="shared" ca="1" si="21"/>
        <v>0</v>
      </c>
      <c r="AW29" s="547">
        <f t="shared" ca="1" si="22"/>
        <v>193.50877192982455</v>
      </c>
      <c r="AY29" s="36">
        <f t="shared" si="23"/>
        <v>122.8</v>
      </c>
      <c r="AZ29" s="36">
        <f t="shared" ca="1" si="24"/>
        <v>245.51197651766435</v>
      </c>
      <c r="BA29" s="547">
        <f t="shared" ca="1" si="25"/>
        <v>-122.71197651766435</v>
      </c>
    </row>
    <row r="30" spans="1:53" s="568" customFormat="1" ht="52">
      <c r="A30" s="577"/>
      <c r="B30" s="577"/>
      <c r="C30" s="591" t="s">
        <v>425</v>
      </c>
      <c r="D30" s="573" t="s">
        <v>400</v>
      </c>
      <c r="E30" s="574"/>
      <c r="F30" s="547">
        <v>28552</v>
      </c>
      <c r="G30" s="547">
        <f t="shared" ca="1" si="3"/>
        <v>4625.5253846153846</v>
      </c>
      <c r="H30" s="547">
        <f ca="1">+SUMIF(Resumen_Base!$A$28:$A$91,'Budget Comparativo x BN'!D30,Resumen_Base!$Y$28:$Y$91)</f>
        <v>4625.5253846153846</v>
      </c>
      <c r="I30" s="547">
        <f t="shared" ca="1" si="6"/>
        <v>0</v>
      </c>
      <c r="J30" s="622"/>
      <c r="K30" s="650">
        <f t="shared" ca="1" si="11"/>
        <v>0.16200355087613424</v>
      </c>
      <c r="L30" s="547">
        <v>23278</v>
      </c>
      <c r="M30" s="547">
        <f t="shared" ca="1" si="7"/>
        <v>0</v>
      </c>
      <c r="N30" s="547">
        <f ca="1">+SUMIF(Resumen_Base!$A$94:$A$156,'Budget Comparativo x BN'!D30,Resumen_Base!$Y$94:$Y$156)</f>
        <v>0</v>
      </c>
      <c r="O30" s="547">
        <f t="shared" ca="1" si="8"/>
        <v>0</v>
      </c>
      <c r="P30" s="622" t="s">
        <v>754</v>
      </c>
      <c r="Q30" s="650">
        <f t="shared" ca="1" si="12"/>
        <v>0</v>
      </c>
      <c r="R30" s="547">
        <v>65000</v>
      </c>
      <c r="S30" s="547">
        <f t="shared" ca="1" si="16"/>
        <v>65000</v>
      </c>
      <c r="T30" s="547">
        <f ca="1">SUMIF(Resumen_Base!$A$221:$A$287,'Budget Comparativo x BN'!D30,Resumen_Base!$Y$221:$Y$287)</f>
        <v>101787.5242065882</v>
      </c>
      <c r="U30" s="547">
        <f t="shared" ca="1" si="9"/>
        <v>-36787.524206588205</v>
      </c>
      <c r="V30" s="622" t="s">
        <v>761</v>
      </c>
      <c r="W30" s="650">
        <f t="shared" ca="1" si="13"/>
        <v>1.5659619108705878</v>
      </c>
      <c r="X30" s="547">
        <f t="shared" si="17"/>
        <v>116830</v>
      </c>
      <c r="Y30" s="547">
        <f t="shared" ca="1" si="17"/>
        <v>69625.525384615379</v>
      </c>
      <c r="Z30" s="547">
        <f t="shared" ca="1" si="17"/>
        <v>106413.04959120358</v>
      </c>
      <c r="AA30" s="547">
        <f t="shared" ca="1" si="10"/>
        <v>-36787.524206588205</v>
      </c>
      <c r="AB30" s="547"/>
      <c r="AC30" s="650">
        <f t="shared" ca="1" si="14"/>
        <v>0.91083668228369075</v>
      </c>
      <c r="AD30" s="574"/>
      <c r="AF30" s="597">
        <v>5226</v>
      </c>
      <c r="AG30" s="597">
        <v>5281</v>
      </c>
      <c r="AH30" s="597"/>
      <c r="AI30" s="597"/>
      <c r="AJ30" s="597"/>
      <c r="AK30" s="597"/>
      <c r="AL30" s="597"/>
      <c r="AM30" s="597"/>
      <c r="AN30" s="597"/>
      <c r="AO30" s="597"/>
      <c r="AQ30" s="36">
        <f t="shared" si="18"/>
        <v>90.641269841269846</v>
      </c>
      <c r="AR30" s="36">
        <f t="shared" ca="1" si="19"/>
        <v>47.199238618524333</v>
      </c>
      <c r="AS30" s="547">
        <f t="shared" ca="1" si="5"/>
        <v>43.442031222745513</v>
      </c>
      <c r="AU30" s="36">
        <f t="shared" si="20"/>
        <v>81.677192982456134</v>
      </c>
      <c r="AV30" s="36">
        <f t="shared" ca="1" si="21"/>
        <v>0</v>
      </c>
      <c r="AW30" s="547">
        <f t="shared" ca="1" si="22"/>
        <v>81.677192982456134</v>
      </c>
      <c r="AY30" s="36">
        <f t="shared" si="23"/>
        <v>65</v>
      </c>
      <c r="AZ30" s="36">
        <f t="shared" ca="1" si="24"/>
        <v>209.00928995192649</v>
      </c>
      <c r="BA30" s="547">
        <f t="shared" ca="1" si="25"/>
        <v>-144.00928995192649</v>
      </c>
    </row>
    <row r="31" spans="1:53" s="568" customFormat="1" ht="78">
      <c r="A31" s="577"/>
      <c r="B31" s="577"/>
      <c r="C31" s="591" t="s">
        <v>425</v>
      </c>
      <c r="D31" s="573" t="s">
        <v>401</v>
      </c>
      <c r="E31" s="574"/>
      <c r="F31" s="547">
        <v>9365</v>
      </c>
      <c r="G31" s="547">
        <f t="shared" ca="1" si="3"/>
        <v>7538.6343589743583</v>
      </c>
      <c r="H31" s="547">
        <f ca="1">+SUMIF(Resumen_Base!$A$28:$A$91,'Budget Comparativo x BN'!D31,Resumen_Base!$Y$28:$Y$91)</f>
        <v>7538.6343589743583</v>
      </c>
      <c r="I31" s="547">
        <f t="shared" ca="1" si="6"/>
        <v>0</v>
      </c>
      <c r="J31" s="622" t="s">
        <v>746</v>
      </c>
      <c r="K31" s="650">
        <f t="shared" ca="1" si="11"/>
        <v>0.80497964324339122</v>
      </c>
      <c r="L31" s="547">
        <v>6187</v>
      </c>
      <c r="M31" s="547">
        <f t="shared" ca="1" si="7"/>
        <v>0</v>
      </c>
      <c r="N31" s="547">
        <f ca="1">+SUMIF(Resumen_Base!$A$94:$A$156,'Budget Comparativo x BN'!D31,Resumen_Base!$Y$94:$Y$156)</f>
        <v>0</v>
      </c>
      <c r="O31" s="547">
        <f t="shared" ca="1" si="8"/>
        <v>0</v>
      </c>
      <c r="P31" s="622" t="s">
        <v>755</v>
      </c>
      <c r="Q31" s="650">
        <f t="shared" ca="1" si="12"/>
        <v>0</v>
      </c>
      <c r="R31" s="547">
        <v>31737</v>
      </c>
      <c r="S31" s="547">
        <f t="shared" ca="1" si="16"/>
        <v>28816.706410256411</v>
      </c>
      <c r="T31" s="547">
        <f ca="1">SUMIF(Resumen_Base!$A$221:$A$287,'Budget Comparativo x BN'!D31,Resumen_Base!$Y$221:$Y$287)</f>
        <v>28816.706410256411</v>
      </c>
      <c r="U31" s="547">
        <f t="shared" ca="1" si="9"/>
        <v>0</v>
      </c>
      <c r="V31" s="547"/>
      <c r="W31" s="650">
        <f t="shared" ca="1" si="13"/>
        <v>0.90798457353424744</v>
      </c>
      <c r="X31" s="547">
        <f t="shared" si="17"/>
        <v>47289</v>
      </c>
      <c r="Y31" s="547">
        <f t="shared" ca="1" si="17"/>
        <v>36355.340769230766</v>
      </c>
      <c r="Z31" s="547">
        <f t="shared" ca="1" si="17"/>
        <v>36355.340769230766</v>
      </c>
      <c r="AA31" s="547">
        <f t="shared" ca="1" si="10"/>
        <v>0</v>
      </c>
      <c r="AB31" s="547"/>
      <c r="AC31" s="650">
        <f t="shared" ca="1" si="14"/>
        <v>0.76879064410815978</v>
      </c>
      <c r="AD31" s="574"/>
      <c r="AF31" s="597">
        <v>5235</v>
      </c>
      <c r="AG31" s="597">
        <v>5236</v>
      </c>
      <c r="AH31" s="597">
        <v>5237</v>
      </c>
      <c r="AI31" s="597"/>
      <c r="AJ31" s="597"/>
      <c r="AK31" s="597"/>
      <c r="AL31" s="597"/>
      <c r="AM31" s="597"/>
      <c r="AN31" s="597"/>
      <c r="AO31" s="597"/>
      <c r="AQ31" s="36">
        <f t="shared" si="18"/>
        <v>29.730158730158731</v>
      </c>
      <c r="AR31" s="36">
        <f t="shared" ca="1" si="19"/>
        <v>76.924840397697537</v>
      </c>
      <c r="AS31" s="547">
        <f t="shared" ca="1" si="5"/>
        <v>-47.194681667538802</v>
      </c>
      <c r="AU31" s="36">
        <f t="shared" si="20"/>
        <v>21.708771929824561</v>
      </c>
      <c r="AV31" s="36">
        <f t="shared" ca="1" si="21"/>
        <v>0</v>
      </c>
      <c r="AW31" s="547">
        <f t="shared" ca="1" si="22"/>
        <v>21.708771929824561</v>
      </c>
      <c r="AY31" s="36">
        <f t="shared" si="23"/>
        <v>31.736999999999998</v>
      </c>
      <c r="AZ31" s="36">
        <f t="shared" ca="1" si="24"/>
        <v>59.17188174590639</v>
      </c>
      <c r="BA31" s="547">
        <f t="shared" ca="1" si="25"/>
        <v>-27.434881745906392</v>
      </c>
    </row>
    <row r="32" spans="1:53" s="548" customFormat="1">
      <c r="C32" s="591" t="s">
        <v>98</v>
      </c>
      <c r="D32" s="565" t="s">
        <v>402</v>
      </c>
      <c r="E32" s="546"/>
      <c r="F32" s="547">
        <f>-$F$8*145</f>
        <v>-45675</v>
      </c>
      <c r="G32" s="547">
        <f t="shared" si="3"/>
        <v>-14210</v>
      </c>
      <c r="H32" s="547">
        <f ca="1">+SUMIF(Resumen_Base!$A$28:$A$91,'Budget Comparativo x BN'!D32,Resumen_Base!$Y$28:$Y$91)</f>
        <v>-39310</v>
      </c>
      <c r="I32" s="547">
        <f t="shared" ca="1" si="6"/>
        <v>25100</v>
      </c>
      <c r="J32" s="622"/>
      <c r="K32" s="547"/>
      <c r="L32" s="547">
        <f>-$L$8*145</f>
        <v>-41325</v>
      </c>
      <c r="M32" s="547">
        <f>IF(C32="Acumulado",IF(N32&gt;L32,L32,N32),IF(C32="BN",+(L32/$L$8*$M$8),"VER"))</f>
        <v>-17400</v>
      </c>
      <c r="N32" s="547">
        <f ca="1">+SUMIF(Resumen_Base!$A$94:$A$156,'Budget Comparativo x BN'!D32,Resumen_Base!$Y$94:$Y$156)</f>
        <v>0</v>
      </c>
      <c r="O32" s="547">
        <f t="shared" ca="1" si="8"/>
        <v>-17400</v>
      </c>
      <c r="P32" s="622"/>
      <c r="Q32" s="547"/>
      <c r="R32" s="547">
        <f>-$R$8*150</f>
        <v>-150000</v>
      </c>
      <c r="S32" s="547">
        <f t="shared" si="16"/>
        <v>-73050</v>
      </c>
      <c r="T32" s="547">
        <f ca="1">SUMIF(Resumen_Base!$A$221:$A$287,'Budget Comparativo x BN'!D32,Resumen_Base!$Y$221:$Y$287)</f>
        <v>-213761.4999</v>
      </c>
      <c r="U32" s="547">
        <f t="shared" ca="1" si="9"/>
        <v>140711.4999</v>
      </c>
      <c r="V32" s="547"/>
      <c r="W32" s="547"/>
      <c r="X32" s="547">
        <f t="shared" si="17"/>
        <v>-237000</v>
      </c>
      <c r="Y32" s="547">
        <f t="shared" si="17"/>
        <v>-104660</v>
      </c>
      <c r="Z32" s="547">
        <f t="shared" ca="1" si="17"/>
        <v>-253071.4999</v>
      </c>
      <c r="AA32" s="547">
        <f t="shared" ca="1" si="10"/>
        <v>148411.4999</v>
      </c>
      <c r="AB32" s="547"/>
      <c r="AC32" s="547"/>
      <c r="AD32" s="546"/>
      <c r="AF32" s="597"/>
      <c r="AG32" s="597"/>
      <c r="AH32" s="597"/>
      <c r="AI32" s="597"/>
      <c r="AJ32" s="597"/>
      <c r="AK32" s="597"/>
      <c r="AL32" s="597"/>
      <c r="AM32" s="597"/>
      <c r="AN32" s="597"/>
      <c r="AO32" s="597"/>
      <c r="AQ32" s="36">
        <f t="shared" si="18"/>
        <v>-145</v>
      </c>
      <c r="AR32" s="36">
        <f t="shared" ca="1" si="19"/>
        <v>-401.12244897959181</v>
      </c>
      <c r="AS32" s="547">
        <f t="shared" ca="1" si="5"/>
        <v>256.12244897959181</v>
      </c>
      <c r="AU32" s="36">
        <f t="shared" si="20"/>
        <v>-145</v>
      </c>
      <c r="AV32" s="36">
        <f t="shared" ca="1" si="21"/>
        <v>0</v>
      </c>
      <c r="AW32" s="547">
        <f t="shared" ca="1" si="22"/>
        <v>-145</v>
      </c>
      <c r="AY32" s="36">
        <f t="shared" si="23"/>
        <v>-150</v>
      </c>
      <c r="AZ32" s="36">
        <f t="shared" ca="1" si="24"/>
        <v>-438.9353180698152</v>
      </c>
      <c r="BA32" s="547">
        <f t="shared" ca="1" si="25"/>
        <v>288.9353180698152</v>
      </c>
    </row>
    <row r="33" spans="1:53" s="568" customFormat="1" ht="64.75" customHeight="1">
      <c r="C33" s="591" t="s">
        <v>98</v>
      </c>
      <c r="D33" s="550" t="s">
        <v>403</v>
      </c>
      <c r="E33" s="546"/>
      <c r="F33" s="547">
        <f>+$F$8*85</f>
        <v>26775</v>
      </c>
      <c r="G33" s="547">
        <f t="shared" si="3"/>
        <v>8330</v>
      </c>
      <c r="H33" s="547">
        <f ca="1">+SUMIF(Resumen_Base!$A$28:$A$91,'Budget Comparativo x BN'!D33,Resumen_Base!$Y$28:$Y$91)+'Stock - Deudas'!F8</f>
        <v>21257.141025641027</v>
      </c>
      <c r="I33" s="547">
        <f t="shared" ca="1" si="6"/>
        <v>-12927.141025641027</v>
      </c>
      <c r="J33" s="622" t="s">
        <v>747</v>
      </c>
      <c r="K33" s="547"/>
      <c r="L33" s="547">
        <f>+$L$8*85</f>
        <v>24225</v>
      </c>
      <c r="M33" s="547">
        <f t="shared" si="7"/>
        <v>10200</v>
      </c>
      <c r="N33" s="547">
        <f ca="1">+SUMIF(Resumen_Base!$A$94:$A$156,'Budget Comparativo x BN'!D33,Resumen_Base!$Y$94:$Y$156)+'Stock - Deudas'!$L$8</f>
        <v>13.62</v>
      </c>
      <c r="O33" s="547">
        <f t="shared" ca="1" si="8"/>
        <v>10186.379999999999</v>
      </c>
      <c r="P33" s="622" t="s">
        <v>756</v>
      </c>
      <c r="Q33" s="547"/>
      <c r="R33" s="547">
        <f>+$R$8*85</f>
        <v>85000</v>
      </c>
      <c r="S33" s="547">
        <f t="shared" si="16"/>
        <v>41395</v>
      </c>
      <c r="T33" s="547">
        <f ca="1">SUMIF(Resumen_Base!$A$221:$A$287,'Budget Comparativo x BN'!D33,Resumen_Base!$Y$221:$Y$287)+'Stock - Deudas'!$L$24</f>
        <v>106593.08281410257</v>
      </c>
      <c r="U33" s="547">
        <f t="shared" ca="1" si="9"/>
        <v>-65198.08281410257</v>
      </c>
      <c r="V33" s="622" t="s">
        <v>762</v>
      </c>
      <c r="W33" s="547"/>
      <c r="X33" s="547">
        <f t="shared" si="17"/>
        <v>136000</v>
      </c>
      <c r="Y33" s="547">
        <f t="shared" si="17"/>
        <v>59925</v>
      </c>
      <c r="Z33" s="547">
        <f t="shared" ca="1" si="17"/>
        <v>127863.8438397436</v>
      </c>
      <c r="AA33" s="547">
        <f t="shared" ca="1" si="10"/>
        <v>-67938.843839743597</v>
      </c>
      <c r="AB33" s="547"/>
      <c r="AC33" s="547"/>
      <c r="AD33" s="546"/>
      <c r="AE33" s="548"/>
      <c r="AF33" s="597">
        <v>5250</v>
      </c>
      <c r="AG33" s="597">
        <v>5251</v>
      </c>
      <c r="AH33" s="597">
        <v>5213</v>
      </c>
      <c r="AI33" s="597">
        <v>5291</v>
      </c>
      <c r="AJ33" s="597">
        <v>5289</v>
      </c>
      <c r="AK33" s="597"/>
      <c r="AL33" s="597"/>
      <c r="AM33" s="597"/>
      <c r="AN33" s="597"/>
      <c r="AO33" s="597"/>
      <c r="AQ33" s="36">
        <f t="shared" si="18"/>
        <v>85</v>
      </c>
      <c r="AR33" s="36">
        <f t="shared" ca="1" si="19"/>
        <v>216.90960230245946</v>
      </c>
      <c r="AS33" s="547">
        <f t="shared" ca="1" si="5"/>
        <v>-131.90960230245946</v>
      </c>
      <c r="AU33" s="36">
        <f t="shared" si="20"/>
        <v>85</v>
      </c>
      <c r="AV33" s="36">
        <f t="shared" ca="1" si="21"/>
        <v>0.11349999999999999</v>
      </c>
      <c r="AW33" s="547">
        <f t="shared" ca="1" si="22"/>
        <v>84.886499999999998</v>
      </c>
      <c r="AY33" s="36">
        <f t="shared" si="23"/>
        <v>85</v>
      </c>
      <c r="AZ33" s="36">
        <f t="shared" ca="1" si="24"/>
        <v>218.876966764071</v>
      </c>
      <c r="BA33" s="547">
        <f t="shared" ca="1" si="25"/>
        <v>-133.876966764071</v>
      </c>
    </row>
    <row r="34" spans="1:53" s="577" customFormat="1" ht="16">
      <c r="C34" s="592"/>
      <c r="D34" s="618" t="s">
        <v>404</v>
      </c>
      <c r="E34" s="576"/>
      <c r="F34" s="571">
        <f>+SUM(F35:F37)</f>
        <v>40950</v>
      </c>
      <c r="G34" s="571">
        <f>+SUM(G35:G37)</f>
        <v>12740</v>
      </c>
      <c r="H34" s="571">
        <f ca="1">+SUM(H35:H37)</f>
        <v>28340.079999999998</v>
      </c>
      <c r="I34" s="571">
        <f ca="1">+SUM(I35:I37)</f>
        <v>-15600.079999999996</v>
      </c>
      <c r="J34" s="622"/>
      <c r="K34" s="571"/>
      <c r="L34" s="571">
        <f>+SUM(L35:L37)</f>
        <v>32500</v>
      </c>
      <c r="M34" s="571">
        <f>+SUM(M35:M37)</f>
        <v>13684.21052631579</v>
      </c>
      <c r="N34" s="571">
        <f ca="1">+SUM(N35:N37)</f>
        <v>265.09000000000003</v>
      </c>
      <c r="O34" s="571">
        <f ca="1">+SUM(O35:O37)</f>
        <v>13419.12052631579</v>
      </c>
      <c r="P34" s="662"/>
      <c r="Q34" s="571"/>
      <c r="R34" s="571">
        <f>+SUM(R35:R37)</f>
        <v>47000</v>
      </c>
      <c r="S34" s="571">
        <f>+SUM(S35:S37)</f>
        <v>22889</v>
      </c>
      <c r="T34" s="571">
        <f ca="1">+SUM(T35:T37)</f>
        <v>47282.16352564103</v>
      </c>
      <c r="U34" s="571">
        <f ca="1">+SUM(U35:U37)</f>
        <v>-24393.163525641026</v>
      </c>
      <c r="V34" s="571"/>
      <c r="W34" s="571"/>
      <c r="X34" s="571">
        <f>+SUM(X35:X37)</f>
        <v>120450</v>
      </c>
      <c r="Y34" s="571">
        <f>+SUM(Y35:Y37)</f>
        <v>49313.210526315786</v>
      </c>
      <c r="Z34" s="571">
        <f ca="1">+SUM(Z35:Z37)</f>
        <v>75887.333525641036</v>
      </c>
      <c r="AA34" s="571">
        <f ca="1">+SUM(AA35:AA37)</f>
        <v>-26574.122999325238</v>
      </c>
      <c r="AB34" s="571"/>
      <c r="AC34" s="571"/>
      <c r="AD34" s="578"/>
      <c r="AE34" s="641"/>
      <c r="AF34" s="597"/>
      <c r="AG34" s="597"/>
      <c r="AH34" s="597"/>
      <c r="AI34" s="597"/>
      <c r="AJ34" s="597"/>
      <c r="AK34" s="597"/>
      <c r="AL34" s="597"/>
      <c r="AM34" s="597"/>
      <c r="AN34" s="597"/>
      <c r="AO34" s="597"/>
      <c r="AQ34" s="571">
        <f>+SUM(AQ35:AQ37)</f>
        <v>130</v>
      </c>
      <c r="AR34" s="571">
        <f ca="1">+SUM(AR35:AR37)</f>
        <v>289.18448979591835</v>
      </c>
      <c r="AS34" s="571">
        <f ca="1">+SUM(AS35:AS37)</f>
        <v>-159.18448979591835</v>
      </c>
      <c r="AU34" s="571">
        <f>+SUM(AU35:AU37)</f>
        <v>114.03508771929825</v>
      </c>
      <c r="AV34" s="571">
        <f ca="1">+SUM(AV35:AV37)</f>
        <v>2.2090833333333335</v>
      </c>
      <c r="AW34" s="571">
        <f ca="1">+SUM(AW35:AW37)</f>
        <v>111.82600438596491</v>
      </c>
      <c r="AY34" s="571">
        <f>+SUM(AY35:AY37)</f>
        <v>47</v>
      </c>
      <c r="AZ34" s="571">
        <f ca="1">+SUM(AZ35:AZ37)</f>
        <v>97.08863146948876</v>
      </c>
      <c r="BA34" s="571">
        <f ca="1">+SUM(BA35:BA37)</f>
        <v>-50.08863146948876</v>
      </c>
    </row>
    <row r="35" spans="1:53" s="17" customFormat="1" ht="16">
      <c r="C35" s="591" t="s">
        <v>98</v>
      </c>
      <c r="D35" s="579" t="s">
        <v>405</v>
      </c>
      <c r="E35" s="580"/>
      <c r="F35" s="547">
        <f>+$F$8*40</f>
        <v>12600</v>
      </c>
      <c r="G35" s="547">
        <f t="shared" si="3"/>
        <v>3920</v>
      </c>
      <c r="H35" s="547">
        <f ca="1">+SUMIF(Resumen_Base!$A$28:$A$91,'Budget Comparativo x BN'!D35,Resumen_Base!$Y$28:$Y$91)</f>
        <v>3848.4</v>
      </c>
      <c r="I35" s="547">
        <f t="shared" ca="1" si="6"/>
        <v>71.599999999999909</v>
      </c>
      <c r="J35" s="622"/>
      <c r="K35" s="547"/>
      <c r="L35" s="547">
        <v>4000</v>
      </c>
      <c r="M35" s="547">
        <f t="shared" ref="M35:M41" si="26">IF(C35="Acumulado",IF(N35&gt;L35,L35,N35),IF(C35="BN",+(L35/$L$8*$M$8),"VER"))</f>
        <v>1684.2105263157894</v>
      </c>
      <c r="N35" s="547">
        <f ca="1">+SUMIF(Resumen_Base!$A$94:$A$156,'Budget Comparativo x BN'!D35,Resumen_Base!$Y$94:$Y$156)+'Stock - Deudas'!$L$10</f>
        <v>0</v>
      </c>
      <c r="O35" s="547">
        <f t="shared" ca="1" si="8"/>
        <v>1684.2105263157894</v>
      </c>
      <c r="P35" s="662"/>
      <c r="Q35" s="547"/>
      <c r="R35" s="547">
        <v>10000</v>
      </c>
      <c r="S35" s="547">
        <f t="shared" ref="S35:S41" si="27">IF(C35="Acumulado",IF(T35&gt;R35,R35,T35),IF(C35="BN",+(R35/$R$8*$S$8),"VER"))</f>
        <v>4870</v>
      </c>
      <c r="T35" s="547">
        <f ca="1">SUMIF(Resumen_Base!$A$221:$A$287,'Budget Comparativo x BN'!D35,Resumen_Base!$Y$221:$Y$287)</f>
        <v>20038.303333333333</v>
      </c>
      <c r="U35" s="547">
        <f t="shared" ca="1" si="9"/>
        <v>-15168.303333333333</v>
      </c>
      <c r="V35" s="547"/>
      <c r="W35" s="547"/>
      <c r="X35" s="547">
        <f t="shared" ref="X35:Z41" si="28">+F35+L35+R35</f>
        <v>26600</v>
      </c>
      <c r="Y35" s="547">
        <f t="shared" si="28"/>
        <v>10474.21052631579</v>
      </c>
      <c r="Z35" s="547">
        <f t="shared" ca="1" si="28"/>
        <v>23886.703333333335</v>
      </c>
      <c r="AA35" s="547">
        <f t="shared" ca="1" si="10"/>
        <v>-13412.492807017545</v>
      </c>
      <c r="AB35" s="571"/>
      <c r="AC35" s="547"/>
      <c r="AD35" s="574"/>
      <c r="AE35" s="568"/>
      <c r="AF35" s="597">
        <v>5247</v>
      </c>
      <c r="AG35" s="597">
        <v>5259</v>
      </c>
      <c r="AH35" s="597"/>
      <c r="AI35" s="597"/>
      <c r="AJ35" s="597"/>
      <c r="AK35" s="597"/>
      <c r="AL35" s="597"/>
      <c r="AM35" s="597"/>
      <c r="AN35" s="597"/>
      <c r="AO35" s="597"/>
      <c r="AQ35" s="36">
        <f t="shared" ref="AQ35:AQ41" si="29">+F35/$AQ$8</f>
        <v>40</v>
      </c>
      <c r="AR35" s="36">
        <f t="shared" ref="AR35:AR41" ca="1" si="30">+H35/$AR$8</f>
        <v>39.269387755102045</v>
      </c>
      <c r="AS35" s="547">
        <f t="shared" ca="1" si="5"/>
        <v>0.73061224489795507</v>
      </c>
      <c r="AU35" s="36">
        <f t="shared" ref="AU35:AU41" si="31">+L35/$AU$8</f>
        <v>14.035087719298245</v>
      </c>
      <c r="AV35" s="36">
        <f t="shared" ref="AV35:AV41" ca="1" si="32">+N35/$N$8</f>
        <v>0</v>
      </c>
      <c r="AW35" s="547">
        <f t="shared" ref="AW35:AW41" ca="1" si="33">+AU35-AV35</f>
        <v>14.035087719298245</v>
      </c>
      <c r="AY35" s="36">
        <f t="shared" ref="AY35:AY41" si="34">+R35/$AY$8</f>
        <v>10</v>
      </c>
      <c r="AZ35" s="36">
        <f t="shared" ref="AZ35:AZ41" ca="1" si="35">+T35/$AZ$8</f>
        <v>41.146413415468857</v>
      </c>
      <c r="BA35" s="547">
        <f t="shared" ref="BA35:BA41" ca="1" si="36">+AY35-AZ35</f>
        <v>-31.146413415468857</v>
      </c>
    </row>
    <row r="36" spans="1:53" s="17" customFormat="1" ht="39">
      <c r="C36" s="591" t="s">
        <v>98</v>
      </c>
      <c r="D36" s="579" t="s">
        <v>406</v>
      </c>
      <c r="E36" s="580"/>
      <c r="F36" s="547">
        <f>+$F$8*90</f>
        <v>28350</v>
      </c>
      <c r="G36" s="547">
        <f t="shared" si="3"/>
        <v>8820</v>
      </c>
      <c r="H36" s="547">
        <f ca="1">+SUMIF(Resumen_Base!$A$28:$A$91,'Budget Comparativo x BN'!D36,Resumen_Base!$Y$28:$Y$91)+'Stock - Deudas'!F10</f>
        <v>24491.679999999997</v>
      </c>
      <c r="I36" s="547">
        <f t="shared" ca="1" si="6"/>
        <v>-15671.679999999997</v>
      </c>
      <c r="J36" s="622" t="s">
        <v>748</v>
      </c>
      <c r="K36" s="547"/>
      <c r="L36" s="547">
        <f>+$L$8*100</f>
        <v>28500</v>
      </c>
      <c r="M36" s="547">
        <f t="shared" si="26"/>
        <v>12000</v>
      </c>
      <c r="N36" s="547">
        <f ca="1">+SUMIF(Resumen_Base!$A$94:$A$156,'Budget Comparativo x BN'!D36,Resumen_Base!$Y$94:$Y$156)+'Stock - Deudas'!$L$10</f>
        <v>265.09000000000003</v>
      </c>
      <c r="O36" s="547">
        <f t="shared" ca="1" si="8"/>
        <v>11734.91</v>
      </c>
      <c r="P36" s="622" t="s">
        <v>757</v>
      </c>
      <c r="Q36" s="547"/>
      <c r="R36" s="547">
        <f>+$R$8*33</f>
        <v>33000</v>
      </c>
      <c r="S36" s="547">
        <f t="shared" si="27"/>
        <v>16071</v>
      </c>
      <c r="T36" s="547">
        <f ca="1">SUMIF(Resumen_Base!$A$221:$A$287,'Budget Comparativo x BN'!D36,Resumen_Base!$Y$221:$Y$287)+'Stock - Deudas'!$L$26</f>
        <v>28321.357692307694</v>
      </c>
      <c r="U36" s="547">
        <f t="shared" ca="1" si="9"/>
        <v>-12250.357692307694</v>
      </c>
      <c r="V36" s="547" t="s">
        <v>763</v>
      </c>
      <c r="W36" s="547"/>
      <c r="X36" s="547">
        <f t="shared" si="28"/>
        <v>89850</v>
      </c>
      <c r="Y36" s="547">
        <f t="shared" si="28"/>
        <v>36891</v>
      </c>
      <c r="Z36" s="547">
        <f ca="1">+H36+N36+T36</f>
        <v>53078.127692307695</v>
      </c>
      <c r="AA36" s="547">
        <f t="shared" ca="1" si="10"/>
        <v>-16187.127692307695</v>
      </c>
      <c r="AB36" s="547"/>
      <c r="AC36" s="547"/>
      <c r="AD36" s="574"/>
      <c r="AE36" s="568"/>
      <c r="AF36" s="597">
        <v>5248</v>
      </c>
      <c r="AG36" s="597">
        <v>5288</v>
      </c>
      <c r="AH36" s="597"/>
      <c r="AI36" s="597"/>
      <c r="AJ36" s="597"/>
      <c r="AK36" s="597"/>
      <c r="AL36" s="597"/>
      <c r="AM36" s="597"/>
      <c r="AN36" s="597"/>
      <c r="AO36" s="597"/>
      <c r="AQ36" s="36">
        <f t="shared" si="29"/>
        <v>90</v>
      </c>
      <c r="AR36" s="36">
        <f t="shared" ca="1" si="30"/>
        <v>249.91510204081629</v>
      </c>
      <c r="AS36" s="547">
        <f t="shared" ca="1" si="5"/>
        <v>-159.91510204081629</v>
      </c>
      <c r="AU36" s="36">
        <f t="shared" si="31"/>
        <v>100</v>
      </c>
      <c r="AV36" s="36">
        <f t="shared" ca="1" si="32"/>
        <v>2.2090833333333335</v>
      </c>
      <c r="AW36" s="547">
        <f t="shared" ca="1" si="33"/>
        <v>97.790916666666661</v>
      </c>
      <c r="AY36" s="36">
        <f t="shared" si="34"/>
        <v>33</v>
      </c>
      <c r="AZ36" s="36">
        <f t="shared" ca="1" si="35"/>
        <v>58.154738587900809</v>
      </c>
      <c r="BA36" s="547">
        <f t="shared" ca="1" si="36"/>
        <v>-25.154738587900809</v>
      </c>
    </row>
    <row r="37" spans="1:53" s="17" customFormat="1" ht="16">
      <c r="C37" s="591" t="s">
        <v>98</v>
      </c>
      <c r="D37" s="579" t="s">
        <v>407</v>
      </c>
      <c r="E37" s="580"/>
      <c r="F37" s="547">
        <v>0</v>
      </c>
      <c r="G37" s="547">
        <f t="shared" si="3"/>
        <v>0</v>
      </c>
      <c r="H37" s="547">
        <f ca="1">+SUMIF(Resumen_Base!$A$28:$A$91,'Budget Comparativo x BN'!D37,Resumen_Base!$Y$28:$Y$91)</f>
        <v>0</v>
      </c>
      <c r="I37" s="547">
        <f t="shared" ca="1" si="6"/>
        <v>0</v>
      </c>
      <c r="J37" s="622"/>
      <c r="K37" s="547"/>
      <c r="L37" s="547">
        <v>0</v>
      </c>
      <c r="M37" s="547">
        <f t="shared" si="26"/>
        <v>0</v>
      </c>
      <c r="N37" s="547">
        <f ca="1">+SUMIF(Resumen_Base!$A$94:$A$156,'Budget Comparativo x BN'!D37,Resumen_Base!$Y$94:$Y$156)+'Stock - Deudas'!$L$18</f>
        <v>0</v>
      </c>
      <c r="O37" s="547">
        <f t="shared" ca="1" si="8"/>
        <v>0</v>
      </c>
      <c r="P37" s="662"/>
      <c r="Q37" s="547"/>
      <c r="R37" s="547">
        <v>4000</v>
      </c>
      <c r="S37" s="547">
        <f t="shared" si="27"/>
        <v>1948</v>
      </c>
      <c r="T37" s="547">
        <f ca="1">SUMIF(Resumen_Base!$A$221:$A$287,'Budget Comparativo x BN'!D37,Resumen_Base!$Y$221:$Y$287)+'Stock - Deudas'!L32</f>
        <v>-1077.4974999999999</v>
      </c>
      <c r="U37" s="547">
        <f t="shared" ca="1" si="9"/>
        <v>3025.4974999999999</v>
      </c>
      <c r="V37" s="547" t="s">
        <v>382</v>
      </c>
      <c r="W37" s="547"/>
      <c r="X37" s="547">
        <f t="shared" si="28"/>
        <v>4000</v>
      </c>
      <c r="Y37" s="547">
        <f t="shared" si="28"/>
        <v>1948</v>
      </c>
      <c r="Z37" s="547">
        <f ca="1">+H37+N37+T37</f>
        <v>-1077.4974999999999</v>
      </c>
      <c r="AA37" s="547">
        <f t="shared" ca="1" si="10"/>
        <v>3025.4974999999999</v>
      </c>
      <c r="AB37" s="547"/>
      <c r="AC37" s="547"/>
      <c r="AD37" s="574"/>
      <c r="AE37" s="568"/>
      <c r="AF37" s="597">
        <v>5249</v>
      </c>
      <c r="AG37" s="597"/>
      <c r="AH37" s="597"/>
      <c r="AI37" s="597"/>
      <c r="AJ37" s="597"/>
      <c r="AK37" s="597"/>
      <c r="AL37" s="597"/>
      <c r="AM37" s="597"/>
      <c r="AN37" s="597"/>
      <c r="AO37" s="597"/>
      <c r="AQ37" s="36">
        <f t="shared" si="29"/>
        <v>0</v>
      </c>
      <c r="AR37" s="36">
        <f t="shared" ca="1" si="30"/>
        <v>0</v>
      </c>
      <c r="AS37" s="547">
        <f t="shared" ca="1" si="5"/>
        <v>0</v>
      </c>
      <c r="AU37" s="36">
        <f t="shared" si="31"/>
        <v>0</v>
      </c>
      <c r="AV37" s="36">
        <f t="shared" ca="1" si="32"/>
        <v>0</v>
      </c>
      <c r="AW37" s="547">
        <f t="shared" ca="1" si="33"/>
        <v>0</v>
      </c>
      <c r="AY37" s="36">
        <f t="shared" si="34"/>
        <v>4</v>
      </c>
      <c r="AZ37" s="36">
        <f t="shared" ca="1" si="35"/>
        <v>-2.2125205338809035</v>
      </c>
      <c r="BA37" s="547">
        <f t="shared" ca="1" si="36"/>
        <v>6.2125205338809035</v>
      </c>
    </row>
    <row r="38" spans="1:53" s="568" customFormat="1" ht="26">
      <c r="C38" s="591" t="s">
        <v>425</v>
      </c>
      <c r="D38" s="551" t="s">
        <v>408</v>
      </c>
      <c r="E38" s="546"/>
      <c r="F38" s="547">
        <v>27600</v>
      </c>
      <c r="G38" s="547">
        <f t="shared" ca="1" si="3"/>
        <v>11822.9</v>
      </c>
      <c r="H38" s="547">
        <f ca="1">+SUMIF(Resumen_Base!$A$28:$A$91,'Budget Comparativo x BN'!D38,Resumen_Base!$Y$28:$Y$91)</f>
        <v>11822.9</v>
      </c>
      <c r="I38" s="547">
        <f t="shared" ca="1" si="6"/>
        <v>0</v>
      </c>
      <c r="J38" s="622" t="s">
        <v>749</v>
      </c>
      <c r="K38" s="650">
        <f ca="1">IF(ROUND(H38,0)=0,0,IF(F38=0,0,+H38/F38))</f>
        <v>0.42836594202898548</v>
      </c>
      <c r="L38" s="547">
        <v>31350</v>
      </c>
      <c r="M38" s="547">
        <f t="shared" ca="1" si="26"/>
        <v>0</v>
      </c>
      <c r="N38" s="547">
        <f ca="1">+SUMIF(Resumen_Base!$A$94:$A$156,'Budget Comparativo x BN'!D38,Resumen_Base!$Y$94:$Y$156)+'Stock - Deudas'!$L$18</f>
        <v>0</v>
      </c>
      <c r="O38" s="547">
        <f t="shared" ca="1" si="8"/>
        <v>0</v>
      </c>
      <c r="P38" s="622" t="s">
        <v>382</v>
      </c>
      <c r="Q38" s="650">
        <f ca="1">IF(ROUND(N38,0)=0,0,IF(L38=0,0,+N38/L38))</f>
        <v>0</v>
      </c>
      <c r="R38" s="547">
        <v>35000</v>
      </c>
      <c r="S38" s="547">
        <f t="shared" ca="1" si="27"/>
        <v>34845</v>
      </c>
      <c r="T38" s="547">
        <f ca="1">SUMIF(Resumen_Base!$A$221:$A$287,'Budget Comparativo x BN'!D38,Resumen_Base!$Y$221:$Y$287)</f>
        <v>34845</v>
      </c>
      <c r="U38" s="547">
        <f t="shared" ca="1" si="9"/>
        <v>0</v>
      </c>
      <c r="V38" s="622" t="s">
        <v>764</v>
      </c>
      <c r="W38" s="650">
        <f ca="1">IF(ROUND(T38,0)=0,0,IF(R38=0,0,+T38/R38))</f>
        <v>0.99557142857142855</v>
      </c>
      <c r="X38" s="547">
        <f t="shared" si="28"/>
        <v>93950</v>
      </c>
      <c r="Y38" s="547">
        <f t="shared" ca="1" si="28"/>
        <v>46667.9</v>
      </c>
      <c r="Z38" s="547">
        <f t="shared" ca="1" si="28"/>
        <v>46667.9</v>
      </c>
      <c r="AA38" s="547">
        <f t="shared" ca="1" si="10"/>
        <v>0</v>
      </c>
      <c r="AB38" s="547"/>
      <c r="AC38" s="650">
        <f ca="1">IF(ROUND(Z38,0)=0,0,IF(X38=0,0,+Z38/X38))</f>
        <v>0.49673124002128793</v>
      </c>
      <c r="AD38" s="546"/>
      <c r="AE38" s="548"/>
      <c r="AF38" s="597">
        <v>5210</v>
      </c>
      <c r="AG38" s="597">
        <v>5225</v>
      </c>
      <c r="AH38" s="597"/>
      <c r="AI38" s="597"/>
      <c r="AJ38" s="597"/>
      <c r="AK38" s="597"/>
      <c r="AL38" s="597"/>
      <c r="AM38" s="597"/>
      <c r="AN38" s="597"/>
      <c r="AO38" s="597"/>
      <c r="AQ38" s="36">
        <f t="shared" si="29"/>
        <v>87.61904761904762</v>
      </c>
      <c r="AR38" s="36">
        <f t="shared" ca="1" si="30"/>
        <v>120.64183673469387</v>
      </c>
      <c r="AS38" s="547">
        <f t="shared" ca="1" si="5"/>
        <v>-33.022789115646248</v>
      </c>
      <c r="AU38" s="36">
        <f t="shared" si="31"/>
        <v>110</v>
      </c>
      <c r="AV38" s="36">
        <f t="shared" ca="1" si="32"/>
        <v>0</v>
      </c>
      <c r="AW38" s="547">
        <f t="shared" ca="1" si="33"/>
        <v>110</v>
      </c>
      <c r="AY38" s="36">
        <f t="shared" si="34"/>
        <v>35</v>
      </c>
      <c r="AZ38" s="36">
        <f t="shared" ca="1" si="35"/>
        <v>71.550308008213548</v>
      </c>
      <c r="BA38" s="547">
        <f t="shared" ca="1" si="36"/>
        <v>-36.550308008213548</v>
      </c>
    </row>
    <row r="39" spans="1:53">
      <c r="C39" s="591" t="s">
        <v>425</v>
      </c>
      <c r="D39" s="551" t="s">
        <v>409</v>
      </c>
      <c r="E39" s="546"/>
      <c r="F39" s="547">
        <v>4000</v>
      </c>
      <c r="G39" s="547">
        <f t="shared" ca="1" si="3"/>
        <v>3509.8000000000011</v>
      </c>
      <c r="H39" s="547">
        <f ca="1">+SUMIF(Resumen_Base!$A$28:$A$91,'Budget Comparativo x BN'!D39,Resumen_Base!$Y$28:$Y$91)</f>
        <v>3509.8000000000011</v>
      </c>
      <c r="I39" s="547">
        <f t="shared" ca="1" si="6"/>
        <v>0</v>
      </c>
      <c r="J39" s="622" t="s">
        <v>750</v>
      </c>
      <c r="K39" s="650">
        <f ca="1">IF(ROUND(H39,0)=0,0,IF(F39=0,0,+H39/F39))</f>
        <v>0.87745000000000029</v>
      </c>
      <c r="L39" s="547">
        <v>2000</v>
      </c>
      <c r="M39" s="547">
        <f t="shared" ca="1" si="26"/>
        <v>0</v>
      </c>
      <c r="N39" s="547">
        <f ca="1">+SUMIF(Resumen_Base!$A$94:$A$156,'Budget Comparativo x BN'!D39,Resumen_Base!$Y$94:$Y$156)</f>
        <v>0</v>
      </c>
      <c r="O39" s="547">
        <f t="shared" ca="1" si="8"/>
        <v>0</v>
      </c>
      <c r="P39" s="622" t="s">
        <v>382</v>
      </c>
      <c r="Q39" s="650">
        <f ca="1">IF(ROUND(N39,0)=0,0,IF(L39=0,0,+N39/L39))</f>
        <v>0</v>
      </c>
      <c r="R39" s="547">
        <v>5500</v>
      </c>
      <c r="S39" s="547">
        <f t="shared" ca="1" si="27"/>
        <v>5500</v>
      </c>
      <c r="T39" s="547">
        <f ca="1">SUMIF(Resumen_Base!$A$221:$A$287,'Budget Comparativo x BN'!D39,Resumen_Base!$Y$221:$Y$287)</f>
        <v>5595.2459591769075</v>
      </c>
      <c r="U39" s="547">
        <f t="shared" ca="1" si="9"/>
        <v>-95.24595917690749</v>
      </c>
      <c r="V39" s="547" t="s">
        <v>382</v>
      </c>
      <c r="W39" s="650">
        <f ca="1">IF(ROUND(T39,0)=0,0,IF(R39=0,0,+T39/R39))</f>
        <v>1.0173174471230741</v>
      </c>
      <c r="X39" s="547">
        <f t="shared" si="28"/>
        <v>11500</v>
      </c>
      <c r="Y39" s="547">
        <f t="shared" ca="1" si="28"/>
        <v>9009.8000000000011</v>
      </c>
      <c r="Z39" s="547">
        <f t="shared" ca="1" si="28"/>
        <v>9105.0459591769086</v>
      </c>
      <c r="AA39" s="547">
        <f t="shared" ca="1" si="10"/>
        <v>-95.24595917690749</v>
      </c>
      <c r="AB39" s="547"/>
      <c r="AC39" s="650">
        <f ca="1">IF(ROUND(Z39,0)=0,0,IF(X39=0,0,+Z39/X39))</f>
        <v>0.79174312688494852</v>
      </c>
      <c r="AD39" s="546"/>
      <c r="AE39" s="548"/>
      <c r="AF39" s="597">
        <v>5255</v>
      </c>
      <c r="AG39" s="597">
        <v>5310</v>
      </c>
      <c r="AH39" s="597">
        <v>5222</v>
      </c>
      <c r="AI39" s="597">
        <v>5256</v>
      </c>
      <c r="AJ39" s="597"/>
      <c r="AK39" s="597"/>
      <c r="AL39" s="597"/>
      <c r="AM39" s="597"/>
      <c r="AN39" s="597"/>
      <c r="AO39" s="597"/>
      <c r="AQ39" s="36">
        <f t="shared" si="29"/>
        <v>12.698412698412698</v>
      </c>
      <c r="AR39" s="36">
        <f t="shared" ca="1" si="30"/>
        <v>35.814285714285724</v>
      </c>
      <c r="AS39" s="547">
        <f t="shared" ca="1" si="5"/>
        <v>-23.115873015873028</v>
      </c>
      <c r="AU39" s="36">
        <f t="shared" si="31"/>
        <v>7.0175438596491224</v>
      </c>
      <c r="AV39" s="36">
        <f t="shared" ca="1" si="32"/>
        <v>0</v>
      </c>
      <c r="AW39" s="547">
        <f t="shared" ca="1" si="33"/>
        <v>7.0175438596491224</v>
      </c>
      <c r="AY39" s="36">
        <f t="shared" si="34"/>
        <v>5.5</v>
      </c>
      <c r="AZ39" s="36">
        <f t="shared" ca="1" si="35"/>
        <v>11.489211415147654</v>
      </c>
      <c r="BA39" s="547">
        <f t="shared" ca="1" si="36"/>
        <v>-5.9892114151476541</v>
      </c>
    </row>
    <row r="40" spans="1:53" s="568" customFormat="1">
      <c r="C40" s="591" t="s">
        <v>425</v>
      </c>
      <c r="D40" s="551" t="s">
        <v>410</v>
      </c>
      <c r="E40" s="546"/>
      <c r="F40" s="547">
        <v>5000</v>
      </c>
      <c r="G40" s="547">
        <f t="shared" ca="1" si="3"/>
        <v>3407.1106120996456</v>
      </c>
      <c r="H40" s="547">
        <f ca="1">+SUMIF(Resumen_Base!$A$28:$A$91,'Budget Comparativo x BN'!D40,Resumen_Base!$Y$28:$Y$91)</f>
        <v>3407.1106120996456</v>
      </c>
      <c r="I40" s="547">
        <f t="shared" ca="1" si="6"/>
        <v>0</v>
      </c>
      <c r="J40" s="622" t="s">
        <v>382</v>
      </c>
      <c r="K40" s="650">
        <f ca="1">IF(ROUND(H40,0)=0,0,IF(F40=0,0,+H40/F40))</f>
        <v>0.68142212241992905</v>
      </c>
      <c r="L40" s="547">
        <v>2500</v>
      </c>
      <c r="M40" s="547">
        <f t="shared" ca="1" si="26"/>
        <v>530.80061209964458</v>
      </c>
      <c r="N40" s="547">
        <f ca="1">+SUMIF(Resumen_Base!$A$94:$A$156,'Budget Comparativo x BN'!D40,Resumen_Base!$Y$94:$Y$156)</f>
        <v>530.80061209964458</v>
      </c>
      <c r="O40" s="547">
        <f t="shared" ca="1" si="8"/>
        <v>0</v>
      </c>
      <c r="P40" s="622" t="s">
        <v>382</v>
      </c>
      <c r="Q40" s="650">
        <f ca="1">IF(ROUND(N40,0)=0,0,IF(L40=0,0,+N40/L40))</f>
        <v>0.21232024483985784</v>
      </c>
      <c r="R40" s="547">
        <v>6000</v>
      </c>
      <c r="S40" s="547">
        <f t="shared" ca="1" si="27"/>
        <v>6000</v>
      </c>
      <c r="T40" s="547">
        <f ca="1">SUMIF(Resumen_Base!$A$221:$A$287,'Budget Comparativo x BN'!D40,Resumen_Base!$Y$221:$Y$287)</f>
        <v>9937.5408215531916</v>
      </c>
      <c r="U40" s="547">
        <f t="shared" ca="1" si="9"/>
        <v>-3937.5408215531916</v>
      </c>
      <c r="V40" s="547" t="s">
        <v>382</v>
      </c>
      <c r="W40" s="650">
        <f ca="1">IF(ROUND(T40,0)=0,0,IF(R40=0,0,+T40/R40))</f>
        <v>1.6562568035921985</v>
      </c>
      <c r="X40" s="547">
        <f t="shared" si="28"/>
        <v>13500</v>
      </c>
      <c r="Y40" s="547">
        <f t="shared" ca="1" si="28"/>
        <v>9937.9112241992898</v>
      </c>
      <c r="Z40" s="547">
        <f t="shared" ca="1" si="28"/>
        <v>13875.452045752481</v>
      </c>
      <c r="AA40" s="547">
        <f t="shared" ca="1" si="10"/>
        <v>-3937.5408215531916</v>
      </c>
      <c r="AB40" s="547"/>
      <c r="AC40" s="650">
        <f ca="1">IF(ROUND(Z40,0)=0,0,IF(X40=0,0,+Z40/X40))</f>
        <v>1.027811262648332</v>
      </c>
      <c r="AD40" s="546"/>
      <c r="AE40" s="548"/>
      <c r="AF40" s="597">
        <v>5220</v>
      </c>
      <c r="AG40" s="597"/>
      <c r="AH40" s="597"/>
      <c r="AI40" s="597"/>
      <c r="AJ40" s="597"/>
      <c r="AK40" s="597"/>
      <c r="AL40" s="597"/>
      <c r="AM40" s="597"/>
      <c r="AN40" s="597"/>
      <c r="AO40" s="597"/>
      <c r="AQ40" s="36">
        <f t="shared" si="29"/>
        <v>15.873015873015873</v>
      </c>
      <c r="AR40" s="36">
        <f t="shared" ca="1" si="30"/>
        <v>34.766434817343324</v>
      </c>
      <c r="AS40" s="547">
        <f t="shared" ca="1" si="5"/>
        <v>-18.893418944327451</v>
      </c>
      <c r="AU40" s="36">
        <f t="shared" si="31"/>
        <v>8.7719298245614041</v>
      </c>
      <c r="AV40" s="36">
        <f t="shared" ca="1" si="32"/>
        <v>4.4233384341637052</v>
      </c>
      <c r="AW40" s="547">
        <f t="shared" ca="1" si="33"/>
        <v>4.3485913903976989</v>
      </c>
      <c r="AY40" s="36">
        <f t="shared" si="34"/>
        <v>6</v>
      </c>
      <c r="AZ40" s="36">
        <f t="shared" ca="1" si="35"/>
        <v>20.405627970335097</v>
      </c>
      <c r="BA40" s="547">
        <f t="shared" ca="1" si="36"/>
        <v>-14.405627970335097</v>
      </c>
    </row>
    <row r="41" spans="1:53" s="568" customFormat="1">
      <c r="A41" s="568">
        <f ca="1">IF(ROUND(B41,0)=0,0,1)</f>
        <v>0</v>
      </c>
      <c r="B41" s="568">
        <f ca="1">+Z41-SUMIF(Resumen_Base!$A$8:$A$287,'Budget Comparativo x BN'!D41,Resumen_Base!$Y$8:$Y$287)</f>
        <v>0</v>
      </c>
      <c r="C41" s="591" t="s">
        <v>425</v>
      </c>
      <c r="D41" s="550" t="s">
        <v>411</v>
      </c>
      <c r="E41" s="546"/>
      <c r="F41" s="547">
        <f>+$F$8*80</f>
        <v>25200</v>
      </c>
      <c r="G41" s="547">
        <f t="shared" ca="1" si="3"/>
        <v>9460.3109350791074</v>
      </c>
      <c r="H41" s="547">
        <f ca="1">+SUMIF(Resumen_Base!$A$28:$A$287,'Budget Comparativo x BN'!D41,Resumen_Base!$Y$28:$Y$156)*(+H8/$Z$8)</f>
        <v>9460.3109350791074</v>
      </c>
      <c r="I41" s="547">
        <f t="shared" ca="1" si="6"/>
        <v>0</v>
      </c>
      <c r="J41" s="622"/>
      <c r="K41" s="650">
        <f ca="1">IF(ROUND(H41,0)=0,0,IF(F41=0,0,+H41/F41))</f>
        <v>0.37540916409044078</v>
      </c>
      <c r="L41" s="547">
        <f>+$L$8*80</f>
        <v>22800</v>
      </c>
      <c r="M41" s="547">
        <f t="shared" ca="1" si="26"/>
        <v>11584.054206219313</v>
      </c>
      <c r="N41" s="547">
        <f ca="1">+SUMIF(Resumen_Base!$A$28:$A$287,'Budget Comparativo x BN'!D41,Resumen_Base!$Y$28:$Y$156)*(+N8/$Z$8)</f>
        <v>11584.054206219313</v>
      </c>
      <c r="O41" s="547">
        <f t="shared" ca="1" si="8"/>
        <v>0</v>
      </c>
      <c r="P41" s="622"/>
      <c r="Q41" s="650">
        <f ca="1">IF(ROUND(N41,0)=0,0,IF(L41=0,0,+N41/L41))</f>
        <v>0.50807255290435582</v>
      </c>
      <c r="R41" s="547">
        <f>+$R$8*70</f>
        <v>70000</v>
      </c>
      <c r="S41" s="547">
        <f t="shared" ca="1" si="27"/>
        <v>47011.953320240049</v>
      </c>
      <c r="T41" s="547">
        <f ca="1">+SUMIF(Resumen_Base!$A$28:$A$287,'Budget Comparativo x BN'!D41,Resumen_Base!$Y$28:$Y$156)*(+T8/$Z$8)</f>
        <v>47011.953320240049</v>
      </c>
      <c r="U41" s="547">
        <f t="shared" ca="1" si="9"/>
        <v>0</v>
      </c>
      <c r="V41" s="622"/>
      <c r="W41" s="650">
        <f ca="1">IF(ROUND(T41,0)=0,0,IF(R41=0,0,+T41/R41))</f>
        <v>0.67159933314628639</v>
      </c>
      <c r="X41" s="547">
        <f t="shared" si="28"/>
        <v>118000</v>
      </c>
      <c r="Y41" s="547">
        <f t="shared" ca="1" si="28"/>
        <v>68056.318461538467</v>
      </c>
      <c r="Z41" s="547">
        <f t="shared" ca="1" si="28"/>
        <v>68056.318461538467</v>
      </c>
      <c r="AA41" s="547">
        <f t="shared" ca="1" si="10"/>
        <v>0</v>
      </c>
      <c r="AB41" s="623"/>
      <c r="AC41" s="650">
        <f ca="1">IF(ROUND(Z41,0)=0,0,IF(X41=0,0,+Z41/X41))</f>
        <v>0.5767484615384616</v>
      </c>
      <c r="AD41" s="546"/>
      <c r="AE41" s="548"/>
      <c r="AF41" s="597">
        <v>5221</v>
      </c>
      <c r="AG41" s="597"/>
      <c r="AH41" s="597"/>
      <c r="AI41" s="597"/>
      <c r="AJ41" s="597"/>
      <c r="AK41" s="597"/>
      <c r="AL41" s="597"/>
      <c r="AM41" s="597"/>
      <c r="AN41" s="597"/>
      <c r="AO41" s="597"/>
      <c r="AQ41" s="36">
        <f t="shared" si="29"/>
        <v>80</v>
      </c>
      <c r="AR41" s="36">
        <f t="shared" ca="1" si="30"/>
        <v>96.533785051827621</v>
      </c>
      <c r="AS41" s="547">
        <f t="shared" ca="1" si="5"/>
        <v>-16.533785051827621</v>
      </c>
      <c r="AU41" s="36">
        <f t="shared" si="31"/>
        <v>80</v>
      </c>
      <c r="AV41" s="36">
        <f t="shared" ca="1" si="32"/>
        <v>96.533785051827607</v>
      </c>
      <c r="AW41" s="547">
        <f t="shared" ca="1" si="33"/>
        <v>-16.533785051827607</v>
      </c>
      <c r="AY41" s="36">
        <f t="shared" si="34"/>
        <v>70</v>
      </c>
      <c r="AZ41" s="36">
        <f t="shared" ca="1" si="35"/>
        <v>96.533785051827621</v>
      </c>
      <c r="BA41" s="547">
        <f t="shared" ca="1" si="36"/>
        <v>-26.533785051827621</v>
      </c>
    </row>
    <row r="42" spans="1:53" s="350" customFormat="1" ht="26">
      <c r="C42" s="592"/>
      <c r="D42" s="618" t="s">
        <v>412</v>
      </c>
      <c r="E42" s="581"/>
      <c r="F42" s="571">
        <f t="shared" ref="F42:N42" si="37">+SUM(F43:F45)</f>
        <v>36000</v>
      </c>
      <c r="G42" s="571">
        <f t="shared" ca="1" si="37"/>
        <v>19126.54</v>
      </c>
      <c r="H42" s="571">
        <f t="shared" ca="1" si="37"/>
        <v>22893.075897435898</v>
      </c>
      <c r="I42" s="571">
        <f t="shared" ca="1" si="37"/>
        <v>-3766.5358974358969</v>
      </c>
      <c r="J42" s="622" t="s">
        <v>751</v>
      </c>
      <c r="K42" s="571"/>
      <c r="L42" s="571">
        <f t="shared" si="37"/>
        <v>36000</v>
      </c>
      <c r="M42" s="571">
        <f t="shared" ca="1" si="37"/>
        <v>130.66487544483991</v>
      </c>
      <c r="N42" s="571">
        <f t="shared" ca="1" si="37"/>
        <v>130.66487544483991</v>
      </c>
      <c r="O42" s="571">
        <f ca="1">+SUM(O43:O45)</f>
        <v>0</v>
      </c>
      <c r="P42" s="622" t="s">
        <v>382</v>
      </c>
      <c r="Q42" s="571"/>
      <c r="R42" s="571">
        <f>+SUM(R43:R45)</f>
        <v>49000</v>
      </c>
      <c r="S42" s="571">
        <f ca="1">+SUM(S43:S45)</f>
        <v>44801.467179487183</v>
      </c>
      <c r="T42" s="571">
        <f ca="1">+SUM(T43:T45)</f>
        <v>48483.880224473032</v>
      </c>
      <c r="U42" s="571">
        <f ca="1">+SUM(U43:U45)</f>
        <v>-3682.4130449858549</v>
      </c>
      <c r="V42" s="571"/>
      <c r="W42" s="571"/>
      <c r="X42" s="571">
        <f>+SUM(X43:X45)</f>
        <v>121000</v>
      </c>
      <c r="Y42" s="571">
        <f ca="1">+SUM(Y43:Y45)</f>
        <v>64058.672054932023</v>
      </c>
      <c r="Z42" s="571">
        <f ca="1">+SUM(Z43:Z45)</f>
        <v>71507.620997353777</v>
      </c>
      <c r="AA42" s="571">
        <f ca="1">+SUM(AA43:AA45)</f>
        <v>-7448.9489424217563</v>
      </c>
      <c r="AB42" s="571"/>
      <c r="AC42" s="571"/>
      <c r="AD42" s="578"/>
      <c r="AE42" s="641"/>
      <c r="AF42" s="597"/>
      <c r="AG42" s="597"/>
      <c r="AH42" s="597"/>
      <c r="AI42" s="597"/>
      <c r="AJ42" s="597"/>
      <c r="AK42" s="597"/>
      <c r="AL42" s="597"/>
      <c r="AM42" s="597"/>
      <c r="AN42" s="597"/>
      <c r="AO42" s="597"/>
      <c r="AQ42" s="571">
        <f>+SUM(AQ43:AQ45)</f>
        <v>114.28571428571429</v>
      </c>
      <c r="AR42" s="571">
        <f ca="1">+SUM(AR43:AR45)</f>
        <v>233.60281527995815</v>
      </c>
      <c r="AS42" s="571">
        <f ca="1">+SUM(AS43:AS45)</f>
        <v>-119.31710099424384</v>
      </c>
      <c r="AU42" s="571">
        <f>+SUM(AU43:AU45)</f>
        <v>126.31578947368419</v>
      </c>
      <c r="AV42" s="571">
        <f ca="1">+SUM(AV43:AV45)</f>
        <v>1.0888739620403325</v>
      </c>
      <c r="AW42" s="571">
        <f ca="1">+SUM(AW43:AW45)</f>
        <v>125.22691551164388</v>
      </c>
      <c r="AY42" s="571">
        <f>+SUM(AY43:AY45)</f>
        <v>49</v>
      </c>
      <c r="AZ42" s="571">
        <f ca="1">+SUM(AZ43:AZ45)</f>
        <v>99.556222226844014</v>
      </c>
      <c r="BA42" s="571">
        <f ca="1">+SUM(BA43:BA45)</f>
        <v>-50.556222226844014</v>
      </c>
    </row>
    <row r="43" spans="1:53" ht="101.25" customHeight="1">
      <c r="C43" s="591" t="s">
        <v>425</v>
      </c>
      <c r="D43" s="579" t="s">
        <v>413</v>
      </c>
      <c r="E43" s="74"/>
      <c r="F43" s="547">
        <v>15000</v>
      </c>
      <c r="G43" s="547">
        <f t="shared" ca="1" si="3"/>
        <v>15000</v>
      </c>
      <c r="H43" s="547">
        <f ca="1">+SUMIF(Resumen_Base!$A$28:$A$91,'Budget Comparativo x BN'!D43,Resumen_Base!$Y$28:$Y$91)</f>
        <v>18766.535897435897</v>
      </c>
      <c r="I43" s="547">
        <f t="shared" ca="1" si="6"/>
        <v>-3766.5358974358969</v>
      </c>
      <c r="J43" s="622"/>
      <c r="K43" s="650">
        <f ca="1">IF(ROUND(H43,0)=0,0,+H43/F43)</f>
        <v>1.251102393162393</v>
      </c>
      <c r="L43" s="547">
        <v>15000</v>
      </c>
      <c r="M43" s="547">
        <f t="shared" ref="M43:M49" ca="1" si="38">IF(C43="Acumulado",IF(N43&gt;L43,L43,N43),IF(C43="BN",+(L43/$L$8*$M$8),"VER"))</f>
        <v>116.43</v>
      </c>
      <c r="N43" s="547">
        <f ca="1">+SUMIF(Resumen_Base!$A$94:$A$156,'Budget Comparativo x BN'!D43,Resumen_Base!$Y$94:$Y$156)</f>
        <v>116.43</v>
      </c>
      <c r="O43" s="547">
        <f t="shared" ca="1" si="8"/>
        <v>0</v>
      </c>
      <c r="P43" s="662"/>
      <c r="Q43" s="650">
        <f ca="1">IF(ROUND(N43,0)=0,0,+N43/L43)</f>
        <v>7.7620000000000007E-3</v>
      </c>
      <c r="R43" s="547">
        <v>22000</v>
      </c>
      <c r="S43" s="547">
        <f t="shared" ref="S43:S49" ca="1" si="39">IF(C43="Acumulado",IF(T43&gt;R43,R43,T43),IF(C43="BN",+(R43/$R$8*$S$8),"VER"))</f>
        <v>22000</v>
      </c>
      <c r="T43" s="547">
        <f ca="1">SUMIF(Resumen_Base!$A$221:$A$287,'Budget Comparativo x BN'!D43,Resumen_Base!$Y$221:$Y$287)</f>
        <v>22207.238686011497</v>
      </c>
      <c r="U43" s="547">
        <f t="shared" ca="1" si="9"/>
        <v>-207.23868601149661</v>
      </c>
      <c r="V43" s="571"/>
      <c r="W43" s="650">
        <f ca="1">IF(ROUND(T43,0)=0,0,+T43/R43)</f>
        <v>1.0094199402732498</v>
      </c>
      <c r="X43" s="547">
        <f t="shared" ref="X43:Z49" si="40">+F43+L43+R43</f>
        <v>52000</v>
      </c>
      <c r="Y43" s="547">
        <f t="shared" ca="1" si="40"/>
        <v>37116.43</v>
      </c>
      <c r="Z43" s="547">
        <f t="shared" ca="1" si="40"/>
        <v>41090.204583447397</v>
      </c>
      <c r="AA43" s="547">
        <f t="shared" ca="1" si="10"/>
        <v>-3973.7745834473972</v>
      </c>
      <c r="AB43" s="547"/>
      <c r="AC43" s="650">
        <f ca="1">IF(ROUND(Z43,0)=0,0,+Z43/X43)</f>
        <v>0.79019624198937299</v>
      </c>
      <c r="AD43" s="546"/>
      <c r="AE43" s="548"/>
      <c r="AF43" s="597">
        <v>5252</v>
      </c>
      <c r="AG43" s="597"/>
      <c r="AH43" s="597"/>
      <c r="AI43" s="597"/>
      <c r="AJ43" s="597"/>
      <c r="AK43" s="597"/>
      <c r="AL43" s="597"/>
      <c r="AM43" s="597"/>
      <c r="AN43" s="597"/>
      <c r="AO43" s="597"/>
      <c r="AQ43" s="36">
        <f t="shared" ref="AQ43:AQ49" si="41">+F43/$AQ$8</f>
        <v>47.61904761904762</v>
      </c>
      <c r="AR43" s="36">
        <f t="shared" ref="AR43:AR49" ca="1" si="42">+H43/$AR$8</f>
        <v>191.49526425954997</v>
      </c>
      <c r="AS43" s="547">
        <f t="shared" ca="1" si="5"/>
        <v>-143.87621664050235</v>
      </c>
      <c r="AU43" s="36">
        <f t="shared" ref="AU43:AU49" si="43">+L43/$AU$8</f>
        <v>52.631578947368418</v>
      </c>
      <c r="AV43" s="36">
        <f t="shared" ref="AV43:AV49" ca="1" si="44">+N43/$N$8</f>
        <v>0.97025000000000006</v>
      </c>
      <c r="AW43" s="547">
        <f t="shared" ref="AW43:AW49" ca="1" si="45">+AU43-AV43</f>
        <v>51.661328947368418</v>
      </c>
      <c r="AY43" s="36">
        <f t="shared" ref="AY43:AY49" si="46">+R43/$AY$8</f>
        <v>22</v>
      </c>
      <c r="AZ43" s="36">
        <f t="shared" ref="AZ43:AZ49" ca="1" si="47">+T43/$AZ$8</f>
        <v>45.600079437395273</v>
      </c>
      <c r="BA43" s="547">
        <f t="shared" ref="BA43:BA49" ca="1" si="48">+AY43-AZ43</f>
        <v>-23.600079437395273</v>
      </c>
    </row>
    <row r="44" spans="1:53" ht="16">
      <c r="A44" s="568">
        <f ca="1">IF(ROUND(B44,0)=0,0,1)</f>
        <v>0</v>
      </c>
      <c r="B44" s="568">
        <f ca="1">+Z44-SUMIF(Resumen_Base!$A$8:$A$287,'Budget Comparativo x BN'!D44,Resumen_Base!$Y$8:$Y$287)</f>
        <v>0</v>
      </c>
      <c r="C44" s="591" t="s">
        <v>425</v>
      </c>
      <c r="D44" s="579" t="s">
        <v>414</v>
      </c>
      <c r="E44" s="74"/>
      <c r="F44" s="547">
        <v>6000</v>
      </c>
      <c r="G44" s="547">
        <f t="shared" ca="1" si="3"/>
        <v>587.87</v>
      </c>
      <c r="H44" s="547">
        <f ca="1">+SUMIF(Resumen_Base!$A$28:$A$91,'Budget Comparativo x BN'!D44,Resumen_Base!$Y$28:$Y$91)</f>
        <v>587.87</v>
      </c>
      <c r="I44" s="547">
        <f t="shared" ca="1" si="6"/>
        <v>0</v>
      </c>
      <c r="J44" s="622"/>
      <c r="K44" s="650">
        <f ca="1">IF(ROUND(H44,0)=0,0,IF(F44=0,0,+H44/F44))</f>
        <v>9.7978333333333334E-2</v>
      </c>
      <c r="L44" s="547">
        <v>6000</v>
      </c>
      <c r="M44" s="547">
        <f t="shared" ca="1" si="38"/>
        <v>0</v>
      </c>
      <c r="N44" s="547">
        <f ca="1">+SUMIF(Resumen_Base!$A$94:$A$156,'Budget Comparativo x BN'!D44,Resumen_Base!$Y$94:$Y$156)</f>
        <v>0</v>
      </c>
      <c r="O44" s="547">
        <f t="shared" ca="1" si="8"/>
        <v>0</v>
      </c>
      <c r="P44" s="662"/>
      <c r="Q44" s="650">
        <f ca="1">IF(ROUND(N44,0)=0,0,IF(L44=0,0,+N44/L44))</f>
        <v>0</v>
      </c>
      <c r="R44" s="547">
        <v>7000</v>
      </c>
      <c r="S44" s="547">
        <f t="shared" ca="1" si="39"/>
        <v>7000</v>
      </c>
      <c r="T44" s="547">
        <f ca="1">SUMIF(Resumen_Base!$A$221:$A$287,'Budget Comparativo x BN'!D44,Resumen_Base!$Y$221:$Y$287)</f>
        <v>10475.174358974358</v>
      </c>
      <c r="U44" s="547">
        <f t="shared" ca="1" si="9"/>
        <v>-3475.1743589743583</v>
      </c>
      <c r="V44" s="547" t="s">
        <v>382</v>
      </c>
      <c r="W44" s="650">
        <f ca="1">IF(ROUND(T44,0)=0,0,IF(R44=0,0,+T44/R44))</f>
        <v>1.4964534798534797</v>
      </c>
      <c r="X44" s="547">
        <f t="shared" si="40"/>
        <v>19000</v>
      </c>
      <c r="Y44" s="547">
        <f t="shared" ca="1" si="40"/>
        <v>7587.87</v>
      </c>
      <c r="Z44" s="547">
        <f t="shared" ca="1" si="40"/>
        <v>11063.044358974359</v>
      </c>
      <c r="AA44" s="547">
        <f t="shared" ca="1" si="10"/>
        <v>-3475.1743589743592</v>
      </c>
      <c r="AB44" s="547"/>
      <c r="AC44" s="650">
        <f ca="1">IF(ROUND(Z44,0)=0,0,IF(X44=0,0,+Z44/X44))</f>
        <v>0.58226549257759785</v>
      </c>
      <c r="AD44" s="546"/>
      <c r="AE44" s="548"/>
      <c r="AF44" s="597">
        <v>5253</v>
      </c>
      <c r="AG44" s="597"/>
      <c r="AH44" s="597"/>
      <c r="AI44" s="597"/>
      <c r="AJ44" s="597"/>
      <c r="AK44" s="597"/>
      <c r="AL44" s="597"/>
      <c r="AM44" s="597"/>
      <c r="AN44" s="597"/>
      <c r="AO44" s="597"/>
      <c r="AQ44" s="36">
        <f t="shared" si="41"/>
        <v>19.047619047619047</v>
      </c>
      <c r="AR44" s="36">
        <f t="shared" ca="1" si="42"/>
        <v>5.9986734693877555</v>
      </c>
      <c r="AS44" s="547">
        <f t="shared" ca="1" si="5"/>
        <v>13.048945578231292</v>
      </c>
      <c r="AU44" s="36">
        <f t="shared" si="43"/>
        <v>21.05263157894737</v>
      </c>
      <c r="AV44" s="36">
        <f t="shared" ca="1" si="44"/>
        <v>0</v>
      </c>
      <c r="AW44" s="547">
        <f t="shared" ca="1" si="45"/>
        <v>21.05263157894737</v>
      </c>
      <c r="AY44" s="36">
        <f t="shared" si="46"/>
        <v>7</v>
      </c>
      <c r="AZ44" s="36">
        <f t="shared" ca="1" si="47"/>
        <v>21.509598273047963</v>
      </c>
      <c r="BA44" s="547">
        <f t="shared" ca="1" si="48"/>
        <v>-14.509598273047963</v>
      </c>
    </row>
    <row r="45" spans="1:53">
      <c r="A45" s="568">
        <f ca="1">IF(ROUND(B45,0)=0,0,1)</f>
        <v>0</v>
      </c>
      <c r="B45" s="568">
        <f ca="1">+Z45-SUMIF(Resumen_Base!$A$8:$A$287,'Budget Comparativo x BN'!D45,Resumen_Base!$Y$8:$Y$287)</f>
        <v>0</v>
      </c>
      <c r="C45" s="591" t="s">
        <v>425</v>
      </c>
      <c r="D45" s="579" t="s">
        <v>415</v>
      </c>
      <c r="E45" s="74"/>
      <c r="F45" s="547">
        <v>15000</v>
      </c>
      <c r="G45" s="547">
        <f t="shared" ca="1" si="3"/>
        <v>3538.67</v>
      </c>
      <c r="H45" s="547">
        <f ca="1">+SUMIF(Resumen_Base!$A$28:$A$91,'Budget Comparativo x BN'!D45,Resumen_Base!$Y$28:$Y$91)</f>
        <v>3538.67</v>
      </c>
      <c r="I45" s="547">
        <f t="shared" ca="1" si="6"/>
        <v>0</v>
      </c>
      <c r="J45" s="622"/>
      <c r="K45" s="650">
        <f ca="1">IF(ROUND(H45,0)=0,0,IF(F45=0,0,+H45/F45))</f>
        <v>0.23591133333333333</v>
      </c>
      <c r="L45" s="547">
        <v>15000</v>
      </c>
      <c r="M45" s="547">
        <f t="shared" ca="1" si="38"/>
        <v>14.234875444839901</v>
      </c>
      <c r="N45" s="547">
        <f ca="1">+SUMIF(Resumen_Base!$A$94:$A$156,'Budget Comparativo x BN'!D45,Resumen_Base!$Y$94:$Y$156)</f>
        <v>14.234875444839901</v>
      </c>
      <c r="O45" s="547">
        <f t="shared" ca="1" si="8"/>
        <v>0</v>
      </c>
      <c r="P45" s="622"/>
      <c r="Q45" s="650">
        <f ca="1">IF(ROUND(N45,0)=0,0,IF(L45=0,0,+N45/L45))</f>
        <v>9.4899169632266006E-4</v>
      </c>
      <c r="R45" s="547">
        <v>20000</v>
      </c>
      <c r="S45" s="547">
        <f t="shared" ca="1" si="39"/>
        <v>15801.467179487179</v>
      </c>
      <c r="T45" s="547">
        <f ca="1">SUMIF(Resumen_Base!$A$221:$A$287,'Budget Comparativo x BN'!D45,Resumen_Base!$Y$221:$Y$287)</f>
        <v>15801.467179487179</v>
      </c>
      <c r="U45" s="547">
        <f t="shared" ca="1" si="9"/>
        <v>0</v>
      </c>
      <c r="V45" s="547" t="s">
        <v>382</v>
      </c>
      <c r="W45" s="650">
        <f ca="1">IF(ROUND(T45,0)=0,0,IF(R45=0,0,+T45/R45))</f>
        <v>0.79007335897435893</v>
      </c>
      <c r="X45" s="547">
        <f t="shared" si="40"/>
        <v>50000</v>
      </c>
      <c r="Y45" s="547">
        <f t="shared" ca="1" si="40"/>
        <v>19354.372054932021</v>
      </c>
      <c r="Z45" s="547">
        <f t="shared" ca="1" si="40"/>
        <v>19354.372054932021</v>
      </c>
      <c r="AA45" s="547">
        <f t="shared" ca="1" si="10"/>
        <v>0</v>
      </c>
      <c r="AB45" s="547"/>
      <c r="AC45" s="650">
        <f ca="1">IF(ROUND(Z45,0)=0,0,IF(X45=0,0,+Z45/X45))</f>
        <v>0.38708744109864041</v>
      </c>
      <c r="AD45" s="546"/>
      <c r="AE45" s="548"/>
      <c r="AF45" s="597">
        <v>5254</v>
      </c>
      <c r="AG45" s="597"/>
      <c r="AH45" s="597"/>
      <c r="AI45" s="597"/>
      <c r="AJ45" s="597"/>
      <c r="AK45" s="597"/>
      <c r="AL45" s="597"/>
      <c r="AM45" s="597"/>
      <c r="AN45" s="597"/>
      <c r="AO45" s="597"/>
      <c r="AQ45" s="36">
        <f t="shared" si="41"/>
        <v>47.61904761904762</v>
      </c>
      <c r="AR45" s="36">
        <f t="shared" ca="1" si="42"/>
        <v>36.108877551020406</v>
      </c>
      <c r="AS45" s="547">
        <f t="shared" ca="1" si="5"/>
        <v>11.510170068027215</v>
      </c>
      <c r="AU45" s="36">
        <f t="shared" si="43"/>
        <v>52.631578947368418</v>
      </c>
      <c r="AV45" s="36">
        <f t="shared" ca="1" si="44"/>
        <v>0.1186239620403325</v>
      </c>
      <c r="AW45" s="547">
        <f t="shared" ca="1" si="45"/>
        <v>52.512954985328086</v>
      </c>
      <c r="AY45" s="36">
        <f t="shared" si="46"/>
        <v>20</v>
      </c>
      <c r="AZ45" s="36">
        <f t="shared" ca="1" si="47"/>
        <v>32.446544516400778</v>
      </c>
      <c r="BA45" s="547">
        <f t="shared" ca="1" si="48"/>
        <v>-12.446544516400778</v>
      </c>
    </row>
    <row r="46" spans="1:53" s="568" customFormat="1">
      <c r="C46" s="591" t="s">
        <v>425</v>
      </c>
      <c r="D46" s="567" t="s">
        <v>416</v>
      </c>
      <c r="E46" s="546"/>
      <c r="F46" s="547">
        <v>1800</v>
      </c>
      <c r="G46" s="547">
        <f t="shared" ca="1" si="3"/>
        <v>556.79</v>
      </c>
      <c r="H46" s="547">
        <f ca="1">+SUMIF(Resumen_Base!$A$28:$A$91,'Budget Comparativo x BN'!D46,Resumen_Base!$Y$28:$Y$91)</f>
        <v>556.79</v>
      </c>
      <c r="I46" s="547">
        <f t="shared" ca="1" si="6"/>
        <v>0</v>
      </c>
      <c r="J46" s="622"/>
      <c r="K46" s="650">
        <f ca="1">IF(ROUND(H46,0)=0,0,+H46/F46)</f>
        <v>0.30932777777777776</v>
      </c>
      <c r="L46" s="547">
        <v>1200</v>
      </c>
      <c r="M46" s="547">
        <f t="shared" ca="1" si="38"/>
        <v>505.97999999999996</v>
      </c>
      <c r="N46" s="547">
        <f ca="1">+SUMIF(Resumen_Base!$A$94:$A$156,'Budget Comparativo x BN'!D46,Resumen_Base!$Y$94:$Y$156)</f>
        <v>505.97999999999996</v>
      </c>
      <c r="O46" s="547">
        <f t="shared" ca="1" si="8"/>
        <v>0</v>
      </c>
      <c r="P46" s="622"/>
      <c r="Q46" s="650">
        <f ca="1">IF(ROUND(N46,0)=0,0,+N46/L46)</f>
        <v>0.42164999999999997</v>
      </c>
      <c r="R46" s="547">
        <v>700</v>
      </c>
      <c r="S46" s="547">
        <f t="shared" ca="1" si="39"/>
        <v>700</v>
      </c>
      <c r="T46" s="547">
        <f ca="1">SUMIF(Resumen_Base!$A$221:$A$287,'Budget Comparativo x BN'!D46,Resumen_Base!$Y$221:$Y$287)</f>
        <v>2271.4461538461542</v>
      </c>
      <c r="U46" s="547">
        <f t="shared" ca="1" si="9"/>
        <v>-1571.4461538461542</v>
      </c>
      <c r="V46" s="547"/>
      <c r="W46" s="650">
        <f ca="1">IF(ROUND(T46,0)=0,0,+T46/R46)</f>
        <v>3.2449230769230772</v>
      </c>
      <c r="X46" s="547">
        <f t="shared" si="40"/>
        <v>3700</v>
      </c>
      <c r="Y46" s="547">
        <f t="shared" ca="1" si="40"/>
        <v>1762.77</v>
      </c>
      <c r="Z46" s="547">
        <f t="shared" ca="1" si="40"/>
        <v>3334.2161538461542</v>
      </c>
      <c r="AA46" s="547">
        <f t="shared" ca="1" si="10"/>
        <v>-1571.4461538461542</v>
      </c>
      <c r="AB46" s="547"/>
      <c r="AC46" s="650">
        <f ca="1">IF(ROUND(Z46,0)=0,0,+Z46/X46)</f>
        <v>0.90113950103950113</v>
      </c>
      <c r="AD46" s="546"/>
      <c r="AE46" s="548"/>
      <c r="AF46" s="597">
        <v>5209</v>
      </c>
      <c r="AG46" s="597">
        <v>5266</v>
      </c>
      <c r="AH46" s="597">
        <v>5324</v>
      </c>
      <c r="AI46" s="597">
        <v>5325</v>
      </c>
      <c r="AJ46" s="597">
        <v>5326</v>
      </c>
      <c r="AK46" s="597"/>
      <c r="AL46" s="597"/>
      <c r="AM46" s="597"/>
      <c r="AN46" s="597"/>
      <c r="AO46" s="597"/>
      <c r="AQ46" s="36">
        <f t="shared" si="41"/>
        <v>5.7142857142857144</v>
      </c>
      <c r="AR46" s="36">
        <f t="shared" ca="1" si="42"/>
        <v>5.6815306122448979</v>
      </c>
      <c r="AS46" s="547">
        <f t="shared" ca="1" si="5"/>
        <v>3.2755102040816553E-2</v>
      </c>
      <c r="AU46" s="36">
        <f t="shared" si="43"/>
        <v>4.2105263157894735</v>
      </c>
      <c r="AV46" s="36">
        <f t="shared" ca="1" si="44"/>
        <v>4.2164999999999999</v>
      </c>
      <c r="AW46" s="547">
        <f t="shared" ca="1" si="45"/>
        <v>-5.9736842105264643E-3</v>
      </c>
      <c r="AY46" s="36">
        <f t="shared" si="46"/>
        <v>0.7</v>
      </c>
      <c r="AZ46" s="36">
        <f t="shared" ca="1" si="47"/>
        <v>4.6641604801769079</v>
      </c>
      <c r="BA46" s="547">
        <f t="shared" ca="1" si="48"/>
        <v>-3.9641604801769077</v>
      </c>
    </row>
    <row r="47" spans="1:53" s="568" customFormat="1">
      <c r="B47" s="568">
        <f ca="1">+Z47-SUMIF(Resumen_Base!$A$8:$A$287,'Budget Comparativo x BN'!D47,Resumen_Base!$Y$8:$Y$287)</f>
        <v>0</v>
      </c>
      <c r="C47" s="591" t="s">
        <v>425</v>
      </c>
      <c r="D47" s="564" t="s">
        <v>417</v>
      </c>
      <c r="E47" s="546"/>
      <c r="F47" s="547">
        <v>1300</v>
      </c>
      <c r="G47" s="547">
        <f t="shared" ca="1" si="3"/>
        <v>1300</v>
      </c>
      <c r="H47" s="547">
        <f ca="1">+SUMIF(Resumen_Base!$A$28:$A$91,'Budget Comparativo x BN'!D47,Resumen_Base!$Y$28:$Y$91)</f>
        <v>3630</v>
      </c>
      <c r="I47" s="547">
        <f t="shared" ca="1" si="6"/>
        <v>-2330</v>
      </c>
      <c r="J47" s="622"/>
      <c r="K47" s="650">
        <f ca="1">IF(ROUND(H47,0)=0,0,IF(F47=0,0,+H47/F47))</f>
        <v>2.7923076923076922</v>
      </c>
      <c r="L47" s="547">
        <v>1200</v>
      </c>
      <c r="M47" s="547">
        <f t="shared" ca="1" si="38"/>
        <v>0</v>
      </c>
      <c r="N47" s="547">
        <f ca="1">+SUMIF(Resumen_Base!$A$94:$A$156,'Budget Comparativo x BN'!D47,Resumen_Base!$Y$94:$Y$156)</f>
        <v>0</v>
      </c>
      <c r="O47" s="547">
        <f t="shared" ca="1" si="8"/>
        <v>0</v>
      </c>
      <c r="P47" s="622"/>
      <c r="Q47" s="650">
        <f ca="1">IF(ROUND(N47,0)=0,0,IF(L47=0,0,+N47/L47))</f>
        <v>0</v>
      </c>
      <c r="R47" s="547">
        <v>2000</v>
      </c>
      <c r="S47" s="547">
        <f t="shared" ca="1" si="39"/>
        <v>2000</v>
      </c>
      <c r="T47" s="547">
        <f ca="1">SUMIF(Resumen_Base!$A$221:$A$287,'Budget Comparativo x BN'!D47,Resumen_Base!$Y$221:$Y$287)</f>
        <v>3951.0800000000008</v>
      </c>
      <c r="U47" s="547">
        <f t="shared" ca="1" si="9"/>
        <v>-1951.0800000000008</v>
      </c>
      <c r="V47" s="547"/>
      <c r="W47" s="650">
        <f ca="1">IF(ROUND(T47,0)=0,0,IF(R47=0,0,+T47/R47))</f>
        <v>1.9755400000000005</v>
      </c>
      <c r="X47" s="547">
        <f t="shared" si="40"/>
        <v>4500</v>
      </c>
      <c r="Y47" s="547">
        <f t="shared" ca="1" si="40"/>
        <v>3300</v>
      </c>
      <c r="Z47" s="547">
        <f t="shared" ca="1" si="40"/>
        <v>7581.0800000000008</v>
      </c>
      <c r="AA47" s="547">
        <f t="shared" ca="1" si="10"/>
        <v>-4281.0800000000008</v>
      </c>
      <c r="AB47" s="547"/>
      <c r="AC47" s="650">
        <f ca="1">IF(ROUND(Z47,0)=0,0,IF(X47=0,0,+Z47/X47))</f>
        <v>1.6846844444444447</v>
      </c>
      <c r="AD47" s="546"/>
      <c r="AE47" s="548"/>
      <c r="AF47" s="597">
        <v>5215</v>
      </c>
      <c r="AG47" s="597">
        <v>5321</v>
      </c>
      <c r="AH47" s="597"/>
      <c r="AI47" s="597"/>
      <c r="AJ47" s="597"/>
      <c r="AK47" s="597"/>
      <c r="AL47" s="597"/>
      <c r="AM47" s="597"/>
      <c r="AN47" s="597"/>
      <c r="AO47" s="597"/>
      <c r="AQ47" s="36">
        <f t="shared" si="41"/>
        <v>4.1269841269841274</v>
      </c>
      <c r="AR47" s="36">
        <f t="shared" ca="1" si="42"/>
        <v>37.04081632653061</v>
      </c>
      <c r="AS47" s="547">
        <f t="shared" ca="1" si="5"/>
        <v>-32.913832199546484</v>
      </c>
      <c r="AU47" s="36">
        <f t="shared" si="43"/>
        <v>4.2105263157894735</v>
      </c>
      <c r="AV47" s="36">
        <f t="shared" ca="1" si="44"/>
        <v>0</v>
      </c>
      <c r="AW47" s="547">
        <f t="shared" ca="1" si="45"/>
        <v>4.2105263157894735</v>
      </c>
      <c r="AY47" s="36">
        <f t="shared" si="46"/>
        <v>2</v>
      </c>
      <c r="AZ47" s="36">
        <f t="shared" ca="1" si="47"/>
        <v>8.1131006160164283</v>
      </c>
      <c r="BA47" s="547">
        <f t="shared" ca="1" si="48"/>
        <v>-6.1131006160164283</v>
      </c>
    </row>
    <row r="48" spans="1:53" s="568" customFormat="1">
      <c r="A48" s="568">
        <f ca="1">IF(ROUND(B48,0)=0,0,1)</f>
        <v>0</v>
      </c>
      <c r="B48" s="568">
        <f ca="1">+Z48-SUMIF(Resumen_Base!$A$8:$A$287,'Budget Comparativo x BN'!D48,Resumen_Base!$Y$8:$Y$287)</f>
        <v>0</v>
      </c>
      <c r="C48" s="591" t="s">
        <v>425</v>
      </c>
      <c r="D48" s="564" t="s">
        <v>522</v>
      </c>
      <c r="E48" s="546"/>
      <c r="F48" s="547">
        <v>500</v>
      </c>
      <c r="G48" s="547">
        <f t="shared" si="3"/>
        <v>0</v>
      </c>
      <c r="H48" s="547">
        <f>+SUMIF(Resumen_Base!$A$28:$A$91,'Budget Comparativo x BN'!D48,Resumen_Base!$Y$28:$Y$91)</f>
        <v>0</v>
      </c>
      <c r="I48" s="547">
        <f t="shared" si="6"/>
        <v>0</v>
      </c>
      <c r="J48" s="622"/>
      <c r="K48" s="650">
        <f>IF(ROUND(H48,0)=0,0,IF(F48=0,0,+H48/F48))</f>
        <v>0</v>
      </c>
      <c r="L48" s="547">
        <v>0</v>
      </c>
      <c r="M48" s="547">
        <f t="shared" si="38"/>
        <v>0</v>
      </c>
      <c r="N48" s="547">
        <f>+SUMIF(Resumen_Base!$A$94:$A$156,'Budget Comparativo x BN'!D48,Resumen_Base!$Y$94:$Y$156)</f>
        <v>0</v>
      </c>
      <c r="O48" s="547">
        <f t="shared" si="8"/>
        <v>0</v>
      </c>
      <c r="P48" s="622"/>
      <c r="Q48" s="650">
        <f>IF(ROUND(N48,0)=0,0,IF(L48=0,0,+N48/L48))</f>
        <v>0</v>
      </c>
      <c r="R48" s="547">
        <v>500</v>
      </c>
      <c r="S48" s="547">
        <f t="shared" ca="1" si="39"/>
        <v>500</v>
      </c>
      <c r="T48" s="547">
        <f ca="1">SUMIF(Resumen_Base!$A$221:$A$287,'Budget Comparativo x BN'!D48,Resumen_Base!$Y$221:$Y$287)</f>
        <v>11005.839999999998</v>
      </c>
      <c r="U48" s="547">
        <f t="shared" ca="1" si="9"/>
        <v>-10505.839999999998</v>
      </c>
      <c r="V48" s="547"/>
      <c r="W48" s="650">
        <f ca="1">IF(ROUND(T48,0)=0,0,IF(R48=0,0,+T48/R48))</f>
        <v>22.011679999999998</v>
      </c>
      <c r="X48" s="547">
        <f t="shared" si="40"/>
        <v>1000</v>
      </c>
      <c r="Y48" s="547">
        <f t="shared" ca="1" si="40"/>
        <v>500</v>
      </c>
      <c r="Z48" s="547">
        <f t="shared" ca="1" si="40"/>
        <v>11005.839999999998</v>
      </c>
      <c r="AA48" s="547">
        <f t="shared" ca="1" si="10"/>
        <v>-10505.839999999998</v>
      </c>
      <c r="AB48" s="547"/>
      <c r="AC48" s="650">
        <f ca="1">IF(ROUND(Z48,0)=0,0,IF(X48=0,0,+Z48/X48))</f>
        <v>11.005839999999999</v>
      </c>
      <c r="AD48" s="546"/>
      <c r="AE48" s="548"/>
      <c r="AF48" s="597">
        <v>5217</v>
      </c>
      <c r="AG48" s="597">
        <v>5260</v>
      </c>
      <c r="AH48" s="597"/>
      <c r="AI48" s="597"/>
      <c r="AJ48" s="597"/>
      <c r="AK48" s="597"/>
      <c r="AL48" s="597"/>
      <c r="AM48" s="597"/>
      <c r="AN48" s="597"/>
      <c r="AO48" s="597"/>
      <c r="AQ48" s="36">
        <f t="shared" si="41"/>
        <v>1.5873015873015872</v>
      </c>
      <c r="AR48" s="36">
        <f t="shared" si="42"/>
        <v>0</v>
      </c>
      <c r="AS48" s="547">
        <f t="shared" si="5"/>
        <v>1.5873015873015872</v>
      </c>
      <c r="AU48" s="36">
        <f t="shared" si="43"/>
        <v>0</v>
      </c>
      <c r="AV48" s="36">
        <f t="shared" si="44"/>
        <v>0</v>
      </c>
      <c r="AW48" s="547">
        <f t="shared" si="45"/>
        <v>0</v>
      </c>
      <c r="AY48" s="36">
        <f t="shared" si="46"/>
        <v>0.5</v>
      </c>
      <c r="AZ48" s="36">
        <f t="shared" ca="1" si="47"/>
        <v>22.599260780287469</v>
      </c>
      <c r="BA48" s="547">
        <f t="shared" ca="1" si="48"/>
        <v>-22.099260780287469</v>
      </c>
    </row>
    <row r="49" spans="1:53" s="568" customFormat="1" ht="26">
      <c r="C49" s="591" t="s">
        <v>425</v>
      </c>
      <c r="D49" s="567" t="s">
        <v>419</v>
      </c>
      <c r="E49" s="546"/>
      <c r="F49" s="547">
        <v>6300</v>
      </c>
      <c r="G49" s="547">
        <f t="shared" ca="1" si="3"/>
        <v>6300</v>
      </c>
      <c r="H49" s="547">
        <f ca="1">+SUMIF(Resumen_Base!$A$28:$A$91,'Budget Comparativo x BN'!D49,Resumen_Base!$Y$28:$Y$91)</f>
        <v>15117.399523679167</v>
      </c>
      <c r="I49" s="547">
        <f t="shared" ca="1" si="6"/>
        <v>-8817.399523679167</v>
      </c>
      <c r="J49" s="622" t="s">
        <v>752</v>
      </c>
      <c r="K49" s="650">
        <f ca="1">IF(ROUND(H49,0)=0,0,IF(F49=0,0,+H49/F49))</f>
        <v>2.3995872259808202</v>
      </c>
      <c r="L49" s="547">
        <v>4300</v>
      </c>
      <c r="M49" s="547">
        <f t="shared" ca="1" si="38"/>
        <v>11.11</v>
      </c>
      <c r="N49" s="547">
        <f ca="1">+SUMIF(Resumen_Base!$A$94:$A$156,'Budget Comparativo x BN'!D49,Resumen_Base!$Y$94:$Y$156)</f>
        <v>11.11</v>
      </c>
      <c r="O49" s="547">
        <f t="shared" ca="1" si="8"/>
        <v>0</v>
      </c>
      <c r="P49" s="622" t="s">
        <v>758</v>
      </c>
      <c r="Q49" s="650">
        <f ca="1">IF(ROUND(N49,0)=0,0,IF(L49=0,0,+N49/L49))</f>
        <v>2.5837209302325579E-3</v>
      </c>
      <c r="R49" s="547">
        <v>4300</v>
      </c>
      <c r="S49" s="547">
        <f t="shared" ca="1" si="39"/>
        <v>4300</v>
      </c>
      <c r="T49" s="547">
        <f ca="1">SUMIF(Resumen_Base!$A$221:$A$287,'Budget Comparativo x BN'!D49,Resumen_Base!$Y$221:$Y$287)</f>
        <v>14269.900936679607</v>
      </c>
      <c r="U49" s="547">
        <f t="shared" ca="1" si="9"/>
        <v>-9969.9009366796072</v>
      </c>
      <c r="V49" s="547" t="s">
        <v>765</v>
      </c>
      <c r="W49" s="650">
        <f ca="1">IF(ROUND(T49,0)=0,0,IF(R49=0,0,+T49/R49))</f>
        <v>3.318581613181304</v>
      </c>
      <c r="X49" s="547">
        <f t="shared" si="40"/>
        <v>14900</v>
      </c>
      <c r="Y49" s="547">
        <f t="shared" ca="1" si="40"/>
        <v>10611.11</v>
      </c>
      <c r="Z49" s="547">
        <f t="shared" ca="1" si="40"/>
        <v>29398.410460358777</v>
      </c>
      <c r="AA49" s="547">
        <f t="shared" ca="1" si="10"/>
        <v>-18787.300460358776</v>
      </c>
      <c r="AB49" s="547"/>
      <c r="AC49" s="650">
        <f ca="1">IF(ROUND(Z49,0)=0,0,IF(X49=0,0,+Z49/X49))</f>
        <v>1.9730476819032736</v>
      </c>
      <c r="AD49" s="546"/>
      <c r="AE49" s="548"/>
      <c r="AF49" s="597">
        <v>5219</v>
      </c>
      <c r="AG49" s="597">
        <v>5218</v>
      </c>
      <c r="AH49" s="597">
        <v>5263</v>
      </c>
      <c r="AI49" s="597">
        <v>5312</v>
      </c>
      <c r="AJ49" s="597">
        <v>5314</v>
      </c>
      <c r="AK49" s="597">
        <v>5337</v>
      </c>
      <c r="AL49" s="597"/>
      <c r="AM49" s="597"/>
      <c r="AN49" s="597"/>
      <c r="AO49" s="597"/>
      <c r="AQ49" s="36">
        <f t="shared" si="41"/>
        <v>20</v>
      </c>
      <c r="AR49" s="36">
        <f t="shared" ca="1" si="42"/>
        <v>154.25917881305273</v>
      </c>
      <c r="AS49" s="547">
        <f t="shared" ca="1" si="5"/>
        <v>-134.25917881305273</v>
      </c>
      <c r="AU49" s="36">
        <f t="shared" si="43"/>
        <v>15.087719298245615</v>
      </c>
      <c r="AV49" s="36">
        <f t="shared" ca="1" si="44"/>
        <v>9.2583333333333323E-2</v>
      </c>
      <c r="AW49" s="547">
        <f t="shared" ca="1" si="45"/>
        <v>14.995135964912281</v>
      </c>
      <c r="AY49" s="36">
        <f t="shared" si="46"/>
        <v>4.3</v>
      </c>
      <c r="AZ49" s="36">
        <f t="shared" ca="1" si="47"/>
        <v>29.301644633839029</v>
      </c>
      <c r="BA49" s="547">
        <f t="shared" ca="1" si="48"/>
        <v>-25.001644633839028</v>
      </c>
    </row>
    <row r="50" spans="1:53" s="555" customFormat="1" ht="16.5" thickBot="1">
      <c r="C50" s="588"/>
      <c r="D50" s="552" t="s">
        <v>225</v>
      </c>
      <c r="E50" s="553"/>
      <c r="F50" s="554" t="s">
        <v>87</v>
      </c>
      <c r="G50" s="554"/>
      <c r="H50" s="652"/>
      <c r="I50" s="554"/>
      <c r="J50" s="659"/>
      <c r="K50" s="554"/>
      <c r="L50" s="554"/>
      <c r="M50" s="554"/>
      <c r="N50" s="554"/>
      <c r="O50" s="554"/>
      <c r="P50" s="659"/>
      <c r="Q50" s="554"/>
      <c r="R50" s="554"/>
      <c r="S50" s="554"/>
      <c r="T50" s="554"/>
      <c r="U50" s="554"/>
      <c r="V50" s="554"/>
      <c r="W50" s="554"/>
      <c r="X50" s="554"/>
      <c r="Y50" s="554"/>
      <c r="Z50" s="554"/>
      <c r="AA50" s="554"/>
      <c r="AB50" s="554"/>
      <c r="AC50" s="554"/>
      <c r="AD50" s="553"/>
      <c r="AE50" s="636"/>
      <c r="AF50" s="597"/>
      <c r="AG50" s="597"/>
      <c r="AH50" s="597"/>
      <c r="AI50" s="597"/>
      <c r="AJ50" s="597"/>
      <c r="AK50" s="597"/>
      <c r="AL50" s="597"/>
      <c r="AM50" s="597"/>
      <c r="AN50" s="597"/>
      <c r="AO50" s="597"/>
      <c r="AQ50" s="554"/>
      <c r="AR50" s="571"/>
      <c r="AS50" s="571"/>
      <c r="AU50" s="554"/>
      <c r="AV50" s="571"/>
      <c r="AW50" s="571"/>
      <c r="AY50" s="554"/>
      <c r="AZ50" s="571"/>
      <c r="BA50" s="571"/>
    </row>
    <row r="51" spans="1:53" s="568" customFormat="1" ht="13.5" thickBot="1">
      <c r="C51" s="591"/>
      <c r="D51" s="582" t="s">
        <v>420</v>
      </c>
      <c r="E51" s="546"/>
      <c r="F51" s="583">
        <f>SUM(F22:F50)-F23-F34-F27-F42</f>
        <v>304333</v>
      </c>
      <c r="G51" s="583">
        <f ca="1">SUM(G22:G50)-G23-G34-G27-G42</f>
        <v>152783.23731640945</v>
      </c>
      <c r="H51" s="583">
        <f ca="1">SUM(H22:H50)-H23-H34-H27-H42</f>
        <v>172716.61376316554</v>
      </c>
      <c r="I51" s="583">
        <f t="shared" ref="I51:I56" ca="1" si="49">+G51-H51</f>
        <v>-19933.376446756098</v>
      </c>
      <c r="J51" s="663"/>
      <c r="K51" s="583"/>
      <c r="L51" s="583">
        <f>SUM(L22:L50)-L23-L34-L27-L42</f>
        <v>261143</v>
      </c>
      <c r="M51" s="583">
        <f ca="1">SUM(M22:M50)-M23-M34-M27-M42</f>
        <v>19246.820220079589</v>
      </c>
      <c r="N51" s="583">
        <f ca="1">SUM(N22:N50)-N23-N34-N27-N42</f>
        <v>13041.319693763797</v>
      </c>
      <c r="O51" s="583">
        <f t="shared" ref="O51:O56" ca="1" si="50">+M51-N51</f>
        <v>6205.5005263157927</v>
      </c>
      <c r="P51" s="663"/>
      <c r="Q51" s="583"/>
      <c r="R51" s="583">
        <f>SUM(R22:R50)-R23-R34-R27-R42</f>
        <v>536570</v>
      </c>
      <c r="S51" s="583">
        <f ca="1">SUM(S22:S50)-S23-S34-S27-S42</f>
        <v>500020.41947408632</v>
      </c>
      <c r="T51" s="583">
        <f ca="1">SUM(T22:T50)-T23-T34-T27-T42</f>
        <v>542782.04395155306</v>
      </c>
      <c r="U51" s="583">
        <f t="shared" ref="U51:U56" ca="1" si="51">+S51-T51</f>
        <v>-42761.624477466743</v>
      </c>
      <c r="V51" s="583"/>
      <c r="W51" s="583"/>
      <c r="X51" s="583">
        <f>SUM(X22:X50)-X23-X34-X27-X42</f>
        <v>1102046</v>
      </c>
      <c r="Y51" s="583">
        <f ca="1">SUM(Y22:Y50)-Y23-Y34-Y27-Y42</f>
        <v>672050.47701057559</v>
      </c>
      <c r="Z51" s="583">
        <f ca="1">SUM(Z22:Z50)-Z23-Z34-Z27-Z42</f>
        <v>728539.97740848258</v>
      </c>
      <c r="AA51" s="583">
        <f t="shared" ref="AA51:AA56" ca="1" si="52">+Y51-Z51</f>
        <v>-56489.500397906988</v>
      </c>
      <c r="AB51" s="583"/>
      <c r="AC51" s="583"/>
      <c r="AD51" s="546"/>
      <c r="AE51" s="548"/>
      <c r="AF51" s="597"/>
      <c r="AG51" s="597"/>
      <c r="AH51" s="597"/>
      <c r="AI51" s="597"/>
      <c r="AJ51" s="597"/>
      <c r="AK51" s="597"/>
      <c r="AL51" s="597"/>
      <c r="AM51" s="597"/>
      <c r="AN51" s="597"/>
      <c r="AO51" s="597"/>
      <c r="AQ51" s="583">
        <f>SUM(AQ22:AQ50)-AQ23-AQ34-AQ27-AQ42</f>
        <v>966.13650793650834</v>
      </c>
      <c r="AR51" s="583">
        <f ca="1">SUM(AR22:AR50)-AR23-AR34-AR27-AR42</f>
        <v>1762.4144261547506</v>
      </c>
      <c r="AS51" s="583">
        <f ca="1">SUM(AS22:AS50)-AS23-AS34-AS27-AS42</f>
        <v>-796.27791821824349</v>
      </c>
      <c r="AU51" s="583">
        <f>SUM(AU22:AU50)-AU23-AU34-AU27-AU42</f>
        <v>916.29122807017484</v>
      </c>
      <c r="AV51" s="583">
        <f ca="1">SUM(AV22:AV50)-AV23-AV34-AV27-AV42</f>
        <v>108.67766411469832</v>
      </c>
      <c r="AW51" s="583">
        <f ca="1">SUM(AW22:AW50)-AW23-AW34-AW27-AW42</f>
        <v>807.61356395547659</v>
      </c>
      <c r="AY51" s="583">
        <f>SUM(AY22:AY50)-AY23-AY34-AY27-AY42</f>
        <v>536.56999999999994</v>
      </c>
      <c r="AZ51" s="583">
        <f ca="1">SUM(AZ22:AZ50)-AZ23-AZ34-AZ27-AZ42</f>
        <v>1114.5421847054481</v>
      </c>
      <c r="BA51" s="583">
        <f ca="1">SUM(BA22:BA50)-BA23-BA34-BA27-BA42</f>
        <v>-577.97218470544829</v>
      </c>
    </row>
    <row r="52" spans="1:53" s="49" customFormat="1" ht="4">
      <c r="C52" s="586"/>
      <c r="D52" s="560"/>
      <c r="E52" s="561"/>
      <c r="F52" s="45"/>
      <c r="G52" s="45"/>
      <c r="H52" s="45"/>
      <c r="I52" s="45"/>
      <c r="J52" s="661"/>
      <c r="K52" s="45"/>
      <c r="L52" s="45"/>
      <c r="M52" s="45"/>
      <c r="N52" s="45"/>
      <c r="O52" s="45"/>
      <c r="P52" s="661"/>
      <c r="Q52" s="45"/>
      <c r="R52" s="45"/>
      <c r="S52" s="45"/>
      <c r="T52" s="45"/>
      <c r="U52" s="45"/>
      <c r="V52" s="45"/>
      <c r="W52" s="45"/>
      <c r="X52" s="45"/>
      <c r="Y52" s="45"/>
      <c r="Z52" s="653">
        <f ca="1">+Z51-T51-N51-H51</f>
        <v>0</v>
      </c>
      <c r="AA52" s="45"/>
      <c r="AB52" s="45"/>
      <c r="AC52" s="45"/>
      <c r="AD52" s="561"/>
      <c r="AE52" s="638"/>
      <c r="AF52" s="654"/>
      <c r="AG52" s="654"/>
      <c r="AH52" s="654"/>
      <c r="AI52" s="654"/>
      <c r="AJ52" s="654"/>
      <c r="AK52" s="654"/>
      <c r="AL52" s="654"/>
      <c r="AM52" s="654"/>
      <c r="AN52" s="654"/>
      <c r="AO52" s="654"/>
      <c r="AQ52" s="45"/>
      <c r="AR52" s="45"/>
      <c r="AS52" s="45"/>
      <c r="AU52" s="45"/>
      <c r="AV52" s="45"/>
      <c r="AW52" s="45"/>
      <c r="AY52" s="45"/>
      <c r="AZ52" s="45"/>
      <c r="BA52" s="45"/>
    </row>
    <row r="53" spans="1:53" s="568" customFormat="1" ht="16">
      <c r="A53" s="568">
        <f ca="1">IF(ROUND(B53,0)=0,0,1)</f>
        <v>0</v>
      </c>
      <c r="B53" s="568">
        <f ca="1">+Z53-SUMIF(Resumen_Base!$A$8:$A$287,'Budget Comparativo x BN'!D53,Resumen_Base!$Y$8:$Y$287)</f>
        <v>0</v>
      </c>
      <c r="C53" s="591" t="s">
        <v>425</v>
      </c>
      <c r="D53" s="567" t="s">
        <v>443</v>
      </c>
      <c r="E53" s="546"/>
      <c r="F53" s="547">
        <v>17000</v>
      </c>
      <c r="G53" s="547">
        <f ca="1">IF(C53="Acumulado",IF(H53&gt;F53,F53,H53),IF(C53="BN",+(F53/$F$8*$G$8),"VER"))</f>
        <v>0</v>
      </c>
      <c r="H53" s="547">
        <f ca="1">+SUMIF(Resumen_Base!$A$28:$A$91,'Budget Comparativo x BN'!D53,Resumen_Base!$Y$28:$Y$91)</f>
        <v>0</v>
      </c>
      <c r="I53" s="547">
        <f t="shared" ca="1" si="49"/>
        <v>0</v>
      </c>
      <c r="J53" s="622"/>
      <c r="K53" s="650">
        <f ca="1">IF(ROUND(H53,0)=0,0,IF(F53=0,0,+H53/F53))</f>
        <v>0</v>
      </c>
      <c r="L53" s="547">
        <v>0</v>
      </c>
      <c r="M53" s="547">
        <f ca="1">IF(C53="Acumulado",IF(N53&gt;L53,L53,N53),IF(C53="BN",+(L53/$L$8*$M$8),"VER"))</f>
        <v>0</v>
      </c>
      <c r="N53" s="547">
        <f ca="1">+SUMIF(Resumen_Base!$A$94:$A$156,'Budget Comparativo x BN'!D53,Resumen_Base!$Y$94:$Y$156)</f>
        <v>0</v>
      </c>
      <c r="O53" s="547">
        <f t="shared" ca="1" si="50"/>
        <v>0</v>
      </c>
      <c r="P53" s="622">
        <f>+J53</f>
        <v>0</v>
      </c>
      <c r="Q53" s="650">
        <f ca="1">IF(ROUND(N53,0)=0,0,IF(L53=0,0,+N53/L53))</f>
        <v>0</v>
      </c>
      <c r="R53" s="547">
        <v>60990</v>
      </c>
      <c r="S53" s="547">
        <f ca="1">IF(C53="Acumulado",IF(T53&gt;R53,R53,T53),IF(C53="BN",+(R53/$R$8*$S$8),"VER"))</f>
        <v>0</v>
      </c>
      <c r="T53" s="547">
        <f ca="1">SUMIF(Resumen_Base!$A$221:$A$287,'Budget Comparativo x BN'!D53,Resumen_Base!$Y$221:$Y$287)</f>
        <v>0</v>
      </c>
      <c r="U53" s="547">
        <f t="shared" ca="1" si="51"/>
        <v>0</v>
      </c>
      <c r="V53" s="547"/>
      <c r="W53" s="650">
        <f ca="1">IF(ROUND(T53,0)=0,0,IF(R53=0,0,+T53/R53))</f>
        <v>0</v>
      </c>
      <c r="X53" s="547">
        <f t="shared" ref="X53:Z56" si="53">+F53+L53+R53</f>
        <v>77990</v>
      </c>
      <c r="Y53" s="547">
        <f t="shared" ca="1" si="53"/>
        <v>0</v>
      </c>
      <c r="Z53" s="547">
        <f t="shared" ca="1" si="53"/>
        <v>0</v>
      </c>
      <c r="AA53" s="547">
        <f t="shared" ca="1" si="52"/>
        <v>0</v>
      </c>
      <c r="AB53" s="571"/>
      <c r="AC53" s="650">
        <f ca="1">IF(ROUND(Z53,0)=0,0,IF(X53=0,0,+Z53/X53))</f>
        <v>0</v>
      </c>
      <c r="AD53" s="546"/>
      <c r="AE53" s="548"/>
      <c r="AF53" s="597">
        <v>12020401</v>
      </c>
      <c r="AG53" s="597">
        <v>12020701</v>
      </c>
      <c r="AH53" s="597"/>
      <c r="AI53" s="597"/>
      <c r="AJ53" s="597"/>
      <c r="AK53" s="597"/>
      <c r="AL53" s="597"/>
      <c r="AM53" s="597"/>
      <c r="AN53" s="597"/>
      <c r="AO53" s="597"/>
      <c r="AQ53" s="36">
        <f>+F53/$AQ$8</f>
        <v>53.968253968253968</v>
      </c>
      <c r="AR53" s="36">
        <f ca="1">+H53/$AR$8</f>
        <v>0</v>
      </c>
      <c r="AS53" s="547">
        <f ca="1">+AQ53-AR53</f>
        <v>53.968253968253968</v>
      </c>
      <c r="AU53" s="36">
        <f>+L53/$AU$8</f>
        <v>0</v>
      </c>
      <c r="AV53" s="36">
        <f ca="1">+N53/$N$8</f>
        <v>0</v>
      </c>
      <c r="AW53" s="547">
        <f ca="1">+AU53-AV53</f>
        <v>0</v>
      </c>
      <c r="AY53" s="36">
        <f>+R53/$AY$8</f>
        <v>60.99</v>
      </c>
      <c r="AZ53" s="36">
        <f ca="1">+T53/$AZ$8</f>
        <v>0</v>
      </c>
      <c r="BA53" s="547">
        <f ca="1">+AY53-AZ53</f>
        <v>60.99</v>
      </c>
    </row>
    <row r="54" spans="1:53" s="568" customFormat="1" ht="16">
      <c r="A54" s="568">
        <f ca="1">IF(ROUND(B54,0)=0,0,1)</f>
        <v>0</v>
      </c>
      <c r="B54" s="568">
        <f ca="1">+Z54-SUMIF(Resumen_Base!$A$8:$A$287,'Budget Comparativo x BN'!D54,Resumen_Base!$Y$8:$Y$287)</f>
        <v>0</v>
      </c>
      <c r="C54" s="591" t="s">
        <v>425</v>
      </c>
      <c r="D54" s="567" t="s">
        <v>432</v>
      </c>
      <c r="E54" s="546"/>
      <c r="F54" s="547">
        <v>24300</v>
      </c>
      <c r="G54" s="547">
        <f ca="1">IF(C54="Acumulado",IF(H54&gt;F54,F54,H54),IF(C54="BN",+(F54/$F$8*$G$8),"VER"))</f>
        <v>3.8</v>
      </c>
      <c r="H54" s="547">
        <f ca="1">+SUMIF(Resumen_Base!$A$28:$A$91,'Budget Comparativo x BN'!D54,Resumen_Base!$Y$28:$Y$91)</f>
        <v>3.8</v>
      </c>
      <c r="I54" s="547">
        <f t="shared" ca="1" si="49"/>
        <v>0</v>
      </c>
      <c r="J54" s="622"/>
      <c r="K54" s="650">
        <f ca="1">IF(ROUND(H54,0)=0,0,IF(F54=0,0,+H54/F54))</f>
        <v>1.5637860082304527E-4</v>
      </c>
      <c r="L54" s="547">
        <v>24300</v>
      </c>
      <c r="M54" s="547">
        <f ca="1">IF(C54="Acumulado",IF(N54&gt;L54,L54,N54),IF(C54="BN",+(L54/$L$8*$M$8),"VER"))</f>
        <v>0</v>
      </c>
      <c r="N54" s="547">
        <f ca="1">+SUMIF(Resumen_Base!$A$94:$A$156,'Budget Comparativo x BN'!D54,Resumen_Base!$Y$94:$Y$156)</f>
        <v>0</v>
      </c>
      <c r="O54" s="547">
        <f t="shared" ca="1" si="50"/>
        <v>0</v>
      </c>
      <c r="P54" s="622"/>
      <c r="Q54" s="650">
        <f ca="1">IF(ROUND(N54,0)=0,0,IF(L54=0,0,+N54/L54))</f>
        <v>0</v>
      </c>
      <c r="R54" s="547">
        <v>40500</v>
      </c>
      <c r="S54" s="547">
        <f ca="1">IF(C54="Acumulado",IF(T54&gt;R54,R54,T54),IF(C54="BN",+(R54/$R$8*$S$8),"VER"))</f>
        <v>1161.25</v>
      </c>
      <c r="T54" s="547">
        <f ca="1">SUMIF(Resumen_Base!$A$221:$A$287,'Budget Comparativo x BN'!D54,Resumen_Base!$Y$221:$Y$287)</f>
        <v>1161.25</v>
      </c>
      <c r="U54" s="547">
        <f t="shared" ca="1" si="51"/>
        <v>0</v>
      </c>
      <c r="V54" s="547"/>
      <c r="W54" s="650">
        <f ca="1">IF(ROUND(T54,0)=0,0,IF(R54=0,0,+T54/R54))</f>
        <v>2.8672839506172838E-2</v>
      </c>
      <c r="X54" s="547">
        <f t="shared" si="53"/>
        <v>89100</v>
      </c>
      <c r="Y54" s="547">
        <f t="shared" ca="1" si="53"/>
        <v>1165.05</v>
      </c>
      <c r="Z54" s="547">
        <f t="shared" ca="1" si="53"/>
        <v>1165.05</v>
      </c>
      <c r="AA54" s="547">
        <f t="shared" ca="1" si="52"/>
        <v>0</v>
      </c>
      <c r="AB54" s="571"/>
      <c r="AC54" s="650">
        <f ca="1">IF(ROUND(Z54,0)=0,0,IF(X54=0,0,+Z54/X54))</f>
        <v>1.3075757575757576E-2</v>
      </c>
      <c r="AD54" s="546"/>
      <c r="AE54" s="548"/>
      <c r="AF54" s="597">
        <v>120211</v>
      </c>
      <c r="AG54" s="597"/>
      <c r="AH54" s="597"/>
      <c r="AI54" s="597"/>
      <c r="AJ54" s="597"/>
      <c r="AK54" s="597"/>
      <c r="AL54" s="597"/>
      <c r="AM54" s="597"/>
      <c r="AN54" s="597"/>
      <c r="AO54" s="597"/>
      <c r="AQ54" s="36">
        <f>+F54/$AQ$8</f>
        <v>77.142857142857139</v>
      </c>
      <c r="AR54" s="36">
        <f ca="1">+H54/$AR$8</f>
        <v>3.8775510204081633E-2</v>
      </c>
      <c r="AS54" s="547">
        <f ca="1">+AQ54-AR54</f>
        <v>77.104081632653063</v>
      </c>
      <c r="AU54" s="36">
        <f>+L54/$AU$8</f>
        <v>85.263157894736835</v>
      </c>
      <c r="AV54" s="36">
        <f ca="1">+N54/$N$8</f>
        <v>0</v>
      </c>
      <c r="AW54" s="547">
        <f ca="1">+AU54-AV54</f>
        <v>85.263157894736835</v>
      </c>
      <c r="AY54" s="36">
        <f>+R54/$AY$8</f>
        <v>40.5</v>
      </c>
      <c r="AZ54" s="36">
        <f ca="1">+T54/$AZ$8</f>
        <v>2.3844969199178645</v>
      </c>
      <c r="BA54" s="547">
        <f ca="1">+AY54-AZ54</f>
        <v>38.115503080082135</v>
      </c>
    </row>
    <row r="55" spans="1:53" s="568" customFormat="1" ht="79.5" customHeight="1">
      <c r="C55" s="591" t="s">
        <v>425</v>
      </c>
      <c r="D55" s="567" t="s">
        <v>433</v>
      </c>
      <c r="E55" s="546"/>
      <c r="F55" s="547">
        <v>61000</v>
      </c>
      <c r="G55" s="547">
        <f ca="1">IF(C55="Acumulado",IF(H55&gt;F55,F55,H55),IF(C55="BN",+(F55/$F$8*$G$8),"VER"))</f>
        <v>7699.687623870791</v>
      </c>
      <c r="H55" s="547">
        <f ca="1">+SUMIF(Resumen_Base!$A$28:$A$91,'Budget Comparativo x BN'!D55,Resumen_Base!$Y$28:$Y$91)</f>
        <v>7699.687623870791</v>
      </c>
      <c r="I55" s="547">
        <f t="shared" ca="1" si="49"/>
        <v>0</v>
      </c>
      <c r="J55" s="622" t="s">
        <v>753</v>
      </c>
      <c r="K55" s="650">
        <f ca="1">IF(ROUND(H55,0)=0,0,IF(F55=0,0,+H55/F55))</f>
        <v>0.12622438727657034</v>
      </c>
      <c r="L55" s="547">
        <v>28000</v>
      </c>
      <c r="M55" s="547">
        <f ca="1">IF(C55="Acumulado",IF(N55&gt;L55,L55,N55),IF(C55="BN",+(L55/$L$8*$M$8),"VER"))</f>
        <v>28000</v>
      </c>
      <c r="N55" s="547">
        <f ca="1">+SUMIF(Resumen_Base!$A$94:$A$156,'Budget Comparativo x BN'!D55,Resumen_Base!$Y$94:$Y$156)</f>
        <v>32132.098398576512</v>
      </c>
      <c r="O55" s="547">
        <f t="shared" ca="1" si="50"/>
        <v>-4132.0983985765124</v>
      </c>
      <c r="P55" s="622" t="s">
        <v>759</v>
      </c>
      <c r="Q55" s="650">
        <f ca="1">IF(ROUND(N55,0)=0,0,IF(L55=0,0,+N55/L55))</f>
        <v>1.147574942806304</v>
      </c>
      <c r="R55" s="547">
        <v>25000</v>
      </c>
      <c r="S55" s="547">
        <f ca="1">IF(C55="Acumulado",IF(T55&gt;R55,R55,T55),IF(C55="BN",+(R55/$R$8*$S$8),"VER"))</f>
        <v>-36887.10400245872</v>
      </c>
      <c r="T55" s="547">
        <f ca="1">SUMIF(Resumen_Base!$A$221:$A$287,'Budget Comparativo x BN'!D55,Resumen_Base!$Y$221:$Y$287)</f>
        <v>-36887.10400245872</v>
      </c>
      <c r="U55" s="547">
        <f t="shared" ca="1" si="51"/>
        <v>0</v>
      </c>
      <c r="V55" s="547"/>
      <c r="W55" s="650">
        <f ca="1">IF(ROUND(T55,0)=0,0,IF(R55=0,0,+T55/R55))</f>
        <v>-1.4754841600983488</v>
      </c>
      <c r="X55" s="547">
        <f t="shared" si="53"/>
        <v>114000</v>
      </c>
      <c r="Y55" s="547">
        <f t="shared" ca="1" si="53"/>
        <v>-1187.4163785879282</v>
      </c>
      <c r="Z55" s="547">
        <f t="shared" ca="1" si="53"/>
        <v>2944.6820199885842</v>
      </c>
      <c r="AA55" s="547">
        <f t="shared" ca="1" si="52"/>
        <v>-4132.0983985765124</v>
      </c>
      <c r="AB55" s="622"/>
      <c r="AC55" s="650">
        <f ca="1">IF(ROUND(Z55,0)=0,0,IF(X55=0,0,+Z55/X55))</f>
        <v>2.5830544034987579E-2</v>
      </c>
      <c r="AD55" s="546"/>
      <c r="AE55" s="548">
        <v>0</v>
      </c>
      <c r="AF55" s="597">
        <v>12020103</v>
      </c>
      <c r="AG55" s="597">
        <v>12020105</v>
      </c>
      <c r="AH55" s="597">
        <v>12020201</v>
      </c>
      <c r="AI55" s="597">
        <v>12020301</v>
      </c>
      <c r="AJ55" s="597">
        <v>12021001</v>
      </c>
      <c r="AK55" s="597">
        <v>12020501</v>
      </c>
      <c r="AL55" s="597">
        <v>12020601</v>
      </c>
      <c r="AM55" s="597">
        <v>12020901</v>
      </c>
      <c r="AN55" s="597"/>
      <c r="AO55" s="597"/>
      <c r="AQ55" s="36">
        <f>+F55/$AQ$8</f>
        <v>193.65079365079364</v>
      </c>
      <c r="AR55" s="36">
        <f ca="1">+H55/$AR$8</f>
        <v>78.568241059906029</v>
      </c>
      <c r="AS55" s="547">
        <f ca="1">+AQ55-AR55</f>
        <v>115.08255259088762</v>
      </c>
      <c r="AU55" s="36">
        <f>+L55/$AU$8</f>
        <v>98.245614035087726</v>
      </c>
      <c r="AV55" s="36">
        <f ca="1">+N55/$N$8</f>
        <v>267.76748665480426</v>
      </c>
      <c r="AW55" s="547">
        <f ca="1">+AU55-AV55</f>
        <v>-169.52187261971653</v>
      </c>
      <c r="AY55" s="36">
        <f>+R55/$AY$8</f>
        <v>25</v>
      </c>
      <c r="AZ55" s="36">
        <f ca="1">+T55/$AZ$8</f>
        <v>-75.743540046116465</v>
      </c>
      <c r="BA55" s="547">
        <f ca="1">+AY55-AZ55</f>
        <v>100.74354004611646</v>
      </c>
    </row>
    <row r="56" spans="1:53" s="568" customFormat="1" ht="13.5" thickBot="1">
      <c r="A56" s="568">
        <f ca="1">IF(ROUND(B56,0)=0,0,1)</f>
        <v>0</v>
      </c>
      <c r="B56" s="568">
        <f ca="1">+Z56-SUMIF(Resumen_Base!$A$8:$A$287,'Budget Comparativo x BN'!D56,Resumen_Base!$Y$8:$Y$287)</f>
        <v>0</v>
      </c>
      <c r="C56" s="591" t="s">
        <v>425</v>
      </c>
      <c r="D56" s="567" t="s">
        <v>434</v>
      </c>
      <c r="E56" s="546"/>
      <c r="F56" s="547">
        <v>0</v>
      </c>
      <c r="G56" s="547">
        <f ca="1">IF(C56="Acumulado",IF(H56&gt;F56,F56,H56),IF(C56="BN",+(F56/$F$8*$G$8),"VER"))</f>
        <v>0</v>
      </c>
      <c r="H56" s="547">
        <f ca="1">+SUMIF(Resumen_Base!$A$28:$A$91,'Budget Comparativo x BN'!D56,Resumen_Base!$Y$28:$Y$91)</f>
        <v>0</v>
      </c>
      <c r="I56" s="547">
        <f t="shared" ca="1" si="49"/>
        <v>0</v>
      </c>
      <c r="J56" s="677"/>
      <c r="K56" s="650">
        <f ca="1">IF(ROUND(H56,0)=0,0,IF(F56=0,0,+H56/F56))</f>
        <v>0</v>
      </c>
      <c r="L56" s="547">
        <v>0</v>
      </c>
      <c r="M56" s="547">
        <f>IF(C56="Acumulado",IF(N56&gt;L56,L56,N56),IF(C56="BN",+(L56/$L$8*$M$8),"VER"))</f>
        <v>0</v>
      </c>
      <c r="N56" s="547">
        <f>+SUMIF(Resumen_Base!$A$94:$A$156,'Budget Comparativo x BN'!D56,Resumen_Base!$Y$94:$Y$156)</f>
        <v>0</v>
      </c>
      <c r="O56" s="547">
        <f t="shared" si="50"/>
        <v>0</v>
      </c>
      <c r="P56" s="677"/>
      <c r="Q56" s="650">
        <f>IF(ROUND(N56,0)=0,0,IF(L56=0,0,+N56/L56))</f>
        <v>0</v>
      </c>
      <c r="R56" s="547">
        <v>0</v>
      </c>
      <c r="S56" s="547">
        <f>IF(C56="Acumulado",IF(T56&gt;R56,R56,T56),IF(C56="BN",+(R56/$R$8*$S$8),"VER"))</f>
        <v>0</v>
      </c>
      <c r="T56" s="547">
        <f>SUMIF(Resumen_Base!$A$221:$A$287,'Budget Comparativo x BN'!D56,Resumen_Base!$Y$221:$Y$287)</f>
        <v>0</v>
      </c>
      <c r="U56" s="547">
        <f t="shared" si="51"/>
        <v>0</v>
      </c>
      <c r="V56" s="547"/>
      <c r="W56" s="650">
        <f>IF(ROUND(T56,0)=0,0,IF(R56=0,0,+T56/R56))</f>
        <v>0</v>
      </c>
      <c r="X56" s="547">
        <f t="shared" si="53"/>
        <v>0</v>
      </c>
      <c r="Y56" s="547">
        <f t="shared" ca="1" si="53"/>
        <v>0</v>
      </c>
      <c r="Z56" s="547">
        <f t="shared" ca="1" si="53"/>
        <v>0</v>
      </c>
      <c r="AA56" s="547">
        <f t="shared" ca="1" si="52"/>
        <v>0</v>
      </c>
      <c r="AB56" s="678"/>
      <c r="AC56" s="650">
        <f ca="1">IF(ROUND(Z56,0)=0,0,IF(X56=0,0,+Z56/X56))</f>
        <v>0</v>
      </c>
      <c r="AD56" s="546"/>
      <c r="AE56" s="548"/>
      <c r="AF56" s="597">
        <v>7102</v>
      </c>
      <c r="AG56" s="597"/>
      <c r="AH56" s="597"/>
      <c r="AI56" s="597"/>
      <c r="AJ56" s="597"/>
      <c r="AK56" s="597"/>
      <c r="AL56" s="597"/>
      <c r="AM56" s="597"/>
      <c r="AN56" s="597"/>
      <c r="AO56" s="597"/>
      <c r="AQ56" s="36">
        <f>+F56/$AQ$8</f>
        <v>0</v>
      </c>
      <c r="AR56" s="36">
        <f ca="1">+H56/$AR$8</f>
        <v>0</v>
      </c>
      <c r="AS56" s="547">
        <f ca="1">+AQ56-AR56</f>
        <v>0</v>
      </c>
      <c r="AU56" s="36">
        <f>+L56/$AU$8</f>
        <v>0</v>
      </c>
      <c r="AV56" s="36">
        <f>+N56/$N$8</f>
        <v>0</v>
      </c>
      <c r="AW56" s="547">
        <f>+AU56-AV56</f>
        <v>0</v>
      </c>
      <c r="AY56" s="36">
        <f>+R56/$AY$8</f>
        <v>0</v>
      </c>
      <c r="AZ56" s="36">
        <f>+T56/$AZ$8</f>
        <v>0</v>
      </c>
      <c r="BA56" s="547">
        <f>+AY56-AZ56</f>
        <v>0</v>
      </c>
    </row>
    <row r="57" spans="1:53" s="568" customFormat="1" ht="13.5" thickBot="1">
      <c r="C57" s="591"/>
      <c r="D57" s="582" t="s">
        <v>435</v>
      </c>
      <c r="E57" s="546"/>
      <c r="F57" s="583">
        <f>+SUM(F53:F56)</f>
        <v>102300</v>
      </c>
      <c r="G57" s="583">
        <f ca="1">+SUM(G53:G56)</f>
        <v>7703.4876238707911</v>
      </c>
      <c r="H57" s="583">
        <f ca="1">+SUM(H53:H56)</f>
        <v>7703.4876238707911</v>
      </c>
      <c r="I57" s="583">
        <f ca="1">+SUM(I53:I56)</f>
        <v>0</v>
      </c>
      <c r="J57" s="663"/>
      <c r="K57" s="583"/>
      <c r="L57" s="583">
        <f>+SUM(L53:L56)</f>
        <v>52300</v>
      </c>
      <c r="M57" s="583">
        <f ca="1">+SUM(M53:M56)</f>
        <v>28000</v>
      </c>
      <c r="N57" s="583">
        <f ca="1">+SUM(N53:N56)</f>
        <v>32132.098398576512</v>
      </c>
      <c r="O57" s="583">
        <f ca="1">+SUM(O53:O56)</f>
        <v>-4132.0983985765124</v>
      </c>
      <c r="P57" s="663"/>
      <c r="Q57" s="583"/>
      <c r="R57" s="583">
        <f>+SUM(R53:R56)</f>
        <v>126490</v>
      </c>
      <c r="S57" s="583">
        <f ca="1">+SUM(S53:S56)</f>
        <v>-35725.85400245872</v>
      </c>
      <c r="T57" s="583">
        <f ca="1">+SUM(T53:T56)</f>
        <v>-35725.85400245872</v>
      </c>
      <c r="U57" s="583">
        <f ca="1">+SUM(U53:U56)</f>
        <v>0</v>
      </c>
      <c r="V57" s="583"/>
      <c r="W57" s="583"/>
      <c r="X57" s="583">
        <f>+SUM(X53:X56)</f>
        <v>281090</v>
      </c>
      <c r="Y57" s="583">
        <f ca="1">+SUM(Y53:Y56)</f>
        <v>-22.366378587928239</v>
      </c>
      <c r="Z57" s="583">
        <f ca="1">+SUM(Z53:Z56)</f>
        <v>4109.7320199885844</v>
      </c>
      <c r="AA57" s="583">
        <f ca="1">+SUM(AA53:AA56)</f>
        <v>-4132.0983985765124</v>
      </c>
      <c r="AB57" s="583"/>
      <c r="AC57" s="583"/>
      <c r="AD57" s="546"/>
      <c r="AE57" s="548"/>
      <c r="AF57" s="597"/>
      <c r="AG57" s="597"/>
      <c r="AH57" s="597"/>
      <c r="AI57" s="597"/>
      <c r="AJ57" s="597"/>
      <c r="AK57" s="597"/>
      <c r="AL57" s="597"/>
      <c r="AM57" s="597"/>
      <c r="AN57" s="597"/>
      <c r="AO57" s="597"/>
      <c r="AQ57" s="583">
        <f>+SUM(AQ53:AQ56)</f>
        <v>324.76190476190476</v>
      </c>
      <c r="AR57" s="583">
        <f ca="1">+SUM(AR53:AR56)</f>
        <v>78.607016570110105</v>
      </c>
      <c r="AS57" s="583">
        <f ca="1">+SUM(AS53:AS56)</f>
        <v>246.15488819179464</v>
      </c>
      <c r="AU57" s="583">
        <f>+SUM(AU53:AU56)</f>
        <v>183.50877192982455</v>
      </c>
      <c r="AV57" s="583">
        <f ca="1">+SUM(AV53:AV56)</f>
        <v>267.76748665480426</v>
      </c>
      <c r="AW57" s="583">
        <f ca="1">+SUM(AW53:AW56)</f>
        <v>-84.258714724979697</v>
      </c>
      <c r="AY57" s="583">
        <f>+SUM(AY53:AY56)</f>
        <v>126.49000000000001</v>
      </c>
      <c r="AZ57" s="583">
        <f ca="1">+SUM(AZ53:AZ56)</f>
        <v>-73.3590431261986</v>
      </c>
      <c r="BA57" s="583">
        <f ca="1">+SUM(BA53:BA56)</f>
        <v>199.84904312619861</v>
      </c>
    </row>
    <row r="58" spans="1:53" s="49" customFormat="1" ht="12.5">
      <c r="C58" s="586"/>
      <c r="D58" s="536"/>
      <c r="E58" s="88"/>
      <c r="J58" s="98"/>
      <c r="P58" s="98"/>
      <c r="Z58" s="318">
        <f ca="1">+Z57-T57-N57-H57</f>
        <v>0</v>
      </c>
      <c r="AD58" s="88"/>
      <c r="AE58" s="88"/>
      <c r="AF58" s="568"/>
      <c r="AG58" s="568"/>
      <c r="AH58" s="568"/>
      <c r="AI58" s="568"/>
      <c r="AJ58" s="568"/>
      <c r="AK58" s="568"/>
      <c r="AL58" s="568"/>
      <c r="AM58" s="568"/>
      <c r="AN58" s="568"/>
      <c r="AO58" s="568"/>
      <c r="AQ58" s="364"/>
      <c r="AR58" s="364"/>
      <c r="AS58" s="364"/>
    </row>
    <row r="59" spans="1:53">
      <c r="AC59" s="16"/>
      <c r="AF59" s="568"/>
      <c r="AG59" s="568"/>
      <c r="AH59" s="568"/>
      <c r="AI59" s="568"/>
      <c r="AJ59" s="568"/>
      <c r="AK59" s="568"/>
      <c r="AL59" s="568"/>
      <c r="AM59" s="568"/>
      <c r="AN59" s="568"/>
      <c r="AO59" s="568"/>
      <c r="AQ59" s="364"/>
      <c r="AR59" s="364"/>
      <c r="AS59" s="364"/>
      <c r="AU59" s="177">
        <f>+L51/L8-AU51</f>
        <v>0</v>
      </c>
      <c r="AV59" s="177">
        <f ca="1">+N51/N8-AV51</f>
        <v>0</v>
      </c>
      <c r="AY59" s="177">
        <f>+R51/R8-AY51</f>
        <v>0</v>
      </c>
      <c r="AZ59" s="16">
        <f ca="1">+T51/T8-AZ51</f>
        <v>0</v>
      </c>
    </row>
    <row r="60" spans="1:53" s="364" customFormat="1">
      <c r="C60" s="595"/>
      <c r="D60" s="584" t="s">
        <v>426</v>
      </c>
      <c r="E60" s="363"/>
      <c r="F60" s="596">
        <v>450158</v>
      </c>
      <c r="H60" s="596">
        <f ca="1">+H57+H51-H18</f>
        <v>155100.16138703632</v>
      </c>
      <c r="J60" s="366"/>
      <c r="L60" s="596">
        <v>355843</v>
      </c>
      <c r="N60" s="596">
        <f ca="1">+N57+N51-N18</f>
        <v>45173.418092340311</v>
      </c>
      <c r="P60" s="366"/>
      <c r="R60" s="596">
        <v>824060</v>
      </c>
      <c r="T60" s="596">
        <f ca="1">+T57+T51-T18</f>
        <v>371672.24994909432</v>
      </c>
      <c r="X60" s="596">
        <v>1630061</v>
      </c>
      <c r="Z60" s="596">
        <f ca="1">+Z57+Z51-Z18</f>
        <v>571945.82942847116</v>
      </c>
      <c r="AD60" s="363"/>
      <c r="AE60" s="363"/>
      <c r="AF60" s="568"/>
      <c r="AG60" s="568"/>
      <c r="AH60" s="568"/>
      <c r="AI60" s="568"/>
      <c r="AJ60" s="568"/>
      <c r="AK60" s="568"/>
      <c r="AL60" s="568"/>
      <c r="AM60" s="568"/>
      <c r="AN60" s="568"/>
      <c r="AO60" s="568"/>
      <c r="AQ60" s="596">
        <f>+F57/F8-AQ57</f>
        <v>0</v>
      </c>
      <c r="AR60" s="596">
        <f ca="1">+H57/H8-AR57</f>
        <v>0</v>
      </c>
      <c r="AU60" s="596">
        <f>+L57/L8-AU57</f>
        <v>0</v>
      </c>
      <c r="AV60" s="596">
        <f ca="1">+N57/N8-AV57</f>
        <v>0</v>
      </c>
      <c r="AY60" s="596">
        <f>+R57/R8-AY57</f>
        <v>0</v>
      </c>
      <c r="AZ60" s="364">
        <f ca="1">+T57/T8-AZ57</f>
        <v>0</v>
      </c>
    </row>
    <row r="61" spans="1:53" ht="12.5">
      <c r="C61" s="595"/>
      <c r="D61" s="95" t="s">
        <v>21</v>
      </c>
      <c r="E61" s="16"/>
      <c r="F61" s="177">
        <f>+F18+F51+F57-F60</f>
        <v>0</v>
      </c>
      <c r="H61" s="177">
        <f ca="1">+H60-Resumen_Base!Y28-'Stock - Deudas'!F19</f>
        <v>-848.83861296367832</v>
      </c>
      <c r="L61" s="177">
        <f>+L18+L51+L57-L60</f>
        <v>0</v>
      </c>
      <c r="N61" s="177">
        <f ca="1">+N60-Resumen_Base!Y93-'Stock - Deudas'!L19</f>
        <v>11584.418092340311</v>
      </c>
      <c r="R61" s="177">
        <f>+R18+R51+R57-R60</f>
        <v>0</v>
      </c>
      <c r="T61" s="177">
        <f ca="1">+T60-Resumen_Base!Y220-'Stock - Deudas'!L33</f>
        <v>-10734.702800905685</v>
      </c>
      <c r="X61" s="177">
        <f>+X18+X51+X57-X60</f>
        <v>0</v>
      </c>
      <c r="Z61" s="177">
        <f ca="1">+Z60-Resumen_Base!Y2-'Stock - Deudas'!C2</f>
        <v>-5.2750692702829838E-10</v>
      </c>
      <c r="AC61" s="16"/>
      <c r="AD61" s="16"/>
      <c r="AE61" s="16"/>
      <c r="AF61" s="568"/>
      <c r="AG61" s="568"/>
      <c r="AH61" s="568"/>
      <c r="AI61" s="568"/>
      <c r="AJ61" s="568"/>
      <c r="AK61" s="568"/>
      <c r="AL61" s="568"/>
      <c r="AM61" s="568"/>
      <c r="AN61" s="568"/>
      <c r="AO61" s="568"/>
    </row>
    <row r="63" spans="1:53">
      <c r="Z63" s="177">
        <f ca="1">-Z18+Z51+Z57</f>
        <v>571945.82942847116</v>
      </c>
    </row>
  </sheetData>
  <autoFilter ref="A7:AD61"/>
  <mergeCells count="8">
    <mergeCell ref="F5:AC5"/>
    <mergeCell ref="AQ5:AS5"/>
    <mergeCell ref="AU5:AW5"/>
    <mergeCell ref="AY5:BA5"/>
    <mergeCell ref="F6:AC6"/>
    <mergeCell ref="AQ6:AS6"/>
    <mergeCell ref="AU6:AW6"/>
    <mergeCell ref="AY6:BA6"/>
  </mergeCells>
  <conditionalFormatting sqref="D5">
    <cfRule type="cellIs" dxfId="83" priority="43" stopIfTrue="1" operator="notEqual">
      <formula>"ok"</formula>
    </cfRule>
  </conditionalFormatting>
  <conditionalFormatting sqref="I14:I16">
    <cfRule type="cellIs" dxfId="82" priority="19" operator="lessThan">
      <formula>0</formula>
    </cfRule>
  </conditionalFormatting>
  <conditionalFormatting sqref="I23:I57">
    <cfRule type="cellIs" dxfId="81" priority="26" operator="lessThan">
      <formula>0</formula>
    </cfRule>
  </conditionalFormatting>
  <conditionalFormatting sqref="K24:K31">
    <cfRule type="cellIs" dxfId="80" priority="31" operator="greaterThan">
      <formula>$AC$10</formula>
    </cfRule>
  </conditionalFormatting>
  <conditionalFormatting sqref="K38:K41">
    <cfRule type="cellIs" dxfId="79" priority="30" operator="greaterThan">
      <formula>$AC$10</formula>
    </cfRule>
  </conditionalFormatting>
  <conditionalFormatting sqref="K43:K49">
    <cfRule type="cellIs" dxfId="78" priority="29" operator="greaterThan">
      <formula>$AC$10</formula>
    </cfRule>
  </conditionalFormatting>
  <conditionalFormatting sqref="K53:K56">
    <cfRule type="cellIs" dxfId="77" priority="28" operator="greaterThan">
      <formula>$AC$10</formula>
    </cfRule>
  </conditionalFormatting>
  <conditionalFormatting sqref="O14:O16">
    <cfRule type="cellIs" dxfId="76" priority="20" operator="lessThan">
      <formula>0</formula>
    </cfRule>
  </conditionalFormatting>
  <conditionalFormatting sqref="O23:O57">
    <cfRule type="cellIs" dxfId="75" priority="25" operator="lessThan">
      <formula>0</formula>
    </cfRule>
  </conditionalFormatting>
  <conditionalFormatting sqref="Q24:Q31">
    <cfRule type="cellIs" dxfId="74" priority="27" operator="greaterThan">
      <formula>$AC$10</formula>
    </cfRule>
  </conditionalFormatting>
  <conditionalFormatting sqref="Q38:Q41">
    <cfRule type="cellIs" dxfId="73" priority="34" operator="greaterThan">
      <formula>$AC$10</formula>
    </cfRule>
  </conditionalFormatting>
  <conditionalFormatting sqref="Q43:Q49">
    <cfRule type="cellIs" dxfId="72" priority="33" operator="greaterThan">
      <formula>$AC$10</formula>
    </cfRule>
  </conditionalFormatting>
  <conditionalFormatting sqref="Q53:Q56">
    <cfRule type="cellIs" dxfId="71" priority="32" operator="greaterThan">
      <formula>$AC$10</formula>
    </cfRule>
  </conditionalFormatting>
  <conditionalFormatting sqref="U14:U16">
    <cfRule type="cellIs" dxfId="70" priority="21" operator="lessThan">
      <formula>0</formula>
    </cfRule>
  </conditionalFormatting>
  <conditionalFormatting sqref="U23:U57">
    <cfRule type="cellIs" dxfId="69" priority="24" operator="lessThan">
      <formula>0</formula>
    </cfRule>
  </conditionalFormatting>
  <conditionalFormatting sqref="W24:W31">
    <cfRule type="cellIs" dxfId="68" priority="38" operator="greaterThan">
      <formula>$AC$10</formula>
    </cfRule>
  </conditionalFormatting>
  <conditionalFormatting sqref="W38:W41">
    <cfRule type="cellIs" dxfId="67" priority="37" operator="greaterThan">
      <formula>$AC$10</formula>
    </cfRule>
  </conditionalFormatting>
  <conditionalFormatting sqref="W43:W49">
    <cfRule type="cellIs" dxfId="66" priority="36" operator="greaterThan">
      <formula>$AC$10</formula>
    </cfRule>
  </conditionalFormatting>
  <conditionalFormatting sqref="W53:W56">
    <cfRule type="cellIs" dxfId="65" priority="35" operator="greaterThan">
      <formula>$AC$10</formula>
    </cfRule>
  </conditionalFormatting>
  <conditionalFormatting sqref="AA14:AA16">
    <cfRule type="cellIs" dxfId="64" priority="22" operator="lessThan">
      <formula>0</formula>
    </cfRule>
  </conditionalFormatting>
  <conditionalFormatting sqref="AA23:AA57">
    <cfRule type="cellIs" dxfId="63" priority="23" operator="lessThan">
      <formula>0</formula>
    </cfRule>
  </conditionalFormatting>
  <conditionalFormatting sqref="AC24:AC31">
    <cfRule type="cellIs" dxfId="62" priority="42" operator="greaterThan">
      <formula>$AC$10</formula>
    </cfRule>
  </conditionalFormatting>
  <conditionalFormatting sqref="AC38:AC41">
    <cfRule type="cellIs" dxfId="61" priority="41" operator="greaterThan">
      <formula>$AC$10</formula>
    </cfRule>
  </conditionalFormatting>
  <conditionalFormatting sqref="AC43:AC49">
    <cfRule type="cellIs" dxfId="60" priority="40" operator="greaterThan">
      <formula>$AC$10</formula>
    </cfRule>
  </conditionalFormatting>
  <conditionalFormatting sqref="AC53:AC56">
    <cfRule type="cellIs" dxfId="59" priority="39" operator="greaterThan">
      <formula>$AC$10</formula>
    </cfRule>
  </conditionalFormatting>
  <conditionalFormatting sqref="AS14:AS16">
    <cfRule type="cellIs" dxfId="58" priority="18" operator="lessThan">
      <formula>0</formula>
    </cfRule>
  </conditionalFormatting>
  <conditionalFormatting sqref="AS24:AS26">
    <cfRule type="cellIs" dxfId="57" priority="17" operator="lessThan">
      <formula>0</formula>
    </cfRule>
  </conditionalFormatting>
  <conditionalFormatting sqref="AS28:AS33">
    <cfRule type="cellIs" dxfId="56" priority="16" operator="lessThan">
      <formula>0</formula>
    </cfRule>
  </conditionalFormatting>
  <conditionalFormatting sqref="AS35:AS41">
    <cfRule type="cellIs" dxfId="55" priority="15" operator="lessThan">
      <formula>0</formula>
    </cfRule>
  </conditionalFormatting>
  <conditionalFormatting sqref="AS43:AS50">
    <cfRule type="cellIs" dxfId="54" priority="14" operator="lessThan">
      <formula>0</formula>
    </cfRule>
  </conditionalFormatting>
  <conditionalFormatting sqref="AS52:AS56">
    <cfRule type="cellIs" dxfId="53" priority="13" operator="lessThan">
      <formula>0</formula>
    </cfRule>
  </conditionalFormatting>
  <conditionalFormatting sqref="AW14:AW16">
    <cfRule type="cellIs" dxfId="52" priority="12" operator="lessThan">
      <formula>0</formula>
    </cfRule>
  </conditionalFormatting>
  <conditionalFormatting sqref="AW24:AW26">
    <cfRule type="cellIs" dxfId="51" priority="11" operator="lessThan">
      <formula>0</formula>
    </cfRule>
  </conditionalFormatting>
  <conditionalFormatting sqref="AW28:AW33">
    <cfRule type="cellIs" dxfId="50" priority="10" operator="lessThan">
      <formula>0</formula>
    </cfRule>
  </conditionalFormatting>
  <conditionalFormatting sqref="AW35:AW41">
    <cfRule type="cellIs" dxfId="49" priority="9" operator="lessThan">
      <formula>0</formula>
    </cfRule>
  </conditionalFormatting>
  <conditionalFormatting sqref="AW43:AW50">
    <cfRule type="cellIs" dxfId="48" priority="8" operator="lessThan">
      <formula>0</formula>
    </cfRule>
  </conditionalFormatting>
  <conditionalFormatting sqref="AW52:AW56">
    <cfRule type="cellIs" dxfId="47" priority="7" operator="lessThan">
      <formula>0</formula>
    </cfRule>
  </conditionalFormatting>
  <conditionalFormatting sqref="BA14:BA16">
    <cfRule type="cellIs" dxfId="46" priority="6" operator="lessThan">
      <formula>0</formula>
    </cfRule>
  </conditionalFormatting>
  <conditionalFormatting sqref="BA24:BA26">
    <cfRule type="cellIs" dxfId="45" priority="5" operator="lessThan">
      <formula>0</formula>
    </cfRule>
  </conditionalFormatting>
  <conditionalFormatting sqref="BA28:BA33">
    <cfRule type="cellIs" dxfId="44" priority="4" operator="lessThan">
      <formula>0</formula>
    </cfRule>
  </conditionalFormatting>
  <conditionalFormatting sqref="BA35:BA41">
    <cfRule type="cellIs" dxfId="43" priority="3" operator="lessThan">
      <formula>0</formula>
    </cfRule>
  </conditionalFormatting>
  <conditionalFormatting sqref="BA43:BA50">
    <cfRule type="cellIs" dxfId="42" priority="2" operator="lessThan">
      <formula>0</formula>
    </cfRule>
  </conditionalFormatting>
  <conditionalFormatting sqref="BA52:BA56">
    <cfRule type="cellIs" dxfId="41" priority="1" operator="lessThan">
      <formula>0</formula>
    </cfRule>
  </conditionalFormatting>
  <printOptions horizontalCentered="1"/>
  <pageMargins left="0" right="0" top="0" bottom="0" header="0" footer="0"/>
  <pageSetup scale="44" orientation="landscape" horizontalDpi="300" r:id="rId1"/>
  <headerFooter alignWithMargins="0"/>
  <colBreaks count="1" manualBreakCount="1">
    <brk id="30" min="1" max="57" man="1"/>
  </colBreaks>
</worksheet>
</file>

<file path=xl/worksheets/sheet30.xml><?xml version="1.0" encoding="utf-8"?>
<worksheet xmlns="http://schemas.openxmlformats.org/spreadsheetml/2006/main" xmlns:r="http://schemas.openxmlformats.org/officeDocument/2006/relationships">
  <sheetPr codeName="Sheet15">
    <pageSetUpPr fitToPage="1"/>
  </sheetPr>
  <dimension ref="A1:Z46"/>
  <sheetViews>
    <sheetView zoomScale="70" zoomScaleNormal="70" workbookViewId="0">
      <pane xSplit="2" ySplit="11" topLeftCell="C12" activePane="bottomRight" state="frozen"/>
      <selection activeCell="B2" sqref="B1:I2"/>
      <selection pane="topRight" activeCell="B2" sqref="B1:I2"/>
      <selection pane="bottomLeft" activeCell="B2" sqref="B1:I2"/>
      <selection pane="bottomRight" activeCell="F3" sqref="F3"/>
    </sheetView>
  </sheetViews>
  <sheetFormatPr baseColWidth="10" defaultColWidth="10.81640625" defaultRowHeight="15.5"/>
  <cols>
    <col min="1" max="1" width="1.453125" style="14" customWidth="1"/>
    <col min="2" max="2" width="47" style="14" bestFit="1" customWidth="1"/>
    <col min="3" max="3" width="1.453125" style="14" customWidth="1"/>
    <col min="4" max="4" width="11.453125" style="16" bestFit="1" customWidth="1"/>
    <col min="5" max="5" width="13.81640625" style="16" bestFit="1" customWidth="1"/>
    <col min="6" max="6" width="10.81640625" style="215" bestFit="1" customWidth="1"/>
    <col min="7" max="7" width="10.453125" style="14" bestFit="1" customWidth="1"/>
    <col min="8" max="8" width="11" style="14" bestFit="1" customWidth="1"/>
    <col min="9" max="9" width="13.81640625" style="157" bestFit="1" customWidth="1"/>
    <col min="10" max="10" width="10.1796875" style="16" bestFit="1" customWidth="1"/>
    <col min="11" max="11" width="18.453125" style="16" bestFit="1" customWidth="1"/>
    <col min="12" max="12" width="12.453125" style="14" customWidth="1"/>
    <col min="13" max="13" width="9.1796875" style="17" bestFit="1" customWidth="1"/>
    <col min="14" max="14" width="11" style="16" bestFit="1" customWidth="1"/>
    <col min="15" max="15" width="8.453125" style="16" bestFit="1" customWidth="1"/>
    <col min="16" max="16" width="9.1796875" style="16" bestFit="1" customWidth="1"/>
    <col min="17" max="17" width="9.453125" style="371" bestFit="1" customWidth="1"/>
    <col min="18" max="18" width="6.81640625" style="16" bestFit="1" customWidth="1"/>
    <col min="19" max="19" width="73" style="95" bestFit="1" customWidth="1"/>
    <col min="20" max="20" width="12.81640625" style="16" bestFit="1" customWidth="1"/>
    <col min="21" max="21" width="13.453125" style="16" bestFit="1" customWidth="1"/>
    <col min="22" max="22" width="9.1796875" style="16" bestFit="1" customWidth="1"/>
    <col min="23" max="23" width="8.453125" style="16" bestFit="1" customWidth="1"/>
    <col min="24" max="24" width="6.1796875" style="16" bestFit="1" customWidth="1"/>
    <col min="25" max="25" width="10.1796875" style="16" bestFit="1" customWidth="1"/>
    <col min="26" max="26" width="6.81640625" style="16" bestFit="1" customWidth="1"/>
    <col min="27" max="27" width="8.453125" style="16" bestFit="1" customWidth="1"/>
    <col min="28" max="16384" width="10.81640625" style="16"/>
  </cols>
  <sheetData>
    <row r="1" spans="1:26">
      <c r="B1" s="18" t="s">
        <v>86</v>
      </c>
      <c r="D1" s="16" t="s">
        <v>87</v>
      </c>
      <c r="F1" s="408"/>
      <c r="I1" s="406"/>
      <c r="N1" s="16" t="s">
        <v>87</v>
      </c>
    </row>
    <row r="2" spans="1:26">
      <c r="A2" s="18"/>
      <c r="B2" s="115" t="s">
        <v>286</v>
      </c>
      <c r="C2" s="18"/>
      <c r="D2" s="18"/>
      <c r="E2" s="18"/>
      <c r="F2" s="18"/>
      <c r="G2" s="18"/>
      <c r="H2" s="18"/>
      <c r="I2" s="409"/>
      <c r="J2" s="18"/>
      <c r="K2" s="18"/>
      <c r="L2" s="18"/>
      <c r="N2" s="18"/>
      <c r="O2" s="20"/>
      <c r="P2" s="20"/>
      <c r="Q2" s="491"/>
    </row>
    <row r="3" spans="1:26" s="23" customFormat="1" ht="16" thickBot="1">
      <c r="A3" s="21"/>
      <c r="B3" s="20"/>
      <c r="C3" s="20"/>
      <c r="D3" s="20"/>
      <c r="E3" s="20"/>
      <c r="F3" s="410" t="str">
        <f ca="1">+F33</f>
        <v>Check</v>
      </c>
      <c r="G3" s="20"/>
      <c r="H3" s="405" t="str">
        <f>+H33</f>
        <v>Ok</v>
      </c>
      <c r="I3" s="411"/>
      <c r="J3" s="20"/>
      <c r="K3" s="20"/>
      <c r="L3" s="20"/>
      <c r="M3" s="412"/>
      <c r="N3" s="20"/>
      <c r="O3" s="413"/>
      <c r="P3" s="413"/>
      <c r="Q3" s="492"/>
      <c r="R3" s="413"/>
      <c r="S3" s="414"/>
    </row>
    <row r="4" spans="1:26" s="26" customFormat="1" ht="18.5" thickBot="1">
      <c r="A4" s="24"/>
      <c r="B4" s="119" t="str">
        <f>IF(L27+L31=0,"OK","Check")</f>
        <v>OK</v>
      </c>
      <c r="C4" s="18"/>
      <c r="D4" s="909" t="s">
        <v>90</v>
      </c>
      <c r="E4" s="909"/>
      <c r="F4" s="909"/>
      <c r="G4" s="18"/>
      <c r="H4" s="18"/>
      <c r="I4" s="18"/>
      <c r="J4" s="18"/>
      <c r="K4" s="18"/>
      <c r="L4" s="18"/>
      <c r="M4" s="17"/>
      <c r="N4" s="903" t="s">
        <v>91</v>
      </c>
      <c r="O4" s="904"/>
      <c r="P4" s="905"/>
      <c r="Q4" s="492"/>
      <c r="R4" s="16"/>
      <c r="S4" s="95"/>
      <c r="U4" s="220"/>
      <c r="V4" s="220"/>
    </row>
    <row r="5" spans="1:26" ht="14.5" thickBot="1">
      <c r="A5" s="27"/>
      <c r="B5" s="120" t="s">
        <v>89</v>
      </c>
      <c r="C5" s="27"/>
      <c r="D5" s="102"/>
      <c r="E5" s="93"/>
      <c r="F5" s="93"/>
      <c r="G5" s="27"/>
      <c r="H5" s="27"/>
      <c r="I5" s="27"/>
      <c r="J5" s="27"/>
      <c r="K5" s="27"/>
      <c r="L5" s="27"/>
      <c r="N5" s="906"/>
      <c r="O5" s="907"/>
      <c r="P5" s="908"/>
      <c r="Q5" s="492"/>
      <c r="U5" s="220"/>
      <c r="V5" s="220"/>
    </row>
    <row r="6" spans="1:26" ht="39.5" thickBot="1">
      <c r="A6" s="18"/>
      <c r="B6" s="194" t="s">
        <v>168</v>
      </c>
      <c r="C6" s="18"/>
      <c r="D6" s="32" t="s">
        <v>116</v>
      </c>
      <c r="E6" s="103" t="s">
        <v>117</v>
      </c>
      <c r="F6" s="32" t="s">
        <v>118</v>
      </c>
      <c r="G6" s="18"/>
      <c r="H6" s="415" t="s">
        <v>219</v>
      </c>
      <c r="I6" s="446" t="s">
        <v>247</v>
      </c>
      <c r="J6" s="32" t="s">
        <v>205</v>
      </c>
      <c r="K6" s="104" t="s">
        <v>206</v>
      </c>
      <c r="L6" s="18"/>
      <c r="N6" s="32" t="str">
        <f>+D6</f>
        <v>BUDGET
TOTAL</v>
      </c>
      <c r="O6" s="32" t="s">
        <v>118</v>
      </c>
      <c r="P6" s="32" t="s">
        <v>120</v>
      </c>
      <c r="Q6" s="493" t="s">
        <v>243</v>
      </c>
      <c r="U6" s="221"/>
    </row>
    <row r="7" spans="1:26">
      <c r="A7" s="33"/>
      <c r="B7" s="34" t="s">
        <v>95</v>
      </c>
      <c r="C7" s="33"/>
      <c r="D7" s="36">
        <f>+'Budget_Temp_2023-2024'!D7</f>
        <v>1925</v>
      </c>
      <c r="E7" s="94">
        <f>+F7</f>
        <v>195</v>
      </c>
      <c r="F7" s="416">
        <v>195</v>
      </c>
      <c r="G7" s="33"/>
      <c r="H7" s="417">
        <f>+F7</f>
        <v>195</v>
      </c>
      <c r="I7" s="447" t="e">
        <f>IF(K7=0,0,+K7/J7)</f>
        <v>#DIV/0!</v>
      </c>
      <c r="J7" s="418">
        <v>0</v>
      </c>
      <c r="K7" s="198">
        <f>+F7-J7</f>
        <v>195</v>
      </c>
      <c r="L7" s="421">
        <f>IF(D7=0,0,1-(+F7/D7))</f>
        <v>0.89870129870129867</v>
      </c>
      <c r="N7" s="36">
        <f>+D7</f>
        <v>1925</v>
      </c>
      <c r="O7" s="37">
        <f>+F7</f>
        <v>195</v>
      </c>
      <c r="P7" s="37"/>
      <c r="Q7" s="494">
        <v>0</v>
      </c>
      <c r="U7" s="214"/>
    </row>
    <row r="8" spans="1:26">
      <c r="A8" s="33"/>
      <c r="B8" s="34" t="s">
        <v>96</v>
      </c>
      <c r="C8" s="33"/>
      <c r="D8" s="36">
        <f>+'Budget_Temp_2023-2024'!D8</f>
        <v>642</v>
      </c>
      <c r="E8" s="94">
        <f>+F8</f>
        <v>70</v>
      </c>
      <c r="F8" s="416">
        <v>70</v>
      </c>
      <c r="G8" s="33"/>
      <c r="H8" s="417">
        <f>+F8</f>
        <v>70</v>
      </c>
      <c r="I8" s="420"/>
      <c r="J8" s="417">
        <v>0</v>
      </c>
      <c r="K8" s="37">
        <f>+F8-J8</f>
        <v>70</v>
      </c>
      <c r="L8" s="421">
        <f>IF(D8=0,0,1-(+F8/D8))</f>
        <v>0.8909657320872274</v>
      </c>
      <c r="N8" s="36">
        <f>+D8</f>
        <v>642</v>
      </c>
      <c r="O8" s="37">
        <f>+F8</f>
        <v>70</v>
      </c>
      <c r="P8" s="151">
        <f>+IF(N8=0,0,O8/N8)</f>
        <v>0.10903426791277258</v>
      </c>
      <c r="Q8" s="494">
        <v>0</v>
      </c>
      <c r="U8" s="214"/>
    </row>
    <row r="9" spans="1:26">
      <c r="A9" s="33"/>
      <c r="B9" s="34" t="s">
        <v>204</v>
      </c>
      <c r="C9" s="33"/>
      <c r="D9" s="36">
        <v>12</v>
      </c>
      <c r="E9" s="94">
        <f>+F9</f>
        <v>3</v>
      </c>
      <c r="F9" s="419">
        <v>3</v>
      </c>
      <c r="G9" s="33"/>
      <c r="H9" s="417">
        <f>+F9</f>
        <v>3</v>
      </c>
      <c r="I9" s="420"/>
      <c r="J9" s="101"/>
      <c r="K9" s="101"/>
      <c r="L9" s="421">
        <f>1-(+F9/D9)</f>
        <v>0.75</v>
      </c>
      <c r="N9" s="36">
        <f>+D9</f>
        <v>12</v>
      </c>
      <c r="O9" s="37">
        <f>+F9</f>
        <v>3</v>
      </c>
      <c r="P9" s="151">
        <f>+O9/N9</f>
        <v>0.25</v>
      </c>
      <c r="Q9" s="495">
        <f>+O9-1</f>
        <v>2</v>
      </c>
    </row>
    <row r="10" spans="1:26" ht="16" thickBot="1">
      <c r="A10" s="33"/>
      <c r="B10" s="34" t="s">
        <v>143</v>
      </c>
      <c r="C10" s="33"/>
      <c r="D10" s="149">
        <f>IF(D7=0,0,+D7/D8)</f>
        <v>2.9984423676012462</v>
      </c>
      <c r="E10" s="149">
        <f>IF(E7=0,0,+E7/E8)</f>
        <v>2.7857142857142856</v>
      </c>
      <c r="F10" s="149">
        <f>IF(F7=0,0,+F7/F8)</f>
        <v>2.7857142857142856</v>
      </c>
      <c r="G10" s="33"/>
      <c r="H10" s="422">
        <f>+F10</f>
        <v>2.7857142857142856</v>
      </c>
      <c r="I10" s="417"/>
      <c r="J10" s="37"/>
      <c r="K10" s="37"/>
      <c r="L10" s="33"/>
      <c r="N10" s="149">
        <f>IF(N7=0,0,+N7/N8)</f>
        <v>2.9984423676012462</v>
      </c>
      <c r="O10" s="149">
        <f>IF(O7=0,0,+O7/O8)</f>
        <v>2.7857142857142856</v>
      </c>
      <c r="P10" s="37"/>
      <c r="Q10" s="496">
        <f>IF(Q7=0,0,+Q7/Q8)</f>
        <v>0</v>
      </c>
    </row>
    <row r="11" spans="1:26" ht="47" thickBot="1">
      <c r="A11" s="18"/>
      <c r="B11" s="109" t="s">
        <v>97</v>
      </c>
      <c r="C11" s="18"/>
      <c r="D11" s="249" t="str">
        <f>+D6</f>
        <v>BUDGET
TOTAL</v>
      </c>
      <c r="E11" s="250" t="str">
        <f>+E6</f>
        <v>BUDGET
AJUSTADO</v>
      </c>
      <c r="F11" s="250" t="str">
        <f>+F6</f>
        <v>REAL</v>
      </c>
      <c r="G11" s="251" t="s">
        <v>213</v>
      </c>
      <c r="H11" s="423" t="s">
        <v>220</v>
      </c>
      <c r="I11" s="424" t="s">
        <v>257</v>
      </c>
      <c r="J11" s="250" t="s">
        <v>258</v>
      </c>
      <c r="K11" s="252" t="s">
        <v>253</v>
      </c>
      <c r="L11" s="199" t="s">
        <v>156</v>
      </c>
      <c r="N11" s="32" t="str">
        <f>+D11</f>
        <v>BUDGET
TOTAL</v>
      </c>
      <c r="O11" s="32" t="s">
        <v>118</v>
      </c>
      <c r="P11" s="32" t="s">
        <v>120</v>
      </c>
      <c r="Q11" s="493" t="str">
        <f>+Q6</f>
        <v>REAL 
Mes 
Anterior</v>
      </c>
      <c r="S11" s="32" t="s">
        <v>121</v>
      </c>
      <c r="T11" s="204" t="s">
        <v>214</v>
      </c>
      <c r="U11" s="207" t="s">
        <v>216</v>
      </c>
      <c r="V11" s="204" t="s">
        <v>215</v>
      </c>
    </row>
    <row r="12" spans="1:26" s="49" customFormat="1" ht="38" thickBot="1">
      <c r="A12" s="42"/>
      <c r="B12" s="34"/>
      <c r="C12" s="121"/>
      <c r="D12" s="384"/>
      <c r="E12" s="283"/>
      <c r="F12" s="283"/>
      <c r="G12" s="231"/>
      <c r="H12" s="385"/>
      <c r="I12" s="385"/>
      <c r="J12" s="283"/>
      <c r="K12" s="394"/>
      <c r="L12" s="121"/>
      <c r="M12" s="17"/>
      <c r="N12" s="71"/>
      <c r="O12" s="122"/>
      <c r="P12" s="122"/>
      <c r="Q12" s="497"/>
      <c r="R12" s="16"/>
      <c r="S12" s="95"/>
      <c r="T12" s="204" t="s">
        <v>214</v>
      </c>
      <c r="U12" s="207" t="s">
        <v>216</v>
      </c>
      <c r="V12" s="204" t="s">
        <v>215</v>
      </c>
      <c r="Y12" s="287" t="s">
        <v>221</v>
      </c>
      <c r="Z12" s="287" t="s">
        <v>44</v>
      </c>
    </row>
    <row r="13" spans="1:26" s="60" customFormat="1" ht="90.75" customHeight="1" thickBot="1">
      <c r="A13" s="50"/>
      <c r="B13" s="59" t="s">
        <v>99</v>
      </c>
      <c r="C13" s="50"/>
      <c r="D13" s="378">
        <f>+'Budget_Temp_2023-2024'!D14</f>
        <v>86625</v>
      </c>
      <c r="E13" s="379">
        <f>IF($E$10=0,H13,+N13*$E$7)</f>
        <v>8775</v>
      </c>
      <c r="F13" s="379">
        <f>ROUND(+SUMIF(Resumen_Base!$A$28:$A$54,Budget_Comparativo_PZ_Acum!B13,Resumen_Base!$Y$28:$Y$54),2)</f>
        <v>0</v>
      </c>
      <c r="G13" s="320">
        <f>ROUND(-(+T13-U13-V13),2)</f>
        <v>0</v>
      </c>
      <c r="H13" s="380">
        <f>+F13+G13</f>
        <v>0</v>
      </c>
      <c r="I13" s="380">
        <f>+E13-H13</f>
        <v>8775</v>
      </c>
      <c r="J13" s="379">
        <v>0</v>
      </c>
      <c r="K13" s="381">
        <f>+I13-J13</f>
        <v>8775</v>
      </c>
      <c r="L13" s="121"/>
      <c r="M13" s="68" t="s">
        <v>98</v>
      </c>
      <c r="N13" s="382">
        <f>IF(D13=0,0,$D13/$D$7)</f>
        <v>45</v>
      </c>
      <c r="O13" s="382">
        <f>IF(F7=0,0,IF(H13=0,0,($H13)/$F$7))</f>
        <v>0</v>
      </c>
      <c r="P13" s="383">
        <f>+N13-O13</f>
        <v>45</v>
      </c>
      <c r="Q13" s="498">
        <v>0</v>
      </c>
      <c r="R13" s="16"/>
      <c r="S13" s="288" t="s">
        <v>272</v>
      </c>
      <c r="T13" s="316">
        <v>0</v>
      </c>
      <c r="U13" s="206">
        <v>0</v>
      </c>
      <c r="V13" s="205">
        <v>0</v>
      </c>
      <c r="W13" s="462">
        <f>6+5.6+0.6</f>
        <v>12.2</v>
      </c>
      <c r="X13" s="462">
        <f>8.8+5.8</f>
        <v>14.600000000000001</v>
      </c>
    </row>
    <row r="14" spans="1:26" s="49" customFormat="1">
      <c r="A14" s="42"/>
      <c r="B14" s="34"/>
      <c r="C14" s="121"/>
      <c r="D14" s="384"/>
      <c r="E14" s="234"/>
      <c r="F14" s="283"/>
      <c r="G14" s="231"/>
      <c r="H14" s="385"/>
      <c r="I14" s="386"/>
      <c r="J14" s="234"/>
      <c r="K14" s="253"/>
      <c r="L14" s="121"/>
      <c r="M14" s="17"/>
      <c r="N14" s="71"/>
      <c r="O14" s="122"/>
      <c r="P14" s="122"/>
      <c r="Q14" s="497"/>
      <c r="R14" s="16"/>
      <c r="S14" s="95"/>
      <c r="T14" s="467"/>
      <c r="V14" s="214"/>
      <c r="Y14" s="214">
        <f>+Y13/5950</f>
        <v>0</v>
      </c>
      <c r="Z14" s="214">
        <f>+Z13/17.8</f>
        <v>0</v>
      </c>
    </row>
    <row r="15" spans="1:26" s="17" customFormat="1" ht="16" thickBot="1">
      <c r="A15" s="61"/>
      <c r="B15" s="62" t="s">
        <v>100</v>
      </c>
      <c r="C15" s="61"/>
      <c r="D15" s="254"/>
      <c r="E15" s="236"/>
      <c r="F15" s="236"/>
      <c r="G15" s="238"/>
      <c r="H15" s="387"/>
      <c r="I15" s="387"/>
      <c r="J15" s="236"/>
      <c r="K15" s="255"/>
      <c r="L15" s="61"/>
      <c r="N15" s="64"/>
      <c r="O15" s="65"/>
      <c r="P15" s="65"/>
      <c r="Q15" s="499"/>
      <c r="S15" s="100"/>
    </row>
    <row r="16" spans="1:26" s="60" customFormat="1" ht="16" thickBot="1">
      <c r="A16" s="50"/>
      <c r="B16" s="67" t="s">
        <v>101</v>
      </c>
      <c r="C16" s="50"/>
      <c r="D16" s="378">
        <f>+'Budget_Temp_2023-2024'!D17</f>
        <v>5000</v>
      </c>
      <c r="E16" s="379">
        <f>IF($E$10=0,H16,IF($F$9=12,IF(D16&gt;(N16*$E$7),D16,+N16*$E$7),N16*$E$7))</f>
        <v>506.49350649350652</v>
      </c>
      <c r="F16" s="379">
        <f>ROUND(+SUMIF(Resumen_Base!$A$28:$A$54,Budget_Comparativo_PZ_Acum!B16,Resumen_Base!$Y$28:$Y$54),2)</f>
        <v>0</v>
      </c>
      <c r="G16" s="320">
        <f>ROUND(-(+T16-U16-V16),2)</f>
        <v>0</v>
      </c>
      <c r="H16" s="380">
        <f>+F16+G16</f>
        <v>0</v>
      </c>
      <c r="I16" s="380">
        <f>+E16-H16</f>
        <v>506.49350649350652</v>
      </c>
      <c r="J16" s="379">
        <v>0</v>
      </c>
      <c r="K16" s="381">
        <f>+I16-J16</f>
        <v>506.49350649350652</v>
      </c>
      <c r="L16" s="75"/>
      <c r="M16" s="68" t="s">
        <v>98</v>
      </c>
      <c r="N16" s="382">
        <f>IF(D16=0,0,$D16/$D$7)</f>
        <v>2.5974025974025974</v>
      </c>
      <c r="O16" s="382">
        <f>IF(F7=0,0,IF(H16=0,0,($H16)/$F$7))</f>
        <v>0</v>
      </c>
      <c r="P16" s="383">
        <f>+N16-O16</f>
        <v>2.5974025974025974</v>
      </c>
      <c r="Q16" s="498">
        <v>0</v>
      </c>
      <c r="S16" s="319" t="s">
        <v>284</v>
      </c>
      <c r="T16" s="316">
        <v>0</v>
      </c>
      <c r="U16" s="206">
        <v>0</v>
      </c>
      <c r="V16" s="205"/>
    </row>
    <row r="17" spans="1:22" s="60" customFormat="1" ht="16" thickBot="1">
      <c r="A17" s="50"/>
      <c r="B17" s="67" t="s">
        <v>103</v>
      </c>
      <c r="C17" s="50"/>
      <c r="D17" s="378">
        <f>+'Budget_Temp_2023-2024'!D19</f>
        <v>9000</v>
      </c>
      <c r="E17" s="379">
        <f>IF((+D17/D9*E9)&gt;H17,+H17,(+D17/D9*E9))</f>
        <v>0</v>
      </c>
      <c r="F17" s="379">
        <f>ROUND(+SUMIF(Resumen_Base!$A$28:$A$54,Budget_Comparativo_PZ_Acum!B17,Resumen_Base!$Y$28:$Y$54),2)</f>
        <v>0</v>
      </c>
      <c r="G17" s="320">
        <f>ROUND(-(+T17-U17-V17),2)</f>
        <v>0</v>
      </c>
      <c r="H17" s="380">
        <f>+F17+G17</f>
        <v>0</v>
      </c>
      <c r="I17" s="380">
        <f>+E17-H17</f>
        <v>0</v>
      </c>
      <c r="J17" s="379">
        <v>0</v>
      </c>
      <c r="K17" s="381">
        <f>+I17-J17</f>
        <v>0</v>
      </c>
      <c r="L17" s="75"/>
      <c r="M17" s="68" t="s">
        <v>98</v>
      </c>
      <c r="N17" s="382">
        <f>IF(D17=0,0,$D17/$D$7)</f>
        <v>4.6753246753246751</v>
      </c>
      <c r="O17" s="382">
        <f>IF(F7=0,0,IF(H17=0,0,($H17)/$F$7))</f>
        <v>0</v>
      </c>
      <c r="P17" s="383">
        <f>+N17-O17</f>
        <v>4.6753246753246751</v>
      </c>
      <c r="Q17" s="498">
        <v>0</v>
      </c>
      <c r="S17" s="111" t="s">
        <v>287</v>
      </c>
      <c r="T17" s="316">
        <v>0</v>
      </c>
      <c r="U17" s="206">
        <v>0</v>
      </c>
      <c r="V17" s="205"/>
    </row>
    <row r="18" spans="1:22" s="49" customFormat="1" ht="16" thickBot="1">
      <c r="A18" s="42"/>
      <c r="B18" s="34"/>
      <c r="C18" s="121"/>
      <c r="D18" s="384"/>
      <c r="E18" s="234"/>
      <c r="F18" s="283"/>
      <c r="G18" s="388"/>
      <c r="H18" s="385"/>
      <c r="I18" s="386"/>
      <c r="J18" s="234"/>
      <c r="K18" s="253"/>
      <c r="L18" s="75"/>
      <c r="M18" s="17"/>
      <c r="N18" s="71"/>
      <c r="O18" s="122"/>
      <c r="P18" s="122"/>
      <c r="Q18" s="497"/>
      <c r="R18" s="16"/>
      <c r="S18" s="95"/>
    </row>
    <row r="19" spans="1:22" s="60" customFormat="1" ht="16" thickBot="1">
      <c r="A19" s="50"/>
      <c r="B19" s="67" t="s">
        <v>106</v>
      </c>
      <c r="C19" s="50"/>
      <c r="D19" s="378">
        <f>+'Budget_Temp_2023-2024'!D22</f>
        <v>2000</v>
      </c>
      <c r="E19" s="379">
        <f>IF($E$10=0,H19,IF($E$9=12,D19,IF(D19&lt;H19,+D19,IF($E$9=12,H19,IF(H19&lt;D19,H19,D19)))))</f>
        <v>0</v>
      </c>
      <c r="F19" s="379">
        <f>ROUND(+SUMIF(Resumen_Base!$A$28:$A$54,Budget_Comparativo_PZ_Acum!B19,Resumen_Base!$Y$28:$Y$54),2)</f>
        <v>0</v>
      </c>
      <c r="G19" s="205"/>
      <c r="H19" s="380">
        <f>+F19+G19</f>
        <v>0</v>
      </c>
      <c r="I19" s="380">
        <f>+E19-H19</f>
        <v>0</v>
      </c>
      <c r="J19" s="379">
        <v>0</v>
      </c>
      <c r="K19" s="381">
        <f>+I19-J19</f>
        <v>0</v>
      </c>
      <c r="L19" s="389">
        <f>IF(D19=0,0,1-(+F19/D19))</f>
        <v>1</v>
      </c>
      <c r="M19" s="68" t="s">
        <v>124</v>
      </c>
      <c r="N19" s="382">
        <v>0</v>
      </c>
      <c r="O19" s="383">
        <v>0</v>
      </c>
      <c r="P19" s="383">
        <f>+N19-O19</f>
        <v>0</v>
      </c>
      <c r="Q19" s="500">
        <v>0</v>
      </c>
      <c r="S19" s="367" t="s">
        <v>255</v>
      </c>
    </row>
    <row r="20" spans="1:22" s="60" customFormat="1" ht="16" thickBot="1">
      <c r="A20" s="50"/>
      <c r="B20" s="59" t="s">
        <v>61</v>
      </c>
      <c r="C20" s="50"/>
      <c r="D20" s="378">
        <f>+'Budget_Temp_2023-2024'!D23</f>
        <v>1500</v>
      </c>
      <c r="E20" s="379">
        <f>IF($E$10=0,H20,IF($E$9=12,D20,IF(D20&lt;H20,+D20,IF($E$9=12,H20,IF(H20&lt;D20,H20,D20)))))</f>
        <v>0</v>
      </c>
      <c r="F20" s="379">
        <f>ROUND(+SUMIF(Resumen_Base!$A$28:$A$54,Budget_Comparativo_PZ_Acum!B20,Resumen_Base!$Y$28:$Y$54),2)</f>
        <v>0</v>
      </c>
      <c r="G20" s="205"/>
      <c r="H20" s="380">
        <f>+F20+G20</f>
        <v>0</v>
      </c>
      <c r="I20" s="380">
        <f>+E20-H20</f>
        <v>0</v>
      </c>
      <c r="J20" s="379">
        <v>0</v>
      </c>
      <c r="K20" s="381">
        <f>+I20-J20</f>
        <v>0</v>
      </c>
      <c r="L20" s="389">
        <f>IF(D20=0,0,1-(+F20/D20))</f>
        <v>1</v>
      </c>
      <c r="M20" s="68" t="s">
        <v>124</v>
      </c>
      <c r="N20" s="382">
        <v>0</v>
      </c>
      <c r="O20" s="383">
        <v>0</v>
      </c>
      <c r="P20" s="383">
        <f>+N20-O20</f>
        <v>0</v>
      </c>
      <c r="Q20" s="500">
        <v>0</v>
      </c>
      <c r="S20" s="367" t="s">
        <v>255</v>
      </c>
    </row>
    <row r="21" spans="1:22" s="49" customFormat="1">
      <c r="A21" s="42"/>
      <c r="B21" s="34"/>
      <c r="C21" s="121"/>
      <c r="D21" s="384"/>
      <c r="E21" s="234"/>
      <c r="F21" s="283"/>
      <c r="G21" s="231"/>
      <c r="H21" s="385"/>
      <c r="I21" s="386"/>
      <c r="J21" s="234"/>
      <c r="K21" s="253"/>
      <c r="L21" s="121"/>
      <c r="M21" s="17"/>
      <c r="N21" s="71"/>
      <c r="O21" s="122"/>
      <c r="P21" s="122"/>
      <c r="Q21" s="497"/>
      <c r="R21" s="16"/>
      <c r="S21" s="95"/>
    </row>
    <row r="22" spans="1:22" ht="16" thickBot="1">
      <c r="A22" s="69"/>
      <c r="B22" s="62" t="s">
        <v>108</v>
      </c>
      <c r="C22" s="69"/>
      <c r="D22" s="384"/>
      <c r="E22" s="283"/>
      <c r="F22" s="283"/>
      <c r="G22" s="231"/>
      <c r="H22" s="385"/>
      <c r="I22" s="385"/>
      <c r="J22" s="283"/>
      <c r="K22" s="253"/>
      <c r="L22" s="121"/>
      <c r="N22" s="71"/>
      <c r="O22" s="72"/>
      <c r="P22" s="72"/>
      <c r="Q22" s="501"/>
    </row>
    <row r="23" spans="1:22" s="60" customFormat="1" ht="52.5" thickBot="1">
      <c r="A23" s="50"/>
      <c r="B23" s="67" t="s">
        <v>109</v>
      </c>
      <c r="C23" s="50"/>
      <c r="D23" s="378">
        <f>+'Budget_Temp_2023-2024'!D28</f>
        <v>8000</v>
      </c>
      <c r="E23" s="379">
        <f>IF($E$10=0,H23,IF($E$9=12,D23,IF(D23&lt;H23,+D23,IF($E$9=12,H23,IF(H23&lt;D23,H23,D23)))))</f>
        <v>0</v>
      </c>
      <c r="F23" s="379">
        <f>ROUND(+SUMIF(Resumen_Base!$A$28:$A$54,Budget_Comparativo_PZ_Acum!B23,Resumen_Base!$Y$28:$Y$54),2)</f>
        <v>0</v>
      </c>
      <c r="G23" s="205"/>
      <c r="H23" s="380">
        <f>+F23+G23</f>
        <v>0</v>
      </c>
      <c r="I23" s="380">
        <f>+E23-H23</f>
        <v>0</v>
      </c>
      <c r="J23" s="379">
        <v>0</v>
      </c>
      <c r="K23" s="381">
        <f>+I23-J23</f>
        <v>0</v>
      </c>
      <c r="L23" s="389">
        <f>IF(D23=0,0,1-(+F23/D23))</f>
        <v>1</v>
      </c>
      <c r="M23" s="68" t="s">
        <v>107</v>
      </c>
      <c r="N23" s="382">
        <f>+D23/12</f>
        <v>666.66666666666663</v>
      </c>
      <c r="O23" s="383">
        <f>+F23/$F$9</f>
        <v>0</v>
      </c>
      <c r="P23" s="383">
        <f>+N23-O23</f>
        <v>666.66666666666663</v>
      </c>
      <c r="Q23" s="500">
        <v>0</v>
      </c>
      <c r="R23" s="18" t="str">
        <f>IF(ROUND(V23,1)=0,"ok","Check")</f>
        <v>Check</v>
      </c>
      <c r="S23" s="367" t="s">
        <v>276</v>
      </c>
      <c r="T23" s="459">
        <f>0.6+0.2+1.2+0.5+1.2+0.3+0.6+0.4+0.3+0.4+0.6</f>
        <v>6.3</v>
      </c>
      <c r="U23" s="460">
        <f>+H23/1000</f>
        <v>0</v>
      </c>
      <c r="V23" s="460">
        <f>+T23-U23</f>
        <v>6.3</v>
      </c>
    </row>
    <row r="24" spans="1:22" s="60" customFormat="1" ht="16" thickBot="1">
      <c r="A24" s="50"/>
      <c r="B24" s="59" t="s">
        <v>57</v>
      </c>
      <c r="C24" s="50"/>
      <c r="D24" s="378">
        <f>+'Budget_Temp_2023-2024'!D31</f>
        <v>1000</v>
      </c>
      <c r="E24" s="379">
        <f>IF($E$10=0,H24,+D24/12*E9)</f>
        <v>250</v>
      </c>
      <c r="F24" s="379">
        <f>ROUND(+SUMIF(Resumen_Base!$A$28:$A$54,Budget_Comparativo_PZ_Acum!B24,Resumen_Base!$Y$28:$Y$54),2)</f>
        <v>0</v>
      </c>
      <c r="G24" s="390"/>
      <c r="H24" s="380">
        <f>+F24+G24</f>
        <v>0</v>
      </c>
      <c r="I24" s="380">
        <f>+E24-H24</f>
        <v>250</v>
      </c>
      <c r="J24" s="379">
        <v>0</v>
      </c>
      <c r="K24" s="381">
        <f>+I24-J24</f>
        <v>250</v>
      </c>
      <c r="L24" s="389">
        <f>IF(D24=0,0,1-(+F24/D24))</f>
        <v>1</v>
      </c>
      <c r="M24" s="68" t="s">
        <v>98</v>
      </c>
      <c r="N24" s="382">
        <f>IF(D24=0,0,$D24/$D$7)</f>
        <v>0.51948051948051943</v>
      </c>
      <c r="O24" s="382">
        <f>IF(F7=0,0,IF(H24=0,0,($H24)/$F$7))</f>
        <v>0</v>
      </c>
      <c r="P24" s="383">
        <f>+N24-O24</f>
        <v>0.51948051948051943</v>
      </c>
      <c r="Q24" s="498">
        <v>0</v>
      </c>
      <c r="S24" s="367" t="s">
        <v>255</v>
      </c>
    </row>
    <row r="25" spans="1:22" s="60" customFormat="1" ht="16" thickBot="1">
      <c r="A25" s="50"/>
      <c r="B25" s="59" t="s">
        <v>111</v>
      </c>
      <c r="C25" s="50"/>
      <c r="D25" s="378">
        <f>+'Budget_Temp_2023-2024'!D32</f>
        <v>4000</v>
      </c>
      <c r="E25" s="379">
        <f>IF($E$10=0,H25,IF($E$9=12,D25,IF(D25&lt;H25,+D25,IF($E$9=12,H25,IF(H25&lt;D25,H25,D25)))))</f>
        <v>0</v>
      </c>
      <c r="F25" s="379">
        <f>ROUND(+SUMIF(Resumen_Base!$A$28:$A$54,Budget_Comparativo_PZ_Acum!B25,Resumen_Base!$Y$28:$Y$54),2)</f>
        <v>0</v>
      </c>
      <c r="G25" s="390"/>
      <c r="H25" s="380">
        <f>+F25+G25</f>
        <v>0</v>
      </c>
      <c r="I25" s="380">
        <f>+E25-H25</f>
        <v>0</v>
      </c>
      <c r="J25" s="379">
        <v>0</v>
      </c>
      <c r="K25" s="381">
        <f>+I25-J25</f>
        <v>0</v>
      </c>
      <c r="L25" s="389">
        <f>IF(D25=0,0,1-(+F25/D25))</f>
        <v>1</v>
      </c>
      <c r="M25" s="68" t="s">
        <v>98</v>
      </c>
      <c r="N25" s="382">
        <f>IF(D25=0,0,$D25/$D$7)</f>
        <v>2.0779220779220777</v>
      </c>
      <c r="O25" s="382">
        <f>IF(F7=0,0,IF(H25=0,0,($H25)/$F$7))</f>
        <v>0</v>
      </c>
      <c r="P25" s="383">
        <f>+N25-O25</f>
        <v>2.0779220779220777</v>
      </c>
      <c r="Q25" s="498">
        <v>0</v>
      </c>
      <c r="S25" s="367" t="s">
        <v>255</v>
      </c>
    </row>
    <row r="26" spans="1:22" s="49" customFormat="1" ht="16" thickBot="1">
      <c r="A26" s="42"/>
      <c r="B26" s="34"/>
      <c r="C26" s="121"/>
      <c r="D26" s="384"/>
      <c r="E26" s="283"/>
      <c r="F26" s="283"/>
      <c r="G26" s="240"/>
      <c r="H26" s="385"/>
      <c r="I26" s="386"/>
      <c r="J26" s="234"/>
      <c r="K26" s="253"/>
      <c r="L26" s="180"/>
      <c r="M26" s="17"/>
      <c r="N26" s="71"/>
      <c r="O26" s="122"/>
      <c r="P26" s="122"/>
      <c r="Q26" s="502"/>
      <c r="R26" s="16"/>
      <c r="S26" s="95"/>
    </row>
    <row r="27" spans="1:22" s="60" customFormat="1" ht="20.5" thickBot="1">
      <c r="A27" s="75"/>
      <c r="B27" s="260" t="s">
        <v>112</v>
      </c>
      <c r="C27" s="261"/>
      <c r="D27" s="262">
        <f t="shared" ref="D27:I27" si="0">+SUM(D12:D26)</f>
        <v>117125</v>
      </c>
      <c r="E27" s="263">
        <f t="shared" si="0"/>
        <v>9531.4935064935071</v>
      </c>
      <c r="F27" s="263">
        <f t="shared" si="0"/>
        <v>0</v>
      </c>
      <c r="G27" s="391">
        <f t="shared" si="0"/>
        <v>0</v>
      </c>
      <c r="H27" s="391">
        <f t="shared" si="0"/>
        <v>0</v>
      </c>
      <c r="I27" s="391">
        <f t="shared" si="0"/>
        <v>9531.4935064935071</v>
      </c>
      <c r="J27" s="391">
        <v>0</v>
      </c>
      <c r="K27" s="265">
        <f>+SUM(K12:K26)</f>
        <v>9531.4935064935071</v>
      </c>
      <c r="L27" s="512">
        <f>D27-'Budget_Temp_2023-2024'!D34</f>
        <v>0</v>
      </c>
      <c r="N27" s="78"/>
      <c r="O27" s="80"/>
      <c r="P27" s="78"/>
      <c r="Q27" s="503"/>
      <c r="S27" s="99"/>
    </row>
    <row r="28" spans="1:22" s="49" customFormat="1" ht="16" thickBot="1">
      <c r="A28" s="81"/>
      <c r="B28" s="128"/>
      <c r="C28" s="129"/>
      <c r="D28" s="384"/>
      <c r="E28" s="283"/>
      <c r="F28" s="283"/>
      <c r="G28" s="393"/>
      <c r="H28" s="385"/>
      <c r="I28" s="385"/>
      <c r="J28" s="283"/>
      <c r="K28" s="394"/>
      <c r="L28" s="395"/>
      <c r="M28" s="16"/>
      <c r="N28" s="71"/>
      <c r="O28" s="72"/>
      <c r="P28" s="72"/>
      <c r="Q28" s="504"/>
      <c r="R28" s="16"/>
      <c r="S28" s="95"/>
    </row>
    <row r="29" spans="1:22" ht="147" customHeight="1" thickBot="1">
      <c r="B29" s="86" t="s">
        <v>227</v>
      </c>
      <c r="C29" s="136"/>
      <c r="D29" s="256">
        <f>+D34</f>
        <v>22500</v>
      </c>
      <c r="E29" s="256">
        <f>+E34</f>
        <v>0</v>
      </c>
      <c r="F29" s="241">
        <f>+F34</f>
        <v>0</v>
      </c>
      <c r="G29" s="396"/>
      <c r="H29" s="397">
        <f>+F29+G29</f>
        <v>0</v>
      </c>
      <c r="I29" s="397">
        <f>+E29-H29</f>
        <v>0</v>
      </c>
      <c r="J29" s="241">
        <v>0</v>
      </c>
      <c r="K29" s="381">
        <f>+I29-J29</f>
        <v>0</v>
      </c>
      <c r="L29" s="398">
        <f>IF(D29=0,0,1-(+F29/D29))</f>
        <v>1</v>
      </c>
      <c r="M29" s="87" t="s">
        <v>124</v>
      </c>
      <c r="N29" s="78"/>
      <c r="O29" s="80"/>
      <c r="P29" s="80"/>
      <c r="Q29" s="80"/>
      <c r="R29" s="18" t="str">
        <f>IF(ROUND(V29,1)=0,"ok","Check")</f>
        <v>Check</v>
      </c>
      <c r="S29" s="367" t="s">
        <v>274</v>
      </c>
      <c r="T29" s="459">
        <f>1.3+0.7+0.9+0.2+1.1+1.4+0.6+1.1+0.8+0.7+0.5+0.7+0.4+0.5+0.3+0.3+0.2+0.6</f>
        <v>12.299999999999999</v>
      </c>
      <c r="U29" s="460">
        <f>+H29/1000</f>
        <v>0</v>
      </c>
      <c r="V29" s="460">
        <f>+T29-U29</f>
        <v>12.299999999999999</v>
      </c>
    </row>
    <row r="30" spans="1:22" ht="16" thickBot="1">
      <c r="B30" s="86" t="s">
        <v>210</v>
      </c>
      <c r="D30" s="256">
        <f>+'Budget_Temp_2023-2024'!D37</f>
        <v>0</v>
      </c>
      <c r="E30" s="256">
        <f>IF($E$9&gt;10,F30,IF(F30&lt;D30,F30,D30))</f>
        <v>0</v>
      </c>
      <c r="F30" s="241">
        <f>ROUND(+SUMIF(Resumen_Base!$A$28:$A$54,Budget_Comparativo_PZ_Acum!B30,Resumen_Base!$Y$28:$Y$54),2)</f>
        <v>0</v>
      </c>
      <c r="G30" s="396"/>
      <c r="H30" s="397">
        <f>+F30+G30</f>
        <v>0</v>
      </c>
      <c r="I30" s="397">
        <f>+E30-H30</f>
        <v>0</v>
      </c>
      <c r="J30" s="241">
        <v>0</v>
      </c>
      <c r="K30" s="381">
        <f>+I30-J30</f>
        <v>0</v>
      </c>
      <c r="L30" s="398">
        <f>IF(D30=0,0,1-(+F30/D30))</f>
        <v>0</v>
      </c>
      <c r="M30" s="87" t="s">
        <v>124</v>
      </c>
      <c r="N30" s="78"/>
      <c r="O30" s="80"/>
      <c r="P30" s="80"/>
      <c r="Q30" s="503"/>
      <c r="S30" s="367" t="s">
        <v>255</v>
      </c>
    </row>
    <row r="31" spans="1:22" s="49" customFormat="1" ht="16" thickBot="1">
      <c r="A31" s="88"/>
      <c r="B31" s="14"/>
      <c r="C31" s="14"/>
      <c r="D31" s="399"/>
      <c r="E31" s="400"/>
      <c r="F31" s="400"/>
      <c r="G31" s="396"/>
      <c r="H31" s="401"/>
      <c r="I31" s="401"/>
      <c r="J31" s="400"/>
      <c r="K31" s="402"/>
      <c r="L31" s="392">
        <f>D29-'Budget_Temp_2023-2024'!D36</f>
        <v>0</v>
      </c>
      <c r="M31" s="17"/>
      <c r="N31" s="16"/>
      <c r="O31" s="16"/>
      <c r="P31" s="403"/>
      <c r="Q31" s="371"/>
      <c r="R31" s="16"/>
      <c r="S31" s="224" t="s">
        <v>217</v>
      </c>
    </row>
    <row r="32" spans="1:22" ht="16" thickBot="1">
      <c r="B32" s="89" t="s">
        <v>114</v>
      </c>
      <c r="C32" s="135"/>
      <c r="D32" s="257">
        <f t="shared" ref="D32:K32" si="1">+D27+D29</f>
        <v>139625</v>
      </c>
      <c r="E32" s="258">
        <f t="shared" si="1"/>
        <v>9531.4935064935071</v>
      </c>
      <c r="F32" s="258">
        <f>ROUND(+F27+F29+F30,2)</f>
        <v>0</v>
      </c>
      <c r="G32" s="404">
        <f>ROUND(+G27+G29+G30,0)</f>
        <v>0</v>
      </c>
      <c r="H32" s="404">
        <f>+H27+H29+H30</f>
        <v>0</v>
      </c>
      <c r="I32" s="404">
        <f t="shared" si="1"/>
        <v>9531.4935064935071</v>
      </c>
      <c r="J32" s="404">
        <v>0</v>
      </c>
      <c r="K32" s="259">
        <f t="shared" si="1"/>
        <v>9531.4935064935071</v>
      </c>
      <c r="L32" s="392">
        <f>D32-'Budget_Temp_2023-2024'!D39</f>
        <v>0</v>
      </c>
      <c r="N32" s="92"/>
      <c r="O32" s="105"/>
      <c r="P32" s="92"/>
      <c r="Q32" s="505"/>
    </row>
    <row r="33" spans="1:19">
      <c r="F33" s="405" t="str">
        <f ca="1">+IF(ROUND(F32,0)=Resumen_Base!Y28,"OK","Check")</f>
        <v>Check</v>
      </c>
      <c r="H33" s="405" t="str">
        <f>+IF(ROUND(H34,0)=0,"Ok","Check")</f>
        <v>Ok</v>
      </c>
      <c r="I33" s="406"/>
      <c r="K33" s="177"/>
    </row>
    <row r="34" spans="1:19" ht="16">
      <c r="B34" s="350" t="s">
        <v>222</v>
      </c>
      <c r="D34" s="376">
        <f>+SUM(D35:D41)</f>
        <v>22500</v>
      </c>
      <c r="E34" s="376">
        <f>+SUM(E35:E41)</f>
        <v>0</v>
      </c>
      <c r="F34" s="376">
        <f>+SUM(F35:F41)</f>
        <v>0</v>
      </c>
      <c r="H34" s="218">
        <f>ROUND(+F32+G32-H32,0)</f>
        <v>0</v>
      </c>
      <c r="I34" s="406"/>
    </row>
    <row r="35" spans="1:19" ht="27" customHeight="1">
      <c r="B35" s="349" t="s">
        <v>223</v>
      </c>
      <c r="D35" s="354">
        <f>+F35</f>
        <v>0</v>
      </c>
      <c r="E35" s="354">
        <f t="shared" ref="E35:E40" si="2">+F35</f>
        <v>0</v>
      </c>
      <c r="F35" s="354">
        <f>ROUND(+SUMIF(Resumen_Base!$A$28:$A$54,Budget_Comparativo_PZ_Acum!B35,Resumen_Base!$Y$28:$Y$54),2)</f>
        <v>0</v>
      </c>
      <c r="I35" s="406"/>
    </row>
    <row r="36" spans="1:19">
      <c r="B36" s="14" t="s">
        <v>1</v>
      </c>
      <c r="D36" s="354">
        <f>+'Budget_Temp_2023-2024'!D43</f>
        <v>0</v>
      </c>
      <c r="E36" s="354">
        <f t="shared" si="2"/>
        <v>0</v>
      </c>
      <c r="F36" s="354">
        <f>ROUND(+SUMIF(Resumen_Base!$A$28:$A$54,Budget_Comparativo_PZ_Acum!B36,Resumen_Base!$Y$28:$Y$54),2)</f>
        <v>0</v>
      </c>
      <c r="I36" s="406"/>
    </row>
    <row r="37" spans="1:19">
      <c r="B37" s="14" t="s">
        <v>224</v>
      </c>
      <c r="D37" s="458">
        <f>+'Budget_Temp_2023-2024'!D44-D35-D38-D39</f>
        <v>22500</v>
      </c>
      <c r="E37" s="354">
        <f t="shared" si="2"/>
        <v>0</v>
      </c>
      <c r="F37" s="354">
        <f>ROUND(+SUMIF(Resumen_Base!$A$28:$A$54,Budget_Comparativo_PZ_Acum!B37,Resumen_Base!$Y$28:$Y$54),2)-F38</f>
        <v>0</v>
      </c>
      <c r="I37" s="406"/>
    </row>
    <row r="38" spans="1:19" s="364" customFormat="1">
      <c r="A38" s="363"/>
      <c r="B38" s="363" t="s">
        <v>228</v>
      </c>
      <c r="C38" s="363"/>
      <c r="D38" s="377">
        <v>0</v>
      </c>
      <c r="E38" s="354">
        <f t="shared" si="2"/>
        <v>0</v>
      </c>
      <c r="F38" s="377">
        <v>0</v>
      </c>
      <c r="G38" s="363"/>
      <c r="H38" s="363"/>
      <c r="I38" s="407"/>
      <c r="L38" s="363"/>
      <c r="M38" s="365"/>
      <c r="Q38" s="506"/>
      <c r="S38" s="366"/>
    </row>
    <row r="39" spans="1:19">
      <c r="B39" s="14" t="s">
        <v>53</v>
      </c>
      <c r="D39" s="354">
        <f>+F39</f>
        <v>0</v>
      </c>
      <c r="E39" s="354">
        <f t="shared" si="2"/>
        <v>0</v>
      </c>
      <c r="F39" s="354">
        <f>ROUND(+SUMIF(Resumen_Base!$A$28:$A$54,Budget_Comparativo_PZ_Acum!B39,Resumen_Base!$Y$28:$Y$54),2)</f>
        <v>0</v>
      </c>
      <c r="I39" s="406"/>
    </row>
    <row r="40" spans="1:19">
      <c r="B40" s="14" t="s">
        <v>226</v>
      </c>
      <c r="D40" s="354">
        <f>+'Budget_Temp_2023-2024'!D46</f>
        <v>0</v>
      </c>
      <c r="E40" s="354">
        <f t="shared" si="2"/>
        <v>0</v>
      </c>
      <c r="F40" s="354">
        <f>ROUND(+SUMIF(Resumen_Base!$A$28:$A$54,Budget_Comparativo_PZ_Acum!B40,Resumen_Base!$Y$28:$Y$54),2)</f>
        <v>0</v>
      </c>
      <c r="I40" s="406"/>
    </row>
    <row r="41" spans="1:19">
      <c r="B41" s="353" t="s">
        <v>225</v>
      </c>
      <c r="C41" s="353"/>
      <c r="D41" s="353" t="s">
        <v>225</v>
      </c>
      <c r="E41" s="353" t="s">
        <v>225</v>
      </c>
      <c r="F41" s="353" t="s">
        <v>225</v>
      </c>
      <c r="I41" s="406"/>
    </row>
    <row r="42" spans="1:19">
      <c r="F42" s="16"/>
      <c r="I42" s="406"/>
    </row>
    <row r="43" spans="1:19">
      <c r="F43" s="16"/>
      <c r="I43" s="406"/>
    </row>
    <row r="44" spans="1:19">
      <c r="F44" s="16"/>
      <c r="I44" s="406"/>
    </row>
    <row r="45" spans="1:19">
      <c r="F45" s="16"/>
      <c r="I45" s="406"/>
    </row>
    <row r="46" spans="1:19">
      <c r="F46" s="16"/>
      <c r="I46" s="406"/>
    </row>
  </sheetData>
  <mergeCells count="3">
    <mergeCell ref="N4:P4"/>
    <mergeCell ref="N5:P5"/>
    <mergeCell ref="D4:F4"/>
  </mergeCells>
  <phoneticPr fontId="25" type="noConversion"/>
  <conditionalFormatting sqref="B4">
    <cfRule type="cellIs" dxfId="40" priority="76" stopIfTrue="1" operator="notEqual">
      <formula>"ok"</formula>
    </cfRule>
  </conditionalFormatting>
  <conditionalFormatting sqref="F3 F33">
    <cfRule type="cellIs" dxfId="39" priority="75" stopIfTrue="1" operator="equal">
      <formula>"OK"</formula>
    </cfRule>
  </conditionalFormatting>
  <conditionalFormatting sqref="H3">
    <cfRule type="cellIs" dxfId="38" priority="2" stopIfTrue="1" operator="equal">
      <formula>"OK"</formula>
    </cfRule>
  </conditionalFormatting>
  <conditionalFormatting sqref="H33">
    <cfRule type="cellIs" dxfId="37" priority="3" stopIfTrue="1" operator="equal">
      <formula>"OK"</formula>
    </cfRule>
  </conditionalFormatting>
  <conditionalFormatting sqref="J13:K21 I13:I32 P13:P32 J22 K22:K25 I23:J25 J26:K28 J29:L30 J31:K32 H32">
    <cfRule type="cellIs" dxfId="36" priority="74" stopIfTrue="1" operator="lessThan">
      <formula>0</formula>
    </cfRule>
  </conditionalFormatting>
  <conditionalFormatting sqref="Q29">
    <cfRule type="cellIs" dxfId="35" priority="1" stopIfTrue="1" operator="lessThan">
      <formula>0</formula>
    </cfRule>
  </conditionalFormatting>
  <hyperlinks>
    <hyperlink ref="B13" location="Costos_Directos!H8" display="Comida"/>
    <hyperlink ref="B16" location="Costos_Directos!J8" display="electricidad"/>
    <hyperlink ref="B17" location="Costos_Directos!P8" display="Gas "/>
    <hyperlink ref="B19" location="Costos_Directos!U8" display="Locales"/>
    <hyperlink ref="B20" location="Costos_Directos!W8" display="Uniformes"/>
    <hyperlink ref="B23" location="Costos_Directos!Y8" display="Lodge-pre season-aperturas"/>
    <hyperlink ref="B24" location="Costos_Directos!AE8" display="Comunicaciones"/>
    <hyperlink ref="B25" location="Costos_Directos!AM8" display="Varios, incluye papeleria ldoges"/>
    <hyperlink ref="B29" location="Inversiones!A1" display="INVERSIONES"/>
    <hyperlink ref="B30" location="Inversiones!A1" display="INVERSIONES"/>
  </hyperlinks>
  <pageMargins left="0.31496062992125984" right="0.31496062992125984" top="0.74803149606299213" bottom="0.74803149606299213" header="0.31496062992125984" footer="0.31496062992125984"/>
  <pageSetup paperSize="9" scale="50" orientation="landscape" r:id="rId1"/>
</worksheet>
</file>

<file path=xl/worksheets/sheet31.xml><?xml version="1.0" encoding="utf-8"?>
<worksheet xmlns="http://schemas.openxmlformats.org/spreadsheetml/2006/main" xmlns:r="http://schemas.openxmlformats.org/officeDocument/2006/relationships">
  <sheetPr codeName="Sheet16">
    <pageSetUpPr fitToPage="1"/>
  </sheetPr>
  <dimension ref="A1:Y46"/>
  <sheetViews>
    <sheetView zoomScale="69" zoomScaleNormal="69" workbookViewId="0">
      <pane xSplit="2" ySplit="11" topLeftCell="C12" activePane="bottomRight" state="frozen"/>
      <selection activeCell="B2" sqref="B1:I2"/>
      <selection pane="topRight" activeCell="B2" sqref="B1:I2"/>
      <selection pane="bottomLeft" activeCell="B2" sqref="B1:I2"/>
      <selection pane="bottomRight" activeCell="E17" sqref="E17"/>
    </sheetView>
  </sheetViews>
  <sheetFormatPr baseColWidth="10" defaultColWidth="10.81640625" defaultRowHeight="15.5"/>
  <cols>
    <col min="1" max="1" width="1.453125" style="14" customWidth="1"/>
    <col min="2" max="2" width="40" style="14" bestFit="1" customWidth="1"/>
    <col min="3" max="3" width="1.453125" style="14" customWidth="1"/>
    <col min="4" max="4" width="12.1796875" style="16" bestFit="1" customWidth="1"/>
    <col min="5" max="5" width="11.453125" style="16" bestFit="1" customWidth="1"/>
    <col min="6" max="6" width="13" style="215" bestFit="1" customWidth="1"/>
    <col min="7" max="7" width="11.81640625" style="14" bestFit="1" customWidth="1"/>
    <col min="8" max="8" width="12.1796875" style="14" bestFit="1" customWidth="1"/>
    <col min="9" max="9" width="13.81640625" style="157" customWidth="1"/>
    <col min="10" max="10" width="10.81640625" style="16" bestFit="1" customWidth="1"/>
    <col min="11" max="11" width="18.453125" style="16" bestFit="1" customWidth="1"/>
    <col min="12" max="12" width="23.1796875" style="14" bestFit="1" customWidth="1"/>
    <col min="13" max="13" width="8.453125" style="17" bestFit="1" customWidth="1"/>
    <col min="14" max="14" width="8.81640625" style="16" bestFit="1" customWidth="1"/>
    <col min="15" max="15" width="9" style="16" bestFit="1" customWidth="1"/>
    <col min="16" max="16" width="9.453125" style="16" bestFit="1" customWidth="1"/>
    <col min="17" max="17" width="10.453125" style="371" customWidth="1"/>
    <col min="18" max="18" width="6.81640625" style="16" bestFit="1" customWidth="1"/>
    <col min="19" max="19" width="85.81640625" style="95" customWidth="1"/>
    <col min="20" max="20" width="10.1796875" style="16" customWidth="1"/>
    <col min="21" max="21" width="13.453125" style="16" bestFit="1" customWidth="1"/>
    <col min="22" max="22" width="12" style="16" customWidth="1"/>
    <col min="23" max="16384" width="10.81640625" style="16"/>
  </cols>
  <sheetData>
    <row r="1" spans="1:25">
      <c r="B1" s="18" t="s">
        <v>86</v>
      </c>
      <c r="D1" s="112" t="s">
        <v>87</v>
      </c>
      <c r="E1" s="112"/>
      <c r="J1" s="112"/>
      <c r="K1" s="112"/>
      <c r="M1" s="113"/>
      <c r="N1" s="112" t="s">
        <v>87</v>
      </c>
      <c r="O1" s="112"/>
      <c r="P1" s="112"/>
      <c r="S1" s="114"/>
      <c r="U1" s="16">
        <v>0</v>
      </c>
    </row>
    <row r="2" spans="1:25">
      <c r="A2" s="18"/>
      <c r="B2" s="115" t="str">
        <f>+Budget_Comparativo_PZ_Acum!B2</f>
        <v>2023/2024</v>
      </c>
      <c r="C2" s="18"/>
      <c r="D2" s="18"/>
      <c r="E2" s="18"/>
      <c r="F2" s="292"/>
      <c r="G2" s="18"/>
      <c r="H2" s="18"/>
      <c r="I2" s="154"/>
      <c r="J2" s="18"/>
      <c r="K2" s="18"/>
      <c r="L2" s="18"/>
      <c r="M2" s="113"/>
      <c r="N2" s="18"/>
      <c r="O2" s="20"/>
      <c r="P2" s="20"/>
      <c r="Q2" s="491"/>
      <c r="S2" s="114"/>
      <c r="U2" s="16">
        <v>0</v>
      </c>
    </row>
    <row r="3" spans="1:25" s="23" customFormat="1" ht="18" thickBot="1">
      <c r="A3" s="21"/>
      <c r="B3" s="20"/>
      <c r="C3" s="20"/>
      <c r="D3" s="20"/>
      <c r="E3" s="20"/>
      <c r="F3" s="302" t="str">
        <f ca="1">+F33</f>
        <v>Check</v>
      </c>
      <c r="G3" s="20"/>
      <c r="H3" s="302" t="str">
        <f>+H33</f>
        <v>Ok</v>
      </c>
      <c r="I3" s="158"/>
      <c r="J3" s="20"/>
      <c r="K3" s="20"/>
      <c r="L3" s="20"/>
      <c r="M3" s="116"/>
      <c r="N3" s="20"/>
      <c r="O3" s="117"/>
      <c r="P3" s="117"/>
      <c r="Q3" s="492"/>
      <c r="R3" s="413"/>
      <c r="S3" s="118"/>
      <c r="U3" s="222">
        <f>SUM(U1:U2)</f>
        <v>0</v>
      </c>
      <c r="V3" s="223" t="s">
        <v>218</v>
      </c>
    </row>
    <row r="4" spans="1:25" s="26" customFormat="1" ht="18.5" thickBot="1">
      <c r="A4" s="24"/>
      <c r="B4" s="119" t="str">
        <f>IF(L27+L31=0,"OK","Check")</f>
        <v>OK</v>
      </c>
      <c r="C4" s="18"/>
      <c r="D4" s="909" t="s">
        <v>90</v>
      </c>
      <c r="E4" s="909"/>
      <c r="F4" s="909"/>
      <c r="G4" s="18"/>
      <c r="H4" s="18"/>
      <c r="I4" s="18"/>
      <c r="J4" s="18"/>
      <c r="K4" s="18"/>
      <c r="L4" s="18"/>
      <c r="M4" s="113"/>
      <c r="N4" s="903" t="s">
        <v>91</v>
      </c>
      <c r="O4" s="904"/>
      <c r="P4" s="905"/>
      <c r="Q4" s="492"/>
      <c r="R4" s="16"/>
      <c r="S4" s="114"/>
    </row>
    <row r="5" spans="1:25" ht="13.5" thickBot="1">
      <c r="A5" s="27"/>
      <c r="B5" s="120" t="s">
        <v>89</v>
      </c>
      <c r="C5" s="27"/>
      <c r="D5" s="102"/>
      <c r="E5" s="93"/>
      <c r="F5" s="297"/>
      <c r="G5" s="27"/>
      <c r="H5" s="27"/>
      <c r="I5" s="27"/>
      <c r="J5" s="27"/>
      <c r="K5" s="27"/>
      <c r="L5" s="27"/>
      <c r="M5" s="113"/>
      <c r="N5" s="906"/>
      <c r="O5" s="907"/>
      <c r="P5" s="908"/>
      <c r="Q5" s="492"/>
      <c r="S5" s="114"/>
    </row>
    <row r="6" spans="1:25" ht="35" thickBot="1">
      <c r="A6" s="18"/>
      <c r="B6" s="194" t="s">
        <v>167</v>
      </c>
      <c r="C6" s="18"/>
      <c r="D6" s="32" t="s">
        <v>116</v>
      </c>
      <c r="E6" s="103" t="s">
        <v>117</v>
      </c>
      <c r="F6" s="294" t="s">
        <v>118</v>
      </c>
      <c r="G6" s="18"/>
      <c r="H6" s="155" t="s">
        <v>219</v>
      </c>
      <c r="I6" s="446" t="s">
        <v>247</v>
      </c>
      <c r="J6" s="32" t="s">
        <v>205</v>
      </c>
      <c r="K6" s="104" t="s">
        <v>206</v>
      </c>
      <c r="L6" s="18"/>
      <c r="N6" s="32" t="str">
        <f>+D6</f>
        <v>BUDGET
TOTAL</v>
      </c>
      <c r="O6" s="32" t="s">
        <v>118</v>
      </c>
      <c r="P6" s="32" t="s">
        <v>120</v>
      </c>
      <c r="Q6" s="493" t="s">
        <v>243</v>
      </c>
      <c r="S6" s="114"/>
    </row>
    <row r="7" spans="1:25">
      <c r="A7" s="33"/>
      <c r="B7" s="34" t="s">
        <v>95</v>
      </c>
      <c r="C7" s="33"/>
      <c r="D7" s="36">
        <f>+'Budget_Temp_2023-2024'!E7</f>
        <v>1620</v>
      </c>
      <c r="E7" s="94">
        <f>+F7</f>
        <v>166</v>
      </c>
      <c r="F7" s="416">
        <v>166</v>
      </c>
      <c r="G7" s="33"/>
      <c r="H7" s="417">
        <f>+F7</f>
        <v>166</v>
      </c>
      <c r="I7" s="447" t="e">
        <f>IF(K7=0,0,+K7/J7)</f>
        <v>#DIV/0!</v>
      </c>
      <c r="J7" s="417">
        <v>0</v>
      </c>
      <c r="K7" s="37">
        <f>+F7-J7</f>
        <v>166</v>
      </c>
      <c r="L7" s="421">
        <f>IF(D7=0,0,1-(+F7/D7))</f>
        <v>0.89753086419753081</v>
      </c>
      <c r="N7" s="36">
        <f>+D7</f>
        <v>1620</v>
      </c>
      <c r="O7" s="37">
        <f>+F7</f>
        <v>166</v>
      </c>
      <c r="P7" s="37"/>
      <c r="Q7" s="494">
        <v>0</v>
      </c>
    </row>
    <row r="8" spans="1:25">
      <c r="A8" s="33"/>
      <c r="B8" s="34" t="s">
        <v>96</v>
      </c>
      <c r="C8" s="33"/>
      <c r="D8" s="36">
        <f>+'Budget_Temp_2023-2024'!E8</f>
        <v>540</v>
      </c>
      <c r="E8" s="94">
        <f>+F8</f>
        <v>53</v>
      </c>
      <c r="F8" s="416">
        <v>53</v>
      </c>
      <c r="G8" s="33"/>
      <c r="H8" s="417">
        <f>+F8</f>
        <v>53</v>
      </c>
      <c r="I8" s="37"/>
      <c r="J8" s="417">
        <v>0</v>
      </c>
      <c r="K8" s="37">
        <f>+F8-J8</f>
        <v>53</v>
      </c>
      <c r="L8" s="421">
        <f>IF(D8=0,0,1-(+F8/D8))</f>
        <v>0.9018518518518519</v>
      </c>
      <c r="N8" s="36">
        <f>+D8</f>
        <v>540</v>
      </c>
      <c r="O8" s="37">
        <f>+F8</f>
        <v>53</v>
      </c>
      <c r="P8" s="151">
        <f>+IF(N8=0,0,O8/N8)</f>
        <v>9.8148148148148151E-2</v>
      </c>
      <c r="Q8" s="494">
        <v>0</v>
      </c>
      <c r="S8" s="486"/>
    </row>
    <row r="9" spans="1:25">
      <c r="A9" s="33"/>
      <c r="B9" s="34" t="s">
        <v>204</v>
      </c>
      <c r="C9" s="33"/>
      <c r="D9" s="36">
        <v>12</v>
      </c>
      <c r="E9" s="94">
        <f>+F9</f>
        <v>3</v>
      </c>
      <c r="F9" s="296">
        <f>+Budget_Comparativo_PZ_Acum!F9</f>
        <v>3</v>
      </c>
      <c r="G9" s="33"/>
      <c r="H9" s="161">
        <f>+F9</f>
        <v>3</v>
      </c>
      <c r="I9" s="162"/>
      <c r="J9" s="101"/>
      <c r="K9" s="101"/>
      <c r="L9" s="421">
        <f>1-(+F9/D9)</f>
        <v>0.75</v>
      </c>
      <c r="M9" s="113"/>
      <c r="N9" s="36">
        <f>+D9</f>
        <v>12</v>
      </c>
      <c r="O9" s="37">
        <f>+F9</f>
        <v>3</v>
      </c>
      <c r="P9" s="151">
        <f>+O9/N9</f>
        <v>0.25</v>
      </c>
      <c r="Q9" s="495">
        <f>+O9-1</f>
        <v>2</v>
      </c>
      <c r="S9" s="197"/>
    </row>
    <row r="10" spans="1:25" ht="16" thickBot="1">
      <c r="A10" s="33"/>
      <c r="B10" s="34" t="s">
        <v>143</v>
      </c>
      <c r="C10" s="33"/>
      <c r="D10" s="149">
        <f>IF(D7=0,0,+D7/D8)</f>
        <v>3</v>
      </c>
      <c r="E10" s="149">
        <f>IF(E7=0,0,+E7/E8)</f>
        <v>3.1320754716981134</v>
      </c>
      <c r="F10" s="149">
        <f>IF(F7=0,0,+F7/F8)</f>
        <v>3.1320754716981134</v>
      </c>
      <c r="G10" s="33"/>
      <c r="H10" s="422">
        <f>+F10</f>
        <v>3.1320754716981134</v>
      </c>
      <c r="I10" s="417"/>
      <c r="J10" s="37"/>
      <c r="K10" s="37"/>
      <c r="L10" s="33"/>
      <c r="N10" s="149">
        <f>IF(N7=0,0,+N7/N8)</f>
        <v>3</v>
      </c>
      <c r="O10" s="149">
        <f>IF(O7=0,0,+O7/O8)</f>
        <v>3.1320754716981134</v>
      </c>
      <c r="P10" s="37"/>
      <c r="Q10" s="496">
        <f>IF(Q7=0,0,+Q7/Q8)</f>
        <v>0</v>
      </c>
      <c r="S10" s="114"/>
    </row>
    <row r="11" spans="1:25" ht="47" thickBot="1">
      <c r="A11" s="18"/>
      <c r="B11" s="109" t="s">
        <v>97</v>
      </c>
      <c r="C11" s="18"/>
      <c r="D11" s="226" t="str">
        <f>+D6</f>
        <v>BUDGET
TOTAL</v>
      </c>
      <c r="E11" s="226" t="str">
        <f>+E6</f>
        <v>BUDGET
AJUSTADO</v>
      </c>
      <c r="F11" s="298" t="str">
        <f>+F6</f>
        <v>REAL</v>
      </c>
      <c r="G11" s="228" t="s">
        <v>213</v>
      </c>
      <c r="H11" s="227" t="s">
        <v>220</v>
      </c>
      <c r="I11" s="291" t="s">
        <v>127</v>
      </c>
      <c r="J11" s="226" t="s">
        <v>128</v>
      </c>
      <c r="K11" s="252" t="s">
        <v>253</v>
      </c>
      <c r="L11" s="199" t="s">
        <v>156</v>
      </c>
      <c r="M11" s="113"/>
      <c r="N11" s="32" t="str">
        <f>+D11</f>
        <v>BUDGET
TOTAL</v>
      </c>
      <c r="O11" s="32" t="s">
        <v>118</v>
      </c>
      <c r="P11" s="32" t="s">
        <v>120</v>
      </c>
      <c r="Q11" s="493" t="str">
        <f>+Q6</f>
        <v>REAL 
Mes 
Anterior</v>
      </c>
      <c r="S11" s="32" t="s">
        <v>121</v>
      </c>
      <c r="T11" s="317" t="s">
        <v>214</v>
      </c>
      <c r="U11" s="287" t="s">
        <v>216</v>
      </c>
      <c r="V11" s="317" t="s">
        <v>215</v>
      </c>
    </row>
    <row r="12" spans="1:25" s="49" customFormat="1" ht="25.5" thickBot="1">
      <c r="A12" s="42"/>
      <c r="B12" s="34"/>
      <c r="C12" s="121"/>
      <c r="D12" s="229"/>
      <c r="E12" s="229"/>
      <c r="F12" s="275"/>
      <c r="G12" s="231"/>
      <c r="H12" s="230"/>
      <c r="I12" s="230"/>
      <c r="J12" s="229"/>
      <c r="K12" s="229"/>
      <c r="L12" s="121"/>
      <c r="M12" s="113"/>
      <c r="N12" s="125"/>
      <c r="O12" s="122"/>
      <c r="P12" s="122"/>
      <c r="Q12" s="497"/>
      <c r="R12" s="16"/>
      <c r="S12" s="114"/>
      <c r="T12" s="204" t="s">
        <v>214</v>
      </c>
      <c r="U12" s="207" t="s">
        <v>216</v>
      </c>
      <c r="V12" s="204" t="s">
        <v>215</v>
      </c>
    </row>
    <row r="13" spans="1:25" s="484" customFormat="1" ht="90.75" customHeight="1" thickBot="1">
      <c r="A13" s="75"/>
      <c r="B13" s="59" t="s">
        <v>99</v>
      </c>
      <c r="C13" s="75"/>
      <c r="D13" s="379">
        <f>+'Budget_Temp_2023-2024'!E14</f>
        <v>72900</v>
      </c>
      <c r="E13" s="379">
        <f>IF($E$10=0,H13,+N13*$E$7)</f>
        <v>7470</v>
      </c>
      <c r="F13" s="379">
        <f>ROUND(+SUMIF(Resumen_Base!$A$93:$A$156,Budget_Comparativo_LD_Acum!B13,Resumen_Base!$Y$93:$Y$156),2)</f>
        <v>0</v>
      </c>
      <c r="G13" s="320">
        <f>ROUND(-(+T13-U13-V13),2)</f>
        <v>0</v>
      </c>
      <c r="H13" s="380">
        <f>ROUND(+F13+G13,0)</f>
        <v>0</v>
      </c>
      <c r="I13" s="380">
        <f>+E13-H13</f>
        <v>7470</v>
      </c>
      <c r="J13" s="379">
        <v>0</v>
      </c>
      <c r="K13" s="379">
        <f>+I13-J13</f>
        <v>7470</v>
      </c>
      <c r="L13" s="75"/>
      <c r="M13" s="68" t="s">
        <v>98</v>
      </c>
      <c r="N13" s="382">
        <f>IF(D13=0,0,$D13/$D$7)</f>
        <v>45</v>
      </c>
      <c r="O13" s="382">
        <f>IF(F7=0,0,IF(H13=0,0,($H13)/$F$7))</f>
        <v>0</v>
      </c>
      <c r="P13" s="383">
        <f>+N13-O13</f>
        <v>45</v>
      </c>
      <c r="Q13" s="498">
        <v>0</v>
      </c>
      <c r="R13" s="16"/>
      <c r="S13" s="288" t="s">
        <v>271</v>
      </c>
      <c r="T13" s="316">
        <v>0</v>
      </c>
      <c r="U13" s="206">
        <v>0</v>
      </c>
      <c r="V13" s="205">
        <v>0</v>
      </c>
      <c r="W13" s="483">
        <v>0</v>
      </c>
      <c r="X13" s="525">
        <f>4.6+1.1</f>
        <v>5.6999999999999993</v>
      </c>
      <c r="Y13" s="483"/>
    </row>
    <row r="14" spans="1:25" s="49" customFormat="1">
      <c r="A14" s="42"/>
      <c r="B14" s="34"/>
      <c r="C14" s="121"/>
      <c r="D14" s="229"/>
      <c r="E14" s="234"/>
      <c r="F14" s="275"/>
      <c r="G14" s="231"/>
      <c r="H14" s="230"/>
      <c r="I14" s="235"/>
      <c r="J14" s="234"/>
      <c r="K14" s="234"/>
      <c r="L14" s="50" t="s">
        <v>125</v>
      </c>
      <c r="M14" s="131"/>
      <c r="N14" s="132"/>
      <c r="O14" s="122"/>
      <c r="P14" s="122"/>
      <c r="Q14" s="497"/>
      <c r="R14" s="16"/>
      <c r="S14" s="114"/>
      <c r="T14" s="318"/>
    </row>
    <row r="15" spans="1:25" s="17" customFormat="1" ht="16" thickBot="1">
      <c r="A15" s="61"/>
      <c r="B15" s="62" t="s">
        <v>100</v>
      </c>
      <c r="C15" s="61"/>
      <c r="D15" s="236"/>
      <c r="E15" s="236"/>
      <c r="F15" s="274"/>
      <c r="G15" s="238"/>
      <c r="H15" s="237"/>
      <c r="I15" s="237"/>
      <c r="J15" s="236"/>
      <c r="K15" s="236"/>
      <c r="L15" s="61"/>
      <c r="M15" s="113"/>
      <c r="N15" s="64"/>
      <c r="O15" s="65"/>
      <c r="P15" s="65"/>
      <c r="Q15" s="499"/>
      <c r="S15" s="124"/>
    </row>
    <row r="16" spans="1:25" s="484" customFormat="1" ht="16" thickBot="1">
      <c r="A16" s="75"/>
      <c r="B16" s="216" t="s">
        <v>101</v>
      </c>
      <c r="C16" s="75"/>
      <c r="D16" s="379">
        <f>+'Budget_Temp_2023-2024'!E17</f>
        <v>4500</v>
      </c>
      <c r="E16" s="379">
        <f>IF($E$10=0,H16,IF($F$9=12,IF(D16&gt;(N16*$E$7),D16,+N16*$E$7),N16*$E$7))</f>
        <v>461.11111111111109</v>
      </c>
      <c r="F16" s="379">
        <f>ROUND(+SUMIF(Resumen_Base!$A$93:$A$156,Budget_Comparativo_LD_Acum!B16,Resumen_Base!$Y$93:$Y$156),2)</f>
        <v>0</v>
      </c>
      <c r="G16" s="320">
        <f>ROUND(-(+T16-U16-V16),2)</f>
        <v>0</v>
      </c>
      <c r="H16" s="380">
        <f>ROUND(+F16+G16,0)</f>
        <v>0</v>
      </c>
      <c r="I16" s="380">
        <f>+E16-H16</f>
        <v>461.11111111111109</v>
      </c>
      <c r="J16" s="379">
        <v>0</v>
      </c>
      <c r="K16" s="379">
        <f>+I16-J16</f>
        <v>461.11111111111109</v>
      </c>
      <c r="L16" s="75"/>
      <c r="M16" s="68" t="s">
        <v>98</v>
      </c>
      <c r="N16" s="382">
        <f>IF(D16=0,0,$D16/$D$7)</f>
        <v>2.7777777777777777</v>
      </c>
      <c r="O16" s="382">
        <f>IF(F7=0,0,IF(H16=0,0,($H16)/$F$7))</f>
        <v>0</v>
      </c>
      <c r="P16" s="383">
        <f>+N16-O16</f>
        <v>2.7777777777777777</v>
      </c>
      <c r="Q16" s="498">
        <v>0</v>
      </c>
      <c r="S16" s="111" t="s">
        <v>255</v>
      </c>
      <c r="T16" s="481">
        <v>0</v>
      </c>
      <c r="U16" s="485">
        <v>0</v>
      </c>
      <c r="V16" s="482"/>
    </row>
    <row r="17" spans="1:23" s="484" customFormat="1" ht="16" thickBot="1">
      <c r="A17" s="75"/>
      <c r="B17" s="216" t="s">
        <v>103</v>
      </c>
      <c r="C17" s="75"/>
      <c r="D17" s="379">
        <f>+'Budget_Temp_2023-2024'!E19</f>
        <v>10000</v>
      </c>
      <c r="E17" s="379">
        <f>IF((+D17/D9*E9)&gt;H17,+H17,(+D17/D9*E9))</f>
        <v>0</v>
      </c>
      <c r="F17" s="379">
        <f>ROUND(+SUMIF(Resumen_Base!$A$93:$A$156,Budget_Comparativo_LD_Acum!B17,Resumen_Base!$Y$93:$Y$156),2)</f>
        <v>0</v>
      </c>
      <c r="G17" s="320">
        <f>ROUND(-(+T17-U17-V17),2)</f>
        <v>0</v>
      </c>
      <c r="H17" s="380">
        <f>ROUND(+F17+G17,0)</f>
        <v>0</v>
      </c>
      <c r="I17" s="380">
        <f>+E17-H17</f>
        <v>0</v>
      </c>
      <c r="J17" s="379">
        <v>0</v>
      </c>
      <c r="K17" s="379">
        <f>+I17-J17</f>
        <v>0</v>
      </c>
      <c r="L17" s="75"/>
      <c r="M17" s="68" t="s">
        <v>98</v>
      </c>
      <c r="N17" s="382">
        <f>IF(D17=0,0,$D17/$D$7)</f>
        <v>6.1728395061728394</v>
      </c>
      <c r="O17" s="382">
        <f>IF(F7=0,0,IF(H17=0,0,($H17)/$F$7))</f>
        <v>0</v>
      </c>
      <c r="P17" s="383">
        <f>+N17-O17</f>
        <v>6.1728395061728394</v>
      </c>
      <c r="Q17" s="498">
        <v>0</v>
      </c>
      <c r="S17" s="111" t="s">
        <v>288</v>
      </c>
      <c r="T17" s="481">
        <v>0</v>
      </c>
      <c r="U17" s="485">
        <v>0</v>
      </c>
      <c r="V17" s="482"/>
    </row>
    <row r="18" spans="1:23" s="49" customFormat="1" ht="16" thickBot="1">
      <c r="A18" s="42"/>
      <c r="B18" s="34"/>
      <c r="C18" s="121"/>
      <c r="D18" s="229"/>
      <c r="E18" s="234"/>
      <c r="F18" s="275"/>
      <c r="G18" s="239"/>
      <c r="H18" s="230"/>
      <c r="I18" s="235"/>
      <c r="J18" s="234"/>
      <c r="K18" s="234"/>
      <c r="L18" s="50"/>
      <c r="M18" s="113"/>
      <c r="N18" s="125"/>
      <c r="O18" s="122"/>
      <c r="P18" s="122"/>
      <c r="Q18" s="497"/>
      <c r="R18" s="16"/>
      <c r="S18" s="114"/>
    </row>
    <row r="19" spans="1:23" s="484" customFormat="1" ht="16" thickBot="1">
      <c r="A19" s="75"/>
      <c r="B19" s="67" t="s">
        <v>106</v>
      </c>
      <c r="C19" s="75"/>
      <c r="D19" s="379">
        <f>+'Budget_Temp_2023-2024'!E22</f>
        <v>1000</v>
      </c>
      <c r="E19" s="379">
        <f>IF($E$10=0,H19,IF($E$9=12,D19,IF(D19&lt;H19,+D19,IF($E$9=12,H19,IF(H19&lt;D19,H19,D19)))))</f>
        <v>0</v>
      </c>
      <c r="F19" s="379">
        <f>ROUND(+SUMIF(Resumen_Base!$A$93:$A$156,Budget_Comparativo_LD_Acum!B19,Resumen_Base!$Y$93:$Y$156),2)</f>
        <v>0</v>
      </c>
      <c r="G19" s="482"/>
      <c r="H19" s="380">
        <f>ROUND(+F19+G19,0)</f>
        <v>0</v>
      </c>
      <c r="I19" s="380">
        <f>+E19-H19</f>
        <v>0</v>
      </c>
      <c r="J19" s="379">
        <v>0</v>
      </c>
      <c r="K19" s="379">
        <f>+I19-J19</f>
        <v>0</v>
      </c>
      <c r="L19" s="389">
        <f>IF(D19=0,0,1-(+F19/D19))</f>
        <v>1</v>
      </c>
      <c r="M19" s="68" t="s">
        <v>124</v>
      </c>
      <c r="N19" s="382">
        <v>0</v>
      </c>
      <c r="O19" s="383">
        <v>0</v>
      </c>
      <c r="P19" s="383">
        <v>0</v>
      </c>
      <c r="Q19" s="500">
        <v>0</v>
      </c>
      <c r="S19" s="111" t="s">
        <v>255</v>
      </c>
    </row>
    <row r="20" spans="1:23" s="484" customFormat="1" ht="16" thickBot="1">
      <c r="A20" s="75"/>
      <c r="B20" s="59" t="s">
        <v>61</v>
      </c>
      <c r="C20" s="75"/>
      <c r="D20" s="379">
        <f>+'Budget_Temp_2023-2024'!E23</f>
        <v>1800</v>
      </c>
      <c r="E20" s="379">
        <f>IF($E$10=0,H20,IF($E$9=12,D20,IF(D20&lt;H20,+D20,IF($E$9=12,H20,IF(H20&lt;D20,H20,D20)))))</f>
        <v>0</v>
      </c>
      <c r="F20" s="379">
        <f>ROUND(+SUMIF(Resumen_Base!$A$93:$A$156,Budget_Comparativo_LD_Acum!B20,Resumen_Base!$Y$93:$Y$156),2)</f>
        <v>0</v>
      </c>
      <c r="G20" s="482"/>
      <c r="H20" s="380">
        <f>ROUND(+F20+G20,0)</f>
        <v>0</v>
      </c>
      <c r="I20" s="380">
        <f>+E20-H20</f>
        <v>0</v>
      </c>
      <c r="J20" s="379">
        <v>0</v>
      </c>
      <c r="K20" s="379">
        <f>+I20-J20</f>
        <v>0</v>
      </c>
      <c r="L20" s="389">
        <f>IF(D20=0,0,1-(+F20/D20))</f>
        <v>1</v>
      </c>
      <c r="M20" s="68" t="s">
        <v>124</v>
      </c>
      <c r="N20" s="382">
        <v>0</v>
      </c>
      <c r="O20" s="383">
        <v>0</v>
      </c>
      <c r="P20" s="383">
        <v>0</v>
      </c>
      <c r="Q20" s="500">
        <v>0</v>
      </c>
      <c r="S20" s="111" t="s">
        <v>255</v>
      </c>
    </row>
    <row r="21" spans="1:23" s="49" customFormat="1">
      <c r="A21" s="42"/>
      <c r="B21" s="34"/>
      <c r="C21" s="121"/>
      <c r="D21" s="283"/>
      <c r="E21" s="234"/>
      <c r="F21" s="283"/>
      <c r="G21" s="231"/>
      <c r="H21" s="385"/>
      <c r="I21" s="386"/>
      <c r="J21" s="234"/>
      <c r="K21" s="234"/>
      <c r="L21" s="121"/>
      <c r="M21" s="17"/>
      <c r="N21" s="71"/>
      <c r="O21" s="122"/>
      <c r="P21" s="122"/>
      <c r="Q21" s="497"/>
      <c r="R21" s="16"/>
      <c r="S21" s="95"/>
    </row>
    <row r="22" spans="1:23" ht="16" thickBot="1">
      <c r="A22" s="69"/>
      <c r="B22" s="62" t="s">
        <v>108</v>
      </c>
      <c r="C22" s="69"/>
      <c r="D22" s="283"/>
      <c r="E22" s="283"/>
      <c r="F22" s="283"/>
      <c r="G22" s="231"/>
      <c r="H22" s="385"/>
      <c r="I22" s="385"/>
      <c r="J22" s="283"/>
      <c r="K22" s="283"/>
      <c r="L22" s="121"/>
      <c r="N22" s="71"/>
      <c r="O22" s="72"/>
      <c r="P22" s="72"/>
      <c r="Q22" s="501"/>
    </row>
    <row r="23" spans="1:23" s="484" customFormat="1" ht="52.5" thickBot="1">
      <c r="A23" s="75"/>
      <c r="B23" s="67" t="s">
        <v>109</v>
      </c>
      <c r="C23" s="75"/>
      <c r="D23" s="379">
        <f>+'Budget_Temp_2023-2024'!E28</f>
        <v>10000</v>
      </c>
      <c r="E23" s="379">
        <f>IF($E$10=0,H23,IF($E$9=12,D23,IF(D23&lt;H23,+D23,IF($E$9=12,H23,IF(H23&lt;D23,H23,D23)))))</f>
        <v>0</v>
      </c>
      <c r="F23" s="379">
        <f>ROUND(+SUMIF(Resumen_Base!$A$93:$A$156,Budget_Comparativo_LD_Acum!B23,Resumen_Base!$Y$93:$Y$156),2)</f>
        <v>0</v>
      </c>
      <c r="G23" s="390"/>
      <c r="H23" s="380">
        <f>ROUND(+F23+G23,0)</f>
        <v>0</v>
      </c>
      <c r="I23" s="380">
        <f>+E23-H23</f>
        <v>0</v>
      </c>
      <c r="J23" s="379">
        <v>0</v>
      </c>
      <c r="K23" s="379">
        <f>+I23-J23</f>
        <v>0</v>
      </c>
      <c r="L23" s="389">
        <f>IF(D23=0,0,1-(+F23/D23))</f>
        <v>1</v>
      </c>
      <c r="M23" s="68" t="s">
        <v>107</v>
      </c>
      <c r="N23" s="382">
        <f>+D23/12</f>
        <v>833.33333333333337</v>
      </c>
      <c r="O23" s="383">
        <f>+F23/$F$9</f>
        <v>0</v>
      </c>
      <c r="P23" s="383">
        <f>+N23-O23</f>
        <v>833.33333333333337</v>
      </c>
      <c r="Q23" s="500">
        <v>0</v>
      </c>
      <c r="R23" s="18" t="str">
        <f>IF(ROUND(V23,1)=0,"ok","Check")</f>
        <v>ok</v>
      </c>
      <c r="S23" s="111" t="s">
        <v>278</v>
      </c>
      <c r="T23" s="459">
        <v>0</v>
      </c>
      <c r="U23" s="460">
        <f>+H23/1000</f>
        <v>0</v>
      </c>
      <c r="V23" s="460">
        <f>+T23-U23</f>
        <v>0</v>
      </c>
    </row>
    <row r="24" spans="1:23" s="484" customFormat="1" ht="16" thickBot="1">
      <c r="A24" s="75"/>
      <c r="B24" s="59" t="s">
        <v>57</v>
      </c>
      <c r="C24" s="75"/>
      <c r="D24" s="379">
        <f>+'Budget_Temp_2023-2024'!E31</f>
        <v>800</v>
      </c>
      <c r="E24" s="379">
        <f>IF($E$10=0,H24,+D24/12*E9)</f>
        <v>200</v>
      </c>
      <c r="F24" s="379">
        <f>ROUND(+SUMIF(Resumen_Base!$A$93:$A$156,Budget_Comparativo_LD_Acum!B24,Resumen_Base!$Y$93:$Y$156),2)</f>
        <v>0</v>
      </c>
      <c r="G24" s="390"/>
      <c r="H24" s="380">
        <f>ROUND(+F24+G24,0)</f>
        <v>0</v>
      </c>
      <c r="I24" s="380">
        <f>+E24-H24</f>
        <v>200</v>
      </c>
      <c r="J24" s="379">
        <v>0</v>
      </c>
      <c r="K24" s="379">
        <f>+I24-J24</f>
        <v>200</v>
      </c>
      <c r="L24" s="389">
        <f>IF(D24=0,0,1-(+F24/D24))</f>
        <v>1</v>
      </c>
      <c r="M24" s="68" t="s">
        <v>98</v>
      </c>
      <c r="N24" s="382">
        <f>IF(D24=0,0,$D24/$D$7)</f>
        <v>0.49382716049382713</v>
      </c>
      <c r="O24" s="382">
        <f>IF(F7=0,0,IF(H24=0,0,($H24)/$F$7))</f>
        <v>0</v>
      </c>
      <c r="P24" s="383">
        <f>+N24-O24</f>
        <v>0.49382716049382713</v>
      </c>
      <c r="Q24" s="498">
        <v>0</v>
      </c>
      <c r="S24" s="111" t="s">
        <v>255</v>
      </c>
    </row>
    <row r="25" spans="1:23" s="484" customFormat="1" ht="16" thickBot="1">
      <c r="A25" s="75"/>
      <c r="B25" s="59" t="s">
        <v>111</v>
      </c>
      <c r="C25" s="75"/>
      <c r="D25" s="379">
        <f>+'Budget_Temp_2023-2024'!E32</f>
        <v>4000</v>
      </c>
      <c r="E25" s="379">
        <f>IF($E$10=0,H25,IF($E$9=12,D25,IF(D25&lt;H25,+D25,IF($E$9=12,H25,IF(H25&lt;D25,H25,D25)))))</f>
        <v>0</v>
      </c>
      <c r="F25" s="379">
        <f>ROUND(+SUMIF(Resumen_Base!$A$93:$A$156,Budget_Comparativo_LD_Acum!B25,Resumen_Base!$Y$93:$Y$156),2)</f>
        <v>0</v>
      </c>
      <c r="G25" s="390"/>
      <c r="H25" s="380">
        <f>ROUND(+F25+G25,0)</f>
        <v>0</v>
      </c>
      <c r="I25" s="380">
        <f>+E25-H25</f>
        <v>0</v>
      </c>
      <c r="J25" s="379">
        <v>0</v>
      </c>
      <c r="K25" s="379">
        <f>+I25-J25</f>
        <v>0</v>
      </c>
      <c r="L25" s="389">
        <f>IF(D25=0,0,1-(+F25/D25))</f>
        <v>1</v>
      </c>
      <c r="M25" s="68" t="s">
        <v>98</v>
      </c>
      <c r="N25" s="382">
        <f>IF(D25=0,0,$D25/$D$7)</f>
        <v>2.4691358024691357</v>
      </c>
      <c r="O25" s="382">
        <f>IF(F7=0,0,IF(H25=0,0,($H25)/$F$7))</f>
        <v>0</v>
      </c>
      <c r="P25" s="383">
        <f>+N25-O25</f>
        <v>2.4691358024691357</v>
      </c>
      <c r="Q25" s="498">
        <v>0</v>
      </c>
      <c r="S25" s="111" t="s">
        <v>255</v>
      </c>
    </row>
    <row r="26" spans="1:23" s="49" customFormat="1" ht="16" thickBot="1">
      <c r="A26" s="42"/>
      <c r="B26" s="34"/>
      <c r="C26" s="121"/>
      <c r="D26" s="283"/>
      <c r="E26" s="283"/>
      <c r="F26" s="283"/>
      <c r="G26" s="240"/>
      <c r="H26" s="385"/>
      <c r="I26" s="386"/>
      <c r="J26" s="234"/>
      <c r="K26" s="234"/>
      <c r="L26" s="121"/>
      <c r="M26" s="17"/>
      <c r="N26" s="71"/>
      <c r="O26" s="122"/>
      <c r="P26" s="122"/>
      <c r="Q26" s="502"/>
      <c r="R26" s="16"/>
      <c r="S26" s="95"/>
    </row>
    <row r="27" spans="1:23" s="266" customFormat="1" ht="20.5" thickBot="1">
      <c r="B27" s="260" t="s">
        <v>112</v>
      </c>
      <c r="D27" s="263">
        <f t="shared" ref="D27:K27" si="0">+SUM(D12:D26)</f>
        <v>105000</v>
      </c>
      <c r="E27" s="263">
        <f t="shared" si="0"/>
        <v>8131.1111111111113</v>
      </c>
      <c r="F27" s="263">
        <f t="shared" si="0"/>
        <v>0</v>
      </c>
      <c r="G27" s="391">
        <f t="shared" si="0"/>
        <v>0</v>
      </c>
      <c r="H27" s="391">
        <f>+SUM(H12:H26)</f>
        <v>0</v>
      </c>
      <c r="I27" s="391">
        <f t="shared" si="0"/>
        <v>8131.1111111111113</v>
      </c>
      <c r="J27" s="391">
        <v>0</v>
      </c>
      <c r="K27" s="263">
        <f t="shared" si="0"/>
        <v>8131.1111111111113</v>
      </c>
      <c r="L27" s="477">
        <f>D27-'Budget_Temp_2023-2024'!E34</f>
        <v>0</v>
      </c>
      <c r="N27" s="268"/>
      <c r="O27" s="269"/>
      <c r="P27" s="268"/>
      <c r="Q27" s="503"/>
      <c r="R27" s="484"/>
      <c r="S27" s="270"/>
    </row>
    <row r="28" spans="1:23" s="49" customFormat="1" ht="16" thickBot="1">
      <c r="A28" s="81"/>
      <c r="B28" s="128"/>
      <c r="C28" s="129"/>
      <c r="D28" s="229"/>
      <c r="E28" s="229"/>
      <c r="F28" s="275"/>
      <c r="G28" s="244"/>
      <c r="H28" s="230"/>
      <c r="I28" s="230"/>
      <c r="J28" s="229"/>
      <c r="K28" s="229"/>
      <c r="L28" s="113"/>
      <c r="M28" s="112"/>
      <c r="N28" s="125"/>
      <c r="O28" s="126"/>
      <c r="P28" s="126"/>
      <c r="Q28" s="504"/>
      <c r="R28" s="16"/>
      <c r="S28" s="114"/>
    </row>
    <row r="29" spans="1:23" ht="120" customHeight="1" thickBot="1">
      <c r="B29" s="86" t="s">
        <v>227</v>
      </c>
      <c r="D29" s="241">
        <f>+D34</f>
        <v>26000</v>
      </c>
      <c r="E29" s="241">
        <f>+E34</f>
        <v>26000</v>
      </c>
      <c r="F29" s="276">
        <f>+F34</f>
        <v>0</v>
      </c>
      <c r="G29" s="243"/>
      <c r="H29" s="242">
        <f>+F29+G29</f>
        <v>0</v>
      </c>
      <c r="I29" s="242">
        <f>+E29-H29</f>
        <v>26000</v>
      </c>
      <c r="J29" s="241">
        <v>0</v>
      </c>
      <c r="K29" s="241">
        <f>+I29-J29</f>
        <v>26000</v>
      </c>
      <c r="L29" s="225">
        <f>IF(D29=0,0,1-(+F29/D29))</f>
        <v>1</v>
      </c>
      <c r="M29" s="87" t="s">
        <v>124</v>
      </c>
      <c r="N29" s="78"/>
      <c r="O29" s="80"/>
      <c r="P29" s="80"/>
      <c r="Q29" s="80"/>
      <c r="R29" s="18" t="str">
        <f>IF(ROUND(V29,1)=0,"ok","Check")</f>
        <v>Check</v>
      </c>
      <c r="S29" s="111" t="s">
        <v>277</v>
      </c>
      <c r="T29" s="459">
        <f>16.3+2.3+0.5+1.7+0.7+0.9+0.8+1.1+0.6+0.5+0.6+1.2+0.8+0.4+0.4</f>
        <v>28.8</v>
      </c>
      <c r="U29" s="460">
        <f>+H29/1000</f>
        <v>0</v>
      </c>
      <c r="V29" s="460">
        <f>+T29-U29</f>
        <v>28.8</v>
      </c>
      <c r="W29" s="363"/>
    </row>
    <row r="30" spans="1:23" ht="16" thickBot="1">
      <c r="B30" s="86" t="s">
        <v>210</v>
      </c>
      <c r="D30" s="241">
        <f>+'Budget_Temp_2023-2024'!E37</f>
        <v>0</v>
      </c>
      <c r="E30" s="241">
        <f>IF($E$9&gt;10,F30,IF(F30&lt;D30,F30,D30))</f>
        <v>0</v>
      </c>
      <c r="F30" s="276">
        <f>ROUND(+SUMIF(Resumen_Base!$A$93:$A$156,Budget_Comparativo_LD_Acum!B30,Resumen_Base!$Y$93:$Y$156),2)</f>
        <v>0</v>
      </c>
      <c r="G30" s="243"/>
      <c r="H30" s="242">
        <f>+F30+G30</f>
        <v>0</v>
      </c>
      <c r="I30" s="242">
        <f>+E30-H30</f>
        <v>0</v>
      </c>
      <c r="J30" s="241">
        <v>0</v>
      </c>
      <c r="K30" s="241">
        <f>+I30-J30</f>
        <v>0</v>
      </c>
      <c r="L30" s="225">
        <f>IF(D30=0,0,1-(+F30/D30))</f>
        <v>0</v>
      </c>
      <c r="M30" s="87" t="s">
        <v>124</v>
      </c>
      <c r="N30" s="78"/>
      <c r="O30" s="80"/>
      <c r="P30" s="80"/>
      <c r="Q30" s="503"/>
      <c r="S30" s="111" t="s">
        <v>255</v>
      </c>
    </row>
    <row r="31" spans="1:23" s="49" customFormat="1" ht="16" thickBot="1">
      <c r="A31" s="88"/>
      <c r="B31" s="14"/>
      <c r="C31" s="14"/>
      <c r="D31" s="245"/>
      <c r="E31" s="245"/>
      <c r="F31" s="278"/>
      <c r="G31" s="243"/>
      <c r="H31" s="246"/>
      <c r="I31" s="246"/>
      <c r="J31" s="245"/>
      <c r="K31" s="245"/>
      <c r="L31" s="476">
        <f>ROUND(D29-'Budget_Temp_2023-2024'!E36,0)</f>
        <v>0</v>
      </c>
      <c r="M31" s="113"/>
      <c r="N31" s="112"/>
      <c r="O31" s="112"/>
      <c r="P31" s="130"/>
      <c r="Q31" s="371"/>
      <c r="R31" s="16"/>
      <c r="S31" s="114"/>
    </row>
    <row r="32" spans="1:23" ht="16" thickBot="1">
      <c r="B32" s="89" t="s">
        <v>114</v>
      </c>
      <c r="C32" s="90"/>
      <c r="D32" s="247">
        <f t="shared" ref="D32:K32" si="1">+D27+D29</f>
        <v>131000</v>
      </c>
      <c r="E32" s="247">
        <f t="shared" si="1"/>
        <v>34131.111111111109</v>
      </c>
      <c r="F32" s="247">
        <f>ROUND(+F27+F29,0)</f>
        <v>0</v>
      </c>
      <c r="G32" s="487">
        <f>ROUND(+G27+G29,0)</f>
        <v>0</v>
      </c>
      <c r="H32" s="487">
        <f>ROUND(+H27+H29,0)</f>
        <v>0</v>
      </c>
      <c r="I32" s="487">
        <f t="shared" si="1"/>
        <v>34131.111111111109</v>
      </c>
      <c r="J32" s="487">
        <v>0</v>
      </c>
      <c r="K32" s="247">
        <f t="shared" si="1"/>
        <v>34131.111111111109</v>
      </c>
      <c r="L32" s="79">
        <f>D32-'Budget_Temp_2023-2024'!E39</f>
        <v>0</v>
      </c>
      <c r="N32" s="92"/>
      <c r="O32" s="105"/>
      <c r="P32" s="92"/>
      <c r="Q32" s="505"/>
    </row>
    <row r="33" spans="2:20">
      <c r="F33" s="405" t="str">
        <f ca="1">+IF(F32=Resumen_Base!Y93,"OK","Check")</f>
        <v>Check</v>
      </c>
      <c r="H33" s="405" t="str">
        <f>+IF(H34=0,"Ok","Check")</f>
        <v>Ok</v>
      </c>
      <c r="I33" s="406"/>
      <c r="J33" s="177"/>
    </row>
    <row r="34" spans="2:20" ht="16">
      <c r="B34" s="350" t="s">
        <v>222</v>
      </c>
      <c r="D34" s="376">
        <f>+SUM(D35:D41)</f>
        <v>26000</v>
      </c>
      <c r="E34" s="376">
        <f>+SUM(E35:E41)</f>
        <v>26000</v>
      </c>
      <c r="F34" s="376">
        <f>+SUM(F35:F41)</f>
        <v>0</v>
      </c>
      <c r="G34" s="218"/>
      <c r="H34" s="218">
        <f>ROUND(+F32+G32-H32,0)</f>
        <v>0</v>
      </c>
      <c r="I34" s="406"/>
      <c r="S34" s="488"/>
      <c r="T34" s="16" t="str">
        <f>+"- May17: LD "&amp;S34&amp;" USD "&amp;R34&amp;" / "&amp;S35&amp;" USD "&amp;R35&amp;" / "&amp;S36&amp;" USD "&amp;R36&amp;" / "&amp;S37&amp;" USD "&amp;R37&amp;" / "&amp;S39&amp;" USD "&amp;R39&amp;" / "&amp;S41&amp;" USD "&amp;R41&amp;" / "&amp;S42&amp;" USD "&amp;R42&amp;" / "&amp;S43&amp;" USD "&amp;R43&amp;" / "&amp;S44&amp;" USD "&amp;R44&amp;" / "&amp;S45&amp;" USD "&amp;R45&amp;" / "&amp;S46&amp;" USD "&amp;R46</f>
        <v xml:space="preserve">- May17: LD  USD  /  USD  /  USD  /  USD  /  USD  /  USD  /  USD  /  USD  /  USD  /  USD  /  USD </v>
      </c>
    </row>
    <row r="35" spans="2:20" ht="26">
      <c r="B35" s="349" t="s">
        <v>223</v>
      </c>
      <c r="D35" s="489">
        <f>+F35</f>
        <v>0</v>
      </c>
      <c r="E35" s="489">
        <f>+F35</f>
        <v>0</v>
      </c>
      <c r="F35" s="489">
        <f>ROUND(+SUMIF(Resumen_Base!$A$93:$A$156,Budget_Comparativo_LD_Acum!B35,Resumen_Base!$Y$93:$Y$156),2)</f>
        <v>0</v>
      </c>
      <c r="I35" s="406"/>
    </row>
    <row r="36" spans="2:20">
      <c r="B36" s="14" t="s">
        <v>1</v>
      </c>
      <c r="D36" s="489">
        <f>+'Budget_Temp_2023-2024'!E43</f>
        <v>0</v>
      </c>
      <c r="E36" s="489">
        <f>+F36</f>
        <v>0</v>
      </c>
      <c r="F36" s="489">
        <f>ROUND(+SUMIF(Resumen_Base!$A$93:$A$156,Budget_Comparativo_LD_Acum!B36,Resumen_Base!$Y$93:$Y$156),2)</f>
        <v>0</v>
      </c>
      <c r="I36" s="406"/>
    </row>
    <row r="37" spans="2:20">
      <c r="B37" s="14" t="s">
        <v>224</v>
      </c>
      <c r="D37" s="490">
        <f>+'Budget_Temp_2023-2024'!E44-D35-D38-D39</f>
        <v>26000</v>
      </c>
      <c r="E37" s="489">
        <f>+D34-SUM(E35:E36)-SUM(E38:E40)</f>
        <v>26000</v>
      </c>
      <c r="F37" s="489">
        <f>ROUND(+SUMIF(Resumen_Base!$A$93:$A$156,Budget_Comparativo_LD_Acum!B37,Resumen_Base!$Y$93:$Y$156),2)</f>
        <v>0</v>
      </c>
      <c r="I37" s="406"/>
    </row>
    <row r="38" spans="2:20">
      <c r="B38" s="363" t="s">
        <v>229</v>
      </c>
      <c r="D38" s="489">
        <f>+E38</f>
        <v>0</v>
      </c>
      <c r="E38" s="489">
        <f>+F38</f>
        <v>0</v>
      </c>
      <c r="F38" s="489"/>
      <c r="I38" s="406"/>
      <c r="Q38" s="506"/>
      <c r="R38" s="364"/>
    </row>
    <row r="39" spans="2:20">
      <c r="B39" s="14" t="s">
        <v>53</v>
      </c>
      <c r="D39" s="489">
        <f>+F39</f>
        <v>0</v>
      </c>
      <c r="E39" s="489">
        <f>+F39</f>
        <v>0</v>
      </c>
      <c r="F39" s="489">
        <f>ROUND(+SUMIF(Resumen_Base!$A$93:$A$156,Budget_Comparativo_LD_Acum!B39,Resumen_Base!$Y$93:$Y$156),2)</f>
        <v>0</v>
      </c>
      <c r="I39" s="406"/>
    </row>
    <row r="40" spans="2:20">
      <c r="B40" s="14" t="s">
        <v>226</v>
      </c>
      <c r="D40" s="489">
        <f>+'Budget_Temp_2023-2024'!E46</f>
        <v>0</v>
      </c>
      <c r="E40" s="489">
        <f>+F40</f>
        <v>0</v>
      </c>
      <c r="F40" s="489">
        <f>ROUND(+SUMIF(Resumen_Base!$A$93:$A$156,Budget_Comparativo_LD_Acum!B40,Resumen_Base!$Y$93:$Y$156),2)</f>
        <v>0</v>
      </c>
      <c r="I40" s="406"/>
    </row>
    <row r="41" spans="2:20">
      <c r="B41" s="353" t="s">
        <v>225</v>
      </c>
      <c r="C41" s="353"/>
      <c r="D41" s="353" t="s">
        <v>225</v>
      </c>
      <c r="E41" s="353" t="s">
        <v>225</v>
      </c>
      <c r="F41" s="353" t="s">
        <v>225</v>
      </c>
      <c r="I41" s="406"/>
    </row>
    <row r="42" spans="2:20">
      <c r="F42" s="16"/>
      <c r="I42" s="406"/>
    </row>
    <row r="43" spans="2:20">
      <c r="F43" s="16"/>
      <c r="I43" s="406"/>
    </row>
    <row r="44" spans="2:20">
      <c r="F44" s="16"/>
      <c r="I44" s="406"/>
    </row>
    <row r="45" spans="2:20">
      <c r="F45" s="16"/>
      <c r="I45" s="406"/>
    </row>
    <row r="46" spans="2:20">
      <c r="F46" s="16"/>
      <c r="I46" s="406"/>
    </row>
  </sheetData>
  <mergeCells count="3">
    <mergeCell ref="N4:P4"/>
    <mergeCell ref="N5:P5"/>
    <mergeCell ref="D4:F4"/>
  </mergeCells>
  <phoneticPr fontId="25" type="noConversion"/>
  <conditionalFormatting sqref="B4">
    <cfRule type="cellIs" dxfId="34" priority="49" stopIfTrue="1" operator="notEqual">
      <formula>"ok"</formula>
    </cfRule>
  </conditionalFormatting>
  <conditionalFormatting sqref="F3 H3 F33">
    <cfRule type="cellIs" dxfId="33" priority="48" stopIfTrue="1" operator="equal">
      <formula>"OK"</formula>
    </cfRule>
  </conditionalFormatting>
  <conditionalFormatting sqref="H33">
    <cfRule type="cellIs" dxfId="32" priority="2" stopIfTrue="1" operator="equal">
      <formula>"OK"</formula>
    </cfRule>
  </conditionalFormatting>
  <conditionalFormatting sqref="I13:K32 P13:P32">
    <cfRule type="cellIs" dxfId="31" priority="47" stopIfTrue="1" operator="lessThan">
      <formula>0</formula>
    </cfRule>
  </conditionalFormatting>
  <conditionalFormatting sqref="Q29">
    <cfRule type="cellIs" dxfId="30" priority="1" stopIfTrue="1" operator="lessThan">
      <formula>0</formula>
    </cfRule>
  </conditionalFormatting>
  <hyperlinks>
    <hyperlink ref="B13" location="Costos_Directos!H8" display="Comida"/>
    <hyperlink ref="B16" location="Costos_Directos!J8" display="electricidad"/>
    <hyperlink ref="B17" location="Costos_Directos!P8" display="Gas "/>
    <hyperlink ref="B19" location="Costos_Directos!U8" display="Locales"/>
    <hyperlink ref="B20" location="Costos_Directos!W8" display="Uniformes"/>
    <hyperlink ref="B23" location="Costos_Directos!Y8" display="Lodge-pre season-aperturas"/>
    <hyperlink ref="B24" location="Costos_Directos!AE8" display="Comunicaciones"/>
    <hyperlink ref="B25" location="Costos_Directos!AM8" display="Varios, incluye papeleria ldoges"/>
    <hyperlink ref="B30" location="Inversiones!A1" display="INVERSIONES"/>
    <hyperlink ref="B29" location="Inversiones!A1" display="INVERSIONES"/>
  </hyperlinks>
  <printOptions horizontalCentered="1"/>
  <pageMargins left="0.11811023622047245" right="0.11811023622047245" top="0.55118110236220474" bottom="0.55118110236220474" header="0.31496062992125984" footer="0.31496062992125984"/>
  <pageSetup paperSize="9" scale="48" orientation="landscape" r:id="rId1"/>
</worksheet>
</file>

<file path=xl/worksheets/sheet32.xml><?xml version="1.0" encoding="utf-8"?>
<worksheet xmlns="http://schemas.openxmlformats.org/spreadsheetml/2006/main" xmlns:r="http://schemas.openxmlformats.org/officeDocument/2006/relationships">
  <sheetPr codeName="Sheet17">
    <pageSetUpPr fitToPage="1"/>
  </sheetPr>
  <dimension ref="A1:V51"/>
  <sheetViews>
    <sheetView zoomScale="80" zoomScaleNormal="80" workbookViewId="0">
      <pane xSplit="2" ySplit="11" topLeftCell="C15" activePane="bottomRight" state="frozen"/>
      <selection activeCell="A2" sqref="A2:M2"/>
      <selection pane="topRight" activeCell="A2" sqref="A2:M2"/>
      <selection pane="bottomLeft" activeCell="A2" sqref="A2:M2"/>
      <selection pane="bottomRight" activeCell="N24" sqref="N24"/>
    </sheetView>
  </sheetViews>
  <sheetFormatPr baseColWidth="10" defaultColWidth="10.81640625" defaultRowHeight="15.5"/>
  <cols>
    <col min="1" max="1" width="8.81640625" style="14" bestFit="1" customWidth="1"/>
    <col min="2" max="2" width="40.81640625" style="14" bestFit="1" customWidth="1"/>
    <col min="3" max="3" width="1.453125" style="14" customWidth="1"/>
    <col min="4" max="4" width="12.1796875" style="16" bestFit="1" customWidth="1"/>
    <col min="5" max="5" width="13.81640625" style="16" bestFit="1" customWidth="1"/>
    <col min="6" max="6" width="12.1796875" style="215" bestFit="1" customWidth="1"/>
    <col min="7" max="7" width="12.1796875" style="186" bestFit="1" customWidth="1"/>
    <col min="8" max="8" width="14" style="157" customWidth="1"/>
    <col min="9" max="9" width="13.81640625" style="157" bestFit="1" customWidth="1"/>
    <col min="10" max="10" width="11.453125" style="16" bestFit="1" customWidth="1"/>
    <col min="11" max="11" width="18.453125" style="16" bestFit="1" customWidth="1"/>
    <col min="12" max="12" width="11.453125" style="14" customWidth="1"/>
    <col min="13" max="13" width="8.453125" style="17" bestFit="1" customWidth="1"/>
    <col min="14" max="14" width="8.81640625" style="16" bestFit="1" customWidth="1"/>
    <col min="15" max="15" width="9.1796875" style="16" bestFit="1" customWidth="1"/>
    <col min="16" max="16" width="8.81640625" style="16" bestFit="1" customWidth="1"/>
    <col min="17" max="17" width="11.453125" style="436" customWidth="1"/>
    <col min="18" max="18" width="6.81640625" style="16" customWidth="1"/>
    <col min="19" max="19" width="61.453125" style="95" customWidth="1"/>
    <col min="20" max="16384" width="10.81640625" style="16"/>
  </cols>
  <sheetData>
    <row r="1" spans="1:20">
      <c r="B1" s="18" t="s">
        <v>86</v>
      </c>
      <c r="D1" s="112"/>
      <c r="E1" s="112"/>
      <c r="J1" s="112"/>
      <c r="K1" s="112"/>
      <c r="M1" s="113"/>
      <c r="N1" s="112"/>
      <c r="O1" s="112"/>
      <c r="P1" s="112"/>
      <c r="S1" s="114"/>
    </row>
    <row r="2" spans="1:20">
      <c r="A2" s="18"/>
      <c r="B2" s="115" t="str">
        <f>+Budget_Comparativo_PZ_Acum!B2</f>
        <v>2023/2024</v>
      </c>
      <c r="C2" s="18"/>
      <c r="D2" s="18"/>
      <c r="E2" s="18"/>
      <c r="F2" s="369" t="e">
        <f>+A13</f>
        <v>#REF!</v>
      </c>
      <c r="G2" s="369" t="e">
        <f>+A16</f>
        <v>#REF!</v>
      </c>
      <c r="H2" s="369" t="e">
        <f>+A21</f>
        <v>#REF!</v>
      </c>
      <c r="I2" s="369" t="e">
        <f>+A24</f>
        <v>#REF!</v>
      </c>
      <c r="J2" s="18"/>
      <c r="K2" s="18"/>
      <c r="L2" s="18"/>
      <c r="M2" s="113"/>
      <c r="N2" s="18"/>
      <c r="O2" s="18"/>
      <c r="P2" s="18"/>
      <c r="Q2" s="437"/>
      <c r="S2" s="114"/>
    </row>
    <row r="3" spans="1:20" s="23" customFormat="1" ht="16" thickBot="1">
      <c r="A3" s="21"/>
      <c r="B3" s="20"/>
      <c r="C3" s="20"/>
      <c r="D3" s="20"/>
      <c r="E3" s="20"/>
      <c r="F3" s="302" t="str">
        <f ca="1">+F33</f>
        <v>OK</v>
      </c>
      <c r="G3" s="186"/>
      <c r="H3" s="302" t="str">
        <f>+H33</f>
        <v>Ok</v>
      </c>
      <c r="I3" s="158"/>
      <c r="J3" s="20"/>
      <c r="K3" s="20"/>
      <c r="L3" s="20"/>
      <c r="M3" s="116"/>
      <c r="N3" s="20"/>
      <c r="O3" s="20"/>
      <c r="P3" s="20"/>
      <c r="Q3" s="438"/>
      <c r="R3" s="413"/>
      <c r="S3" s="118"/>
    </row>
    <row r="4" spans="1:20" s="26" customFormat="1" ht="18.5" thickBot="1">
      <c r="A4" s="24"/>
      <c r="B4" s="119" t="str">
        <f>IF(L27+L31=0,"OK","Check")</f>
        <v>OK</v>
      </c>
      <c r="C4" s="18"/>
      <c r="D4" s="909" t="s">
        <v>90</v>
      </c>
      <c r="E4" s="909"/>
      <c r="F4" s="909"/>
      <c r="G4" s="186"/>
      <c r="H4" s="157"/>
      <c r="I4" s="157"/>
      <c r="J4" s="156"/>
      <c r="K4" s="157"/>
      <c r="L4" s="18"/>
      <c r="M4" s="113"/>
      <c r="N4" s="903" t="s">
        <v>91</v>
      </c>
      <c r="O4" s="904"/>
      <c r="P4" s="905"/>
      <c r="Q4" s="438"/>
      <c r="R4" s="16"/>
      <c r="S4" s="114"/>
    </row>
    <row r="5" spans="1:20" ht="16" thickBot="1">
      <c r="A5" s="27"/>
      <c r="B5" s="120" t="s">
        <v>89</v>
      </c>
      <c r="C5" s="27"/>
      <c r="D5" s="102"/>
      <c r="E5" s="93"/>
      <c r="F5" s="293"/>
      <c r="J5" s="156"/>
      <c r="K5" s="157"/>
      <c r="L5" s="27"/>
      <c r="M5" s="113"/>
      <c r="N5" s="106"/>
      <c r="O5" s="107"/>
      <c r="P5" s="108"/>
      <c r="Q5" s="438"/>
      <c r="S5" s="114"/>
    </row>
    <row r="6" spans="1:20" ht="32" thickBot="1">
      <c r="A6" s="18"/>
      <c r="B6" s="194" t="s">
        <v>115</v>
      </c>
      <c r="C6" s="18"/>
      <c r="D6" s="32" t="s">
        <v>116</v>
      </c>
      <c r="E6" s="103" t="s">
        <v>117</v>
      </c>
      <c r="F6" s="294" t="s">
        <v>118</v>
      </c>
      <c r="H6" s="304" t="s">
        <v>219</v>
      </c>
      <c r="I6" s="446" t="s">
        <v>247</v>
      </c>
      <c r="J6" s="103" t="s">
        <v>205</v>
      </c>
      <c r="K6" s="32" t="s">
        <v>206</v>
      </c>
      <c r="L6" s="18"/>
      <c r="N6" s="32" t="str">
        <f>+D6</f>
        <v>BUDGET
TOTAL</v>
      </c>
      <c r="O6" s="32" t="s">
        <v>118</v>
      </c>
      <c r="P6" s="32" t="s">
        <v>120</v>
      </c>
      <c r="Q6" s="426" t="s">
        <v>243</v>
      </c>
      <c r="S6" s="114"/>
    </row>
    <row r="7" spans="1:20">
      <c r="A7" s="33"/>
      <c r="B7" s="34" t="s">
        <v>95</v>
      </c>
      <c r="C7" s="33"/>
      <c r="D7" s="36">
        <f>+Budget_Comparativo_LD_Acum!D7+Budget_Comparativo_PZ_Acum!D7</f>
        <v>3545</v>
      </c>
      <c r="E7" s="94">
        <f>+F7</f>
        <v>361</v>
      </c>
      <c r="F7" s="299">
        <f>+Budget_Comparativo_PZ_Acum!F7+Budget_Comparativo_LD_Acum!F7</f>
        <v>361</v>
      </c>
      <c r="H7" s="161">
        <f>+F7</f>
        <v>361</v>
      </c>
      <c r="I7" s="447" t="e">
        <f>IF(K7=0,0,+K7/J7)</f>
        <v>#DIV/0!</v>
      </c>
      <c r="J7" s="161">
        <f>+Budget_Comparativo_LD_Acum!J7+Budget_Comparativo_PZ_Acum!J7</f>
        <v>0</v>
      </c>
      <c r="K7" s="37">
        <f>+F7-J7</f>
        <v>361</v>
      </c>
      <c r="L7" s="421">
        <f>IF(D7=0,0,1-(+F7/D7))</f>
        <v>0.89816643159379406</v>
      </c>
      <c r="N7" s="36">
        <f>+D7</f>
        <v>3545</v>
      </c>
      <c r="O7" s="37">
        <f>+F7</f>
        <v>361</v>
      </c>
      <c r="P7" s="37"/>
      <c r="Q7" s="461">
        <f>+Budget_Comparativo_PZ_Acum!Q7+Budget_Comparativo_LD_Acum!Q7</f>
        <v>0</v>
      </c>
      <c r="S7" s="114"/>
    </row>
    <row r="8" spans="1:20">
      <c r="A8" s="33"/>
      <c r="B8" s="34" t="s">
        <v>96</v>
      </c>
      <c r="C8" s="33"/>
      <c r="D8" s="36">
        <f>+Budget_Comparativo_LD_Acum!D8+Budget_Comparativo_PZ_Acum!D8</f>
        <v>1182</v>
      </c>
      <c r="E8" s="94">
        <f>+F8</f>
        <v>123</v>
      </c>
      <c r="F8" s="299">
        <f>+Budget_Comparativo_PZ_Acum!F8+Budget_Comparativo_LD_Acum!F8</f>
        <v>123</v>
      </c>
      <c r="H8" s="161">
        <f>+F8</f>
        <v>123</v>
      </c>
      <c r="I8" s="37"/>
      <c r="J8" s="161">
        <f>+Budget_Comparativo_LD_Acum!J8+Budget_Comparativo_PZ_Acum!J8</f>
        <v>0</v>
      </c>
      <c r="K8" s="37">
        <f>+F8-J8</f>
        <v>123</v>
      </c>
      <c r="L8" s="421">
        <f>IF(D8=0,0,1-(+F8/D8))</f>
        <v>0.89593908629441621</v>
      </c>
      <c r="N8" s="36">
        <f>+D8</f>
        <v>1182</v>
      </c>
      <c r="O8" s="37">
        <f>+F8</f>
        <v>123</v>
      </c>
      <c r="P8" s="151">
        <f>+IF(N8=0,0,O8/N8)</f>
        <v>0.10406091370558376</v>
      </c>
      <c r="Q8" s="461">
        <f>+Budget_Comparativo_PZ_Acum!Q8+Budget_Comparativo_LD_Acum!Q8</f>
        <v>0</v>
      </c>
      <c r="S8" s="114"/>
    </row>
    <row r="9" spans="1:20">
      <c r="A9" s="33"/>
      <c r="B9" s="34" t="s">
        <v>204</v>
      </c>
      <c r="C9" s="33"/>
      <c r="D9" s="36">
        <v>12</v>
      </c>
      <c r="E9" s="94">
        <f>+F9</f>
        <v>3</v>
      </c>
      <c r="F9" s="300">
        <f>+Budget_Comparativo_PZ_Acum!F9</f>
        <v>3</v>
      </c>
      <c r="H9" s="162">
        <f>+F9</f>
        <v>3</v>
      </c>
      <c r="I9" s="162"/>
      <c r="J9" s="101"/>
      <c r="K9" s="101"/>
      <c r="L9" s="421">
        <f>1-(+F9/D9)</f>
        <v>0.75</v>
      </c>
      <c r="M9" s="113"/>
      <c r="N9" s="36">
        <f>+D9</f>
        <v>12</v>
      </c>
      <c r="O9" s="37">
        <f>+F9</f>
        <v>3</v>
      </c>
      <c r="P9" s="151">
        <f>+O9/N9</f>
        <v>0.25</v>
      </c>
      <c r="Q9" s="461">
        <f>+O9-1</f>
        <v>2</v>
      </c>
      <c r="S9" s="114"/>
    </row>
    <row r="10" spans="1:20" ht="16" thickBot="1">
      <c r="A10" s="33"/>
      <c r="B10" s="34" t="s">
        <v>137</v>
      </c>
      <c r="C10" s="33"/>
      <c r="D10" s="149">
        <f>IF(D7=0,0,+D7/D8)</f>
        <v>2.9991539763113368</v>
      </c>
      <c r="E10" s="149">
        <f>IF(E7=0,0,+E7/E8)</f>
        <v>2.934959349593496</v>
      </c>
      <c r="F10" s="149">
        <f>IF(F7=0,0,+F7/F8)</f>
        <v>2.934959349593496</v>
      </c>
      <c r="G10" s="33"/>
      <c r="H10" s="422">
        <f>+F10</f>
        <v>2.934959349593496</v>
      </c>
      <c r="I10" s="417"/>
      <c r="J10" s="37"/>
      <c r="K10" s="37"/>
      <c r="L10" s="33"/>
      <c r="N10" s="149">
        <f>IF(N7=0,0,+N7/N8)</f>
        <v>2.9991539763113368</v>
      </c>
      <c r="O10" s="149">
        <f>IF(O7=0,0,+O7/O8)</f>
        <v>2.934959349593496</v>
      </c>
      <c r="P10" s="37"/>
      <c r="Q10" s="149">
        <f>IF(Q7=0,0,+Q7/Q8)</f>
        <v>0</v>
      </c>
      <c r="S10" s="114"/>
    </row>
    <row r="11" spans="1:20" ht="47" thickBot="1">
      <c r="A11" s="18"/>
      <c r="B11" s="109" t="s">
        <v>97</v>
      </c>
      <c r="C11" s="18"/>
      <c r="D11" s="226" t="str">
        <f>+D6</f>
        <v>BUDGET
TOTAL</v>
      </c>
      <c r="E11" s="226" t="str">
        <f>+E6</f>
        <v>BUDGET
AJUSTADO</v>
      </c>
      <c r="F11" s="298" t="str">
        <f>+F6</f>
        <v>REAL</v>
      </c>
      <c r="G11" s="228" t="s">
        <v>213</v>
      </c>
      <c r="H11" s="227" t="s">
        <v>220</v>
      </c>
      <c r="I11" s="291" t="s">
        <v>127</v>
      </c>
      <c r="J11" s="226" t="s">
        <v>128</v>
      </c>
      <c r="K11" s="252" t="s">
        <v>253</v>
      </c>
      <c r="L11" s="199" t="s">
        <v>156</v>
      </c>
      <c r="M11" s="113"/>
      <c r="N11" s="32" t="str">
        <f>+D11</f>
        <v>BUDGET
TOTAL</v>
      </c>
      <c r="O11" s="32" t="s">
        <v>118</v>
      </c>
      <c r="P11" s="32" t="s">
        <v>120</v>
      </c>
      <c r="Q11" s="426" t="str">
        <f>+Q6</f>
        <v>REAL 
Mes 
Anterior</v>
      </c>
      <c r="S11" s="32" t="s">
        <v>121</v>
      </c>
    </row>
    <row r="12" spans="1:20" s="49" customFormat="1" ht="16" thickBot="1">
      <c r="A12" s="42"/>
      <c r="B12" s="34"/>
      <c r="C12" s="121"/>
      <c r="D12" s="271"/>
      <c r="E12" s="234"/>
      <c r="F12" s="273"/>
      <c r="G12" s="321"/>
      <c r="H12" s="235"/>
      <c r="I12" s="235"/>
      <c r="J12" s="234"/>
      <c r="K12" s="234"/>
      <c r="L12" s="121"/>
      <c r="M12" s="113"/>
      <c r="N12" s="34"/>
      <c r="O12" s="122"/>
      <c r="P12" s="122"/>
      <c r="Q12" s="432"/>
      <c r="R12" s="16"/>
      <c r="S12" s="114"/>
    </row>
    <row r="13" spans="1:20" s="58" customFormat="1" ht="16" thickBot="1">
      <c r="A13" s="370" t="e">
        <f>+#REF!</f>
        <v>#REF!</v>
      </c>
      <c r="B13" s="51" t="s">
        <v>154</v>
      </c>
      <c r="C13" s="50"/>
      <c r="D13" s="232">
        <f>+'Budget_Temp_2023-2024'!F12</f>
        <v>106350</v>
      </c>
      <c r="E13" s="232">
        <f>IF($E$10=0,H13,IF($E$7&gt;$D$7,(+D13/$D$7*$E$7),IF(D13&lt;H13,+D13,IF($E$9&gt;10,F13,IF(F13&lt;D13,F13,D13)))))</f>
        <v>0</v>
      </c>
      <c r="F13" s="232">
        <f>+SUMIF(Resumen_Base!$A$5:$A$26,Budget_Comparativo_FL_Acum!B13,Resumen_Base!$Y$5:$Y$26)</f>
        <v>0</v>
      </c>
      <c r="G13" s="320"/>
      <c r="H13" s="233">
        <f>+F13+G13</f>
        <v>0</v>
      </c>
      <c r="I13" s="233">
        <f>+IF(H13=0,0,E13-H13)</f>
        <v>0</v>
      </c>
      <c r="J13" s="232">
        <v>0</v>
      </c>
      <c r="K13" s="232">
        <f>+I13-J13</f>
        <v>0</v>
      </c>
      <c r="L13" s="225">
        <f>IF(D13=0,0,1-(+F13/D13))</f>
        <v>1</v>
      </c>
      <c r="M13" s="68" t="s">
        <v>98</v>
      </c>
      <c r="N13" s="53">
        <f>IF(D7=0,0,+D13/D7)</f>
        <v>30</v>
      </c>
      <c r="O13" s="54">
        <f>IF(H7=0,0,+H13/H7)</f>
        <v>0</v>
      </c>
      <c r="P13" s="54">
        <f>+N13-O13</f>
        <v>30</v>
      </c>
      <c r="Q13" s="434">
        <v>0</v>
      </c>
      <c r="R13" s="16"/>
      <c r="S13" s="111" t="s">
        <v>281</v>
      </c>
    </row>
    <row r="14" spans="1:20" s="49" customFormat="1">
      <c r="A14" s="42"/>
      <c r="B14" s="34"/>
      <c r="C14" s="121"/>
      <c r="D14" s="272"/>
      <c r="E14" s="273"/>
      <c r="F14" s="273"/>
      <c r="G14" s="321"/>
      <c r="H14" s="235"/>
      <c r="I14" s="235"/>
      <c r="J14" s="234"/>
      <c r="K14" s="234"/>
      <c r="L14" s="121"/>
      <c r="M14" s="113"/>
      <c r="N14" s="34"/>
      <c r="O14" s="122"/>
      <c r="P14" s="122"/>
      <c r="Q14" s="432"/>
      <c r="R14" s="16"/>
      <c r="S14" s="114"/>
    </row>
    <row r="15" spans="1:20" s="17" customFormat="1" ht="16" thickBot="1">
      <c r="A15" s="61"/>
      <c r="B15" s="62" t="s">
        <v>100</v>
      </c>
      <c r="C15" s="61"/>
      <c r="D15" s="274"/>
      <c r="E15" s="274"/>
      <c r="F15" s="274"/>
      <c r="G15" s="321"/>
      <c r="H15" s="237"/>
      <c r="I15" s="237"/>
      <c r="J15" s="236"/>
      <c r="K15" s="236"/>
      <c r="L15" s="61"/>
      <c r="M15" s="113"/>
      <c r="N15" s="64"/>
      <c r="O15" s="65"/>
      <c r="P15" s="65"/>
      <c r="Q15" s="433"/>
      <c r="S15" s="124"/>
    </row>
    <row r="16" spans="1:20" s="60" customFormat="1" ht="26.5" thickBot="1">
      <c r="A16" s="425" t="e">
        <f>+#REF!</f>
        <v>#REF!</v>
      </c>
      <c r="B16" s="59" t="s">
        <v>102</v>
      </c>
      <c r="C16" s="50"/>
      <c r="D16" s="232">
        <f>+'Budget_Temp_2023-2024'!F18</f>
        <v>70900</v>
      </c>
      <c r="E16" s="232">
        <f>IF($E$10=0,H16,+N16*$E$7)</f>
        <v>7220</v>
      </c>
      <c r="F16" s="232">
        <f>+SUMIF(Resumen_Base!$A$5:$A$26,Budget_Comparativo_FL_Acum!B16,Resumen_Base!$Y$5:$Y$26)</f>
        <v>0</v>
      </c>
      <c r="G16" s="320">
        <f>-Budget_Comparativo_CL!G19</f>
        <v>0</v>
      </c>
      <c r="H16" s="233">
        <f>+F16+G16</f>
        <v>0</v>
      </c>
      <c r="I16" s="233">
        <f>+IF(H16=0,0,E16-H16)</f>
        <v>0</v>
      </c>
      <c r="J16" s="232">
        <v>0</v>
      </c>
      <c r="K16" s="232">
        <f>+I16-J16</f>
        <v>0</v>
      </c>
      <c r="L16" s="225">
        <f>IF(D16=0,0,1-(+F16/D16))</f>
        <v>1</v>
      </c>
      <c r="M16" s="68" t="s">
        <v>98</v>
      </c>
      <c r="N16" s="53">
        <f>IF(D16=0,0,$D16/$D$7)</f>
        <v>20</v>
      </c>
      <c r="O16" s="54">
        <f>IF(F7=0,0,IF(H16=0,0,$H16/$F$7))</f>
        <v>0</v>
      </c>
      <c r="P16" s="54">
        <f>+N16-O16</f>
        <v>20</v>
      </c>
      <c r="Q16" s="434">
        <v>0</v>
      </c>
      <c r="S16" s="319" t="s">
        <v>283</v>
      </c>
      <c r="T16" s="462"/>
    </row>
    <row r="17" spans="1:22" s="60" customFormat="1" ht="16" thickBot="1">
      <c r="A17" s="50"/>
      <c r="B17" s="59" t="s">
        <v>104</v>
      </c>
      <c r="C17" s="50"/>
      <c r="D17" s="232">
        <f>+'Budget_Temp_2023-2024'!F20</f>
        <v>10635</v>
      </c>
      <c r="E17" s="232">
        <f>IF($E$10=0,H17,IF(F7=12,D17,IF(D17&lt;H17,+D17,+H17)))</f>
        <v>0</v>
      </c>
      <c r="F17" s="232">
        <f>+SUMIF(Resumen_Base!$A$5:$A$26,Budget_Comparativo_FL_Acum!B17,Resumen_Base!$Y$5:$Y$26)</f>
        <v>0</v>
      </c>
      <c r="G17" s="321"/>
      <c r="H17" s="233">
        <f>+F17+G17</f>
        <v>0</v>
      </c>
      <c r="I17" s="233">
        <f>+IF(H17=0,0,E17-H17)</f>
        <v>0</v>
      </c>
      <c r="J17" s="232">
        <v>0</v>
      </c>
      <c r="K17" s="232">
        <f>+I17-J17</f>
        <v>0</v>
      </c>
      <c r="L17" s="225">
        <f>IF(D17=0,0,1-(+F17/D17))</f>
        <v>1</v>
      </c>
      <c r="M17" s="68" t="s">
        <v>124</v>
      </c>
      <c r="N17" s="53">
        <f>IF(D17=0,0,$D17/$D$7)</f>
        <v>3</v>
      </c>
      <c r="O17" s="54">
        <f>IF(H17=0,0,$H17/$F$7)</f>
        <v>0</v>
      </c>
      <c r="P17" s="54">
        <f>+N17-O17</f>
        <v>3</v>
      </c>
      <c r="Q17" s="434">
        <v>0</v>
      </c>
      <c r="S17" s="111" t="s">
        <v>255</v>
      </c>
    </row>
    <row r="18" spans="1:22" s="49" customFormat="1" ht="16" thickBot="1">
      <c r="A18" s="42"/>
      <c r="B18" s="34"/>
      <c r="C18" s="121"/>
      <c r="D18" s="272"/>
      <c r="E18" s="273"/>
      <c r="F18" s="273"/>
      <c r="G18" s="321"/>
      <c r="H18" s="235"/>
      <c r="I18" s="235"/>
      <c r="J18" s="234"/>
      <c r="K18" s="234"/>
      <c r="L18" s="50"/>
      <c r="M18" s="113"/>
      <c r="N18" s="34"/>
      <c r="O18" s="122"/>
      <c r="P18" s="122"/>
      <c r="Q18" s="432"/>
      <c r="R18" s="16"/>
      <c r="S18" s="114"/>
    </row>
    <row r="19" spans="1:22" s="60" customFormat="1" ht="16" thickBot="1">
      <c r="A19" s="50"/>
      <c r="B19" s="59" t="s">
        <v>61</v>
      </c>
      <c r="C19" s="50"/>
      <c r="D19" s="232">
        <f>+'Budget_Temp_2023-2024'!F23</f>
        <v>2500</v>
      </c>
      <c r="E19" s="232">
        <f>IF($E$10=0,H19,IF(F9=12,D19,IF(D19&lt;H19,+D19,+H19)))</f>
        <v>0</v>
      </c>
      <c r="F19" s="232">
        <f>+SUMIF(Resumen_Base!$A$5:$A$26,Budget_Comparativo_FL_Acum!B19,Resumen_Base!$Y$5:$Y$26)</f>
        <v>0</v>
      </c>
      <c r="G19" s="321"/>
      <c r="H19" s="233">
        <f>+F19+G19</f>
        <v>0</v>
      </c>
      <c r="I19" s="233">
        <f>+IF(H19=0,0,E19-H19)</f>
        <v>0</v>
      </c>
      <c r="J19" s="232">
        <v>0</v>
      </c>
      <c r="K19" s="232">
        <f>+I19-J19</f>
        <v>0</v>
      </c>
      <c r="L19" s="225">
        <f>IF(D19=0,0,1-(+F19/D19))</f>
        <v>1</v>
      </c>
      <c r="M19" s="68" t="s">
        <v>124</v>
      </c>
      <c r="N19" s="53">
        <v>0</v>
      </c>
      <c r="O19" s="54">
        <v>0</v>
      </c>
      <c r="P19" s="54">
        <v>0</v>
      </c>
      <c r="Q19" s="434">
        <v>0</v>
      </c>
      <c r="S19" s="319" t="s">
        <v>269</v>
      </c>
    </row>
    <row r="20" spans="1:22" s="49" customFormat="1" ht="16" thickBot="1">
      <c r="A20" s="42"/>
      <c r="B20" s="34"/>
      <c r="C20" s="121"/>
      <c r="D20" s="272"/>
      <c r="E20" s="273"/>
      <c r="F20" s="273"/>
      <c r="G20" s="321"/>
      <c r="H20" s="235"/>
      <c r="I20" s="235"/>
      <c r="J20" s="234"/>
      <c r="K20" s="234"/>
      <c r="L20" s="121"/>
      <c r="M20" s="113"/>
      <c r="N20" s="34"/>
      <c r="O20" s="122"/>
      <c r="P20" s="122"/>
      <c r="Q20" s="432"/>
      <c r="R20" s="60"/>
      <c r="S20" s="114"/>
    </row>
    <row r="21" spans="1:22" s="60" customFormat="1" ht="16" thickBot="1">
      <c r="A21" s="425" t="e">
        <f>+#REF!</f>
        <v>#REF!</v>
      </c>
      <c r="B21" s="59" t="s">
        <v>166</v>
      </c>
      <c r="C21" s="50"/>
      <c r="D21" s="232">
        <f>+'Budget_Temp_2023-2024'!F25</f>
        <v>35450</v>
      </c>
      <c r="E21" s="232">
        <f>IF($E$10=0,H21,IF($F$9=12,IF(D21&gt;($F$8*N21),D21,+N21*$E$8),+N21*$E$8))</f>
        <v>3688.959390862944</v>
      </c>
      <c r="F21" s="232">
        <f>+SUMIF(Resumen_Base!$A$5:$A$26,Budget_Comparativo_FL_Acum!B21,Resumen_Base!$Y$5:$Y$26)</f>
        <v>0</v>
      </c>
      <c r="G21" s="374">
        <f>-Budget_Comparativo_CL!G26</f>
        <v>0</v>
      </c>
      <c r="H21" s="233">
        <f>+F21+G21</f>
        <v>0</v>
      </c>
      <c r="I21" s="233">
        <f>+IF(H21=0,0,E21-H21)</f>
        <v>0</v>
      </c>
      <c r="J21" s="232">
        <v>0</v>
      </c>
      <c r="K21" s="232">
        <f>+I21-J21</f>
        <v>0</v>
      </c>
      <c r="L21" s="50"/>
      <c r="M21" s="68" t="s">
        <v>105</v>
      </c>
      <c r="N21" s="53">
        <f>IF(D21=0,0,$D21/$D$8)</f>
        <v>29.991539763113366</v>
      </c>
      <c r="O21" s="54">
        <f>IF(F8=0,0,IF(F21=0,0,$F21/$F$8))</f>
        <v>0</v>
      </c>
      <c r="P21" s="54">
        <f>+N21-O21</f>
        <v>29.991539763113366</v>
      </c>
      <c r="Q21" s="434">
        <v>0</v>
      </c>
      <c r="R21" s="16"/>
      <c r="S21" s="111" t="s">
        <v>282</v>
      </c>
    </row>
    <row r="22" spans="1:22" s="49" customFormat="1">
      <c r="A22" s="42"/>
      <c r="B22" s="34"/>
      <c r="C22" s="121"/>
      <c r="D22" s="272"/>
      <c r="E22" s="273"/>
      <c r="F22" s="273"/>
      <c r="G22" s="321"/>
      <c r="H22" s="235"/>
      <c r="I22" s="235"/>
      <c r="J22" s="234"/>
      <c r="K22" s="234"/>
      <c r="L22" s="121"/>
      <c r="M22" s="113"/>
      <c r="N22" s="34"/>
      <c r="O22" s="122"/>
      <c r="P22" s="122"/>
      <c r="Q22" s="432"/>
      <c r="R22" s="16"/>
      <c r="S22" s="114"/>
    </row>
    <row r="23" spans="1:22" ht="16" thickBot="1">
      <c r="A23" s="69"/>
      <c r="B23" s="62" t="s">
        <v>108</v>
      </c>
      <c r="C23" s="69"/>
      <c r="D23" s="275"/>
      <c r="E23" s="275"/>
      <c r="F23" s="275"/>
      <c r="G23" s="321"/>
      <c r="H23" s="230"/>
      <c r="I23" s="230"/>
      <c r="J23" s="229"/>
      <c r="K23" s="229"/>
      <c r="L23" s="121"/>
      <c r="M23" s="113"/>
      <c r="N23" s="125"/>
      <c r="O23" s="126"/>
      <c r="P23" s="126"/>
      <c r="Q23" s="435"/>
      <c r="R23" s="60"/>
      <c r="S23" s="114"/>
    </row>
    <row r="24" spans="1:22" s="60" customFormat="1" ht="16" thickBot="1">
      <c r="A24" s="425" t="e">
        <f>+#REF!</f>
        <v>#REF!</v>
      </c>
      <c r="B24" s="67" t="s">
        <v>110</v>
      </c>
      <c r="C24" s="50"/>
      <c r="D24" s="232">
        <f>+'Budget_Temp_2023-2024'!F29</f>
        <v>30000</v>
      </c>
      <c r="E24" s="232">
        <f>IF($E$10=0,H24,IF(H24&lt;D24,H24,D24))</f>
        <v>0</v>
      </c>
      <c r="F24" s="232">
        <f>+SUMIF(Resumen_Base!$A$5:$A$26,Budget_Comparativo_FL_Acum!B24,Resumen_Base!$Y$5:$Y$26)</f>
        <v>0</v>
      </c>
      <c r="G24" s="321"/>
      <c r="H24" s="233">
        <f>+F24+G24</f>
        <v>0</v>
      </c>
      <c r="I24" s="233">
        <f>+IF(H24=0,0,E24-H24)</f>
        <v>0</v>
      </c>
      <c r="J24" s="232">
        <v>0</v>
      </c>
      <c r="K24" s="232">
        <f>+I24-J24</f>
        <v>0</v>
      </c>
      <c r="L24" s="225">
        <f>IF(D24=0,0,1-(+F24/D24))</f>
        <v>1</v>
      </c>
      <c r="M24" s="68" t="s">
        <v>107</v>
      </c>
      <c r="N24" s="53">
        <f>+D24/12</f>
        <v>2500</v>
      </c>
      <c r="O24" s="54">
        <f>+F24/$F$9</f>
        <v>0</v>
      </c>
      <c r="P24" s="54">
        <f>+N24-O24</f>
        <v>2500</v>
      </c>
      <c r="Q24" s="434">
        <v>0</v>
      </c>
      <c r="S24" s="111" t="s">
        <v>255</v>
      </c>
      <c r="T24" s="462">
        <v>0</v>
      </c>
    </row>
    <row r="25" spans="1:22" s="60" customFormat="1" ht="16" thickBot="1">
      <c r="A25" s="50"/>
      <c r="B25" s="67" t="s">
        <v>160</v>
      </c>
      <c r="C25" s="50"/>
      <c r="D25" s="232">
        <f>+'Budget_Temp_2023-2024'!F30</f>
        <v>10000</v>
      </c>
      <c r="E25" s="232">
        <f>IF($E$10=0,H25,IF(H25&lt;D25,H25,D25))</f>
        <v>0</v>
      </c>
      <c r="F25" s="232">
        <f>+SUMIF(Resumen_Base!$A$5:$A$26,Budget_Comparativo_FL_Acum!B25,Resumen_Base!$Y$5:$Y$26)</f>
        <v>0</v>
      </c>
      <c r="G25" s="320">
        <f>ROUND(-(+T25-U25-V25),2)</f>
        <v>0</v>
      </c>
      <c r="H25" s="233">
        <f>+F25+G25</f>
        <v>0</v>
      </c>
      <c r="I25" s="233">
        <f>+IF(H25=0,0,E25-H25)</f>
        <v>0</v>
      </c>
      <c r="J25" s="232">
        <v>0</v>
      </c>
      <c r="K25" s="232">
        <f>+I25-J25</f>
        <v>0</v>
      </c>
      <c r="L25" s="225">
        <f>IF(D25=0,0,1-(+F25/D25))</f>
        <v>1</v>
      </c>
      <c r="M25" s="68" t="s">
        <v>107</v>
      </c>
      <c r="N25" s="53">
        <f>+D25/12</f>
        <v>833.33333333333337</v>
      </c>
      <c r="O25" s="54">
        <f>+F25/$F$9</f>
        <v>0</v>
      </c>
      <c r="P25" s="54">
        <f>+N25-O25</f>
        <v>833.33333333333337</v>
      </c>
      <c r="Q25" s="434">
        <v>0</v>
      </c>
      <c r="S25" s="111" t="s">
        <v>255</v>
      </c>
      <c r="T25" s="204"/>
      <c r="U25" s="206"/>
      <c r="V25" s="205">
        <v>0</v>
      </c>
    </row>
    <row r="26" spans="1:22" s="49" customFormat="1" ht="16" thickBot="1">
      <c r="A26" s="42"/>
      <c r="B26" s="34"/>
      <c r="C26" s="121"/>
      <c r="D26" s="272"/>
      <c r="E26" s="273"/>
      <c r="F26" s="273"/>
      <c r="G26" s="321"/>
      <c r="H26" s="235"/>
      <c r="I26" s="235"/>
      <c r="J26" s="234"/>
      <c r="K26" s="234"/>
      <c r="L26" s="121"/>
      <c r="M26" s="113"/>
      <c r="N26" s="34"/>
      <c r="O26" s="122"/>
      <c r="P26" s="122"/>
      <c r="Q26" s="432"/>
      <c r="R26" s="16"/>
      <c r="S26" s="114"/>
    </row>
    <row r="27" spans="1:22" s="266" customFormat="1" ht="20.5" thickBot="1">
      <c r="B27" s="260" t="s">
        <v>112</v>
      </c>
      <c r="C27" s="261"/>
      <c r="D27" s="281">
        <f t="shared" ref="D27:K27" si="0">+SUM(D12:D26)</f>
        <v>265835</v>
      </c>
      <c r="E27" s="281">
        <f t="shared" si="0"/>
        <v>10908.959390862943</v>
      </c>
      <c r="F27" s="281">
        <f t="shared" si="0"/>
        <v>0</v>
      </c>
      <c r="G27" s="322">
        <f t="shared" si="0"/>
        <v>0</v>
      </c>
      <c r="H27" s="264">
        <f t="shared" si="0"/>
        <v>0</v>
      </c>
      <c r="I27" s="264">
        <f t="shared" si="0"/>
        <v>0</v>
      </c>
      <c r="J27" s="264">
        <v>0</v>
      </c>
      <c r="K27" s="263">
        <f t="shared" si="0"/>
        <v>0</v>
      </c>
      <c r="L27" s="267">
        <f>+D27-'Budget_Temp_2023-2024'!F34</f>
        <v>0</v>
      </c>
      <c r="N27" s="268"/>
      <c r="O27" s="269"/>
      <c r="P27" s="268"/>
      <c r="Q27" s="439"/>
      <c r="R27" s="60"/>
      <c r="S27" s="270"/>
    </row>
    <row r="28" spans="1:22" s="49" customFormat="1" ht="16" thickBot="1">
      <c r="A28" s="81"/>
      <c r="B28" s="128"/>
      <c r="C28" s="129"/>
      <c r="D28" s="277"/>
      <c r="E28" s="275"/>
      <c r="F28" s="275"/>
      <c r="G28" s="321"/>
      <c r="H28" s="230"/>
      <c r="I28" s="230"/>
      <c r="J28" s="229"/>
      <c r="K28" s="229"/>
      <c r="L28" s="113"/>
      <c r="M28" s="112"/>
      <c r="N28" s="125"/>
      <c r="O28" s="126"/>
      <c r="P28" s="126"/>
      <c r="Q28" s="435"/>
      <c r="R28" s="16"/>
      <c r="S28" s="114"/>
    </row>
    <row r="29" spans="1:22" ht="96" customHeight="1" thickBot="1">
      <c r="B29" s="86" t="s">
        <v>227</v>
      </c>
      <c r="D29" s="276">
        <f>+D34</f>
        <v>191000</v>
      </c>
      <c r="E29" s="276">
        <f>+E34</f>
        <v>191000</v>
      </c>
      <c r="F29" s="276">
        <f>+F34</f>
        <v>0</v>
      </c>
      <c r="G29" s="321">
        <f>+G34</f>
        <v>52600</v>
      </c>
      <c r="H29" s="242">
        <f>+F29+G29</f>
        <v>52600</v>
      </c>
      <c r="I29" s="242">
        <f>+IF(H29=0,0,E29-H29)</f>
        <v>138400</v>
      </c>
      <c r="J29" s="242">
        <v>0</v>
      </c>
      <c r="K29" s="232">
        <f>+I29-J29</f>
        <v>138400</v>
      </c>
      <c r="L29" s="225">
        <f>IF(D29=0,0,1-(+F29/D29))</f>
        <v>1</v>
      </c>
      <c r="M29" s="87" t="s">
        <v>124</v>
      </c>
      <c r="N29" s="78"/>
      <c r="O29" s="80"/>
      <c r="P29" s="80"/>
      <c r="Q29" s="479"/>
      <c r="R29" s="18" t="str">
        <f>IF(ROUND(V29,1)=0,"ok","Check")</f>
        <v>Check</v>
      </c>
      <c r="S29" s="319" t="s">
        <v>275</v>
      </c>
      <c r="T29" s="364">
        <f>64+0.4+0.4+102.1+52.6</f>
        <v>219.5</v>
      </c>
      <c r="U29" s="460">
        <f>+H29/1000</f>
        <v>52.6</v>
      </c>
      <c r="V29" s="460">
        <f>+T29-U29</f>
        <v>166.9</v>
      </c>
    </row>
    <row r="30" spans="1:22" ht="16" thickBot="1">
      <c r="B30" s="86" t="s">
        <v>210</v>
      </c>
      <c r="D30" s="276">
        <f>IF(E7=0,0,+F30)</f>
        <v>0</v>
      </c>
      <c r="E30" s="276">
        <f>IF(D30&gt;F30,+D30,IF($E$9&gt;10,F30,IF(F30&lt;D30,F30,D30)))</f>
        <v>0</v>
      </c>
      <c r="F30" s="276">
        <f>+SUMIF(Resumen_Base!$A$5:$A$26,Budget_Comparativo_FL_Acum!B30,Resumen_Base!$Y$5:$Y$26)</f>
        <v>0</v>
      </c>
      <c r="G30" s="321"/>
      <c r="H30" s="242">
        <f>+F30+G30</f>
        <v>0</v>
      </c>
      <c r="I30" s="242">
        <f>IF(H9=12,+IF(H30=0,0,E30-H30),0)</f>
        <v>0</v>
      </c>
      <c r="J30" s="242">
        <v>0</v>
      </c>
      <c r="K30" s="232">
        <f>+I30-J30</f>
        <v>0</v>
      </c>
      <c r="L30" s="225">
        <f>IF(D30=0,0,1-(+F30/D30))</f>
        <v>0</v>
      </c>
      <c r="M30" s="87" t="s">
        <v>124</v>
      </c>
      <c r="N30" s="78"/>
      <c r="O30" s="80"/>
      <c r="P30" s="80"/>
      <c r="Q30" s="440"/>
      <c r="S30" s="111" t="s">
        <v>255</v>
      </c>
    </row>
    <row r="31" spans="1:22" s="49" customFormat="1" ht="16" thickBot="1">
      <c r="A31" s="88"/>
      <c r="B31" s="14"/>
      <c r="C31" s="14"/>
      <c r="D31" s="278"/>
      <c r="E31" s="278"/>
      <c r="F31" s="278"/>
      <c r="G31" s="321"/>
      <c r="H31" s="246"/>
      <c r="I31" s="246"/>
      <c r="J31" s="245"/>
      <c r="K31" s="245"/>
      <c r="L31" s="127">
        <f>+D29+D30-'Budget_Temp_2023-2024'!F36</f>
        <v>0</v>
      </c>
      <c r="M31" s="113"/>
      <c r="N31" s="112"/>
      <c r="O31" s="112"/>
      <c r="P31" s="130"/>
      <c r="Q31" s="441"/>
      <c r="R31" s="16"/>
      <c r="S31" s="114"/>
    </row>
    <row r="32" spans="1:22" ht="16" thickBot="1">
      <c r="B32" s="89" t="s">
        <v>114</v>
      </c>
      <c r="C32" s="135"/>
      <c r="D32" s="279">
        <f>+D27+D29+D30</f>
        <v>456835</v>
      </c>
      <c r="E32" s="279">
        <f>+E27+E29+E30</f>
        <v>201908.95939086293</v>
      </c>
      <c r="F32" s="280">
        <f>ROUND(+F27+F29+F30,0)</f>
        <v>0</v>
      </c>
      <c r="G32" s="323">
        <f>ROUND(+G27+G29+G30,0)</f>
        <v>52600</v>
      </c>
      <c r="H32" s="280">
        <f>ROUND(+H27+H29+H30,0)</f>
        <v>52600</v>
      </c>
      <c r="I32" s="242">
        <f>+I27+I29+I30</f>
        <v>138400</v>
      </c>
      <c r="J32" s="242">
        <v>0</v>
      </c>
      <c r="K32" s="232">
        <f>+K27+K29+K30</f>
        <v>138400</v>
      </c>
      <c r="L32" s="127">
        <f>+D32-'Budget_Temp_2023-2024'!F39</f>
        <v>0</v>
      </c>
      <c r="M32" s="113"/>
      <c r="N32" s="92"/>
      <c r="O32" s="105"/>
      <c r="P32" s="92"/>
      <c r="Q32" s="442"/>
    </row>
    <row r="33" spans="2:20">
      <c r="D33" s="215"/>
      <c r="E33" s="215"/>
      <c r="F33" s="302" t="str">
        <f ca="1">+IF(F32=Resumen_Base!Y5,"OK","Check")</f>
        <v>OK</v>
      </c>
      <c r="G33" s="324"/>
      <c r="H33" s="302" t="str">
        <f>+IF(H34=0,"Ok","Check")</f>
        <v>Ok</v>
      </c>
      <c r="M33" s="113"/>
      <c r="N33" s="112"/>
      <c r="O33" s="112"/>
      <c r="P33" s="112"/>
      <c r="S33" s="114"/>
    </row>
    <row r="34" spans="2:20" ht="16">
      <c r="B34" s="350" t="s">
        <v>222</v>
      </c>
      <c r="D34" s="352">
        <f>+SUM(D35:D41)</f>
        <v>191000</v>
      </c>
      <c r="E34" s="352">
        <f>+SUM(E35:E41)</f>
        <v>191000</v>
      </c>
      <c r="F34" s="352">
        <f>+SUM(F35:F41)</f>
        <v>0</v>
      </c>
      <c r="G34" s="352">
        <f>+SUM(G35:G41)</f>
        <v>52600</v>
      </c>
      <c r="H34" s="282">
        <f>+F32+G32-H32</f>
        <v>0</v>
      </c>
      <c r="S34" s="114"/>
      <c r="T34" s="16" t="str">
        <f>+"- May 17: FL "&amp;S34&amp;" USD "&amp;R34&amp;" / "&amp;S35&amp;" USD "&amp;R35&amp;" / "&amp;S36&amp;" USD "&amp;R36&amp;" / "&amp;S37&amp;" USD "&amp;R37&amp;" / "&amp;S39&amp;" USD "&amp;R39&amp;" / "&amp;S41&amp;" USD "&amp;R41&amp;" / "&amp;S42&amp;" USD "&amp;R42&amp;" / "&amp;S43&amp;" USD "&amp;R43&amp;" / "&amp;S44&amp;" USD "&amp;R44&amp;" / "&amp;S45&amp;" USD "&amp;R45&amp;" / "&amp;S46&amp;" USD "&amp;R46&amp;" / "&amp;S47&amp;" USD "&amp;R47&amp;" / "&amp;S48&amp;" USD "&amp;R48&amp;" / "&amp;S49&amp;" USD "&amp;R49&amp;" / "&amp;S50&amp;" USD "&amp;R50&amp;" / "&amp;S51&amp;" USD "&amp;R51</f>
        <v xml:space="preserve">- May 17: FL  USD  /  USD  /  USD  /  USD  /  USD  /  USD  /  USD  /  USD  /  USD  /  USD  /  USD  /  USD  /  USD  /  USD  /  USD  /  USD </v>
      </c>
    </row>
    <row r="35" spans="2:20">
      <c r="B35" s="349" t="s">
        <v>223</v>
      </c>
      <c r="D35" s="351">
        <f>+'Budget_Temp_2023-2024'!F42</f>
        <v>0</v>
      </c>
      <c r="E35" s="351">
        <f>+F35</f>
        <v>0</v>
      </c>
      <c r="F35" s="351">
        <f>+SUMIF(Resumen_Base!$A$5:$A$18,Budget_Comparativo_FL_Acum!B35,Resumen_Base!$Y$5:$Y$18)</f>
        <v>0</v>
      </c>
      <c r="S35" s="114"/>
    </row>
    <row r="36" spans="2:20">
      <c r="B36" s="14" t="s">
        <v>1</v>
      </c>
      <c r="D36" s="351">
        <f>+'Budget_Temp_2023-2024'!F43</f>
        <v>120000</v>
      </c>
      <c r="E36" s="351">
        <f>+F36</f>
        <v>0</v>
      </c>
      <c r="F36" s="351">
        <f>+SUMIF(Resumen_Base!$A$5:$A$18,Budget_Comparativo_FL_Acum!B36,Resumen_Base!$Y$5:$Y$18)</f>
        <v>0</v>
      </c>
      <c r="G36" s="351"/>
      <c r="H36" s="215"/>
      <c r="S36" s="114"/>
    </row>
    <row r="37" spans="2:20">
      <c r="B37" s="14" t="s">
        <v>224</v>
      </c>
      <c r="D37" s="351">
        <f>+'Budget_Temp_2023-2024'!F44</f>
        <v>0</v>
      </c>
      <c r="E37" s="351">
        <f>+F37</f>
        <v>0</v>
      </c>
      <c r="F37" s="351">
        <f>+SUMIF(Resumen_Base!$A$5:$A$18,Budget_Comparativo_FL_Acum!B37,Resumen_Base!$Y$5:$Y$18)</f>
        <v>0</v>
      </c>
      <c r="S37" s="114"/>
    </row>
    <row r="38" spans="2:20">
      <c r="B38" s="363" t="s">
        <v>229</v>
      </c>
      <c r="D38" s="221">
        <v>0</v>
      </c>
      <c r="E38" s="351">
        <f>+F38</f>
        <v>0</v>
      </c>
      <c r="F38" s="351"/>
      <c r="R38" s="364"/>
      <c r="S38" s="114"/>
    </row>
    <row r="39" spans="2:20">
      <c r="B39" s="14" t="s">
        <v>53</v>
      </c>
      <c r="D39" s="351">
        <f>+'Budget_Temp_2023-2024'!F45</f>
        <v>0</v>
      </c>
      <c r="E39" s="351">
        <f>+F39</f>
        <v>0</v>
      </c>
      <c r="F39" s="351">
        <f>+SUMIF(Resumen_Base!$A$5:$A$18,Budget_Comparativo_FL_Acum!B39,Resumen_Base!$Y$5:$Y$18)</f>
        <v>0</v>
      </c>
      <c r="S39" s="114"/>
    </row>
    <row r="40" spans="2:20">
      <c r="B40" s="14" t="s">
        <v>226</v>
      </c>
      <c r="D40" s="351">
        <f>+'Budget_Temp_2023-2024'!F46-D30</f>
        <v>71000</v>
      </c>
      <c r="E40" s="351">
        <f>+D34-SUM(E35:E39)</f>
        <v>191000</v>
      </c>
      <c r="F40" s="351">
        <f>+SUMIF(Resumen_Base!$A$5:$A$18,Budget_Comparativo_FL_Acum!B40,Resumen_Base!$Y$5:$Y$18)</f>
        <v>0</v>
      </c>
      <c r="G40" s="351">
        <v>52600</v>
      </c>
      <c r="S40" s="366"/>
    </row>
    <row r="41" spans="2:20">
      <c r="B41" s="353" t="s">
        <v>225</v>
      </c>
      <c r="C41" s="353"/>
      <c r="D41" s="353" t="s">
        <v>225</v>
      </c>
      <c r="E41" s="353" t="s">
        <v>225</v>
      </c>
      <c r="F41" s="353" t="s">
        <v>225</v>
      </c>
      <c r="G41" s="353" t="s">
        <v>225</v>
      </c>
      <c r="S41" s="114"/>
    </row>
    <row r="42" spans="2:20">
      <c r="D42" s="215"/>
      <c r="E42" s="215"/>
      <c r="S42" s="114"/>
    </row>
    <row r="43" spans="2:20">
      <c r="S43" s="114"/>
    </row>
    <row r="44" spans="2:20">
      <c r="S44" s="114"/>
    </row>
    <row r="45" spans="2:20">
      <c r="S45" s="114"/>
    </row>
    <row r="46" spans="2:20">
      <c r="S46" s="114"/>
    </row>
    <row r="47" spans="2:20">
      <c r="S47" s="114"/>
    </row>
    <row r="48" spans="2:20">
      <c r="S48" s="114"/>
    </row>
    <row r="49" spans="19:19">
      <c r="S49" s="114"/>
    </row>
    <row r="50" spans="19:19">
      <c r="S50" s="114"/>
    </row>
    <row r="51" spans="19:19">
      <c r="S51" s="114"/>
    </row>
  </sheetData>
  <mergeCells count="2">
    <mergeCell ref="N4:P4"/>
    <mergeCell ref="D4:F4"/>
  </mergeCells>
  <phoneticPr fontId="25" type="noConversion"/>
  <conditionalFormatting sqref="A13">
    <cfRule type="cellIs" dxfId="29" priority="1" operator="equal">
      <formula>"Check"</formula>
    </cfRule>
  </conditionalFormatting>
  <conditionalFormatting sqref="B4">
    <cfRule type="cellIs" dxfId="28" priority="102" stopIfTrue="1" operator="notEqual">
      <formula>"ok"</formula>
    </cfRule>
  </conditionalFormatting>
  <conditionalFormatting sqref="F3 F33:G33">
    <cfRule type="cellIs" dxfId="27" priority="99" stopIfTrue="1" operator="equal">
      <formula>"OK"</formula>
    </cfRule>
  </conditionalFormatting>
  <conditionalFormatting sqref="F2:I2">
    <cfRule type="cellIs" dxfId="26" priority="2" operator="equal">
      <formula>"Check"</formula>
    </cfRule>
  </conditionalFormatting>
  <conditionalFormatting sqref="H3">
    <cfRule type="cellIs" dxfId="25" priority="4" stopIfTrue="1" operator="equal">
      <formula>"OK"</formula>
    </cfRule>
  </conditionalFormatting>
  <conditionalFormatting sqref="H33:H34">
    <cfRule type="cellIs" dxfId="24" priority="5" stopIfTrue="1" operator="equal">
      <formula>"OK"</formula>
    </cfRule>
  </conditionalFormatting>
  <conditionalFormatting sqref="I13:K17 P13:Q28 I16:I32 J18:K27 J28 K28:K29 P29 J29:K32 P30:Q32">
    <cfRule type="cellIs" dxfId="23" priority="101" stopIfTrue="1" operator="lessThan">
      <formula>0</formula>
    </cfRule>
  </conditionalFormatting>
  <hyperlinks>
    <hyperlink ref="B13" location="Costos_Directos!C8" display="Canon/ lodge rentals"/>
    <hyperlink ref="B16" location="Costos_Directos!M8" display="Vehiculos/Botes"/>
    <hyperlink ref="B17" location="Costos_Directos!R8" display="Traslado Aerop/Lodge/Alq Vehiculos"/>
    <hyperlink ref="B19" location="Costos_Directos!W8" display="Uniformes"/>
    <hyperlink ref="B24" location="Costos_Directos!AA8" display="Vehiculos"/>
    <hyperlink ref="B25" location="Costos_Directos!AC8" display="Equipos"/>
    <hyperlink ref="B30" location="Inversiones!A1" display="INVERSIONES"/>
    <hyperlink ref="B21" location="Costos_Directos!E8" display="Permisos de Pesca/Caza"/>
    <hyperlink ref="B29" location="Inversiones!A1" display="INVERSIONES"/>
  </hyperlinks>
  <printOptions horizontalCentered="1"/>
  <pageMargins left="0.31496062992125984" right="0.31496062992125984" top="0.74803149606299213" bottom="0.74803149606299213" header="0.31496062992125984" footer="0.31496062992125984"/>
  <pageSetup paperSize="9" scale="50" orientation="landscape" r:id="rId1"/>
</worksheet>
</file>

<file path=xl/worksheets/sheet33.xml><?xml version="1.0" encoding="utf-8"?>
<worksheet xmlns="http://schemas.openxmlformats.org/spreadsheetml/2006/main" xmlns:r="http://schemas.openxmlformats.org/officeDocument/2006/relationships">
  <sheetPr codeName="Sheet18">
    <pageSetUpPr fitToPage="1"/>
  </sheetPr>
  <dimension ref="A1:W55"/>
  <sheetViews>
    <sheetView zoomScale="80" zoomScaleNormal="80" workbookViewId="0">
      <pane xSplit="2" ySplit="11" topLeftCell="C12" activePane="bottomRight" state="frozen"/>
      <selection activeCell="A2" sqref="A2:M2"/>
      <selection pane="topRight" activeCell="A2" sqref="A2:M2"/>
      <selection pane="bottomLeft" activeCell="A2" sqref="A2:M2"/>
      <selection pane="bottomRight" activeCell="J13" sqref="J13"/>
    </sheetView>
  </sheetViews>
  <sheetFormatPr baseColWidth="10" defaultColWidth="10.81640625" defaultRowHeight="15.5"/>
  <cols>
    <col min="1" max="1" width="1.453125" style="14" customWidth="1"/>
    <col min="2" max="2" width="40.81640625" style="14" bestFit="1" customWidth="1"/>
    <col min="3" max="3" width="1.453125" style="14" customWidth="1"/>
    <col min="4" max="5" width="12" style="16" bestFit="1" customWidth="1"/>
    <col min="6" max="6" width="12.1796875" style="215" bestFit="1" customWidth="1"/>
    <col min="7" max="7" width="12.453125" style="186" bestFit="1" customWidth="1"/>
    <col min="8" max="8" width="12.1796875" style="157" bestFit="1" customWidth="1"/>
    <col min="9" max="9" width="13.81640625" style="157" bestFit="1" customWidth="1"/>
    <col min="10" max="10" width="12.453125" style="16" bestFit="1" customWidth="1"/>
    <col min="11" max="11" width="18.453125" style="16" bestFit="1" customWidth="1"/>
    <col min="12" max="12" width="9.1796875" style="14" bestFit="1" customWidth="1"/>
    <col min="13" max="13" width="9.1796875" style="17" bestFit="1" customWidth="1"/>
    <col min="14" max="14" width="8.81640625" style="16" bestFit="1" customWidth="1"/>
    <col min="15" max="16" width="9.1796875" style="16" bestFit="1" customWidth="1"/>
    <col min="17" max="17" width="9.1796875" style="436" bestFit="1" customWidth="1"/>
    <col min="18" max="18" width="2.81640625" style="16" customWidth="1"/>
    <col min="19" max="19" width="40.81640625" style="95" customWidth="1"/>
    <col min="20" max="20" width="3.81640625" style="16" customWidth="1"/>
    <col min="21" max="21" width="40.81640625" style="95" customWidth="1"/>
    <col min="22" max="22" width="3.81640625" style="16" customWidth="1"/>
    <col min="23" max="23" width="40.81640625" style="95" customWidth="1"/>
    <col min="24" max="16384" width="10.81640625" style="16"/>
  </cols>
  <sheetData>
    <row r="1" spans="1:23">
      <c r="B1" s="18" t="s">
        <v>86</v>
      </c>
      <c r="D1" s="112"/>
      <c r="E1" s="112"/>
      <c r="G1" s="324"/>
      <c r="H1" s="14"/>
      <c r="J1" s="112"/>
      <c r="K1" s="112"/>
      <c r="M1" s="113"/>
      <c r="N1" s="112"/>
      <c r="O1" s="112"/>
      <c r="P1" s="112"/>
      <c r="R1" s="112"/>
      <c r="S1" s="114"/>
      <c r="T1" s="112"/>
      <c r="U1" s="114"/>
      <c r="V1" s="112"/>
      <c r="W1" s="114"/>
    </row>
    <row r="2" spans="1:23">
      <c r="A2" s="18"/>
      <c r="B2" s="115" t="str">
        <f>+Budget_Comparativo_PZ_Acum!B2</f>
        <v>2023/2024</v>
      </c>
      <c r="C2" s="18"/>
      <c r="D2" s="18"/>
      <c r="E2" s="18"/>
      <c r="F2" s="292"/>
      <c r="G2" s="325"/>
      <c r="H2" s="18"/>
      <c r="I2" s="154"/>
      <c r="J2" s="18"/>
      <c r="K2" s="18"/>
      <c r="L2" s="18"/>
      <c r="M2" s="113"/>
      <c r="N2" s="18"/>
      <c r="O2" s="18"/>
      <c r="P2" s="18"/>
      <c r="Q2" s="437"/>
      <c r="R2" s="112"/>
      <c r="S2" s="114"/>
      <c r="T2" s="112"/>
      <c r="U2" s="114"/>
      <c r="V2" s="112"/>
      <c r="W2" s="114"/>
    </row>
    <row r="3" spans="1:23" s="23" customFormat="1" ht="13.5" thickBot="1">
      <c r="A3" s="21"/>
      <c r="B3" s="20"/>
      <c r="C3" s="20"/>
      <c r="D3" s="20"/>
      <c r="E3" s="20"/>
      <c r="F3" s="302" t="str">
        <f ca="1">+F41</f>
        <v>Check</v>
      </c>
      <c r="G3" s="325"/>
      <c r="H3" s="302" t="str">
        <f>+H41</f>
        <v>Ok</v>
      </c>
      <c r="I3" s="302" t="str">
        <f>+I42</f>
        <v>Check</v>
      </c>
      <c r="J3" s="302" t="str">
        <f>+J42</f>
        <v>Ok</v>
      </c>
      <c r="K3" s="20"/>
      <c r="L3" s="20"/>
      <c r="M3" s="116"/>
      <c r="N3" s="20"/>
      <c r="O3" s="20"/>
      <c r="P3" s="20"/>
      <c r="Q3" s="438"/>
      <c r="R3" s="117"/>
      <c r="S3" s="118"/>
      <c r="T3" s="117"/>
      <c r="U3" s="118"/>
      <c r="V3" s="117"/>
      <c r="W3" s="118"/>
    </row>
    <row r="4" spans="1:23" s="26" customFormat="1" ht="18.5" thickBot="1">
      <c r="A4" s="24"/>
      <c r="B4" s="119" t="str">
        <f>IF(L35+L39=0,"OK","Check")</f>
        <v>OK</v>
      </c>
      <c r="C4" s="18"/>
      <c r="D4" s="909" t="s">
        <v>90</v>
      </c>
      <c r="E4" s="909"/>
      <c r="F4" s="909"/>
      <c r="G4" s="325"/>
      <c r="H4" s="18"/>
      <c r="I4" s="18"/>
      <c r="J4" s="18"/>
      <c r="K4" s="18"/>
      <c r="L4" s="18"/>
      <c r="M4" s="113"/>
      <c r="N4" s="903" t="s">
        <v>91</v>
      </c>
      <c r="O4" s="904"/>
      <c r="P4" s="905"/>
      <c r="Q4" s="438"/>
      <c r="R4" s="112"/>
      <c r="S4" s="114"/>
      <c r="T4" s="112"/>
      <c r="U4" s="114"/>
      <c r="V4" s="112"/>
      <c r="W4" s="114"/>
    </row>
    <row r="5" spans="1:23" ht="13.5" thickBot="1">
      <c r="A5" s="27"/>
      <c r="B5" s="120" t="s">
        <v>89</v>
      </c>
      <c r="C5" s="27"/>
      <c r="D5" s="200"/>
      <c r="E5" s="201"/>
      <c r="F5" s="301"/>
      <c r="G5" s="325"/>
      <c r="H5" s="27"/>
      <c r="I5" s="27"/>
      <c r="J5" s="27"/>
      <c r="K5" s="27"/>
      <c r="L5" s="27"/>
      <c r="M5" s="113"/>
      <c r="N5" s="106"/>
      <c r="O5" s="107"/>
      <c r="P5" s="108"/>
      <c r="Q5" s="438"/>
      <c r="R5" s="112"/>
      <c r="S5" s="114"/>
      <c r="T5" s="112"/>
      <c r="U5" s="114"/>
      <c r="V5" s="112"/>
      <c r="W5" s="114"/>
    </row>
    <row r="6" spans="1:23" ht="32" thickBot="1">
      <c r="A6" s="18"/>
      <c r="B6" s="31" t="s">
        <v>157</v>
      </c>
      <c r="C6" s="18"/>
      <c r="D6" s="32" t="s">
        <v>116</v>
      </c>
      <c r="E6" s="103" t="s">
        <v>117</v>
      </c>
      <c r="F6" s="294" t="s">
        <v>118</v>
      </c>
      <c r="G6" s="325"/>
      <c r="H6" s="155" t="s">
        <v>219</v>
      </c>
      <c r="I6" s="446" t="s">
        <v>247</v>
      </c>
      <c r="J6" s="103" t="s">
        <v>205</v>
      </c>
      <c r="K6" s="32" t="s">
        <v>206</v>
      </c>
      <c r="L6" s="18"/>
      <c r="N6" s="32" t="str">
        <f>+D6</f>
        <v>BUDGET
TOTAL</v>
      </c>
      <c r="O6" s="32" t="s">
        <v>118</v>
      </c>
      <c r="P6" s="32" t="s">
        <v>120</v>
      </c>
      <c r="Q6" s="426" t="s">
        <v>243</v>
      </c>
      <c r="R6" s="112"/>
      <c r="S6" s="114"/>
      <c r="T6" s="112"/>
      <c r="U6" s="114"/>
      <c r="V6" s="112"/>
      <c r="W6" s="114"/>
    </row>
    <row r="7" spans="1:23">
      <c r="A7" s="33"/>
      <c r="B7" s="34" t="s">
        <v>95</v>
      </c>
      <c r="C7" s="33"/>
      <c r="D7" s="36">
        <f>+'Budget_Temp_2023-2024'!G7</f>
        <v>3545</v>
      </c>
      <c r="E7" s="94">
        <f>+F7</f>
        <v>361</v>
      </c>
      <c r="F7" s="299">
        <f>+Budget_Comparativo_FL_Acum!F7</f>
        <v>361</v>
      </c>
      <c r="G7" s="325"/>
      <c r="H7" s="161">
        <f>+F7</f>
        <v>361</v>
      </c>
      <c r="I7" s="447" t="e">
        <f>IF(K7=0,0,+K7/J7)</f>
        <v>#DIV/0!</v>
      </c>
      <c r="J7" s="161">
        <f>+Budget_Comparativo_PZ_Acum!J7+Budget_Comparativo_LD_Acum!J7</f>
        <v>0</v>
      </c>
      <c r="K7" s="37">
        <f>+F7-J7</f>
        <v>361</v>
      </c>
      <c r="L7" s="421">
        <f>IF(D7=0,0,1-(+F7/D7))</f>
        <v>0.89816643159379406</v>
      </c>
      <c r="N7" s="36">
        <f>+D7</f>
        <v>3545</v>
      </c>
      <c r="O7" s="37">
        <f>+F7</f>
        <v>361</v>
      </c>
      <c r="P7" s="37"/>
      <c r="Q7" s="461">
        <f>+Budget_Comparativo_FL_Acum!Q7</f>
        <v>0</v>
      </c>
      <c r="R7" s="112"/>
      <c r="S7" s="114"/>
      <c r="T7" s="112"/>
      <c r="U7" s="114"/>
      <c r="V7" s="112"/>
      <c r="W7" s="114"/>
    </row>
    <row r="8" spans="1:23">
      <c r="A8" s="33"/>
      <c r="B8" s="34" t="s">
        <v>96</v>
      </c>
      <c r="C8" s="33"/>
      <c r="D8" s="36">
        <f>+'Budget_Temp_2023-2024'!G8</f>
        <v>1182</v>
      </c>
      <c r="E8" s="94">
        <f>+F8</f>
        <v>123</v>
      </c>
      <c r="F8" s="299">
        <f>+Budget_Comparativo_FL_Acum!F8</f>
        <v>123</v>
      </c>
      <c r="G8" s="325"/>
      <c r="H8" s="161">
        <f>+F8</f>
        <v>123</v>
      </c>
      <c r="I8" s="37"/>
      <c r="J8" s="161">
        <f>+Budget_Comparativo_PZ_Acum!J8+Budget_Comparativo_LD_Acum!J8</f>
        <v>0</v>
      </c>
      <c r="K8" s="37">
        <f>+F8-J8</f>
        <v>123</v>
      </c>
      <c r="L8" s="421">
        <f>IF(D8=0,0,1-(+F8/D8))</f>
        <v>0.89593908629441621</v>
      </c>
      <c r="N8" s="36">
        <f>+D8</f>
        <v>1182</v>
      </c>
      <c r="O8" s="37">
        <f>+F8</f>
        <v>123</v>
      </c>
      <c r="P8" s="151">
        <f>+IF(N8=0,0,O8/N8)</f>
        <v>0.10406091370558376</v>
      </c>
      <c r="Q8" s="461">
        <f>+Budget_Comparativo_FL_Acum!Q8</f>
        <v>0</v>
      </c>
      <c r="R8" s="112"/>
      <c r="S8" s="114"/>
      <c r="T8" s="112"/>
      <c r="U8" s="114"/>
      <c r="V8" s="112"/>
      <c r="W8" s="114"/>
    </row>
    <row r="9" spans="1:23">
      <c r="A9" s="33"/>
      <c r="B9" s="34" t="s">
        <v>204</v>
      </c>
      <c r="C9" s="33"/>
      <c r="D9" s="36">
        <v>12</v>
      </c>
      <c r="E9" s="94">
        <f>+F9</f>
        <v>3</v>
      </c>
      <c r="F9" s="299">
        <f>+Budget_Comparativo_FL_Acum!F9</f>
        <v>3</v>
      </c>
      <c r="G9" s="325"/>
      <c r="H9" s="161">
        <f>+F9</f>
        <v>3</v>
      </c>
      <c r="I9" s="162"/>
      <c r="J9" s="101"/>
      <c r="K9" s="101"/>
      <c r="L9" s="421">
        <f>1-(+F9/D9)</f>
        <v>0.75</v>
      </c>
      <c r="M9" s="113"/>
      <c r="N9" s="36">
        <f>+D9</f>
        <v>12</v>
      </c>
      <c r="O9" s="37">
        <f>+F9</f>
        <v>3</v>
      </c>
      <c r="P9" s="151">
        <f>+O9/N9</f>
        <v>0.25</v>
      </c>
      <c r="Q9" s="461">
        <f>+Budget_Comparativo_FL_Acum!Q9</f>
        <v>2</v>
      </c>
      <c r="R9" s="112"/>
      <c r="S9" s="114"/>
      <c r="T9" s="112"/>
      <c r="U9" s="114"/>
      <c r="V9" s="112"/>
      <c r="W9" s="114"/>
    </row>
    <row r="10" spans="1:23" ht="16" thickBot="1">
      <c r="A10" s="33"/>
      <c r="B10" s="34" t="s">
        <v>137</v>
      </c>
      <c r="C10" s="33"/>
      <c r="D10" s="149">
        <f>IF(D7=0,0,+D7/D8)</f>
        <v>2.9991539763113368</v>
      </c>
      <c r="E10" s="149">
        <f>IF(E7=0,0,+E7/E8)</f>
        <v>2.934959349593496</v>
      </c>
      <c r="F10" s="149">
        <f>IF(F7=0,0,+F7/F8)</f>
        <v>2.934959349593496</v>
      </c>
      <c r="G10" s="33"/>
      <c r="H10" s="422">
        <f>+F10</f>
        <v>2.934959349593496</v>
      </c>
      <c r="I10" s="417"/>
      <c r="J10" s="37"/>
      <c r="K10" s="37"/>
      <c r="L10" s="33"/>
      <c r="N10" s="149">
        <f>IF(N7=0,0,+N7/N8)</f>
        <v>2.9991539763113368</v>
      </c>
      <c r="O10" s="149">
        <f>IF(O7=0,0,+O7/O8)</f>
        <v>2.934959349593496</v>
      </c>
      <c r="P10" s="37"/>
      <c r="Q10" s="149">
        <f>IF(Q7=0,0,+Q7/Q8)</f>
        <v>0</v>
      </c>
      <c r="R10" s="112"/>
      <c r="S10" s="114"/>
      <c r="T10" s="112"/>
      <c r="U10" s="114"/>
      <c r="V10" s="112"/>
      <c r="W10" s="114"/>
    </row>
    <row r="11" spans="1:23" ht="47" thickBot="1">
      <c r="A11" s="18"/>
      <c r="B11" s="109" t="s">
        <v>97</v>
      </c>
      <c r="C11" s="18"/>
      <c r="D11" s="226" t="str">
        <f>+D6</f>
        <v>BUDGET
TOTAL</v>
      </c>
      <c r="E11" s="226" t="str">
        <f>+E6</f>
        <v>BUDGET
AJUSTADO</v>
      </c>
      <c r="F11" s="298" t="str">
        <f>+F6</f>
        <v>REAL</v>
      </c>
      <c r="G11" s="228" t="s">
        <v>213</v>
      </c>
      <c r="H11" s="227" t="s">
        <v>220</v>
      </c>
      <c r="I11" s="291" t="s">
        <v>127</v>
      </c>
      <c r="J11" s="226" t="s">
        <v>128</v>
      </c>
      <c r="K11" s="252" t="s">
        <v>253</v>
      </c>
      <c r="L11" s="199" t="s">
        <v>156</v>
      </c>
      <c r="M11" s="113"/>
      <c r="N11" s="32" t="str">
        <f>+D11</f>
        <v>BUDGET
TOTAL</v>
      </c>
      <c r="O11" s="32" t="s">
        <v>118</v>
      </c>
      <c r="P11" s="32" t="s">
        <v>120</v>
      </c>
      <c r="Q11" s="426" t="str">
        <f>+Q6</f>
        <v>REAL 
Mes 
Anterior</v>
      </c>
      <c r="R11" s="112"/>
      <c r="S11" s="32" t="s">
        <v>207</v>
      </c>
      <c r="T11" s="112"/>
      <c r="U11" s="32" t="s">
        <v>208</v>
      </c>
      <c r="V11" s="112"/>
      <c r="W11" s="32" t="s">
        <v>209</v>
      </c>
    </row>
    <row r="12" spans="1:23" s="49" customFormat="1" ht="16" thickBot="1">
      <c r="A12" s="42"/>
      <c r="B12" s="34"/>
      <c r="C12" s="121"/>
      <c r="D12" s="271"/>
      <c r="E12" s="234"/>
      <c r="F12" s="273"/>
      <c r="G12" s="321"/>
      <c r="H12" s="235"/>
      <c r="I12" s="235"/>
      <c r="J12" s="234"/>
      <c r="K12" s="234"/>
      <c r="L12" s="121"/>
      <c r="M12" s="113"/>
      <c r="N12" s="34"/>
      <c r="O12" s="122"/>
      <c r="P12" s="122"/>
      <c r="Q12" s="432"/>
      <c r="R12" s="112"/>
      <c r="S12" s="114"/>
      <c r="T12" s="112"/>
      <c r="U12" s="114"/>
      <c r="V12" s="112"/>
      <c r="W12" s="114"/>
    </row>
    <row r="13" spans="1:23" s="58" customFormat="1" ht="26.5" thickBot="1">
      <c r="A13" s="50"/>
      <c r="B13" s="51" t="s">
        <v>154</v>
      </c>
      <c r="C13" s="50"/>
      <c r="D13" s="232">
        <f>+'Budget_Temp_2023-2024'!G12</f>
        <v>106350</v>
      </c>
      <c r="E13" s="233">
        <f>+Budget_Comparativo_FL_Acum!E13</f>
        <v>0</v>
      </c>
      <c r="F13" s="232">
        <f>+Budget_Comparativo_FL_Acum!F13</f>
        <v>0</v>
      </c>
      <c r="G13" s="320">
        <f>+Budget_Comparativo_FL_Acum!G13</f>
        <v>0</v>
      </c>
      <c r="H13" s="233">
        <f>+F13+G13</f>
        <v>0</v>
      </c>
      <c r="I13" s="233">
        <f>+IF(H13=0,0,E13-H13)</f>
        <v>0</v>
      </c>
      <c r="J13" s="233">
        <v>0</v>
      </c>
      <c r="K13" s="232">
        <f>+I13-J13</f>
        <v>0</v>
      </c>
      <c r="L13" s="225">
        <f>IF(D13=0,0,1-(+F13/D13))</f>
        <v>1</v>
      </c>
      <c r="M13" s="57" t="s">
        <v>98</v>
      </c>
      <c r="N13" s="53">
        <f>IF(D13=0,0,$D13/$D$7)</f>
        <v>30</v>
      </c>
      <c r="O13" s="53">
        <f>IF(F7=0,0,IF(H13=0,0,($H13)/$F$7))</f>
        <v>0</v>
      </c>
      <c r="P13" s="54">
        <f>+N13-O13</f>
        <v>30</v>
      </c>
      <c r="Q13" s="434">
        <v>25.63012441679626</v>
      </c>
      <c r="S13" s="114"/>
      <c r="T13" s="112"/>
      <c r="U13" s="114"/>
      <c r="V13" s="112"/>
      <c r="W13" s="111" t="str">
        <f>+Budget_Comparativo_FL_Acum!S13</f>
        <v>Venimos bien, seguramente terminemos con Ahorro</v>
      </c>
    </row>
    <row r="14" spans="1:23" s="49" customFormat="1" ht="16" thickBot="1">
      <c r="A14" s="42"/>
      <c r="B14" s="34"/>
      <c r="C14" s="121"/>
      <c r="D14" s="271"/>
      <c r="E14" s="234"/>
      <c r="F14" s="273"/>
      <c r="G14" s="321"/>
      <c r="H14" s="235"/>
      <c r="I14" s="235"/>
      <c r="J14" s="235"/>
      <c r="K14" s="234"/>
      <c r="L14" s="121"/>
      <c r="M14" s="113"/>
      <c r="N14" s="34"/>
      <c r="O14" s="122"/>
      <c r="P14" s="122"/>
      <c r="Q14" s="432"/>
      <c r="R14" s="112"/>
      <c r="S14" s="114"/>
      <c r="T14" s="112"/>
      <c r="U14" s="114"/>
      <c r="V14" s="112"/>
      <c r="W14" s="114"/>
    </row>
    <row r="15" spans="1:23" s="60" customFormat="1" ht="58.5" customHeight="1" thickBot="1">
      <c r="A15" s="50"/>
      <c r="B15" s="59" t="s">
        <v>99</v>
      </c>
      <c r="C15" s="50"/>
      <c r="D15" s="232">
        <f>+'Budget_Temp_2023-2024'!G14</f>
        <v>159525</v>
      </c>
      <c r="E15" s="233">
        <f>+Budget_Comparativo_LD_Acum!E13+Budget_Comparativo_PZ_Acum!E13</f>
        <v>16245</v>
      </c>
      <c r="F15" s="232">
        <f>+Budget_Comparativo_LD_Acum!F13+Budget_Comparativo_PZ_Acum!F13</f>
        <v>0</v>
      </c>
      <c r="G15" s="320">
        <f>+Budget_Comparativo_PZ_Acum!G13+Budget_Comparativo_LD_Acum!G13</f>
        <v>0</v>
      </c>
      <c r="H15" s="233">
        <f>+F15+G15</f>
        <v>0</v>
      </c>
      <c r="I15" s="233">
        <f>+IF(H15=0,0,ROUND(E15-H15,0))</f>
        <v>0</v>
      </c>
      <c r="J15" s="232">
        <v>0</v>
      </c>
      <c r="K15" s="232">
        <f>+I15-J15</f>
        <v>0</v>
      </c>
      <c r="L15" s="50"/>
      <c r="M15" s="57" t="s">
        <v>98</v>
      </c>
      <c r="N15" s="53">
        <f>IF(D15=0,0,$D15/$D$7)</f>
        <v>45</v>
      </c>
      <c r="O15" s="53">
        <f>IF(F7=0,0,IF(H15=0,0,($H15)/$F$7))</f>
        <v>0</v>
      </c>
      <c r="P15" s="54">
        <f>+N15-O15</f>
        <v>45</v>
      </c>
      <c r="Q15" s="434">
        <v>49.506495593571799</v>
      </c>
      <c r="R15" s="123"/>
      <c r="S15" s="111" t="str">
        <f>+Budget_Comparativo_PZ_Acum!S13</f>
        <v>Stock inicio al 01/09:  14,6k  (8,8k Bebidas y 5,8k Comida)
Stock Actual usd:
- Vinos y Bebidas  5,4k
-Comarca vs no perecederos 3,1k
- 0,5k Limpieza</v>
      </c>
      <c r="T15" s="123"/>
      <c r="U15" s="111" t="str">
        <f>+Budget_Comparativo_LD_Acum!S13</f>
        <v>Stock inicio al 01/09:  5,7k  (4,6k Bebidas y 1,1k Comida)
Stock Actual usd:
- Vinos y Bebidas 6,5k
-Comarca vs no perecederos 2,5k
- 0,4k Limpieza</v>
      </c>
      <c r="V15" s="123"/>
      <c r="W15" s="114"/>
    </row>
    <row r="16" spans="1:23" s="49" customFormat="1">
      <c r="A16" s="42"/>
      <c r="B16" s="34"/>
      <c r="C16" s="121"/>
      <c r="D16" s="271"/>
      <c r="E16" s="234"/>
      <c r="F16" s="273"/>
      <c r="G16" s="326"/>
      <c r="H16" s="235"/>
      <c r="I16" s="235"/>
      <c r="J16" s="235"/>
      <c r="K16" s="234"/>
      <c r="L16" s="121"/>
      <c r="M16" s="113"/>
      <c r="N16" s="34"/>
      <c r="O16" s="122"/>
      <c r="P16" s="122"/>
      <c r="Q16" s="432"/>
      <c r="R16" s="112"/>
      <c r="S16" s="114"/>
      <c r="T16" s="112"/>
      <c r="U16" s="114"/>
      <c r="V16" s="112"/>
      <c r="W16" s="114"/>
    </row>
    <row r="17" spans="1:23" s="17" customFormat="1" ht="16" thickBot="1">
      <c r="A17" s="61"/>
      <c r="B17" s="62" t="s">
        <v>100</v>
      </c>
      <c r="C17" s="61"/>
      <c r="D17" s="236"/>
      <c r="E17" s="236"/>
      <c r="F17" s="274"/>
      <c r="G17" s="326"/>
      <c r="H17" s="237"/>
      <c r="I17" s="237"/>
      <c r="J17" s="237"/>
      <c r="K17" s="236"/>
      <c r="L17" s="61"/>
      <c r="M17" s="113"/>
      <c r="N17" s="64"/>
      <c r="O17" s="65"/>
      <c r="P17" s="65"/>
      <c r="Q17" s="433"/>
      <c r="R17" s="113"/>
      <c r="S17" s="124"/>
      <c r="T17" s="113"/>
      <c r="U17" s="124"/>
      <c r="V17" s="113"/>
      <c r="W17" s="124"/>
    </row>
    <row r="18" spans="1:23" s="60" customFormat="1" ht="16" thickBot="1">
      <c r="A18" s="50"/>
      <c r="B18" s="67" t="s">
        <v>101</v>
      </c>
      <c r="C18" s="50"/>
      <c r="D18" s="232">
        <f>+'Budget_Temp_2023-2024'!G17</f>
        <v>9500</v>
      </c>
      <c r="E18" s="233">
        <f>+Budget_Comparativo_LD_Acum!E16+Budget_Comparativo_PZ_Acum!E16</f>
        <v>967.6046176046176</v>
      </c>
      <c r="F18" s="232">
        <f>+Budget_Comparativo_LD_Acum!F16+Budget_Comparativo_PZ_Acum!F16</f>
        <v>0</v>
      </c>
      <c r="G18" s="320">
        <f>+Budget_Comparativo_PZ_Acum!G16+Budget_Comparativo_LD_Acum!G16</f>
        <v>0</v>
      </c>
      <c r="H18" s="233">
        <f>+F18+G18</f>
        <v>0</v>
      </c>
      <c r="I18" s="233">
        <f>+IF(H18=0,0,ROUND(E18-H18,0))</f>
        <v>0</v>
      </c>
      <c r="J18" s="233">
        <v>0</v>
      </c>
      <c r="K18" s="232">
        <f>+I18-J18</f>
        <v>0</v>
      </c>
      <c r="L18" s="61"/>
      <c r="M18" s="57" t="s">
        <v>98</v>
      </c>
      <c r="N18" s="53">
        <f>IF(D18=0,0,$D18/$D$7)</f>
        <v>2.6798307475317347</v>
      </c>
      <c r="O18" s="53">
        <f>IF(F7=0,0,IF(H18=0,0,($H18)/$F$7))</f>
        <v>0</v>
      </c>
      <c r="P18" s="54">
        <f>+N18-O18</f>
        <v>2.6798307475317347</v>
      </c>
      <c r="Q18" s="434">
        <v>5.6927423535510622</v>
      </c>
      <c r="R18" s="123"/>
      <c r="S18" s="111" t="str">
        <f>+Budget_Comparativo_PZ_Acum!S16</f>
        <v>Pasado Real no significativo</v>
      </c>
      <c r="T18" s="123"/>
      <c r="U18" s="111" t="str">
        <f>+Budget_Comparativo_LD_Acum!S16</f>
        <v>-</v>
      </c>
      <c r="V18" s="123"/>
      <c r="W18" s="124"/>
    </row>
    <row r="19" spans="1:23" s="60" customFormat="1" ht="26.5" thickBot="1">
      <c r="A19" s="50"/>
      <c r="B19" s="67" t="s">
        <v>102</v>
      </c>
      <c r="C19" s="50"/>
      <c r="D19" s="232">
        <f>+'Budget_Temp_2023-2024'!G18</f>
        <v>70900</v>
      </c>
      <c r="E19" s="233">
        <f>+Budget_Comparativo_FL_Acum!E16</f>
        <v>7220</v>
      </c>
      <c r="F19" s="232">
        <f>+Budget_Comparativo_FL_Acum!F16</f>
        <v>0</v>
      </c>
      <c r="G19" s="320">
        <f>+Budget_Comparativo_FL_Acum!G16</f>
        <v>0</v>
      </c>
      <c r="H19" s="233">
        <f>+F19+G19</f>
        <v>0</v>
      </c>
      <c r="I19" s="233">
        <f>+IF(H19=0,0,ROUND(E19-H19,0))</f>
        <v>0</v>
      </c>
      <c r="J19" s="233">
        <v>0</v>
      </c>
      <c r="K19" s="232">
        <f>+I19-J19</f>
        <v>0</v>
      </c>
      <c r="L19" s="50"/>
      <c r="M19" s="57" t="s">
        <v>98</v>
      </c>
      <c r="N19" s="53">
        <f>IF(D19=0,0,$D19/$D$7)</f>
        <v>20</v>
      </c>
      <c r="O19" s="53">
        <f>IF(F7=0,0,IF(H19=0,0,($H19)/$F$7))</f>
        <v>0</v>
      </c>
      <c r="P19" s="54">
        <f>+N19-O19</f>
        <v>20</v>
      </c>
      <c r="Q19" s="434">
        <v>24.808947641264908</v>
      </c>
      <c r="R19" s="123"/>
      <c r="S19" s="124"/>
      <c r="T19" s="124"/>
      <c r="U19" s="124"/>
      <c r="V19" s="124"/>
      <c r="W19" s="111" t="str">
        <f>+Budget_Comparativo_FL_Acum!S16</f>
        <v>Desvío real se paga mas con FC que antes se pagaba casi todo en cash por eso el desvío</v>
      </c>
    </row>
    <row r="20" spans="1:23" s="60" customFormat="1" ht="16" thickBot="1">
      <c r="A20" s="50"/>
      <c r="B20" s="67" t="s">
        <v>103</v>
      </c>
      <c r="C20" s="50"/>
      <c r="D20" s="232">
        <f>+'Budget_Temp_2023-2024'!G19</f>
        <v>19000</v>
      </c>
      <c r="E20" s="233">
        <f>+Budget_Comparativo_LD_Acum!E17+Budget_Comparativo_PZ_Acum!E17</f>
        <v>0</v>
      </c>
      <c r="F20" s="232">
        <f>+Budget_Comparativo_LD_Acum!F17+Budget_Comparativo_PZ_Acum!F17</f>
        <v>0</v>
      </c>
      <c r="G20" s="320">
        <f>+Budget_Comparativo_PZ_Acum!G17+Budget_Comparativo_LD_Acum!G17</f>
        <v>0</v>
      </c>
      <c r="H20" s="233">
        <f>+F20+G20</f>
        <v>0</v>
      </c>
      <c r="I20" s="233">
        <f t="shared" ref="I20:I26" si="0">+IF(H20=0,0,ROUND(E20-H20,0))</f>
        <v>0</v>
      </c>
      <c r="J20" s="233">
        <v>0</v>
      </c>
      <c r="K20" s="232">
        <f>+I20-J20</f>
        <v>0</v>
      </c>
      <c r="L20" s="50"/>
      <c r="M20" s="57" t="s">
        <v>98</v>
      </c>
      <c r="N20" s="53">
        <f>IF(D20=0,0,$D20/$D$7)</f>
        <v>5.3596614950634693</v>
      </c>
      <c r="O20" s="53">
        <f>IF(F7=0,0,IF(H20=0,0,($H20)/$F$7))</f>
        <v>0</v>
      </c>
      <c r="P20" s="54">
        <f>+N20-O20</f>
        <v>5.3596614950634693</v>
      </c>
      <c r="Q20" s="434">
        <v>6.0294297563504404</v>
      </c>
      <c r="R20" s="123"/>
      <c r="S20" s="111" t="str">
        <f>+Budget_Comparativo_PZ_Acum!S17</f>
        <v>Mínimo Pasado - Stock Gas  ??%</v>
      </c>
      <c r="T20" s="123"/>
      <c r="U20" s="111" t="str">
        <f>+Budget_Comparativo_LD_Acum!S17</f>
        <v>Stock GAS al día de hoy 30/11/2023:  45%</v>
      </c>
      <c r="V20" s="123"/>
      <c r="W20" s="124"/>
    </row>
    <row r="21" spans="1:23" s="60" customFormat="1" ht="16" thickBot="1">
      <c r="A21" s="50"/>
      <c r="B21" s="59" t="s">
        <v>104</v>
      </c>
      <c r="C21" s="50"/>
      <c r="D21" s="232">
        <f>+'Budget_Temp_2023-2024'!G20</f>
        <v>10635</v>
      </c>
      <c r="E21" s="233">
        <f>+Budget_Comparativo_FL_Acum!E17</f>
        <v>0</v>
      </c>
      <c r="F21" s="232">
        <f>+Budget_Comparativo_FL_Acum!F17</f>
        <v>0</v>
      </c>
      <c r="G21" s="321"/>
      <c r="H21" s="233">
        <f>+F21+G21</f>
        <v>0</v>
      </c>
      <c r="I21" s="233">
        <f t="shared" si="0"/>
        <v>0</v>
      </c>
      <c r="J21" s="233">
        <v>0</v>
      </c>
      <c r="K21" s="232">
        <f>+I21-J21</f>
        <v>0</v>
      </c>
      <c r="L21" s="225">
        <f>IF(D21=0,0,1-(+F21/D21))</f>
        <v>1</v>
      </c>
      <c r="M21" s="68" t="s">
        <v>124</v>
      </c>
      <c r="N21" s="53">
        <v>0</v>
      </c>
      <c r="O21" s="54">
        <v>0</v>
      </c>
      <c r="P21" s="54">
        <v>0</v>
      </c>
      <c r="Q21" s="434">
        <v>0</v>
      </c>
      <c r="R21" s="123"/>
      <c r="S21" s="114"/>
      <c r="T21" s="112"/>
      <c r="U21" s="114"/>
      <c r="V21" s="112"/>
      <c r="W21" s="111" t="str">
        <f>+Budget_Comparativo_FL_Acum!S17</f>
        <v>-</v>
      </c>
    </row>
    <row r="22" spans="1:23" s="60" customFormat="1" ht="16" thickBot="1">
      <c r="A22" s="50"/>
      <c r="B22" s="67" t="s">
        <v>106</v>
      </c>
      <c r="C22" s="50"/>
      <c r="D22" s="232">
        <f>+'Budget_Temp_2023-2024'!G22</f>
        <v>3000</v>
      </c>
      <c r="E22" s="233">
        <f>+Budget_Comparativo_LD_Acum!E19+Budget_Comparativo_PZ_Acum!E19</f>
        <v>0</v>
      </c>
      <c r="F22" s="232">
        <f>+Budget_Comparativo_LD_Acum!F19+Budget_Comparativo_PZ_Acum!F19</f>
        <v>0</v>
      </c>
      <c r="G22" s="321"/>
      <c r="H22" s="233">
        <f>+F22+G22</f>
        <v>0</v>
      </c>
      <c r="I22" s="233">
        <f t="shared" si="0"/>
        <v>0</v>
      </c>
      <c r="J22" s="233">
        <v>0</v>
      </c>
      <c r="K22" s="232">
        <f>+I22-J22</f>
        <v>0</v>
      </c>
      <c r="L22" s="225">
        <f>IF(D22=0,0,1-(+F22/D22))</f>
        <v>1</v>
      </c>
      <c r="M22" s="68" t="s">
        <v>124</v>
      </c>
      <c r="N22" s="53">
        <v>0</v>
      </c>
      <c r="O22" s="54">
        <v>0</v>
      </c>
      <c r="P22" s="54">
        <v>0</v>
      </c>
      <c r="Q22" s="434">
        <v>0</v>
      </c>
      <c r="R22" s="123"/>
      <c r="S22" s="111" t="str">
        <f>+Budget_Comparativo_PZ_Acum!S19</f>
        <v>-</v>
      </c>
      <c r="T22" s="123"/>
      <c r="U22" s="111" t="str">
        <f>+Budget_Comparativo_LD_Acum!S19</f>
        <v>-</v>
      </c>
      <c r="V22" s="123"/>
      <c r="W22" s="114"/>
    </row>
    <row r="23" spans="1:23" s="49" customFormat="1" ht="16" thickBot="1">
      <c r="A23" s="42"/>
      <c r="B23" s="34"/>
      <c r="C23" s="121"/>
      <c r="D23" s="271"/>
      <c r="E23" s="234"/>
      <c r="F23" s="273"/>
      <c r="G23" s="316"/>
      <c r="H23" s="235"/>
      <c r="I23" s="235"/>
      <c r="J23" s="235"/>
      <c r="K23" s="234"/>
      <c r="L23" s="50"/>
      <c r="M23" s="113"/>
      <c r="N23" s="34"/>
      <c r="O23" s="122"/>
      <c r="P23" s="122"/>
      <c r="Q23" s="432"/>
      <c r="R23" s="112"/>
      <c r="S23" s="114"/>
      <c r="T23" s="112"/>
      <c r="U23" s="114"/>
      <c r="V23" s="112"/>
      <c r="W23" s="114"/>
    </row>
    <row r="24" spans="1:23" s="60" customFormat="1" ht="16" thickBot="1">
      <c r="A24" s="50"/>
      <c r="B24" s="59" t="s">
        <v>61</v>
      </c>
      <c r="C24" s="50"/>
      <c r="D24" s="232">
        <f>+'Budget_Temp_2023-2024'!G23</f>
        <v>5800</v>
      </c>
      <c r="E24" s="233">
        <f>+Budget_Comparativo_PZ_Acum!E20+Budget_Comparativo_LD_Acum!E20+Budget_Comparativo_FL_Acum!E19</f>
        <v>0</v>
      </c>
      <c r="F24" s="232">
        <f>+Budget_Comparativo_FL_Acum!F19+Budget_Comparativo_LD_Acum!F20+Budget_Comparativo_PZ_Acum!F20</f>
        <v>0</v>
      </c>
      <c r="G24" s="327"/>
      <c r="H24" s="233">
        <f>+F24+G24</f>
        <v>0</v>
      </c>
      <c r="I24" s="233">
        <f t="shared" si="0"/>
        <v>0</v>
      </c>
      <c r="J24" s="233">
        <v>0</v>
      </c>
      <c r="K24" s="232">
        <f>+I24-J24</f>
        <v>0</v>
      </c>
      <c r="L24" s="225">
        <f>IF(D24=0,0,1-(+F24/D24))</f>
        <v>1</v>
      </c>
      <c r="M24" s="68" t="s">
        <v>124</v>
      </c>
      <c r="N24" s="53">
        <v>0</v>
      </c>
      <c r="O24" s="54">
        <v>0</v>
      </c>
      <c r="P24" s="54">
        <v>0</v>
      </c>
      <c r="Q24" s="434">
        <v>0</v>
      </c>
      <c r="R24" s="123"/>
      <c r="S24" s="111" t="str">
        <f>+Budget_Comparativo_PZ_Acum!S20</f>
        <v>-</v>
      </c>
      <c r="T24" s="123"/>
      <c r="U24" s="111" t="str">
        <f>+Budget_Comparativo_LD_Acum!S20</f>
        <v>-</v>
      </c>
      <c r="V24" s="123"/>
      <c r="W24" s="111" t="str">
        <f>+Budget_Comparativo_FL_Acum!S19</f>
        <v>Pasados real</v>
      </c>
    </row>
    <row r="25" spans="1:23" s="49" customFormat="1" ht="16" thickBot="1">
      <c r="A25" s="42"/>
      <c r="B25" s="34"/>
      <c r="C25" s="121"/>
      <c r="D25" s="271"/>
      <c r="E25" s="234"/>
      <c r="F25" s="273"/>
      <c r="G25" s="327"/>
      <c r="H25" s="235"/>
      <c r="I25" s="235"/>
      <c r="J25" s="235"/>
      <c r="K25" s="234"/>
      <c r="L25" s="121"/>
      <c r="M25" s="113"/>
      <c r="N25" s="34"/>
      <c r="O25" s="122"/>
      <c r="P25" s="122"/>
      <c r="Q25" s="432"/>
      <c r="R25" s="112"/>
      <c r="S25" s="114"/>
      <c r="T25" s="112"/>
      <c r="U25" s="114"/>
      <c r="V25" s="112"/>
      <c r="W25" s="114"/>
    </row>
    <row r="26" spans="1:23" s="60" customFormat="1" ht="16" thickBot="1">
      <c r="A26" s="50"/>
      <c r="B26" s="59" t="s">
        <v>166</v>
      </c>
      <c r="C26" s="50"/>
      <c r="D26" s="232">
        <f>+'Budget_Temp_2023-2024'!G25</f>
        <v>35450</v>
      </c>
      <c r="E26" s="233">
        <f>+Budget_Comparativo_FL_Acum!E21</f>
        <v>3688.959390862944</v>
      </c>
      <c r="F26" s="232">
        <f>+Budget_Comparativo_FL_Acum!F21</f>
        <v>0</v>
      </c>
      <c r="G26" s="328"/>
      <c r="H26" s="233">
        <f>+F26+G26</f>
        <v>0</v>
      </c>
      <c r="I26" s="233">
        <f t="shared" si="0"/>
        <v>0</v>
      </c>
      <c r="J26" s="233">
        <v>0</v>
      </c>
      <c r="K26" s="232">
        <f>+I26-J26</f>
        <v>0</v>
      </c>
      <c r="L26" s="50"/>
      <c r="M26" s="68" t="s">
        <v>105</v>
      </c>
      <c r="N26" s="53">
        <f>IF(D26=0,0,$D26/$D$8)</f>
        <v>29.991539763113366</v>
      </c>
      <c r="O26" s="54">
        <f>IF(F8=0,0,IF(F26=0,0,$F26/$F$8))</f>
        <v>0</v>
      </c>
      <c r="P26" s="54">
        <f>+N26-O26</f>
        <v>29.991539763113366</v>
      </c>
      <c r="Q26" s="434">
        <v>13.914515103338635</v>
      </c>
      <c r="R26" s="123"/>
      <c r="S26" s="114"/>
      <c r="T26" s="112"/>
      <c r="U26" s="114"/>
      <c r="V26" s="112"/>
      <c r="W26" s="111" t="str">
        <f>+Budget_Comparativo_FL_Acum!S21</f>
        <v>Venimos muy bien ahorro importante habrá</v>
      </c>
    </row>
    <row r="27" spans="1:23" s="49" customFormat="1">
      <c r="A27" s="42"/>
      <c r="B27" s="34"/>
      <c r="C27" s="121"/>
      <c r="D27" s="271"/>
      <c r="E27" s="234"/>
      <c r="F27" s="273"/>
      <c r="G27" s="329"/>
      <c r="H27" s="235"/>
      <c r="I27" s="235"/>
      <c r="J27" s="235"/>
      <c r="K27" s="234"/>
      <c r="L27" s="121"/>
      <c r="M27" s="113"/>
      <c r="N27" s="34"/>
      <c r="O27" s="122"/>
      <c r="P27" s="122"/>
      <c r="Q27" s="432"/>
      <c r="R27" s="112"/>
      <c r="S27" s="114"/>
      <c r="T27" s="112"/>
      <c r="U27" s="114"/>
      <c r="V27" s="112"/>
      <c r="W27" s="114"/>
    </row>
    <row r="28" spans="1:23" ht="16" thickBot="1">
      <c r="A28" s="69"/>
      <c r="B28" s="62" t="s">
        <v>108</v>
      </c>
      <c r="C28" s="69"/>
      <c r="D28" s="283"/>
      <c r="E28" s="229"/>
      <c r="F28" s="275"/>
      <c r="G28" s="329"/>
      <c r="H28" s="230"/>
      <c r="I28" s="230"/>
      <c r="J28" s="230"/>
      <c r="K28" s="229"/>
      <c r="L28" s="121"/>
      <c r="M28" s="113"/>
      <c r="N28" s="125"/>
      <c r="O28" s="126"/>
      <c r="P28" s="126"/>
      <c r="Q28" s="435"/>
      <c r="R28" s="112"/>
      <c r="S28" s="114"/>
      <c r="T28" s="112"/>
      <c r="U28" s="114"/>
      <c r="V28" s="112"/>
      <c r="W28" s="114"/>
    </row>
    <row r="29" spans="1:23" s="60" customFormat="1" ht="104.5" thickBot="1">
      <c r="A29" s="50"/>
      <c r="B29" s="67" t="s">
        <v>109</v>
      </c>
      <c r="C29" s="50"/>
      <c r="D29" s="232">
        <f>+'Budget_Temp_2023-2024'!G28</f>
        <v>18000</v>
      </c>
      <c r="E29" s="233">
        <f>+Budget_Comparativo_LD_Acum!E23+Budget_Comparativo_PZ_Acum!E23</f>
        <v>0</v>
      </c>
      <c r="F29" s="232">
        <f>+Budget_Comparativo_LD_Acum!F23+Budget_Comparativo_PZ_Acum!F23</f>
        <v>0</v>
      </c>
      <c r="G29" s="320">
        <f>+Budget_Comparativo_LD_Acum!G23+Budget_Comparativo_PZ_Acum!G23</f>
        <v>0</v>
      </c>
      <c r="H29" s="233">
        <f>+F29+G29</f>
        <v>0</v>
      </c>
      <c r="I29" s="233">
        <f>+IF(H29=0,0,ROUND(E29-H29,0))</f>
        <v>0</v>
      </c>
      <c r="J29" s="233">
        <v>0</v>
      </c>
      <c r="K29" s="232">
        <f>+I29-J29</f>
        <v>0</v>
      </c>
      <c r="L29" s="225">
        <f>IF(D29=0,0,1-(+F29/D29))</f>
        <v>1</v>
      </c>
      <c r="M29" s="68" t="s">
        <v>107</v>
      </c>
      <c r="N29" s="53">
        <f>+D29/12</f>
        <v>1500</v>
      </c>
      <c r="O29" s="54">
        <f>+F29/$F$9</f>
        <v>0</v>
      </c>
      <c r="P29" s="54">
        <f>+N29-O29</f>
        <v>1500</v>
      </c>
      <c r="Q29" s="434">
        <v>2381.1312499999999</v>
      </c>
      <c r="R29" s="123"/>
      <c r="S29" s="111" t="str">
        <f>+Budget_Comparativo_PZ_Acum!S23</f>
        <v>0,6k Mant Pileta + 0,2k recarga Matafuegos + 1,2k Arreglo Secadora, Lavarropas, Caldera, Bomba, etc + 0,5k arreglo kitchen aid + 1,2k Fundas y arreglo sillones y cortinas + 0,3k arreglo Wifi + 0,6k Arreglos vs chiquitaje + 0,3k Arreglo Generador + 0,2k Arreglo Secarropas + 0,3k Cloro Pileta + 0,5k Pintura</v>
      </c>
      <c r="T29" s="123"/>
      <c r="U29" s="111" t="str">
        <f>+Budget_Comparativo_LD_Acum!S23</f>
        <v>4,4k Lavanderia General + 0,7k Arreglo Pisos Comedor + 0,5k Filtros y Recarga Matafuegos + 0,5k Arreglo Hot Tub +  1 Vs Arreglo Bomba, Pintura, etc + 0,8k Plomería + 1,5k arreglo caldera, forrado conservadoras y vs + 0,7k Piuntura + 0,3k Mangueras + 1,7k Electricista + 0,7k arreglo Bomba, Grupo Electrogeno</v>
      </c>
      <c r="V29" s="123"/>
      <c r="W29" s="114"/>
    </row>
    <row r="30" spans="1:23" s="60" customFormat="1" ht="16" thickBot="1">
      <c r="A30" s="50"/>
      <c r="B30" s="67" t="s">
        <v>110</v>
      </c>
      <c r="C30" s="50"/>
      <c r="D30" s="232">
        <f>+'Budget_Temp_2023-2024'!G29</f>
        <v>30000</v>
      </c>
      <c r="E30" s="233">
        <f>+Budget_Comparativo_FL_Acum!E24</f>
        <v>0</v>
      </c>
      <c r="F30" s="232">
        <f>+Budget_Comparativo_FL_Acum!F24</f>
        <v>0</v>
      </c>
      <c r="G30" s="329"/>
      <c r="H30" s="233">
        <f>+F30+G30</f>
        <v>0</v>
      </c>
      <c r="I30" s="233">
        <f>+IF(H30=0,0,ROUND(E30-H30,0))</f>
        <v>0</v>
      </c>
      <c r="J30" s="233">
        <v>0</v>
      </c>
      <c r="K30" s="232">
        <f>+I30-J30</f>
        <v>0</v>
      </c>
      <c r="L30" s="225">
        <f>IF(D30=0,0,1-(+F30/D30))</f>
        <v>1</v>
      </c>
      <c r="M30" s="68" t="s">
        <v>107</v>
      </c>
      <c r="N30" s="53">
        <f>+D30/12</f>
        <v>2500</v>
      </c>
      <c r="O30" s="54">
        <f>+F30/$F$9</f>
        <v>0</v>
      </c>
      <c r="P30" s="54">
        <f>+N30-O30</f>
        <v>2500</v>
      </c>
      <c r="Q30" s="434">
        <v>2621.0987499999997</v>
      </c>
      <c r="R30" s="123"/>
      <c r="S30" s="114"/>
      <c r="T30" s="112"/>
      <c r="U30" s="114"/>
      <c r="V30" s="112"/>
      <c r="W30" s="111" t="str">
        <f>+Budget_Comparativo_FL_Acum!S24</f>
        <v>-</v>
      </c>
    </row>
    <row r="31" spans="1:23" s="60" customFormat="1" ht="16" thickBot="1">
      <c r="A31" s="50"/>
      <c r="B31" s="67" t="s">
        <v>160</v>
      </c>
      <c r="C31" s="50"/>
      <c r="D31" s="232">
        <f>+'Budget_Temp_2023-2024'!G30</f>
        <v>10000</v>
      </c>
      <c r="E31" s="233">
        <f>+Budget_Comparativo_FL_Acum!E25</f>
        <v>0</v>
      </c>
      <c r="F31" s="232">
        <f>+Budget_Comparativo_FL_Acum!F25</f>
        <v>0</v>
      </c>
      <c r="G31" s="320">
        <f>+Budget_Comparativo_FL_Acum!G25</f>
        <v>0</v>
      </c>
      <c r="H31" s="233">
        <f>+F31+G31</f>
        <v>0</v>
      </c>
      <c r="I31" s="233">
        <f>+IF(H31=0,0,ROUND(E31-H31,0))</f>
        <v>0</v>
      </c>
      <c r="J31" s="233">
        <v>0</v>
      </c>
      <c r="K31" s="232">
        <f>+I31-J31</f>
        <v>0</v>
      </c>
      <c r="L31" s="225">
        <f>IF(D31=0,0,1-(+F31/D31))</f>
        <v>1</v>
      </c>
      <c r="M31" s="68" t="s">
        <v>107</v>
      </c>
      <c r="N31" s="53">
        <f>+D31/12</f>
        <v>833.33333333333337</v>
      </c>
      <c r="O31" s="54">
        <f>+F31/$F$9</f>
        <v>0</v>
      </c>
      <c r="P31" s="54">
        <f>+N31-O31</f>
        <v>833.33333333333337</v>
      </c>
      <c r="Q31" s="434">
        <v>779.23749999999995</v>
      </c>
      <c r="R31" s="123"/>
      <c r="S31" s="114"/>
      <c r="T31" s="112"/>
      <c r="U31" s="114"/>
      <c r="V31" s="112"/>
      <c r="W31" s="111" t="str">
        <f>+Budget_Comparativo_FL_Acum!S25</f>
        <v>-</v>
      </c>
    </row>
    <row r="32" spans="1:23" s="60" customFormat="1" ht="16" thickBot="1">
      <c r="A32" s="50"/>
      <c r="B32" s="59" t="s">
        <v>57</v>
      </c>
      <c r="C32" s="50"/>
      <c r="D32" s="232">
        <f>+'Budget_Temp_2023-2024'!G31</f>
        <v>1800</v>
      </c>
      <c r="E32" s="233">
        <f>+Budget_Comparativo_LD_Acum!E24+Budget_Comparativo_PZ_Acum!E24</f>
        <v>450</v>
      </c>
      <c r="F32" s="232">
        <f>+Budget_Comparativo_LD_Acum!F24+Budget_Comparativo_PZ_Acum!F24</f>
        <v>0</v>
      </c>
      <c r="G32" s="321"/>
      <c r="H32" s="233">
        <f>+F32+G32</f>
        <v>0</v>
      </c>
      <c r="I32" s="233">
        <f>+IF(H32=0,0,ROUND(E32-H32,0))</f>
        <v>0</v>
      </c>
      <c r="J32" s="233">
        <v>0</v>
      </c>
      <c r="K32" s="232">
        <f>+I32-J32</f>
        <v>0</v>
      </c>
      <c r="L32" s="50"/>
      <c r="M32" s="57" t="s">
        <v>98</v>
      </c>
      <c r="N32" s="53">
        <f>IF(D32=0,0,$D32/$D$7)</f>
        <v>0.50775740479548659</v>
      </c>
      <c r="O32" s="53">
        <f>IF(F7=0,0,IF(H32=0,0,($H32)/$F$7))</f>
        <v>0</v>
      </c>
      <c r="P32" s="54">
        <f>+N32-O32</f>
        <v>0.50775740479548659</v>
      </c>
      <c r="Q32" s="434">
        <v>0.54788491446345255</v>
      </c>
      <c r="R32" s="123"/>
      <c r="S32" s="111" t="str">
        <f>+Budget_Comparativo_PZ_Acum!S24</f>
        <v>-</v>
      </c>
      <c r="T32" s="123"/>
      <c r="U32" s="111" t="str">
        <f>+Budget_Comparativo_LD_Acum!S24</f>
        <v>-</v>
      </c>
      <c r="V32" s="123"/>
      <c r="W32" s="114"/>
    </row>
    <row r="33" spans="1:23" s="60" customFormat="1" ht="16" thickBot="1">
      <c r="A33" s="50"/>
      <c r="B33" s="59" t="s">
        <v>111</v>
      </c>
      <c r="C33" s="50"/>
      <c r="D33" s="232">
        <f>+'Budget_Temp_2023-2024'!G32</f>
        <v>8000</v>
      </c>
      <c r="E33" s="233">
        <f>+Budget_Comparativo_LD_Acum!E25+Budget_Comparativo_PZ_Acum!E25</f>
        <v>0</v>
      </c>
      <c r="F33" s="232">
        <f>+Budget_Comparativo_LD_Acum!F25+Budget_Comparativo_PZ_Acum!F25</f>
        <v>0</v>
      </c>
      <c r="G33" s="321"/>
      <c r="H33" s="233">
        <f>+F33+G33</f>
        <v>0</v>
      </c>
      <c r="I33" s="233">
        <f>+IF(H33=0,0,ROUND(E33-H33,0))</f>
        <v>0</v>
      </c>
      <c r="J33" s="233">
        <v>0</v>
      </c>
      <c r="K33" s="232">
        <f>+I33-J33</f>
        <v>0</v>
      </c>
      <c r="L33" s="50"/>
      <c r="M33" s="57" t="s">
        <v>98</v>
      </c>
      <c r="N33" s="53">
        <f>IF(D33=0,0,$D33/$D$7)</f>
        <v>2.2566995768688294</v>
      </c>
      <c r="O33" s="53">
        <f>IF(F7=0,0,IF(H33=0,0,($H33)/$F$7))</f>
        <v>0</v>
      </c>
      <c r="P33" s="54">
        <f>+N33-O33</f>
        <v>2.2566995768688294</v>
      </c>
      <c r="Q33" s="434">
        <v>2.8749974079834115</v>
      </c>
      <c r="R33" s="123"/>
      <c r="S33" s="111" t="str">
        <f>+Budget_Comparativo_PZ_Acum!S25</f>
        <v>-</v>
      </c>
      <c r="T33" s="123"/>
      <c r="U33" s="111" t="str">
        <f>+Budget_Comparativo_LD_Acum!S25</f>
        <v>-</v>
      </c>
      <c r="V33" s="123"/>
      <c r="W33" s="114"/>
    </row>
    <row r="34" spans="1:23" s="49" customFormat="1" ht="16" thickBot="1">
      <c r="A34" s="42"/>
      <c r="B34" s="34"/>
      <c r="C34" s="121"/>
      <c r="D34" s="271"/>
      <c r="E34" s="234"/>
      <c r="F34" s="273"/>
      <c r="G34" s="321"/>
      <c r="H34" s="235"/>
      <c r="I34" s="235"/>
      <c r="J34" s="235"/>
      <c r="K34" s="234"/>
      <c r="L34" s="121"/>
      <c r="M34" s="113"/>
      <c r="N34" s="34"/>
      <c r="O34" s="122"/>
      <c r="P34" s="122"/>
      <c r="Q34" s="432"/>
      <c r="R34" s="112"/>
      <c r="S34" s="114"/>
      <c r="T34" s="112"/>
      <c r="U34" s="114"/>
      <c r="V34" s="112"/>
      <c r="W34" s="114"/>
    </row>
    <row r="35" spans="1:23" s="266" customFormat="1" ht="20.5" thickBot="1">
      <c r="B35" s="260" t="s">
        <v>112</v>
      </c>
      <c r="C35" s="261"/>
      <c r="D35" s="263">
        <f t="shared" ref="D35:K35" si="1">+SUM(D12:D34)</f>
        <v>487960</v>
      </c>
      <c r="E35" s="264">
        <f t="shared" si="1"/>
        <v>28571.564008467562</v>
      </c>
      <c r="F35" s="281">
        <f t="shared" si="1"/>
        <v>0</v>
      </c>
      <c r="G35" s="322">
        <f t="shared" si="1"/>
        <v>0</v>
      </c>
      <c r="H35" s="264">
        <f t="shared" si="1"/>
        <v>0</v>
      </c>
      <c r="I35" s="264">
        <f>+SUM(I12:I34)</f>
        <v>0</v>
      </c>
      <c r="J35" s="264">
        <v>0</v>
      </c>
      <c r="K35" s="263">
        <f t="shared" si="1"/>
        <v>0</v>
      </c>
      <c r="L35" s="267">
        <f>+D35-'Budget_Temp_2023-2024'!G34</f>
        <v>0</v>
      </c>
      <c r="N35" s="268"/>
      <c r="O35" s="269"/>
      <c r="P35" s="268"/>
      <c r="Q35" s="439"/>
      <c r="S35" s="270"/>
      <c r="U35" s="270"/>
      <c r="W35" s="270"/>
    </row>
    <row r="36" spans="1:23" s="49" customFormat="1" ht="16" thickBot="1">
      <c r="A36" s="81"/>
      <c r="B36" s="128"/>
      <c r="C36" s="129"/>
      <c r="D36" s="284"/>
      <c r="E36" s="229"/>
      <c r="F36" s="275"/>
      <c r="G36" s="321"/>
      <c r="H36" s="230"/>
      <c r="I36" s="230"/>
      <c r="J36" s="229"/>
      <c r="K36" s="229"/>
      <c r="L36" s="113"/>
      <c r="M36" s="112"/>
      <c r="N36" s="125"/>
      <c r="O36" s="126"/>
      <c r="P36" s="126"/>
      <c r="Q36" s="435"/>
      <c r="R36" s="112"/>
      <c r="S36" s="114"/>
      <c r="T36" s="112"/>
      <c r="U36" s="114"/>
      <c r="V36" s="112"/>
      <c r="W36" s="114"/>
    </row>
    <row r="37" spans="1:23" ht="130.5" thickBot="1">
      <c r="B37" s="86" t="s">
        <v>227</v>
      </c>
      <c r="D37" s="241">
        <f>+D43</f>
        <v>239500</v>
      </c>
      <c r="E37" s="241">
        <f>+E43</f>
        <v>217000</v>
      </c>
      <c r="F37" s="276">
        <f>+F43</f>
        <v>0</v>
      </c>
      <c r="G37" s="321">
        <f>+G43</f>
        <v>52600</v>
      </c>
      <c r="H37" s="242">
        <f>+F37+G37</f>
        <v>52600</v>
      </c>
      <c r="I37" s="242">
        <f>+IF(H37=0,0,E37-H37)</f>
        <v>164400</v>
      </c>
      <c r="J37" s="242">
        <v>0</v>
      </c>
      <c r="K37" s="232">
        <f>+I37-J37</f>
        <v>164400</v>
      </c>
      <c r="L37" s="225">
        <f>IF(D37=0,0,1-(+F37/D37))</f>
        <v>1</v>
      </c>
      <c r="M37" s="87" t="s">
        <v>124</v>
      </c>
      <c r="N37" s="134">
        <v>0</v>
      </c>
      <c r="O37" s="181">
        <v>0</v>
      </c>
      <c r="P37" s="181">
        <v>0</v>
      </c>
      <c r="Q37" s="443">
        <v>0</v>
      </c>
      <c r="R37" s="112"/>
      <c r="S37" s="111" t="str">
        <f>+Budget_Comparativo_PZ_Acum!S29</f>
        <v>1,3k Horno + 0,7k Conservadoras y Cuchillos +0,9k Aire Acondicionado + 0,2k Vaporizador + 1,1k Compu Horacio + 1,4k Caldera + 0,6k equipo osmosis + 1,1k Utencillos, Cajas, etc + 0,7k Telas + 0,7kToallas y Toallones + 0,5 Computadora + 0,7 Carpetas Cueros + 0,4k Humidor Habanos + 0,4k Botellas + 0,2 Parlante + 0,2k Mantas</v>
      </c>
      <c r="T37" s="112"/>
      <c r="U37" s="111" t="str">
        <f>+Budget_Comparativo_LD_Acum!S29</f>
        <v>16,3k Obras Cocina y Baños +2,3k Cocina +0,5k Vajilla + 1,7k Microondas+Secarropas+Minipimer etc + 0,7k Estanterías + 0,9k Freezer + 0,8k Equipamiento Cocina, Cristalería, etc + 1,1k Tanque Australiano + 0,6 Secarropas + 0,5k Humidor + 0,6k Ropa Blanca Toallas/Toallones  +1,2k Carpetas Cuero Cuartos y Menus + 0,8k Almohadones + 0,4 Estanterías</v>
      </c>
      <c r="V37" s="112"/>
      <c r="W37" s="111" t="str">
        <f>+Budget_Comparativo_FL_Acum!S29</f>
        <v>64k Vehículo Sprinter Joaquín + 0,4k AlaRmas y Otros Polvorines + 0,4k Vajilla y equipamiento Field + 170k x cpra 63 Escopetas Modestini falta costo inscripción en el Renar por ende vamos a terminar pasados en  30k aprox.</v>
      </c>
    </row>
    <row r="38" spans="1:23" ht="16" thickBot="1">
      <c r="B38" s="86" t="s">
        <v>210</v>
      </c>
      <c r="D38" s="241">
        <f>+Budget_Comparativo_FL_Acum!D30</f>
        <v>0</v>
      </c>
      <c r="E38" s="242">
        <f>+Budget_Comparativo_FL_Acum!E30</f>
        <v>0</v>
      </c>
      <c r="F38" s="276">
        <f>+Budget_Comparativo_FL_Acum!F30</f>
        <v>0</v>
      </c>
      <c r="G38" s="321"/>
      <c r="H38" s="242">
        <f>+F38+G38</f>
        <v>0</v>
      </c>
      <c r="I38" s="242">
        <f>IF(H9=12,+IF(H38=0,0,E38-H38),0)</f>
        <v>0</v>
      </c>
      <c r="J38" s="242">
        <v>0</v>
      </c>
      <c r="K38" s="232">
        <f>+Budget_Comparativo_FL_Acum!K30</f>
        <v>0</v>
      </c>
      <c r="L38" s="225">
        <f>+Budget_Comparativo_FL_Acum!L30</f>
        <v>0</v>
      </c>
      <c r="M38" s="87"/>
      <c r="N38" s="134">
        <v>0</v>
      </c>
      <c r="O38" s="181">
        <v>0</v>
      </c>
      <c r="P38" s="181">
        <v>0</v>
      </c>
      <c r="Q38" s="443">
        <v>0</v>
      </c>
      <c r="R38" s="112"/>
      <c r="S38" s="114"/>
      <c r="T38" s="112"/>
      <c r="U38" s="114"/>
      <c r="V38" s="112"/>
      <c r="W38" s="111" t="str">
        <f>+Budget_Comparativo_FL_Acum!S30</f>
        <v>-</v>
      </c>
    </row>
    <row r="39" spans="1:23" s="49" customFormat="1" ht="16" thickBot="1">
      <c r="A39" s="88"/>
      <c r="B39" s="14"/>
      <c r="C39" s="14"/>
      <c r="D39" s="245"/>
      <c r="E39" s="245"/>
      <c r="F39" s="278"/>
      <c r="G39" s="321"/>
      <c r="H39" s="246"/>
      <c r="I39" s="246"/>
      <c r="J39" s="245"/>
      <c r="K39" s="245"/>
      <c r="L39" s="127">
        <f>ROUND(+D37+D38-'Budget_Temp_2023-2024'!G36,0)</f>
        <v>0</v>
      </c>
      <c r="M39" s="113"/>
      <c r="N39" s="112"/>
      <c r="O39" s="112"/>
      <c r="P39" s="130"/>
      <c r="Q39" s="441"/>
      <c r="R39" s="112"/>
      <c r="S39" s="114"/>
      <c r="T39" s="112"/>
      <c r="U39" s="114"/>
      <c r="V39" s="112"/>
      <c r="W39" s="114"/>
    </row>
    <row r="40" spans="1:23" ht="16" thickBot="1">
      <c r="B40" s="89" t="s">
        <v>114</v>
      </c>
      <c r="C40" s="135"/>
      <c r="D40" s="247">
        <f>+D35+D37+D38</f>
        <v>727460</v>
      </c>
      <c r="E40" s="247">
        <f>+E35+E37+E38</f>
        <v>245571.56400846757</v>
      </c>
      <c r="F40" s="280">
        <f>ROUND(+F35+F37+F38,0)</f>
        <v>0</v>
      </c>
      <c r="G40" s="323">
        <f>ROUND(+G35+G37+G38,0)</f>
        <v>52600</v>
      </c>
      <c r="H40" s="280">
        <f>ROUND(+H35+H37+H38,0)</f>
        <v>52600</v>
      </c>
      <c r="I40" s="242">
        <f>+I35+I37+I38</f>
        <v>164400</v>
      </c>
      <c r="J40" s="242">
        <v>0</v>
      </c>
      <c r="K40" s="232">
        <f>+K35+K37+K38</f>
        <v>164400</v>
      </c>
      <c r="L40" s="127">
        <f>+D40-'Budget_Temp_2023-2024'!G39</f>
        <v>0</v>
      </c>
      <c r="M40" s="113"/>
      <c r="N40" s="92"/>
      <c r="O40" s="105"/>
      <c r="P40" s="92"/>
      <c r="Q40" s="442"/>
      <c r="R40" s="112"/>
      <c r="S40" s="114"/>
      <c r="T40" s="112"/>
      <c r="U40" s="114"/>
      <c r="V40" s="112"/>
      <c r="W40" s="114"/>
    </row>
    <row r="41" spans="1:23" ht="13">
      <c r="D41" s="112"/>
      <c r="E41" s="112"/>
      <c r="F41" s="302" t="str">
        <f ca="1">+IF(F42=0,"Ok","Check")</f>
        <v>Check</v>
      </c>
      <c r="G41" s="324"/>
      <c r="H41" s="302" t="str">
        <f>+IF(H42=0,"Ok","Check")</f>
        <v>Ok</v>
      </c>
      <c r="I41" s="177">
        <f>ROUND(+I35-Budget_Comparativo_FL_Acum!I27-Budget_Comparativo_LD_Acum!I27-Budget_Comparativo_PZ_Acum!I27,0)</f>
        <v>-17663</v>
      </c>
      <c r="J41" s="177">
        <f>ROUND(+J35-Budget_Comparativo_FL_Acum!J27-Budget_Comparativo_LD_Acum!J27-Budget_Comparativo_PZ_Acum!J27,0)</f>
        <v>0</v>
      </c>
      <c r="M41" s="113"/>
      <c r="N41" s="112"/>
      <c r="O41" s="112"/>
      <c r="P41" s="112"/>
      <c r="R41" s="112"/>
      <c r="S41" s="114"/>
      <c r="T41" s="112"/>
      <c r="U41" s="114"/>
      <c r="V41" s="112"/>
      <c r="W41" s="114"/>
    </row>
    <row r="42" spans="1:23">
      <c r="F42" s="303">
        <f ca="1">ROUND(+Resumen_Base!Y5+Resumen_Base!Y93+Resumen_Base!Y28,0)-F40</f>
        <v>194888</v>
      </c>
      <c r="G42" s="324"/>
      <c r="H42" s="285">
        <f>ROUNDDOWN(+F40+G40-H40,0)</f>
        <v>0</v>
      </c>
      <c r="I42" s="286" t="str">
        <f>+IF(ROUND(I43,0)=0,"Ok","Check")</f>
        <v>Check</v>
      </c>
      <c r="J42" s="286" t="str">
        <f>+IF(J43=0,"Ok","Check")</f>
        <v>Ok</v>
      </c>
    </row>
    <row r="43" spans="1:23" ht="16">
      <c r="B43" s="350" t="s">
        <v>222</v>
      </c>
      <c r="D43" s="352">
        <f>+SUM(D44:D50)</f>
        <v>239500</v>
      </c>
      <c r="E43" s="352">
        <f>+SUM(E44:E50)</f>
        <v>217000</v>
      </c>
      <c r="F43" s="352">
        <f>+SUM(F44:F50)</f>
        <v>0</v>
      </c>
      <c r="G43" s="352">
        <f>+SUM(G44:G50)</f>
        <v>52600</v>
      </c>
      <c r="H43" s="14"/>
      <c r="I43" s="186">
        <f>ROUND(+Budget_Comparativo_PZ_Acum!I32+Budget_Comparativo_LD_Acum!I32+Budget_Comparativo_FL_Acum!I32-I40,0)</f>
        <v>17663</v>
      </c>
      <c r="J43" s="186">
        <f>ROUND(Budget_Comparativo_PZ_Acum!J32+Budget_Comparativo_LD_Acum!J32+Budget_Comparativo_FL_Acum!J32-J40,0)</f>
        <v>0</v>
      </c>
    </row>
    <row r="44" spans="1:23">
      <c r="B44" s="349" t="s">
        <v>223</v>
      </c>
      <c r="D44" s="351">
        <f>+Budget_Comparativo_PZ_Acum!D35+Budget_Comparativo_LD_Acum!D35+Budget_Comparativo_FL_Acum!D35</f>
        <v>0</v>
      </c>
      <c r="E44" s="351">
        <f>+Budget_Comparativo_PZ_Acum!E35+Budget_Comparativo_LD_Acum!E35+Budget_Comparativo_FL_Acum!E35</f>
        <v>0</v>
      </c>
      <c r="F44" s="351">
        <f>+Budget_Comparativo_PZ_Acum!F35+Budget_Comparativo_LD_Acum!F35+Budget_Comparativo_FL_Acum!F35</f>
        <v>0</v>
      </c>
      <c r="G44" s="351">
        <f>+Budget_Comparativo_PZ_Acum!G35+Budget_Comparativo_LD_Acum!G35+Budget_Comparativo_FL_Acum!G35</f>
        <v>0</v>
      </c>
      <c r="H44" s="14"/>
    </row>
    <row r="45" spans="1:23">
      <c r="B45" s="14" t="s">
        <v>1</v>
      </c>
      <c r="D45" s="351">
        <f>+Budget_Comparativo_PZ_Acum!D36+Budget_Comparativo_LD_Acum!D36+Budget_Comparativo_FL_Acum!D36</f>
        <v>120000</v>
      </c>
      <c r="E45" s="351">
        <f>+Budget_Comparativo_PZ_Acum!E36+Budget_Comparativo_LD_Acum!E36+Budget_Comparativo_FL_Acum!E36</f>
        <v>0</v>
      </c>
      <c r="F45" s="351">
        <f>+Budget_Comparativo_PZ_Acum!F36+Budget_Comparativo_LD_Acum!F36+Budget_Comparativo_FL_Acum!F36</f>
        <v>0</v>
      </c>
      <c r="G45" s="351">
        <f>+Budget_Comparativo_PZ_Acum!G36+Budget_Comparativo_LD_Acum!G36+Budget_Comparativo_FL_Acum!G36</f>
        <v>0</v>
      </c>
      <c r="H45" s="14"/>
    </row>
    <row r="46" spans="1:23">
      <c r="B46" s="14" t="s">
        <v>224</v>
      </c>
      <c r="D46" s="351">
        <f>+Budget_Comparativo_PZ_Acum!D37+Budget_Comparativo_LD_Acum!D37+Budget_Comparativo_FL_Acum!D37</f>
        <v>48500</v>
      </c>
      <c r="E46" s="351">
        <f>+Budget_Comparativo_PZ_Acum!E37+Budget_Comparativo_LD_Acum!E37+Budget_Comparativo_FL_Acum!E37</f>
        <v>26000</v>
      </c>
      <c r="F46" s="351">
        <f>+Budget_Comparativo_PZ_Acum!F37+Budget_Comparativo_LD_Acum!F37+Budget_Comparativo_FL_Acum!F37</f>
        <v>0</v>
      </c>
      <c r="G46" s="351">
        <f>+Budget_Comparativo_PZ_Acum!G37+Budget_Comparativo_LD_Acum!G37+Budget_Comparativo_FL_Acum!G37</f>
        <v>0</v>
      </c>
      <c r="H46" s="14"/>
    </row>
    <row r="47" spans="1:23">
      <c r="B47" s="363" t="s">
        <v>228</v>
      </c>
      <c r="D47" s="351">
        <f>+Budget_Comparativo_PZ_Acum!D38+Budget_Comparativo_LD_Acum!D38+Budget_Comparativo_FL_Acum!D38</f>
        <v>0</v>
      </c>
      <c r="E47" s="351">
        <f>+Budget_Comparativo_PZ_Acum!E38+Budget_Comparativo_LD_Acum!E38+Budget_Comparativo_FL_Acum!E38</f>
        <v>0</v>
      </c>
      <c r="F47" s="351">
        <f>+Budget_Comparativo_PZ_Acum!F38+Budget_Comparativo_LD_Acum!F38+Budget_Comparativo_FL_Acum!F38</f>
        <v>0</v>
      </c>
      <c r="G47" s="351">
        <f>+Budget_Comparativo_PZ_Acum!G38+Budget_Comparativo_LD_Acum!G38+Budget_Comparativo_FL_Acum!G38</f>
        <v>0</v>
      </c>
      <c r="H47" s="14"/>
    </row>
    <row r="48" spans="1:23">
      <c r="B48" s="14" t="s">
        <v>53</v>
      </c>
      <c r="D48" s="351">
        <f>+Budget_Comparativo_PZ_Acum!D39+Budget_Comparativo_LD_Acum!D39+Budget_Comparativo_FL_Acum!D39</f>
        <v>0</v>
      </c>
      <c r="E48" s="351">
        <f>+Budget_Comparativo_PZ_Acum!E39+Budget_Comparativo_LD_Acum!E39+Budget_Comparativo_FL_Acum!E39</f>
        <v>0</v>
      </c>
      <c r="F48" s="351">
        <f>+Budget_Comparativo_PZ_Acum!F39+Budget_Comparativo_LD_Acum!F39+Budget_Comparativo_FL_Acum!F39</f>
        <v>0</v>
      </c>
      <c r="G48" s="351">
        <f>+Budget_Comparativo_PZ_Acum!G39+Budget_Comparativo_LD_Acum!G39+Budget_Comparativo_FL_Acum!G39</f>
        <v>0</v>
      </c>
      <c r="H48" s="14"/>
    </row>
    <row r="49" spans="2:8">
      <c r="B49" s="14" t="s">
        <v>226</v>
      </c>
      <c r="D49" s="351">
        <f>+Budget_Comparativo_PZ_Acum!D40+Budget_Comparativo_LD_Acum!D40+Budget_Comparativo_FL_Acum!D40</f>
        <v>71000</v>
      </c>
      <c r="E49" s="351">
        <f>+Budget_Comparativo_PZ_Acum!E40+Budget_Comparativo_LD_Acum!E40+Budget_Comparativo_FL_Acum!E40</f>
        <v>191000</v>
      </c>
      <c r="F49" s="351">
        <f>+Budget_Comparativo_PZ_Acum!F40+Budget_Comparativo_LD_Acum!F40+Budget_Comparativo_FL_Acum!F40</f>
        <v>0</v>
      </c>
      <c r="G49" s="351">
        <f>+Budget_Comparativo_PZ_Acum!G40+Budget_Comparativo_LD_Acum!G40+Budget_Comparativo_FL_Acum!G40</f>
        <v>52600</v>
      </c>
      <c r="H49" s="14"/>
    </row>
    <row r="50" spans="2:8">
      <c r="B50" s="353" t="s">
        <v>225</v>
      </c>
      <c r="C50" s="353"/>
      <c r="D50" s="353" t="s">
        <v>225</v>
      </c>
      <c r="E50" s="353" t="s">
        <v>225</v>
      </c>
      <c r="F50" s="353" t="s">
        <v>225</v>
      </c>
      <c r="G50" s="353" t="s">
        <v>225</v>
      </c>
      <c r="H50" s="14"/>
    </row>
    <row r="51" spans="2:8">
      <c r="G51" s="324"/>
      <c r="H51" s="14"/>
    </row>
    <row r="52" spans="2:8">
      <c r="E52" s="16" t="s">
        <v>49</v>
      </c>
      <c r="F52" s="215">
        <f>+Budget_Comparativo_PZ_Acum!F32</f>
        <v>0</v>
      </c>
      <c r="G52" s="324"/>
      <c r="H52" s="14"/>
    </row>
    <row r="53" spans="2:8">
      <c r="E53" s="16" t="s">
        <v>48</v>
      </c>
      <c r="F53" s="215">
        <f>+Budget_Comparativo_LD_Acum!F32</f>
        <v>0</v>
      </c>
      <c r="G53" s="324"/>
      <c r="H53" s="14"/>
    </row>
    <row r="54" spans="2:8">
      <c r="E54" s="16" t="s">
        <v>93</v>
      </c>
      <c r="F54" s="215">
        <f>+Budget_Comparativo_FL_Acum!F32</f>
        <v>0</v>
      </c>
    </row>
    <row r="55" spans="2:8">
      <c r="F55" s="215">
        <f>+F52+F53+F54</f>
        <v>0</v>
      </c>
    </row>
  </sheetData>
  <mergeCells count="2">
    <mergeCell ref="D4:F4"/>
    <mergeCell ref="N4:P4"/>
  </mergeCells>
  <conditionalFormatting sqref="B4">
    <cfRule type="cellIs" dxfId="22" priority="123" stopIfTrue="1" operator="notEqual">
      <formula>"ok"</formula>
    </cfRule>
  </conditionalFormatting>
  <conditionalFormatting sqref="F3 F41 I42:J42">
    <cfRule type="cellIs" dxfId="21" priority="121" stopIfTrue="1" operator="equal">
      <formula>"OK"</formula>
    </cfRule>
  </conditionalFormatting>
  <conditionalFormatting sqref="H41">
    <cfRule type="cellIs" dxfId="20" priority="4" stopIfTrue="1" operator="equal">
      <formula>"OK"</formula>
    </cfRule>
  </conditionalFormatting>
  <conditionalFormatting sqref="H3:J3">
    <cfRule type="cellIs" dxfId="19" priority="1" stopIfTrue="1" operator="equal">
      <formula>"OK"</formula>
    </cfRule>
  </conditionalFormatting>
  <conditionalFormatting sqref="I13:K13 P13:Q13 I15:K40 P15:Q40">
    <cfRule type="cellIs" dxfId="18" priority="122" stopIfTrue="1" operator="lessThan">
      <formula>0</formula>
    </cfRule>
  </conditionalFormatting>
  <hyperlinks>
    <hyperlink ref="B13" location="Costos_Directos!C8" display="Canon/ lodge rentals"/>
    <hyperlink ref="B19" location="Costos_Directos!M8" display="Vehiculos/Botes"/>
    <hyperlink ref="B21" location="Costos_Directos!R8" display="Traslado Aerop/Lodge/Alq Vehiculos"/>
    <hyperlink ref="B24" location="Costos_Directos!W8" display="Uniformes"/>
    <hyperlink ref="B30" location="Costos_Directos!AA8" display="Vehiculos"/>
    <hyperlink ref="B15" location="Costos_Directos!H8" display="Comida"/>
    <hyperlink ref="B18" location="Costos_Directos!J8" display="electricidad"/>
    <hyperlink ref="B20" location="Costos_Directos!P8" display="Gas "/>
    <hyperlink ref="B22" location="Costos_Directos!U8" display="Locales"/>
    <hyperlink ref="B29" location="Costos_Directos!Y8" display="Lodge-pre season-aperturas"/>
    <hyperlink ref="B32" location="Costos_Directos!AE8" display="Comunicaciones"/>
    <hyperlink ref="B33" location="Costos_Directos!AM8" display="Varios, incluye papeleria ldoges"/>
    <hyperlink ref="B31" location="Costos_Directos!AC8" display="Equipos"/>
    <hyperlink ref="B38" location="Inversiones!A1" display="INVERSIONES"/>
    <hyperlink ref="B26" location="Costos_Directos!E8" display="Permisos de Pesca/Caza"/>
    <hyperlink ref="B37" location="Inversiones!A1" display="INVERSIONES"/>
  </hyperlinks>
  <printOptions horizontalCentered="1"/>
  <pageMargins left="0.31496062992125984" right="0.31496062992125984" top="0.15748031496062992" bottom="0.15748031496062992" header="0.31496062992125984" footer="0.31496062992125984"/>
  <pageSetup paperSize="5" scale="50" orientation="landscape" r:id="rId1"/>
</worksheet>
</file>

<file path=xl/worksheets/sheet34.xml><?xml version="1.0" encoding="utf-8"?>
<worksheet xmlns="http://schemas.openxmlformats.org/spreadsheetml/2006/main" xmlns:r="http://schemas.openxmlformats.org/officeDocument/2006/relationships">
  <sheetPr codeName="Sheet19">
    <pageSetUpPr fitToPage="1"/>
  </sheetPr>
  <dimension ref="A1:X49"/>
  <sheetViews>
    <sheetView zoomScale="80" zoomScaleNormal="80" workbookViewId="0">
      <pane xSplit="2" ySplit="11" topLeftCell="C18" activePane="bottomRight" state="frozen"/>
      <selection activeCell="A2" sqref="A2:M2"/>
      <selection pane="topRight" activeCell="A2" sqref="A2:M2"/>
      <selection pane="bottomLeft" activeCell="A2" sqref="A2:M2"/>
      <selection pane="bottomRight" activeCell="B19" sqref="B19"/>
    </sheetView>
  </sheetViews>
  <sheetFormatPr baseColWidth="10" defaultColWidth="10.81640625" defaultRowHeight="15.5"/>
  <cols>
    <col min="1" max="1" width="8.81640625" style="14" bestFit="1" customWidth="1"/>
    <col min="2" max="2" width="40" style="14" bestFit="1" customWidth="1"/>
    <col min="3" max="3" width="1.453125" style="14" customWidth="1"/>
    <col min="4" max="4" width="12" style="16" bestFit="1" customWidth="1"/>
    <col min="5" max="5" width="11.453125" style="16" bestFit="1" customWidth="1"/>
    <col min="6" max="6" width="12" style="215" bestFit="1" customWidth="1"/>
    <col min="7" max="7" width="10.81640625" style="157" customWidth="1"/>
    <col min="8" max="9" width="11.453125" style="157" bestFit="1" customWidth="1"/>
    <col min="10" max="10" width="11.453125" style="16" bestFit="1" customWidth="1"/>
    <col min="11" max="11" width="18.453125" style="16" bestFit="1" customWidth="1"/>
    <col min="12" max="12" width="10.1796875" style="14" customWidth="1"/>
    <col min="13" max="13" width="10.81640625" style="17"/>
    <col min="14" max="14" width="8.81640625" style="16" bestFit="1" customWidth="1"/>
    <col min="15" max="16" width="9.1796875" style="16" bestFit="1" customWidth="1"/>
    <col min="17" max="17" width="10.81640625" style="428"/>
    <col min="18" max="18" width="6.1796875" style="16" bestFit="1" customWidth="1"/>
    <col min="19" max="19" width="63.453125" style="95" customWidth="1"/>
    <col min="20" max="20" width="11.81640625" style="16" bestFit="1" customWidth="1"/>
    <col min="21" max="16384" width="10.81640625" style="16"/>
  </cols>
  <sheetData>
    <row r="1" spans="1:24">
      <c r="B1" s="18" t="s">
        <v>86</v>
      </c>
      <c r="D1" s="112" t="s">
        <v>87</v>
      </c>
      <c r="E1" s="112"/>
      <c r="J1" s="112"/>
      <c r="K1" s="112"/>
      <c r="M1" s="113"/>
      <c r="N1" s="112" t="s">
        <v>87</v>
      </c>
      <c r="O1" s="112"/>
      <c r="P1" s="112"/>
      <c r="R1" s="112"/>
      <c r="S1" s="114"/>
    </row>
    <row r="2" spans="1:24">
      <c r="A2" s="18"/>
      <c r="B2" s="115" t="str">
        <f>+Budget_Comparativo_PZ_Acum!B2</f>
        <v>2023/2024</v>
      </c>
      <c r="C2" s="18"/>
      <c r="D2" s="18"/>
      <c r="E2" s="18"/>
      <c r="F2" s="369" t="e">
        <f>+A13</f>
        <v>#REF!</v>
      </c>
      <c r="G2" s="369" t="e">
        <f>+A19</f>
        <v>#REF!</v>
      </c>
      <c r="H2" s="369" t="e">
        <f>+A26</f>
        <v>#REF!</v>
      </c>
      <c r="I2" s="369" t="e">
        <f>+A30</f>
        <v>#REF!</v>
      </c>
      <c r="J2" s="18"/>
      <c r="K2" s="18"/>
      <c r="L2" s="18"/>
      <c r="M2" s="113"/>
      <c r="N2" s="18"/>
      <c r="O2" s="20"/>
      <c r="P2" s="20"/>
      <c r="Q2" s="429"/>
      <c r="R2" s="112"/>
      <c r="S2" s="114"/>
    </row>
    <row r="3" spans="1:24" s="23" customFormat="1" ht="16" thickBot="1">
      <c r="A3" s="21"/>
      <c r="B3" s="20"/>
      <c r="C3" s="20"/>
      <c r="D3" s="20"/>
      <c r="E3" s="20"/>
      <c r="F3" s="302" t="str">
        <f ca="1">+F40</f>
        <v>OK</v>
      </c>
      <c r="G3" s="154"/>
      <c r="H3" s="302" t="str">
        <f>+H40</f>
        <v>Check</v>
      </c>
      <c r="I3" s="158"/>
      <c r="J3" s="20"/>
      <c r="K3" s="20"/>
      <c r="L3" s="20"/>
      <c r="M3" s="116"/>
      <c r="N3" s="20"/>
      <c r="O3" s="117"/>
      <c r="P3" s="117"/>
      <c r="Q3" s="430"/>
      <c r="R3" s="117"/>
      <c r="S3" s="118"/>
    </row>
    <row r="4" spans="1:24" s="26" customFormat="1" ht="18.5" thickBot="1">
      <c r="A4" s="24"/>
      <c r="B4" s="119" t="str">
        <f>IF(L35+L38=0,"OK","Check")</f>
        <v>OK</v>
      </c>
      <c r="C4" s="18"/>
      <c r="D4" s="909" t="s">
        <v>90</v>
      </c>
      <c r="E4" s="909"/>
      <c r="F4" s="909"/>
      <c r="G4" s="18"/>
      <c r="H4" s="27"/>
      <c r="I4" s="368"/>
      <c r="J4" s="18"/>
      <c r="K4" s="18"/>
      <c r="L4" s="18"/>
      <c r="M4" s="113"/>
      <c r="N4" s="903" t="s">
        <v>91</v>
      </c>
      <c r="O4" s="904"/>
      <c r="P4" s="905"/>
      <c r="Q4" s="430"/>
      <c r="R4" s="112"/>
      <c r="S4" s="114"/>
    </row>
    <row r="5" spans="1:24" ht="13.5" thickBot="1">
      <c r="A5" s="27"/>
      <c r="B5" s="120" t="s">
        <v>89</v>
      </c>
      <c r="C5" s="27"/>
      <c r="D5" s="200"/>
      <c r="E5" s="201"/>
      <c r="F5" s="301"/>
      <c r="G5" s="27"/>
      <c r="H5" s="27"/>
      <c r="I5" s="27"/>
      <c r="J5" s="27"/>
      <c r="K5" s="27"/>
      <c r="L5" s="27"/>
      <c r="M5" s="113"/>
      <c r="N5" s="906"/>
      <c r="O5" s="907"/>
      <c r="P5" s="908"/>
      <c r="Q5" s="430"/>
      <c r="R5" s="112"/>
      <c r="S5" s="114"/>
    </row>
    <row r="6" spans="1:24" ht="32" thickBot="1">
      <c r="A6" s="18"/>
      <c r="B6" s="194" t="s">
        <v>201</v>
      </c>
      <c r="C6" s="18"/>
      <c r="D6" s="32" t="s">
        <v>116</v>
      </c>
      <c r="E6" s="103" t="s">
        <v>117</v>
      </c>
      <c r="F6" s="294" t="s">
        <v>118</v>
      </c>
      <c r="G6" s="228" t="s">
        <v>213</v>
      </c>
      <c r="H6" s="289" t="s">
        <v>219</v>
      </c>
      <c r="I6" s="468" t="s">
        <v>247</v>
      </c>
      <c r="J6" s="103" t="s">
        <v>205</v>
      </c>
      <c r="K6" s="32" t="s">
        <v>206</v>
      </c>
      <c r="L6" s="18"/>
      <c r="N6" s="32" t="str">
        <f>+D6</f>
        <v>BUDGET
TOTAL</v>
      </c>
      <c r="O6" s="32" t="s">
        <v>118</v>
      </c>
      <c r="P6" s="32" t="s">
        <v>120</v>
      </c>
      <c r="Q6" s="426" t="s">
        <v>243</v>
      </c>
      <c r="R6" s="112"/>
      <c r="S6" s="114"/>
    </row>
    <row r="7" spans="1:24">
      <c r="A7" s="33"/>
      <c r="B7" s="34" t="s">
        <v>95</v>
      </c>
      <c r="C7" s="33"/>
      <c r="D7" s="36">
        <f>+'Budget_Temp_2023-2024'!O7</f>
        <v>1565</v>
      </c>
      <c r="E7" s="94">
        <f>+F7</f>
        <v>254</v>
      </c>
      <c r="F7" s="295">
        <v>254</v>
      </c>
      <c r="G7" s="290"/>
      <c r="H7" s="159">
        <f>+F7</f>
        <v>254</v>
      </c>
      <c r="I7" s="447" t="e">
        <f>IF(K7=0,0,+K7/J7)</f>
        <v>#DIV/0!</v>
      </c>
      <c r="J7" s="159">
        <v>0</v>
      </c>
      <c r="K7" s="37">
        <f>+F7-J7</f>
        <v>254</v>
      </c>
      <c r="L7" s="421">
        <f>IF(D7=0,0,1-(+F7/D7))</f>
        <v>0.83769968051118204</v>
      </c>
      <c r="N7" s="36">
        <f>+D7</f>
        <v>1565</v>
      </c>
      <c r="O7" s="37">
        <f>+F7</f>
        <v>254</v>
      </c>
      <c r="P7" s="37"/>
      <c r="Q7" s="431">
        <v>0</v>
      </c>
      <c r="R7" s="112"/>
      <c r="S7" s="114"/>
    </row>
    <row r="8" spans="1:24">
      <c r="A8" s="33"/>
      <c r="B8" s="34" t="s">
        <v>96</v>
      </c>
      <c r="C8" s="33"/>
      <c r="D8" s="36">
        <f>+'Budget_Temp_2023-2024'!O8</f>
        <v>474</v>
      </c>
      <c r="E8" s="94">
        <f>+F8</f>
        <v>83</v>
      </c>
      <c r="F8" s="295">
        <v>83</v>
      </c>
      <c r="G8" s="290"/>
      <c r="H8" s="159">
        <f>+F8</f>
        <v>83</v>
      </c>
      <c r="I8" s="37"/>
      <c r="J8" s="159">
        <v>0</v>
      </c>
      <c r="K8" s="37">
        <f>+F8-J8</f>
        <v>83</v>
      </c>
      <c r="L8" s="421">
        <f>IF(D8=0,0,1-(+F8/D8))</f>
        <v>0.82489451476793252</v>
      </c>
      <c r="N8" s="36">
        <f>+D8</f>
        <v>474</v>
      </c>
      <c r="O8" s="37">
        <f>+F8</f>
        <v>83</v>
      </c>
      <c r="P8" s="151">
        <f>+IF(N8=0,0,O8/N8)</f>
        <v>0.17510548523206751</v>
      </c>
      <c r="Q8" s="431">
        <v>0</v>
      </c>
      <c r="R8" s="112"/>
      <c r="S8" s="114"/>
    </row>
    <row r="9" spans="1:24">
      <c r="A9" s="33"/>
      <c r="B9" s="34" t="s">
        <v>204</v>
      </c>
      <c r="C9" s="33"/>
      <c r="D9" s="36">
        <v>12</v>
      </c>
      <c r="E9" s="94">
        <f>+F9</f>
        <v>3</v>
      </c>
      <c r="F9" s="296">
        <f>+Budget_Comparativo_PZ_Acum!F9</f>
        <v>3</v>
      </c>
      <c r="G9" s="290"/>
      <c r="H9" s="159">
        <f>+F9</f>
        <v>3</v>
      </c>
      <c r="I9" s="160"/>
      <c r="J9" s="101"/>
      <c r="K9" s="101"/>
      <c r="L9" s="421">
        <f>1-(+F9/D9)</f>
        <v>0.75</v>
      </c>
      <c r="M9" s="113"/>
      <c r="N9" s="36">
        <f>+D9</f>
        <v>12</v>
      </c>
      <c r="O9" s="37">
        <f>+F9</f>
        <v>3</v>
      </c>
      <c r="P9" s="151">
        <f>+O9/N9</f>
        <v>0.25</v>
      </c>
      <c r="Q9" s="461">
        <f>+O9-1</f>
        <v>2</v>
      </c>
      <c r="R9" s="112"/>
      <c r="S9" s="114"/>
    </row>
    <row r="10" spans="1:24" ht="16" thickBot="1">
      <c r="A10" s="33"/>
      <c r="B10" s="34" t="s">
        <v>143</v>
      </c>
      <c r="C10" s="33"/>
      <c r="D10" s="149">
        <f>IF(D7=0,0,+D7/D8)</f>
        <v>3.3016877637130801</v>
      </c>
      <c r="E10" s="149">
        <f>IF(E7=0,0,+E7/E8)</f>
        <v>3.0602409638554215</v>
      </c>
      <c r="F10" s="149">
        <f>IF(F7=0,0,+F7/F8)</f>
        <v>3.0602409638554215</v>
      </c>
      <c r="G10" s="33"/>
      <c r="H10" s="422">
        <f>+F10</f>
        <v>3.0602409638554215</v>
      </c>
      <c r="I10" s="417"/>
      <c r="J10" s="37"/>
      <c r="K10" s="37"/>
      <c r="L10" s="33"/>
      <c r="N10" s="149">
        <f>IF(N7=0,0,+N7/N8)</f>
        <v>3.3016877637130801</v>
      </c>
      <c r="O10" s="149">
        <f>IF(O7=0,0,+O7/O8)</f>
        <v>3.0602409638554215</v>
      </c>
      <c r="P10" s="37"/>
      <c r="Q10" s="149">
        <f>IF(Q7=0,0,+Q7/Q8)</f>
        <v>0</v>
      </c>
      <c r="R10" s="112"/>
      <c r="S10" s="114"/>
    </row>
    <row r="11" spans="1:24" ht="47" thickBot="1">
      <c r="A11" s="18"/>
      <c r="B11" s="109" t="s">
        <v>97</v>
      </c>
      <c r="C11" s="18"/>
      <c r="D11" s="226" t="str">
        <f>+D6</f>
        <v>BUDGET
TOTAL</v>
      </c>
      <c r="E11" s="226" t="str">
        <f>+E6</f>
        <v>BUDGET
AJUSTADO</v>
      </c>
      <c r="F11" s="298" t="str">
        <f>+F6</f>
        <v>REAL</v>
      </c>
      <c r="G11" s="228" t="s">
        <v>213</v>
      </c>
      <c r="H11" s="227" t="s">
        <v>220</v>
      </c>
      <c r="I11" s="291" t="s">
        <v>127</v>
      </c>
      <c r="J11" s="226" t="s">
        <v>128</v>
      </c>
      <c r="K11" s="252" t="s">
        <v>253</v>
      </c>
      <c r="L11" s="199" t="s">
        <v>156</v>
      </c>
      <c r="M11" s="113"/>
      <c r="N11" s="32" t="str">
        <f>+D11</f>
        <v>BUDGET
TOTAL</v>
      </c>
      <c r="O11" s="32" t="s">
        <v>118</v>
      </c>
      <c r="P11" s="32" t="s">
        <v>120</v>
      </c>
      <c r="Q11" s="426" t="str">
        <f>+Q6</f>
        <v>REAL 
Mes 
Anterior</v>
      </c>
      <c r="R11" s="112"/>
      <c r="S11" s="32" t="s">
        <v>121</v>
      </c>
      <c r="T11" s="317" t="s">
        <v>214</v>
      </c>
      <c r="U11" s="287" t="s">
        <v>216</v>
      </c>
      <c r="V11" s="317" t="s">
        <v>215</v>
      </c>
    </row>
    <row r="12" spans="1:24" s="49" customFormat="1" ht="16" thickBot="1">
      <c r="A12" s="42"/>
      <c r="B12" s="34"/>
      <c r="C12" s="121"/>
      <c r="D12" s="229"/>
      <c r="E12" s="229"/>
      <c r="F12" s="275"/>
      <c r="G12" s="230"/>
      <c r="H12" s="230"/>
      <c r="I12" s="230"/>
      <c r="J12" s="229"/>
      <c r="K12" s="229"/>
      <c r="L12" s="121"/>
      <c r="M12" s="113"/>
      <c r="N12" s="125"/>
      <c r="O12" s="122"/>
      <c r="P12" s="122"/>
      <c r="Q12" s="432"/>
      <c r="R12" s="112"/>
      <c r="S12" s="114"/>
    </row>
    <row r="13" spans="1:24" s="58" customFormat="1" ht="16" thickBot="1">
      <c r="A13" s="50" t="e">
        <f>+#REF!</f>
        <v>#REF!</v>
      </c>
      <c r="B13" s="51" t="s">
        <v>154</v>
      </c>
      <c r="C13" s="50"/>
      <c r="D13" s="232">
        <f>+'Budget_Temp_2023-2024'!O12</f>
        <v>46950</v>
      </c>
      <c r="E13" s="232">
        <f>IF($E$10=0,H13,IF($E$7&gt;$D$7,(+D13/$D$7*$E$7),IF(D13&lt;H13,+D13,IF($E$9&gt;10,F13,IF(F13&lt;D13,F13,D13)))))</f>
        <v>0</v>
      </c>
      <c r="F13" s="232">
        <f>+SUMIF(Resumen_Base!$A$158:$A$218,Budget_Comparativo_CL!B13,Resumen_Base!$Y$158:$Y$218)</f>
        <v>0</v>
      </c>
      <c r="G13" s="320">
        <f>ROUND(-(+T13-U13-V13),2)</f>
        <v>0</v>
      </c>
      <c r="H13" s="233">
        <f>+F13+G13</f>
        <v>0</v>
      </c>
      <c r="I13" s="233">
        <f>+E13-H13</f>
        <v>0</v>
      </c>
      <c r="J13" s="233">
        <v>0</v>
      </c>
      <c r="K13" s="232">
        <f>+I13-J13</f>
        <v>0</v>
      </c>
      <c r="L13" s="225">
        <f>IF(D13=0,0,1-(+F13/D13))</f>
        <v>1</v>
      </c>
      <c r="M13" s="68" t="s">
        <v>98</v>
      </c>
      <c r="N13" s="53">
        <f>IF(D7=0,0,+D13/$D$7)</f>
        <v>30</v>
      </c>
      <c r="O13" s="54">
        <f>IF(H7=0,0,+H13/$H$7)</f>
        <v>0</v>
      </c>
      <c r="P13" s="54">
        <f>+N13-O13</f>
        <v>30</v>
      </c>
      <c r="Q13" s="434">
        <v>25.630369863013701</v>
      </c>
      <c r="S13" s="111" t="str">
        <f>+Budget_Comparativo_FL_Acum!S13</f>
        <v>Venimos bien, seguramente terminemos con Ahorro</v>
      </c>
      <c r="T13" s="320">
        <v>0</v>
      </c>
      <c r="U13" s="206"/>
      <c r="V13" s="320">
        <v>0</v>
      </c>
    </row>
    <row r="14" spans="1:24" s="49" customFormat="1" ht="16" thickBot="1">
      <c r="A14" s="42"/>
      <c r="B14" s="34"/>
      <c r="C14" s="121"/>
      <c r="D14" s="229"/>
      <c r="E14" s="283"/>
      <c r="F14" s="275"/>
      <c r="G14" s="230"/>
      <c r="H14" s="230"/>
      <c r="I14" s="230"/>
      <c r="J14" s="229"/>
      <c r="K14" s="229"/>
      <c r="L14" s="121"/>
      <c r="M14" s="113"/>
      <c r="N14" s="125"/>
      <c r="O14" s="122"/>
      <c r="P14" s="122"/>
      <c r="Q14" s="432"/>
      <c r="R14" s="112"/>
      <c r="S14" s="114"/>
    </row>
    <row r="15" spans="1:24" s="60" customFormat="1" ht="95.25" customHeight="1" thickBot="1">
      <c r="A15" s="50"/>
      <c r="B15" s="59" t="s">
        <v>99</v>
      </c>
      <c r="C15" s="50"/>
      <c r="D15" s="232">
        <f>+'Budget_Temp_2023-2024'!O14</f>
        <v>70425</v>
      </c>
      <c r="E15" s="232">
        <f>IF($E$10=0,H15,+N15*$E$7)</f>
        <v>11430</v>
      </c>
      <c r="F15" s="232">
        <f>+SUMIF(Resumen_Base!$A$158:$A$218,Budget_Comparativo_CL!B15,Resumen_Base!$Y$158:$Y$218)</f>
        <v>0</v>
      </c>
      <c r="G15" s="320">
        <f>-(+T15-U15-V15)</f>
        <v>1512.5647688356166</v>
      </c>
      <c r="H15" s="233">
        <f>+F15+G15</f>
        <v>1512.5647688356166</v>
      </c>
      <c r="I15" s="233">
        <f>+E15-H15</f>
        <v>9917.4352311643834</v>
      </c>
      <c r="J15" s="232">
        <v>0</v>
      </c>
      <c r="K15" s="232">
        <f>+I15-J15</f>
        <v>9917.4352311643834</v>
      </c>
      <c r="L15" s="50"/>
      <c r="M15" s="57" t="s">
        <v>98</v>
      </c>
      <c r="N15" s="53">
        <f>IF(D15=0,0,$D15/$D$7)</f>
        <v>45</v>
      </c>
      <c r="O15" s="54">
        <f>IF(F7=0,0,IF(H15=0,0,$H15/$F$7))</f>
        <v>5.9549794048646323</v>
      </c>
      <c r="P15" s="54">
        <f>+N15-O15</f>
        <v>39.045020595135369</v>
      </c>
      <c r="Q15" s="434">
        <v>53.203679262501758</v>
      </c>
      <c r="R15" s="123"/>
      <c r="S15" s="507" t="s">
        <v>273</v>
      </c>
      <c r="T15" s="320">
        <v>8632.4352311643834</v>
      </c>
      <c r="U15" s="206">
        <v>10145</v>
      </c>
      <c r="V15" s="320">
        <v>0</v>
      </c>
      <c r="W15" s="462">
        <f>5.8+3.1+0.3</f>
        <v>9.2000000000000011</v>
      </c>
      <c r="X15" s="462">
        <f>7.9+2.3</f>
        <v>10.199999999999999</v>
      </c>
    </row>
    <row r="16" spans="1:24" s="49" customFormat="1">
      <c r="A16" s="42"/>
      <c r="B16" s="34"/>
      <c r="C16" s="121"/>
      <c r="D16" s="229"/>
      <c r="E16" s="234"/>
      <c r="F16" s="275"/>
      <c r="G16" s="230"/>
      <c r="H16" s="230"/>
      <c r="I16" s="235"/>
      <c r="J16" s="234"/>
      <c r="K16" s="234"/>
      <c r="L16" s="50" t="s">
        <v>125</v>
      </c>
      <c r="M16" s="131"/>
      <c r="N16" s="132"/>
      <c r="O16" s="122"/>
      <c r="P16" s="122"/>
      <c r="Q16" s="432"/>
      <c r="R16" s="112"/>
      <c r="S16" s="114"/>
      <c r="T16" s="371"/>
    </row>
    <row r="17" spans="1:22" s="17" customFormat="1" ht="16" thickBot="1">
      <c r="A17" s="61"/>
      <c r="B17" s="62" t="s">
        <v>100</v>
      </c>
      <c r="C17" s="61"/>
      <c r="D17" s="236"/>
      <c r="E17" s="236"/>
      <c r="F17" s="274"/>
      <c r="G17" s="237"/>
      <c r="H17" s="237"/>
      <c r="I17" s="237"/>
      <c r="J17" s="236"/>
      <c r="K17" s="236"/>
      <c r="L17" s="61"/>
      <c r="M17" s="113"/>
      <c r="N17" s="64"/>
      <c r="O17" s="65"/>
      <c r="P17" s="65"/>
      <c r="Q17" s="433"/>
      <c r="R17" s="113"/>
      <c r="S17" s="124"/>
    </row>
    <row r="18" spans="1:22" s="60" customFormat="1" ht="84.75" customHeight="1" thickBot="1">
      <c r="A18" s="50"/>
      <c r="B18" s="67" t="s">
        <v>101</v>
      </c>
      <c r="C18" s="50"/>
      <c r="D18" s="232">
        <f>+'Budget_Temp_2023-2024'!O17</f>
        <v>5000</v>
      </c>
      <c r="E18" s="232">
        <f>IF($E$10=0,H18,+N18*$E$7)</f>
        <v>811.5015974440895</v>
      </c>
      <c r="F18" s="232">
        <f>+SUMIF(Resumen_Base!$A$158:$A$218,Budget_Comparativo_CL!B18,Resumen_Base!$Y$158:$Y$218)</f>
        <v>0</v>
      </c>
      <c r="G18" s="320">
        <f>-(+T18-U18-V18)</f>
        <v>0</v>
      </c>
      <c r="H18" s="233">
        <f>+F18+G18</f>
        <v>0</v>
      </c>
      <c r="I18" s="233">
        <f>+E18-H18</f>
        <v>811.5015974440895</v>
      </c>
      <c r="J18" s="232">
        <v>0</v>
      </c>
      <c r="K18" s="232">
        <f>+I18-J18</f>
        <v>811.5015974440895</v>
      </c>
      <c r="L18" s="50"/>
      <c r="M18" s="57" t="s">
        <v>98</v>
      </c>
      <c r="N18" s="53">
        <f>IF(D18=0,0,$D18/$D$7)</f>
        <v>3.1948881789137382</v>
      </c>
      <c r="O18" s="54">
        <f>IF(F7=0,0,IF(H18=0,0,$H18/$F$7))</f>
        <v>0</v>
      </c>
      <c r="P18" s="54">
        <f>+N18-O18</f>
        <v>3.1948881789137382</v>
      </c>
      <c r="Q18" s="434">
        <v>4.4252328767123288</v>
      </c>
      <c r="R18" s="123"/>
      <c r="S18" s="319" t="s">
        <v>285</v>
      </c>
      <c r="T18" s="320">
        <v>0</v>
      </c>
      <c r="U18" s="206">
        <v>0</v>
      </c>
      <c r="V18" s="320"/>
    </row>
    <row r="19" spans="1:22" s="60" customFormat="1" ht="31.5" customHeight="1" thickBot="1">
      <c r="A19" s="50" t="e">
        <f>+#REF!</f>
        <v>#REF!</v>
      </c>
      <c r="B19" s="67" t="s">
        <v>102</v>
      </c>
      <c r="C19" s="50"/>
      <c r="D19" s="232">
        <f>+'Budget_Temp_2023-2024'!O18</f>
        <v>31300</v>
      </c>
      <c r="E19" s="232">
        <f>IF($E$10=0,H19,+N19*$E$7)</f>
        <v>5080</v>
      </c>
      <c r="F19" s="232">
        <f>+SUMIF(Resumen_Base!$A$158:$A$218,Budget_Comparativo_CL!B19,Resumen_Base!$Y$158:$Y$218)</f>
        <v>0</v>
      </c>
      <c r="G19" s="373"/>
      <c r="H19" s="233">
        <f>+F19+G19</f>
        <v>0</v>
      </c>
      <c r="I19" s="233">
        <f>+E19-H19</f>
        <v>5080</v>
      </c>
      <c r="J19" s="232">
        <v>0</v>
      </c>
      <c r="K19" s="232">
        <f>+I19-J19</f>
        <v>5080</v>
      </c>
      <c r="L19" s="50"/>
      <c r="M19" s="57" t="s">
        <v>98</v>
      </c>
      <c r="N19" s="53">
        <f>IF(D19=0,0,$D19/$D$7)</f>
        <v>20</v>
      </c>
      <c r="O19" s="54">
        <f>IF(F7=0,0,IF(H19=0,0,$H19/$F$7))</f>
        <v>0</v>
      </c>
      <c r="P19" s="54">
        <f>+N19-O19</f>
        <v>20</v>
      </c>
      <c r="Q19" s="434">
        <v>24.808890410958906</v>
      </c>
      <c r="R19" s="123"/>
      <c r="S19" s="319" t="str">
        <f>+Budget_Comparativo_FL_Acum!S16</f>
        <v>Desvío real se paga mas con FC que antes se pagaba casi todo en cash por eso el desvío</v>
      </c>
    </row>
    <row r="20" spans="1:22" s="60" customFormat="1" ht="29.25" customHeight="1" thickBot="1">
      <c r="A20" s="50"/>
      <c r="B20" s="67" t="s">
        <v>103</v>
      </c>
      <c r="C20" s="50"/>
      <c r="D20" s="232">
        <f>+'Budget_Temp_2023-2024'!O19</f>
        <v>5000</v>
      </c>
      <c r="E20" s="379">
        <f>IF((+D20/D9*E9)&gt;H20,+H20,(+D20/D9*E9))</f>
        <v>-783</v>
      </c>
      <c r="F20" s="232">
        <f>+SUMIF(Resumen_Base!$A$158:$A$218,Budget_Comparativo_CL!B20,Resumen_Base!$Y$158:$Y$218)</f>
        <v>0</v>
      </c>
      <c r="G20" s="320">
        <f>-(+T20-U20-V20)</f>
        <v>-783</v>
      </c>
      <c r="H20" s="233">
        <f>+F20+G20</f>
        <v>-783</v>
      </c>
      <c r="I20" s="233">
        <f>+E20-H20</f>
        <v>0</v>
      </c>
      <c r="J20" s="232">
        <v>0</v>
      </c>
      <c r="K20" s="232">
        <f>+I20-J20</f>
        <v>0</v>
      </c>
      <c r="L20" s="50"/>
      <c r="M20" s="57" t="s">
        <v>98</v>
      </c>
      <c r="N20" s="53">
        <f>IF(D20=0,0,$D20/$D$7)</f>
        <v>3.1948881789137382</v>
      </c>
      <c r="O20" s="54">
        <f>IF(F7=0,0,IF(H20=0,0,$H20/$F$7))</f>
        <v>-3.0826771653543306</v>
      </c>
      <c r="P20" s="54">
        <f>+N20-O20</f>
        <v>6.2775653442680692</v>
      </c>
      <c r="Q20" s="434">
        <v>1.4120547945205479</v>
      </c>
      <c r="R20" s="123"/>
      <c r="S20" s="111" t="s">
        <v>255</v>
      </c>
      <c r="T20" s="320">
        <v>783</v>
      </c>
      <c r="U20" s="206">
        <v>0</v>
      </c>
      <c r="V20" s="320"/>
    </row>
    <row r="21" spans="1:22" s="60" customFormat="1" ht="42" customHeight="1" thickBot="1">
      <c r="A21" s="50"/>
      <c r="B21" s="59" t="s">
        <v>104</v>
      </c>
      <c r="C21" s="50"/>
      <c r="D21" s="232">
        <f>+'Budget_Temp_2023-2024'!O20</f>
        <v>23475</v>
      </c>
      <c r="E21" s="379">
        <f>IF((+D21/D10*E10)&gt;H21,+H21,(+D21/D10*E10))</f>
        <v>0</v>
      </c>
      <c r="F21" s="232">
        <f>+SUMIF(Resumen_Base!$A$158:$A$218,Budget_Comparativo_CL!B21,Resumen_Base!$Y$158:$Y$218)</f>
        <v>0</v>
      </c>
      <c r="G21" s="233"/>
      <c r="H21" s="233">
        <f>+F21+G21</f>
        <v>0</v>
      </c>
      <c r="I21" s="233">
        <f>+E21-H21</f>
        <v>0</v>
      </c>
      <c r="J21" s="233">
        <v>0</v>
      </c>
      <c r="K21" s="232">
        <f>+I21-J21</f>
        <v>0</v>
      </c>
      <c r="L21" s="225">
        <f>IF(D21=0,0,1-(+F21/D21))</f>
        <v>1</v>
      </c>
      <c r="M21" s="57" t="s">
        <v>98</v>
      </c>
      <c r="N21" s="53">
        <f>IF(D7=0,0,+D21/D$7)</f>
        <v>15</v>
      </c>
      <c r="O21" s="53">
        <f>IF(H7=0,0,+H21/$H$7)</f>
        <v>0</v>
      </c>
      <c r="P21" s="54">
        <f>+N21-O21</f>
        <v>15</v>
      </c>
      <c r="Q21" s="427">
        <v>13.518465753424657</v>
      </c>
      <c r="R21" s="123"/>
      <c r="S21" s="111" t="s">
        <v>255</v>
      </c>
    </row>
    <row r="22" spans="1:22" s="49" customFormat="1" ht="16" thickBot="1">
      <c r="A22" s="42"/>
      <c r="B22" s="34"/>
      <c r="C22" s="121"/>
      <c r="D22" s="229"/>
      <c r="E22" s="234"/>
      <c r="F22" s="275"/>
      <c r="G22" s="230"/>
      <c r="H22" s="230"/>
      <c r="I22" s="235"/>
      <c r="J22" s="234"/>
      <c r="K22" s="234"/>
      <c r="L22" s="50"/>
      <c r="M22" s="113"/>
      <c r="N22" s="125"/>
      <c r="O22" s="122"/>
      <c r="P22" s="122"/>
      <c r="Q22" s="432"/>
      <c r="R22" s="123"/>
      <c r="S22" s="114"/>
    </row>
    <row r="23" spans="1:22" s="60" customFormat="1" ht="16" thickBot="1">
      <c r="A23" s="50"/>
      <c r="B23" s="67" t="s">
        <v>106</v>
      </c>
      <c r="C23" s="50"/>
      <c r="D23" s="232">
        <f>+'Budget_Temp_2023-2024'!O22</f>
        <v>1500</v>
      </c>
      <c r="E23" s="232">
        <f>IF($E$10=0,H23,IF($F$9=12,D23,IF(H23&lt;D23,H23,D23)))</f>
        <v>0</v>
      </c>
      <c r="F23" s="232">
        <f>+SUMIF(Resumen_Base!$A$158:$A$218,Budget_Comparativo_CL!B23,Resumen_Base!$Y$158:$Y$218)</f>
        <v>0</v>
      </c>
      <c r="G23" s="233"/>
      <c r="H23" s="233">
        <f>+F23+G23</f>
        <v>0</v>
      </c>
      <c r="I23" s="233">
        <f>+E23-H23</f>
        <v>0</v>
      </c>
      <c r="J23" s="232">
        <v>0</v>
      </c>
      <c r="K23" s="232">
        <f>+I23-J23</f>
        <v>0</v>
      </c>
      <c r="L23" s="225">
        <f>IF(D23=0,0,1-(+F23/D23))</f>
        <v>1</v>
      </c>
      <c r="M23" s="68" t="s">
        <v>124</v>
      </c>
      <c r="N23" s="53">
        <f>+D23/12</f>
        <v>125</v>
      </c>
      <c r="O23" s="54">
        <f>+F23/$F$9</f>
        <v>0</v>
      </c>
      <c r="P23" s="54">
        <f>+N23-O23</f>
        <v>125</v>
      </c>
      <c r="Q23" s="434">
        <v>45.547499999999999</v>
      </c>
      <c r="R23" s="112"/>
      <c r="S23" s="111" t="s">
        <v>255</v>
      </c>
    </row>
    <row r="24" spans="1:22" s="60" customFormat="1" ht="16" thickBot="1">
      <c r="A24" s="50"/>
      <c r="B24" s="59" t="s">
        <v>61</v>
      </c>
      <c r="C24" s="50"/>
      <c r="D24" s="232">
        <f>+'Budget_Temp_2023-2024'!O23</f>
        <v>1500</v>
      </c>
      <c r="E24" s="232">
        <f>IF(H24&gt;D24,D24,IF($E$10=0,H24,IF($F$9=12,D24,IF(H24&lt;D24,H24,D24))))</f>
        <v>0</v>
      </c>
      <c r="F24" s="232">
        <f>+SUMIF(Resumen_Base!$A$158:$A$218,Budget_Comparativo_CL!B24,Resumen_Base!$Y$158:$Y$218)</f>
        <v>0</v>
      </c>
      <c r="G24" s="233"/>
      <c r="H24" s="233">
        <f>+F24+G24</f>
        <v>0</v>
      </c>
      <c r="I24" s="233">
        <f>+E24-H24</f>
        <v>0</v>
      </c>
      <c r="J24" s="232">
        <v>0</v>
      </c>
      <c r="K24" s="232">
        <f>+I24-J24</f>
        <v>0</v>
      </c>
      <c r="L24" s="225">
        <f>IF(D24=0,0,1-(+F24/D24))</f>
        <v>1</v>
      </c>
      <c r="M24" s="68" t="s">
        <v>124</v>
      </c>
      <c r="N24" s="53">
        <v>0</v>
      </c>
      <c r="O24" s="54">
        <v>0</v>
      </c>
      <c r="P24" s="54">
        <v>0</v>
      </c>
      <c r="Q24" s="434">
        <v>0</v>
      </c>
      <c r="R24" s="123"/>
      <c r="S24" s="319" t="s">
        <v>270</v>
      </c>
    </row>
    <row r="25" spans="1:22" s="49" customFormat="1" ht="16" thickBot="1">
      <c r="A25" s="42"/>
      <c r="B25" s="34"/>
      <c r="C25" s="121"/>
      <c r="D25" s="229"/>
      <c r="E25" s="234"/>
      <c r="F25" s="275"/>
      <c r="G25" s="230"/>
      <c r="H25" s="230"/>
      <c r="I25" s="235"/>
      <c r="J25" s="234"/>
      <c r="K25" s="234"/>
      <c r="L25" s="50"/>
      <c r="M25" s="113"/>
      <c r="N25" s="125"/>
      <c r="O25" s="122"/>
      <c r="P25" s="122"/>
      <c r="Q25" s="432"/>
      <c r="R25" s="112"/>
      <c r="S25" s="114"/>
    </row>
    <row r="26" spans="1:22" s="60" customFormat="1" ht="16" thickBot="1">
      <c r="A26" s="50" t="e">
        <f>+#REF!</f>
        <v>#REF!</v>
      </c>
      <c r="B26" s="59" t="s">
        <v>166</v>
      </c>
      <c r="C26" s="50"/>
      <c r="D26" s="232">
        <f>+'Budget_Temp_2023-2024'!O25</f>
        <v>15650</v>
      </c>
      <c r="E26" s="232">
        <f>IF($E$10=0,H26,+N26*$E$8)</f>
        <v>2740.4008438818569</v>
      </c>
      <c r="F26" s="232">
        <f>+SUMIF(Resumen_Base!$A$158:$A$218,Budget_Comparativo_CL!B26,Resumen_Base!$Y$158:$Y$218)</f>
        <v>0</v>
      </c>
      <c r="G26" s="373"/>
      <c r="H26" s="233">
        <f>+F26+G26</f>
        <v>0</v>
      </c>
      <c r="I26" s="233">
        <f>+E26-H26</f>
        <v>2740.4008438818569</v>
      </c>
      <c r="J26" s="233">
        <v>0</v>
      </c>
      <c r="K26" s="232">
        <f>+I26-J26</f>
        <v>2740.4008438818569</v>
      </c>
      <c r="L26" s="50"/>
      <c r="M26" s="68" t="s">
        <v>105</v>
      </c>
      <c r="N26" s="53">
        <f>IF(D26=0,0,$D26/$D$8)</f>
        <v>33.016877637130804</v>
      </c>
      <c r="O26" s="54">
        <f>IF(F8=0,0,IF(F26=0,0,$F26/$F$8))</f>
        <v>0</v>
      </c>
      <c r="P26" s="54">
        <f>+N26-O26</f>
        <v>33.016877637130804</v>
      </c>
      <c r="Q26" s="434">
        <v>13.916271186440676</v>
      </c>
      <c r="R26" s="123"/>
      <c r="S26" s="111" t="s">
        <v>255</v>
      </c>
    </row>
    <row r="27" spans="1:22" s="49" customFormat="1">
      <c r="A27" s="42"/>
      <c r="B27" s="34"/>
      <c r="C27" s="121"/>
      <c r="D27" s="229"/>
      <c r="E27" s="234"/>
      <c r="F27" s="275"/>
      <c r="G27" s="230"/>
      <c r="H27" s="230"/>
      <c r="I27" s="235"/>
      <c r="J27" s="234"/>
      <c r="K27" s="234"/>
      <c r="L27" s="121"/>
      <c r="M27" s="113"/>
      <c r="N27" s="125"/>
      <c r="O27" s="122"/>
      <c r="P27" s="122"/>
      <c r="Q27" s="432"/>
      <c r="R27" s="112"/>
      <c r="S27" s="114"/>
    </row>
    <row r="28" spans="1:22" ht="16" thickBot="1">
      <c r="A28" s="69"/>
      <c r="B28" s="62" t="s">
        <v>108</v>
      </c>
      <c r="C28" s="69"/>
      <c r="D28" s="229"/>
      <c r="E28" s="283"/>
      <c r="F28" s="275"/>
      <c r="G28" s="230"/>
      <c r="H28" s="230"/>
      <c r="I28" s="230"/>
      <c r="J28" s="229"/>
      <c r="K28" s="229"/>
      <c r="L28" s="121"/>
      <c r="M28" s="113"/>
      <c r="N28" s="125"/>
      <c r="O28" s="126"/>
      <c r="P28" s="126"/>
      <c r="Q28" s="435"/>
      <c r="R28" s="112"/>
      <c r="S28" s="114"/>
    </row>
    <row r="29" spans="1:22" s="60" customFormat="1" ht="39.5" thickBot="1">
      <c r="A29" s="50"/>
      <c r="B29" s="67" t="s">
        <v>109</v>
      </c>
      <c r="C29" s="50"/>
      <c r="D29" s="232">
        <f>+'Budget_Temp_2023-2024'!O28</f>
        <v>8000</v>
      </c>
      <c r="E29" s="232">
        <f>IF($E$10=0,H29,IF($F$9=12,D29,IF(H29&lt;D29,H29,D29)))</f>
        <v>0</v>
      </c>
      <c r="F29" s="232">
        <f>+SUMIF(Resumen_Base!$A$158:$A$218,Budget_Comparativo_CL!B29,Resumen_Base!$Y$158:$Y$218)</f>
        <v>0</v>
      </c>
      <c r="G29" s="372"/>
      <c r="H29" s="233">
        <f>+F29+G29</f>
        <v>0</v>
      </c>
      <c r="I29" s="233">
        <f>+E29-H29</f>
        <v>0</v>
      </c>
      <c r="J29" s="232">
        <v>0</v>
      </c>
      <c r="K29" s="232">
        <f>+I29-J29</f>
        <v>0</v>
      </c>
      <c r="L29" s="225">
        <f>IF(D29=0,0,1-(+F29/D29))</f>
        <v>1</v>
      </c>
      <c r="M29" s="68" t="s">
        <v>124</v>
      </c>
      <c r="N29" s="53">
        <f>+D29/12</f>
        <v>666.66666666666663</v>
      </c>
      <c r="O29" s="54">
        <f>+F29/$F$9</f>
        <v>0</v>
      </c>
      <c r="P29" s="54">
        <f>+N29-O29</f>
        <v>666.66666666666663</v>
      </c>
      <c r="Q29" s="434">
        <v>786.39999999999986</v>
      </c>
      <c r="R29" s="18" t="str">
        <f>IF(ROUND(V29,1)=0,"ok","Check")</f>
        <v>Check</v>
      </c>
      <c r="S29" s="111" t="s">
        <v>279</v>
      </c>
      <c r="T29" s="364">
        <f>1.5+1+1.6+0.4+0.3+0.4+1.5</f>
        <v>6.7</v>
      </c>
      <c r="U29" s="460">
        <f>ROUND(+H29/1000,2)</f>
        <v>0</v>
      </c>
      <c r="V29" s="480">
        <f>ROUND(+T29-U29,2)</f>
        <v>6.7</v>
      </c>
    </row>
    <row r="30" spans="1:22" s="60" customFormat="1" ht="33" customHeight="1" thickBot="1">
      <c r="A30" s="50" t="e">
        <f>+#REF!</f>
        <v>#REF!</v>
      </c>
      <c r="B30" s="67" t="s">
        <v>110</v>
      </c>
      <c r="C30" s="50"/>
      <c r="D30" s="232">
        <f>+'Budget_Temp_2023-2024'!O29</f>
        <v>8000</v>
      </c>
      <c r="E30" s="232">
        <f>IF($E$10=0,H30,IF($F$9=12,D30,IF(H30&lt;D30,H30,D30)))</f>
        <v>0</v>
      </c>
      <c r="F30" s="232">
        <f>+SUMIF(Resumen_Base!$A$158:$A$218,Budget_Comparativo_CL!B30,Resumen_Base!$Y$158:$Y$218)</f>
        <v>0</v>
      </c>
      <c r="G30" s="372"/>
      <c r="H30" s="233">
        <f>+F30+G30</f>
        <v>0</v>
      </c>
      <c r="I30" s="233">
        <f>+E30-H30</f>
        <v>0</v>
      </c>
      <c r="J30" s="233">
        <v>0</v>
      </c>
      <c r="K30" s="232">
        <f>+I30-J30</f>
        <v>0</v>
      </c>
      <c r="L30" s="225">
        <f>IF(D30=0,0,1-(+F30/D30))</f>
        <v>1</v>
      </c>
      <c r="M30" s="68" t="s">
        <v>124</v>
      </c>
      <c r="N30" s="53">
        <f>+D30/12</f>
        <v>666.66666666666663</v>
      </c>
      <c r="O30" s="54">
        <f>+F30/$F$9</f>
        <v>0</v>
      </c>
      <c r="P30" s="54">
        <f>+N30-O30</f>
        <v>666.66666666666663</v>
      </c>
      <c r="Q30" s="434">
        <v>386</v>
      </c>
      <c r="R30" s="123"/>
      <c r="S30" s="111" t="s">
        <v>255</v>
      </c>
    </row>
    <row r="31" spans="1:22" s="60" customFormat="1" ht="16" thickBot="1">
      <c r="A31" s="50"/>
      <c r="B31" s="67" t="s">
        <v>160</v>
      </c>
      <c r="C31" s="50"/>
      <c r="D31" s="232">
        <f>+'Budget_Temp_2023-2024'!O30</f>
        <v>0</v>
      </c>
      <c r="E31" s="232">
        <f>IF($E$10=0,H31,IF($F$9=12,D31,IF(H31&lt;D31,H31,D31)))</f>
        <v>0</v>
      </c>
      <c r="F31" s="232">
        <f>+SUMIF(Resumen_Base!$A$158:$A$218,Budget_Comparativo_CL!B31,Resumen_Base!$Y$158:$Y$218)</f>
        <v>0</v>
      </c>
      <c r="G31" s="233"/>
      <c r="H31" s="233">
        <f>+F31+G31</f>
        <v>0</v>
      </c>
      <c r="I31" s="233">
        <f>+E31-H31</f>
        <v>0</v>
      </c>
      <c r="J31" s="232">
        <v>0</v>
      </c>
      <c r="K31" s="232">
        <f>+I31-J31</f>
        <v>0</v>
      </c>
      <c r="L31" s="225">
        <f>IF(D31=0,0,1-(+F31/D31))</f>
        <v>0</v>
      </c>
      <c r="M31" s="68" t="s">
        <v>124</v>
      </c>
      <c r="N31" s="53">
        <f>+D31/12</f>
        <v>0</v>
      </c>
      <c r="O31" s="54">
        <f>+F31/$F$9</f>
        <v>0</v>
      </c>
      <c r="P31" s="54">
        <f>+N31-O31</f>
        <v>0</v>
      </c>
      <c r="Q31" s="434">
        <v>0</v>
      </c>
      <c r="R31" s="123"/>
      <c r="S31" s="319" t="s">
        <v>255</v>
      </c>
    </row>
    <row r="32" spans="1:22" s="60" customFormat="1" ht="16" thickBot="1">
      <c r="A32" s="50"/>
      <c r="B32" s="59" t="s">
        <v>57</v>
      </c>
      <c r="C32" s="50"/>
      <c r="D32" s="232">
        <f>+'Budget_Temp_2023-2024'!O31</f>
        <v>800</v>
      </c>
      <c r="E32" s="232">
        <f>IF($E$10=0,H32,IF($F$9=12,D32,+D32/12*$E$9))</f>
        <v>200</v>
      </c>
      <c r="F32" s="232">
        <f>+SUMIF(Resumen_Base!$A$158:$A$218,Budget_Comparativo_CL!B32,Resumen_Base!$Y$158:$Y$218)</f>
        <v>0</v>
      </c>
      <c r="G32" s="233"/>
      <c r="H32" s="233">
        <f>+F32+G32</f>
        <v>0</v>
      </c>
      <c r="I32" s="233">
        <f>+E32-H32</f>
        <v>200</v>
      </c>
      <c r="J32" s="232">
        <v>0</v>
      </c>
      <c r="K32" s="232">
        <f>+I32-J32</f>
        <v>200</v>
      </c>
      <c r="L32" s="225">
        <f>IF(D32=0,0,1-(+F32/D32))</f>
        <v>1</v>
      </c>
      <c r="M32" s="68" t="s">
        <v>124</v>
      </c>
      <c r="N32" s="53">
        <f>+D32/12</f>
        <v>66.666666666666671</v>
      </c>
      <c r="O32" s="54">
        <f>+F32/$F$9</f>
        <v>0</v>
      </c>
      <c r="P32" s="54">
        <f>+N32-O32</f>
        <v>66.666666666666671</v>
      </c>
      <c r="Q32" s="434">
        <v>4.1500000000000004</v>
      </c>
      <c r="R32" s="123"/>
      <c r="S32" s="111" t="s">
        <v>255</v>
      </c>
    </row>
    <row r="33" spans="1:22" s="60" customFormat="1" ht="16" thickBot="1">
      <c r="A33" s="50"/>
      <c r="B33" s="59" t="s">
        <v>111</v>
      </c>
      <c r="C33" s="50"/>
      <c r="D33" s="232">
        <f>+'Budget_Temp_2023-2024'!O32</f>
        <v>3000</v>
      </c>
      <c r="E33" s="379">
        <f>IF($E$10=0,H33,IF($E$9=12,D33,IF(D33&lt;H33,+D33,IF($E$9=12,H33,IF(H33&lt;D33,H33,D33)))))</f>
        <v>0</v>
      </c>
      <c r="F33" s="232">
        <f>+SUMIF(Resumen_Base!$A$158:$A$218,Budget_Comparativo_CL!B33,Resumen_Base!$Y$158:$Y$218)</f>
        <v>0</v>
      </c>
      <c r="G33" s="233"/>
      <c r="H33" s="233">
        <f>+F33+G33</f>
        <v>0</v>
      </c>
      <c r="I33" s="233">
        <f>+E33-H33</f>
        <v>0</v>
      </c>
      <c r="J33" s="232">
        <v>0</v>
      </c>
      <c r="K33" s="232">
        <f>+I33-J33</f>
        <v>0</v>
      </c>
      <c r="L33" s="225">
        <f>IF(D33=0,0,1-(+F33/D33))</f>
        <v>1</v>
      </c>
      <c r="M33" s="57" t="s">
        <v>98</v>
      </c>
      <c r="N33" s="53">
        <f>IF(D33=0,0,$D33/$D$7)</f>
        <v>1.9169329073482428</v>
      </c>
      <c r="O33" s="54">
        <f>IF(F7=0,0,IF(H33=0,0,$H33/$F$7))</f>
        <v>0</v>
      </c>
      <c r="P33" s="54">
        <f>+N33-O33</f>
        <v>1.9169329073482428</v>
      </c>
      <c r="Q33" s="434">
        <v>1.167123287671233</v>
      </c>
      <c r="R33" s="123"/>
      <c r="S33" s="111" t="s">
        <v>255</v>
      </c>
    </row>
    <row r="34" spans="1:22" s="49" customFormat="1" ht="16" thickBot="1">
      <c r="A34" s="42"/>
      <c r="B34" s="34"/>
      <c r="C34" s="121"/>
      <c r="D34" s="229"/>
      <c r="E34" s="229"/>
      <c r="F34" s="275"/>
      <c r="G34" s="230"/>
      <c r="H34" s="230"/>
      <c r="I34" s="235"/>
      <c r="J34" s="234"/>
      <c r="K34" s="234"/>
      <c r="L34" s="121"/>
      <c r="M34" s="113"/>
      <c r="N34" s="125"/>
      <c r="O34" s="122"/>
      <c r="P34" s="122"/>
      <c r="Q34" s="432"/>
      <c r="R34" s="112"/>
      <c r="S34" s="114"/>
    </row>
    <row r="35" spans="1:22" s="266" customFormat="1" ht="20.5" thickBot="1">
      <c r="B35" s="260" t="s">
        <v>112</v>
      </c>
      <c r="D35" s="263">
        <f t="shared" ref="D35:K35" si="0">+SUM(D12:D34)</f>
        <v>220600</v>
      </c>
      <c r="E35" s="263">
        <f t="shared" si="0"/>
        <v>19478.902441325947</v>
      </c>
      <c r="F35" s="281">
        <f t="shared" si="0"/>
        <v>0</v>
      </c>
      <c r="G35" s="264">
        <f t="shared" si="0"/>
        <v>729.56476883561663</v>
      </c>
      <c r="H35" s="264">
        <f t="shared" si="0"/>
        <v>729.56476883561663</v>
      </c>
      <c r="I35" s="264">
        <f t="shared" si="0"/>
        <v>18749.337672490332</v>
      </c>
      <c r="J35" s="264">
        <v>0</v>
      </c>
      <c r="K35" s="263">
        <f t="shared" si="0"/>
        <v>18749.337672490332</v>
      </c>
      <c r="L35" s="267">
        <f>D35-'Budget_Temp_2023-2024'!O34</f>
        <v>0</v>
      </c>
      <c r="N35" s="268"/>
      <c r="O35" s="269"/>
      <c r="P35" s="268"/>
      <c r="Q35" s="444"/>
      <c r="S35" s="270"/>
    </row>
    <row r="36" spans="1:22" s="49" customFormat="1" ht="16" thickBot="1">
      <c r="A36" s="81"/>
      <c r="B36" s="128"/>
      <c r="C36" s="129"/>
      <c r="D36" s="229"/>
      <c r="E36" s="229"/>
      <c r="F36" s="275"/>
      <c r="G36" s="230"/>
      <c r="H36" s="230"/>
      <c r="I36" s="230"/>
      <c r="J36" s="229"/>
      <c r="K36" s="229"/>
      <c r="L36" s="113"/>
      <c r="M36" s="112"/>
      <c r="N36" s="125"/>
      <c r="O36" s="126"/>
      <c r="P36" s="126"/>
      <c r="Q36" s="435"/>
      <c r="R36" s="112"/>
      <c r="S36" s="114"/>
    </row>
    <row r="37" spans="1:22" ht="105.75" customHeight="1" thickBot="1">
      <c r="B37" s="86" t="s">
        <v>227</v>
      </c>
      <c r="D37" s="241">
        <f>+D42</f>
        <v>20500</v>
      </c>
      <c r="E37" s="241">
        <f>+E42</f>
        <v>0</v>
      </c>
      <c r="F37" s="241">
        <f>+F42</f>
        <v>0</v>
      </c>
      <c r="G37" s="241"/>
      <c r="H37" s="241">
        <f>+F37+G37</f>
        <v>0</v>
      </c>
      <c r="I37" s="242">
        <f>+E37-H37</f>
        <v>0</v>
      </c>
      <c r="J37" s="241">
        <v>0</v>
      </c>
      <c r="K37" s="241">
        <f>+I37-J37</f>
        <v>0</v>
      </c>
      <c r="L37" s="225">
        <f>IF(D37=0,0,1-(+F37/D37))</f>
        <v>1</v>
      </c>
      <c r="M37" s="87" t="s">
        <v>124</v>
      </c>
      <c r="N37" s="78"/>
      <c r="O37" s="80"/>
      <c r="P37" s="80"/>
      <c r="Q37" s="479"/>
      <c r="R37" s="18" t="str">
        <f>IF(ROUND(V37,1)=0,"ok","Check")</f>
        <v>Check</v>
      </c>
      <c r="S37" s="111" t="s">
        <v>280</v>
      </c>
      <c r="T37" s="364">
        <f>-10.8+3+1.3+1+0.5+0.6+12+12.6+5.3+1.1+0.2+0.8+0.4+0.5+0.8</f>
        <v>29.3</v>
      </c>
      <c r="U37" s="460">
        <f>+H37/1000</f>
        <v>0</v>
      </c>
      <c r="V37" s="460">
        <f>+T37-U37</f>
        <v>29.3</v>
      </c>
    </row>
    <row r="38" spans="1:22" s="49" customFormat="1" ht="16" thickBot="1">
      <c r="A38" s="88"/>
      <c r="B38" s="14"/>
      <c r="C38" s="14"/>
      <c r="D38" s="245"/>
      <c r="E38" s="245"/>
      <c r="F38" s="278"/>
      <c r="G38" s="246"/>
      <c r="H38" s="246"/>
      <c r="I38" s="246"/>
      <c r="J38" s="245"/>
      <c r="K38" s="245"/>
      <c r="L38" s="127">
        <f>D37-'Budget_Temp_2023-2024'!O36</f>
        <v>0</v>
      </c>
      <c r="M38" s="113"/>
      <c r="N38" s="112"/>
      <c r="O38" s="112"/>
      <c r="P38" s="130"/>
      <c r="Q38" s="436"/>
      <c r="R38" s="112"/>
      <c r="S38" s="114"/>
    </row>
    <row r="39" spans="1:22" ht="16" thickBot="1">
      <c r="B39" s="89" t="s">
        <v>114</v>
      </c>
      <c r="C39" s="90"/>
      <c r="D39" s="247">
        <f t="shared" ref="D39:K39" si="1">+D35+D37</f>
        <v>241100</v>
      </c>
      <c r="E39" s="247">
        <f t="shared" si="1"/>
        <v>19478.902441325947</v>
      </c>
      <c r="F39" s="279">
        <f>ROUND(+F35+F37,0)</f>
        <v>0</v>
      </c>
      <c r="G39" s="248">
        <f>ROUND(+G35+G37,0)</f>
        <v>730</v>
      </c>
      <c r="H39" s="248">
        <f>ROUND(+H35+H37,0)</f>
        <v>730</v>
      </c>
      <c r="I39" s="248">
        <f t="shared" si="1"/>
        <v>18749.337672490332</v>
      </c>
      <c r="J39" s="248">
        <v>0</v>
      </c>
      <c r="K39" s="247">
        <f t="shared" si="1"/>
        <v>18749.337672490332</v>
      </c>
      <c r="L39" s="127">
        <f>D39-'Budget_Temp_2023-2024'!O39</f>
        <v>0</v>
      </c>
      <c r="M39" s="113"/>
      <c r="N39" s="92"/>
      <c r="O39" s="105"/>
      <c r="P39" s="92"/>
      <c r="Q39" s="445"/>
      <c r="R39" s="112"/>
      <c r="S39" s="114"/>
    </row>
    <row r="40" spans="1:22">
      <c r="D40" s="112"/>
      <c r="E40" s="112"/>
      <c r="F40" s="302" t="str">
        <f ca="1">+IF(F39=ROUND(Resumen_Base!Y158,0),"OK","Check")</f>
        <v>OK</v>
      </c>
      <c r="H40" s="302" t="str">
        <f>+IF(H41=0,"Ok","Check")</f>
        <v>Check</v>
      </c>
      <c r="M40" s="113"/>
      <c r="N40" s="112"/>
      <c r="O40" s="112"/>
      <c r="P40" s="112"/>
      <c r="R40" s="112"/>
      <c r="S40" s="114"/>
    </row>
    <row r="41" spans="1:22">
      <c r="F41" s="510">
        <f ca="1">+F39-Resumen_Base!J158</f>
        <v>0</v>
      </c>
      <c r="H41" s="156">
        <f>ROUNDUP(+F39+G39-H39,0)-1</f>
        <v>-1</v>
      </c>
      <c r="R41" s="112"/>
      <c r="S41" s="114"/>
      <c r="T41" s="16" t="str">
        <f>+"- Mar17: CL "&amp;S41&amp;" USD "&amp;R41&amp;" / "&amp;S42&amp;" USD "&amp;R42&amp;" / "&amp;S43&amp;" USD "&amp;R43&amp;" / "&amp;S44&amp;" USD "&amp;R44&amp;" / "&amp;S45&amp;" USD "&amp;R45&amp;" / "&amp;S46&amp;" USD "&amp;R46</f>
        <v xml:space="preserve">- Mar17: CL  USD  /  USD  /  USD  /  USD  /  USD  /  USD </v>
      </c>
    </row>
    <row r="42" spans="1:22" ht="16">
      <c r="B42" s="350" t="s">
        <v>222</v>
      </c>
      <c r="D42" s="352">
        <f>+SUM(D43:D49)</f>
        <v>20500</v>
      </c>
      <c r="E42" s="352">
        <f>+SUM(E43:E49)</f>
        <v>0</v>
      </c>
      <c r="F42" s="352">
        <f>+SUM(F43:F49)</f>
        <v>0</v>
      </c>
      <c r="S42" s="114"/>
    </row>
    <row r="43" spans="1:22" ht="26">
      <c r="B43" s="349" t="s">
        <v>223</v>
      </c>
      <c r="D43" s="351">
        <f>+'Budget_Temp_2023-2024'!O41-SUM(D44:D47)</f>
        <v>20500</v>
      </c>
      <c r="E43" s="351">
        <f>IF(F43&gt;D43,D43,+F43)</f>
        <v>0</v>
      </c>
      <c r="F43" s="351">
        <f>+SUMIF(Resumen_Base!$A$158:$A$218,Budget_Comparativo_CL!B43,Resumen_Base!$Y$158:$Y$218)</f>
        <v>0</v>
      </c>
      <c r="S43" s="114"/>
    </row>
    <row r="44" spans="1:22">
      <c r="B44" s="14" t="s">
        <v>1</v>
      </c>
      <c r="D44" s="351">
        <f>+F44</f>
        <v>0</v>
      </c>
      <c r="E44" s="351">
        <f>+F44</f>
        <v>0</v>
      </c>
      <c r="F44" s="351">
        <f>+SUMIF(Resumen_Base!$A$158:$A$218,Budget_Comparativo_CL!B44,Resumen_Base!$Y$158:$Y$218)</f>
        <v>0</v>
      </c>
      <c r="S44" s="114"/>
    </row>
    <row r="45" spans="1:22">
      <c r="B45" s="14" t="s">
        <v>224</v>
      </c>
      <c r="D45" s="351">
        <f>+F45</f>
        <v>0</v>
      </c>
      <c r="E45" s="351">
        <f>+F45</f>
        <v>0</v>
      </c>
      <c r="F45" s="351">
        <f>+SUMIF(Resumen_Base!$A$158:$A$218,Budget_Comparativo_CL!B45,Resumen_Base!$Y$158:$Y$218)</f>
        <v>0</v>
      </c>
      <c r="S45" s="114"/>
    </row>
    <row r="46" spans="1:22">
      <c r="B46" s="14" t="s">
        <v>53</v>
      </c>
      <c r="D46" s="351">
        <f>+F46</f>
        <v>0</v>
      </c>
      <c r="E46" s="351">
        <f>+F46</f>
        <v>0</v>
      </c>
      <c r="F46" s="351">
        <f>+SUMIF(Resumen_Base!$A$158:$A$218,Budget_Comparativo_CL!B46,Resumen_Base!$Y$158:$Y$218)</f>
        <v>0</v>
      </c>
      <c r="S46" s="114"/>
    </row>
    <row r="47" spans="1:22">
      <c r="B47" s="14" t="s">
        <v>226</v>
      </c>
      <c r="D47" s="351">
        <f>+'Budget_Temp_2023-2024'!O46</f>
        <v>0</v>
      </c>
      <c r="E47" s="351">
        <f>+F47</f>
        <v>0</v>
      </c>
      <c r="F47" s="351">
        <f>+SUMIF(Resumen_Base!$A$158:$A$218,Budget_Comparativo_CL!B47,Resumen_Base!$Y$158:$Y$218)</f>
        <v>0</v>
      </c>
      <c r="S47" s="114"/>
    </row>
    <row r="48" spans="1:22">
      <c r="B48" s="14" t="s">
        <v>210</v>
      </c>
      <c r="D48" s="351">
        <f>+'Budget_Temp_2023-2024'!O47</f>
        <v>0</v>
      </c>
      <c r="E48" s="351">
        <v>0</v>
      </c>
      <c r="F48" s="351">
        <f>+SUMIF(Resumen_Base!$A$158:$A$218,Budget_Comparativo_CL!B48,Resumen_Base!$Y$158:$Y$218)</f>
        <v>0</v>
      </c>
      <c r="S48" s="114"/>
    </row>
    <row r="49" spans="2:6">
      <c r="B49" s="353" t="s">
        <v>225</v>
      </c>
      <c r="C49" s="353"/>
      <c r="D49" s="353" t="s">
        <v>225</v>
      </c>
      <c r="E49" s="353" t="s">
        <v>225</v>
      </c>
      <c r="F49" s="353" t="s">
        <v>225</v>
      </c>
    </row>
  </sheetData>
  <mergeCells count="3">
    <mergeCell ref="D4:F4"/>
    <mergeCell ref="N4:P4"/>
    <mergeCell ref="N5:P5"/>
  </mergeCells>
  <conditionalFormatting sqref="B4">
    <cfRule type="cellIs" dxfId="17" priority="75" stopIfTrue="1" operator="notEqual">
      <formula>"ok"</formula>
    </cfRule>
  </conditionalFormatting>
  <conditionalFormatting sqref="F2">
    <cfRule type="cellIs" dxfId="16" priority="1" operator="equal">
      <formula>"Check"</formula>
    </cfRule>
  </conditionalFormatting>
  <conditionalFormatting sqref="F3 F40">
    <cfRule type="cellIs" dxfId="15" priority="74" stopIfTrue="1" operator="equal">
      <formula>"OK"</formula>
    </cfRule>
  </conditionalFormatting>
  <conditionalFormatting sqref="H3">
    <cfRule type="cellIs" dxfId="14" priority="4" stopIfTrue="1" operator="equal">
      <formula>"OK"</formula>
    </cfRule>
  </conditionalFormatting>
  <conditionalFormatting sqref="H40">
    <cfRule type="cellIs" dxfId="13" priority="5" stopIfTrue="1" operator="equal">
      <formula>"OK"</formula>
    </cfRule>
  </conditionalFormatting>
  <conditionalFormatting sqref="I13:K13">
    <cfRule type="cellIs" dxfId="12" priority="3" stopIfTrue="1" operator="lessThan">
      <formula>0</formula>
    </cfRule>
  </conditionalFormatting>
  <conditionalFormatting sqref="J22:K39">
    <cfRule type="cellIs" dxfId="11" priority="2" stopIfTrue="1" operator="lessThan">
      <formula>0</formula>
    </cfRule>
  </conditionalFormatting>
  <conditionalFormatting sqref="P13 J15:K17 I15:I39 P15:P39 I18:K18 J19:K19 I20:J20 K20:K21">
    <cfRule type="cellIs" dxfId="10" priority="73" stopIfTrue="1" operator="lessThan">
      <formula>0</formula>
    </cfRule>
  </conditionalFormatting>
  <hyperlinks>
    <hyperlink ref="B15" location="Costos_Directos!H8" display="Comida"/>
    <hyperlink ref="B18" location="Costos_Directos!J8" display="electricidad"/>
    <hyperlink ref="B20" location="Costos_Directos!P8" display="Gas "/>
    <hyperlink ref="B23" location="Costos_Directos!U8" display="Locales"/>
    <hyperlink ref="B24" location="Costos_Directos!W8" display="Uniformes"/>
    <hyperlink ref="B29" location="Costos_Directos!Y8" display="Lodge-pre season-aperturas"/>
    <hyperlink ref="B32" location="Costos_Directos!AE8" display="Comunicaciones"/>
    <hyperlink ref="B33" location="Costos_Directos!AM8" display="Varios, incluye papeleria ldoges"/>
    <hyperlink ref="B13" location="Costos_Directos!C8" display="Canon/ lodge rentals"/>
    <hyperlink ref="B19" location="Costos_Directos!M8" display="Vehiculos/Botes"/>
    <hyperlink ref="B21" location="Costos_Directos!R8" display="Traslado Aerop/Lodge/Alq Vehiculos"/>
    <hyperlink ref="B26" location="Costos_Directos!E8" display="Permisos de Pesca/Caza"/>
    <hyperlink ref="B30" location="Costos_Directos!AA8" display="Vehiculos"/>
    <hyperlink ref="B31" location="Costos_Directos!AC8" display="Equipos"/>
    <hyperlink ref="B37" location="Inversiones!A1" display="INVERSIONES"/>
  </hyperlinks>
  <printOptions horizontalCentered="1"/>
  <pageMargins left="0.11811023622047245" right="0.11811023622047245" top="0.15748031496062992" bottom="0.15748031496062992" header="0.31496062992125984" footer="0.31496062992125984"/>
  <pageSetup paperSize="9" scale="55" orientation="landscape" r:id="rId1"/>
</worksheet>
</file>

<file path=xl/worksheets/sheet35.xml><?xml version="1.0" encoding="utf-8"?>
<worksheet xmlns="http://schemas.openxmlformats.org/spreadsheetml/2006/main" xmlns:r="http://schemas.openxmlformats.org/officeDocument/2006/relationships">
  <sheetPr codeName="Sheet20">
    <pageSetUpPr fitToPage="1"/>
  </sheetPr>
  <dimension ref="A2:Q26"/>
  <sheetViews>
    <sheetView workbookViewId="0">
      <selection activeCell="C13" sqref="C13"/>
    </sheetView>
  </sheetViews>
  <sheetFormatPr baseColWidth="10" defaultColWidth="14.1796875" defaultRowHeight="12.5"/>
  <cols>
    <col min="1" max="1" width="18.81640625" style="4" bestFit="1" customWidth="1"/>
    <col min="2" max="2" width="10.1796875" style="4" bestFit="1" customWidth="1"/>
    <col min="3" max="3" width="11.81640625" style="4" customWidth="1"/>
    <col min="4" max="9" width="10.1796875" style="4" bestFit="1" customWidth="1"/>
    <col min="10" max="10" width="9.1796875" style="4" bestFit="1" customWidth="1"/>
    <col min="11" max="11" width="10.81640625" style="4" bestFit="1" customWidth="1"/>
    <col min="12" max="12" width="10.1796875" style="4" bestFit="1" customWidth="1"/>
    <col min="13" max="13" width="11.453125" style="4" bestFit="1" customWidth="1"/>
    <col min="14" max="14" width="5.81640625" style="4" bestFit="1" customWidth="1"/>
    <col min="15" max="16" width="6.81640625" style="4" bestFit="1" customWidth="1"/>
    <col min="17" max="17" width="7" style="4" bestFit="1" customWidth="1"/>
    <col min="18" max="16384" width="14.1796875" style="4"/>
  </cols>
  <sheetData>
    <row r="2" spans="1:17" ht="15.5">
      <c r="A2" s="913" t="s">
        <v>150</v>
      </c>
      <c r="B2" s="913"/>
      <c r="C2" s="913"/>
      <c r="D2" s="913"/>
      <c r="E2" s="913"/>
      <c r="F2" s="913"/>
      <c r="G2" s="913"/>
      <c r="H2" s="913"/>
      <c r="I2" s="913"/>
      <c r="J2" s="913"/>
      <c r="K2" s="913"/>
      <c r="L2" s="913"/>
      <c r="M2" s="913"/>
    </row>
    <row r="4" spans="1:17" s="164" customFormat="1" ht="30" customHeight="1">
      <c r="B4" s="910" t="s">
        <v>144</v>
      </c>
      <c r="C4" s="910"/>
      <c r="D4" s="910"/>
      <c r="E4" s="910"/>
      <c r="F4" s="911" t="s">
        <v>145</v>
      </c>
      <c r="G4" s="911"/>
      <c r="H4" s="911"/>
      <c r="I4" s="911"/>
      <c r="J4" s="912" t="s">
        <v>146</v>
      </c>
      <c r="K4" s="912"/>
      <c r="L4" s="912"/>
      <c r="M4" s="912"/>
      <c r="N4" s="914" t="s">
        <v>153</v>
      </c>
      <c r="O4" s="914"/>
      <c r="P4" s="914"/>
      <c r="Q4" s="914"/>
    </row>
    <row r="5" spans="1:17" s="165" customFormat="1" ht="14">
      <c r="B5" s="166" t="s">
        <v>49</v>
      </c>
      <c r="C5" s="166" t="s">
        <v>48</v>
      </c>
      <c r="D5" s="166" t="s">
        <v>93</v>
      </c>
      <c r="E5" s="166" t="s">
        <v>83</v>
      </c>
      <c r="F5" s="173" t="s">
        <v>49</v>
      </c>
      <c r="G5" s="173" t="s">
        <v>48</v>
      </c>
      <c r="H5" s="173" t="s">
        <v>93</v>
      </c>
      <c r="I5" s="173" t="s">
        <v>83</v>
      </c>
      <c r="J5" s="175" t="s">
        <v>49</v>
      </c>
      <c r="K5" s="175" t="s">
        <v>48</v>
      </c>
      <c r="L5" s="175" t="s">
        <v>93</v>
      </c>
      <c r="M5" s="175" t="s">
        <v>83</v>
      </c>
      <c r="N5" s="182" t="s">
        <v>49</v>
      </c>
      <c r="O5" s="182" t="s">
        <v>48</v>
      </c>
      <c r="P5" s="182" t="s">
        <v>93</v>
      </c>
      <c r="Q5" s="182" t="s">
        <v>83</v>
      </c>
    </row>
    <row r="6" spans="1:17">
      <c r="A6" s="167" t="s">
        <v>149</v>
      </c>
      <c r="B6" s="168">
        <f>+Budget_Comparativo_PZ_Acum!D23</f>
        <v>8000</v>
      </c>
      <c r="C6" s="168">
        <f>+Budget_Comparativo_LD_Acum!D23</f>
        <v>10000</v>
      </c>
      <c r="D6" s="168">
        <v>0</v>
      </c>
      <c r="E6" s="168">
        <f>+SUM(B6:D6)</f>
        <v>18000</v>
      </c>
      <c r="F6" s="168">
        <f>+Budget_Comparativo_PZ_Acum!F23</f>
        <v>0</v>
      </c>
      <c r="G6" s="168">
        <f>+Budget_Comparativo_LD_Acum!F23</f>
        <v>0</v>
      </c>
      <c r="H6" s="168">
        <v>0</v>
      </c>
      <c r="I6" s="168">
        <f>+SUM(F6:H6)</f>
        <v>0</v>
      </c>
      <c r="J6" s="168">
        <f t="shared" ref="J6:L7" si="0">+B6-F6</f>
        <v>8000</v>
      </c>
      <c r="K6" s="168">
        <f t="shared" si="0"/>
        <v>10000</v>
      </c>
      <c r="L6" s="168">
        <f t="shared" si="0"/>
        <v>0</v>
      </c>
      <c r="M6" s="168">
        <f>+SUM(J6:L6)</f>
        <v>18000</v>
      </c>
      <c r="N6" s="178">
        <f t="shared" ref="N6:Q10" si="1">IF(B6=0,IF(F6=0,0,100%),IF(J6=0,0,+J6/B6))</f>
        <v>1</v>
      </c>
      <c r="O6" s="178">
        <f t="shared" si="1"/>
        <v>1</v>
      </c>
      <c r="P6" s="178">
        <f t="shared" si="1"/>
        <v>0</v>
      </c>
      <c r="Q6" s="178">
        <f t="shared" si="1"/>
        <v>1</v>
      </c>
    </row>
    <row r="7" spans="1:17">
      <c r="A7" s="169" t="s">
        <v>147</v>
      </c>
      <c r="B7" s="168">
        <f>+Budget_Comparativo_PZ_Acum!D29</f>
        <v>22500</v>
      </c>
      <c r="C7" s="168">
        <f>+Budget_Comparativo_LD_Acum!D29</f>
        <v>26000</v>
      </c>
      <c r="D7" s="168">
        <f>+Budget_Comparativo_FL_Acum!D29</f>
        <v>191000</v>
      </c>
      <c r="E7" s="168">
        <f>+SUM(B7:D7)</f>
        <v>239500</v>
      </c>
      <c r="F7" s="168">
        <f>+Budget_Comparativo_PZ_Acum!F29-F8</f>
        <v>0</v>
      </c>
      <c r="G7" s="168">
        <f>+Budget_Comparativo_LD_Acum!F29-G8</f>
        <v>0</v>
      </c>
      <c r="H7" s="168">
        <f>+Budget_Comparativo_FL_Acum!H29-H8</f>
        <v>52600</v>
      </c>
      <c r="I7" s="168">
        <f>+SUM(F7:H7)</f>
        <v>52600</v>
      </c>
      <c r="J7" s="168">
        <f>+B7-F7</f>
        <v>22500</v>
      </c>
      <c r="K7" s="168">
        <f t="shared" si="0"/>
        <v>26000</v>
      </c>
      <c r="L7" s="168">
        <f>+D7-H7</f>
        <v>138400</v>
      </c>
      <c r="M7" s="168">
        <f>+SUM(J7:L7)</f>
        <v>186900</v>
      </c>
      <c r="N7" s="178">
        <f t="shared" si="1"/>
        <v>1</v>
      </c>
      <c r="O7" s="178">
        <f t="shared" si="1"/>
        <v>1</v>
      </c>
      <c r="P7" s="178">
        <f t="shared" si="1"/>
        <v>0.72460732984293197</v>
      </c>
      <c r="Q7" s="178">
        <f t="shared" si="1"/>
        <v>0.78037578288100207</v>
      </c>
    </row>
    <row r="8" spans="1:17">
      <c r="A8" s="167" t="s">
        <v>230</v>
      </c>
      <c r="B8" s="168">
        <v>0</v>
      </c>
      <c r="C8" s="168">
        <v>0</v>
      </c>
      <c r="D8" s="168">
        <v>0</v>
      </c>
      <c r="E8" s="168">
        <f>+SUM(B8:D8)</f>
        <v>0</v>
      </c>
      <c r="F8" s="168">
        <f>+Budget_Comparativo_PZ_Acum!F38</f>
        <v>0</v>
      </c>
      <c r="G8" s="168">
        <v>0</v>
      </c>
      <c r="H8" s="168">
        <v>0</v>
      </c>
      <c r="I8" s="168">
        <f>+SUM(F8:H8)</f>
        <v>0</v>
      </c>
      <c r="J8" s="168">
        <f>+B8-F8</f>
        <v>0</v>
      </c>
      <c r="K8" s="168">
        <f>+C8-G8</f>
        <v>0</v>
      </c>
      <c r="L8" s="168">
        <f>+D8-H8</f>
        <v>0</v>
      </c>
      <c r="M8" s="168">
        <f>+SUM(J8:L8)</f>
        <v>0</v>
      </c>
      <c r="N8" s="178">
        <f t="shared" si="1"/>
        <v>0</v>
      </c>
      <c r="O8" s="178">
        <f t="shared" si="1"/>
        <v>0</v>
      </c>
      <c r="P8" s="178">
        <f t="shared" si="1"/>
        <v>0</v>
      </c>
      <c r="Q8" s="178">
        <f t="shared" si="1"/>
        <v>0</v>
      </c>
    </row>
    <row r="9" spans="1:17">
      <c r="A9" s="169" t="s">
        <v>212</v>
      </c>
      <c r="B9" s="168">
        <f>+Budget_Comparativo_PZ_Acum!D30</f>
        <v>0</v>
      </c>
      <c r="C9" s="168">
        <f>+Budget_Comparativo_LD_Acum!D30</f>
        <v>0</v>
      </c>
      <c r="D9" s="168">
        <f>+Budget_Comparativo_FL_Acum!D30</f>
        <v>0</v>
      </c>
      <c r="E9" s="168">
        <f>+SUM(B9:D9)</f>
        <v>0</v>
      </c>
      <c r="F9" s="168">
        <f>+Budget_Comparativo_PZ_Acum!F30</f>
        <v>0</v>
      </c>
      <c r="G9" s="168">
        <f>+Budget_Comparativo_LD_Acum!F30</f>
        <v>0</v>
      </c>
      <c r="H9" s="168">
        <f>+Budget_Comparativo_FL_Acum!H30</f>
        <v>0</v>
      </c>
      <c r="I9" s="168">
        <f>+SUM(F9:H9)</f>
        <v>0</v>
      </c>
      <c r="J9" s="168">
        <f>+B9-F9</f>
        <v>0</v>
      </c>
      <c r="K9" s="168">
        <f>+C9-G9</f>
        <v>0</v>
      </c>
      <c r="L9" s="168">
        <f>+D9-H9</f>
        <v>0</v>
      </c>
      <c r="M9" s="168">
        <f>+SUM(J9:L9)</f>
        <v>0</v>
      </c>
      <c r="N9" s="178">
        <f t="shared" si="1"/>
        <v>0</v>
      </c>
      <c r="O9" s="178">
        <f t="shared" si="1"/>
        <v>0</v>
      </c>
      <c r="P9" s="178">
        <f t="shared" si="1"/>
        <v>0</v>
      </c>
      <c r="Q9" s="178">
        <f t="shared" si="1"/>
        <v>0</v>
      </c>
    </row>
    <row r="10" spans="1:17" s="163" customFormat="1" ht="14">
      <c r="A10" s="170" t="s">
        <v>148</v>
      </c>
      <c r="B10" s="171">
        <f t="shared" ref="B10:M10" si="2">+SUM(B6:B9)</f>
        <v>30500</v>
      </c>
      <c r="C10" s="171">
        <f t="shared" si="2"/>
        <v>36000</v>
      </c>
      <c r="D10" s="171">
        <f t="shared" si="2"/>
        <v>191000</v>
      </c>
      <c r="E10" s="172">
        <f t="shared" si="2"/>
        <v>257500</v>
      </c>
      <c r="F10" s="171">
        <f t="shared" si="2"/>
        <v>0</v>
      </c>
      <c r="G10" s="171">
        <f t="shared" si="2"/>
        <v>0</v>
      </c>
      <c r="H10" s="171">
        <f t="shared" si="2"/>
        <v>52600</v>
      </c>
      <c r="I10" s="174">
        <f t="shared" si="2"/>
        <v>52600</v>
      </c>
      <c r="J10" s="171">
        <f t="shared" si="2"/>
        <v>30500</v>
      </c>
      <c r="K10" s="171">
        <f t="shared" si="2"/>
        <v>36000</v>
      </c>
      <c r="L10" s="171">
        <f t="shared" si="2"/>
        <v>138400</v>
      </c>
      <c r="M10" s="176">
        <f t="shared" si="2"/>
        <v>204900</v>
      </c>
      <c r="N10" s="179">
        <f t="shared" si="1"/>
        <v>1</v>
      </c>
      <c r="O10" s="179">
        <f t="shared" si="1"/>
        <v>1</v>
      </c>
      <c r="P10" s="179">
        <f t="shared" si="1"/>
        <v>0.72460732984293197</v>
      </c>
      <c r="Q10" s="183">
        <f t="shared" si="1"/>
        <v>0.79572815533980579</v>
      </c>
    </row>
    <row r="12" spans="1:17" s="163" customFormat="1" ht="14">
      <c r="A12" s="170" t="s">
        <v>61</v>
      </c>
      <c r="B12" s="171">
        <f>+Budget_Comparativo_PZ_Acum!D20</f>
        <v>1500</v>
      </c>
      <c r="C12" s="171">
        <f>+Budget_Comparativo_LD_Acum!D20</f>
        <v>1800</v>
      </c>
      <c r="D12" s="171">
        <f>+Budget_Comparativo_FL_Acum!D19</f>
        <v>2500</v>
      </c>
      <c r="E12" s="172">
        <f>+SUM(B12:D12)</f>
        <v>5800</v>
      </c>
      <c r="F12" s="171">
        <f>+Budget_Comparativo_PZ_Acum!F20</f>
        <v>0</v>
      </c>
      <c r="G12" s="171">
        <f>+Budget_Comparativo_LD_Acum!F20</f>
        <v>0</v>
      </c>
      <c r="H12" s="171">
        <f>+Budget_Comparativo_FL_Acum!F19</f>
        <v>0</v>
      </c>
      <c r="I12" s="174">
        <f>+SUM(F12:H12)</f>
        <v>0</v>
      </c>
      <c r="J12" s="171">
        <f>+B12-F12</f>
        <v>1500</v>
      </c>
      <c r="K12" s="171">
        <f>+C12-G12</f>
        <v>1800</v>
      </c>
      <c r="L12" s="171">
        <f>+D12-H12</f>
        <v>2500</v>
      </c>
      <c r="M12" s="176">
        <f>+SUM(J12:L12)</f>
        <v>5800</v>
      </c>
      <c r="N12" s="179">
        <f>IF(B12=0,IF(F12=0,0,100%),IF(J12=0,0,+J12/B12))</f>
        <v>1</v>
      </c>
      <c r="O12" s="179">
        <f>IF(C12=0,IF(G12=0,0,100%),IF(K12=0,0,+K12/C12))</f>
        <v>1</v>
      </c>
      <c r="P12" s="179">
        <f>IF(D12=0,IF(H12=0,0,100%),IF(L12=0,0,+L12/D12))</f>
        <v>1</v>
      </c>
      <c r="Q12" s="183">
        <f>IF(E12=0,IF(I12=0,0,100%),IF(M12=0,0,+M12/E12))</f>
        <v>1</v>
      </c>
    </row>
    <row r="14" spans="1:17" s="163" customFormat="1" ht="14">
      <c r="A14" s="170" t="s">
        <v>151</v>
      </c>
      <c r="B14" s="171">
        <v>0</v>
      </c>
      <c r="C14" s="171">
        <v>0</v>
      </c>
      <c r="D14" s="171">
        <f>+Budget_Comparativo_FL_Acum!D13</f>
        <v>106350</v>
      </c>
      <c r="E14" s="172">
        <f>+SUM(B14:D14)</f>
        <v>106350</v>
      </c>
      <c r="F14" s="171">
        <v>0</v>
      </c>
      <c r="G14" s="171">
        <v>0</v>
      </c>
      <c r="H14" s="171">
        <f>+Budget_Comparativo_FL_Acum!F13</f>
        <v>0</v>
      </c>
      <c r="I14" s="174">
        <f>+SUM(F14:H14)</f>
        <v>0</v>
      </c>
      <c r="J14" s="171">
        <f>+B14-F14</f>
        <v>0</v>
      </c>
      <c r="K14" s="171">
        <f>+C14-G14</f>
        <v>0</v>
      </c>
      <c r="L14" s="171">
        <f>+D14-H14</f>
        <v>106350</v>
      </c>
      <c r="M14" s="176">
        <f>+SUM(J14:L14)</f>
        <v>106350</v>
      </c>
      <c r="N14" s="179">
        <f>IF(B14=0,IF(F14=0,0,100%),IF(J14=0,0,+J14/B14))</f>
        <v>0</v>
      </c>
      <c r="O14" s="179">
        <f>IF(C14=0,IF(G14=0,0,100%),IF(K14=0,0,+K14/C14))</f>
        <v>0</v>
      </c>
      <c r="P14" s="179">
        <f>IF(D14=0,IF(H14=0,0,100%),IF(L14=0,0,+L14/D14))</f>
        <v>1</v>
      </c>
      <c r="Q14" s="183">
        <f>IF(E14=0,IF(I14=0,0,100%),IF(M14=0,0,+M14/E14))</f>
        <v>1</v>
      </c>
    </row>
    <row r="17" spans="1:5" ht="28">
      <c r="A17" s="164"/>
      <c r="B17" s="188" t="s">
        <v>144</v>
      </c>
      <c r="C17" s="189" t="s">
        <v>145</v>
      </c>
      <c r="D17" s="190" t="s">
        <v>146</v>
      </c>
      <c r="E17" s="191" t="s">
        <v>153</v>
      </c>
    </row>
    <row r="18" spans="1:5" ht="14">
      <c r="A18" s="165"/>
      <c r="B18" s="166" t="s">
        <v>169</v>
      </c>
      <c r="C18" s="173" t="s">
        <v>169</v>
      </c>
      <c r="D18" s="175" t="s">
        <v>169</v>
      </c>
      <c r="E18" s="182" t="s">
        <v>169</v>
      </c>
    </row>
    <row r="19" spans="1:5">
      <c r="A19" s="167" t="s">
        <v>149</v>
      </c>
      <c r="B19" s="168">
        <f>+'Budget_Temp_2023-2024'!O28</f>
        <v>8000</v>
      </c>
      <c r="C19" s="168">
        <f>+Budget_Comparativo_CL!F29</f>
        <v>0</v>
      </c>
      <c r="D19" s="168">
        <f>+B19-C19</f>
        <v>8000</v>
      </c>
      <c r="E19" s="178">
        <f>IF(B19=0,0,IF(D19=0,0,+D19/B19))</f>
        <v>1</v>
      </c>
    </row>
    <row r="20" spans="1:5">
      <c r="A20" s="169" t="s">
        <v>147</v>
      </c>
      <c r="B20" s="168">
        <f>+'Budget_Temp_2023-2024'!O36</f>
        <v>20500</v>
      </c>
      <c r="C20" s="168">
        <f>+Budget_Comparativo_CL!F37</f>
        <v>0</v>
      </c>
      <c r="D20" s="168">
        <f>+B20-C20</f>
        <v>20500</v>
      </c>
      <c r="E20" s="178">
        <f>IF(B20=0,0,IF(D20=0,0,+D20/B20))</f>
        <v>1</v>
      </c>
    </row>
    <row r="21" spans="1:5">
      <c r="A21" s="169" t="s">
        <v>212</v>
      </c>
      <c r="B21" s="168">
        <f>+'Budget_Temp_2023-2024'!O37</f>
        <v>0</v>
      </c>
      <c r="C21" s="168">
        <f>+Budget_Comparativo_CL!F38</f>
        <v>0</v>
      </c>
      <c r="D21" s="168">
        <f>+B21-C21</f>
        <v>0</v>
      </c>
      <c r="E21" s="178">
        <f>IF(B21=0,0,IF(D21=0,0,+D21/B21))</f>
        <v>0</v>
      </c>
    </row>
    <row r="22" spans="1:5" ht="13">
      <c r="A22" s="170" t="s">
        <v>148</v>
      </c>
      <c r="B22" s="172">
        <f>+SUM(B19:B21)</f>
        <v>28500</v>
      </c>
      <c r="C22" s="174">
        <f>+SUM(C19:C21)</f>
        <v>0</v>
      </c>
      <c r="D22" s="463">
        <f>+SUM(D19:D21)</f>
        <v>28500</v>
      </c>
      <c r="E22" s="179">
        <f>IF(B22=0,0,IF(D22=0,0,+D22/B22))</f>
        <v>1</v>
      </c>
    </row>
    <row r="24" spans="1:5" ht="13">
      <c r="A24" s="170" t="s">
        <v>61</v>
      </c>
      <c r="B24" s="172">
        <f>+'Budget_Temp_2023-2024'!O23</f>
        <v>1500</v>
      </c>
      <c r="C24" s="174">
        <f>+Budget_Comparativo_CL!F24</f>
        <v>0</v>
      </c>
      <c r="D24" s="463">
        <f>+B24-C24</f>
        <v>1500</v>
      </c>
      <c r="E24" s="179">
        <f>IF(B24=0,0,IF(D24=0,0,+D24/B24))</f>
        <v>1</v>
      </c>
    </row>
    <row r="26" spans="1:5" ht="13">
      <c r="A26" s="170" t="s">
        <v>151</v>
      </c>
      <c r="B26" s="172">
        <f>+'Budget_Temp_2023-2024'!O12</f>
        <v>46950</v>
      </c>
      <c r="C26" s="174">
        <f>+Budget_Comparativo_CL!F13</f>
        <v>0</v>
      </c>
      <c r="D26" s="463">
        <f>+B26-C26</f>
        <v>46950</v>
      </c>
      <c r="E26" s="179">
        <f>IF(B26=0,0,IF(D26=0,0,+D26/B26))</f>
        <v>1</v>
      </c>
    </row>
  </sheetData>
  <mergeCells count="5">
    <mergeCell ref="B4:E4"/>
    <mergeCell ref="F4:I4"/>
    <mergeCell ref="J4:M4"/>
    <mergeCell ref="A2:M2"/>
    <mergeCell ref="N4:Q4"/>
  </mergeCells>
  <conditionalFormatting sqref="D19:E22">
    <cfRule type="cellIs" dxfId="9" priority="8" stopIfTrue="1" operator="lessThan">
      <formula>0</formula>
    </cfRule>
  </conditionalFormatting>
  <conditionalFormatting sqref="D24:E24">
    <cfRule type="cellIs" dxfId="8" priority="13" stopIfTrue="1" operator="lessThan">
      <formula>0</formula>
    </cfRule>
  </conditionalFormatting>
  <conditionalFormatting sqref="D26:E26">
    <cfRule type="cellIs" dxfId="7" priority="12" stopIfTrue="1" operator="lessThan">
      <formula>0</formula>
    </cfRule>
  </conditionalFormatting>
  <conditionalFormatting sqref="J6:Q10">
    <cfRule type="cellIs" dxfId="6" priority="1" stopIfTrue="1" operator="lessThan">
      <formula>0</formula>
    </cfRule>
  </conditionalFormatting>
  <conditionalFormatting sqref="J12:Q12">
    <cfRule type="cellIs" dxfId="5" priority="21" stopIfTrue="1" operator="lessThan">
      <formula>0</formula>
    </cfRule>
  </conditionalFormatting>
  <conditionalFormatting sqref="J14:Q14">
    <cfRule type="cellIs" dxfId="4" priority="20" stopIfTrue="1" operator="lessThan">
      <formula>0</formula>
    </cfRule>
  </conditionalFormatting>
  <pageMargins left="0.70866141732283472" right="0.70866141732283472" top="0.74803149606299213" bottom="0.74803149606299213" header="0.31496062992125984" footer="0.31496062992125984"/>
  <pageSetup paperSize="9" scale="78" orientation="landscape" r:id="rId1"/>
</worksheet>
</file>

<file path=xl/worksheets/sheet36.xml><?xml version="1.0" encoding="utf-8"?>
<worksheet xmlns="http://schemas.openxmlformats.org/spreadsheetml/2006/main" xmlns:r="http://schemas.openxmlformats.org/officeDocument/2006/relationships">
  <sheetPr codeName="Sheet25"/>
  <dimension ref="A1:Q48"/>
  <sheetViews>
    <sheetView zoomScale="80" zoomScaleNormal="80" workbookViewId="0">
      <pane xSplit="2" ySplit="10" topLeftCell="C11" activePane="bottomRight" state="frozen"/>
      <selection activeCell="J93" sqref="J93"/>
      <selection pane="topRight" activeCell="J93" sqref="J93"/>
      <selection pane="bottomLeft" activeCell="J93" sqref="J93"/>
      <selection pane="bottomRight" activeCell="D12" sqref="D12"/>
    </sheetView>
  </sheetViews>
  <sheetFormatPr baseColWidth="10" defaultColWidth="10.81640625" defaultRowHeight="13"/>
  <cols>
    <col min="1" max="1" width="1.453125" style="14" customWidth="1"/>
    <col min="2" max="2" width="35.81640625" style="14" bestFit="1" customWidth="1"/>
    <col min="3" max="3" width="1.453125" style="14" customWidth="1"/>
    <col min="4" max="4" width="10.453125" style="16" bestFit="1" customWidth="1"/>
    <col min="5" max="7" width="11.81640625" style="16" bestFit="1" customWidth="1"/>
    <col min="8" max="8" width="11.1796875" style="14" bestFit="1" customWidth="1"/>
    <col min="9" max="9" width="6.81640625" style="17" bestFit="1" customWidth="1"/>
    <col min="10" max="10" width="7.81640625" style="16" bestFit="1" customWidth="1"/>
    <col min="11" max="12" width="8.453125" style="16" bestFit="1" customWidth="1"/>
    <col min="13" max="13" width="9.453125" style="16" bestFit="1" customWidth="1"/>
    <col min="14" max="14" width="5.453125" style="95" bestFit="1" customWidth="1"/>
    <col min="15" max="15" width="11.81640625" style="16" bestFit="1" customWidth="1"/>
    <col min="16" max="16" width="10.1796875" style="16" bestFit="1" customWidth="1"/>
    <col min="17" max="17" width="7.453125" style="16" bestFit="1" customWidth="1"/>
    <col min="18" max="16384" width="10.81640625" style="16"/>
  </cols>
  <sheetData>
    <row r="1" spans="1:17" ht="20.5" thickBot="1">
      <c r="B1" s="15" t="s">
        <v>86</v>
      </c>
      <c r="D1" s="16" t="s">
        <v>87</v>
      </c>
      <c r="E1" s="16" t="s">
        <v>87</v>
      </c>
      <c r="J1" s="16" t="s">
        <v>87</v>
      </c>
      <c r="K1" s="16" t="s">
        <v>87</v>
      </c>
      <c r="O1" s="16" t="s">
        <v>87</v>
      </c>
    </row>
    <row r="2" spans="1:17" ht="20.5" thickBot="1">
      <c r="A2" s="18"/>
      <c r="B2" s="19" t="str">
        <f>+Budget_Comparativo_PZ_Acum!B2</f>
        <v>2023/2024</v>
      </c>
      <c r="C2" s="18"/>
      <c r="D2" s="18"/>
      <c r="E2" s="18"/>
      <c r="F2" s="18"/>
      <c r="G2" s="20"/>
      <c r="H2" s="25" t="str">
        <f>IF(H7+H8=0,"OK","Check")</f>
        <v>OK</v>
      </c>
      <c r="I2" s="25" t="str">
        <f>IF(I7+I8=0,"OK","Check")</f>
        <v>OK</v>
      </c>
      <c r="J2" s="18"/>
      <c r="K2" s="18"/>
      <c r="L2" s="18"/>
      <c r="M2" s="20"/>
      <c r="N2" s="25" t="str">
        <f>IF(N7+N8=0,"OK","Check")</f>
        <v>OK</v>
      </c>
      <c r="O2" s="18"/>
      <c r="P2" s="20"/>
    </row>
    <row r="3" spans="1:17" s="23" customFormat="1" ht="4" thickBot="1">
      <c r="A3" s="21"/>
      <c r="B3" s="22"/>
      <c r="C3" s="22"/>
      <c r="D3" s="22"/>
      <c r="E3" s="22"/>
      <c r="F3" s="22"/>
      <c r="J3" s="22"/>
      <c r="K3" s="22"/>
      <c r="L3" s="22"/>
      <c r="N3" s="96"/>
      <c r="O3" s="22"/>
    </row>
    <row r="4" spans="1:17" s="26" customFormat="1" ht="18.5" thickBot="1">
      <c r="A4" s="24"/>
      <c r="B4" s="25" t="str">
        <f>IF(H34+H36-H39-P39=0,"OK","Check")</f>
        <v>OK</v>
      </c>
      <c r="C4" s="24"/>
      <c r="D4" s="895" t="s">
        <v>88</v>
      </c>
      <c r="E4" s="890"/>
      <c r="F4" s="890"/>
      <c r="G4" s="891"/>
      <c r="J4" s="895" t="s">
        <v>88</v>
      </c>
      <c r="K4" s="890"/>
      <c r="L4" s="890"/>
      <c r="M4" s="891"/>
      <c r="N4" s="97"/>
      <c r="O4" s="895" t="s">
        <v>170</v>
      </c>
      <c r="P4" s="891"/>
    </row>
    <row r="5" spans="1:17" ht="16" thickBot="1">
      <c r="A5" s="27"/>
      <c r="B5" s="28" t="s">
        <v>89</v>
      </c>
      <c r="C5" s="27"/>
      <c r="D5" s="906" t="s">
        <v>90</v>
      </c>
      <c r="E5" s="907"/>
      <c r="F5" s="907"/>
      <c r="G5" s="908"/>
      <c r="H5" s="27"/>
      <c r="J5" s="906" t="s">
        <v>91</v>
      </c>
      <c r="K5" s="907"/>
      <c r="L5" s="907"/>
      <c r="M5" s="908"/>
      <c r="O5" s="906" t="s">
        <v>90</v>
      </c>
      <c r="P5" s="908"/>
    </row>
    <row r="6" spans="1:17" ht="26.5" thickBot="1">
      <c r="A6" s="18"/>
      <c r="B6" s="29" t="s">
        <v>92</v>
      </c>
      <c r="C6" s="18"/>
      <c r="D6" s="30" t="s">
        <v>49</v>
      </c>
      <c r="E6" s="31" t="s">
        <v>48</v>
      </c>
      <c r="F6" s="31" t="s">
        <v>93</v>
      </c>
      <c r="G6" s="32" t="s">
        <v>94</v>
      </c>
      <c r="H6" s="18"/>
      <c r="J6" s="30" t="s">
        <v>49</v>
      </c>
      <c r="K6" s="31" t="s">
        <v>48</v>
      </c>
      <c r="L6" s="31" t="s">
        <v>93</v>
      </c>
      <c r="M6" s="32" t="s">
        <v>94</v>
      </c>
      <c r="O6" s="30" t="s">
        <v>199</v>
      </c>
      <c r="P6" s="31" t="s">
        <v>200</v>
      </c>
      <c r="Q6" s="478" t="s">
        <v>260</v>
      </c>
    </row>
    <row r="7" spans="1:17">
      <c r="A7" s="33"/>
      <c r="B7" s="34" t="s">
        <v>95</v>
      </c>
      <c r="C7" s="33"/>
      <c r="D7" s="35">
        <v>1925</v>
      </c>
      <c r="E7" s="145">
        <v>1620</v>
      </c>
      <c r="F7" s="37">
        <f>+D7+E7</f>
        <v>3545</v>
      </c>
      <c r="G7" s="37">
        <f>+SUM(D7:E7)</f>
        <v>3545</v>
      </c>
      <c r="H7" s="38">
        <f>+G7-Budget_Comparativo_FL_Acum!D7</f>
        <v>0</v>
      </c>
      <c r="I7" s="148">
        <f>3545-M7</f>
        <v>0</v>
      </c>
      <c r="J7" s="35">
        <f>+D7</f>
        <v>1925</v>
      </c>
      <c r="K7" s="145">
        <f>+E7</f>
        <v>1620</v>
      </c>
      <c r="L7" s="37">
        <f>+J7+K7</f>
        <v>3545</v>
      </c>
      <c r="M7" s="37">
        <f>+SUM(J7:K7)</f>
        <v>3545</v>
      </c>
      <c r="N7" s="217">
        <f>1565-O7</f>
        <v>0</v>
      </c>
      <c r="O7" s="35">
        <v>1565</v>
      </c>
      <c r="P7" s="37">
        <f>+SUM(O7:O7)</f>
        <v>1565</v>
      </c>
      <c r="Q7" s="408">
        <f>+M7+P7</f>
        <v>5110</v>
      </c>
    </row>
    <row r="8" spans="1:17">
      <c r="A8" s="33"/>
      <c r="B8" s="34" t="s">
        <v>96</v>
      </c>
      <c r="C8" s="33"/>
      <c r="D8" s="35">
        <f>ROUND(D7/3,0)</f>
        <v>642</v>
      </c>
      <c r="E8" s="36">
        <f>ROUND(E7/3,0)</f>
        <v>540</v>
      </c>
      <c r="F8" s="37">
        <f>+D8+E8</f>
        <v>1182</v>
      </c>
      <c r="G8" s="37">
        <f>+SUM(D8:E8)</f>
        <v>1182</v>
      </c>
      <c r="H8" s="38">
        <f>+G8-Budget_Comparativo_FL_Acum!D8</f>
        <v>0</v>
      </c>
      <c r="I8" s="148">
        <f>1182-M8</f>
        <v>0</v>
      </c>
      <c r="J8" s="35">
        <f>+D8</f>
        <v>642</v>
      </c>
      <c r="K8" s="36">
        <f>+E8</f>
        <v>540</v>
      </c>
      <c r="L8" s="37">
        <f>+J8+K8</f>
        <v>1182</v>
      </c>
      <c r="M8" s="37">
        <f>+SUM(J8:K8)</f>
        <v>1182</v>
      </c>
      <c r="N8" s="217">
        <f>474-O8</f>
        <v>0</v>
      </c>
      <c r="O8" s="35">
        <f>ROUND(+O7/3.3,0)</f>
        <v>474</v>
      </c>
      <c r="P8" s="37">
        <f>+SUM(O8:O8)</f>
        <v>474</v>
      </c>
      <c r="Q8" s="408">
        <f>+M8+P8</f>
        <v>1656</v>
      </c>
    </row>
    <row r="9" spans="1:17" ht="13.5" thickBot="1">
      <c r="A9" s="33"/>
      <c r="B9" s="39"/>
      <c r="C9" s="33"/>
      <c r="D9" s="35"/>
      <c r="E9" s="146"/>
      <c r="F9" s="37"/>
      <c r="G9" s="37"/>
      <c r="H9" s="38"/>
      <c r="J9" s="35"/>
      <c r="K9" s="146"/>
      <c r="L9" s="37"/>
      <c r="M9" s="448">
        <f>IF(M7=0,0,+M7/M8)</f>
        <v>2.9991539763113368</v>
      </c>
      <c r="O9" s="35"/>
      <c r="P9" s="448">
        <f>IF(P7=0,0,+P7/P8)</f>
        <v>3.3016877637130801</v>
      </c>
      <c r="Q9" s="449">
        <f>IF(Q7=0,0,+Q7/Q8)</f>
        <v>3.0857487922705316</v>
      </c>
    </row>
    <row r="10" spans="1:17" ht="26.5" thickBot="1">
      <c r="A10" s="18"/>
      <c r="B10" s="40" t="s">
        <v>97</v>
      </c>
      <c r="C10" s="18"/>
      <c r="D10" s="30" t="str">
        <f>+D6</f>
        <v>PZ</v>
      </c>
      <c r="E10" s="31" t="str">
        <f>+E6</f>
        <v>LD</v>
      </c>
      <c r="F10" s="31" t="s">
        <v>93</v>
      </c>
      <c r="G10" s="32" t="s">
        <v>94</v>
      </c>
      <c r="H10" s="41"/>
      <c r="J10" s="30" t="str">
        <f>+J6</f>
        <v>PZ</v>
      </c>
      <c r="K10" s="31" t="str">
        <f>+K6</f>
        <v>LD</v>
      </c>
      <c r="L10" s="31" t="s">
        <v>93</v>
      </c>
      <c r="M10" s="32" t="s">
        <v>94</v>
      </c>
      <c r="O10" s="30" t="str">
        <f>+O6</f>
        <v>Monto</v>
      </c>
      <c r="P10" s="32" t="str">
        <f>+P6</f>
        <v>Variable</v>
      </c>
    </row>
    <row r="11" spans="1:17" s="49" customFormat="1" ht="4">
      <c r="A11" s="42"/>
      <c r="B11" s="43"/>
      <c r="C11" s="42"/>
      <c r="D11" s="137"/>
      <c r="E11" s="141"/>
      <c r="F11" s="143"/>
      <c r="G11" s="46"/>
      <c r="H11" s="47"/>
      <c r="I11" s="48"/>
      <c r="J11" s="44"/>
      <c r="K11" s="45"/>
      <c r="L11" s="46"/>
      <c r="M11" s="46"/>
      <c r="N11" s="98"/>
      <c r="O11" s="137"/>
      <c r="P11" s="46"/>
    </row>
    <row r="12" spans="1:17" s="58" customFormat="1">
      <c r="A12" s="50"/>
      <c r="B12" s="51" t="s">
        <v>154</v>
      </c>
      <c r="C12" s="50"/>
      <c r="D12" s="192"/>
      <c r="E12" s="192"/>
      <c r="F12" s="54">
        <f>+F$7*30</f>
        <v>106350</v>
      </c>
      <c r="G12" s="55">
        <f>+SUM(D12:F12)</f>
        <v>106350</v>
      </c>
      <c r="H12" s="56"/>
      <c r="I12" s="57" t="s">
        <v>98</v>
      </c>
      <c r="J12" s="70"/>
      <c r="K12" s="71"/>
      <c r="L12" s="54">
        <f>IF(F12=0,0,$F12/$F$7)</f>
        <v>30</v>
      </c>
      <c r="M12" s="55">
        <f>IF(G12=0,0,$G12/$G$7)</f>
        <v>30</v>
      </c>
      <c r="N12" s="147"/>
      <c r="O12" s="53">
        <f>+O$7*30</f>
        <v>46950</v>
      </c>
      <c r="P12" s="192">
        <f>IF(O12=0,0,$O12/$O$7)</f>
        <v>30</v>
      </c>
    </row>
    <row r="13" spans="1:17" s="49" customFormat="1" ht="4">
      <c r="A13" s="42"/>
      <c r="B13" s="43"/>
      <c r="C13" s="42"/>
      <c r="D13" s="138"/>
      <c r="E13" s="45"/>
      <c r="F13" s="46"/>
      <c r="G13" s="46"/>
      <c r="H13" s="47"/>
      <c r="I13" s="48"/>
      <c r="J13" s="44"/>
      <c r="K13" s="45"/>
      <c r="L13" s="46"/>
      <c r="M13" s="46"/>
      <c r="N13" s="98"/>
      <c r="O13" s="138">
        <v>0</v>
      </c>
      <c r="P13" s="46"/>
    </row>
    <row r="14" spans="1:17" s="60" customFormat="1">
      <c r="A14" s="50"/>
      <c r="B14" s="59" t="s">
        <v>99</v>
      </c>
      <c r="C14" s="50"/>
      <c r="D14" s="53">
        <f>+D7*45</f>
        <v>86625</v>
      </c>
      <c r="E14" s="53">
        <f>+E7*45</f>
        <v>72900</v>
      </c>
      <c r="F14" s="55"/>
      <c r="G14" s="55">
        <f>+SUM(D14:F14)</f>
        <v>159525</v>
      </c>
      <c r="H14" s="56"/>
      <c r="I14" s="57" t="s">
        <v>98</v>
      </c>
      <c r="J14" s="52">
        <f>IF(D14=0,0,$D14/$D$7)</f>
        <v>45</v>
      </c>
      <c r="K14" s="53">
        <f>IF(E14=0,0,$E14/$E$7)</f>
        <v>45</v>
      </c>
      <c r="L14" s="65"/>
      <c r="M14" s="55">
        <f>IF(G14=0,0,$G14/$G$7)</f>
        <v>45</v>
      </c>
      <c r="N14" s="99"/>
      <c r="O14" s="53">
        <f>+O7*45</f>
        <v>70425</v>
      </c>
      <c r="P14" s="192">
        <f>IF(O14=0,0,$O14/$O$7)</f>
        <v>45</v>
      </c>
    </row>
    <row r="15" spans="1:17" s="49" customFormat="1" ht="4">
      <c r="A15" s="42"/>
      <c r="B15" s="43"/>
      <c r="C15" s="42"/>
      <c r="D15" s="138"/>
      <c r="E15" s="45"/>
      <c r="F15" s="46"/>
      <c r="G15" s="46"/>
      <c r="H15" s="47"/>
      <c r="I15" s="48"/>
      <c r="J15" s="44"/>
      <c r="K15" s="45"/>
      <c r="L15" s="46"/>
      <c r="M15" s="46"/>
      <c r="N15" s="98"/>
      <c r="O15" s="138"/>
      <c r="P15" s="46"/>
    </row>
    <row r="16" spans="1:17" s="17" customFormat="1">
      <c r="A16" s="61"/>
      <c r="B16" s="62" t="s">
        <v>100</v>
      </c>
      <c r="C16" s="61"/>
      <c r="D16" s="64"/>
      <c r="E16" s="64"/>
      <c r="F16" s="65"/>
      <c r="G16" s="65"/>
      <c r="H16" s="66"/>
      <c r="J16" s="63"/>
      <c r="K16" s="64"/>
      <c r="L16" s="65"/>
      <c r="M16" s="65"/>
      <c r="N16" s="100"/>
      <c r="O16" s="64"/>
      <c r="P16" s="65"/>
    </row>
    <row r="17" spans="1:16" s="60" customFormat="1">
      <c r="A17" s="50"/>
      <c r="B17" s="67" t="s">
        <v>101</v>
      </c>
      <c r="C17" s="50"/>
      <c r="D17" s="53">
        <v>5000</v>
      </c>
      <c r="E17" s="53">
        <v>4500</v>
      </c>
      <c r="F17" s="55"/>
      <c r="G17" s="55">
        <f t="shared" ref="G17:G23" si="0">+SUM(D17:F17)</f>
        <v>9500</v>
      </c>
      <c r="H17" s="56"/>
      <c r="I17" s="57" t="s">
        <v>98</v>
      </c>
      <c r="J17" s="52">
        <f>IF(D17=0,0,$D17/$D$7)</f>
        <v>2.5974025974025974</v>
      </c>
      <c r="K17" s="53">
        <f>IF(E17=0,0,$E17/$E$7)</f>
        <v>2.7777777777777777</v>
      </c>
      <c r="L17" s="65"/>
      <c r="M17" s="55">
        <f>IF(G17=0,0,$G17/$G$7)</f>
        <v>2.6798307475317347</v>
      </c>
      <c r="N17" s="99"/>
      <c r="O17" s="53">
        <v>5000</v>
      </c>
      <c r="P17" s="192">
        <f t="shared" ref="P17:P23" si="1">IF(O17=0,0,$O17/$O$7)</f>
        <v>3.1948881789137382</v>
      </c>
    </row>
    <row r="18" spans="1:16" s="60" customFormat="1">
      <c r="A18" s="50"/>
      <c r="B18" s="67" t="s">
        <v>102</v>
      </c>
      <c r="C18" s="50"/>
      <c r="D18" s="192"/>
      <c r="E18" s="192"/>
      <c r="F18" s="54">
        <f>+F$7*20</f>
        <v>70900</v>
      </c>
      <c r="G18" s="55">
        <f t="shared" si="0"/>
        <v>70900</v>
      </c>
      <c r="H18" s="56"/>
      <c r="I18" s="57" t="s">
        <v>98</v>
      </c>
      <c r="J18" s="70"/>
      <c r="K18" s="71"/>
      <c r="L18" s="54">
        <f>IF(F18=0,0,$F18/$F$7)</f>
        <v>20</v>
      </c>
      <c r="M18" s="55">
        <f>IF(G18=0,0,$G18/$G$7)</f>
        <v>20</v>
      </c>
      <c r="N18" s="99"/>
      <c r="O18" s="53">
        <f>+O$7*20</f>
        <v>31300</v>
      </c>
      <c r="P18" s="192">
        <f t="shared" si="1"/>
        <v>20</v>
      </c>
    </row>
    <row r="19" spans="1:16" s="60" customFormat="1">
      <c r="A19" s="50"/>
      <c r="B19" s="67" t="s">
        <v>103</v>
      </c>
      <c r="C19" s="50"/>
      <c r="D19" s="53">
        <v>9000</v>
      </c>
      <c r="E19" s="53">
        <v>10000</v>
      </c>
      <c r="F19" s="55"/>
      <c r="G19" s="55">
        <f t="shared" si="0"/>
        <v>19000</v>
      </c>
      <c r="H19" s="56"/>
      <c r="I19" s="57" t="s">
        <v>98</v>
      </c>
      <c r="J19" s="52">
        <f>IF(D19=0,0,$D19/$D$7)</f>
        <v>4.6753246753246751</v>
      </c>
      <c r="K19" s="53">
        <f>IF(E19=0,0,$E19/$E$7)</f>
        <v>6.1728395061728394</v>
      </c>
      <c r="L19" s="65"/>
      <c r="M19" s="55">
        <f>IF(G19=0,0,$G19/$G$7)</f>
        <v>5.3596614950634693</v>
      </c>
      <c r="N19" s="99"/>
      <c r="O19" s="53">
        <v>5000</v>
      </c>
      <c r="P19" s="192">
        <f t="shared" si="1"/>
        <v>3.1948881789137382</v>
      </c>
    </row>
    <row r="20" spans="1:16" s="60" customFormat="1">
      <c r="A20" s="50"/>
      <c r="B20" s="59" t="s">
        <v>104</v>
      </c>
      <c r="C20" s="50"/>
      <c r="D20" s="192"/>
      <c r="E20" s="192"/>
      <c r="F20" s="54">
        <f>+F$7*3</f>
        <v>10635</v>
      </c>
      <c r="G20" s="55">
        <f t="shared" si="0"/>
        <v>10635</v>
      </c>
      <c r="H20" s="56"/>
      <c r="I20" s="68" t="s">
        <v>105</v>
      </c>
      <c r="J20" s="70"/>
      <c r="K20" s="71"/>
      <c r="L20" s="54">
        <f>IF(F20=0,0,$F20/$F$8)</f>
        <v>8.9974619289340101</v>
      </c>
      <c r="M20" s="55">
        <f>IF(G20=0,0,$G20/$G$8)</f>
        <v>8.9974619289340101</v>
      </c>
      <c r="N20" s="99"/>
      <c r="O20" s="53">
        <f>+O$7*15</f>
        <v>23475</v>
      </c>
      <c r="P20" s="192">
        <f t="shared" si="1"/>
        <v>15</v>
      </c>
    </row>
    <row r="21" spans="1:16" s="49" customFormat="1" ht="4">
      <c r="A21" s="42"/>
      <c r="B21" s="43"/>
      <c r="C21" s="42"/>
      <c r="D21" s="138"/>
      <c r="E21" s="45"/>
      <c r="F21" s="46"/>
      <c r="G21" s="46"/>
      <c r="H21" s="47"/>
      <c r="I21" s="48"/>
      <c r="J21" s="44"/>
      <c r="K21" s="45"/>
      <c r="L21" s="46"/>
      <c r="M21" s="46"/>
      <c r="N21" s="98"/>
      <c r="O21" s="138"/>
      <c r="P21" s="46"/>
    </row>
    <row r="22" spans="1:16" s="60" customFormat="1">
      <c r="A22" s="50"/>
      <c r="B22" s="67" t="s">
        <v>106</v>
      </c>
      <c r="C22" s="50"/>
      <c r="D22" s="53">
        <v>2000</v>
      </c>
      <c r="E22" s="53">
        <v>1000</v>
      </c>
      <c r="F22" s="55"/>
      <c r="G22" s="55">
        <f t="shared" si="0"/>
        <v>3000</v>
      </c>
      <c r="H22" s="56"/>
      <c r="I22" s="68" t="s">
        <v>107</v>
      </c>
      <c r="J22" s="52">
        <f t="shared" ref="J22:L23" si="2">+D22/12</f>
        <v>166.66666666666666</v>
      </c>
      <c r="K22" s="53">
        <f t="shared" si="2"/>
        <v>83.333333333333329</v>
      </c>
      <c r="L22" s="65"/>
      <c r="M22" s="55">
        <f>+SUM(J22:L22)</f>
        <v>250</v>
      </c>
      <c r="N22" s="99"/>
      <c r="O22" s="53">
        <v>1500</v>
      </c>
      <c r="P22" s="192">
        <f t="shared" si="1"/>
        <v>0.95846645367412142</v>
      </c>
    </row>
    <row r="23" spans="1:16" s="60" customFormat="1">
      <c r="A23" s="50"/>
      <c r="B23" s="59" t="s">
        <v>61</v>
      </c>
      <c r="C23" s="50"/>
      <c r="D23" s="53">
        <v>1500</v>
      </c>
      <c r="E23" s="53">
        <v>1800</v>
      </c>
      <c r="F23" s="54">
        <v>2500</v>
      </c>
      <c r="G23" s="55">
        <f t="shared" si="0"/>
        <v>5800</v>
      </c>
      <c r="H23" s="56"/>
      <c r="I23" s="68" t="s">
        <v>107</v>
      </c>
      <c r="J23" s="52">
        <f t="shared" si="2"/>
        <v>125</v>
      </c>
      <c r="K23" s="53">
        <f t="shared" si="2"/>
        <v>150</v>
      </c>
      <c r="L23" s="54">
        <f t="shared" si="2"/>
        <v>208.33333333333334</v>
      </c>
      <c r="M23" s="55">
        <f>+SUM(J23:L23)</f>
        <v>483.33333333333337</v>
      </c>
      <c r="N23" s="99"/>
      <c r="O23" s="53">
        <v>1500</v>
      </c>
      <c r="P23" s="192">
        <f t="shared" si="1"/>
        <v>0.95846645367412142</v>
      </c>
    </row>
    <row r="24" spans="1:16" s="49" customFormat="1" ht="4">
      <c r="A24" s="42"/>
      <c r="B24" s="43"/>
      <c r="C24" s="42"/>
      <c r="D24" s="138"/>
      <c r="E24" s="45"/>
      <c r="F24" s="46"/>
      <c r="G24" s="46"/>
      <c r="H24" s="47"/>
      <c r="I24" s="48"/>
      <c r="J24" s="44"/>
      <c r="K24" s="45"/>
      <c r="L24" s="46"/>
      <c r="M24" s="46"/>
      <c r="N24" s="98"/>
      <c r="O24" s="138"/>
      <c r="P24" s="46"/>
    </row>
    <row r="25" spans="1:16" s="60" customFormat="1">
      <c r="A25" s="50"/>
      <c r="B25" s="59" t="s">
        <v>166</v>
      </c>
      <c r="C25" s="50"/>
      <c r="D25" s="139"/>
      <c r="E25" s="71"/>
      <c r="F25" s="54">
        <f>+F$7*10</f>
        <v>35450</v>
      </c>
      <c r="G25" s="55">
        <f>+SUM(D25:F25)</f>
        <v>35450</v>
      </c>
      <c r="H25" s="56"/>
      <c r="I25" s="57" t="s">
        <v>98</v>
      </c>
      <c r="J25" s="70"/>
      <c r="K25" s="71"/>
      <c r="L25" s="54">
        <f>IF(F25=0,0,$F25/$F$7)</f>
        <v>10</v>
      </c>
      <c r="M25" s="55">
        <f>IF(G25=0,0,$G25/$G$7)</f>
        <v>10</v>
      </c>
      <c r="N25" s="98"/>
      <c r="O25" s="53">
        <f>+O7*10</f>
        <v>15650</v>
      </c>
      <c r="P25" s="192">
        <f>IF(O25=0,0,$O25/$O$7)</f>
        <v>10</v>
      </c>
    </row>
    <row r="26" spans="1:16" s="49" customFormat="1" ht="4">
      <c r="A26" s="42"/>
      <c r="B26" s="43"/>
      <c r="C26" s="42"/>
      <c r="D26" s="138"/>
      <c r="E26" s="45"/>
      <c r="F26" s="46"/>
      <c r="G26" s="46"/>
      <c r="H26" s="47"/>
      <c r="I26" s="48"/>
      <c r="J26" s="44"/>
      <c r="K26" s="45"/>
      <c r="L26" s="46"/>
      <c r="M26" s="46"/>
      <c r="N26" s="98"/>
      <c r="O26" s="138"/>
      <c r="P26" s="46"/>
    </row>
    <row r="27" spans="1:16">
      <c r="A27" s="69"/>
      <c r="B27" s="62" t="s">
        <v>108</v>
      </c>
      <c r="C27" s="69"/>
      <c r="D27" s="139"/>
      <c r="E27" s="71"/>
      <c r="F27" s="72"/>
      <c r="G27" s="73"/>
      <c r="H27" s="74"/>
      <c r="J27" s="70"/>
      <c r="K27" s="71"/>
      <c r="L27" s="72"/>
      <c r="M27" s="73"/>
      <c r="O27" s="139"/>
      <c r="P27" s="73"/>
    </row>
    <row r="28" spans="1:16" s="60" customFormat="1">
      <c r="A28" s="50"/>
      <c r="B28" s="67" t="s">
        <v>109</v>
      </c>
      <c r="C28" s="50"/>
      <c r="D28" s="53">
        <v>8000</v>
      </c>
      <c r="E28" s="53">
        <v>10000</v>
      </c>
      <c r="F28" s="72"/>
      <c r="G28" s="55">
        <f>+SUM(D28:F28)</f>
        <v>18000</v>
      </c>
      <c r="H28" s="56"/>
      <c r="I28" s="68" t="s">
        <v>107</v>
      </c>
      <c r="J28" s="52">
        <f>+D28/12</f>
        <v>666.66666666666663</v>
      </c>
      <c r="K28" s="53">
        <f t="shared" ref="K28:L30" si="3">+E28/12</f>
        <v>833.33333333333337</v>
      </c>
      <c r="L28" s="72"/>
      <c r="M28" s="55">
        <f>+SUM(J28:L28)</f>
        <v>1500</v>
      </c>
      <c r="N28" s="99"/>
      <c r="O28" s="53">
        <v>8000</v>
      </c>
      <c r="P28" s="192">
        <f>IF(O28=0,0,$O28/$O$7)</f>
        <v>5.1118210862619806</v>
      </c>
    </row>
    <row r="29" spans="1:16" s="60" customFormat="1">
      <c r="A29" s="50"/>
      <c r="B29" s="67" t="s">
        <v>110</v>
      </c>
      <c r="C29" s="50"/>
      <c r="D29" s="139"/>
      <c r="E29" s="71"/>
      <c r="F29" s="54">
        <v>30000</v>
      </c>
      <c r="G29" s="55">
        <f>+SUM(D29:F29)</f>
        <v>30000</v>
      </c>
      <c r="H29" s="56"/>
      <c r="I29" s="68" t="s">
        <v>107</v>
      </c>
      <c r="J29" s="70"/>
      <c r="K29" s="71"/>
      <c r="L29" s="54">
        <f t="shared" si="3"/>
        <v>2500</v>
      </c>
      <c r="M29" s="55">
        <f>+SUM(J29:L29)</f>
        <v>2500</v>
      </c>
      <c r="N29" s="99"/>
      <c r="O29" s="53">
        <v>8000</v>
      </c>
      <c r="P29" s="192">
        <f>IF(O29=0,0,$O29/$O$7)</f>
        <v>5.1118210862619806</v>
      </c>
    </row>
    <row r="30" spans="1:16" s="60" customFormat="1">
      <c r="A30" s="50"/>
      <c r="B30" s="67" t="s">
        <v>160</v>
      </c>
      <c r="C30" s="50"/>
      <c r="D30" s="139"/>
      <c r="E30" s="71"/>
      <c r="F30" s="54">
        <v>10000</v>
      </c>
      <c r="G30" s="55">
        <f>+SUM(D30:F30)</f>
        <v>10000</v>
      </c>
      <c r="H30" s="56"/>
      <c r="I30" s="68" t="s">
        <v>107</v>
      </c>
      <c r="J30" s="70"/>
      <c r="K30" s="71"/>
      <c r="L30" s="54">
        <f t="shared" si="3"/>
        <v>833.33333333333337</v>
      </c>
      <c r="M30" s="55">
        <f>+SUM(J30:L30)</f>
        <v>833.33333333333337</v>
      </c>
      <c r="N30" s="99"/>
      <c r="O30" s="53">
        <f>+Budget_Comparativo_CL!H31</f>
        <v>0</v>
      </c>
      <c r="P30" s="192">
        <f>IF(O30=0,0,$O30/$O$7)</f>
        <v>0</v>
      </c>
    </row>
    <row r="31" spans="1:16" s="60" customFormat="1">
      <c r="A31" s="50"/>
      <c r="B31" s="59" t="s">
        <v>57</v>
      </c>
      <c r="C31" s="50"/>
      <c r="D31" s="53">
        <v>1000</v>
      </c>
      <c r="E31" s="53">
        <v>800</v>
      </c>
      <c r="F31" s="72"/>
      <c r="G31" s="55">
        <f>+SUM(D31:F31)</f>
        <v>1800</v>
      </c>
      <c r="H31" s="56"/>
      <c r="I31" s="57" t="s">
        <v>98</v>
      </c>
      <c r="J31" s="52">
        <f>IF(D31=0,0,$D31/$D$7)</f>
        <v>0.51948051948051943</v>
      </c>
      <c r="K31" s="53">
        <f>IF(E31=0,0,$E31/$E$7)</f>
        <v>0.49382716049382713</v>
      </c>
      <c r="L31" s="72"/>
      <c r="M31" s="55">
        <f>IF(G31=0,0,$G31/$G$7)</f>
        <v>0.50775740479548659</v>
      </c>
      <c r="N31" s="99"/>
      <c r="O31" s="53">
        <v>800</v>
      </c>
      <c r="P31" s="192">
        <f>IF(O31=0,0,$O31/$O$7)</f>
        <v>0.51118210862619806</v>
      </c>
    </row>
    <row r="32" spans="1:16" s="60" customFormat="1">
      <c r="A32" s="50"/>
      <c r="B32" s="59" t="s">
        <v>111</v>
      </c>
      <c r="C32" s="50"/>
      <c r="D32" s="53">
        <v>4000</v>
      </c>
      <c r="E32" s="53">
        <v>4000</v>
      </c>
      <c r="F32" s="72"/>
      <c r="G32" s="55">
        <f>+SUM(D32:F32)</f>
        <v>8000</v>
      </c>
      <c r="H32" s="56"/>
      <c r="I32" s="57" t="s">
        <v>98</v>
      </c>
      <c r="J32" s="52">
        <f>IF(D32=0,0,$D32/$D$7)</f>
        <v>2.0779220779220777</v>
      </c>
      <c r="K32" s="53">
        <f>IF(E32=0,0,$E32/$E$7)</f>
        <v>2.4691358024691357</v>
      </c>
      <c r="L32" s="72"/>
      <c r="M32" s="55">
        <f>IF(G32=0,0,$G32/$G$7)</f>
        <v>2.2566995768688294</v>
      </c>
      <c r="N32" s="99"/>
      <c r="O32" s="53">
        <v>3000</v>
      </c>
      <c r="P32" s="192">
        <f>IF(O32=0,0,$O32/$O$7)</f>
        <v>1.9169329073482428</v>
      </c>
    </row>
    <row r="33" spans="1:16" s="49" customFormat="1" ht="4.5" thickBot="1">
      <c r="A33" s="42"/>
      <c r="B33" s="43"/>
      <c r="C33" s="42"/>
      <c r="D33" s="140"/>
      <c r="E33" s="142"/>
      <c r="F33" s="144"/>
      <c r="G33" s="46"/>
      <c r="H33" s="47"/>
      <c r="I33" s="48"/>
      <c r="J33" s="44"/>
      <c r="K33" s="45"/>
      <c r="L33" s="46"/>
      <c r="M33" s="46"/>
      <c r="N33" s="98"/>
      <c r="O33" s="140"/>
      <c r="P33" s="46"/>
    </row>
    <row r="34" spans="1:16" s="60" customFormat="1" ht="13.5" thickBot="1">
      <c r="A34" s="75"/>
      <c r="B34" s="76" t="s">
        <v>112</v>
      </c>
      <c r="C34" s="75"/>
      <c r="D34" s="77">
        <f>+SUM(D11:D33)</f>
        <v>117125</v>
      </c>
      <c r="E34" s="77">
        <f>+SUM(E11:E33)</f>
        <v>105000</v>
      </c>
      <c r="F34" s="77">
        <f>+SUM(F11:F33)</f>
        <v>265835</v>
      </c>
      <c r="G34" s="78">
        <f>+SUM(G11:G33)</f>
        <v>487960</v>
      </c>
      <c r="H34" s="79">
        <f>+(Budget_Comparativo_PZ_Acum!D27+Budget_Comparativo_LD_Acum!D27+Budget_Comparativo_FL_Acum!D27)-G34</f>
        <v>0</v>
      </c>
      <c r="J34" s="77"/>
      <c r="K34" s="78"/>
      <c r="L34" s="80"/>
      <c r="M34" s="80"/>
      <c r="N34" s="99"/>
      <c r="O34" s="77">
        <f>+SUM(O11:O33)</f>
        <v>220600</v>
      </c>
      <c r="P34" s="78"/>
    </row>
    <row r="35" spans="1:16" s="49" customFormat="1" ht="4.5" thickBot="1">
      <c r="A35" s="81"/>
      <c r="B35" s="82"/>
      <c r="C35" s="81"/>
      <c r="D35" s="83"/>
      <c r="E35" s="45"/>
      <c r="F35" s="84"/>
      <c r="G35" s="85"/>
      <c r="H35" s="48"/>
      <c r="J35" s="83"/>
      <c r="K35" s="45"/>
      <c r="L35" s="84"/>
      <c r="M35" s="85"/>
      <c r="N35" s="98"/>
      <c r="O35" s="83"/>
    </row>
    <row r="36" spans="1:16" ht="13.5" thickBot="1">
      <c r="B36" s="86" t="s">
        <v>113</v>
      </c>
      <c r="D36" s="77">
        <f>+D41</f>
        <v>22500</v>
      </c>
      <c r="E36" s="78">
        <f>+E41</f>
        <v>26000</v>
      </c>
      <c r="F36" s="78">
        <f>+F41</f>
        <v>191000</v>
      </c>
      <c r="G36" s="78">
        <f>+G41</f>
        <v>239500</v>
      </c>
      <c r="H36" s="79">
        <f>0-G36-G37+G41</f>
        <v>0</v>
      </c>
      <c r="I36" s="87" t="s">
        <v>107</v>
      </c>
      <c r="J36" s="77">
        <f t="shared" ref="J36:L37" si="4">+D36/12</f>
        <v>1875</v>
      </c>
      <c r="K36" s="78">
        <f t="shared" si="4"/>
        <v>2166.6666666666665</v>
      </c>
      <c r="L36" s="80">
        <f t="shared" si="4"/>
        <v>15916.666666666666</v>
      </c>
      <c r="M36" s="80">
        <f>+SUM(J36:L36)</f>
        <v>19958.333333333332</v>
      </c>
      <c r="O36" s="78">
        <f>+O41</f>
        <v>20500</v>
      </c>
      <c r="P36" s="49"/>
    </row>
    <row r="37" spans="1:16" ht="13.5" thickBot="1">
      <c r="B37" s="86" t="s">
        <v>210</v>
      </c>
      <c r="D37" s="358"/>
      <c r="E37" s="193"/>
      <c r="F37" s="359">
        <v>0</v>
      </c>
      <c r="G37" s="80">
        <f>+SUM(D37:F37)</f>
        <v>0</v>
      </c>
      <c r="H37" s="88"/>
      <c r="I37" s="87" t="s">
        <v>107</v>
      </c>
      <c r="J37" s="77">
        <f t="shared" si="4"/>
        <v>0</v>
      </c>
      <c r="K37" s="78">
        <f t="shared" si="4"/>
        <v>0</v>
      </c>
      <c r="L37" s="80">
        <f t="shared" si="4"/>
        <v>0</v>
      </c>
      <c r="M37" s="80">
        <f>+SUM(J37:L37)</f>
        <v>0</v>
      </c>
      <c r="O37" s="193">
        <v>0</v>
      </c>
      <c r="P37" s="49"/>
    </row>
    <row r="38" spans="1:16" s="49" customFormat="1" ht="4.5" thickBot="1">
      <c r="A38" s="88"/>
      <c r="B38" s="88"/>
      <c r="C38" s="88"/>
      <c r="H38" s="88"/>
      <c r="I38" s="48"/>
      <c r="N38" s="98"/>
    </row>
    <row r="39" spans="1:16" ht="13.5" thickBot="1">
      <c r="B39" s="89" t="s">
        <v>114</v>
      </c>
      <c r="D39" s="91">
        <f>+D34+D36+D37</f>
        <v>139625</v>
      </c>
      <c r="E39" s="91">
        <f>+E34+E36+E37</f>
        <v>131000</v>
      </c>
      <c r="F39" s="91">
        <f>+F34+F36+F37</f>
        <v>456835</v>
      </c>
      <c r="G39" s="92">
        <f>+G34+G36+G37</f>
        <v>727460</v>
      </c>
      <c r="H39" s="218">
        <f>0+727460-G39</f>
        <v>0</v>
      </c>
      <c r="O39" s="92">
        <f>+O34+O36</f>
        <v>241100</v>
      </c>
      <c r="P39" s="177">
        <f>241100-O39</f>
        <v>0</v>
      </c>
    </row>
    <row r="41" spans="1:16" ht="16">
      <c r="B41" s="350" t="s">
        <v>222</v>
      </c>
      <c r="D41" s="352">
        <f>+SUM(D42:D48)</f>
        <v>22500</v>
      </c>
      <c r="E41" s="352">
        <f>+SUM(E42:E48)</f>
        <v>26000</v>
      </c>
      <c r="F41" s="352">
        <f>+SUM(F42:F48)</f>
        <v>191000</v>
      </c>
      <c r="G41" s="352">
        <f>+SUM(G42:G48)</f>
        <v>239500</v>
      </c>
      <c r="O41" s="352">
        <f>+SUM(O42:O48)</f>
        <v>20500</v>
      </c>
    </row>
    <row r="42" spans="1:16" ht="26">
      <c r="B42" s="349" t="s">
        <v>223</v>
      </c>
      <c r="D42" s="357"/>
      <c r="E42" s="357"/>
      <c r="F42" s="357">
        <v>0</v>
      </c>
      <c r="G42" s="354">
        <f>+SUM(D42:F42)</f>
        <v>0</v>
      </c>
      <c r="H42" s="324"/>
      <c r="I42" s="355"/>
      <c r="J42" s="354"/>
      <c r="K42" s="354"/>
      <c r="L42" s="354"/>
      <c r="M42" s="354"/>
      <c r="N42" s="356"/>
      <c r="O42" s="357">
        <v>0</v>
      </c>
    </row>
    <row r="43" spans="1:16">
      <c r="B43" s="14" t="s">
        <v>1</v>
      </c>
      <c r="D43" s="357"/>
      <c r="E43" s="357"/>
      <c r="F43" s="357">
        <v>120000</v>
      </c>
      <c r="G43" s="354">
        <f>+SUM(D43:F43)</f>
        <v>120000</v>
      </c>
      <c r="H43" s="324"/>
      <c r="I43" s="355"/>
      <c r="J43" s="354"/>
      <c r="K43" s="354"/>
      <c r="L43" s="354"/>
      <c r="M43" s="354"/>
      <c r="N43" s="356"/>
      <c r="O43" s="357"/>
    </row>
    <row r="44" spans="1:16">
      <c r="B44" s="14" t="s">
        <v>224</v>
      </c>
      <c r="D44" s="357">
        <v>22500</v>
      </c>
      <c r="E44" s="357">
        <v>26000</v>
      </c>
      <c r="F44" s="357"/>
      <c r="G44" s="354">
        <f>+SUM(D44:F44)</f>
        <v>48500</v>
      </c>
      <c r="H44" s="324"/>
      <c r="I44" s="355"/>
      <c r="J44" s="354"/>
      <c r="K44" s="354"/>
      <c r="L44" s="354"/>
      <c r="M44" s="354"/>
      <c r="N44" s="356"/>
      <c r="O44" s="357">
        <v>20500</v>
      </c>
    </row>
    <row r="45" spans="1:16">
      <c r="B45" s="14" t="s">
        <v>53</v>
      </c>
      <c r="D45" s="357"/>
      <c r="E45" s="357"/>
      <c r="F45" s="357"/>
      <c r="G45" s="354">
        <f>+SUM(D45:F45)</f>
        <v>0</v>
      </c>
      <c r="H45" s="324"/>
      <c r="I45" s="355"/>
      <c r="J45" s="354"/>
      <c r="K45" s="354"/>
      <c r="L45" s="354"/>
      <c r="M45" s="354"/>
      <c r="N45" s="356"/>
      <c r="O45" s="357"/>
    </row>
    <row r="46" spans="1:16">
      <c r="B46" s="14" t="s">
        <v>226</v>
      </c>
      <c r="D46" s="357"/>
      <c r="E46" s="357"/>
      <c r="F46" s="357">
        <v>71000</v>
      </c>
      <c r="G46" s="354">
        <f>+SUM(D46:F46)</f>
        <v>71000</v>
      </c>
      <c r="H46" s="324"/>
      <c r="I46" s="355"/>
      <c r="J46" s="354"/>
      <c r="K46" s="354"/>
      <c r="L46" s="354"/>
      <c r="M46" s="354"/>
      <c r="N46" s="356"/>
      <c r="O46" s="357"/>
    </row>
    <row r="47" spans="1:16">
      <c r="B47" s="14" t="s">
        <v>210</v>
      </c>
      <c r="D47" s="357"/>
      <c r="E47" s="357"/>
      <c r="F47" s="357"/>
      <c r="G47" s="354"/>
      <c r="H47" s="324"/>
      <c r="I47" s="355"/>
      <c r="J47" s="354"/>
      <c r="K47" s="354"/>
      <c r="L47" s="354"/>
      <c r="M47" s="354"/>
      <c r="N47" s="356"/>
      <c r="O47" s="357">
        <v>0</v>
      </c>
    </row>
    <row r="48" spans="1:16">
      <c r="B48" s="353" t="s">
        <v>225</v>
      </c>
      <c r="D48" s="353" t="s">
        <v>225</v>
      </c>
      <c r="E48" s="353" t="s">
        <v>225</v>
      </c>
      <c r="F48" s="353" t="s">
        <v>225</v>
      </c>
      <c r="G48" s="353" t="s">
        <v>225</v>
      </c>
      <c r="O48" s="353" t="s">
        <v>225</v>
      </c>
    </row>
  </sheetData>
  <mergeCells count="6">
    <mergeCell ref="D4:G4"/>
    <mergeCell ref="J4:M4"/>
    <mergeCell ref="D5:G5"/>
    <mergeCell ref="J5:M5"/>
    <mergeCell ref="O4:P4"/>
    <mergeCell ref="O5:P5"/>
  </mergeCells>
  <phoneticPr fontId="25" type="noConversion"/>
  <conditionalFormatting sqref="B4">
    <cfRule type="cellIs" dxfId="3" priority="4" stopIfTrue="1" operator="notEqual">
      <formula>"ok"</formula>
    </cfRule>
  </conditionalFormatting>
  <conditionalFormatting sqref="H2:I2">
    <cfRule type="cellIs" dxfId="2" priority="2" stopIfTrue="1" operator="notEqual">
      <formula>"ok"</formula>
    </cfRule>
  </conditionalFormatting>
  <conditionalFormatting sqref="N2">
    <cfRule type="cellIs" dxfId="1" priority="1" stopIfTrue="1" operator="notEqual">
      <formula>"ok"</formula>
    </cfRule>
  </conditionalFormatting>
  <hyperlinks>
    <hyperlink ref="B12" location="Costos_Directos!C8" display="Canon/ lodge rentals"/>
    <hyperlink ref="B14" location="Costos_Directos!H8" display="Comida"/>
    <hyperlink ref="B17" location="Costos_Directos!J8" display="electricidad"/>
    <hyperlink ref="B18" location="Costos_Directos!M8" display="Vehiculos/Botes"/>
    <hyperlink ref="B19" location="Costos_Directos!P8" display="Gas "/>
    <hyperlink ref="B20" location="Costos_Directos!R8" display="Traslado Aerop/Lodge/Alq Vehiculos"/>
    <hyperlink ref="B22" location="Costos_Directos!U8" display="Locales"/>
    <hyperlink ref="B23" location="Costos_Directos!W8" display="Uniformes"/>
    <hyperlink ref="B25" location="Costos_Directos!E8" display="Permisos de Pesca/Caza"/>
    <hyperlink ref="B28" location="Costos_Directos!Y8" display="Lodge-pre season-aperturas"/>
    <hyperlink ref="B29" location="Costos_Directos!AA8" display="Vehiculos"/>
    <hyperlink ref="B30" location="Costos_Directos!AC8" display="Equipos"/>
    <hyperlink ref="B31" location="Costos_Directos!AE8" display="Comunicaciones"/>
    <hyperlink ref="B32" location="Costos_Directos!AM8" display="Varios, incluye papeleria ldoges"/>
    <hyperlink ref="B36" location="Inversiones!A1" display="INVERSIONES"/>
    <hyperlink ref="B37" location="Inversiones!A1" display="INVERSIONES"/>
  </hyperlinks>
  <pageMargins left="0.75" right="0.75" top="1" bottom="1" header="0.3" footer="0.3"/>
  <pageSetup orientation="portrait" horizontalDpi="4294967292"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Hojas de cálculo</vt:lpstr>
      </vt:variant>
      <vt:variant>
        <vt:i4>36</vt:i4>
      </vt:variant>
      <vt:variant>
        <vt:lpstr>Rangos con nombre</vt:lpstr>
      </vt:variant>
      <vt:variant>
        <vt:i4>21</vt:i4>
      </vt:variant>
    </vt:vector>
  </HeadingPairs>
  <TitlesOfParts>
    <vt:vector size="57" baseType="lpstr">
      <vt:lpstr>Ajustes y Comentarios</vt:lpstr>
      <vt:lpstr>Mov_Analizados_Sept25 - Dic25</vt:lpstr>
      <vt:lpstr>Mov_Analizados_Nov_21</vt:lpstr>
      <vt:lpstr>Mov_Analizados_Dic_21</vt:lpstr>
      <vt:lpstr>Mov_Analizados_Ene_Feb 23</vt:lpstr>
      <vt:lpstr>Mov_Analizados_Feb_22</vt:lpstr>
      <vt:lpstr>Mov_Analizados_Mar_23</vt:lpstr>
      <vt:lpstr>Mov_Analizados_Abr_23</vt:lpstr>
      <vt:lpstr>Mov_Analizados_May_23</vt:lpstr>
      <vt:lpstr>Mov_Analizados_Jun_22</vt:lpstr>
      <vt:lpstr>Mov_Analizados_Jul_22</vt:lpstr>
      <vt:lpstr>Mov_Analizados_Ago_22</vt:lpstr>
      <vt:lpstr>Mov_Analizados_Ene 26</vt:lpstr>
      <vt:lpstr>Mov_Analizados_Feb - Mar 26</vt:lpstr>
      <vt:lpstr>Mov_Analizados_Abr 24</vt:lpstr>
      <vt:lpstr>Mov_Analizados_Abr 26</vt:lpstr>
      <vt:lpstr>Mov_Analizados_May 26</vt:lpstr>
      <vt:lpstr>Reversa Provision Gastos 24-25</vt:lpstr>
      <vt:lpstr>Plan Cuentas Link Armado</vt:lpstr>
      <vt:lpstr>Resumen_Base</vt:lpstr>
      <vt:lpstr>Budget Comparativo</vt:lpstr>
      <vt:lpstr>Comparativo x BN</vt:lpstr>
      <vt:lpstr>Stock - Deudas</vt:lpstr>
      <vt:lpstr>CARMELO LODGE</vt:lpstr>
      <vt:lpstr>SAN JUAN LODGE</vt:lpstr>
      <vt:lpstr>Comparativo SJ con BN</vt:lpstr>
      <vt:lpstr>Comparativo UL con BN</vt:lpstr>
      <vt:lpstr>Comparativo CAR con BN</vt:lpstr>
      <vt:lpstr>Budget Comparativo x BN</vt:lpstr>
      <vt:lpstr>Budget_Comparativo_PZ_Acum</vt:lpstr>
      <vt:lpstr>Budget_Comparativo_LD_Acum</vt:lpstr>
      <vt:lpstr>Budget_Comparativo_FL_Acum</vt:lpstr>
      <vt:lpstr>Budget_Comparativo_PZ+LD+FL</vt:lpstr>
      <vt:lpstr>Budget_Comparativo_CL</vt:lpstr>
      <vt:lpstr>Inversiones_Mant_Lodge</vt:lpstr>
      <vt:lpstr>Budget_Temp_2023-2024</vt:lpstr>
      <vt:lpstr>'Budget Comparativo'!Área_de_impresión</vt:lpstr>
      <vt:lpstr>'Budget Comparativo x BN'!Área_de_impresión</vt:lpstr>
      <vt:lpstr>Budget_Comparativo_CL!Área_de_impresión</vt:lpstr>
      <vt:lpstr>Budget_Comparativo_FL_Acum!Área_de_impresión</vt:lpstr>
      <vt:lpstr>Budget_Comparativo_LD_Acum!Área_de_impresión</vt:lpstr>
      <vt:lpstr>Budget_Comparativo_PZ_Acum!Área_de_impresión</vt:lpstr>
      <vt:lpstr>'Budget_Comparativo_PZ+LD+FL'!Área_de_impresión</vt:lpstr>
      <vt:lpstr>'Comparativo CAR con BN'!Área_de_impresión</vt:lpstr>
      <vt:lpstr>'Comparativo SJ con BN'!Área_de_impresión</vt:lpstr>
      <vt:lpstr>'Comparativo UL con BN'!Área_de_impresión</vt:lpstr>
      <vt:lpstr>'Comparativo x BN'!Área_de_impresión</vt:lpstr>
      <vt:lpstr>T_ACUMULADO_ESTANCIAS_DATOS</vt:lpstr>
      <vt:lpstr>T_ACUMULADO_ESTANCIAS_LODGE_SELECCIONADO</vt:lpstr>
      <vt:lpstr>T_ACUMULADO_ESTANCIAS_LODGE_VENTAS_SELECCIONADO</vt:lpstr>
      <vt:lpstr>T_ACUMULADO_ESTANCIAS_TEMPORADA</vt:lpstr>
      <vt:lpstr>'Budget Comparativo'!Títulos_a_imprimir</vt:lpstr>
      <vt:lpstr>'Budget Comparativo x BN'!Títulos_a_imprimir</vt:lpstr>
      <vt:lpstr>'Comparativo CAR con BN'!Títulos_a_imprimir</vt:lpstr>
      <vt:lpstr>'Comparativo SJ con BN'!Títulos_a_imprimir</vt:lpstr>
      <vt:lpstr>'Comparativo UL con BN'!Títulos_a_imprimir</vt:lpstr>
      <vt:lpstr>'Comparativo x BN'!Títulos_a_imprimir</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Hernan De Agostino</dc:creator>
  <cp:lastModifiedBy>herna</cp:lastModifiedBy>
  <cp:lastPrinted>2026-04-24T19:26:00Z</cp:lastPrinted>
  <dcterms:created xsi:type="dcterms:W3CDTF">2012-11-21T12:31:05Z</dcterms:created>
  <dcterms:modified xsi:type="dcterms:W3CDTF">2026-06-25T10:12:58Z</dcterms:modified>
</cp:coreProperties>
</file>